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240" yWindow="570" windowWidth="23250" windowHeight="11955"/>
  </bookViews>
  <sheets>
    <sheet name="TVM" sheetId="1" r:id="rId1"/>
    <sheet name="KLM" sheetId="2" r:id="rId2"/>
    <sheet name="PTA" sheetId="3" r:id="rId3"/>
    <sheet name="ALP" sheetId="4" r:id="rId4"/>
    <sheet name="KTM" sheetId="5" r:id="rId5"/>
    <sheet name="IDK" sheetId="6" r:id="rId6"/>
    <sheet name="EKM" sheetId="7" r:id="rId7"/>
    <sheet name="TSR" sheetId="8" r:id="rId8"/>
    <sheet name="PKD" sheetId="9" r:id="rId9"/>
    <sheet name="MLPM" sheetId="10" r:id="rId10"/>
    <sheet name="KKD" sheetId="11" r:id="rId11"/>
    <sheet name="WYD" sheetId="12" r:id="rId12"/>
    <sheet name="KNR" sheetId="13" r:id="rId13"/>
    <sheet name="KSD" sheetId="14" r:id="rId14"/>
    <sheet name="SHS" sheetId="15" r:id="rId15"/>
    <sheet name="TOTAL" sheetId="16" r:id="rId16"/>
  </sheets>
  <definedNames>
    <definedName name="_xlnm.Print_Area" localSheetId="6">EKM!$A$1:$V$1000</definedName>
    <definedName name="_xlnm.Print_Area" localSheetId="11">WYD!$A$1:$V$211</definedName>
    <definedName name="_xlnm.Print_Titles" localSheetId="3">ALP!$4:$5</definedName>
    <definedName name="_xlnm.Print_Titles" localSheetId="6">EKM!$4:$5</definedName>
    <definedName name="_xlnm.Print_Titles" localSheetId="10">KKD!$4:$5</definedName>
    <definedName name="_xlnm.Print_Titles" localSheetId="1">KLM!$4:$5</definedName>
    <definedName name="_xlnm.Print_Titles" localSheetId="12">KNR!$4:$5</definedName>
    <definedName name="_xlnm.Print_Titles" localSheetId="13">KSD!$4:$5</definedName>
    <definedName name="_xlnm.Print_Titles" localSheetId="4">KTM!$4:$5</definedName>
    <definedName name="_xlnm.Print_Titles" localSheetId="9">MLPM!$4:$5</definedName>
    <definedName name="_xlnm.Print_Titles" localSheetId="8">PKD!$4:$5</definedName>
    <definedName name="_xlnm.Print_Titles" localSheetId="2">PTA!$4:$5</definedName>
    <definedName name="_xlnm.Print_Titles" localSheetId="7">TSR!$4:$5</definedName>
    <definedName name="_xlnm.Print_Titles" localSheetId="0">TVM!$4:$5</definedName>
    <definedName name="_xlnm.Print_Titles" localSheetId="11">WYD!$4:$5</definedName>
  </definedNames>
  <calcPr calcId="124519"/>
</workbook>
</file>

<file path=xl/calcChain.xml><?xml version="1.0" encoding="utf-8"?>
<calcChain xmlns="http://schemas.openxmlformats.org/spreadsheetml/2006/main">
  <c r="U187" i="14"/>
  <c r="T187"/>
  <c r="T187" i="13"/>
  <c r="U187" s="1"/>
  <c r="T187" i="12"/>
  <c r="U187" s="1"/>
  <c r="T187" i="11"/>
  <c r="U187" s="1"/>
  <c r="T187" i="10"/>
  <c r="U187" s="1"/>
  <c r="T187" i="9"/>
  <c r="U187" s="1"/>
  <c r="T187" i="8"/>
  <c r="U187" s="1"/>
  <c r="T187" i="7"/>
  <c r="U187" s="1"/>
  <c r="T187" i="6"/>
  <c r="U187" s="1"/>
  <c r="T187" i="5"/>
  <c r="U187" s="1"/>
  <c r="T187" i="4"/>
  <c r="U187" s="1"/>
  <c r="T187" i="3"/>
  <c r="U187" s="1"/>
  <c r="P187" i="1"/>
  <c r="O208" i="16"/>
  <c r="P208"/>
  <c r="Q208"/>
  <c r="R208"/>
  <c r="U203" i="15"/>
  <c r="S209" i="16" l="1"/>
  <c r="R209"/>
  <c r="Q209"/>
  <c r="P209"/>
  <c r="O209"/>
  <c r="N209"/>
  <c r="M209"/>
  <c r="L209"/>
  <c r="K209"/>
  <c r="J209"/>
  <c r="I209"/>
  <c r="H209"/>
  <c r="G209"/>
  <c r="F209"/>
  <c r="S208"/>
  <c r="N208"/>
  <c r="M208"/>
  <c r="L208"/>
  <c r="K208"/>
  <c r="J208"/>
  <c r="I208"/>
  <c r="H208"/>
  <c r="G208"/>
  <c r="F208"/>
  <c r="S207"/>
  <c r="R207"/>
  <c r="Q207"/>
  <c r="P207"/>
  <c r="O207"/>
  <c r="N207"/>
  <c r="M207"/>
  <c r="L207"/>
  <c r="K207"/>
  <c r="J207"/>
  <c r="I207"/>
  <c r="H207"/>
  <c r="G207"/>
  <c r="F207"/>
  <c r="U206"/>
  <c r="S206"/>
  <c r="R206"/>
  <c r="Q206"/>
  <c r="P206"/>
  <c r="O206"/>
  <c r="N206"/>
  <c r="M206"/>
  <c r="L206"/>
  <c r="K206"/>
  <c r="J206"/>
  <c r="I206"/>
  <c r="H206"/>
  <c r="G206"/>
  <c r="F206"/>
  <c r="S205"/>
  <c r="R205"/>
  <c r="Q205"/>
  <c r="P205"/>
  <c r="O205"/>
  <c r="N205"/>
  <c r="M205"/>
  <c r="L205"/>
  <c r="K205"/>
  <c r="J205"/>
  <c r="I205"/>
  <c r="H205"/>
  <c r="G205"/>
  <c r="F205"/>
  <c r="S204"/>
  <c r="Q204"/>
  <c r="P204"/>
  <c r="O204"/>
  <c r="N204"/>
  <c r="M204"/>
  <c r="L204"/>
  <c r="K204"/>
  <c r="J204"/>
  <c r="I204"/>
  <c r="H204"/>
  <c r="G204"/>
  <c r="F204"/>
  <c r="S203"/>
  <c r="Q203"/>
  <c r="P203"/>
  <c r="O203"/>
  <c r="M203"/>
  <c r="L203"/>
  <c r="K203"/>
  <c r="J203"/>
  <c r="I203"/>
  <c r="H203"/>
  <c r="G203"/>
  <c r="F203"/>
  <c r="S202"/>
  <c r="R202"/>
  <c r="Q202"/>
  <c r="P202"/>
  <c r="O202"/>
  <c r="N202"/>
  <c r="M202"/>
  <c r="L202"/>
  <c r="K202"/>
  <c r="J202"/>
  <c r="I202"/>
  <c r="H202"/>
  <c r="G202"/>
  <c r="F202"/>
  <c r="S201"/>
  <c r="R201"/>
  <c r="Q201"/>
  <c r="P201"/>
  <c r="O201"/>
  <c r="N201"/>
  <c r="M201"/>
  <c r="L201"/>
  <c r="K201"/>
  <c r="J201"/>
  <c r="I201"/>
  <c r="H201"/>
  <c r="F201"/>
  <c r="S200"/>
  <c r="R200"/>
  <c r="Q200"/>
  <c r="P200"/>
  <c r="O200"/>
  <c r="N200"/>
  <c r="M200"/>
  <c r="L200"/>
  <c r="K200"/>
  <c r="J200"/>
  <c r="I200"/>
  <c r="H200"/>
  <c r="G200"/>
  <c r="F200"/>
  <c r="S199"/>
  <c r="R199"/>
  <c r="Q199"/>
  <c r="P199"/>
  <c r="O199"/>
  <c r="N199"/>
  <c r="M199"/>
  <c r="L199"/>
  <c r="K199"/>
  <c r="J199"/>
  <c r="I199"/>
  <c r="H199"/>
  <c r="G199"/>
  <c r="F199"/>
  <c r="S198"/>
  <c r="R198"/>
  <c r="Q198"/>
  <c r="P198"/>
  <c r="O198"/>
  <c r="N198"/>
  <c r="M198"/>
  <c r="L198"/>
  <c r="K198"/>
  <c r="J198"/>
  <c r="I198"/>
  <c r="H198"/>
  <c r="G198"/>
  <c r="F198"/>
  <c r="S197"/>
  <c r="R197"/>
  <c r="Q197"/>
  <c r="P197"/>
  <c r="O197"/>
  <c r="N197"/>
  <c r="M197"/>
  <c r="L197"/>
  <c r="K197"/>
  <c r="J197"/>
  <c r="I197"/>
  <c r="H197"/>
  <c r="G197"/>
  <c r="F197"/>
  <c r="S196"/>
  <c r="R196"/>
  <c r="Q196"/>
  <c r="P196"/>
  <c r="O196"/>
  <c r="N196"/>
  <c r="M196"/>
  <c r="L196"/>
  <c r="K196"/>
  <c r="J196"/>
  <c r="I196"/>
  <c r="H196"/>
  <c r="G196"/>
  <c r="F196"/>
  <c r="S195"/>
  <c r="R195"/>
  <c r="Q195"/>
  <c r="O195"/>
  <c r="N195"/>
  <c r="M195"/>
  <c r="L195"/>
  <c r="K195"/>
  <c r="J195"/>
  <c r="I195"/>
  <c r="H195"/>
  <c r="G195"/>
  <c r="F195"/>
  <c r="S194"/>
  <c r="R194"/>
  <c r="Q194"/>
  <c r="P194"/>
  <c r="O194"/>
  <c r="N194"/>
  <c r="M194"/>
  <c r="L194"/>
  <c r="K194"/>
  <c r="J194"/>
  <c r="I194"/>
  <c r="H194"/>
  <c r="G194"/>
  <c r="F194"/>
  <c r="S193"/>
  <c r="R193"/>
  <c r="Q193"/>
  <c r="P193"/>
  <c r="O193"/>
  <c r="N193"/>
  <c r="M193"/>
  <c r="L193"/>
  <c r="K193"/>
  <c r="J193"/>
  <c r="I193"/>
  <c r="H193"/>
  <c r="G193"/>
  <c r="F193"/>
  <c r="S192"/>
  <c r="R192"/>
  <c r="Q192"/>
  <c r="O192"/>
  <c r="N192"/>
  <c r="M192"/>
  <c r="L192"/>
  <c r="K192"/>
  <c r="J192"/>
  <c r="I192"/>
  <c r="H192"/>
  <c r="G192"/>
  <c r="F192"/>
  <c r="S191"/>
  <c r="R191"/>
  <c r="Q191"/>
  <c r="P191"/>
  <c r="O191"/>
  <c r="N191"/>
  <c r="M191"/>
  <c r="L191"/>
  <c r="K191"/>
  <c r="J191"/>
  <c r="I191"/>
  <c r="H191"/>
  <c r="G191"/>
  <c r="F191"/>
  <c r="S190"/>
  <c r="R190"/>
  <c r="Q190"/>
  <c r="P190"/>
  <c r="O190"/>
  <c r="N190"/>
  <c r="M190"/>
  <c r="L190"/>
  <c r="K190"/>
  <c r="J190"/>
  <c r="I190"/>
  <c r="H190"/>
  <c r="G190"/>
  <c r="F190"/>
  <c r="S189"/>
  <c r="R189"/>
  <c r="Q189"/>
  <c r="P189"/>
  <c r="O189"/>
  <c r="N189"/>
  <c r="M189"/>
  <c r="L189"/>
  <c r="J189"/>
  <c r="I189"/>
  <c r="H189"/>
  <c r="G189"/>
  <c r="F189"/>
  <c r="S188"/>
  <c r="R188"/>
  <c r="Q188"/>
  <c r="P188"/>
  <c r="O188"/>
  <c r="N188"/>
  <c r="M188"/>
  <c r="L188"/>
  <c r="K188"/>
  <c r="J188"/>
  <c r="I188"/>
  <c r="H188"/>
  <c r="G188"/>
  <c r="F188"/>
  <c r="S187"/>
  <c r="R187"/>
  <c r="Q187"/>
  <c r="P187"/>
  <c r="O187"/>
  <c r="N187"/>
  <c r="M187"/>
  <c r="L187"/>
  <c r="K187"/>
  <c r="J187"/>
  <c r="I187"/>
  <c r="H187"/>
  <c r="G187"/>
  <c r="F187"/>
  <c r="S186"/>
  <c r="R186"/>
  <c r="Q186"/>
  <c r="P186"/>
  <c r="O186"/>
  <c r="N186"/>
  <c r="M186"/>
  <c r="L186"/>
  <c r="K186"/>
  <c r="J186"/>
  <c r="I186"/>
  <c r="H186"/>
  <c r="G186"/>
  <c r="F186"/>
  <c r="S185"/>
  <c r="R185"/>
  <c r="Q185"/>
  <c r="O185"/>
  <c r="N185"/>
  <c r="M185"/>
  <c r="L185"/>
  <c r="K185"/>
  <c r="J185"/>
  <c r="I185"/>
  <c r="H185"/>
  <c r="G185"/>
  <c r="F185"/>
  <c r="S184"/>
  <c r="Q184"/>
  <c r="O184"/>
  <c r="M184"/>
  <c r="L184"/>
  <c r="K184"/>
  <c r="J184"/>
  <c r="I184"/>
  <c r="H184"/>
  <c r="G184"/>
  <c r="F184"/>
  <c r="S183"/>
  <c r="R183"/>
  <c r="Q183"/>
  <c r="P183"/>
  <c r="O183"/>
  <c r="N183"/>
  <c r="M183"/>
  <c r="L183"/>
  <c r="K183"/>
  <c r="J183"/>
  <c r="I183"/>
  <c r="H183"/>
  <c r="G183"/>
  <c r="F183"/>
  <c r="S182"/>
  <c r="R182"/>
  <c r="Q182"/>
  <c r="P182"/>
  <c r="O182"/>
  <c r="N182"/>
  <c r="M182"/>
  <c r="L182"/>
  <c r="K182"/>
  <c r="J182"/>
  <c r="I182"/>
  <c r="H182"/>
  <c r="G182"/>
  <c r="F182"/>
  <c r="S181"/>
  <c r="R181"/>
  <c r="Q181"/>
  <c r="O181"/>
  <c r="N181"/>
  <c r="M181"/>
  <c r="L181"/>
  <c r="K181"/>
  <c r="J181"/>
  <c r="I181"/>
  <c r="H181"/>
  <c r="G181"/>
  <c r="F181"/>
  <c r="S180"/>
  <c r="R180"/>
  <c r="Q180"/>
  <c r="O180"/>
  <c r="N180"/>
  <c r="M180"/>
  <c r="L180"/>
  <c r="K180"/>
  <c r="J180"/>
  <c r="I180"/>
  <c r="H180"/>
  <c r="G180"/>
  <c r="F180"/>
  <c r="S179"/>
  <c r="R179"/>
  <c r="Q179"/>
  <c r="P179"/>
  <c r="O179"/>
  <c r="N179"/>
  <c r="M179"/>
  <c r="L179"/>
  <c r="K179"/>
  <c r="J179"/>
  <c r="I179"/>
  <c r="H179"/>
  <c r="G179"/>
  <c r="F179"/>
  <c r="S178"/>
  <c r="R178"/>
  <c r="Q178"/>
  <c r="P178"/>
  <c r="O178"/>
  <c r="N178"/>
  <c r="M178"/>
  <c r="L178"/>
  <c r="K178"/>
  <c r="J178"/>
  <c r="I178"/>
  <c r="H178"/>
  <c r="G178"/>
  <c r="F178"/>
  <c r="S177"/>
  <c r="R177"/>
  <c r="Q177"/>
  <c r="P177"/>
  <c r="O177"/>
  <c r="N177"/>
  <c r="M177"/>
  <c r="L177"/>
  <c r="K177"/>
  <c r="J177"/>
  <c r="I177"/>
  <c r="H177"/>
  <c r="G177"/>
  <c r="F177"/>
  <c r="S176"/>
  <c r="R176"/>
  <c r="Q176"/>
  <c r="P176"/>
  <c r="O176"/>
  <c r="N176"/>
  <c r="M176"/>
  <c r="L176"/>
  <c r="K176"/>
  <c r="J176"/>
  <c r="I176"/>
  <c r="H176"/>
  <c r="G176"/>
  <c r="F176"/>
  <c r="S175"/>
  <c r="R175"/>
  <c r="Q175"/>
  <c r="P175"/>
  <c r="O175"/>
  <c r="N175"/>
  <c r="M175"/>
  <c r="L175"/>
  <c r="K175"/>
  <c r="J175"/>
  <c r="I175"/>
  <c r="H175"/>
  <c r="G175"/>
  <c r="F175"/>
  <c r="S174"/>
  <c r="R174"/>
  <c r="Q174"/>
  <c r="P174"/>
  <c r="O174"/>
  <c r="N174"/>
  <c r="M174"/>
  <c r="L174"/>
  <c r="K174"/>
  <c r="J174"/>
  <c r="I174"/>
  <c r="H174"/>
  <c r="F174"/>
  <c r="S173"/>
  <c r="R173"/>
  <c r="Q173"/>
  <c r="P173"/>
  <c r="O173"/>
  <c r="N173"/>
  <c r="M173"/>
  <c r="L173"/>
  <c r="K173"/>
  <c r="J173"/>
  <c r="I173"/>
  <c r="H173"/>
  <c r="G173"/>
  <c r="F173"/>
  <c r="S172"/>
  <c r="R172"/>
  <c r="Q172"/>
  <c r="P172"/>
  <c r="O172"/>
  <c r="N172"/>
  <c r="M172"/>
  <c r="L172"/>
  <c r="K172"/>
  <c r="J172"/>
  <c r="I172"/>
  <c r="H172"/>
  <c r="G172"/>
  <c r="F172"/>
  <c r="S171"/>
  <c r="R171"/>
  <c r="Q171"/>
  <c r="P171"/>
  <c r="O171"/>
  <c r="N171"/>
  <c r="M171"/>
  <c r="L171"/>
  <c r="K171"/>
  <c r="J171"/>
  <c r="I171"/>
  <c r="H171"/>
  <c r="G171"/>
  <c r="F171"/>
  <c r="S170"/>
  <c r="R170"/>
  <c r="Q170"/>
  <c r="P170"/>
  <c r="O170"/>
  <c r="N170"/>
  <c r="M170"/>
  <c r="L170"/>
  <c r="K170"/>
  <c r="J170"/>
  <c r="I170"/>
  <c r="H170"/>
  <c r="G170"/>
  <c r="F170"/>
  <c r="S169"/>
  <c r="R169"/>
  <c r="Q169"/>
  <c r="P169"/>
  <c r="O169"/>
  <c r="N169"/>
  <c r="M169"/>
  <c r="L169"/>
  <c r="K169"/>
  <c r="J169"/>
  <c r="I169"/>
  <c r="H169"/>
  <c r="G169"/>
  <c r="F169"/>
  <c r="S168"/>
  <c r="R168"/>
  <c r="Q168"/>
  <c r="P168"/>
  <c r="O168"/>
  <c r="N168"/>
  <c r="M168"/>
  <c r="L168"/>
  <c r="K168"/>
  <c r="J168"/>
  <c r="I168"/>
  <c r="H168"/>
  <c r="G168"/>
  <c r="F168"/>
  <c r="S167"/>
  <c r="R167"/>
  <c r="Q167"/>
  <c r="P167"/>
  <c r="O167"/>
  <c r="N167"/>
  <c r="M167"/>
  <c r="L167"/>
  <c r="K167"/>
  <c r="J167"/>
  <c r="I167"/>
  <c r="H167"/>
  <c r="G167"/>
  <c r="F167"/>
  <c r="S166"/>
  <c r="R166"/>
  <c r="Q166"/>
  <c r="P166"/>
  <c r="O166"/>
  <c r="N166"/>
  <c r="M166"/>
  <c r="L166"/>
  <c r="K166"/>
  <c r="J166"/>
  <c r="I166"/>
  <c r="H166"/>
  <c r="G166"/>
  <c r="F166"/>
  <c r="S165"/>
  <c r="R165"/>
  <c r="Q165"/>
  <c r="P165"/>
  <c r="O165"/>
  <c r="N165"/>
  <c r="M165"/>
  <c r="L165"/>
  <c r="K165"/>
  <c r="J165"/>
  <c r="I165"/>
  <c r="H165"/>
  <c r="G165"/>
  <c r="F165"/>
  <c r="S164"/>
  <c r="R164"/>
  <c r="Q164"/>
  <c r="P164"/>
  <c r="O164"/>
  <c r="N164"/>
  <c r="L164"/>
  <c r="K164"/>
  <c r="J164"/>
  <c r="I164"/>
  <c r="H164"/>
  <c r="G164"/>
  <c r="F164"/>
  <c r="S163"/>
  <c r="R163"/>
  <c r="Q163"/>
  <c r="P163"/>
  <c r="O163"/>
  <c r="N163"/>
  <c r="M163"/>
  <c r="L163"/>
  <c r="K163"/>
  <c r="J163"/>
  <c r="I163"/>
  <c r="H163"/>
  <c r="G163"/>
  <c r="F163"/>
  <c r="S162"/>
  <c r="R162"/>
  <c r="Q162"/>
  <c r="P162"/>
  <c r="O162"/>
  <c r="N162"/>
  <c r="M162"/>
  <c r="L162"/>
  <c r="K162"/>
  <c r="J162"/>
  <c r="I162"/>
  <c r="H162"/>
  <c r="G162"/>
  <c r="F162"/>
  <c r="S161"/>
  <c r="R161"/>
  <c r="Q161"/>
  <c r="P161"/>
  <c r="O161"/>
  <c r="N161"/>
  <c r="M161"/>
  <c r="L161"/>
  <c r="K161"/>
  <c r="J161"/>
  <c r="I161"/>
  <c r="H161"/>
  <c r="G161"/>
  <c r="F161"/>
  <c r="S160"/>
  <c r="Q160"/>
  <c r="P160"/>
  <c r="O160"/>
  <c r="N160"/>
  <c r="M160"/>
  <c r="L160"/>
  <c r="K160"/>
  <c r="J160"/>
  <c r="I160"/>
  <c r="H160"/>
  <c r="G160"/>
  <c r="F160"/>
  <c r="S159"/>
  <c r="R159"/>
  <c r="Q159"/>
  <c r="P159"/>
  <c r="O159"/>
  <c r="N159"/>
  <c r="M159"/>
  <c r="L159"/>
  <c r="K159"/>
  <c r="J159"/>
  <c r="I159"/>
  <c r="H159"/>
  <c r="G159"/>
  <c r="F159"/>
  <c r="S157"/>
  <c r="R157"/>
  <c r="Q157"/>
  <c r="O157"/>
  <c r="N157"/>
  <c r="M157"/>
  <c r="L157"/>
  <c r="K157"/>
  <c r="J157"/>
  <c r="I157"/>
  <c r="H157"/>
  <c r="G157"/>
  <c r="F157"/>
  <c r="S156"/>
  <c r="R156"/>
  <c r="Q156"/>
  <c r="P156"/>
  <c r="O156"/>
  <c r="N156"/>
  <c r="M156"/>
  <c r="L156"/>
  <c r="K156"/>
  <c r="J156"/>
  <c r="I156"/>
  <c r="H156"/>
  <c r="G156"/>
  <c r="F156"/>
  <c r="S155"/>
  <c r="R155"/>
  <c r="Q155"/>
  <c r="P155"/>
  <c r="O155"/>
  <c r="N155"/>
  <c r="M155"/>
  <c r="L155"/>
  <c r="K155"/>
  <c r="J155"/>
  <c r="I155"/>
  <c r="H155"/>
  <c r="G155"/>
  <c r="F155"/>
  <c r="S154"/>
  <c r="Q154"/>
  <c r="P154"/>
  <c r="O154"/>
  <c r="N154"/>
  <c r="M154"/>
  <c r="L154"/>
  <c r="K154"/>
  <c r="J154"/>
  <c r="I154"/>
  <c r="H154"/>
  <c r="G154"/>
  <c r="F154"/>
  <c r="S153"/>
  <c r="R153"/>
  <c r="Q153"/>
  <c r="P153"/>
  <c r="O153"/>
  <c r="N153"/>
  <c r="M153"/>
  <c r="L153"/>
  <c r="K153"/>
  <c r="J153"/>
  <c r="I153"/>
  <c r="H153"/>
  <c r="G153"/>
  <c r="F153"/>
  <c r="S152"/>
  <c r="R152"/>
  <c r="Q152"/>
  <c r="P152"/>
  <c r="O152"/>
  <c r="N152"/>
  <c r="M152"/>
  <c r="L152"/>
  <c r="K152"/>
  <c r="J152"/>
  <c r="I152"/>
  <c r="H152"/>
  <c r="G152"/>
  <c r="F152"/>
  <c r="S151"/>
  <c r="R151"/>
  <c r="Q151"/>
  <c r="P151"/>
  <c r="O151"/>
  <c r="N151"/>
  <c r="M151"/>
  <c r="L151"/>
  <c r="K151"/>
  <c r="J151"/>
  <c r="I151"/>
  <c r="H151"/>
  <c r="G151"/>
  <c r="F151"/>
  <c r="S150"/>
  <c r="R150"/>
  <c r="Q150"/>
  <c r="P150"/>
  <c r="O150"/>
  <c r="N150"/>
  <c r="M150"/>
  <c r="L150"/>
  <c r="K150"/>
  <c r="J150"/>
  <c r="I150"/>
  <c r="H150"/>
  <c r="G150"/>
  <c r="F150"/>
  <c r="S149"/>
  <c r="R149"/>
  <c r="Q149"/>
  <c r="P149"/>
  <c r="O149"/>
  <c r="N149"/>
  <c r="M149"/>
  <c r="L149"/>
  <c r="K149"/>
  <c r="J149"/>
  <c r="I149"/>
  <c r="H149"/>
  <c r="G149"/>
  <c r="F149"/>
  <c r="S148"/>
  <c r="Q148"/>
  <c r="O148"/>
  <c r="N148"/>
  <c r="M148"/>
  <c r="L148"/>
  <c r="K148"/>
  <c r="J148"/>
  <c r="I148"/>
  <c r="H148"/>
  <c r="G148"/>
  <c r="F148"/>
  <c r="S147"/>
  <c r="R147"/>
  <c r="Q147"/>
  <c r="P147"/>
  <c r="O147"/>
  <c r="N147"/>
  <c r="M147"/>
  <c r="L147"/>
  <c r="K147"/>
  <c r="J147"/>
  <c r="I147"/>
  <c r="H147"/>
  <c r="G147"/>
  <c r="F147"/>
  <c r="S146"/>
  <c r="R146"/>
  <c r="Q146"/>
  <c r="P146"/>
  <c r="O146"/>
  <c r="N146"/>
  <c r="M146"/>
  <c r="L146"/>
  <c r="K146"/>
  <c r="J146"/>
  <c r="I146"/>
  <c r="H146"/>
  <c r="G146"/>
  <c r="F146"/>
  <c r="S145"/>
  <c r="R145"/>
  <c r="Q145"/>
  <c r="P145"/>
  <c r="O145"/>
  <c r="N145"/>
  <c r="M145"/>
  <c r="L145"/>
  <c r="K145"/>
  <c r="J145"/>
  <c r="I145"/>
  <c r="H145"/>
  <c r="G145"/>
  <c r="F145"/>
  <c r="S144"/>
  <c r="R144"/>
  <c r="Q144"/>
  <c r="P144"/>
  <c r="O144"/>
  <c r="N144"/>
  <c r="M144"/>
  <c r="L144"/>
  <c r="K144"/>
  <c r="J144"/>
  <c r="I144"/>
  <c r="H144"/>
  <c r="G144"/>
  <c r="F144"/>
  <c r="S143"/>
  <c r="R143"/>
  <c r="Q143"/>
  <c r="P143"/>
  <c r="O143"/>
  <c r="N143"/>
  <c r="M143"/>
  <c r="L143"/>
  <c r="K143"/>
  <c r="J143"/>
  <c r="I143"/>
  <c r="H143"/>
  <c r="G143"/>
  <c r="F143"/>
  <c r="S142"/>
  <c r="R142"/>
  <c r="Q142"/>
  <c r="O142"/>
  <c r="N142"/>
  <c r="M142"/>
  <c r="L142"/>
  <c r="K142"/>
  <c r="J142"/>
  <c r="I142"/>
  <c r="H142"/>
  <c r="G142"/>
  <c r="F142"/>
  <c r="S141"/>
  <c r="R141"/>
  <c r="Q141"/>
  <c r="P141"/>
  <c r="O141"/>
  <c r="N141"/>
  <c r="M141"/>
  <c r="L141"/>
  <c r="K141"/>
  <c r="J141"/>
  <c r="I141"/>
  <c r="H141"/>
  <c r="G141"/>
  <c r="F141"/>
  <c r="S140"/>
  <c r="R140"/>
  <c r="Q140"/>
  <c r="P140"/>
  <c r="O140"/>
  <c r="N140"/>
  <c r="M140"/>
  <c r="L140"/>
  <c r="K140"/>
  <c r="J140"/>
  <c r="I140"/>
  <c r="H140"/>
  <c r="G140"/>
  <c r="F140"/>
  <c r="S139"/>
  <c r="R139"/>
  <c r="Q139"/>
  <c r="P139"/>
  <c r="O139"/>
  <c r="M139"/>
  <c r="L139"/>
  <c r="K139"/>
  <c r="J139"/>
  <c r="I139"/>
  <c r="H139"/>
  <c r="G139"/>
  <c r="F139"/>
  <c r="S138"/>
  <c r="R138"/>
  <c r="Q138"/>
  <c r="P138"/>
  <c r="O138"/>
  <c r="N138"/>
  <c r="M138"/>
  <c r="L138"/>
  <c r="K138"/>
  <c r="J138"/>
  <c r="I138"/>
  <c r="H138"/>
  <c r="G138"/>
  <c r="F138"/>
  <c r="S137"/>
  <c r="R137"/>
  <c r="Q137"/>
  <c r="P137"/>
  <c r="O137"/>
  <c r="N137"/>
  <c r="M137"/>
  <c r="L137"/>
  <c r="K137"/>
  <c r="J137"/>
  <c r="I137"/>
  <c r="H137"/>
  <c r="G137"/>
  <c r="F137"/>
  <c r="S136"/>
  <c r="R136"/>
  <c r="P136"/>
  <c r="O136"/>
  <c r="N136"/>
  <c r="M136"/>
  <c r="L136"/>
  <c r="K136"/>
  <c r="J136"/>
  <c r="I136"/>
  <c r="H136"/>
  <c r="G136"/>
  <c r="F136"/>
  <c r="S135"/>
  <c r="R135"/>
  <c r="Q135"/>
  <c r="P135"/>
  <c r="O135"/>
  <c r="N135"/>
  <c r="M135"/>
  <c r="L135"/>
  <c r="K135"/>
  <c r="J135"/>
  <c r="I135"/>
  <c r="H135"/>
  <c r="G135"/>
  <c r="F135"/>
  <c r="S133"/>
  <c r="R133"/>
  <c r="Q133"/>
  <c r="P133"/>
  <c r="O133"/>
  <c r="N133"/>
  <c r="M133"/>
  <c r="L133"/>
  <c r="K133"/>
  <c r="J133"/>
  <c r="I133"/>
  <c r="H133"/>
  <c r="G133"/>
  <c r="F133"/>
  <c r="S132"/>
  <c r="R132"/>
  <c r="Q132"/>
  <c r="P132"/>
  <c r="O132"/>
  <c r="N132"/>
  <c r="M132"/>
  <c r="L132"/>
  <c r="K132"/>
  <c r="J132"/>
  <c r="I132"/>
  <c r="H132"/>
  <c r="G132"/>
  <c r="F132"/>
  <c r="S131"/>
  <c r="R131"/>
  <c r="Q131"/>
  <c r="P131"/>
  <c r="O131"/>
  <c r="N131"/>
  <c r="M131"/>
  <c r="L131"/>
  <c r="K131"/>
  <c r="J131"/>
  <c r="I131"/>
  <c r="H131"/>
  <c r="G131"/>
  <c r="F131"/>
  <c r="U130"/>
  <c r="S130"/>
  <c r="R130"/>
  <c r="Q130"/>
  <c r="P130"/>
  <c r="O130"/>
  <c r="N130"/>
  <c r="M130"/>
  <c r="L130"/>
  <c r="K130"/>
  <c r="J130"/>
  <c r="I130"/>
  <c r="H130"/>
  <c r="G130"/>
  <c r="F130"/>
  <c r="U129"/>
  <c r="S129"/>
  <c r="R129"/>
  <c r="Q129"/>
  <c r="P129"/>
  <c r="O129"/>
  <c r="N129"/>
  <c r="M129"/>
  <c r="L129"/>
  <c r="K129"/>
  <c r="J129"/>
  <c r="I129"/>
  <c r="H129"/>
  <c r="G129"/>
  <c r="F129"/>
  <c r="U128"/>
  <c r="S128"/>
  <c r="R128"/>
  <c r="Q128"/>
  <c r="P128"/>
  <c r="O128"/>
  <c r="N128"/>
  <c r="M128"/>
  <c r="L128"/>
  <c r="K128"/>
  <c r="J128"/>
  <c r="I128"/>
  <c r="H128"/>
  <c r="G128"/>
  <c r="F128"/>
  <c r="U127"/>
  <c r="S127"/>
  <c r="R127"/>
  <c r="Q127"/>
  <c r="P127"/>
  <c r="O127"/>
  <c r="N127"/>
  <c r="M127"/>
  <c r="L127"/>
  <c r="K127"/>
  <c r="J127"/>
  <c r="I127"/>
  <c r="H127"/>
  <c r="G127"/>
  <c r="F127"/>
  <c r="U126"/>
  <c r="S126"/>
  <c r="R126"/>
  <c r="Q126"/>
  <c r="P126"/>
  <c r="O126"/>
  <c r="N126"/>
  <c r="M126"/>
  <c r="L126"/>
  <c r="K126"/>
  <c r="J126"/>
  <c r="I126"/>
  <c r="H126"/>
  <c r="G126"/>
  <c r="F126"/>
  <c r="U125"/>
  <c r="S125"/>
  <c r="R125"/>
  <c r="Q125"/>
  <c r="P125"/>
  <c r="O125"/>
  <c r="N125"/>
  <c r="M125"/>
  <c r="L125"/>
  <c r="K125"/>
  <c r="J125"/>
  <c r="I125"/>
  <c r="H125"/>
  <c r="G125"/>
  <c r="F125"/>
  <c r="U124"/>
  <c r="S124"/>
  <c r="R124"/>
  <c r="Q124"/>
  <c r="P124"/>
  <c r="O124"/>
  <c r="N124"/>
  <c r="M124"/>
  <c r="L124"/>
  <c r="K124"/>
  <c r="J124"/>
  <c r="I124"/>
  <c r="H124"/>
  <c r="G124"/>
  <c r="F124"/>
  <c r="U123"/>
  <c r="S123"/>
  <c r="R123"/>
  <c r="Q123"/>
  <c r="P123"/>
  <c r="O123"/>
  <c r="N123"/>
  <c r="M123"/>
  <c r="L123"/>
  <c r="K123"/>
  <c r="J123"/>
  <c r="I123"/>
  <c r="H123"/>
  <c r="G123"/>
  <c r="F123"/>
  <c r="U122"/>
  <c r="S122"/>
  <c r="R122"/>
  <c r="Q122"/>
  <c r="P122"/>
  <c r="O122"/>
  <c r="N122"/>
  <c r="M122"/>
  <c r="L122"/>
  <c r="K122"/>
  <c r="J122"/>
  <c r="I122"/>
  <c r="H122"/>
  <c r="G122"/>
  <c r="F122"/>
  <c r="U121"/>
  <c r="S121"/>
  <c r="R121"/>
  <c r="Q121"/>
  <c r="P121"/>
  <c r="O121"/>
  <c r="N121"/>
  <c r="M121"/>
  <c r="L121"/>
  <c r="K121"/>
  <c r="J121"/>
  <c r="I121"/>
  <c r="H121"/>
  <c r="G121"/>
  <c r="F121"/>
  <c r="U120"/>
  <c r="S120"/>
  <c r="R120"/>
  <c r="Q120"/>
  <c r="P120"/>
  <c r="O120"/>
  <c r="N120"/>
  <c r="M120"/>
  <c r="L120"/>
  <c r="K120"/>
  <c r="J120"/>
  <c r="I120"/>
  <c r="H120"/>
  <c r="G120"/>
  <c r="F120"/>
  <c r="U119"/>
  <c r="S119"/>
  <c r="R119"/>
  <c r="Q119"/>
  <c r="P119"/>
  <c r="O119"/>
  <c r="N119"/>
  <c r="M119"/>
  <c r="L119"/>
  <c r="K119"/>
  <c r="J119"/>
  <c r="I119"/>
  <c r="H119"/>
  <c r="G119"/>
  <c r="F119"/>
  <c r="U118"/>
  <c r="S118"/>
  <c r="R118"/>
  <c r="Q118"/>
  <c r="P118"/>
  <c r="O118"/>
  <c r="N118"/>
  <c r="M118"/>
  <c r="L118"/>
  <c r="K118"/>
  <c r="J118"/>
  <c r="I118"/>
  <c r="H118"/>
  <c r="G118"/>
  <c r="F118"/>
  <c r="S117"/>
  <c r="R117"/>
  <c r="Q117"/>
  <c r="P117"/>
  <c r="O117"/>
  <c r="N117"/>
  <c r="M117"/>
  <c r="L117"/>
  <c r="K117"/>
  <c r="J117"/>
  <c r="I117"/>
  <c r="H117"/>
  <c r="G117"/>
  <c r="F117"/>
  <c r="U116"/>
  <c r="S116"/>
  <c r="R116"/>
  <c r="Q116"/>
  <c r="P116"/>
  <c r="O116"/>
  <c r="N116"/>
  <c r="M116"/>
  <c r="L116"/>
  <c r="K116"/>
  <c r="J116"/>
  <c r="I116"/>
  <c r="H116"/>
  <c r="G116"/>
  <c r="F116"/>
  <c r="U115"/>
  <c r="S115"/>
  <c r="R115"/>
  <c r="Q115"/>
  <c r="P115"/>
  <c r="O115"/>
  <c r="N115"/>
  <c r="M115"/>
  <c r="L115"/>
  <c r="K115"/>
  <c r="J115"/>
  <c r="I115"/>
  <c r="H115"/>
  <c r="G115"/>
  <c r="F115"/>
  <c r="S114"/>
  <c r="R114"/>
  <c r="Q114"/>
  <c r="P114"/>
  <c r="O114"/>
  <c r="N114"/>
  <c r="M114"/>
  <c r="L114"/>
  <c r="K114"/>
  <c r="J114"/>
  <c r="I114"/>
  <c r="H114"/>
  <c r="G114"/>
  <c r="F114"/>
  <c r="U113"/>
  <c r="S113"/>
  <c r="R113"/>
  <c r="Q113"/>
  <c r="P113"/>
  <c r="O113"/>
  <c r="N113"/>
  <c r="M113"/>
  <c r="L113"/>
  <c r="K113"/>
  <c r="J113"/>
  <c r="I113"/>
  <c r="H113"/>
  <c r="G113"/>
  <c r="F113"/>
  <c r="U112"/>
  <c r="S112"/>
  <c r="R112"/>
  <c r="Q112"/>
  <c r="P112"/>
  <c r="O112"/>
  <c r="N112"/>
  <c r="M112"/>
  <c r="L112"/>
  <c r="K112"/>
  <c r="J112"/>
  <c r="I112"/>
  <c r="H112"/>
  <c r="G112"/>
  <c r="F112"/>
  <c r="U111"/>
  <c r="S111"/>
  <c r="R111"/>
  <c r="Q111"/>
  <c r="P111"/>
  <c r="O111"/>
  <c r="N111"/>
  <c r="M111"/>
  <c r="L111"/>
  <c r="K111"/>
  <c r="J111"/>
  <c r="I111"/>
  <c r="H111"/>
  <c r="G111"/>
  <c r="F111"/>
  <c r="U110"/>
  <c r="S110"/>
  <c r="R110"/>
  <c r="Q110"/>
  <c r="P110"/>
  <c r="O110"/>
  <c r="N110"/>
  <c r="M110"/>
  <c r="L110"/>
  <c r="K110"/>
  <c r="J110"/>
  <c r="I110"/>
  <c r="H110"/>
  <c r="G110"/>
  <c r="F110"/>
  <c r="U109"/>
  <c r="S109"/>
  <c r="R109"/>
  <c r="Q109"/>
  <c r="P109"/>
  <c r="O109"/>
  <c r="N109"/>
  <c r="M109"/>
  <c r="L109"/>
  <c r="K109"/>
  <c r="J109"/>
  <c r="I109"/>
  <c r="H109"/>
  <c r="G109"/>
  <c r="F109"/>
  <c r="U108"/>
  <c r="S108"/>
  <c r="R108"/>
  <c r="Q108"/>
  <c r="P108"/>
  <c r="O108"/>
  <c r="N108"/>
  <c r="M108"/>
  <c r="L108"/>
  <c r="K108"/>
  <c r="J108"/>
  <c r="I108"/>
  <c r="H108"/>
  <c r="G108"/>
  <c r="F108"/>
  <c r="U107"/>
  <c r="S107"/>
  <c r="R107"/>
  <c r="Q107"/>
  <c r="P107"/>
  <c r="O107"/>
  <c r="N107"/>
  <c r="M107"/>
  <c r="L107"/>
  <c r="K107"/>
  <c r="J107"/>
  <c r="I107"/>
  <c r="H107"/>
  <c r="G107"/>
  <c r="F107"/>
  <c r="S106"/>
  <c r="R106"/>
  <c r="Q106"/>
  <c r="P106"/>
  <c r="O106"/>
  <c r="N106"/>
  <c r="M106"/>
  <c r="L106"/>
  <c r="K106"/>
  <c r="J106"/>
  <c r="I106"/>
  <c r="H106"/>
  <c r="G106"/>
  <c r="F106"/>
  <c r="U105"/>
  <c r="S105"/>
  <c r="R105"/>
  <c r="Q105"/>
  <c r="P105"/>
  <c r="O105"/>
  <c r="N105"/>
  <c r="M105"/>
  <c r="L105"/>
  <c r="K105"/>
  <c r="J105"/>
  <c r="I105"/>
  <c r="H105"/>
  <c r="G105"/>
  <c r="F105"/>
  <c r="S104"/>
  <c r="R104"/>
  <c r="Q104"/>
  <c r="P104"/>
  <c r="O104"/>
  <c r="N104"/>
  <c r="M104"/>
  <c r="L104"/>
  <c r="K104"/>
  <c r="J104"/>
  <c r="I104"/>
  <c r="H104"/>
  <c r="G104"/>
  <c r="F104"/>
  <c r="U103"/>
  <c r="S103"/>
  <c r="R103"/>
  <c r="Q103"/>
  <c r="P103"/>
  <c r="O103"/>
  <c r="N103"/>
  <c r="M103"/>
  <c r="L103"/>
  <c r="K103"/>
  <c r="J103"/>
  <c r="I103"/>
  <c r="H103"/>
  <c r="G103"/>
  <c r="F103"/>
  <c r="U102"/>
  <c r="S102"/>
  <c r="R102"/>
  <c r="Q102"/>
  <c r="P102"/>
  <c r="O102"/>
  <c r="N102"/>
  <c r="M102"/>
  <c r="L102"/>
  <c r="K102"/>
  <c r="J102"/>
  <c r="I102"/>
  <c r="H102"/>
  <c r="G102"/>
  <c r="F102"/>
  <c r="U101"/>
  <c r="S101"/>
  <c r="R101"/>
  <c r="Q101"/>
  <c r="P101"/>
  <c r="O101"/>
  <c r="N101"/>
  <c r="M101"/>
  <c r="L101"/>
  <c r="K101"/>
  <c r="J101"/>
  <c r="I101"/>
  <c r="H101"/>
  <c r="G101"/>
  <c r="F101"/>
  <c r="U100"/>
  <c r="S100"/>
  <c r="R100"/>
  <c r="Q100"/>
  <c r="P100"/>
  <c r="O100"/>
  <c r="N100"/>
  <c r="M100"/>
  <c r="L100"/>
  <c r="K100"/>
  <c r="J100"/>
  <c r="I100"/>
  <c r="H100"/>
  <c r="G100"/>
  <c r="F100"/>
  <c r="U99"/>
  <c r="S99"/>
  <c r="R99"/>
  <c r="Q99"/>
  <c r="P99"/>
  <c r="O99"/>
  <c r="N99"/>
  <c r="M99"/>
  <c r="L99"/>
  <c r="K99"/>
  <c r="J99"/>
  <c r="I99"/>
  <c r="H99"/>
  <c r="G99"/>
  <c r="F99"/>
  <c r="U98"/>
  <c r="S98"/>
  <c r="R98"/>
  <c r="Q98"/>
  <c r="P98"/>
  <c r="O98"/>
  <c r="N98"/>
  <c r="M98"/>
  <c r="L98"/>
  <c r="K98"/>
  <c r="J98"/>
  <c r="I98"/>
  <c r="H98"/>
  <c r="G98"/>
  <c r="F98"/>
  <c r="U97"/>
  <c r="S97"/>
  <c r="R97"/>
  <c r="Q97"/>
  <c r="P97"/>
  <c r="O97"/>
  <c r="N97"/>
  <c r="M97"/>
  <c r="L97"/>
  <c r="K97"/>
  <c r="J97"/>
  <c r="I97"/>
  <c r="H97"/>
  <c r="G97"/>
  <c r="F97"/>
  <c r="U96"/>
  <c r="S96"/>
  <c r="R96"/>
  <c r="Q96"/>
  <c r="P96"/>
  <c r="O96"/>
  <c r="N96"/>
  <c r="M96"/>
  <c r="L96"/>
  <c r="K96"/>
  <c r="J96"/>
  <c r="I96"/>
  <c r="H96"/>
  <c r="G96"/>
  <c r="F96"/>
  <c r="U95"/>
  <c r="S95"/>
  <c r="R95"/>
  <c r="Q95"/>
  <c r="P95"/>
  <c r="O95"/>
  <c r="N95"/>
  <c r="M95"/>
  <c r="L95"/>
  <c r="K95"/>
  <c r="J95"/>
  <c r="I95"/>
  <c r="H95"/>
  <c r="G95"/>
  <c r="F95"/>
  <c r="U94"/>
  <c r="S94"/>
  <c r="R94"/>
  <c r="Q94"/>
  <c r="P94"/>
  <c r="O94"/>
  <c r="N94"/>
  <c r="M94"/>
  <c r="L94"/>
  <c r="K94"/>
  <c r="J94"/>
  <c r="I94"/>
  <c r="H94"/>
  <c r="G94"/>
  <c r="F94"/>
  <c r="S92"/>
  <c r="R92"/>
  <c r="Q92"/>
  <c r="P92"/>
  <c r="O92"/>
  <c r="N92"/>
  <c r="M92"/>
  <c r="L92"/>
  <c r="K92"/>
  <c r="J92"/>
  <c r="I92"/>
  <c r="H92"/>
  <c r="G92"/>
  <c r="F92"/>
  <c r="S91"/>
  <c r="R91"/>
  <c r="Q91"/>
  <c r="P91"/>
  <c r="O91"/>
  <c r="N91"/>
  <c r="M91"/>
  <c r="L91"/>
  <c r="K91"/>
  <c r="J91"/>
  <c r="I91"/>
  <c r="H91"/>
  <c r="G91"/>
  <c r="F91"/>
  <c r="U90"/>
  <c r="S90"/>
  <c r="R90"/>
  <c r="Q90"/>
  <c r="P90"/>
  <c r="O90"/>
  <c r="N90"/>
  <c r="M90"/>
  <c r="L90"/>
  <c r="K90"/>
  <c r="J90"/>
  <c r="I90"/>
  <c r="H90"/>
  <c r="G90"/>
  <c r="F90"/>
  <c r="S89"/>
  <c r="R89"/>
  <c r="Q89"/>
  <c r="P89"/>
  <c r="O89"/>
  <c r="M89"/>
  <c r="L89"/>
  <c r="I89"/>
  <c r="H89"/>
  <c r="G89"/>
  <c r="F89"/>
  <c r="S88"/>
  <c r="R88"/>
  <c r="Q88"/>
  <c r="P88"/>
  <c r="O88"/>
  <c r="N88"/>
  <c r="M88"/>
  <c r="L88"/>
  <c r="K88"/>
  <c r="J88"/>
  <c r="I88"/>
  <c r="H88"/>
  <c r="G88"/>
  <c r="F88"/>
  <c r="U87"/>
  <c r="S87"/>
  <c r="R87"/>
  <c r="Q87"/>
  <c r="P87"/>
  <c r="O87"/>
  <c r="N87"/>
  <c r="M87"/>
  <c r="L87"/>
  <c r="K87"/>
  <c r="J87"/>
  <c r="I87"/>
  <c r="H87"/>
  <c r="G87"/>
  <c r="F87"/>
  <c r="U86"/>
  <c r="S86"/>
  <c r="R86"/>
  <c r="Q86"/>
  <c r="P86"/>
  <c r="O86"/>
  <c r="N86"/>
  <c r="M86"/>
  <c r="L86"/>
  <c r="K86"/>
  <c r="J86"/>
  <c r="I86"/>
  <c r="H86"/>
  <c r="G86"/>
  <c r="F86"/>
  <c r="S85"/>
  <c r="R85"/>
  <c r="Q85"/>
  <c r="P85"/>
  <c r="O85"/>
  <c r="N85"/>
  <c r="M85"/>
  <c r="L85"/>
  <c r="K85"/>
  <c r="J85"/>
  <c r="I85"/>
  <c r="H85"/>
  <c r="G85"/>
  <c r="F85"/>
  <c r="U84"/>
  <c r="S84"/>
  <c r="R84"/>
  <c r="Q84"/>
  <c r="P84"/>
  <c r="O84"/>
  <c r="N84"/>
  <c r="M84"/>
  <c r="L84"/>
  <c r="K84"/>
  <c r="J84"/>
  <c r="I84"/>
  <c r="H84"/>
  <c r="G84"/>
  <c r="F84"/>
  <c r="U83"/>
  <c r="S83"/>
  <c r="R83"/>
  <c r="Q83"/>
  <c r="P83"/>
  <c r="O83"/>
  <c r="N83"/>
  <c r="M83"/>
  <c r="L83"/>
  <c r="K83"/>
  <c r="J83"/>
  <c r="I83"/>
  <c r="H83"/>
  <c r="G83"/>
  <c r="F83"/>
  <c r="U82"/>
  <c r="S82"/>
  <c r="R82"/>
  <c r="Q82"/>
  <c r="P82"/>
  <c r="O82"/>
  <c r="N82"/>
  <c r="M82"/>
  <c r="L82"/>
  <c r="K82"/>
  <c r="J82"/>
  <c r="I82"/>
  <c r="H82"/>
  <c r="G82"/>
  <c r="F82"/>
  <c r="U81"/>
  <c r="S81"/>
  <c r="R81"/>
  <c r="Q81"/>
  <c r="P81"/>
  <c r="O81"/>
  <c r="N81"/>
  <c r="M81"/>
  <c r="L81"/>
  <c r="K81"/>
  <c r="J81"/>
  <c r="I81"/>
  <c r="H81"/>
  <c r="G81"/>
  <c r="F81"/>
  <c r="U80"/>
  <c r="S80"/>
  <c r="R80"/>
  <c r="Q80"/>
  <c r="P80"/>
  <c r="O80"/>
  <c r="N80"/>
  <c r="M80"/>
  <c r="L80"/>
  <c r="K80"/>
  <c r="J80"/>
  <c r="I80"/>
  <c r="H80"/>
  <c r="G80"/>
  <c r="F80"/>
  <c r="U79"/>
  <c r="S79"/>
  <c r="R79"/>
  <c r="Q79"/>
  <c r="P79"/>
  <c r="O79"/>
  <c r="N79"/>
  <c r="M79"/>
  <c r="L79"/>
  <c r="K79"/>
  <c r="J79"/>
  <c r="I79"/>
  <c r="G79"/>
  <c r="F79"/>
  <c r="U78"/>
  <c r="S78"/>
  <c r="R78"/>
  <c r="Q78"/>
  <c r="P78"/>
  <c r="O78"/>
  <c r="N78"/>
  <c r="M78"/>
  <c r="L78"/>
  <c r="K78"/>
  <c r="J78"/>
  <c r="I78"/>
  <c r="H78"/>
  <c r="G78"/>
  <c r="F78"/>
  <c r="U77"/>
  <c r="S77"/>
  <c r="R77"/>
  <c r="Q77"/>
  <c r="P77"/>
  <c r="O77"/>
  <c r="N77"/>
  <c r="M77"/>
  <c r="L77"/>
  <c r="K77"/>
  <c r="J77"/>
  <c r="I77"/>
  <c r="H77"/>
  <c r="G77"/>
  <c r="F77"/>
  <c r="U76"/>
  <c r="S76"/>
  <c r="R76"/>
  <c r="Q76"/>
  <c r="P76"/>
  <c r="O76"/>
  <c r="N76"/>
  <c r="M76"/>
  <c r="L76"/>
  <c r="K76"/>
  <c r="J76"/>
  <c r="I76"/>
  <c r="H76"/>
  <c r="G76"/>
  <c r="F76"/>
  <c r="U75"/>
  <c r="S75"/>
  <c r="R75"/>
  <c r="Q75"/>
  <c r="P75"/>
  <c r="O75"/>
  <c r="N75"/>
  <c r="M75"/>
  <c r="L75"/>
  <c r="K75"/>
  <c r="J75"/>
  <c r="I75"/>
  <c r="H75"/>
  <c r="G75"/>
  <c r="F75"/>
  <c r="S74"/>
  <c r="R74"/>
  <c r="Q74"/>
  <c r="P74"/>
  <c r="O74"/>
  <c r="N74"/>
  <c r="M74"/>
  <c r="L74"/>
  <c r="K74"/>
  <c r="J74"/>
  <c r="I74"/>
  <c r="H74"/>
  <c r="G74"/>
  <c r="F74"/>
  <c r="S73"/>
  <c r="R73"/>
  <c r="Q73"/>
  <c r="P73"/>
  <c r="O73"/>
  <c r="N73"/>
  <c r="M73"/>
  <c r="L73"/>
  <c r="K73"/>
  <c r="J73"/>
  <c r="I73"/>
  <c r="H73"/>
  <c r="G73"/>
  <c r="F73"/>
  <c r="S72"/>
  <c r="R72"/>
  <c r="Q72"/>
  <c r="P72"/>
  <c r="O72"/>
  <c r="N72"/>
  <c r="M72"/>
  <c r="L72"/>
  <c r="K72"/>
  <c r="J72"/>
  <c r="I72"/>
  <c r="H72"/>
  <c r="G72"/>
  <c r="F72"/>
  <c r="S71"/>
  <c r="R71"/>
  <c r="Q71"/>
  <c r="P71"/>
  <c r="O71"/>
  <c r="N71"/>
  <c r="M71"/>
  <c r="L71"/>
  <c r="K71"/>
  <c r="J71"/>
  <c r="I71"/>
  <c r="H71"/>
  <c r="G71"/>
  <c r="F71"/>
  <c r="S70"/>
  <c r="R70"/>
  <c r="Q70"/>
  <c r="P70"/>
  <c r="O70"/>
  <c r="N70"/>
  <c r="M70"/>
  <c r="L70"/>
  <c r="K70"/>
  <c r="J70"/>
  <c r="I70"/>
  <c r="H70"/>
  <c r="G70"/>
  <c r="F70"/>
  <c r="R69"/>
  <c r="Q69"/>
  <c r="P69"/>
  <c r="O69"/>
  <c r="N69"/>
  <c r="M69"/>
  <c r="L69"/>
  <c r="K69"/>
  <c r="J69"/>
  <c r="I69"/>
  <c r="H69"/>
  <c r="G69"/>
  <c r="F69"/>
  <c r="S67"/>
  <c r="R67"/>
  <c r="Q67"/>
  <c r="P67"/>
  <c r="O67"/>
  <c r="N67"/>
  <c r="M67"/>
  <c r="L67"/>
  <c r="K67"/>
  <c r="J67"/>
  <c r="I67"/>
  <c r="H67"/>
  <c r="G67"/>
  <c r="F67"/>
  <c r="S66"/>
  <c r="R66"/>
  <c r="Q66"/>
  <c r="P66"/>
  <c r="O66"/>
  <c r="N66"/>
  <c r="M66"/>
  <c r="L66"/>
  <c r="K66"/>
  <c r="J66"/>
  <c r="I66"/>
  <c r="H66"/>
  <c r="G66"/>
  <c r="F66"/>
  <c r="S65"/>
  <c r="R65"/>
  <c r="Q65"/>
  <c r="P65"/>
  <c r="O65"/>
  <c r="N65"/>
  <c r="M65"/>
  <c r="L65"/>
  <c r="K65"/>
  <c r="J65"/>
  <c r="I65"/>
  <c r="H65"/>
  <c r="G65"/>
  <c r="F65"/>
  <c r="S64"/>
  <c r="R64"/>
  <c r="Q64"/>
  <c r="P64"/>
  <c r="O64"/>
  <c r="N64"/>
  <c r="M64"/>
  <c r="L64"/>
  <c r="K64"/>
  <c r="J64"/>
  <c r="I64"/>
  <c r="H64"/>
  <c r="G64"/>
  <c r="F64"/>
  <c r="S63"/>
  <c r="R63"/>
  <c r="Q63"/>
  <c r="P63"/>
  <c r="O63"/>
  <c r="N63"/>
  <c r="M63"/>
  <c r="L63"/>
  <c r="K63"/>
  <c r="J63"/>
  <c r="I63"/>
  <c r="H63"/>
  <c r="G63"/>
  <c r="F63"/>
  <c r="S62"/>
  <c r="R62"/>
  <c r="Q62"/>
  <c r="P62"/>
  <c r="O62"/>
  <c r="N62"/>
  <c r="L62"/>
  <c r="K62"/>
  <c r="J62"/>
  <c r="I62"/>
  <c r="H62"/>
  <c r="G62"/>
  <c r="F62"/>
  <c r="S61"/>
  <c r="R61"/>
  <c r="Q61"/>
  <c r="P61"/>
  <c r="O61"/>
  <c r="N61"/>
  <c r="M61"/>
  <c r="L61"/>
  <c r="K61"/>
  <c r="J61"/>
  <c r="I61"/>
  <c r="H61"/>
  <c r="G61"/>
  <c r="F61"/>
  <c r="S60"/>
  <c r="R60"/>
  <c r="Q60"/>
  <c r="P60"/>
  <c r="O60"/>
  <c r="N60"/>
  <c r="M60"/>
  <c r="L60"/>
  <c r="K60"/>
  <c r="J60"/>
  <c r="I60"/>
  <c r="H60"/>
  <c r="G60"/>
  <c r="F60"/>
  <c r="S59"/>
  <c r="R59"/>
  <c r="Q59"/>
  <c r="P59"/>
  <c r="O59"/>
  <c r="N59"/>
  <c r="M59"/>
  <c r="L59"/>
  <c r="K59"/>
  <c r="J59"/>
  <c r="I59"/>
  <c r="H59"/>
  <c r="G59"/>
  <c r="F59"/>
  <c r="S58"/>
  <c r="R58"/>
  <c r="Q58"/>
  <c r="P58"/>
  <c r="O58"/>
  <c r="N58"/>
  <c r="M58"/>
  <c r="L58"/>
  <c r="K58"/>
  <c r="J58"/>
  <c r="I58"/>
  <c r="H58"/>
  <c r="G58"/>
  <c r="F58"/>
  <c r="S57"/>
  <c r="R57"/>
  <c r="Q57"/>
  <c r="P57"/>
  <c r="O57"/>
  <c r="N57"/>
  <c r="M57"/>
  <c r="L57"/>
  <c r="K57"/>
  <c r="J57"/>
  <c r="I57"/>
  <c r="H57"/>
  <c r="G57"/>
  <c r="F57"/>
  <c r="S56"/>
  <c r="R56"/>
  <c r="Q56"/>
  <c r="P56"/>
  <c r="O56"/>
  <c r="N56"/>
  <c r="M56"/>
  <c r="L56"/>
  <c r="K56"/>
  <c r="J56"/>
  <c r="I56"/>
  <c r="H56"/>
  <c r="G56"/>
  <c r="F56"/>
  <c r="S55"/>
  <c r="R55"/>
  <c r="Q55"/>
  <c r="P55"/>
  <c r="O55"/>
  <c r="N55"/>
  <c r="M55"/>
  <c r="L55"/>
  <c r="K55"/>
  <c r="J55"/>
  <c r="I55"/>
  <c r="H55"/>
  <c r="G55"/>
  <c r="F55"/>
  <c r="S54"/>
  <c r="R54"/>
  <c r="Q54"/>
  <c r="P54"/>
  <c r="O54"/>
  <c r="N54"/>
  <c r="M54"/>
  <c r="L54"/>
  <c r="K54"/>
  <c r="J54"/>
  <c r="I54"/>
  <c r="H54"/>
  <c r="G54"/>
  <c r="F54"/>
  <c r="S53"/>
  <c r="R53"/>
  <c r="Q53"/>
  <c r="P53"/>
  <c r="O53"/>
  <c r="N53"/>
  <c r="M53"/>
  <c r="L53"/>
  <c r="K53"/>
  <c r="J53"/>
  <c r="I53"/>
  <c r="H53"/>
  <c r="G53"/>
  <c r="F53"/>
  <c r="S52"/>
  <c r="R52"/>
  <c r="Q52"/>
  <c r="P52"/>
  <c r="O52"/>
  <c r="N52"/>
  <c r="M52"/>
  <c r="L52"/>
  <c r="K52"/>
  <c r="J52"/>
  <c r="I52"/>
  <c r="H52"/>
  <c r="G52"/>
  <c r="F52"/>
  <c r="S51"/>
  <c r="R51"/>
  <c r="Q51"/>
  <c r="P51"/>
  <c r="O51"/>
  <c r="N51"/>
  <c r="M51"/>
  <c r="L51"/>
  <c r="K51"/>
  <c r="J51"/>
  <c r="I51"/>
  <c r="H51"/>
  <c r="G51"/>
  <c r="F51"/>
  <c r="S50"/>
  <c r="R50"/>
  <c r="Q50"/>
  <c r="P50"/>
  <c r="O50"/>
  <c r="N50"/>
  <c r="M50"/>
  <c r="L50"/>
  <c r="K50"/>
  <c r="J50"/>
  <c r="I50"/>
  <c r="H50"/>
  <c r="G50"/>
  <c r="F50"/>
  <c r="S49"/>
  <c r="R49"/>
  <c r="Q49"/>
  <c r="P49"/>
  <c r="O49"/>
  <c r="N49"/>
  <c r="M49"/>
  <c r="L49"/>
  <c r="K49"/>
  <c r="J49"/>
  <c r="I49"/>
  <c r="H49"/>
  <c r="G49"/>
  <c r="F49"/>
  <c r="S48"/>
  <c r="R48"/>
  <c r="Q48"/>
  <c r="P48"/>
  <c r="O48"/>
  <c r="N48"/>
  <c r="M48"/>
  <c r="L48"/>
  <c r="K48"/>
  <c r="J48"/>
  <c r="I48"/>
  <c r="H48"/>
  <c r="G48"/>
  <c r="F48"/>
  <c r="S47"/>
  <c r="R47"/>
  <c r="Q47"/>
  <c r="P47"/>
  <c r="O47"/>
  <c r="N47"/>
  <c r="M47"/>
  <c r="L47"/>
  <c r="K47"/>
  <c r="J47"/>
  <c r="I47"/>
  <c r="H47"/>
  <c r="G47"/>
  <c r="F47"/>
  <c r="S46"/>
  <c r="R46"/>
  <c r="Q46"/>
  <c r="P46"/>
  <c r="O46"/>
  <c r="N46"/>
  <c r="M46"/>
  <c r="L46"/>
  <c r="K46"/>
  <c r="J46"/>
  <c r="I46"/>
  <c r="H46"/>
  <c r="G46"/>
  <c r="F46"/>
  <c r="S45"/>
  <c r="R45"/>
  <c r="O45"/>
  <c r="N45"/>
  <c r="M45"/>
  <c r="L45"/>
  <c r="K45"/>
  <c r="J45"/>
  <c r="I45"/>
  <c r="H45"/>
  <c r="G45"/>
  <c r="F45"/>
  <c r="S44"/>
  <c r="R44"/>
  <c r="Q44"/>
  <c r="O44"/>
  <c r="M44"/>
  <c r="L44"/>
  <c r="K44"/>
  <c r="J44"/>
  <c r="I44"/>
  <c r="H44"/>
  <c r="G44"/>
  <c r="F44"/>
  <c r="S43"/>
  <c r="R43"/>
  <c r="Q43"/>
  <c r="P43"/>
  <c r="O43"/>
  <c r="N43"/>
  <c r="M43"/>
  <c r="L43"/>
  <c r="K43"/>
  <c r="J43"/>
  <c r="I43"/>
  <c r="H43"/>
  <c r="G43"/>
  <c r="F43"/>
  <c r="S42"/>
  <c r="R42"/>
  <c r="Q42"/>
  <c r="P42"/>
  <c r="O42"/>
  <c r="N42"/>
  <c r="M42"/>
  <c r="L42"/>
  <c r="K42"/>
  <c r="J42"/>
  <c r="I42"/>
  <c r="H42"/>
  <c r="G42"/>
  <c r="F42"/>
  <c r="S41"/>
  <c r="R41"/>
  <c r="Q41"/>
  <c r="P41"/>
  <c r="O41"/>
  <c r="N41"/>
  <c r="M41"/>
  <c r="L41"/>
  <c r="K41"/>
  <c r="J41"/>
  <c r="I41"/>
  <c r="H41"/>
  <c r="G41"/>
  <c r="F41"/>
  <c r="S40"/>
  <c r="R40"/>
  <c r="Q40"/>
  <c r="O40"/>
  <c r="N40"/>
  <c r="M40"/>
  <c r="L40"/>
  <c r="K40"/>
  <c r="J40"/>
  <c r="I40"/>
  <c r="H40"/>
  <c r="G40"/>
  <c r="F40"/>
  <c r="S39"/>
  <c r="R39"/>
  <c r="Q39"/>
  <c r="P39"/>
  <c r="O39"/>
  <c r="M39"/>
  <c r="L39"/>
  <c r="K39"/>
  <c r="J39"/>
  <c r="I39"/>
  <c r="H39"/>
  <c r="G39"/>
  <c r="F39"/>
  <c r="S38"/>
  <c r="R38"/>
  <c r="Q38"/>
  <c r="P38"/>
  <c r="O38"/>
  <c r="N38"/>
  <c r="M38"/>
  <c r="L38"/>
  <c r="K38"/>
  <c r="J38"/>
  <c r="I38"/>
  <c r="H38"/>
  <c r="G38"/>
  <c r="F38"/>
  <c r="S37"/>
  <c r="R37"/>
  <c r="Q37"/>
  <c r="P37"/>
  <c r="O37"/>
  <c r="M37"/>
  <c r="L37"/>
  <c r="K37"/>
  <c r="J37"/>
  <c r="I37"/>
  <c r="H37"/>
  <c r="G37"/>
  <c r="F37"/>
  <c r="S36"/>
  <c r="R36"/>
  <c r="Q36"/>
  <c r="P36"/>
  <c r="O36"/>
  <c r="N36"/>
  <c r="M36"/>
  <c r="L36"/>
  <c r="K36"/>
  <c r="J36"/>
  <c r="I36"/>
  <c r="H36"/>
  <c r="G36"/>
  <c r="F36"/>
  <c r="S35"/>
  <c r="R35"/>
  <c r="Q35"/>
  <c r="P35"/>
  <c r="O35"/>
  <c r="N35"/>
  <c r="M35"/>
  <c r="L35"/>
  <c r="K35"/>
  <c r="J35"/>
  <c r="I35"/>
  <c r="H35"/>
  <c r="G35"/>
  <c r="F35"/>
  <c r="S34"/>
  <c r="R34"/>
  <c r="Q34"/>
  <c r="P34"/>
  <c r="O34"/>
  <c r="N34"/>
  <c r="M34"/>
  <c r="L34"/>
  <c r="K34"/>
  <c r="J34"/>
  <c r="I34"/>
  <c r="H34"/>
  <c r="G34"/>
  <c r="F34"/>
  <c r="S33"/>
  <c r="R33"/>
  <c r="Q33"/>
  <c r="P33"/>
  <c r="O33"/>
  <c r="N33"/>
  <c r="M33"/>
  <c r="L33"/>
  <c r="K33"/>
  <c r="J33"/>
  <c r="I33"/>
  <c r="H33"/>
  <c r="G33"/>
  <c r="F33"/>
  <c r="S32"/>
  <c r="R32"/>
  <c r="Q32"/>
  <c r="P32"/>
  <c r="O32"/>
  <c r="N32"/>
  <c r="M32"/>
  <c r="L32"/>
  <c r="K32"/>
  <c r="J32"/>
  <c r="I32"/>
  <c r="H32"/>
  <c r="G32"/>
  <c r="F32"/>
  <c r="S31"/>
  <c r="R31"/>
  <c r="Q31"/>
  <c r="P31"/>
  <c r="O31"/>
  <c r="N31"/>
  <c r="M31"/>
  <c r="L31"/>
  <c r="K31"/>
  <c r="J31"/>
  <c r="I31"/>
  <c r="H31"/>
  <c r="G31"/>
  <c r="F31"/>
  <c r="S30"/>
  <c r="R30"/>
  <c r="Q30"/>
  <c r="P30"/>
  <c r="O30"/>
  <c r="M30"/>
  <c r="L30"/>
  <c r="K30"/>
  <c r="J30"/>
  <c r="I30"/>
  <c r="H30"/>
  <c r="G30"/>
  <c r="F30"/>
  <c r="S29"/>
  <c r="R29"/>
  <c r="Q29"/>
  <c r="O29"/>
  <c r="M29"/>
  <c r="L29"/>
  <c r="K29"/>
  <c r="J29"/>
  <c r="I29"/>
  <c r="H29"/>
  <c r="G29"/>
  <c r="F29"/>
  <c r="S28"/>
  <c r="R28"/>
  <c r="Q28"/>
  <c r="P28"/>
  <c r="M28"/>
  <c r="L28"/>
  <c r="K28"/>
  <c r="J28"/>
  <c r="I28"/>
  <c r="H28"/>
  <c r="G28"/>
  <c r="F28"/>
  <c r="S27"/>
  <c r="R27"/>
  <c r="Q27"/>
  <c r="O27"/>
  <c r="N27"/>
  <c r="M27"/>
  <c r="L27"/>
  <c r="K27"/>
  <c r="J27"/>
  <c r="H27"/>
  <c r="G27"/>
  <c r="F27"/>
  <c r="S26"/>
  <c r="R26"/>
  <c r="Q26"/>
  <c r="O26"/>
  <c r="M26"/>
  <c r="L26"/>
  <c r="K26"/>
  <c r="J26"/>
  <c r="I26"/>
  <c r="H26"/>
  <c r="G26"/>
  <c r="F26"/>
  <c r="S25"/>
  <c r="R25"/>
  <c r="Q25"/>
  <c r="P25"/>
  <c r="O25"/>
  <c r="N25"/>
  <c r="M25"/>
  <c r="L25"/>
  <c r="K25"/>
  <c r="J25"/>
  <c r="I25"/>
  <c r="H25"/>
  <c r="G25"/>
  <c r="F25"/>
  <c r="S24"/>
  <c r="R24"/>
  <c r="Q24"/>
  <c r="P24"/>
  <c r="O24"/>
  <c r="N24"/>
  <c r="M24"/>
  <c r="L24"/>
  <c r="K24"/>
  <c r="J24"/>
  <c r="I24"/>
  <c r="H24"/>
  <c r="G24"/>
  <c r="F24"/>
  <c r="S23"/>
  <c r="R23"/>
  <c r="Q23"/>
  <c r="O23"/>
  <c r="N23"/>
  <c r="M23"/>
  <c r="L23"/>
  <c r="K23"/>
  <c r="J23"/>
  <c r="I23"/>
  <c r="H23"/>
  <c r="G23"/>
  <c r="F23"/>
  <c r="S22"/>
  <c r="R22"/>
  <c r="Q22"/>
  <c r="P22"/>
  <c r="O22"/>
  <c r="N22"/>
  <c r="M22"/>
  <c r="L22"/>
  <c r="K22"/>
  <c r="J22"/>
  <c r="I22"/>
  <c r="H22"/>
  <c r="G22"/>
  <c r="F22"/>
  <c r="S21"/>
  <c r="R21"/>
  <c r="Q21"/>
  <c r="P21"/>
  <c r="O21"/>
  <c r="N21"/>
  <c r="M21"/>
  <c r="L21"/>
  <c r="K21"/>
  <c r="J21"/>
  <c r="I21"/>
  <c r="H21"/>
  <c r="G21"/>
  <c r="F21"/>
  <c r="S20"/>
  <c r="R20"/>
  <c r="Q20"/>
  <c r="O20"/>
  <c r="N20"/>
  <c r="M20"/>
  <c r="L20"/>
  <c r="K20"/>
  <c r="J20"/>
  <c r="I20"/>
  <c r="H20"/>
  <c r="G20"/>
  <c r="F20"/>
  <c r="S19"/>
  <c r="R19"/>
  <c r="Q19"/>
  <c r="P19"/>
  <c r="O19"/>
  <c r="N19"/>
  <c r="M19"/>
  <c r="L19"/>
  <c r="K19"/>
  <c r="J19"/>
  <c r="I19"/>
  <c r="H19"/>
  <c r="G19"/>
  <c r="F19"/>
  <c r="S18"/>
  <c r="R18"/>
  <c r="Q18"/>
  <c r="P18"/>
  <c r="O18"/>
  <c r="N18"/>
  <c r="M18"/>
  <c r="L18"/>
  <c r="K18"/>
  <c r="J18"/>
  <c r="I18"/>
  <c r="H18"/>
  <c r="G18"/>
  <c r="F18"/>
  <c r="U17"/>
  <c r="S17"/>
  <c r="R17"/>
  <c r="Q17"/>
  <c r="P17"/>
  <c r="O17"/>
  <c r="N17"/>
  <c r="M17"/>
  <c r="L17"/>
  <c r="K17"/>
  <c r="J17"/>
  <c r="I17"/>
  <c r="H17"/>
  <c r="G17"/>
  <c r="F17"/>
  <c r="S16"/>
  <c r="R16"/>
  <c r="Q16"/>
  <c r="P16"/>
  <c r="O16"/>
  <c r="N16"/>
  <c r="M16"/>
  <c r="L16"/>
  <c r="K16"/>
  <c r="J16"/>
  <c r="I16"/>
  <c r="H16"/>
  <c r="G16"/>
  <c r="F16"/>
  <c r="U15"/>
  <c r="S15"/>
  <c r="R15"/>
  <c r="Q15"/>
  <c r="P15"/>
  <c r="O15"/>
  <c r="N15"/>
  <c r="M15"/>
  <c r="L15"/>
  <c r="K15"/>
  <c r="J15"/>
  <c r="I15"/>
  <c r="H15"/>
  <c r="G15"/>
  <c r="F15"/>
  <c r="S14"/>
  <c r="R14"/>
  <c r="Q14"/>
  <c r="P14"/>
  <c r="O14"/>
  <c r="N14"/>
  <c r="M14"/>
  <c r="L14"/>
  <c r="K14"/>
  <c r="J14"/>
  <c r="I14"/>
  <c r="H14"/>
  <c r="G14"/>
  <c r="F14"/>
  <c r="S13"/>
  <c r="R13"/>
  <c r="Q13"/>
  <c r="P13"/>
  <c r="O13"/>
  <c r="N13"/>
  <c r="M13"/>
  <c r="L13"/>
  <c r="K13"/>
  <c r="J13"/>
  <c r="I13"/>
  <c r="H13"/>
  <c r="G13"/>
  <c r="F13"/>
  <c r="S12"/>
  <c r="R12"/>
  <c r="Q12"/>
  <c r="P12"/>
  <c r="O12"/>
  <c r="N12"/>
  <c r="M12"/>
  <c r="L12"/>
  <c r="K12"/>
  <c r="J12"/>
  <c r="I12"/>
  <c r="H12"/>
  <c r="G12"/>
  <c r="F12"/>
  <c r="S11"/>
  <c r="R11"/>
  <c r="Q11"/>
  <c r="P11"/>
  <c r="O11"/>
  <c r="N11"/>
  <c r="M11"/>
  <c r="L11"/>
  <c r="K11"/>
  <c r="J11"/>
  <c r="I11"/>
  <c r="H11"/>
  <c r="G11"/>
  <c r="F11"/>
  <c r="Z10"/>
  <c r="S10"/>
  <c r="R10"/>
  <c r="Q10"/>
  <c r="P10"/>
  <c r="O10"/>
  <c r="N10"/>
  <c r="M10"/>
  <c r="L10"/>
  <c r="K10"/>
  <c r="J10"/>
  <c r="I10"/>
  <c r="H10"/>
  <c r="G10"/>
  <c r="F10"/>
  <c r="S9"/>
  <c r="R9"/>
  <c r="Q9"/>
  <c r="P9"/>
  <c r="O9"/>
  <c r="N9"/>
  <c r="M9"/>
  <c r="L9"/>
  <c r="K9"/>
  <c r="J9"/>
  <c r="I9"/>
  <c r="H9"/>
  <c r="G9"/>
  <c r="F9"/>
  <c r="Z8"/>
  <c r="S8"/>
  <c r="R8"/>
  <c r="Q8"/>
  <c r="P8"/>
  <c r="O8"/>
  <c r="N8"/>
  <c r="M8"/>
  <c r="L8"/>
  <c r="K8"/>
  <c r="J8"/>
  <c r="I8"/>
  <c r="H8"/>
  <c r="G8"/>
  <c r="F8"/>
  <c r="S7"/>
  <c r="R7"/>
  <c r="P7"/>
  <c r="O7"/>
  <c r="N7"/>
  <c r="M7"/>
  <c r="L7"/>
  <c r="J7"/>
  <c r="I7"/>
  <c r="H7"/>
  <c r="G7"/>
  <c r="F7"/>
  <c r="S6"/>
  <c r="R6"/>
  <c r="Q6"/>
  <c r="P6"/>
  <c r="O6"/>
  <c r="N6"/>
  <c r="M6"/>
  <c r="L6"/>
  <c r="K6"/>
  <c r="J6"/>
  <c r="I6"/>
  <c r="H6"/>
  <c r="G6"/>
  <c r="F6"/>
  <c r="S210" i="15"/>
  <c r="Q210"/>
  <c r="O210"/>
  <c r="O211" s="1"/>
  <c r="L210"/>
  <c r="L211" s="1"/>
  <c r="K210"/>
  <c r="J210"/>
  <c r="I210"/>
  <c r="I211" s="1"/>
  <c r="H210"/>
  <c r="F210"/>
  <c r="F211" s="1"/>
  <c r="U209"/>
  <c r="U209" i="16" s="1"/>
  <c r="T209" i="15"/>
  <c r="T208"/>
  <c r="T207"/>
  <c r="T206"/>
  <c r="T205"/>
  <c r="R204"/>
  <c r="R204" i="16" s="1"/>
  <c r="R203" i="15"/>
  <c r="R203" i="16" s="1"/>
  <c r="N203" i="15"/>
  <c r="N203" i="16" s="1"/>
  <c r="T202" i="15"/>
  <c r="G201"/>
  <c r="G201" i="16" s="1"/>
  <c r="T200" i="15"/>
  <c r="U200" s="1"/>
  <c r="T199"/>
  <c r="T198"/>
  <c r="T197"/>
  <c r="T196"/>
  <c r="U196" s="1"/>
  <c r="U195"/>
  <c r="P195"/>
  <c r="T195" s="1"/>
  <c r="T194"/>
  <c r="U193"/>
  <c r="T193"/>
  <c r="P192"/>
  <c r="T192" s="1"/>
  <c r="T191"/>
  <c r="T190"/>
  <c r="U189"/>
  <c r="T189"/>
  <c r="K189"/>
  <c r="K189" i="16" s="1"/>
  <c r="T188" i="15"/>
  <c r="T187"/>
  <c r="T186"/>
  <c r="U186" s="1"/>
  <c r="P185"/>
  <c r="T185" s="1"/>
  <c r="U185" s="1"/>
  <c r="R184"/>
  <c r="R184" i="16" s="1"/>
  <c r="P184" i="15"/>
  <c r="T184" s="1"/>
  <c r="U184" s="1"/>
  <c r="N184"/>
  <c r="N184" i="16" s="1"/>
  <c r="T183" i="15"/>
  <c r="T182"/>
  <c r="T181"/>
  <c r="U181" s="1"/>
  <c r="P181"/>
  <c r="P181" i="16" s="1"/>
  <c r="T180" i="15"/>
  <c r="U180" s="1"/>
  <c r="P180"/>
  <c r="P210" s="1"/>
  <c r="T179"/>
  <c r="U178"/>
  <c r="T178"/>
  <c r="T177"/>
  <c r="T176"/>
  <c r="T175"/>
  <c r="G174"/>
  <c r="G174" i="16" s="1"/>
  <c r="T173" i="15"/>
  <c r="U172"/>
  <c r="T172"/>
  <c r="T171"/>
  <c r="T170"/>
  <c r="T169"/>
  <c r="U168"/>
  <c r="T168"/>
  <c r="U167"/>
  <c r="T167"/>
  <c r="T166"/>
  <c r="U165"/>
  <c r="T165"/>
  <c r="U164"/>
  <c r="T164"/>
  <c r="M164"/>
  <c r="M210" s="1"/>
  <c r="M211" s="1"/>
  <c r="T163"/>
  <c r="U163" s="1"/>
  <c r="T162"/>
  <c r="T161"/>
  <c r="T160"/>
  <c r="T159"/>
  <c r="U159" s="1"/>
  <c r="S158"/>
  <c r="S211" s="1"/>
  <c r="P158"/>
  <c r="O158"/>
  <c r="N158"/>
  <c r="M158"/>
  <c r="L158"/>
  <c r="K158"/>
  <c r="J158"/>
  <c r="I158"/>
  <c r="H158"/>
  <c r="G158"/>
  <c r="F158"/>
  <c r="T157"/>
  <c r="U157" s="1"/>
  <c r="T156"/>
  <c r="T155"/>
  <c r="U154"/>
  <c r="T154"/>
  <c r="R154"/>
  <c r="T153"/>
  <c r="T152"/>
  <c r="T151"/>
  <c r="T150"/>
  <c r="W149"/>
  <c r="T149"/>
  <c r="W148"/>
  <c r="R148"/>
  <c r="R158" s="1"/>
  <c r="T147"/>
  <c r="U147" s="1"/>
  <c r="T146"/>
  <c r="T145"/>
  <c r="T144"/>
  <c r="T143"/>
  <c r="T142"/>
  <c r="U142" s="1"/>
  <c r="T141"/>
  <c r="T140"/>
  <c r="T139"/>
  <c r="T138"/>
  <c r="T137"/>
  <c r="Q136"/>
  <c r="Q158" s="1"/>
  <c r="T135"/>
  <c r="V134"/>
  <c r="S134"/>
  <c r="R134"/>
  <c r="Q134"/>
  <c r="P134"/>
  <c r="O134"/>
  <c r="N134"/>
  <c r="M134"/>
  <c r="L134"/>
  <c r="K134"/>
  <c r="J134"/>
  <c r="I134"/>
  <c r="H134"/>
  <c r="G134"/>
  <c r="F134"/>
  <c r="T134" s="1"/>
  <c r="T133"/>
  <c r="T130"/>
  <c r="T129"/>
  <c r="T128"/>
  <c r="T127"/>
  <c r="T126"/>
  <c r="T125"/>
  <c r="T124"/>
  <c r="T123"/>
  <c r="T122"/>
  <c r="T121"/>
  <c r="T120"/>
  <c r="T119"/>
  <c r="T118"/>
  <c r="U117"/>
  <c r="T117"/>
  <c r="T116"/>
  <c r="T115"/>
  <c r="U114"/>
  <c r="U114" i="16" s="1"/>
  <c r="T114" i="15"/>
  <c r="T113"/>
  <c r="T112"/>
  <c r="T111"/>
  <c r="T110"/>
  <c r="T109"/>
  <c r="T108"/>
  <c r="T107"/>
  <c r="U106"/>
  <c r="U134" s="1"/>
  <c r="T106"/>
  <c r="T105"/>
  <c r="T104"/>
  <c r="T103"/>
  <c r="T102"/>
  <c r="T101"/>
  <c r="T100"/>
  <c r="T99"/>
  <c r="T98"/>
  <c r="T97"/>
  <c r="T96"/>
  <c r="T95"/>
  <c r="T94"/>
  <c r="S93"/>
  <c r="R93"/>
  <c r="Q93"/>
  <c r="P93"/>
  <c r="O93"/>
  <c r="M93"/>
  <c r="L93"/>
  <c r="I93"/>
  <c r="G93"/>
  <c r="F93"/>
  <c r="T92"/>
  <c r="T91"/>
  <c r="U91" s="1"/>
  <c r="U91" i="16" s="1"/>
  <c r="T90" i="15"/>
  <c r="U89"/>
  <c r="U89" i="16" s="1"/>
  <c r="N89" i="15"/>
  <c r="N93" s="1"/>
  <c r="K89"/>
  <c r="K89" i="16" s="1"/>
  <c r="J89" i="15"/>
  <c r="T89" s="1"/>
  <c r="T88"/>
  <c r="T87"/>
  <c r="T86"/>
  <c r="T85"/>
  <c r="T84"/>
  <c r="T83"/>
  <c r="T82"/>
  <c r="T81"/>
  <c r="T80"/>
  <c r="H79"/>
  <c r="H79" i="16" s="1"/>
  <c r="T78" i="15"/>
  <c r="T77"/>
  <c r="T76"/>
  <c r="T75"/>
  <c r="T74"/>
  <c r="U74" s="1"/>
  <c r="U73"/>
  <c r="T73"/>
  <c r="U72"/>
  <c r="T72"/>
  <c r="T71"/>
  <c r="U71" s="1"/>
  <c r="U70"/>
  <c r="U93" s="1"/>
  <c r="T70"/>
  <c r="T69"/>
  <c r="S68"/>
  <c r="R68"/>
  <c r="O68"/>
  <c r="M68"/>
  <c r="L68"/>
  <c r="J68"/>
  <c r="I68"/>
  <c r="H68"/>
  <c r="G68"/>
  <c r="F68"/>
  <c r="T67"/>
  <c r="U67" s="1"/>
  <c r="T66"/>
  <c r="T65"/>
  <c r="T64"/>
  <c r="U63"/>
  <c r="T63"/>
  <c r="T62"/>
  <c r="T61"/>
  <c r="U61" s="1"/>
  <c r="T60"/>
  <c r="U60" s="1"/>
  <c r="T59"/>
  <c r="U58"/>
  <c r="T58"/>
  <c r="U57"/>
  <c r="T57"/>
  <c r="T56"/>
  <c r="T55"/>
  <c r="U55" s="1"/>
  <c r="T54"/>
  <c r="T53"/>
  <c r="T52"/>
  <c r="T51"/>
  <c r="T50"/>
  <c r="U50" s="1"/>
  <c r="T49"/>
  <c r="T48"/>
  <c r="T47"/>
  <c r="U46"/>
  <c r="T46"/>
  <c r="P45"/>
  <c r="T45" s="1"/>
  <c r="U45" s="1"/>
  <c r="U45" i="16" s="1"/>
  <c r="P44" i="15"/>
  <c r="P44" i="16" s="1"/>
  <c r="N44" i="15"/>
  <c r="N44" i="16" s="1"/>
  <c r="T43" i="15"/>
  <c r="U43" s="1"/>
  <c r="U43" i="16" s="1"/>
  <c r="T42" i="15"/>
  <c r="U42" s="1"/>
  <c r="T41"/>
  <c r="U41" s="1"/>
  <c r="U41" i="16" s="1"/>
  <c r="T40" i="15"/>
  <c r="U40" s="1"/>
  <c r="T39"/>
  <c r="U39" s="1"/>
  <c r="N39"/>
  <c r="N39" i="16" s="1"/>
  <c r="U38" i="15"/>
  <c r="T38"/>
  <c r="N37"/>
  <c r="N37" i="16" s="1"/>
  <c r="T36" i="15"/>
  <c r="U35"/>
  <c r="T35"/>
  <c r="T34"/>
  <c r="T33"/>
  <c r="U32"/>
  <c r="T32"/>
  <c r="U31"/>
  <c r="T31"/>
  <c r="T30"/>
  <c r="U30" s="1"/>
  <c r="U29"/>
  <c r="U29" i="16" s="1"/>
  <c r="N29" i="15"/>
  <c r="T29" s="1"/>
  <c r="N28"/>
  <c r="N28" i="16" s="1"/>
  <c r="T27" i="15"/>
  <c r="T26"/>
  <c r="U26" s="1"/>
  <c r="T25"/>
  <c r="T24"/>
  <c r="T23"/>
  <c r="U22"/>
  <c r="T22"/>
  <c r="T21"/>
  <c r="U20"/>
  <c r="P20"/>
  <c r="P68" s="1"/>
  <c r="T19"/>
  <c r="T18"/>
  <c r="T17"/>
  <c r="T16"/>
  <c r="T15"/>
  <c r="T14"/>
  <c r="U13"/>
  <c r="T13"/>
  <c r="U12"/>
  <c r="T12"/>
  <c r="T11"/>
  <c r="U11" s="1"/>
  <c r="U10"/>
  <c r="T10"/>
  <c r="U9"/>
  <c r="T9"/>
  <c r="T8"/>
  <c r="U8" s="1"/>
  <c r="Q7"/>
  <c r="Q7" i="16" s="1"/>
  <c r="K7" i="15"/>
  <c r="K7" i="16" s="1"/>
  <c r="T6" i="15"/>
  <c r="S210" i="14"/>
  <c r="S211" s="1"/>
  <c r="R210"/>
  <c r="R211" s="1"/>
  <c r="Q210"/>
  <c r="O210"/>
  <c r="O211" s="1"/>
  <c r="N210"/>
  <c r="M210"/>
  <c r="M211" s="1"/>
  <c r="L210"/>
  <c r="L211" s="1"/>
  <c r="K210"/>
  <c r="K211" s="1"/>
  <c r="J210"/>
  <c r="J211" s="1"/>
  <c r="I210"/>
  <c r="H210"/>
  <c r="H211" s="1"/>
  <c r="G210"/>
  <c r="G211" s="1"/>
  <c r="F210"/>
  <c r="F211" s="1"/>
  <c r="T209"/>
  <c r="T208"/>
  <c r="U208" s="1"/>
  <c r="T207"/>
  <c r="T206"/>
  <c r="T205"/>
  <c r="T204"/>
  <c r="U204" s="1"/>
  <c r="U203"/>
  <c r="T203"/>
  <c r="T202"/>
  <c r="T201"/>
  <c r="U201" s="1"/>
  <c r="T200"/>
  <c r="U200" s="1"/>
  <c r="T199"/>
  <c r="T198"/>
  <c r="T197"/>
  <c r="T196"/>
  <c r="P195"/>
  <c r="T195" s="1"/>
  <c r="U195" s="1"/>
  <c r="T194"/>
  <c r="T193"/>
  <c r="T192"/>
  <c r="U192" s="1"/>
  <c r="T191"/>
  <c r="U191" s="1"/>
  <c r="T190"/>
  <c r="T189"/>
  <c r="T188"/>
  <c r="T186"/>
  <c r="U186" s="1"/>
  <c r="T185"/>
  <c r="U185" s="1"/>
  <c r="P184"/>
  <c r="P210" s="1"/>
  <c r="T183"/>
  <c r="T182"/>
  <c r="T181"/>
  <c r="T180"/>
  <c r="T179"/>
  <c r="T178"/>
  <c r="T177"/>
  <c r="T176"/>
  <c r="T175"/>
  <c r="T174"/>
  <c r="T173"/>
  <c r="T172"/>
  <c r="T171"/>
  <c r="T170"/>
  <c r="T169"/>
  <c r="T168"/>
  <c r="U168" s="1"/>
  <c r="T167"/>
  <c r="T166"/>
  <c r="U165"/>
  <c r="T165"/>
  <c r="T164"/>
  <c r="U164" s="1"/>
  <c r="U163"/>
  <c r="T163"/>
  <c r="T162"/>
  <c r="T161"/>
  <c r="T160"/>
  <c r="U160" s="1"/>
  <c r="T159"/>
  <c r="U159" s="1"/>
  <c r="S158"/>
  <c r="R158"/>
  <c r="Q158"/>
  <c r="O158"/>
  <c r="N158"/>
  <c r="M158"/>
  <c r="L158"/>
  <c r="K158"/>
  <c r="J158"/>
  <c r="I158"/>
  <c r="H158"/>
  <c r="G158"/>
  <c r="F158"/>
  <c r="U157"/>
  <c r="P157"/>
  <c r="T157" s="1"/>
  <c r="T156"/>
  <c r="T155"/>
  <c r="T154"/>
  <c r="U154" s="1"/>
  <c r="R154"/>
  <c r="T153"/>
  <c r="T152"/>
  <c r="T151"/>
  <c r="T150"/>
  <c r="T149"/>
  <c r="P148"/>
  <c r="T148" s="1"/>
  <c r="U148" s="1"/>
  <c r="T147"/>
  <c r="U147" s="1"/>
  <c r="T146"/>
  <c r="T145"/>
  <c r="T144"/>
  <c r="T143"/>
  <c r="T142"/>
  <c r="U142" s="1"/>
  <c r="P142"/>
  <c r="P158" s="1"/>
  <c r="T141"/>
  <c r="T140"/>
  <c r="T139"/>
  <c r="T138"/>
  <c r="T137"/>
  <c r="T136"/>
  <c r="U136" s="1"/>
  <c r="Q136"/>
  <c r="T135"/>
  <c r="S134"/>
  <c r="R134"/>
  <c r="Q134"/>
  <c r="P134"/>
  <c r="O134"/>
  <c r="N134"/>
  <c r="M134"/>
  <c r="L134"/>
  <c r="K134"/>
  <c r="J134"/>
  <c r="I134"/>
  <c r="H134"/>
  <c r="G134"/>
  <c r="F134"/>
  <c r="T134" s="1"/>
  <c r="T133"/>
  <c r="T130"/>
  <c r="T129"/>
  <c r="T128"/>
  <c r="T117"/>
  <c r="U117" s="1"/>
  <c r="U134" s="1"/>
  <c r="T103"/>
  <c r="T102"/>
  <c r="T101"/>
  <c r="T100"/>
  <c r="T99"/>
  <c r="T98"/>
  <c r="T97"/>
  <c r="T96"/>
  <c r="T95"/>
  <c r="T94"/>
  <c r="S93"/>
  <c r="R93"/>
  <c r="Q93"/>
  <c r="P93"/>
  <c r="O93"/>
  <c r="N93"/>
  <c r="M93"/>
  <c r="L93"/>
  <c r="K93"/>
  <c r="J93"/>
  <c r="I93"/>
  <c r="H93"/>
  <c r="T93" s="1"/>
  <c r="G93"/>
  <c r="F93"/>
  <c r="T92"/>
  <c r="T91"/>
  <c r="T90"/>
  <c r="T89"/>
  <c r="T88"/>
  <c r="T87"/>
  <c r="T86"/>
  <c r="T85"/>
  <c r="T84"/>
  <c r="T83"/>
  <c r="T82"/>
  <c r="T81"/>
  <c r="T80"/>
  <c r="T79"/>
  <c r="T78"/>
  <c r="T77"/>
  <c r="T76"/>
  <c r="T75"/>
  <c r="T74"/>
  <c r="U74" s="1"/>
  <c r="T73"/>
  <c r="U73" s="1"/>
  <c r="T72"/>
  <c r="U72" s="1"/>
  <c r="T71"/>
  <c r="U71" s="1"/>
  <c r="T70"/>
  <c r="U70" s="1"/>
  <c r="T69"/>
  <c r="U69" s="1"/>
  <c r="S68"/>
  <c r="R68"/>
  <c r="O68"/>
  <c r="M68"/>
  <c r="L68"/>
  <c r="K68"/>
  <c r="J68"/>
  <c r="H68"/>
  <c r="G68"/>
  <c r="F68"/>
  <c r="T67"/>
  <c r="U67" s="1"/>
  <c r="T66"/>
  <c r="T65"/>
  <c r="T64"/>
  <c r="U63"/>
  <c r="T63"/>
  <c r="U62"/>
  <c r="T62"/>
  <c r="U61"/>
  <c r="T61"/>
  <c r="T60"/>
  <c r="T59"/>
  <c r="T58"/>
  <c r="U58" s="1"/>
  <c r="U57"/>
  <c r="T57"/>
  <c r="T56"/>
  <c r="T55"/>
  <c r="U55" s="1"/>
  <c r="T54"/>
  <c r="U54" s="1"/>
  <c r="T53"/>
  <c r="U53" s="1"/>
  <c r="T52"/>
  <c r="U52" s="1"/>
  <c r="T51"/>
  <c r="U50"/>
  <c r="T50"/>
  <c r="U49"/>
  <c r="T49"/>
  <c r="T48"/>
  <c r="U48" s="1"/>
  <c r="U47"/>
  <c r="T47"/>
  <c r="U46"/>
  <c r="T46"/>
  <c r="Q45"/>
  <c r="Q68" s="1"/>
  <c r="T44"/>
  <c r="T43"/>
  <c r="U42"/>
  <c r="T42"/>
  <c r="T41"/>
  <c r="P40"/>
  <c r="T40" s="1"/>
  <c r="T39"/>
  <c r="T38"/>
  <c r="T37"/>
  <c r="U37" s="1"/>
  <c r="T36"/>
  <c r="U35"/>
  <c r="T35"/>
  <c r="U34"/>
  <c r="T34"/>
  <c r="U33"/>
  <c r="T33"/>
  <c r="U32"/>
  <c r="T32"/>
  <c r="U31"/>
  <c r="T31"/>
  <c r="N30"/>
  <c r="N30" i="16" s="1"/>
  <c r="N29" i="14"/>
  <c r="T29" s="1"/>
  <c r="T28"/>
  <c r="U28" s="1"/>
  <c r="U27"/>
  <c r="P27"/>
  <c r="I27"/>
  <c r="T27" s="1"/>
  <c r="P26"/>
  <c r="P68" s="1"/>
  <c r="N26"/>
  <c r="U26" s="1"/>
  <c r="U25"/>
  <c r="T25"/>
  <c r="T24"/>
  <c r="T23"/>
  <c r="U23" s="1"/>
  <c r="U22"/>
  <c r="T22"/>
  <c r="T21"/>
  <c r="U20"/>
  <c r="T20"/>
  <c r="T19"/>
  <c r="T18"/>
  <c r="T17"/>
  <c r="T16"/>
  <c r="T15"/>
  <c r="T14"/>
  <c r="U14" s="1"/>
  <c r="T13"/>
  <c r="T12"/>
  <c r="U12" s="1"/>
  <c r="T11"/>
  <c r="U11" s="1"/>
  <c r="T10"/>
  <c r="U10" s="1"/>
  <c r="T9"/>
  <c r="U9" s="1"/>
  <c r="T8"/>
  <c r="U8" s="1"/>
  <c r="T7"/>
  <c r="U7" s="1"/>
  <c r="T6"/>
  <c r="S210" i="13"/>
  <c r="R210"/>
  <c r="Q210"/>
  <c r="O210"/>
  <c r="O211" s="1"/>
  <c r="N210"/>
  <c r="M210"/>
  <c r="M211" s="1"/>
  <c r="L210"/>
  <c r="K210"/>
  <c r="J210"/>
  <c r="J211" s="1"/>
  <c r="I210"/>
  <c r="H210"/>
  <c r="G210"/>
  <c r="G211" s="1"/>
  <c r="F210"/>
  <c r="T209"/>
  <c r="T208"/>
  <c r="U208" s="1"/>
  <c r="T207"/>
  <c r="T206"/>
  <c r="T205"/>
  <c r="T204"/>
  <c r="U204" s="1"/>
  <c r="U203"/>
  <c r="T203"/>
  <c r="T202"/>
  <c r="T201"/>
  <c r="T200"/>
  <c r="T199"/>
  <c r="T198"/>
  <c r="T197"/>
  <c r="T196"/>
  <c r="P195"/>
  <c r="T195" s="1"/>
  <c r="U195" s="1"/>
  <c r="T194"/>
  <c r="T193"/>
  <c r="T192"/>
  <c r="T191"/>
  <c r="U191" s="1"/>
  <c r="T190"/>
  <c r="T189"/>
  <c r="T188"/>
  <c r="T186"/>
  <c r="U186" s="1"/>
  <c r="T185"/>
  <c r="U185" s="1"/>
  <c r="P184"/>
  <c r="P210" s="1"/>
  <c r="T183"/>
  <c r="T182"/>
  <c r="T181"/>
  <c r="T180"/>
  <c r="T179"/>
  <c r="T178"/>
  <c r="T177"/>
  <c r="T176"/>
  <c r="T175"/>
  <c r="T174"/>
  <c r="T173"/>
  <c r="T172"/>
  <c r="U172" s="1"/>
  <c r="T171"/>
  <c r="T170"/>
  <c r="T169"/>
  <c r="T168"/>
  <c r="U168" s="1"/>
  <c r="U167"/>
  <c r="T167"/>
  <c r="T166"/>
  <c r="T165"/>
  <c r="U165" s="1"/>
  <c r="T164"/>
  <c r="U164" s="1"/>
  <c r="T163"/>
  <c r="U163" s="1"/>
  <c r="T162"/>
  <c r="T161"/>
  <c r="T160"/>
  <c r="U160" s="1"/>
  <c r="T159"/>
  <c r="U159" s="1"/>
  <c r="S158"/>
  <c r="P158"/>
  <c r="O158"/>
  <c r="N158"/>
  <c r="M158"/>
  <c r="L158"/>
  <c r="L211" s="1"/>
  <c r="K158"/>
  <c r="J158"/>
  <c r="I158"/>
  <c r="H158"/>
  <c r="H211" s="1"/>
  <c r="G158"/>
  <c r="F158"/>
  <c r="F211" s="1"/>
  <c r="U157"/>
  <c r="T157"/>
  <c r="P157"/>
  <c r="T156"/>
  <c r="T155"/>
  <c r="R154"/>
  <c r="T154" s="1"/>
  <c r="U154" s="1"/>
  <c r="T153"/>
  <c r="T152"/>
  <c r="T151"/>
  <c r="T150"/>
  <c r="T149"/>
  <c r="P148"/>
  <c r="T148" s="1"/>
  <c r="U148" s="1"/>
  <c r="T147"/>
  <c r="U147" s="1"/>
  <c r="T146"/>
  <c r="T145"/>
  <c r="U145" s="1"/>
  <c r="T144"/>
  <c r="T143"/>
  <c r="T142"/>
  <c r="U142" s="1"/>
  <c r="P142"/>
  <c r="T141"/>
  <c r="T140"/>
  <c r="T139"/>
  <c r="T138"/>
  <c r="T137"/>
  <c r="Q136"/>
  <c r="Q158" s="1"/>
  <c r="T135"/>
  <c r="S134"/>
  <c r="R134"/>
  <c r="Q134"/>
  <c r="P134"/>
  <c r="O134"/>
  <c r="N134"/>
  <c r="M134"/>
  <c r="L134"/>
  <c r="K134"/>
  <c r="J134"/>
  <c r="I134"/>
  <c r="H134"/>
  <c r="T134" s="1"/>
  <c r="G134"/>
  <c r="F134"/>
  <c r="T133"/>
  <c r="T130"/>
  <c r="T129"/>
  <c r="T128"/>
  <c r="T117"/>
  <c r="U117" s="1"/>
  <c r="U134" s="1"/>
  <c r="T103"/>
  <c r="T102"/>
  <c r="T101"/>
  <c r="T100"/>
  <c r="T99"/>
  <c r="T98"/>
  <c r="T97"/>
  <c r="T96"/>
  <c r="T95"/>
  <c r="T94"/>
  <c r="R93"/>
  <c r="Q93"/>
  <c r="P93"/>
  <c r="O93"/>
  <c r="N93"/>
  <c r="M93"/>
  <c r="L93"/>
  <c r="K93"/>
  <c r="J93"/>
  <c r="I93"/>
  <c r="H93"/>
  <c r="G93"/>
  <c r="F93"/>
  <c r="T92"/>
  <c r="T91"/>
  <c r="T90"/>
  <c r="T89"/>
  <c r="T88"/>
  <c r="T87"/>
  <c r="T86"/>
  <c r="U85"/>
  <c r="T85"/>
  <c r="T84"/>
  <c r="T83"/>
  <c r="T82"/>
  <c r="T81"/>
  <c r="T80"/>
  <c r="T79"/>
  <c r="T78"/>
  <c r="T77"/>
  <c r="T76"/>
  <c r="T75"/>
  <c r="U74"/>
  <c r="T74"/>
  <c r="T73"/>
  <c r="U73" s="1"/>
  <c r="U72"/>
  <c r="T72"/>
  <c r="U71"/>
  <c r="T71"/>
  <c r="T70"/>
  <c r="U70" s="1"/>
  <c r="S69"/>
  <c r="T69" s="1"/>
  <c r="U69" s="1"/>
  <c r="U93" s="1"/>
  <c r="S68"/>
  <c r="R68"/>
  <c r="O68"/>
  <c r="M68"/>
  <c r="L68"/>
  <c r="K68"/>
  <c r="J68"/>
  <c r="H68"/>
  <c r="G68"/>
  <c r="F68"/>
  <c r="T67"/>
  <c r="U67" s="1"/>
  <c r="T66"/>
  <c r="T65"/>
  <c r="T64"/>
  <c r="U63"/>
  <c r="T63"/>
  <c r="U62"/>
  <c r="T62"/>
  <c r="T61"/>
  <c r="U61" s="1"/>
  <c r="T60"/>
  <c r="T59"/>
  <c r="U58"/>
  <c r="T58"/>
  <c r="U57"/>
  <c r="T57"/>
  <c r="T56"/>
  <c r="T55"/>
  <c r="U55" s="1"/>
  <c r="T54"/>
  <c r="U54" s="1"/>
  <c r="T53"/>
  <c r="U53" s="1"/>
  <c r="T52"/>
  <c r="U52" s="1"/>
  <c r="T51"/>
  <c r="T50"/>
  <c r="U50" s="1"/>
  <c r="U49"/>
  <c r="T49"/>
  <c r="U48"/>
  <c r="T48"/>
  <c r="T47"/>
  <c r="U47" s="1"/>
  <c r="U46"/>
  <c r="T46"/>
  <c r="T45"/>
  <c r="Q45"/>
  <c r="Q68" s="1"/>
  <c r="T44"/>
  <c r="T43"/>
  <c r="U42"/>
  <c r="T42"/>
  <c r="T41"/>
  <c r="P40"/>
  <c r="T40" s="1"/>
  <c r="T39"/>
  <c r="T38"/>
  <c r="T37"/>
  <c r="U37" s="1"/>
  <c r="T36"/>
  <c r="T35"/>
  <c r="U35" s="1"/>
  <c r="U34"/>
  <c r="T34"/>
  <c r="U33"/>
  <c r="T33"/>
  <c r="T32"/>
  <c r="U32" s="1"/>
  <c r="U31"/>
  <c r="T31"/>
  <c r="U30"/>
  <c r="T30"/>
  <c r="N29"/>
  <c r="T29" s="1"/>
  <c r="U28"/>
  <c r="T28"/>
  <c r="U27"/>
  <c r="P27"/>
  <c r="I27"/>
  <c r="I68" s="1"/>
  <c r="U26"/>
  <c r="P26"/>
  <c r="P68" s="1"/>
  <c r="N26"/>
  <c r="T26" s="1"/>
  <c r="U25"/>
  <c r="T25"/>
  <c r="T24"/>
  <c r="U23"/>
  <c r="T23"/>
  <c r="U22"/>
  <c r="T22"/>
  <c r="T21"/>
  <c r="U21" s="1"/>
  <c r="U20"/>
  <c r="T20"/>
  <c r="T19"/>
  <c r="T18"/>
  <c r="T17"/>
  <c r="U16"/>
  <c r="T16"/>
  <c r="T15"/>
  <c r="U14"/>
  <c r="T14"/>
  <c r="T13"/>
  <c r="U13" s="1"/>
  <c r="T12"/>
  <c r="U12" s="1"/>
  <c r="U11"/>
  <c r="T11"/>
  <c r="T10"/>
  <c r="U10" s="1"/>
  <c r="T9"/>
  <c r="U9" s="1"/>
  <c r="U8"/>
  <c r="T8"/>
  <c r="T7"/>
  <c r="U7" s="1"/>
  <c r="T6"/>
  <c r="S210" i="12"/>
  <c r="R210"/>
  <c r="Q210"/>
  <c r="O210"/>
  <c r="N210"/>
  <c r="M210"/>
  <c r="L210"/>
  <c r="K210"/>
  <c r="J210"/>
  <c r="I210"/>
  <c r="H210"/>
  <c r="G210"/>
  <c r="F210"/>
  <c r="T209"/>
  <c r="T208"/>
  <c r="U208" s="1"/>
  <c r="T207"/>
  <c r="U207" s="1"/>
  <c r="T206"/>
  <c r="T205"/>
  <c r="U205" s="1"/>
  <c r="T204"/>
  <c r="U204" s="1"/>
  <c r="U203"/>
  <c r="T203"/>
  <c r="T202"/>
  <c r="U202" s="1"/>
  <c r="T201"/>
  <c r="T200"/>
  <c r="U200" s="1"/>
  <c r="T199"/>
  <c r="T198"/>
  <c r="U198" s="1"/>
  <c r="T197"/>
  <c r="U197" s="1"/>
  <c r="T196"/>
  <c r="P195"/>
  <c r="T195" s="1"/>
  <c r="U195" s="1"/>
  <c r="T194"/>
  <c r="U193"/>
  <c r="T193"/>
  <c r="T192"/>
  <c r="U192" s="1"/>
  <c r="T191"/>
  <c r="U191" s="1"/>
  <c r="T190"/>
  <c r="U190" s="1"/>
  <c r="T189"/>
  <c r="U189" s="1"/>
  <c r="T188"/>
  <c r="U188" s="1"/>
  <c r="T186"/>
  <c r="U186" s="1"/>
  <c r="U185"/>
  <c r="T185"/>
  <c r="T184"/>
  <c r="U184" s="1"/>
  <c r="P184"/>
  <c r="P210" s="1"/>
  <c r="T183"/>
  <c r="U183" s="1"/>
  <c r="T182"/>
  <c r="U182" s="1"/>
  <c r="T181"/>
  <c r="U181" s="1"/>
  <c r="T180"/>
  <c r="U180" s="1"/>
  <c r="T179"/>
  <c r="U179" s="1"/>
  <c r="T178"/>
  <c r="T177"/>
  <c r="U177" s="1"/>
  <c r="T176"/>
  <c r="U176" s="1"/>
  <c r="T175"/>
  <c r="U175" s="1"/>
  <c r="T174"/>
  <c r="T173"/>
  <c r="T172"/>
  <c r="U172" s="1"/>
  <c r="T171"/>
  <c r="U171" s="1"/>
  <c r="T170"/>
  <c r="U170" s="1"/>
  <c r="T169"/>
  <c r="U169" s="1"/>
  <c r="T168"/>
  <c r="U168" s="1"/>
  <c r="T167"/>
  <c r="U167" s="1"/>
  <c r="U166"/>
  <c r="T166"/>
  <c r="T165"/>
  <c r="U165" s="1"/>
  <c r="T164"/>
  <c r="U164" s="1"/>
  <c r="T163"/>
  <c r="U163" s="1"/>
  <c r="T162"/>
  <c r="U162" s="1"/>
  <c r="T161"/>
  <c r="U161" s="1"/>
  <c r="T160"/>
  <c r="U160" s="1"/>
  <c r="T159"/>
  <c r="U159" s="1"/>
  <c r="S158"/>
  <c r="Q158"/>
  <c r="O158"/>
  <c r="N158"/>
  <c r="M158"/>
  <c r="L158"/>
  <c r="K158"/>
  <c r="J158"/>
  <c r="I158"/>
  <c r="H158"/>
  <c r="G158"/>
  <c r="F158"/>
  <c r="U157"/>
  <c r="P157"/>
  <c r="T157" s="1"/>
  <c r="T156"/>
  <c r="U156" s="1"/>
  <c r="T155"/>
  <c r="U155" s="1"/>
  <c r="R154"/>
  <c r="R158" s="1"/>
  <c r="T153"/>
  <c r="U153" s="1"/>
  <c r="T152"/>
  <c r="U152" s="1"/>
  <c r="T151"/>
  <c r="U151" s="1"/>
  <c r="T150"/>
  <c r="T149"/>
  <c r="U149" s="1"/>
  <c r="P148"/>
  <c r="P158" s="1"/>
  <c r="T147"/>
  <c r="U147" s="1"/>
  <c r="T146"/>
  <c r="U146" s="1"/>
  <c r="T145"/>
  <c r="U145" s="1"/>
  <c r="T144"/>
  <c r="U144" s="1"/>
  <c r="T143"/>
  <c r="U143" s="1"/>
  <c r="T142"/>
  <c r="U142" s="1"/>
  <c r="P142"/>
  <c r="T141"/>
  <c r="U141" s="1"/>
  <c r="T140"/>
  <c r="U140" s="1"/>
  <c r="T139"/>
  <c r="T138"/>
  <c r="U138" s="1"/>
  <c r="T137"/>
  <c r="U137" s="1"/>
  <c r="T136"/>
  <c r="U136" s="1"/>
  <c r="Q136"/>
  <c r="T135"/>
  <c r="S134"/>
  <c r="R134"/>
  <c r="Q134"/>
  <c r="P134"/>
  <c r="O134"/>
  <c r="N134"/>
  <c r="M134"/>
  <c r="L134"/>
  <c r="K134"/>
  <c r="J134"/>
  <c r="I134"/>
  <c r="H134"/>
  <c r="G134"/>
  <c r="F134"/>
  <c r="T133"/>
  <c r="U133" s="1"/>
  <c r="T130"/>
  <c r="T129"/>
  <c r="T128"/>
  <c r="U117"/>
  <c r="T117"/>
  <c r="T103"/>
  <c r="T102"/>
  <c r="T101"/>
  <c r="T100"/>
  <c r="T99"/>
  <c r="T98"/>
  <c r="T97"/>
  <c r="T96"/>
  <c r="T95"/>
  <c r="T94"/>
  <c r="S93"/>
  <c r="R93"/>
  <c r="Q93"/>
  <c r="P93"/>
  <c r="O93"/>
  <c r="N93"/>
  <c r="M93"/>
  <c r="L93"/>
  <c r="K93"/>
  <c r="J93"/>
  <c r="I93"/>
  <c r="H93"/>
  <c r="G93"/>
  <c r="F93"/>
  <c r="T92"/>
  <c r="T91"/>
  <c r="T90"/>
  <c r="T89"/>
  <c r="T88"/>
  <c r="T87"/>
  <c r="T86"/>
  <c r="T85"/>
  <c r="T84"/>
  <c r="T83"/>
  <c r="T82"/>
  <c r="T81"/>
  <c r="T80"/>
  <c r="T79"/>
  <c r="T78"/>
  <c r="T77"/>
  <c r="T76"/>
  <c r="T75"/>
  <c r="T74"/>
  <c r="U74" s="1"/>
  <c r="T73"/>
  <c r="U73" s="1"/>
  <c r="T72"/>
  <c r="U72" s="1"/>
  <c r="T71"/>
  <c r="U71" s="1"/>
  <c r="U70"/>
  <c r="T70"/>
  <c r="U69"/>
  <c r="T69"/>
  <c r="S68"/>
  <c r="R68"/>
  <c r="Q68"/>
  <c r="O68"/>
  <c r="M68"/>
  <c r="L68"/>
  <c r="K68"/>
  <c r="J68"/>
  <c r="H68"/>
  <c r="G68"/>
  <c r="F68"/>
  <c r="U67"/>
  <c r="T67"/>
  <c r="T66"/>
  <c r="U66" s="1"/>
  <c r="T65"/>
  <c r="U65" s="1"/>
  <c r="T64"/>
  <c r="U64" s="1"/>
  <c r="T63"/>
  <c r="U63" s="1"/>
  <c r="U62"/>
  <c r="T62"/>
  <c r="U61"/>
  <c r="T61"/>
  <c r="T60"/>
  <c r="U60" s="1"/>
  <c r="T59"/>
  <c r="U59" s="1"/>
  <c r="U58"/>
  <c r="T58"/>
  <c r="U57"/>
  <c r="T57"/>
  <c r="T56"/>
  <c r="U56" s="1"/>
  <c r="T55"/>
  <c r="U55" s="1"/>
  <c r="T54"/>
  <c r="U54" s="1"/>
  <c r="U53"/>
  <c r="T53"/>
  <c r="U52"/>
  <c r="T52"/>
  <c r="T51"/>
  <c r="U51" s="1"/>
  <c r="T50"/>
  <c r="U50" s="1"/>
  <c r="U49"/>
  <c r="T49"/>
  <c r="T48"/>
  <c r="U48" s="1"/>
  <c r="U47"/>
  <c r="T47"/>
  <c r="T46"/>
  <c r="Q45"/>
  <c r="T45" s="1"/>
  <c r="T44"/>
  <c r="T43"/>
  <c r="T42"/>
  <c r="U42" s="1"/>
  <c r="T41"/>
  <c r="P40"/>
  <c r="T40" s="1"/>
  <c r="T39"/>
  <c r="U39" s="1"/>
  <c r="T38"/>
  <c r="U38" s="1"/>
  <c r="T37"/>
  <c r="U37" s="1"/>
  <c r="U36"/>
  <c r="T36"/>
  <c r="T35"/>
  <c r="U35" s="1"/>
  <c r="T34"/>
  <c r="U34" s="1"/>
  <c r="U33"/>
  <c r="T33"/>
  <c r="U32"/>
  <c r="T32"/>
  <c r="T31"/>
  <c r="U31" s="1"/>
  <c r="T30"/>
  <c r="U30" s="1"/>
  <c r="N29"/>
  <c r="N68" s="1"/>
  <c r="T28"/>
  <c r="U28" s="1"/>
  <c r="P27"/>
  <c r="U27" s="1"/>
  <c r="I27"/>
  <c r="P26"/>
  <c r="N26"/>
  <c r="U25"/>
  <c r="T25"/>
  <c r="T24"/>
  <c r="U24" s="1"/>
  <c r="U23"/>
  <c r="T23"/>
  <c r="U22"/>
  <c r="T22"/>
  <c r="T21"/>
  <c r="U21" s="1"/>
  <c r="U20"/>
  <c r="T20"/>
  <c r="T19"/>
  <c r="U19" s="1"/>
  <c r="T18"/>
  <c r="U18" s="1"/>
  <c r="T17"/>
  <c r="T16"/>
  <c r="U16" s="1"/>
  <c r="T15"/>
  <c r="T14"/>
  <c r="U14" s="1"/>
  <c r="T13"/>
  <c r="U13" s="1"/>
  <c r="U12"/>
  <c r="T12"/>
  <c r="T11"/>
  <c r="U11" s="1"/>
  <c r="U10"/>
  <c r="T10"/>
  <c r="T9"/>
  <c r="U9" s="1"/>
  <c r="T8"/>
  <c r="U8" s="1"/>
  <c r="U7"/>
  <c r="T7"/>
  <c r="U6"/>
  <c r="T6"/>
  <c r="V210" i="11"/>
  <c r="V211" s="1"/>
  <c r="S210"/>
  <c r="R210"/>
  <c r="Q210"/>
  <c r="P210"/>
  <c r="O210"/>
  <c r="N210"/>
  <c r="M210"/>
  <c r="M211" s="1"/>
  <c r="L210"/>
  <c r="K210"/>
  <c r="J210"/>
  <c r="J211" s="1"/>
  <c r="I210"/>
  <c r="H210"/>
  <c r="G210"/>
  <c r="G211" s="1"/>
  <c r="F210"/>
  <c r="T209"/>
  <c r="U208"/>
  <c r="T208"/>
  <c r="T207"/>
  <c r="T206"/>
  <c r="T205"/>
  <c r="U204"/>
  <c r="T204"/>
  <c r="U203"/>
  <c r="T203"/>
  <c r="T202"/>
  <c r="T201"/>
  <c r="T200"/>
  <c r="T199"/>
  <c r="T198"/>
  <c r="T197"/>
  <c r="T196"/>
  <c r="U195"/>
  <c r="T195"/>
  <c r="P195"/>
  <c r="T194"/>
  <c r="T193"/>
  <c r="U192"/>
  <c r="T192"/>
  <c r="T191"/>
  <c r="U191" s="1"/>
  <c r="T190"/>
  <c r="T189"/>
  <c r="T188"/>
  <c r="T186"/>
  <c r="U186" s="1"/>
  <c r="U185"/>
  <c r="T185"/>
  <c r="U184"/>
  <c r="T184"/>
  <c r="P184"/>
  <c r="T183"/>
  <c r="T182"/>
  <c r="T181"/>
  <c r="T180"/>
  <c r="T179"/>
  <c r="T178"/>
  <c r="T177"/>
  <c r="T176"/>
  <c r="T175"/>
  <c r="T174"/>
  <c r="T173"/>
  <c r="U172"/>
  <c r="T172"/>
  <c r="T171"/>
  <c r="T170"/>
  <c r="T169"/>
  <c r="U168"/>
  <c r="T168"/>
  <c r="T167"/>
  <c r="T166"/>
  <c r="T165"/>
  <c r="U165" s="1"/>
  <c r="U164"/>
  <c r="T164"/>
  <c r="T163"/>
  <c r="U163" s="1"/>
  <c r="T162"/>
  <c r="T161"/>
  <c r="U160"/>
  <c r="T160"/>
  <c r="T159"/>
  <c r="U159" s="1"/>
  <c r="S158"/>
  <c r="P158"/>
  <c r="O158"/>
  <c r="N158"/>
  <c r="M158"/>
  <c r="L158"/>
  <c r="K158"/>
  <c r="J158"/>
  <c r="I158"/>
  <c r="H158"/>
  <c r="G158"/>
  <c r="F158"/>
  <c r="U157"/>
  <c r="T157"/>
  <c r="P157"/>
  <c r="T156"/>
  <c r="T155"/>
  <c r="R154"/>
  <c r="T153"/>
  <c r="T152"/>
  <c r="T151"/>
  <c r="T150"/>
  <c r="T149"/>
  <c r="T148"/>
  <c r="U148" s="1"/>
  <c r="P148"/>
  <c r="T147"/>
  <c r="U147" s="1"/>
  <c r="T146"/>
  <c r="T145"/>
  <c r="U145" s="1"/>
  <c r="T144"/>
  <c r="T143"/>
  <c r="T142"/>
  <c r="U142" s="1"/>
  <c r="P142"/>
  <c r="T141"/>
  <c r="T140"/>
  <c r="T139"/>
  <c r="T138"/>
  <c r="T137"/>
  <c r="T136"/>
  <c r="U136" s="1"/>
  <c r="Q136"/>
  <c r="Q158" s="1"/>
  <c r="T135"/>
  <c r="S134"/>
  <c r="R134"/>
  <c r="Q134"/>
  <c r="P134"/>
  <c r="O134"/>
  <c r="N134"/>
  <c r="M134"/>
  <c r="L134"/>
  <c r="K134"/>
  <c r="J134"/>
  <c r="I134"/>
  <c r="H134"/>
  <c r="T134" s="1"/>
  <c r="G134"/>
  <c r="F134"/>
  <c r="T133"/>
  <c r="T130"/>
  <c r="T129"/>
  <c r="T128"/>
  <c r="T117"/>
  <c r="U117" s="1"/>
  <c r="U134" s="1"/>
  <c r="T103"/>
  <c r="T102"/>
  <c r="T101"/>
  <c r="T100"/>
  <c r="T99"/>
  <c r="T98"/>
  <c r="T97"/>
  <c r="T96"/>
  <c r="T95"/>
  <c r="T94"/>
  <c r="R93"/>
  <c r="Q93"/>
  <c r="P93"/>
  <c r="O93"/>
  <c r="N93"/>
  <c r="M93"/>
  <c r="L93"/>
  <c r="K93"/>
  <c r="J93"/>
  <c r="I93"/>
  <c r="H93"/>
  <c r="G93"/>
  <c r="F93"/>
  <c r="T92"/>
  <c r="T91"/>
  <c r="T90"/>
  <c r="T89"/>
  <c r="T88"/>
  <c r="T87"/>
  <c r="T86"/>
  <c r="T85"/>
  <c r="T84"/>
  <c r="T83"/>
  <c r="T82"/>
  <c r="T81"/>
  <c r="T80"/>
  <c r="T79"/>
  <c r="T78"/>
  <c r="T77"/>
  <c r="T76"/>
  <c r="T75"/>
  <c r="T74"/>
  <c r="U74" s="1"/>
  <c r="T73"/>
  <c r="U73" s="1"/>
  <c r="U72"/>
  <c r="T72"/>
  <c r="U71"/>
  <c r="T71"/>
  <c r="T70"/>
  <c r="U70" s="1"/>
  <c r="S69"/>
  <c r="S68"/>
  <c r="R68"/>
  <c r="Q68"/>
  <c r="P68"/>
  <c r="O68"/>
  <c r="M68"/>
  <c r="L68"/>
  <c r="K68"/>
  <c r="J68"/>
  <c r="I68"/>
  <c r="H68"/>
  <c r="G68"/>
  <c r="F68"/>
  <c r="T67"/>
  <c r="U67" s="1"/>
  <c r="T66"/>
  <c r="T65"/>
  <c r="T64"/>
  <c r="U63"/>
  <c r="T63"/>
  <c r="U62"/>
  <c r="T62"/>
  <c r="M62"/>
  <c r="U61"/>
  <c r="T61"/>
  <c r="T60"/>
  <c r="T59"/>
  <c r="U58"/>
  <c r="T58"/>
  <c r="U57"/>
  <c r="T57"/>
  <c r="T56"/>
  <c r="T55"/>
  <c r="U55" s="1"/>
  <c r="T54"/>
  <c r="U54" s="1"/>
  <c r="U53"/>
  <c r="T53"/>
  <c r="U52"/>
  <c r="T52"/>
  <c r="T51"/>
  <c r="U50"/>
  <c r="T50"/>
  <c r="T49"/>
  <c r="U49" s="1"/>
  <c r="U48"/>
  <c r="T48"/>
  <c r="T47"/>
  <c r="U47" s="1"/>
  <c r="T46"/>
  <c r="U46" s="1"/>
  <c r="T45"/>
  <c r="Q45"/>
  <c r="T44"/>
  <c r="T43"/>
  <c r="T42"/>
  <c r="U42" s="1"/>
  <c r="T41"/>
  <c r="P40"/>
  <c r="T40" s="1"/>
  <c r="T39"/>
  <c r="T38"/>
  <c r="T37"/>
  <c r="U37" s="1"/>
  <c r="T36"/>
  <c r="T35"/>
  <c r="U35" s="1"/>
  <c r="T34"/>
  <c r="U34" s="1"/>
  <c r="U33"/>
  <c r="T33"/>
  <c r="U32"/>
  <c r="T32"/>
  <c r="T31"/>
  <c r="U31" s="1"/>
  <c r="U30"/>
  <c r="T30"/>
  <c r="T29"/>
  <c r="N29"/>
  <c r="T28"/>
  <c r="U28" s="1"/>
  <c r="U27"/>
  <c r="P27"/>
  <c r="I27"/>
  <c r="T27" s="1"/>
  <c r="T26"/>
  <c r="P26"/>
  <c r="U26" s="1"/>
  <c r="N26"/>
  <c r="U25"/>
  <c r="T25"/>
  <c r="T24"/>
  <c r="U23"/>
  <c r="T23"/>
  <c r="T22"/>
  <c r="U22" s="1"/>
  <c r="T21"/>
  <c r="U20"/>
  <c r="T20"/>
  <c r="T19"/>
  <c r="T18"/>
  <c r="T17"/>
  <c r="T16"/>
  <c r="T15"/>
  <c r="T14"/>
  <c r="U14" s="1"/>
  <c r="T13"/>
  <c r="T12"/>
  <c r="U12" s="1"/>
  <c r="T11"/>
  <c r="U11" s="1"/>
  <c r="U10"/>
  <c r="T10"/>
  <c r="U9"/>
  <c r="T9"/>
  <c r="T8"/>
  <c r="U8" s="1"/>
  <c r="U7"/>
  <c r="U68" s="1"/>
  <c r="T7"/>
  <c r="T6"/>
  <c r="S210" i="10"/>
  <c r="R210"/>
  <c r="Q210"/>
  <c r="P210"/>
  <c r="O210"/>
  <c r="N210"/>
  <c r="M210"/>
  <c r="M211" s="1"/>
  <c r="L210"/>
  <c r="K210"/>
  <c r="J210"/>
  <c r="I210"/>
  <c r="H210"/>
  <c r="G210"/>
  <c r="F210"/>
  <c r="T209"/>
  <c r="T208"/>
  <c r="U208" s="1"/>
  <c r="T207"/>
  <c r="U207" s="1"/>
  <c r="T206"/>
  <c r="T205"/>
  <c r="U205" s="1"/>
  <c r="T204"/>
  <c r="U204" s="1"/>
  <c r="U203"/>
  <c r="T203"/>
  <c r="T202"/>
  <c r="U202" s="1"/>
  <c r="T201"/>
  <c r="U200"/>
  <c r="T200"/>
  <c r="U199"/>
  <c r="T199"/>
  <c r="U198"/>
  <c r="T198"/>
  <c r="U197"/>
  <c r="T197"/>
  <c r="T196"/>
  <c r="P195"/>
  <c r="T195" s="1"/>
  <c r="U195" s="1"/>
  <c r="T194"/>
  <c r="U193"/>
  <c r="T193"/>
  <c r="W192"/>
  <c r="U192"/>
  <c r="T192"/>
  <c r="T191"/>
  <c r="U191" s="1"/>
  <c r="U190"/>
  <c r="T190"/>
  <c r="U189"/>
  <c r="T189"/>
  <c r="T188"/>
  <c r="U188" s="1"/>
  <c r="U186"/>
  <c r="T186"/>
  <c r="T185"/>
  <c r="U185" s="1"/>
  <c r="P184"/>
  <c r="T184" s="1"/>
  <c r="U184" s="1"/>
  <c r="U183"/>
  <c r="T183"/>
  <c r="T182"/>
  <c r="U182" s="1"/>
  <c r="T181"/>
  <c r="U181" s="1"/>
  <c r="T180"/>
  <c r="U180" s="1"/>
  <c r="U179"/>
  <c r="T179"/>
  <c r="T178"/>
  <c r="U178" s="1"/>
  <c r="T177"/>
  <c r="U177" s="1"/>
  <c r="U176"/>
  <c r="T176"/>
  <c r="T175"/>
  <c r="U175" s="1"/>
  <c r="U174"/>
  <c r="T174"/>
  <c r="T173"/>
  <c r="U173" s="1"/>
  <c r="U172"/>
  <c r="T172"/>
  <c r="U171"/>
  <c r="T171"/>
  <c r="T170"/>
  <c r="U170" s="1"/>
  <c r="T169"/>
  <c r="U169" s="1"/>
  <c r="T168"/>
  <c r="U168" s="1"/>
  <c r="T167"/>
  <c r="U167" s="1"/>
  <c r="T166"/>
  <c r="U166" s="1"/>
  <c r="U165"/>
  <c r="T165"/>
  <c r="U164"/>
  <c r="T164"/>
  <c r="T163"/>
  <c r="U163" s="1"/>
  <c r="U162"/>
  <c r="T162"/>
  <c r="T161"/>
  <c r="U161" s="1"/>
  <c r="T160"/>
  <c r="U160" s="1"/>
  <c r="T159"/>
  <c r="U159" s="1"/>
  <c r="S158"/>
  <c r="P158"/>
  <c r="O158"/>
  <c r="O211" s="1"/>
  <c r="N158"/>
  <c r="M158"/>
  <c r="L158"/>
  <c r="L211" s="1"/>
  <c r="K158"/>
  <c r="J158"/>
  <c r="I158"/>
  <c r="I211" s="1"/>
  <c r="H158"/>
  <c r="G158"/>
  <c r="F158"/>
  <c r="F211" s="1"/>
  <c r="U157"/>
  <c r="T157"/>
  <c r="P157"/>
  <c r="U156"/>
  <c r="T156"/>
  <c r="T155"/>
  <c r="U155" s="1"/>
  <c r="U154"/>
  <c r="T154"/>
  <c r="R154"/>
  <c r="R158" s="1"/>
  <c r="R211" s="1"/>
  <c r="T153"/>
  <c r="U153" s="1"/>
  <c r="T152"/>
  <c r="U152" s="1"/>
  <c r="U151"/>
  <c r="T151"/>
  <c r="T150"/>
  <c r="U149"/>
  <c r="T149"/>
  <c r="T148"/>
  <c r="U148" s="1"/>
  <c r="P148"/>
  <c r="T147"/>
  <c r="U147" s="1"/>
  <c r="T146"/>
  <c r="U146" s="1"/>
  <c r="U145"/>
  <c r="T145"/>
  <c r="T144"/>
  <c r="U144" s="1"/>
  <c r="T143"/>
  <c r="U143" s="1"/>
  <c r="U142"/>
  <c r="T142"/>
  <c r="P142"/>
  <c r="U141"/>
  <c r="T141"/>
  <c r="T140"/>
  <c r="U140" s="1"/>
  <c r="T139"/>
  <c r="T138"/>
  <c r="U138" s="1"/>
  <c r="T137"/>
  <c r="U137" s="1"/>
  <c r="U136"/>
  <c r="T136"/>
  <c r="Q136"/>
  <c r="Q158" s="1"/>
  <c r="U135"/>
  <c r="T135"/>
  <c r="S134"/>
  <c r="R134"/>
  <c r="Q134"/>
  <c r="P134"/>
  <c r="O134"/>
  <c r="N134"/>
  <c r="N211" s="1"/>
  <c r="M134"/>
  <c r="L134"/>
  <c r="K134"/>
  <c r="J134"/>
  <c r="I134"/>
  <c r="H134"/>
  <c r="T134" s="1"/>
  <c r="G134"/>
  <c r="F134"/>
  <c r="U133"/>
  <c r="T133"/>
  <c r="T130"/>
  <c r="T129"/>
  <c r="T128"/>
  <c r="T117"/>
  <c r="U117" s="1"/>
  <c r="U134" s="1"/>
  <c r="T103"/>
  <c r="T102"/>
  <c r="T101"/>
  <c r="T100"/>
  <c r="T99"/>
  <c r="T98"/>
  <c r="T97"/>
  <c r="T96"/>
  <c r="T95"/>
  <c r="T94"/>
  <c r="R93"/>
  <c r="Q93"/>
  <c r="P93"/>
  <c r="O93"/>
  <c r="N93"/>
  <c r="M93"/>
  <c r="L93"/>
  <c r="K93"/>
  <c r="J93"/>
  <c r="I93"/>
  <c r="H93"/>
  <c r="G93"/>
  <c r="F93"/>
  <c r="U92"/>
  <c r="T92"/>
  <c r="T91"/>
  <c r="T90"/>
  <c r="T89"/>
  <c r="T88"/>
  <c r="U88" s="1"/>
  <c r="T87"/>
  <c r="T86"/>
  <c r="U85"/>
  <c r="T85"/>
  <c r="T84"/>
  <c r="T83"/>
  <c r="T82"/>
  <c r="T81"/>
  <c r="T80"/>
  <c r="T79"/>
  <c r="T78"/>
  <c r="T77"/>
  <c r="T76"/>
  <c r="T75"/>
  <c r="U74"/>
  <c r="T74"/>
  <c r="T73"/>
  <c r="U73" s="1"/>
  <c r="U72"/>
  <c r="T72"/>
  <c r="U71"/>
  <c r="T71"/>
  <c r="T70"/>
  <c r="U70" s="1"/>
  <c r="S69"/>
  <c r="S69" i="16" s="1"/>
  <c r="S68" i="10"/>
  <c r="R68"/>
  <c r="O68"/>
  <c r="M68"/>
  <c r="L68"/>
  <c r="K68"/>
  <c r="J68"/>
  <c r="H68"/>
  <c r="G68"/>
  <c r="G211" s="1"/>
  <c r="F68"/>
  <c r="T67"/>
  <c r="U67" s="1"/>
  <c r="T66"/>
  <c r="U66" s="1"/>
  <c r="U65"/>
  <c r="T65"/>
  <c r="T64"/>
  <c r="U64" s="1"/>
  <c r="T63"/>
  <c r="U63" s="1"/>
  <c r="U62"/>
  <c r="T62"/>
  <c r="T61"/>
  <c r="U61" s="1"/>
  <c r="T60"/>
  <c r="U60" s="1"/>
  <c r="U59"/>
  <c r="T59"/>
  <c r="T58"/>
  <c r="U58" s="1"/>
  <c r="U57"/>
  <c r="T57"/>
  <c r="U56"/>
  <c r="T56"/>
  <c r="T55"/>
  <c r="U55" s="1"/>
  <c r="T54"/>
  <c r="U54" s="1"/>
  <c r="U53"/>
  <c r="T53"/>
  <c r="T52"/>
  <c r="U52" s="1"/>
  <c r="T51"/>
  <c r="U51" s="1"/>
  <c r="U50"/>
  <c r="T50"/>
  <c r="T49"/>
  <c r="U49" s="1"/>
  <c r="T48"/>
  <c r="U48" s="1"/>
  <c r="U47"/>
  <c r="T47"/>
  <c r="T46"/>
  <c r="U46" s="1"/>
  <c r="Q45"/>
  <c r="T45" s="1"/>
  <c r="T44"/>
  <c r="T43"/>
  <c r="T42"/>
  <c r="U42" s="1"/>
  <c r="T41"/>
  <c r="P40"/>
  <c r="T40" s="1"/>
  <c r="U39"/>
  <c r="T39"/>
  <c r="U38"/>
  <c r="T38"/>
  <c r="T37"/>
  <c r="U37" s="1"/>
  <c r="U36"/>
  <c r="T36"/>
  <c r="U35"/>
  <c r="T35"/>
  <c r="T34"/>
  <c r="U34" s="1"/>
  <c r="U33"/>
  <c r="T33"/>
  <c r="U32"/>
  <c r="T32"/>
  <c r="T31"/>
  <c r="U31" s="1"/>
  <c r="U30"/>
  <c r="T30"/>
  <c r="T29"/>
  <c r="N29"/>
  <c r="T28"/>
  <c r="U28" s="1"/>
  <c r="P27"/>
  <c r="P68" s="1"/>
  <c r="I27"/>
  <c r="I68" s="1"/>
  <c r="T26"/>
  <c r="P26"/>
  <c r="N26"/>
  <c r="N68" s="1"/>
  <c r="U25"/>
  <c r="T25"/>
  <c r="T24"/>
  <c r="U24" s="1"/>
  <c r="U23"/>
  <c r="T23"/>
  <c r="U22"/>
  <c r="T22"/>
  <c r="T21"/>
  <c r="U21" s="1"/>
  <c r="U20"/>
  <c r="T20"/>
  <c r="U19"/>
  <c r="T19"/>
  <c r="T18"/>
  <c r="U18" s="1"/>
  <c r="T17"/>
  <c r="T16"/>
  <c r="U16" s="1"/>
  <c r="T15"/>
  <c r="T14"/>
  <c r="U14" s="1"/>
  <c r="U13"/>
  <c r="T13"/>
  <c r="U12"/>
  <c r="T12"/>
  <c r="T11"/>
  <c r="U11" s="1"/>
  <c r="U10"/>
  <c r="T10"/>
  <c r="U9"/>
  <c r="T9"/>
  <c r="T8"/>
  <c r="U8" s="1"/>
  <c r="U7"/>
  <c r="T7"/>
  <c r="T6"/>
  <c r="V210" i="9"/>
  <c r="S210"/>
  <c r="R210"/>
  <c r="Q210"/>
  <c r="O210"/>
  <c r="N210"/>
  <c r="M210"/>
  <c r="L210"/>
  <c r="K210"/>
  <c r="J210"/>
  <c r="I210"/>
  <c r="H210"/>
  <c r="G210"/>
  <c r="F210"/>
  <c r="T209"/>
  <c r="T208"/>
  <c r="U208" s="1"/>
  <c r="T207"/>
  <c r="T206"/>
  <c r="T205"/>
  <c r="T204"/>
  <c r="U204" s="1"/>
  <c r="U203"/>
  <c r="T203"/>
  <c r="T202"/>
  <c r="T201"/>
  <c r="T200"/>
  <c r="T199"/>
  <c r="T198"/>
  <c r="T197"/>
  <c r="T196"/>
  <c r="P195"/>
  <c r="T195" s="1"/>
  <c r="U195" s="1"/>
  <c r="T194"/>
  <c r="T193"/>
  <c r="T192"/>
  <c r="U192" s="1"/>
  <c r="T191"/>
  <c r="U191" s="1"/>
  <c r="T190"/>
  <c r="T189"/>
  <c r="T188"/>
  <c r="T186"/>
  <c r="U186" s="1"/>
  <c r="T185"/>
  <c r="U185" s="1"/>
  <c r="T184"/>
  <c r="U184" s="1"/>
  <c r="P184"/>
  <c r="P210" s="1"/>
  <c r="T183"/>
  <c r="T182"/>
  <c r="T181"/>
  <c r="T180"/>
  <c r="T179"/>
  <c r="T178"/>
  <c r="T177"/>
  <c r="T176"/>
  <c r="T175"/>
  <c r="T174"/>
  <c r="T173"/>
  <c r="T172"/>
  <c r="U172" s="1"/>
  <c r="T171"/>
  <c r="T170"/>
  <c r="T169"/>
  <c r="U168"/>
  <c r="T168"/>
  <c r="T167"/>
  <c r="T166"/>
  <c r="T165"/>
  <c r="U165" s="1"/>
  <c r="U164"/>
  <c r="T164"/>
  <c r="T163"/>
  <c r="U163" s="1"/>
  <c r="T162"/>
  <c r="T161"/>
  <c r="T160"/>
  <c r="U160" s="1"/>
  <c r="T159"/>
  <c r="U159" s="1"/>
  <c r="S158"/>
  <c r="Q158"/>
  <c r="O158"/>
  <c r="N158"/>
  <c r="M158"/>
  <c r="L158"/>
  <c r="K158"/>
  <c r="J158"/>
  <c r="I158"/>
  <c r="H158"/>
  <c r="G158"/>
  <c r="F158"/>
  <c r="U157"/>
  <c r="P157"/>
  <c r="T157" s="1"/>
  <c r="T156"/>
  <c r="T155"/>
  <c r="R154"/>
  <c r="T154" s="1"/>
  <c r="U154" s="1"/>
  <c r="T153"/>
  <c r="T152"/>
  <c r="T151"/>
  <c r="T150"/>
  <c r="T149"/>
  <c r="P148"/>
  <c r="T147"/>
  <c r="T146"/>
  <c r="T145"/>
  <c r="T144"/>
  <c r="T143"/>
  <c r="P142"/>
  <c r="T142" s="1"/>
  <c r="U142" s="1"/>
  <c r="T141"/>
  <c r="T140"/>
  <c r="T139"/>
  <c r="T138"/>
  <c r="T137"/>
  <c r="Q136"/>
  <c r="T136" s="1"/>
  <c r="U136" s="1"/>
  <c r="T135"/>
  <c r="V134"/>
  <c r="S134"/>
  <c r="R134"/>
  <c r="Q134"/>
  <c r="P134"/>
  <c r="O134"/>
  <c r="N134"/>
  <c r="M134"/>
  <c r="L134"/>
  <c r="K134"/>
  <c r="J134"/>
  <c r="I134"/>
  <c r="H134"/>
  <c r="G134"/>
  <c r="F134"/>
  <c r="T133"/>
  <c r="U132"/>
  <c r="U132" i="16" s="1"/>
  <c r="T132" i="9"/>
  <c r="T131"/>
  <c r="U131" s="1"/>
  <c r="U131" i="16" s="1"/>
  <c r="T130" i="9"/>
  <c r="T129"/>
  <c r="T128"/>
  <c r="T117"/>
  <c r="U117" s="1"/>
  <c r="T103"/>
  <c r="T102"/>
  <c r="T101"/>
  <c r="T100"/>
  <c r="T99"/>
  <c r="T98"/>
  <c r="T97"/>
  <c r="T96"/>
  <c r="T95"/>
  <c r="T94"/>
  <c r="S93"/>
  <c r="R93"/>
  <c r="Q93"/>
  <c r="P93"/>
  <c r="O93"/>
  <c r="N93"/>
  <c r="M93"/>
  <c r="L93"/>
  <c r="K93"/>
  <c r="J93"/>
  <c r="I93"/>
  <c r="H93"/>
  <c r="G93"/>
  <c r="F93"/>
  <c r="T92"/>
  <c r="T91"/>
  <c r="T90"/>
  <c r="T89"/>
  <c r="T88"/>
  <c r="T87"/>
  <c r="T86"/>
  <c r="T85"/>
  <c r="T84"/>
  <c r="T83"/>
  <c r="T82"/>
  <c r="T81"/>
  <c r="T80"/>
  <c r="T79"/>
  <c r="T78"/>
  <c r="T77"/>
  <c r="T76"/>
  <c r="T75"/>
  <c r="U74"/>
  <c r="T74"/>
  <c r="T73"/>
  <c r="U73" s="1"/>
  <c r="T72"/>
  <c r="U72" s="1"/>
  <c r="T71"/>
  <c r="U71" s="1"/>
  <c r="T70"/>
  <c r="U70" s="1"/>
  <c r="T69"/>
  <c r="U69" s="1"/>
  <c r="S68"/>
  <c r="R68"/>
  <c r="O68"/>
  <c r="M68"/>
  <c r="L68"/>
  <c r="K68"/>
  <c r="J68"/>
  <c r="H68"/>
  <c r="G68"/>
  <c r="F68"/>
  <c r="T67"/>
  <c r="T66"/>
  <c r="T65"/>
  <c r="T64"/>
  <c r="U63"/>
  <c r="T63"/>
  <c r="U62"/>
  <c r="T62"/>
  <c r="T61"/>
  <c r="U61" s="1"/>
  <c r="T60"/>
  <c r="T59"/>
  <c r="U59" s="1"/>
  <c r="U58"/>
  <c r="T58"/>
  <c r="U57"/>
  <c r="T57"/>
  <c r="T56"/>
  <c r="T55"/>
  <c r="U55" s="1"/>
  <c r="T54"/>
  <c r="U54" s="1"/>
  <c r="U53"/>
  <c r="T53"/>
  <c r="T52"/>
  <c r="U52" s="1"/>
  <c r="T51"/>
  <c r="T50"/>
  <c r="U50" s="1"/>
  <c r="U49"/>
  <c r="T49"/>
  <c r="T48"/>
  <c r="U48" s="1"/>
  <c r="T47"/>
  <c r="U47" s="1"/>
  <c r="U46"/>
  <c r="T46"/>
  <c r="Q45"/>
  <c r="Q68" s="1"/>
  <c r="Q211" s="1"/>
  <c r="T44"/>
  <c r="T43"/>
  <c r="U42"/>
  <c r="T42"/>
  <c r="T41"/>
  <c r="P40"/>
  <c r="T40" s="1"/>
  <c r="T39"/>
  <c r="T38"/>
  <c r="T37"/>
  <c r="U37" s="1"/>
  <c r="T36"/>
  <c r="T35"/>
  <c r="U35" s="1"/>
  <c r="U34"/>
  <c r="T34"/>
  <c r="U33"/>
  <c r="T33"/>
  <c r="T32"/>
  <c r="U32" s="1"/>
  <c r="T31"/>
  <c r="U31" s="1"/>
  <c r="U30"/>
  <c r="T30"/>
  <c r="N29"/>
  <c r="T29" s="1"/>
  <c r="T28"/>
  <c r="U28" s="1"/>
  <c r="U27"/>
  <c r="P27"/>
  <c r="I27"/>
  <c r="I68" s="1"/>
  <c r="P26"/>
  <c r="U26" s="1"/>
  <c r="N26"/>
  <c r="T25"/>
  <c r="T24"/>
  <c r="U23"/>
  <c r="T23"/>
  <c r="T22"/>
  <c r="U22" s="1"/>
  <c r="T21"/>
  <c r="U21" s="1"/>
  <c r="U20"/>
  <c r="T20"/>
  <c r="T19"/>
  <c r="T18"/>
  <c r="T17"/>
  <c r="T16"/>
  <c r="T15"/>
  <c r="T14"/>
  <c r="U14" s="1"/>
  <c r="T13"/>
  <c r="U13" s="1"/>
  <c r="U12"/>
  <c r="T12"/>
  <c r="T11"/>
  <c r="U11" s="1"/>
  <c r="T10"/>
  <c r="U10" s="1"/>
  <c r="T9"/>
  <c r="U9" s="1"/>
  <c r="T8"/>
  <c r="U8" s="1"/>
  <c r="T7"/>
  <c r="U7" s="1"/>
  <c r="T6"/>
  <c r="S210" i="8"/>
  <c r="S211" s="1"/>
  <c r="R210"/>
  <c r="Q210"/>
  <c r="O210"/>
  <c r="O211" s="1"/>
  <c r="N210"/>
  <c r="M210"/>
  <c r="L210"/>
  <c r="L211" s="1"/>
  <c r="K210"/>
  <c r="K211" s="1"/>
  <c r="J210"/>
  <c r="I210"/>
  <c r="I211" s="1"/>
  <c r="H210"/>
  <c r="G210"/>
  <c r="G211" s="1"/>
  <c r="F210"/>
  <c r="F211" s="1"/>
  <c r="T209"/>
  <c r="T208"/>
  <c r="U208" s="1"/>
  <c r="U207"/>
  <c r="T207"/>
  <c r="T206"/>
  <c r="U205"/>
  <c r="T205"/>
  <c r="T204"/>
  <c r="U204" s="1"/>
  <c r="U203"/>
  <c r="T203"/>
  <c r="U202"/>
  <c r="T202"/>
  <c r="T201"/>
  <c r="U201" s="1"/>
  <c r="U200"/>
  <c r="T200"/>
  <c r="T199"/>
  <c r="T198"/>
  <c r="U198" s="1"/>
  <c r="U197"/>
  <c r="T197"/>
  <c r="T196"/>
  <c r="P195"/>
  <c r="T195" s="1"/>
  <c r="U195" s="1"/>
  <c r="T194"/>
  <c r="U193"/>
  <c r="T193"/>
  <c r="T192"/>
  <c r="U192" s="1"/>
  <c r="U191"/>
  <c r="T191"/>
  <c r="U190"/>
  <c r="T190"/>
  <c r="T189"/>
  <c r="U189" s="1"/>
  <c r="U188"/>
  <c r="T188"/>
  <c r="T186"/>
  <c r="U186" s="1"/>
  <c r="U185"/>
  <c r="T185"/>
  <c r="P184"/>
  <c r="P210" s="1"/>
  <c r="U183"/>
  <c r="T183"/>
  <c r="T182"/>
  <c r="U182" s="1"/>
  <c r="T181"/>
  <c r="U181" s="1"/>
  <c r="U180"/>
  <c r="T180"/>
  <c r="T179"/>
  <c r="U179" s="1"/>
  <c r="T178"/>
  <c r="U178" s="1"/>
  <c r="U177"/>
  <c r="T177"/>
  <c r="T176"/>
  <c r="U176" s="1"/>
  <c r="T175"/>
  <c r="U175" s="1"/>
  <c r="U174"/>
  <c r="T174"/>
  <c r="T173"/>
  <c r="U173" s="1"/>
  <c r="U172"/>
  <c r="T172"/>
  <c r="U171"/>
  <c r="T171"/>
  <c r="T170"/>
  <c r="U170" s="1"/>
  <c r="T169"/>
  <c r="U169" s="1"/>
  <c r="U168"/>
  <c r="T168"/>
  <c r="T167"/>
  <c r="U167" s="1"/>
  <c r="T166"/>
  <c r="U166" s="1"/>
  <c r="U165"/>
  <c r="T165"/>
  <c r="T164"/>
  <c r="U164" s="1"/>
  <c r="T163"/>
  <c r="U163" s="1"/>
  <c r="U162"/>
  <c r="T162"/>
  <c r="T161"/>
  <c r="U161" s="1"/>
  <c r="T160"/>
  <c r="U160" s="1"/>
  <c r="U159"/>
  <c r="T159"/>
  <c r="S158"/>
  <c r="Q158"/>
  <c r="P158"/>
  <c r="O158"/>
  <c r="N158"/>
  <c r="M158"/>
  <c r="L158"/>
  <c r="K158"/>
  <c r="J158"/>
  <c r="J211" s="1"/>
  <c r="I158"/>
  <c r="H158"/>
  <c r="G158"/>
  <c r="F158"/>
  <c r="U157"/>
  <c r="T157"/>
  <c r="P157"/>
  <c r="U156"/>
  <c r="T156"/>
  <c r="T155"/>
  <c r="U155" s="1"/>
  <c r="R154"/>
  <c r="T153"/>
  <c r="U153" s="1"/>
  <c r="U152"/>
  <c r="T152"/>
  <c r="T151"/>
  <c r="U151" s="1"/>
  <c r="T150"/>
  <c r="U149"/>
  <c r="T149"/>
  <c r="T148"/>
  <c r="U148" s="1"/>
  <c r="P148"/>
  <c r="T147"/>
  <c r="U147" s="1"/>
  <c r="U146"/>
  <c r="T146"/>
  <c r="U145"/>
  <c r="T145"/>
  <c r="T144"/>
  <c r="U144" s="1"/>
  <c r="U143"/>
  <c r="T143"/>
  <c r="U142"/>
  <c r="P142"/>
  <c r="T142" s="1"/>
  <c r="U141"/>
  <c r="T141"/>
  <c r="T140"/>
  <c r="U140" s="1"/>
  <c r="T139"/>
  <c r="T138"/>
  <c r="U138" s="1"/>
  <c r="U137"/>
  <c r="T137"/>
  <c r="U136"/>
  <c r="Q136"/>
  <c r="T136" s="1"/>
  <c r="U135"/>
  <c r="T135"/>
  <c r="S134"/>
  <c r="R134"/>
  <c r="Q134"/>
  <c r="P134"/>
  <c r="O134"/>
  <c r="N134"/>
  <c r="M134"/>
  <c r="L134"/>
  <c r="K134"/>
  <c r="J134"/>
  <c r="I134"/>
  <c r="H134"/>
  <c r="T134" s="1"/>
  <c r="G134"/>
  <c r="F134"/>
  <c r="U133"/>
  <c r="T133"/>
  <c r="T130"/>
  <c r="T129"/>
  <c r="T128"/>
  <c r="T117"/>
  <c r="U117" s="1"/>
  <c r="U134" s="1"/>
  <c r="T103"/>
  <c r="T102"/>
  <c r="T101"/>
  <c r="T100"/>
  <c r="T99"/>
  <c r="T98"/>
  <c r="T97"/>
  <c r="T96"/>
  <c r="T95"/>
  <c r="T94"/>
  <c r="S93"/>
  <c r="R93"/>
  <c r="Q93"/>
  <c r="P93"/>
  <c r="O93"/>
  <c r="N93"/>
  <c r="M93"/>
  <c r="L93"/>
  <c r="K93"/>
  <c r="J93"/>
  <c r="I93"/>
  <c r="H93"/>
  <c r="T93" s="1"/>
  <c r="G93"/>
  <c r="F93"/>
  <c r="U92"/>
  <c r="T92"/>
  <c r="T91"/>
  <c r="T90"/>
  <c r="T89"/>
  <c r="T88"/>
  <c r="U88" s="1"/>
  <c r="T87"/>
  <c r="T86"/>
  <c r="U85"/>
  <c r="T85"/>
  <c r="T84"/>
  <c r="T83"/>
  <c r="T82"/>
  <c r="T81"/>
  <c r="T80"/>
  <c r="T79"/>
  <c r="T78"/>
  <c r="T77"/>
  <c r="T76"/>
  <c r="T75"/>
  <c r="U74"/>
  <c r="T74"/>
  <c r="T73"/>
  <c r="U73" s="1"/>
  <c r="T72"/>
  <c r="U72" s="1"/>
  <c r="U71"/>
  <c r="T71"/>
  <c r="T70"/>
  <c r="U70" s="1"/>
  <c r="T69"/>
  <c r="U69" s="1"/>
  <c r="S68"/>
  <c r="R68"/>
  <c r="O68"/>
  <c r="L68"/>
  <c r="K68"/>
  <c r="J68"/>
  <c r="I68"/>
  <c r="H68"/>
  <c r="G68"/>
  <c r="F68"/>
  <c r="T67"/>
  <c r="U67" s="1"/>
  <c r="U66"/>
  <c r="T66"/>
  <c r="T65"/>
  <c r="U65" s="1"/>
  <c r="T64"/>
  <c r="U64" s="1"/>
  <c r="U63"/>
  <c r="T63"/>
  <c r="U62"/>
  <c r="T62"/>
  <c r="M62"/>
  <c r="M68" s="1"/>
  <c r="M211" s="1"/>
  <c r="T61"/>
  <c r="U61" s="1"/>
  <c r="U60"/>
  <c r="T60"/>
  <c r="U59"/>
  <c r="T59"/>
  <c r="T58"/>
  <c r="U58" s="1"/>
  <c r="U57"/>
  <c r="T57"/>
  <c r="U56"/>
  <c r="T56"/>
  <c r="T55"/>
  <c r="U55" s="1"/>
  <c r="U54"/>
  <c r="T54"/>
  <c r="U53"/>
  <c r="T53"/>
  <c r="T52"/>
  <c r="U52" s="1"/>
  <c r="U51"/>
  <c r="T51"/>
  <c r="U50"/>
  <c r="T50"/>
  <c r="T49"/>
  <c r="U49" s="1"/>
  <c r="U48"/>
  <c r="T48"/>
  <c r="U47"/>
  <c r="T47"/>
  <c r="T46"/>
  <c r="U46" s="1"/>
  <c r="T45"/>
  <c r="Q45"/>
  <c r="Q68" s="1"/>
  <c r="T44"/>
  <c r="T43"/>
  <c r="T42"/>
  <c r="U42" s="1"/>
  <c r="T41"/>
  <c r="P40"/>
  <c r="T40" s="1"/>
  <c r="U39"/>
  <c r="T39"/>
  <c r="U38"/>
  <c r="T38"/>
  <c r="T37"/>
  <c r="U37" s="1"/>
  <c r="U36"/>
  <c r="T36"/>
  <c r="U35"/>
  <c r="T35"/>
  <c r="U34"/>
  <c r="T34"/>
  <c r="U33"/>
  <c r="T33"/>
  <c r="U32"/>
  <c r="T32"/>
  <c r="T31"/>
  <c r="U31" s="1"/>
  <c r="U30"/>
  <c r="T30"/>
  <c r="T29"/>
  <c r="N29"/>
  <c r="T28"/>
  <c r="U28" s="1"/>
  <c r="P27"/>
  <c r="U27" s="1"/>
  <c r="I27"/>
  <c r="T27" s="1"/>
  <c r="U26"/>
  <c r="T26"/>
  <c r="P26"/>
  <c r="N26"/>
  <c r="N68" s="1"/>
  <c r="U25"/>
  <c r="T25"/>
  <c r="T24"/>
  <c r="U24" s="1"/>
  <c r="U23"/>
  <c r="T23"/>
  <c r="U22"/>
  <c r="T22"/>
  <c r="T21"/>
  <c r="U21" s="1"/>
  <c r="U20"/>
  <c r="T20"/>
  <c r="U19"/>
  <c r="T19"/>
  <c r="T18"/>
  <c r="U18" s="1"/>
  <c r="T17"/>
  <c r="T16"/>
  <c r="U16" s="1"/>
  <c r="T15"/>
  <c r="T14"/>
  <c r="U14" s="1"/>
  <c r="U13"/>
  <c r="T13"/>
  <c r="U12"/>
  <c r="T12"/>
  <c r="T11"/>
  <c r="U11" s="1"/>
  <c r="U10"/>
  <c r="T10"/>
  <c r="U9"/>
  <c r="T9"/>
  <c r="T8"/>
  <c r="U8" s="1"/>
  <c r="U68" s="1"/>
  <c r="U7"/>
  <c r="T7"/>
  <c r="T6"/>
  <c r="V210" i="7"/>
  <c r="S210"/>
  <c r="S211" s="1"/>
  <c r="R210"/>
  <c r="Q210"/>
  <c r="O210"/>
  <c r="N210"/>
  <c r="M210"/>
  <c r="M211" s="1"/>
  <c r="L210"/>
  <c r="K210"/>
  <c r="J210"/>
  <c r="I210"/>
  <c r="H210"/>
  <c r="G210"/>
  <c r="G211" s="1"/>
  <c r="F210"/>
  <c r="T209"/>
  <c r="T208"/>
  <c r="U208" s="1"/>
  <c r="T207"/>
  <c r="T206"/>
  <c r="T205"/>
  <c r="T204"/>
  <c r="U204" s="1"/>
  <c r="U203"/>
  <c r="T203"/>
  <c r="T202"/>
  <c r="T201"/>
  <c r="T200"/>
  <c r="T199"/>
  <c r="T198"/>
  <c r="T197"/>
  <c r="T196"/>
  <c r="P195"/>
  <c r="T195" s="1"/>
  <c r="U195" s="1"/>
  <c r="T194"/>
  <c r="T193"/>
  <c r="T192"/>
  <c r="T191"/>
  <c r="U191" s="1"/>
  <c r="T190"/>
  <c r="T189"/>
  <c r="T188"/>
  <c r="T186"/>
  <c r="U186" s="1"/>
  <c r="T185"/>
  <c r="U185" s="1"/>
  <c r="P184"/>
  <c r="P210" s="1"/>
  <c r="T183"/>
  <c r="T182"/>
  <c r="T181"/>
  <c r="T180"/>
  <c r="T179"/>
  <c r="T178"/>
  <c r="T177"/>
  <c r="T176"/>
  <c r="T175"/>
  <c r="T174"/>
  <c r="T173"/>
  <c r="U172"/>
  <c r="T172"/>
  <c r="T171"/>
  <c r="T170"/>
  <c r="T169"/>
  <c r="T168"/>
  <c r="U168" s="1"/>
  <c r="T167"/>
  <c r="U167" s="1"/>
  <c r="T166"/>
  <c r="U166" s="1"/>
  <c r="T165"/>
  <c r="U165" s="1"/>
  <c r="T164"/>
  <c r="U164" s="1"/>
  <c r="T163"/>
  <c r="U163" s="1"/>
  <c r="T162"/>
  <c r="T161"/>
  <c r="T160"/>
  <c r="U160" s="1"/>
  <c r="T159"/>
  <c r="U159" s="1"/>
  <c r="V158"/>
  <c r="S158"/>
  <c r="O158"/>
  <c r="N158"/>
  <c r="M158"/>
  <c r="L158"/>
  <c r="K158"/>
  <c r="J158"/>
  <c r="I158"/>
  <c r="H158"/>
  <c r="G158"/>
  <c r="F158"/>
  <c r="U157"/>
  <c r="P157"/>
  <c r="T157" s="1"/>
  <c r="T156"/>
  <c r="T155"/>
  <c r="T154"/>
  <c r="U154" s="1"/>
  <c r="R154"/>
  <c r="R158" s="1"/>
  <c r="T153"/>
  <c r="T152"/>
  <c r="T151"/>
  <c r="T150"/>
  <c r="T149"/>
  <c r="P148"/>
  <c r="T148" s="1"/>
  <c r="U148" s="1"/>
  <c r="T147"/>
  <c r="T146"/>
  <c r="U146" s="1"/>
  <c r="T145"/>
  <c r="U145" s="1"/>
  <c r="T144"/>
  <c r="T143"/>
  <c r="P142"/>
  <c r="T141"/>
  <c r="T140"/>
  <c r="T139"/>
  <c r="T138"/>
  <c r="T137"/>
  <c r="T136"/>
  <c r="U136" s="1"/>
  <c r="Q136"/>
  <c r="Q158" s="1"/>
  <c r="T135"/>
  <c r="S134"/>
  <c r="R134"/>
  <c r="Q134"/>
  <c r="P134"/>
  <c r="O134"/>
  <c r="N134"/>
  <c r="M134"/>
  <c r="L134"/>
  <c r="K134"/>
  <c r="J134"/>
  <c r="I134"/>
  <c r="H134"/>
  <c r="G134"/>
  <c r="F134"/>
  <c r="T133"/>
  <c r="T130"/>
  <c r="T129"/>
  <c r="T128"/>
  <c r="T117"/>
  <c r="U117" s="1"/>
  <c r="U134" s="1"/>
  <c r="T103"/>
  <c r="T102"/>
  <c r="T101"/>
  <c r="T100"/>
  <c r="T99"/>
  <c r="T98"/>
  <c r="T97"/>
  <c r="T96"/>
  <c r="T95"/>
  <c r="T94"/>
  <c r="S93"/>
  <c r="R93"/>
  <c r="Q93"/>
  <c r="P93"/>
  <c r="O93"/>
  <c r="N93"/>
  <c r="M93"/>
  <c r="L93"/>
  <c r="K93"/>
  <c r="J93"/>
  <c r="I93"/>
  <c r="H93"/>
  <c r="G93"/>
  <c r="F93"/>
  <c r="T92"/>
  <c r="T91"/>
  <c r="T90"/>
  <c r="T89"/>
  <c r="T88"/>
  <c r="T87"/>
  <c r="T86"/>
  <c r="T85"/>
  <c r="T84"/>
  <c r="T83"/>
  <c r="T82"/>
  <c r="T81"/>
  <c r="T80"/>
  <c r="T79"/>
  <c r="T78"/>
  <c r="T77"/>
  <c r="T76"/>
  <c r="T75"/>
  <c r="U74"/>
  <c r="T74"/>
  <c r="T73"/>
  <c r="U73" s="1"/>
  <c r="T72"/>
  <c r="U72" s="1"/>
  <c r="U71"/>
  <c r="T71"/>
  <c r="T70"/>
  <c r="T69"/>
  <c r="U69" s="1"/>
  <c r="S68"/>
  <c r="R68"/>
  <c r="O68"/>
  <c r="M68"/>
  <c r="L68"/>
  <c r="K68"/>
  <c r="J68"/>
  <c r="H68"/>
  <c r="G68"/>
  <c r="F68"/>
  <c r="U67"/>
  <c r="T67"/>
  <c r="T66"/>
  <c r="T65"/>
  <c r="T64"/>
  <c r="T63"/>
  <c r="U63" s="1"/>
  <c r="U62"/>
  <c r="T62"/>
  <c r="U61"/>
  <c r="T61"/>
  <c r="T60"/>
  <c r="T59"/>
  <c r="T58"/>
  <c r="U58" s="1"/>
  <c r="U57"/>
  <c r="T57"/>
  <c r="T56"/>
  <c r="U55"/>
  <c r="T55"/>
  <c r="T54"/>
  <c r="U54" s="1"/>
  <c r="T53"/>
  <c r="U53" s="1"/>
  <c r="U52"/>
  <c r="T52"/>
  <c r="T51"/>
  <c r="U50"/>
  <c r="T50"/>
  <c r="T49"/>
  <c r="U49" s="1"/>
  <c r="T48"/>
  <c r="U48" s="1"/>
  <c r="T47"/>
  <c r="U47" s="1"/>
  <c r="T46"/>
  <c r="U46" s="1"/>
  <c r="Q45"/>
  <c r="T45" s="1"/>
  <c r="T44"/>
  <c r="T43"/>
  <c r="T42"/>
  <c r="U42" s="1"/>
  <c r="T41"/>
  <c r="P40"/>
  <c r="T40" s="1"/>
  <c r="T39"/>
  <c r="T38"/>
  <c r="T37"/>
  <c r="U37" s="1"/>
  <c r="T36"/>
  <c r="U35"/>
  <c r="T35"/>
  <c r="T34"/>
  <c r="U34" s="1"/>
  <c r="U33"/>
  <c r="T33"/>
  <c r="T32"/>
  <c r="U32" s="1"/>
  <c r="T31"/>
  <c r="U31" s="1"/>
  <c r="T30"/>
  <c r="U30" s="1"/>
  <c r="N29"/>
  <c r="T29" s="1"/>
  <c r="T28"/>
  <c r="U28" s="1"/>
  <c r="P27"/>
  <c r="U27" s="1"/>
  <c r="I27"/>
  <c r="I68" s="1"/>
  <c r="T26"/>
  <c r="P26"/>
  <c r="N26"/>
  <c r="U25"/>
  <c r="T25"/>
  <c r="T24"/>
  <c r="U23"/>
  <c r="T23"/>
  <c r="T22"/>
  <c r="U22" s="1"/>
  <c r="T21"/>
  <c r="U20"/>
  <c r="T20"/>
  <c r="T19"/>
  <c r="T18"/>
  <c r="T17"/>
  <c r="T16"/>
  <c r="T15"/>
  <c r="U14"/>
  <c r="T14"/>
  <c r="T13"/>
  <c r="T12"/>
  <c r="U12" s="1"/>
  <c r="T11"/>
  <c r="U11" s="1"/>
  <c r="T10"/>
  <c r="U10" s="1"/>
  <c r="U9"/>
  <c r="T9"/>
  <c r="T8"/>
  <c r="U8" s="1"/>
  <c r="T7"/>
  <c r="U7" s="1"/>
  <c r="T6"/>
  <c r="S210" i="6"/>
  <c r="R210"/>
  <c r="Q210"/>
  <c r="O210"/>
  <c r="N210"/>
  <c r="M210"/>
  <c r="L210"/>
  <c r="K210"/>
  <c r="J210"/>
  <c r="I210"/>
  <c r="H210"/>
  <c r="H211" s="1"/>
  <c r="G210"/>
  <c r="F210"/>
  <c r="T209"/>
  <c r="T208"/>
  <c r="U208" s="1"/>
  <c r="T207"/>
  <c r="U207" s="1"/>
  <c r="T206"/>
  <c r="U205"/>
  <c r="T205"/>
  <c r="U204"/>
  <c r="T204"/>
  <c r="U203"/>
  <c r="T203"/>
  <c r="T202"/>
  <c r="U202" s="1"/>
  <c r="U201"/>
  <c r="T201"/>
  <c r="T200"/>
  <c r="U200" s="1"/>
  <c r="T199"/>
  <c r="U199" s="1"/>
  <c r="U199" i="16" s="1"/>
  <c r="T198" i="6"/>
  <c r="U198" s="1"/>
  <c r="T197"/>
  <c r="U197" s="1"/>
  <c r="T196"/>
  <c r="P195"/>
  <c r="T195" s="1"/>
  <c r="U195" s="1"/>
  <c r="T194"/>
  <c r="T193"/>
  <c r="U193" s="1"/>
  <c r="T192"/>
  <c r="U192" s="1"/>
  <c r="U191"/>
  <c r="T191"/>
  <c r="T190"/>
  <c r="U190" s="1"/>
  <c r="T189"/>
  <c r="U189" s="1"/>
  <c r="T188"/>
  <c r="U188" s="1"/>
  <c r="T186"/>
  <c r="U186" s="1"/>
  <c r="U185"/>
  <c r="T185"/>
  <c r="P184"/>
  <c r="P210" s="1"/>
  <c r="T183"/>
  <c r="U183" s="1"/>
  <c r="T182"/>
  <c r="U182" s="1"/>
  <c r="T181"/>
  <c r="U181" s="1"/>
  <c r="T180"/>
  <c r="U180" s="1"/>
  <c r="T179"/>
  <c r="U179" s="1"/>
  <c r="T178"/>
  <c r="U178" s="1"/>
  <c r="T177"/>
  <c r="U177" s="1"/>
  <c r="T176"/>
  <c r="U176" s="1"/>
  <c r="T175"/>
  <c r="U175" s="1"/>
  <c r="T174"/>
  <c r="U174" s="1"/>
  <c r="T173"/>
  <c r="U173" s="1"/>
  <c r="U172"/>
  <c r="T172"/>
  <c r="T171"/>
  <c r="U171" s="1"/>
  <c r="T170"/>
  <c r="U170" s="1"/>
  <c r="U169"/>
  <c r="T169"/>
  <c r="T168"/>
  <c r="U168" s="1"/>
  <c r="U167"/>
  <c r="T167"/>
  <c r="U166"/>
  <c r="T166"/>
  <c r="T165"/>
  <c r="U165" s="1"/>
  <c r="U164"/>
  <c r="T164"/>
  <c r="T163"/>
  <c r="U163" s="1"/>
  <c r="T162"/>
  <c r="U162" s="1"/>
  <c r="U161"/>
  <c r="T161"/>
  <c r="T160"/>
  <c r="U160" s="1"/>
  <c r="T159"/>
  <c r="U159" s="1"/>
  <c r="V158"/>
  <c r="S158"/>
  <c r="O158"/>
  <c r="N158"/>
  <c r="M158"/>
  <c r="L158"/>
  <c r="K158"/>
  <c r="J158"/>
  <c r="I158"/>
  <c r="H158"/>
  <c r="G158"/>
  <c r="F158"/>
  <c r="U157"/>
  <c r="P157"/>
  <c r="T157" s="1"/>
  <c r="T156"/>
  <c r="U156" s="1"/>
  <c r="T155"/>
  <c r="U155" s="1"/>
  <c r="R154"/>
  <c r="R158" s="1"/>
  <c r="U153"/>
  <c r="T153"/>
  <c r="T152"/>
  <c r="U152" s="1"/>
  <c r="T151"/>
  <c r="U151" s="1"/>
  <c r="T150"/>
  <c r="T149"/>
  <c r="U149" s="1"/>
  <c r="P148"/>
  <c r="T148" s="1"/>
  <c r="U148" s="1"/>
  <c r="T147"/>
  <c r="U147" s="1"/>
  <c r="U146"/>
  <c r="T146"/>
  <c r="T145"/>
  <c r="U145" s="1"/>
  <c r="T144"/>
  <c r="U144" s="1"/>
  <c r="T143"/>
  <c r="U143" s="1"/>
  <c r="P142"/>
  <c r="T142" s="1"/>
  <c r="U142" s="1"/>
  <c r="T141"/>
  <c r="U141" s="1"/>
  <c r="T140"/>
  <c r="U140" s="1"/>
  <c r="T139"/>
  <c r="U139" s="1"/>
  <c r="U138"/>
  <c r="T138"/>
  <c r="T137"/>
  <c r="U137" s="1"/>
  <c r="Q136"/>
  <c r="T136" s="1"/>
  <c r="U136" s="1"/>
  <c r="T135"/>
  <c r="U135" s="1"/>
  <c r="S134"/>
  <c r="R134"/>
  <c r="Q134"/>
  <c r="P134"/>
  <c r="O134"/>
  <c r="N134"/>
  <c r="M134"/>
  <c r="L134"/>
  <c r="K134"/>
  <c r="J134"/>
  <c r="I134"/>
  <c r="H134"/>
  <c r="G134"/>
  <c r="F134"/>
  <c r="T133"/>
  <c r="U133" s="1"/>
  <c r="T130"/>
  <c r="T129"/>
  <c r="T128"/>
  <c r="T117"/>
  <c r="U117" s="1"/>
  <c r="T103"/>
  <c r="T102"/>
  <c r="T101"/>
  <c r="T100"/>
  <c r="T99"/>
  <c r="T98"/>
  <c r="T97"/>
  <c r="T96"/>
  <c r="T95"/>
  <c r="T94"/>
  <c r="S93"/>
  <c r="R93"/>
  <c r="Q93"/>
  <c r="P93"/>
  <c r="O93"/>
  <c r="N93"/>
  <c r="M93"/>
  <c r="L93"/>
  <c r="K93"/>
  <c r="J93"/>
  <c r="I93"/>
  <c r="H93"/>
  <c r="G93"/>
  <c r="F93"/>
  <c r="T92"/>
  <c r="U92" s="1"/>
  <c r="T91"/>
  <c r="T90"/>
  <c r="T89"/>
  <c r="T88"/>
  <c r="U88" s="1"/>
  <c r="T87"/>
  <c r="T86"/>
  <c r="T85"/>
  <c r="U85" s="1"/>
  <c r="T84"/>
  <c r="T83"/>
  <c r="T82"/>
  <c r="T81"/>
  <c r="T80"/>
  <c r="T79"/>
  <c r="T78"/>
  <c r="T77"/>
  <c r="T76"/>
  <c r="T75"/>
  <c r="T74"/>
  <c r="U74" s="1"/>
  <c r="T73"/>
  <c r="U73" s="1"/>
  <c r="T72"/>
  <c r="U72" s="1"/>
  <c r="T71"/>
  <c r="U71" s="1"/>
  <c r="T70"/>
  <c r="U70" s="1"/>
  <c r="U69"/>
  <c r="T69"/>
  <c r="S68"/>
  <c r="R68"/>
  <c r="O68"/>
  <c r="M68"/>
  <c r="L68"/>
  <c r="K68"/>
  <c r="J68"/>
  <c r="H68"/>
  <c r="G68"/>
  <c r="F68"/>
  <c r="T67"/>
  <c r="U67" s="1"/>
  <c r="T66"/>
  <c r="U66" s="1"/>
  <c r="U65"/>
  <c r="T65"/>
  <c r="U64"/>
  <c r="T64"/>
  <c r="T63"/>
  <c r="U63" s="1"/>
  <c r="T62"/>
  <c r="U62" s="1"/>
  <c r="T61"/>
  <c r="U61" s="1"/>
  <c r="T60"/>
  <c r="U60" s="1"/>
  <c r="U59"/>
  <c r="T59"/>
  <c r="T58"/>
  <c r="U58" s="1"/>
  <c r="U57"/>
  <c r="T57"/>
  <c r="T56"/>
  <c r="U56" s="1"/>
  <c r="U55"/>
  <c r="T55"/>
  <c r="T54"/>
  <c r="U54" s="1"/>
  <c r="T53"/>
  <c r="U53" s="1"/>
  <c r="T52"/>
  <c r="U52" s="1"/>
  <c r="T51"/>
  <c r="U51" s="1"/>
  <c r="T50"/>
  <c r="U50" s="1"/>
  <c r="T49"/>
  <c r="U49" s="1"/>
  <c r="T48"/>
  <c r="U48" s="1"/>
  <c r="T47"/>
  <c r="U47" s="1"/>
  <c r="T46"/>
  <c r="U46" s="1"/>
  <c r="Q45"/>
  <c r="T45" s="1"/>
  <c r="T44"/>
  <c r="T43"/>
  <c r="T42"/>
  <c r="U42" s="1"/>
  <c r="T41"/>
  <c r="P40"/>
  <c r="T40" s="1"/>
  <c r="T39"/>
  <c r="U39" s="1"/>
  <c r="T38"/>
  <c r="U38" s="1"/>
  <c r="T37"/>
  <c r="U37" s="1"/>
  <c r="T36"/>
  <c r="U36" s="1"/>
  <c r="T35"/>
  <c r="U35" s="1"/>
  <c r="T34"/>
  <c r="U34" s="1"/>
  <c r="U33"/>
  <c r="T33"/>
  <c r="T32"/>
  <c r="U32" s="1"/>
  <c r="T31"/>
  <c r="U31" s="1"/>
  <c r="T30"/>
  <c r="U30" s="1"/>
  <c r="N29"/>
  <c r="T29" s="1"/>
  <c r="T28"/>
  <c r="U28" s="1"/>
  <c r="P27"/>
  <c r="U27" s="1"/>
  <c r="I27"/>
  <c r="I68" s="1"/>
  <c r="P26"/>
  <c r="N26"/>
  <c r="U25"/>
  <c r="T25"/>
  <c r="T24"/>
  <c r="U24" s="1"/>
  <c r="P23"/>
  <c r="P23" i="16" s="1"/>
  <c r="U22" i="6"/>
  <c r="T22"/>
  <c r="U21"/>
  <c r="T21"/>
  <c r="U20"/>
  <c r="T20"/>
  <c r="T19"/>
  <c r="U19" s="1"/>
  <c r="U18"/>
  <c r="T18"/>
  <c r="T17"/>
  <c r="T16"/>
  <c r="U16" s="1"/>
  <c r="T15"/>
  <c r="T14"/>
  <c r="U14" s="1"/>
  <c r="U13"/>
  <c r="T13"/>
  <c r="U12"/>
  <c r="T12"/>
  <c r="T11"/>
  <c r="U11" s="1"/>
  <c r="T10"/>
  <c r="T9"/>
  <c r="T8"/>
  <c r="T7"/>
  <c r="U7" s="1"/>
  <c r="T6"/>
  <c r="U6" s="1"/>
  <c r="S210" i="5"/>
  <c r="R210"/>
  <c r="Q210"/>
  <c r="O210"/>
  <c r="N210"/>
  <c r="N211" s="1"/>
  <c r="M210"/>
  <c r="L210"/>
  <c r="K210"/>
  <c r="J210"/>
  <c r="I210"/>
  <c r="H210"/>
  <c r="G210"/>
  <c r="F210"/>
  <c r="T209"/>
  <c r="T208"/>
  <c r="U208" s="1"/>
  <c r="T207"/>
  <c r="T206"/>
  <c r="T205"/>
  <c r="T204"/>
  <c r="U204" s="1"/>
  <c r="U203"/>
  <c r="T203"/>
  <c r="T202"/>
  <c r="T201"/>
  <c r="T200"/>
  <c r="U200" s="1"/>
  <c r="T199"/>
  <c r="T198"/>
  <c r="T197"/>
  <c r="T196"/>
  <c r="P195"/>
  <c r="T195" s="1"/>
  <c r="U195" s="1"/>
  <c r="T194"/>
  <c r="T193"/>
  <c r="U192"/>
  <c r="T192"/>
  <c r="T191"/>
  <c r="U191" s="1"/>
  <c r="T190"/>
  <c r="T189"/>
  <c r="T188"/>
  <c r="T186"/>
  <c r="U186" s="1"/>
  <c r="T185"/>
  <c r="U185" s="1"/>
  <c r="P184"/>
  <c r="P210" s="1"/>
  <c r="T183"/>
  <c r="T182"/>
  <c r="T181"/>
  <c r="T180"/>
  <c r="T179"/>
  <c r="T178"/>
  <c r="T177"/>
  <c r="T176"/>
  <c r="T175"/>
  <c r="T174"/>
  <c r="T173"/>
  <c r="U172"/>
  <c r="T172"/>
  <c r="T171"/>
  <c r="T170"/>
  <c r="T169"/>
  <c r="T168"/>
  <c r="U168" s="1"/>
  <c r="T167"/>
  <c r="U167" s="1"/>
  <c r="T166"/>
  <c r="T165"/>
  <c r="U165" s="1"/>
  <c r="T164"/>
  <c r="U164" s="1"/>
  <c r="T163"/>
  <c r="U163" s="1"/>
  <c r="T162"/>
  <c r="T161"/>
  <c r="T160"/>
  <c r="U160" s="1"/>
  <c r="T159"/>
  <c r="S158"/>
  <c r="O158"/>
  <c r="N158"/>
  <c r="M158"/>
  <c r="L158"/>
  <c r="K158"/>
  <c r="J158"/>
  <c r="I158"/>
  <c r="H158"/>
  <c r="G158"/>
  <c r="F158"/>
  <c r="U157"/>
  <c r="P157"/>
  <c r="T157" s="1"/>
  <c r="T156"/>
  <c r="T155"/>
  <c r="R154"/>
  <c r="T154" s="1"/>
  <c r="U154" s="1"/>
  <c r="T153"/>
  <c r="T152"/>
  <c r="T151"/>
  <c r="T150"/>
  <c r="T149"/>
  <c r="P148"/>
  <c r="T148" s="1"/>
  <c r="U148" s="1"/>
  <c r="T147"/>
  <c r="U147" s="1"/>
  <c r="T146"/>
  <c r="T145"/>
  <c r="T144"/>
  <c r="T143"/>
  <c r="P142"/>
  <c r="T141"/>
  <c r="T140"/>
  <c r="T139"/>
  <c r="T138"/>
  <c r="T137"/>
  <c r="Q136"/>
  <c r="T136" s="1"/>
  <c r="U136" s="1"/>
  <c r="T135"/>
  <c r="S134"/>
  <c r="R134"/>
  <c r="Q134"/>
  <c r="P134"/>
  <c r="O134"/>
  <c r="N134"/>
  <c r="M134"/>
  <c r="L134"/>
  <c r="K134"/>
  <c r="J134"/>
  <c r="I134"/>
  <c r="H134"/>
  <c r="G134"/>
  <c r="F134"/>
  <c r="T133"/>
  <c r="T130"/>
  <c r="T129"/>
  <c r="T128"/>
  <c r="T117"/>
  <c r="U117" s="1"/>
  <c r="U134" s="1"/>
  <c r="T103"/>
  <c r="T102"/>
  <c r="T101"/>
  <c r="T100"/>
  <c r="T99"/>
  <c r="T98"/>
  <c r="T97"/>
  <c r="T96"/>
  <c r="T95"/>
  <c r="T94"/>
  <c r="S93"/>
  <c r="R93"/>
  <c r="Q93"/>
  <c r="P93"/>
  <c r="O93"/>
  <c r="N93"/>
  <c r="M93"/>
  <c r="L93"/>
  <c r="K93"/>
  <c r="J93"/>
  <c r="I93"/>
  <c r="H93"/>
  <c r="G93"/>
  <c r="F93"/>
  <c r="T92"/>
  <c r="T91"/>
  <c r="T90"/>
  <c r="T89"/>
  <c r="T88"/>
  <c r="T87"/>
  <c r="T86"/>
  <c r="T85"/>
  <c r="T84"/>
  <c r="T83"/>
  <c r="T82"/>
  <c r="T81"/>
  <c r="T80"/>
  <c r="T79"/>
  <c r="T78"/>
  <c r="T77"/>
  <c r="T76"/>
  <c r="T75"/>
  <c r="T74"/>
  <c r="T73"/>
  <c r="U73" s="1"/>
  <c r="T72"/>
  <c r="U72" s="1"/>
  <c r="T71"/>
  <c r="U71" s="1"/>
  <c r="T70"/>
  <c r="U70" s="1"/>
  <c r="T69"/>
  <c r="U69" s="1"/>
  <c r="S68"/>
  <c r="R68"/>
  <c r="O68"/>
  <c r="L68"/>
  <c r="K68"/>
  <c r="J68"/>
  <c r="H68"/>
  <c r="H211" s="1"/>
  <c r="G68"/>
  <c r="F68"/>
  <c r="T67"/>
  <c r="U67" s="1"/>
  <c r="T66"/>
  <c r="U66" s="1"/>
  <c r="T65"/>
  <c r="U65" s="1"/>
  <c r="T64"/>
  <c r="U64" s="1"/>
  <c r="T63"/>
  <c r="U63" s="1"/>
  <c r="U62"/>
  <c r="M62"/>
  <c r="M68" s="1"/>
  <c r="T61"/>
  <c r="U61" s="1"/>
  <c r="T60"/>
  <c r="T59"/>
  <c r="T58"/>
  <c r="U58" s="1"/>
  <c r="U57"/>
  <c r="T57"/>
  <c r="T56"/>
  <c r="T55"/>
  <c r="U55" s="1"/>
  <c r="T54"/>
  <c r="U54" s="1"/>
  <c r="T53"/>
  <c r="U53" s="1"/>
  <c r="T52"/>
  <c r="U52" s="1"/>
  <c r="T51"/>
  <c r="T50"/>
  <c r="U50" s="1"/>
  <c r="T49"/>
  <c r="U49" s="1"/>
  <c r="T48"/>
  <c r="U48" s="1"/>
  <c r="T47"/>
  <c r="U47" s="1"/>
  <c r="T46"/>
  <c r="U46" s="1"/>
  <c r="T45"/>
  <c r="Q45"/>
  <c r="Q68" s="1"/>
  <c r="T44"/>
  <c r="T43"/>
  <c r="U42"/>
  <c r="T42"/>
  <c r="T41"/>
  <c r="P40"/>
  <c r="T40" s="1"/>
  <c r="T39"/>
  <c r="T38"/>
  <c r="T37"/>
  <c r="U37" s="1"/>
  <c r="T36"/>
  <c r="T35"/>
  <c r="U35" s="1"/>
  <c r="T34"/>
  <c r="U34" s="1"/>
  <c r="U33"/>
  <c r="T33"/>
  <c r="T32"/>
  <c r="U32" s="1"/>
  <c r="U31"/>
  <c r="T31"/>
  <c r="U30"/>
  <c r="T30"/>
  <c r="N29"/>
  <c r="T29" s="1"/>
  <c r="U28"/>
  <c r="T28"/>
  <c r="P27"/>
  <c r="U27" s="1"/>
  <c r="I27"/>
  <c r="I68" s="1"/>
  <c r="P26"/>
  <c r="N26"/>
  <c r="N68" s="1"/>
  <c r="U25"/>
  <c r="T25"/>
  <c r="T24"/>
  <c r="T23"/>
  <c r="U23" s="1"/>
  <c r="T22"/>
  <c r="U22" s="1"/>
  <c r="T21"/>
  <c r="U20"/>
  <c r="T20"/>
  <c r="T19"/>
  <c r="T18"/>
  <c r="T17"/>
  <c r="T16"/>
  <c r="U16" s="1"/>
  <c r="T15"/>
  <c r="U14"/>
  <c r="T14"/>
  <c r="T13"/>
  <c r="U13" s="1"/>
  <c r="U12"/>
  <c r="T12"/>
  <c r="T11"/>
  <c r="U11" s="1"/>
  <c r="T10"/>
  <c r="U10" s="1"/>
  <c r="T9"/>
  <c r="U9" s="1"/>
  <c r="T8"/>
  <c r="U8" s="1"/>
  <c r="T7"/>
  <c r="U7" s="1"/>
  <c r="T6"/>
  <c r="S210" i="4"/>
  <c r="S211" s="1"/>
  <c r="R210"/>
  <c r="Q210"/>
  <c r="Q211" s="1"/>
  <c r="O210"/>
  <c r="O211" s="1"/>
  <c r="N210"/>
  <c r="M210"/>
  <c r="M211" s="1"/>
  <c r="L210"/>
  <c r="L211" s="1"/>
  <c r="K210"/>
  <c r="J210"/>
  <c r="J211" s="1"/>
  <c r="I210"/>
  <c r="I211" s="1"/>
  <c r="H210"/>
  <c r="H211" s="1"/>
  <c r="G210"/>
  <c r="G211" s="1"/>
  <c r="F210"/>
  <c r="F211" s="1"/>
  <c r="T209"/>
  <c r="T208"/>
  <c r="U208" s="1"/>
  <c r="T207"/>
  <c r="T206"/>
  <c r="T205"/>
  <c r="U204"/>
  <c r="T204"/>
  <c r="U203"/>
  <c r="T203"/>
  <c r="T202"/>
  <c r="U200"/>
  <c r="T200"/>
  <c r="T199"/>
  <c r="T198"/>
  <c r="T197"/>
  <c r="T196"/>
  <c r="P195"/>
  <c r="T195" s="1"/>
  <c r="T194"/>
  <c r="T193"/>
  <c r="U192"/>
  <c r="T192"/>
  <c r="T191"/>
  <c r="U191" s="1"/>
  <c r="T190"/>
  <c r="T189"/>
  <c r="T188"/>
  <c r="T186"/>
  <c r="U186" s="1"/>
  <c r="T185"/>
  <c r="U185" s="1"/>
  <c r="P184"/>
  <c r="P210" s="1"/>
  <c r="T183"/>
  <c r="T182"/>
  <c r="T181"/>
  <c r="T180"/>
  <c r="T179"/>
  <c r="T178"/>
  <c r="T177"/>
  <c r="T176"/>
  <c r="T175"/>
  <c r="T174"/>
  <c r="T173"/>
  <c r="T172"/>
  <c r="U172" s="1"/>
  <c r="T171"/>
  <c r="T170"/>
  <c r="T169"/>
  <c r="T168"/>
  <c r="U168" s="1"/>
  <c r="T167"/>
  <c r="T166"/>
  <c r="T165"/>
  <c r="U165" s="1"/>
  <c r="T164"/>
  <c r="U164" s="1"/>
  <c r="U163"/>
  <c r="T163"/>
  <c r="T162"/>
  <c r="T161"/>
  <c r="T160"/>
  <c r="U160" s="1"/>
  <c r="U159"/>
  <c r="T159"/>
  <c r="S158"/>
  <c r="Q158"/>
  <c r="O158"/>
  <c r="N158"/>
  <c r="M158"/>
  <c r="L158"/>
  <c r="K158"/>
  <c r="J158"/>
  <c r="I158"/>
  <c r="H158"/>
  <c r="G158"/>
  <c r="F158"/>
  <c r="U157"/>
  <c r="P157"/>
  <c r="T157" s="1"/>
  <c r="T156"/>
  <c r="T155"/>
  <c r="T154"/>
  <c r="U154" s="1"/>
  <c r="R154"/>
  <c r="R158" s="1"/>
  <c r="T153"/>
  <c r="T152"/>
  <c r="T151"/>
  <c r="T150"/>
  <c r="T149"/>
  <c r="T148"/>
  <c r="U148" s="1"/>
  <c r="P148"/>
  <c r="T147"/>
  <c r="U147" s="1"/>
  <c r="T146"/>
  <c r="T145"/>
  <c r="T144"/>
  <c r="T143"/>
  <c r="T142"/>
  <c r="U142" s="1"/>
  <c r="P142"/>
  <c r="P158" s="1"/>
  <c r="T141"/>
  <c r="T140"/>
  <c r="T139"/>
  <c r="T138"/>
  <c r="T137"/>
  <c r="Q136"/>
  <c r="T136" s="1"/>
  <c r="U136" s="1"/>
  <c r="T135"/>
  <c r="S134"/>
  <c r="R134"/>
  <c r="Q134"/>
  <c r="P134"/>
  <c r="O134"/>
  <c r="N134"/>
  <c r="M134"/>
  <c r="L134"/>
  <c r="K134"/>
  <c r="J134"/>
  <c r="I134"/>
  <c r="H134"/>
  <c r="T134" s="1"/>
  <c r="G134"/>
  <c r="F134"/>
  <c r="T133"/>
  <c r="T130"/>
  <c r="T129"/>
  <c r="T128"/>
  <c r="T117"/>
  <c r="U117" s="1"/>
  <c r="U134" s="1"/>
  <c r="T103"/>
  <c r="T102"/>
  <c r="T101"/>
  <c r="T100"/>
  <c r="T99"/>
  <c r="T98"/>
  <c r="T97"/>
  <c r="T96"/>
  <c r="T95"/>
  <c r="T94"/>
  <c r="V93"/>
  <c r="S93"/>
  <c r="R93"/>
  <c r="Q93"/>
  <c r="P93"/>
  <c r="O93"/>
  <c r="N93"/>
  <c r="M93"/>
  <c r="L93"/>
  <c r="K93"/>
  <c r="J93"/>
  <c r="I93"/>
  <c r="H93"/>
  <c r="G93"/>
  <c r="F93"/>
  <c r="T93" s="1"/>
  <c r="T92"/>
  <c r="T91"/>
  <c r="T90"/>
  <c r="T89"/>
  <c r="T88"/>
  <c r="T87"/>
  <c r="T86"/>
  <c r="T85"/>
  <c r="U85" s="1"/>
  <c r="T84"/>
  <c r="T83"/>
  <c r="T82"/>
  <c r="T81"/>
  <c r="T80"/>
  <c r="T79"/>
  <c r="T78"/>
  <c r="T77"/>
  <c r="T76"/>
  <c r="T75"/>
  <c r="T74"/>
  <c r="U74" s="1"/>
  <c r="T73"/>
  <c r="U73" s="1"/>
  <c r="T72"/>
  <c r="U72" s="1"/>
  <c r="T71"/>
  <c r="U71" s="1"/>
  <c r="T70"/>
  <c r="T69"/>
  <c r="U69" s="1"/>
  <c r="U93" s="1"/>
  <c r="S68"/>
  <c r="R68"/>
  <c r="O68"/>
  <c r="M68"/>
  <c r="L68"/>
  <c r="K68"/>
  <c r="J68"/>
  <c r="I68"/>
  <c r="H68"/>
  <c r="G68"/>
  <c r="F68"/>
  <c r="U67"/>
  <c r="T67"/>
  <c r="U66"/>
  <c r="T66"/>
  <c r="T65"/>
  <c r="U65" s="1"/>
  <c r="U64"/>
  <c r="T64"/>
  <c r="U63"/>
  <c r="T63"/>
  <c r="U62"/>
  <c r="T62"/>
  <c r="U61"/>
  <c r="T61"/>
  <c r="U60"/>
  <c r="T60"/>
  <c r="T59"/>
  <c r="U59" s="1"/>
  <c r="U58"/>
  <c r="T58"/>
  <c r="U57"/>
  <c r="T57"/>
  <c r="T56"/>
  <c r="U56" s="1"/>
  <c r="U55"/>
  <c r="T55"/>
  <c r="U54"/>
  <c r="T54"/>
  <c r="T53"/>
  <c r="U53" s="1"/>
  <c r="U52"/>
  <c r="T52"/>
  <c r="U51"/>
  <c r="T51"/>
  <c r="T50"/>
  <c r="U50" s="1"/>
  <c r="U49"/>
  <c r="T49"/>
  <c r="U48"/>
  <c r="T48"/>
  <c r="T47"/>
  <c r="U47" s="1"/>
  <c r="U46"/>
  <c r="T46"/>
  <c r="T45"/>
  <c r="Q45"/>
  <c r="Q68" s="1"/>
  <c r="T44"/>
  <c r="T43"/>
  <c r="U42"/>
  <c r="T42"/>
  <c r="T41"/>
  <c r="P40"/>
  <c r="T40" s="1"/>
  <c r="U40" s="1"/>
  <c r="U39"/>
  <c r="T39"/>
  <c r="U38"/>
  <c r="T38"/>
  <c r="T37"/>
  <c r="U37" s="1"/>
  <c r="U36"/>
  <c r="T36"/>
  <c r="U35"/>
  <c r="T35"/>
  <c r="T34"/>
  <c r="U34" s="1"/>
  <c r="U33"/>
  <c r="T33"/>
  <c r="U32"/>
  <c r="T32"/>
  <c r="T31"/>
  <c r="U31" s="1"/>
  <c r="T30"/>
  <c r="U30" s="1"/>
  <c r="T29"/>
  <c r="N29"/>
  <c r="T28"/>
  <c r="U28" s="1"/>
  <c r="P27"/>
  <c r="I27"/>
  <c r="T26"/>
  <c r="P26"/>
  <c r="N26"/>
  <c r="U26" s="1"/>
  <c r="U25"/>
  <c r="T25"/>
  <c r="T24"/>
  <c r="U23"/>
  <c r="T23"/>
  <c r="T22"/>
  <c r="U22" s="1"/>
  <c r="T21"/>
  <c r="U21" s="1"/>
  <c r="U20"/>
  <c r="T20"/>
  <c r="T19"/>
  <c r="U19" s="1"/>
  <c r="T18"/>
  <c r="U18" s="1"/>
  <c r="T17"/>
  <c r="T16"/>
  <c r="U16" s="1"/>
  <c r="T15"/>
  <c r="T14"/>
  <c r="U14" s="1"/>
  <c r="U13"/>
  <c r="T13"/>
  <c r="T12"/>
  <c r="U12" s="1"/>
  <c r="T11"/>
  <c r="U11" s="1"/>
  <c r="U10"/>
  <c r="T10"/>
  <c r="T9"/>
  <c r="U9" s="1"/>
  <c r="T8"/>
  <c r="U8" s="1"/>
  <c r="U7"/>
  <c r="T7"/>
  <c r="T6"/>
  <c r="S210" i="3"/>
  <c r="Q210"/>
  <c r="O210"/>
  <c r="N210"/>
  <c r="M210"/>
  <c r="L210"/>
  <c r="L211" s="1"/>
  <c r="K210"/>
  <c r="K211" s="1"/>
  <c r="J210"/>
  <c r="J211" s="1"/>
  <c r="I210"/>
  <c r="H210"/>
  <c r="G210"/>
  <c r="F210"/>
  <c r="F211" s="1"/>
  <c r="T209"/>
  <c r="T208"/>
  <c r="T207"/>
  <c r="T206"/>
  <c r="T205"/>
  <c r="T204"/>
  <c r="U204" s="1"/>
  <c r="U203"/>
  <c r="T203"/>
  <c r="T202"/>
  <c r="T201"/>
  <c r="T200"/>
  <c r="T199"/>
  <c r="T198"/>
  <c r="T197"/>
  <c r="T196"/>
  <c r="P195"/>
  <c r="T195" s="1"/>
  <c r="U195" s="1"/>
  <c r="T194"/>
  <c r="T193"/>
  <c r="T192"/>
  <c r="T191"/>
  <c r="U191" s="1"/>
  <c r="T190"/>
  <c r="T189"/>
  <c r="T188"/>
  <c r="T186"/>
  <c r="U186" s="1"/>
  <c r="T185"/>
  <c r="U185" s="1"/>
  <c r="P184"/>
  <c r="P210" s="1"/>
  <c r="T183"/>
  <c r="T182"/>
  <c r="T181"/>
  <c r="T180"/>
  <c r="T179"/>
  <c r="T178"/>
  <c r="T177"/>
  <c r="T176"/>
  <c r="T175"/>
  <c r="T174"/>
  <c r="T173"/>
  <c r="T172"/>
  <c r="U172" s="1"/>
  <c r="T171"/>
  <c r="T170"/>
  <c r="T169"/>
  <c r="T168"/>
  <c r="U168" s="1"/>
  <c r="T167"/>
  <c r="T166"/>
  <c r="T165"/>
  <c r="U165" s="1"/>
  <c r="T164"/>
  <c r="U164" s="1"/>
  <c r="T163"/>
  <c r="U163" s="1"/>
  <c r="T162"/>
  <c r="T161"/>
  <c r="T160"/>
  <c r="U160" s="1"/>
  <c r="R160"/>
  <c r="R160" i="16" s="1"/>
  <c r="T159" i="3"/>
  <c r="S158"/>
  <c r="O158"/>
  <c r="O211" s="1"/>
  <c r="N158"/>
  <c r="M158"/>
  <c r="L158"/>
  <c r="K158"/>
  <c r="J158"/>
  <c r="I158"/>
  <c r="H158"/>
  <c r="G158"/>
  <c r="F158"/>
  <c r="U157"/>
  <c r="P157"/>
  <c r="T157" s="1"/>
  <c r="T156"/>
  <c r="T155"/>
  <c r="R154"/>
  <c r="T154" s="1"/>
  <c r="U154" s="1"/>
  <c r="T153"/>
  <c r="T152"/>
  <c r="T151"/>
  <c r="T150"/>
  <c r="T149"/>
  <c r="U148"/>
  <c r="P148"/>
  <c r="T148" s="1"/>
  <c r="U147"/>
  <c r="T147"/>
  <c r="T146"/>
  <c r="U145"/>
  <c r="T145"/>
  <c r="T144"/>
  <c r="T143"/>
  <c r="P142"/>
  <c r="T141"/>
  <c r="T140"/>
  <c r="T139"/>
  <c r="T138"/>
  <c r="T137"/>
  <c r="Q136"/>
  <c r="Q158" s="1"/>
  <c r="T135"/>
  <c r="S134"/>
  <c r="R134"/>
  <c r="Q134"/>
  <c r="P134"/>
  <c r="O134"/>
  <c r="N134"/>
  <c r="M134"/>
  <c r="L134"/>
  <c r="K134"/>
  <c r="J134"/>
  <c r="I134"/>
  <c r="H134"/>
  <c r="G134"/>
  <c r="F134"/>
  <c r="T133"/>
  <c r="T130"/>
  <c r="T129"/>
  <c r="T128"/>
  <c r="U117"/>
  <c r="U134" s="1"/>
  <c r="T117"/>
  <c r="T103"/>
  <c r="T102"/>
  <c r="T101"/>
  <c r="T100"/>
  <c r="T99"/>
  <c r="T98"/>
  <c r="T97"/>
  <c r="T96"/>
  <c r="T95"/>
  <c r="T94"/>
  <c r="V93"/>
  <c r="S93"/>
  <c r="R93"/>
  <c r="Q93"/>
  <c r="P93"/>
  <c r="O93"/>
  <c r="N93"/>
  <c r="M93"/>
  <c r="L93"/>
  <c r="K93"/>
  <c r="J93"/>
  <c r="I93"/>
  <c r="H93"/>
  <c r="G93"/>
  <c r="F93"/>
  <c r="T93" s="1"/>
  <c r="T92"/>
  <c r="T91"/>
  <c r="T90"/>
  <c r="T89"/>
  <c r="T88"/>
  <c r="T87"/>
  <c r="T86"/>
  <c r="T85"/>
  <c r="T84"/>
  <c r="T83"/>
  <c r="T82"/>
  <c r="T81"/>
  <c r="T80"/>
  <c r="T79"/>
  <c r="T78"/>
  <c r="T77"/>
  <c r="T76"/>
  <c r="T75"/>
  <c r="T74"/>
  <c r="U74" s="1"/>
  <c r="T73"/>
  <c r="U73" s="1"/>
  <c r="T72"/>
  <c r="U72" s="1"/>
  <c r="T71"/>
  <c r="U71" s="1"/>
  <c r="T70"/>
  <c r="U70" s="1"/>
  <c r="T69"/>
  <c r="U69" s="1"/>
  <c r="S68"/>
  <c r="R68"/>
  <c r="O68"/>
  <c r="M68"/>
  <c r="L68"/>
  <c r="K68"/>
  <c r="J68"/>
  <c r="H68"/>
  <c r="G68"/>
  <c r="F68"/>
  <c r="T67"/>
  <c r="U67" s="1"/>
  <c r="T66"/>
  <c r="T65"/>
  <c r="T64"/>
  <c r="U63"/>
  <c r="T63"/>
  <c r="U62"/>
  <c r="T62"/>
  <c r="U61"/>
  <c r="T61"/>
  <c r="T60"/>
  <c r="T59"/>
  <c r="T58"/>
  <c r="U58" s="1"/>
  <c r="U57"/>
  <c r="T57"/>
  <c r="T56"/>
  <c r="T55"/>
  <c r="U55" s="1"/>
  <c r="T54"/>
  <c r="U54" s="1"/>
  <c r="T53"/>
  <c r="U53" s="1"/>
  <c r="T52"/>
  <c r="U52" s="1"/>
  <c r="T51"/>
  <c r="U50"/>
  <c r="T50"/>
  <c r="U49"/>
  <c r="T49"/>
  <c r="T48"/>
  <c r="U48" s="1"/>
  <c r="U47"/>
  <c r="T47"/>
  <c r="T46"/>
  <c r="Q45"/>
  <c r="Q68" s="1"/>
  <c r="T44"/>
  <c r="T43"/>
  <c r="T42"/>
  <c r="T41"/>
  <c r="P40"/>
  <c r="T40" s="1"/>
  <c r="U40" s="1"/>
  <c r="T39"/>
  <c r="T38"/>
  <c r="U37"/>
  <c r="T37"/>
  <c r="T36"/>
  <c r="T35"/>
  <c r="U35" s="1"/>
  <c r="T34"/>
  <c r="U34" s="1"/>
  <c r="U33"/>
  <c r="T33"/>
  <c r="T32"/>
  <c r="U32" s="1"/>
  <c r="T31"/>
  <c r="U31" s="1"/>
  <c r="T30"/>
  <c r="U30" s="1"/>
  <c r="N29"/>
  <c r="T29" s="1"/>
  <c r="T28"/>
  <c r="U28" s="1"/>
  <c r="P27"/>
  <c r="U27" s="1"/>
  <c r="I27"/>
  <c r="P26"/>
  <c r="P68" s="1"/>
  <c r="N26"/>
  <c r="T26" s="1"/>
  <c r="U25"/>
  <c r="T25"/>
  <c r="T24"/>
  <c r="U23"/>
  <c r="T23"/>
  <c r="U22"/>
  <c r="T22"/>
  <c r="U21"/>
  <c r="T21"/>
  <c r="U20"/>
  <c r="T20"/>
  <c r="T19"/>
  <c r="T18"/>
  <c r="T17"/>
  <c r="T16"/>
  <c r="T15"/>
  <c r="T14"/>
  <c r="U14" s="1"/>
  <c r="T13"/>
  <c r="U13" s="1"/>
  <c r="T12"/>
  <c r="U12" s="1"/>
  <c r="T11"/>
  <c r="U11" s="1"/>
  <c r="T10"/>
  <c r="U10" s="1"/>
  <c r="T9"/>
  <c r="U9" s="1"/>
  <c r="T8"/>
  <c r="U8" s="1"/>
  <c r="T7"/>
  <c r="T6"/>
  <c r="S210" i="2"/>
  <c r="R210"/>
  <c r="Q210"/>
  <c r="O210"/>
  <c r="N210"/>
  <c r="M210"/>
  <c r="L210"/>
  <c r="K210"/>
  <c r="K211" s="1"/>
  <c r="J210"/>
  <c r="I210"/>
  <c r="H210"/>
  <c r="G210"/>
  <c r="F210"/>
  <c r="T209"/>
  <c r="T208"/>
  <c r="U208" s="1"/>
  <c r="T207"/>
  <c r="U207" s="1"/>
  <c r="T206"/>
  <c r="T205"/>
  <c r="U205" s="1"/>
  <c r="T204"/>
  <c r="U204" s="1"/>
  <c r="U203"/>
  <c r="T203"/>
  <c r="U202"/>
  <c r="T202"/>
  <c r="T201"/>
  <c r="U201" s="1"/>
  <c r="T200"/>
  <c r="U200" s="1"/>
  <c r="T199"/>
  <c r="T198"/>
  <c r="U198" s="1"/>
  <c r="T197"/>
  <c r="U197" s="1"/>
  <c r="T196"/>
  <c r="P195"/>
  <c r="T195" s="1"/>
  <c r="U195" s="1"/>
  <c r="T194"/>
  <c r="U193"/>
  <c r="T193"/>
  <c r="T192"/>
  <c r="U192" s="1"/>
  <c r="T191"/>
  <c r="U191" s="1"/>
  <c r="T190"/>
  <c r="U190" s="1"/>
  <c r="U189"/>
  <c r="T189"/>
  <c r="T188"/>
  <c r="U188" s="1"/>
  <c r="T187"/>
  <c r="U187" s="1"/>
  <c r="U186"/>
  <c r="T186"/>
  <c r="T185"/>
  <c r="U185" s="1"/>
  <c r="P184"/>
  <c r="T184" s="1"/>
  <c r="U184" s="1"/>
  <c r="T183"/>
  <c r="U183" s="1"/>
  <c r="T182"/>
  <c r="U182" s="1"/>
  <c r="T181"/>
  <c r="U181" s="1"/>
  <c r="T180"/>
  <c r="U180" s="1"/>
  <c r="T179"/>
  <c r="U179" s="1"/>
  <c r="T178"/>
  <c r="U178" s="1"/>
  <c r="T177"/>
  <c r="U177" s="1"/>
  <c r="T176"/>
  <c r="U176" s="1"/>
  <c r="T175"/>
  <c r="U175" s="1"/>
  <c r="T174"/>
  <c r="U174" s="1"/>
  <c r="T173"/>
  <c r="U173" s="1"/>
  <c r="T172"/>
  <c r="U172" s="1"/>
  <c r="T171"/>
  <c r="U171" s="1"/>
  <c r="T170"/>
  <c r="U170" s="1"/>
  <c r="T169"/>
  <c r="U169" s="1"/>
  <c r="T168"/>
  <c r="U168" s="1"/>
  <c r="T167"/>
  <c r="U167" s="1"/>
  <c r="T166"/>
  <c r="U166" s="1"/>
  <c r="T165"/>
  <c r="U165" s="1"/>
  <c r="T164"/>
  <c r="U164" s="1"/>
  <c r="T163"/>
  <c r="U163" s="1"/>
  <c r="T162"/>
  <c r="U162" s="1"/>
  <c r="T161"/>
  <c r="U161" s="1"/>
  <c r="T160"/>
  <c r="U160" s="1"/>
  <c r="T159"/>
  <c r="U159" s="1"/>
  <c r="S158"/>
  <c r="O158"/>
  <c r="N158"/>
  <c r="M158"/>
  <c r="L158"/>
  <c r="K158"/>
  <c r="J158"/>
  <c r="I158"/>
  <c r="H158"/>
  <c r="G158"/>
  <c r="F158"/>
  <c r="U157"/>
  <c r="P157"/>
  <c r="T157" s="1"/>
  <c r="T156"/>
  <c r="U156" s="1"/>
  <c r="T155"/>
  <c r="U155" s="1"/>
  <c r="R154"/>
  <c r="R158" s="1"/>
  <c r="U153"/>
  <c r="T153"/>
  <c r="T152"/>
  <c r="U152" s="1"/>
  <c r="U151"/>
  <c r="T151"/>
  <c r="T150"/>
  <c r="T149"/>
  <c r="U149" s="1"/>
  <c r="P148"/>
  <c r="T148" s="1"/>
  <c r="U148" s="1"/>
  <c r="T147"/>
  <c r="U147" s="1"/>
  <c r="T146"/>
  <c r="U146" s="1"/>
  <c r="T145"/>
  <c r="U145" s="1"/>
  <c r="T144"/>
  <c r="U144" s="1"/>
  <c r="T143"/>
  <c r="U143" s="1"/>
  <c r="P142"/>
  <c r="P158" s="1"/>
  <c r="T141"/>
  <c r="U141" s="1"/>
  <c r="U140"/>
  <c r="T140"/>
  <c r="U139"/>
  <c r="T139"/>
  <c r="T138"/>
  <c r="U138" s="1"/>
  <c r="U137"/>
  <c r="T137"/>
  <c r="Q136"/>
  <c r="Q158" s="1"/>
  <c r="T135"/>
  <c r="S134"/>
  <c r="R134"/>
  <c r="Q134"/>
  <c r="P134"/>
  <c r="O134"/>
  <c r="N134"/>
  <c r="M134"/>
  <c r="L134"/>
  <c r="K134"/>
  <c r="J134"/>
  <c r="I134"/>
  <c r="H134"/>
  <c r="G134"/>
  <c r="F134"/>
  <c r="T133"/>
  <c r="U133" s="1"/>
  <c r="T130"/>
  <c r="T129"/>
  <c r="T128"/>
  <c r="T117"/>
  <c r="U117" s="1"/>
  <c r="T103"/>
  <c r="T102"/>
  <c r="T101"/>
  <c r="T100"/>
  <c r="T99"/>
  <c r="T98"/>
  <c r="T97"/>
  <c r="T96"/>
  <c r="T95"/>
  <c r="T94"/>
  <c r="S93"/>
  <c r="R93"/>
  <c r="Q93"/>
  <c r="P93"/>
  <c r="O93"/>
  <c r="N93"/>
  <c r="M93"/>
  <c r="L93"/>
  <c r="K93"/>
  <c r="J93"/>
  <c r="I93"/>
  <c r="H93"/>
  <c r="G93"/>
  <c r="F93"/>
  <c r="T92"/>
  <c r="U92" s="1"/>
  <c r="T91"/>
  <c r="T90"/>
  <c r="T89"/>
  <c r="T88"/>
  <c r="U88" s="1"/>
  <c r="T87"/>
  <c r="T86"/>
  <c r="T85"/>
  <c r="U85" s="1"/>
  <c r="U85" i="16" s="1"/>
  <c r="T84" i="2"/>
  <c r="T83"/>
  <c r="T82"/>
  <c r="T81"/>
  <c r="T80"/>
  <c r="T79"/>
  <c r="T78"/>
  <c r="T77"/>
  <c r="T76"/>
  <c r="T75"/>
  <c r="T74"/>
  <c r="U73"/>
  <c r="T73"/>
  <c r="T72"/>
  <c r="U72" s="1"/>
  <c r="T71"/>
  <c r="U71" s="1"/>
  <c r="U70"/>
  <c r="T70"/>
  <c r="T69"/>
  <c r="S68"/>
  <c r="R68"/>
  <c r="O68"/>
  <c r="M68"/>
  <c r="L68"/>
  <c r="K68"/>
  <c r="J68"/>
  <c r="H68"/>
  <c r="G68"/>
  <c r="F68"/>
  <c r="T67"/>
  <c r="U67" s="1"/>
  <c r="T66"/>
  <c r="U66" s="1"/>
  <c r="U65"/>
  <c r="T65"/>
  <c r="T64"/>
  <c r="U64" s="1"/>
  <c r="T63"/>
  <c r="U63" s="1"/>
  <c r="U62"/>
  <c r="T62"/>
  <c r="T61"/>
  <c r="U61" s="1"/>
  <c r="T60"/>
  <c r="U60" s="1"/>
  <c r="T59"/>
  <c r="U59" s="1"/>
  <c r="T58"/>
  <c r="U58" s="1"/>
  <c r="U57"/>
  <c r="T57"/>
  <c r="T56"/>
  <c r="U56" s="1"/>
  <c r="T55"/>
  <c r="U55" s="1"/>
  <c r="T54"/>
  <c r="U54" s="1"/>
  <c r="T53"/>
  <c r="U53" s="1"/>
  <c r="T52"/>
  <c r="U52" s="1"/>
  <c r="T51"/>
  <c r="U51" s="1"/>
  <c r="U50"/>
  <c r="T50"/>
  <c r="T49"/>
  <c r="U49" s="1"/>
  <c r="T48"/>
  <c r="U48" s="1"/>
  <c r="T47"/>
  <c r="U47" s="1"/>
  <c r="T46"/>
  <c r="U46" s="1"/>
  <c r="Q45"/>
  <c r="T45" s="1"/>
  <c r="T44"/>
  <c r="T43"/>
  <c r="T42"/>
  <c r="U42" s="1"/>
  <c r="T41"/>
  <c r="T40"/>
  <c r="U40" s="1"/>
  <c r="P40"/>
  <c r="T39"/>
  <c r="U39" s="1"/>
  <c r="T38"/>
  <c r="U38" s="1"/>
  <c r="T37"/>
  <c r="U37" s="1"/>
  <c r="T36"/>
  <c r="U36" s="1"/>
  <c r="T35"/>
  <c r="U35" s="1"/>
  <c r="T34"/>
  <c r="U34" s="1"/>
  <c r="U33"/>
  <c r="T33"/>
  <c r="T32"/>
  <c r="U32" s="1"/>
  <c r="U31"/>
  <c r="T31"/>
  <c r="T30"/>
  <c r="U30" s="1"/>
  <c r="N29"/>
  <c r="T29" s="1"/>
  <c r="T28"/>
  <c r="U28" s="1"/>
  <c r="P27"/>
  <c r="U27" s="1"/>
  <c r="I27"/>
  <c r="I68" s="1"/>
  <c r="P26"/>
  <c r="N26"/>
  <c r="N68" s="1"/>
  <c r="U25"/>
  <c r="T25"/>
  <c r="U24"/>
  <c r="T24"/>
  <c r="T23"/>
  <c r="U23" s="1"/>
  <c r="T22"/>
  <c r="U22" s="1"/>
  <c r="U21"/>
  <c r="T21"/>
  <c r="U20"/>
  <c r="T20"/>
  <c r="T19"/>
  <c r="U19" s="1"/>
  <c r="U18"/>
  <c r="T18"/>
  <c r="T17"/>
  <c r="U16"/>
  <c r="T16"/>
  <c r="T15"/>
  <c r="U14"/>
  <c r="T14"/>
  <c r="T13"/>
  <c r="U13" s="1"/>
  <c r="T12"/>
  <c r="U12" s="1"/>
  <c r="T11"/>
  <c r="U11" s="1"/>
  <c r="T10"/>
  <c r="U10" s="1"/>
  <c r="T9"/>
  <c r="U9" s="1"/>
  <c r="T8"/>
  <c r="U8" s="1"/>
  <c r="T7"/>
  <c r="U7" s="1"/>
  <c r="T6"/>
  <c r="V210" i="1"/>
  <c r="S210"/>
  <c r="S211" s="1"/>
  <c r="R210"/>
  <c r="Q210"/>
  <c r="O210"/>
  <c r="N210"/>
  <c r="M210"/>
  <c r="L210"/>
  <c r="K210"/>
  <c r="J210"/>
  <c r="I210"/>
  <c r="H210"/>
  <c r="H211" s="1"/>
  <c r="G210"/>
  <c r="G211" s="1"/>
  <c r="F210"/>
  <c r="T209"/>
  <c r="T208"/>
  <c r="U208" s="1"/>
  <c r="T207"/>
  <c r="U207" s="1"/>
  <c r="T206"/>
  <c r="T205"/>
  <c r="U205" s="1"/>
  <c r="U204"/>
  <c r="T204"/>
  <c r="U203"/>
  <c r="U203" i="16" s="1"/>
  <c r="T203" i="1"/>
  <c r="T202"/>
  <c r="U202" s="1"/>
  <c r="T200"/>
  <c r="T199"/>
  <c r="U198"/>
  <c r="T198"/>
  <c r="T197"/>
  <c r="U197" s="1"/>
  <c r="T196"/>
  <c r="U195"/>
  <c r="T195"/>
  <c r="P195"/>
  <c r="T194"/>
  <c r="T193"/>
  <c r="U193" s="1"/>
  <c r="T192"/>
  <c r="U192" s="1"/>
  <c r="T191"/>
  <c r="U191" s="1"/>
  <c r="T190"/>
  <c r="U190" s="1"/>
  <c r="T189"/>
  <c r="U189" s="1"/>
  <c r="T188"/>
  <c r="U188" s="1"/>
  <c r="T187"/>
  <c r="U187" s="1"/>
  <c r="T186"/>
  <c r="U186" s="1"/>
  <c r="T185"/>
  <c r="U185" s="1"/>
  <c r="T184"/>
  <c r="U184" s="1"/>
  <c r="P184"/>
  <c r="U183"/>
  <c r="T183"/>
  <c r="U182"/>
  <c r="T182"/>
  <c r="T181"/>
  <c r="U181" s="1"/>
  <c r="U180"/>
  <c r="T180"/>
  <c r="U179"/>
  <c r="T179"/>
  <c r="T178"/>
  <c r="U178" s="1"/>
  <c r="U177"/>
  <c r="T177"/>
  <c r="U176"/>
  <c r="T176"/>
  <c r="T175"/>
  <c r="U175" s="1"/>
  <c r="U174"/>
  <c r="T174"/>
  <c r="U173"/>
  <c r="T173"/>
  <c r="U172"/>
  <c r="T172"/>
  <c r="U171"/>
  <c r="T171"/>
  <c r="U170"/>
  <c r="T170"/>
  <c r="T169"/>
  <c r="U169" s="1"/>
  <c r="U168"/>
  <c r="T168"/>
  <c r="U167"/>
  <c r="T167"/>
  <c r="T166"/>
  <c r="U166" s="1"/>
  <c r="U165"/>
  <c r="T165"/>
  <c r="U164"/>
  <c r="T164"/>
  <c r="T163"/>
  <c r="U163" s="1"/>
  <c r="U162"/>
  <c r="T162"/>
  <c r="U161"/>
  <c r="U161" i="16" s="1"/>
  <c r="T161" i="1"/>
  <c r="T160"/>
  <c r="U160" s="1"/>
  <c r="U159"/>
  <c r="T159"/>
  <c r="V158"/>
  <c r="S158"/>
  <c r="R158"/>
  <c r="P158"/>
  <c r="O158"/>
  <c r="M158"/>
  <c r="L158"/>
  <c r="K158"/>
  <c r="J158"/>
  <c r="J211" s="1"/>
  <c r="I158"/>
  <c r="H158"/>
  <c r="G158"/>
  <c r="F158"/>
  <c r="U157"/>
  <c r="T157"/>
  <c r="P157"/>
  <c r="T156"/>
  <c r="T155"/>
  <c r="U155" s="1"/>
  <c r="T154"/>
  <c r="U154" s="1"/>
  <c r="R154"/>
  <c r="T153"/>
  <c r="U153" s="1"/>
  <c r="U152"/>
  <c r="T152"/>
  <c r="U151"/>
  <c r="T151"/>
  <c r="T150"/>
  <c r="U149"/>
  <c r="T149"/>
  <c r="U148"/>
  <c r="P148"/>
  <c r="T148" s="1"/>
  <c r="T147"/>
  <c r="U147" s="1"/>
  <c r="T146"/>
  <c r="T145"/>
  <c r="T144"/>
  <c r="U144" s="1"/>
  <c r="T143"/>
  <c r="U143" s="1"/>
  <c r="T142"/>
  <c r="U142" s="1"/>
  <c r="P142"/>
  <c r="U141"/>
  <c r="T141"/>
  <c r="U140"/>
  <c r="T140"/>
  <c r="U139"/>
  <c r="N139"/>
  <c r="N139" i="16" s="1"/>
  <c r="T138" i="1"/>
  <c r="U138" s="1"/>
  <c r="T137"/>
  <c r="U137" s="1"/>
  <c r="T136"/>
  <c r="U136" s="1"/>
  <c r="Q136"/>
  <c r="U135"/>
  <c r="T135"/>
  <c r="U134"/>
  <c r="S134"/>
  <c r="R134"/>
  <c r="Q134"/>
  <c r="P134"/>
  <c r="O134"/>
  <c r="N134"/>
  <c r="M134"/>
  <c r="L134"/>
  <c r="K134"/>
  <c r="J134"/>
  <c r="I134"/>
  <c r="H134"/>
  <c r="G134"/>
  <c r="F134"/>
  <c r="T133"/>
  <c r="T132"/>
  <c r="T131"/>
  <c r="T130"/>
  <c r="T129"/>
  <c r="T128"/>
  <c r="T127"/>
  <c r="T126"/>
  <c r="T123"/>
  <c r="T122"/>
  <c r="T121"/>
  <c r="T120"/>
  <c r="T119"/>
  <c r="T118"/>
  <c r="U117"/>
  <c r="T117"/>
  <c r="T116"/>
  <c r="T115"/>
  <c r="T114"/>
  <c r="T113"/>
  <c r="T112"/>
  <c r="T111"/>
  <c r="T110"/>
  <c r="T109"/>
  <c r="T108"/>
  <c r="T107"/>
  <c r="T106"/>
  <c r="T105"/>
  <c r="U104"/>
  <c r="U104" i="16" s="1"/>
  <c r="T104" i="1"/>
  <c r="T103"/>
  <c r="T102"/>
  <c r="T101"/>
  <c r="T100"/>
  <c r="T99"/>
  <c r="T98"/>
  <c r="T97"/>
  <c r="T96"/>
  <c r="T95"/>
  <c r="T94"/>
  <c r="T134" s="1"/>
  <c r="S93"/>
  <c r="R93"/>
  <c r="Q93"/>
  <c r="P93"/>
  <c r="O93"/>
  <c r="N93"/>
  <c r="M93"/>
  <c r="L93"/>
  <c r="K93"/>
  <c r="J93"/>
  <c r="I93"/>
  <c r="H93"/>
  <c r="G93"/>
  <c r="F93"/>
  <c r="U92"/>
  <c r="T92"/>
  <c r="T91"/>
  <c r="T90"/>
  <c r="T89"/>
  <c r="T88"/>
  <c r="U88" s="1"/>
  <c r="T86"/>
  <c r="T85"/>
  <c r="T84"/>
  <c r="T83"/>
  <c r="T82"/>
  <c r="T81"/>
  <c r="T80"/>
  <c r="T79"/>
  <c r="T74"/>
  <c r="U74" s="1"/>
  <c r="T73"/>
  <c r="U73" s="1"/>
  <c r="T72"/>
  <c r="U72" s="1"/>
  <c r="T71"/>
  <c r="U71" s="1"/>
  <c r="T70"/>
  <c r="U70" s="1"/>
  <c r="T69"/>
  <c r="S68"/>
  <c r="R68"/>
  <c r="L68"/>
  <c r="K68"/>
  <c r="J68"/>
  <c r="H68"/>
  <c r="G68"/>
  <c r="F68"/>
  <c r="T67"/>
  <c r="U67" s="1"/>
  <c r="T66"/>
  <c r="U66" s="1"/>
  <c r="T65"/>
  <c r="U65" s="1"/>
  <c r="T64"/>
  <c r="U64" s="1"/>
  <c r="T63"/>
  <c r="U63" s="1"/>
  <c r="T62"/>
  <c r="M62"/>
  <c r="M62" i="16" s="1"/>
  <c r="U61" i="1"/>
  <c r="T61"/>
  <c r="U60"/>
  <c r="T60"/>
  <c r="U59"/>
  <c r="T59"/>
  <c r="U58"/>
  <c r="T58"/>
  <c r="U57"/>
  <c r="T57"/>
  <c r="T56"/>
  <c r="T55"/>
  <c r="U55" s="1"/>
  <c r="T54"/>
  <c r="U54" s="1"/>
  <c r="T53"/>
  <c r="U53" s="1"/>
  <c r="T52"/>
  <c r="U52" s="1"/>
  <c r="T51"/>
  <c r="U51" s="1"/>
  <c r="T50"/>
  <c r="U50" s="1"/>
  <c r="T49"/>
  <c r="U49" s="1"/>
  <c r="T48"/>
  <c r="U48" s="1"/>
  <c r="T47"/>
  <c r="U47" s="1"/>
  <c r="T46"/>
  <c r="U46" s="1"/>
  <c r="Q45"/>
  <c r="T44"/>
  <c r="T43"/>
  <c r="T42"/>
  <c r="U42" s="1"/>
  <c r="T41"/>
  <c r="P40"/>
  <c r="T39"/>
  <c r="U39" s="1"/>
  <c r="T38"/>
  <c r="U38" s="1"/>
  <c r="T37"/>
  <c r="U37" s="1"/>
  <c r="T36"/>
  <c r="U35"/>
  <c r="T35"/>
  <c r="U34"/>
  <c r="T34"/>
  <c r="U33"/>
  <c r="T33"/>
  <c r="U32"/>
  <c r="T32"/>
  <c r="U31"/>
  <c r="T31"/>
  <c r="U30"/>
  <c r="T30"/>
  <c r="P29"/>
  <c r="P29" i="16" s="1"/>
  <c r="N29" i="1"/>
  <c r="T29" s="1"/>
  <c r="T28"/>
  <c r="U28" s="1"/>
  <c r="O28"/>
  <c r="O28" i="16" s="1"/>
  <c r="P27" i="1"/>
  <c r="T27" s="1"/>
  <c r="I27"/>
  <c r="I68" s="1"/>
  <c r="U26"/>
  <c r="T26"/>
  <c r="P26"/>
  <c r="N26"/>
  <c r="U25"/>
  <c r="U25" i="16" s="1"/>
  <c r="T25" i="1"/>
  <c r="U24"/>
  <c r="T24"/>
  <c r="U23"/>
  <c r="T23"/>
  <c r="U22"/>
  <c r="T22"/>
  <c r="U21"/>
  <c r="T21"/>
  <c r="U20"/>
  <c r="T20"/>
  <c r="U19"/>
  <c r="T19"/>
  <c r="U18"/>
  <c r="T18"/>
  <c r="T17"/>
  <c r="T16"/>
  <c r="U16" s="1"/>
  <c r="T15"/>
  <c r="U14"/>
  <c r="T14"/>
  <c r="U13"/>
  <c r="T13"/>
  <c r="U12"/>
  <c r="T12"/>
  <c r="U11"/>
  <c r="T11"/>
  <c r="U10"/>
  <c r="T10"/>
  <c r="T9"/>
  <c r="T8"/>
  <c r="U7"/>
  <c r="T7"/>
  <c r="T6"/>
  <c r="V211" l="1"/>
  <c r="K211" i="13"/>
  <c r="U169" i="16"/>
  <c r="U134" i="12"/>
  <c r="U153" i="16"/>
  <c r="T158" i="14"/>
  <c r="T210" i="13"/>
  <c r="P211" i="11"/>
  <c r="T210" i="10"/>
  <c r="U205" i="16"/>
  <c r="Q211" i="12"/>
  <c r="T93"/>
  <c r="G211"/>
  <c r="L211"/>
  <c r="T27"/>
  <c r="U39" i="16"/>
  <c r="P68" i="12"/>
  <c r="T134"/>
  <c r="M211"/>
  <c r="U38" i="16"/>
  <c r="U73"/>
  <c r="K211" i="12"/>
  <c r="H211"/>
  <c r="U207" i="16"/>
  <c r="T29" i="12"/>
  <c r="J211"/>
  <c r="O211"/>
  <c r="S211"/>
  <c r="T210"/>
  <c r="N211"/>
  <c r="S211" i="9"/>
  <c r="U93"/>
  <c r="K211"/>
  <c r="O211"/>
  <c r="T45"/>
  <c r="F211"/>
  <c r="H211"/>
  <c r="T134"/>
  <c r="U134"/>
  <c r="L211"/>
  <c r="U50" i="16"/>
  <c r="U186"/>
  <c r="N211" i="7"/>
  <c r="T93"/>
  <c r="U146" i="16"/>
  <c r="L211" i="7"/>
  <c r="P184" i="16"/>
  <c r="T184" s="1"/>
  <c r="Y184" s="1"/>
  <c r="P158" i="7"/>
  <c r="T158" s="1"/>
  <c r="J211"/>
  <c r="N68"/>
  <c r="R211"/>
  <c r="I211"/>
  <c r="U26"/>
  <c r="U68" s="1"/>
  <c r="H211"/>
  <c r="O211"/>
  <c r="U179" i="16"/>
  <c r="Q158" i="6"/>
  <c r="T23"/>
  <c r="U23" s="1"/>
  <c r="T27"/>
  <c r="U173" i="16"/>
  <c r="T93" i="6"/>
  <c r="S211"/>
  <c r="U182" i="16"/>
  <c r="U56"/>
  <c r="T134" i="6"/>
  <c r="I211"/>
  <c r="R211"/>
  <c r="U16" i="16"/>
  <c r="T184" i="6"/>
  <c r="U184" s="1"/>
  <c r="U210" s="1"/>
  <c r="G211"/>
  <c r="O211"/>
  <c r="U150" i="16"/>
  <c r="U181"/>
  <c r="U19"/>
  <c r="U143"/>
  <c r="T51"/>
  <c r="Y51" s="1"/>
  <c r="I93"/>
  <c r="U175"/>
  <c r="Q68" i="6"/>
  <c r="M211"/>
  <c r="O211" i="5"/>
  <c r="T62"/>
  <c r="R158"/>
  <c r="T184"/>
  <c r="U184" s="1"/>
  <c r="M211"/>
  <c r="O93" i="16"/>
  <c r="T78"/>
  <c r="Y78" s="1"/>
  <c r="G134"/>
  <c r="T102"/>
  <c r="Y102" s="1"/>
  <c r="T107"/>
  <c r="Y107" s="1"/>
  <c r="U167"/>
  <c r="L211" i="5"/>
  <c r="K211"/>
  <c r="H68" i="16"/>
  <c r="T8"/>
  <c r="Y8" s="1"/>
  <c r="T43"/>
  <c r="Y43" s="1"/>
  <c r="T90"/>
  <c r="Y90" s="1"/>
  <c r="M134"/>
  <c r="T96"/>
  <c r="Y96" s="1"/>
  <c r="U26" i="5"/>
  <c r="J211"/>
  <c r="S211"/>
  <c r="U33" i="16"/>
  <c r="P68" i="5"/>
  <c r="I211"/>
  <c r="S134" i="16"/>
  <c r="U159" i="5"/>
  <c r="T210"/>
  <c r="U12" i="16"/>
  <c r="P158" i="5"/>
  <c r="P211" s="1"/>
  <c r="T113" i="16"/>
  <c r="Y113" s="1"/>
  <c r="T121"/>
  <c r="Y121" s="1"/>
  <c r="H158"/>
  <c r="G211" i="5"/>
  <c r="T93"/>
  <c r="G68" i="16"/>
  <c r="S68"/>
  <c r="T10"/>
  <c r="Y10" s="1"/>
  <c r="T21"/>
  <c r="Y21" s="1"/>
  <c r="T32"/>
  <c r="Y32" s="1"/>
  <c r="T35"/>
  <c r="Y35" s="1"/>
  <c r="T63"/>
  <c r="Y63" s="1"/>
  <c r="F134"/>
  <c r="L134"/>
  <c r="R134"/>
  <c r="T117"/>
  <c r="Y117" s="1"/>
  <c r="G158"/>
  <c r="M158"/>
  <c r="S158"/>
  <c r="T143"/>
  <c r="Y143" s="1"/>
  <c r="U185"/>
  <c r="U88"/>
  <c r="U190"/>
  <c r="J211" i="2"/>
  <c r="P210"/>
  <c r="T6" i="16"/>
  <c r="Y6" s="1"/>
  <c r="L68"/>
  <c r="R68"/>
  <c r="T12"/>
  <c r="Y12" s="1"/>
  <c r="T15"/>
  <c r="Y15" s="1"/>
  <c r="T38"/>
  <c r="Y38" s="1"/>
  <c r="T42"/>
  <c r="Y42" s="1"/>
  <c r="T47"/>
  <c r="Y47" s="1"/>
  <c r="T50"/>
  <c r="Y50" s="1"/>
  <c r="T53"/>
  <c r="Y53" s="1"/>
  <c r="T56"/>
  <c r="Y56" s="1"/>
  <c r="T59"/>
  <c r="Y59" s="1"/>
  <c r="G93"/>
  <c r="M93"/>
  <c r="T70"/>
  <c r="Y70" s="1"/>
  <c r="T73"/>
  <c r="Y73" s="1"/>
  <c r="T80"/>
  <c r="Y80" s="1"/>
  <c r="K134"/>
  <c r="Q134"/>
  <c r="T106"/>
  <c r="Y106" s="1"/>
  <c r="T114"/>
  <c r="Y114" s="1"/>
  <c r="T119"/>
  <c r="Y119" s="1"/>
  <c r="T123"/>
  <c r="Y123" s="1"/>
  <c r="T125"/>
  <c r="Y125" s="1"/>
  <c r="T129"/>
  <c r="Y129" s="1"/>
  <c r="T131"/>
  <c r="Y131" s="1"/>
  <c r="T133"/>
  <c r="Y133" s="1"/>
  <c r="F158"/>
  <c r="L158"/>
  <c r="T138"/>
  <c r="Y138" s="1"/>
  <c r="I210"/>
  <c r="O210"/>
  <c r="F211" i="2"/>
  <c r="T48" i="16"/>
  <c r="Y48" s="1"/>
  <c r="U92"/>
  <c r="U26" i="2"/>
  <c r="T142"/>
  <c r="U142" s="1"/>
  <c r="I211"/>
  <c r="O211"/>
  <c r="T9" i="16"/>
  <c r="Y9" s="1"/>
  <c r="T17"/>
  <c r="Y17" s="1"/>
  <c r="T34"/>
  <c r="Y34" s="1"/>
  <c r="T85"/>
  <c r="Y85" s="1"/>
  <c r="T86"/>
  <c r="Y86" s="1"/>
  <c r="T88"/>
  <c r="Y88" s="1"/>
  <c r="T92"/>
  <c r="Y92" s="1"/>
  <c r="J134"/>
  <c r="P134"/>
  <c r="T110"/>
  <c r="Y110" s="1"/>
  <c r="T112"/>
  <c r="Y112" s="1"/>
  <c r="K158"/>
  <c r="U65"/>
  <c r="U176"/>
  <c r="U188"/>
  <c r="T26" i="2"/>
  <c r="T134"/>
  <c r="H211"/>
  <c r="J68" i="16"/>
  <c r="T11"/>
  <c r="Y11" s="1"/>
  <c r="T13"/>
  <c r="Y13" s="1"/>
  <c r="T14"/>
  <c r="Y14" s="1"/>
  <c r="T19"/>
  <c r="Y19" s="1"/>
  <c r="T41"/>
  <c r="Y41" s="1"/>
  <c r="T46"/>
  <c r="Y46" s="1"/>
  <c r="T49"/>
  <c r="Y49" s="1"/>
  <c r="T52"/>
  <c r="Y52" s="1"/>
  <c r="T55"/>
  <c r="Y55" s="1"/>
  <c r="T58"/>
  <c r="Y58" s="1"/>
  <c r="T61"/>
  <c r="Y61" s="1"/>
  <c r="Q93"/>
  <c r="T75"/>
  <c r="Y75" s="1"/>
  <c r="T77"/>
  <c r="Y77" s="1"/>
  <c r="I134"/>
  <c r="O134"/>
  <c r="T95"/>
  <c r="Y95" s="1"/>
  <c r="T116"/>
  <c r="Y116" s="1"/>
  <c r="T126"/>
  <c r="Y126" s="1"/>
  <c r="J158"/>
  <c r="T141"/>
  <c r="Y141" s="1"/>
  <c r="T144"/>
  <c r="Y144" s="1"/>
  <c r="T155"/>
  <c r="Y155" s="1"/>
  <c r="S210"/>
  <c r="T169"/>
  <c r="Y169" s="1"/>
  <c r="U59"/>
  <c r="U138"/>
  <c r="U192"/>
  <c r="L211" i="2"/>
  <c r="Q45" i="16"/>
  <c r="Q68" s="1"/>
  <c r="U202"/>
  <c r="P68" i="2"/>
  <c r="T154"/>
  <c r="U154" s="1"/>
  <c r="G211"/>
  <c r="S93" i="16"/>
  <c r="T174"/>
  <c r="Y174" s="1"/>
  <c r="T16"/>
  <c r="Y16" s="1"/>
  <c r="T22"/>
  <c r="Y22" s="1"/>
  <c r="T36"/>
  <c r="Y36" s="1"/>
  <c r="T64"/>
  <c r="Y64" s="1"/>
  <c r="H134"/>
  <c r="N134"/>
  <c r="T118"/>
  <c r="Y118" s="1"/>
  <c r="T122"/>
  <c r="Y122" s="1"/>
  <c r="T124"/>
  <c r="Y124" s="1"/>
  <c r="T128"/>
  <c r="Y128" s="1"/>
  <c r="T130"/>
  <c r="Y130" s="1"/>
  <c r="T132"/>
  <c r="Y132" s="1"/>
  <c r="I158"/>
  <c r="O158"/>
  <c r="T137"/>
  <c r="Y137" s="1"/>
  <c r="F210"/>
  <c r="L210"/>
  <c r="T172"/>
  <c r="Y172" s="1"/>
  <c r="T175"/>
  <c r="Y175" s="1"/>
  <c r="T187"/>
  <c r="Y187" s="1"/>
  <c r="T206"/>
  <c r="Y206" s="1"/>
  <c r="T24"/>
  <c r="Y24" s="1"/>
  <c r="T82"/>
  <c r="Y82" s="1"/>
  <c r="T97"/>
  <c r="Y97" s="1"/>
  <c r="T103"/>
  <c r="Y103" s="1"/>
  <c r="T108"/>
  <c r="Y108" s="1"/>
  <c r="T163"/>
  <c r="Y163" s="1"/>
  <c r="T167"/>
  <c r="Y167" s="1"/>
  <c r="T173"/>
  <c r="Y173" s="1"/>
  <c r="T177"/>
  <c r="Y177" s="1"/>
  <c r="T199"/>
  <c r="Y199" s="1"/>
  <c r="T207"/>
  <c r="Y207" s="1"/>
  <c r="K68"/>
  <c r="T23"/>
  <c r="Y23" s="1"/>
  <c r="T31"/>
  <c r="Y31" s="1"/>
  <c r="T37"/>
  <c r="Y37" s="1"/>
  <c r="T65"/>
  <c r="Y65" s="1"/>
  <c r="F93"/>
  <c r="L93"/>
  <c r="R93"/>
  <c r="T91"/>
  <c r="Y91" s="1"/>
  <c r="T149"/>
  <c r="Y149" s="1"/>
  <c r="T151"/>
  <c r="Y151" s="1"/>
  <c r="T152"/>
  <c r="Y152" s="1"/>
  <c r="H210"/>
  <c r="T160"/>
  <c r="Y160" s="1"/>
  <c r="T170"/>
  <c r="Y170" s="1"/>
  <c r="T179"/>
  <c r="Y179" s="1"/>
  <c r="T196"/>
  <c r="Y196" s="1"/>
  <c r="T198"/>
  <c r="Y198" s="1"/>
  <c r="T209"/>
  <c r="Y209" s="1"/>
  <c r="T72"/>
  <c r="Y72" s="1"/>
  <c r="T99"/>
  <c r="Y99" s="1"/>
  <c r="T101"/>
  <c r="Y101" s="1"/>
  <c r="T109"/>
  <c r="Y109" s="1"/>
  <c r="T120"/>
  <c r="Y120" s="1"/>
  <c r="T176"/>
  <c r="Y176" s="1"/>
  <c r="T183"/>
  <c r="Y183" s="1"/>
  <c r="T188"/>
  <c r="Y188" s="1"/>
  <c r="T191"/>
  <c r="Y191" s="1"/>
  <c r="T202"/>
  <c r="Y202" s="1"/>
  <c r="T33"/>
  <c r="Y33" s="1"/>
  <c r="T67"/>
  <c r="Y67" s="1"/>
  <c r="P93"/>
  <c r="T81"/>
  <c r="Y81" s="1"/>
  <c r="T83"/>
  <c r="Y83" s="1"/>
  <c r="T105"/>
  <c r="Y105" s="1"/>
  <c r="T115"/>
  <c r="Y115" s="1"/>
  <c r="T147"/>
  <c r="Y147" s="1"/>
  <c r="T162"/>
  <c r="Y162" s="1"/>
  <c r="T166"/>
  <c r="Y166" s="1"/>
  <c r="T18"/>
  <c r="Y18" s="1"/>
  <c r="T25"/>
  <c r="Y25" s="1"/>
  <c r="T39"/>
  <c r="Y39" s="1"/>
  <c r="T54"/>
  <c r="Y54" s="1"/>
  <c r="T57"/>
  <c r="Y57" s="1"/>
  <c r="T60"/>
  <c r="Y60" s="1"/>
  <c r="T71"/>
  <c r="Y71" s="1"/>
  <c r="T74"/>
  <c r="Y74" s="1"/>
  <c r="T87"/>
  <c r="Y87" s="1"/>
  <c r="T111"/>
  <c r="Y111" s="1"/>
  <c r="T127"/>
  <c r="Y127" s="1"/>
  <c r="T140"/>
  <c r="Y140" s="1"/>
  <c r="T150"/>
  <c r="Y150" s="1"/>
  <c r="Q210"/>
  <c r="T161"/>
  <c r="Y161" s="1"/>
  <c r="T168"/>
  <c r="Y168" s="1"/>
  <c r="T178"/>
  <c r="Y178" s="1"/>
  <c r="T182"/>
  <c r="Y182" s="1"/>
  <c r="T186"/>
  <c r="Y186" s="1"/>
  <c r="T194"/>
  <c r="Y194" s="1"/>
  <c r="T197"/>
  <c r="Y197" s="1"/>
  <c r="T205"/>
  <c r="Y205" s="1"/>
  <c r="T208"/>
  <c r="Y208" s="1"/>
  <c r="T66"/>
  <c r="Y66" s="1"/>
  <c r="T76"/>
  <c r="Y76" s="1"/>
  <c r="T84"/>
  <c r="Y84" s="1"/>
  <c r="T98"/>
  <c r="Y98" s="1"/>
  <c r="T100"/>
  <c r="Y100" s="1"/>
  <c r="T104"/>
  <c r="Y104" s="1"/>
  <c r="T145"/>
  <c r="Y145" s="1"/>
  <c r="T146"/>
  <c r="Y146" s="1"/>
  <c r="T153"/>
  <c r="Y153" s="1"/>
  <c r="T156"/>
  <c r="Y156" s="1"/>
  <c r="J210"/>
  <c r="T165"/>
  <c r="Y165" s="1"/>
  <c r="T171"/>
  <c r="Y171" s="1"/>
  <c r="T190"/>
  <c r="Y190" s="1"/>
  <c r="T193"/>
  <c r="Y193" s="1"/>
  <c r="T200"/>
  <c r="Y200" s="1"/>
  <c r="U68" i="4"/>
  <c r="T158" i="8"/>
  <c r="T27" i="4"/>
  <c r="U27"/>
  <c r="T148" i="9"/>
  <c r="U148" s="1"/>
  <c r="P158"/>
  <c r="U22" i="16"/>
  <c r="U49"/>
  <c r="U67"/>
  <c r="U137"/>
  <c r="F211" i="1"/>
  <c r="L211"/>
  <c r="U134" i="2"/>
  <c r="H211" i="3"/>
  <c r="R211" i="5"/>
  <c r="T68" i="6"/>
  <c r="U93"/>
  <c r="U93" i="8"/>
  <c r="U68" i="9"/>
  <c r="T26"/>
  <c r="U210"/>
  <c r="T158" i="10"/>
  <c r="U135" i="2"/>
  <c r="I68" i="3"/>
  <c r="I211" s="1"/>
  <c r="T27"/>
  <c r="T210" i="6"/>
  <c r="F211"/>
  <c r="T210" i="7"/>
  <c r="F211"/>
  <c r="T158" i="4"/>
  <c r="M211" i="9"/>
  <c r="N210" i="16"/>
  <c r="U55"/>
  <c r="U72"/>
  <c r="U164"/>
  <c r="U178"/>
  <c r="U191"/>
  <c r="U11"/>
  <c r="U14"/>
  <c r="U42"/>
  <c r="U48"/>
  <c r="U54"/>
  <c r="U66"/>
  <c r="U71"/>
  <c r="U144"/>
  <c r="U160"/>
  <c r="K211" i="1"/>
  <c r="R211"/>
  <c r="U36" i="16"/>
  <c r="U145"/>
  <c r="N211" i="2"/>
  <c r="G211" i="3"/>
  <c r="M211"/>
  <c r="U158" i="4"/>
  <c r="T210"/>
  <c r="L211" i="6"/>
  <c r="P68" i="8"/>
  <c r="P211" s="1"/>
  <c r="Q211"/>
  <c r="J211" i="10"/>
  <c r="P211"/>
  <c r="T26" i="6"/>
  <c r="N68"/>
  <c r="N211" s="1"/>
  <c r="U26"/>
  <c r="U210" i="2"/>
  <c r="T68" i="4"/>
  <c r="G211" i="9"/>
  <c r="U208" i="16"/>
  <c r="U133"/>
  <c r="P68" i="4"/>
  <c r="P211" s="1"/>
  <c r="U93" i="5"/>
  <c r="U210"/>
  <c r="K211" i="6"/>
  <c r="P68" i="7"/>
  <c r="K211"/>
  <c r="J211" i="9"/>
  <c r="U210" i="10"/>
  <c r="T154" i="8"/>
  <c r="U154" s="1"/>
  <c r="U158" s="1"/>
  <c r="R158"/>
  <c r="R211" s="1"/>
  <c r="P40" i="16"/>
  <c r="T40" s="1"/>
  <c r="Y40" s="1"/>
  <c r="T40" i="1"/>
  <c r="U40" s="1"/>
  <c r="U40" i="16" s="1"/>
  <c r="P211" i="2"/>
  <c r="R211" i="12"/>
  <c r="U18" i="16"/>
  <c r="U21"/>
  <c r="U53"/>
  <c r="U70"/>
  <c r="U163"/>
  <c r="U189"/>
  <c r="U9"/>
  <c r="U200"/>
  <c r="M211" i="2"/>
  <c r="S211"/>
  <c r="U68" i="3"/>
  <c r="T68" i="1"/>
  <c r="U10" i="16"/>
  <c r="U46"/>
  <c r="U52"/>
  <c r="U64"/>
  <c r="T93" i="1"/>
  <c r="U158"/>
  <c r="U139" i="16"/>
  <c r="U151"/>
  <c r="U155"/>
  <c r="U166"/>
  <c r="U194"/>
  <c r="U197"/>
  <c r="I211" i="1"/>
  <c r="U8" i="16"/>
  <c r="U156"/>
  <c r="R211" i="2"/>
  <c r="N68" i="3"/>
  <c r="N211" s="1"/>
  <c r="T134"/>
  <c r="S211"/>
  <c r="K211" i="4"/>
  <c r="R211"/>
  <c r="U68" i="5"/>
  <c r="T68"/>
  <c r="T134"/>
  <c r="U68" i="6"/>
  <c r="U134"/>
  <c r="J211"/>
  <c r="Q211"/>
  <c r="T134" i="7"/>
  <c r="H211" i="8"/>
  <c r="N211"/>
  <c r="P68" i="9"/>
  <c r="P211" s="1"/>
  <c r="I211"/>
  <c r="T68" i="10"/>
  <c r="U158"/>
  <c r="H211"/>
  <c r="P158" i="3"/>
  <c r="T158" s="1"/>
  <c r="T142"/>
  <c r="U142" s="1"/>
  <c r="U210" i="1"/>
  <c r="U24" i="16"/>
  <c r="U47"/>
  <c r="U170"/>
  <c r="U51"/>
  <c r="U63"/>
  <c r="U74"/>
  <c r="U117"/>
  <c r="T158" i="1"/>
  <c r="U147" i="16"/>
  <c r="U187"/>
  <c r="U193"/>
  <c r="U196"/>
  <c r="T93" i="2"/>
  <c r="U93" i="3"/>
  <c r="Q211"/>
  <c r="U93" i="7"/>
  <c r="U158"/>
  <c r="T68" i="8"/>
  <c r="V211" i="9"/>
  <c r="S93" i="11"/>
  <c r="T93" s="1"/>
  <c r="T69"/>
  <c r="U69" s="1"/>
  <c r="U93" s="1"/>
  <c r="Q68" i="1"/>
  <c r="U69"/>
  <c r="T139"/>
  <c r="P142" i="16"/>
  <c r="T142" s="1"/>
  <c r="Y142" s="1"/>
  <c r="R154"/>
  <c r="T154" s="1"/>
  <c r="Y154" s="1"/>
  <c r="P157"/>
  <c r="T157" s="1"/>
  <c r="Y157" s="1"/>
  <c r="U26" i="3"/>
  <c r="T136"/>
  <c r="U136" s="1"/>
  <c r="U158" s="1"/>
  <c r="T184"/>
  <c r="U184" s="1"/>
  <c r="R210"/>
  <c r="R211" s="1"/>
  <c r="N68" i="4"/>
  <c r="N211" s="1"/>
  <c r="T26" i="5"/>
  <c r="T142"/>
  <c r="U142" s="1"/>
  <c r="U158" s="1"/>
  <c r="Q158"/>
  <c r="P68" i="6"/>
  <c r="P158"/>
  <c r="T142" i="7"/>
  <c r="U142" s="1"/>
  <c r="T184"/>
  <c r="U184" s="1"/>
  <c r="U210" s="1"/>
  <c r="T184" i="8"/>
  <c r="U184" s="1"/>
  <c r="U210" s="1"/>
  <c r="T27" i="9"/>
  <c r="R158"/>
  <c r="R211" s="1"/>
  <c r="U27" i="10"/>
  <c r="I211" i="11"/>
  <c r="O211"/>
  <c r="U158" i="14"/>
  <c r="P211"/>
  <c r="J211" i="15"/>
  <c r="P211"/>
  <c r="T28" i="16"/>
  <c r="Y28" s="1"/>
  <c r="T30"/>
  <c r="Y30" s="1"/>
  <c r="T44"/>
  <c r="Y44" s="1"/>
  <c r="K93"/>
  <c r="T79"/>
  <c r="Y79" s="1"/>
  <c r="G210"/>
  <c r="U13"/>
  <c r="U23"/>
  <c r="P26"/>
  <c r="U27" i="1"/>
  <c r="U32" i="16"/>
  <c r="U35"/>
  <c r="U58"/>
  <c r="U61"/>
  <c r="P68" i="1"/>
  <c r="U141" i="16"/>
  <c r="P148"/>
  <c r="N158" i="1"/>
  <c r="N211" s="1"/>
  <c r="U172" i="16"/>
  <c r="U198"/>
  <c r="Q68" i="2"/>
  <c r="Q211" s="1"/>
  <c r="U69"/>
  <c r="U93" s="1"/>
  <c r="U201" i="16"/>
  <c r="T210" i="2"/>
  <c r="F211" i="5"/>
  <c r="T154" i="6"/>
  <c r="U154" s="1"/>
  <c r="N68" i="9"/>
  <c r="N211" s="1"/>
  <c r="T210"/>
  <c r="T27" i="10"/>
  <c r="Q68"/>
  <c r="T69"/>
  <c r="U69" s="1"/>
  <c r="U93" s="1"/>
  <c r="N68" i="11"/>
  <c r="N211" s="1"/>
  <c r="O68" i="16"/>
  <c r="T139"/>
  <c r="Y139" s="1"/>
  <c r="R210"/>
  <c r="T201"/>
  <c r="Y201" s="1"/>
  <c r="T154" i="11"/>
  <c r="U154" s="1"/>
  <c r="R158"/>
  <c r="R211" s="1"/>
  <c r="U20" i="16"/>
  <c r="N26"/>
  <c r="T45" i="1"/>
  <c r="O68"/>
  <c r="O211" s="1"/>
  <c r="Q136" i="16"/>
  <c r="Q158" s="1"/>
  <c r="T27" i="2"/>
  <c r="T68" s="1"/>
  <c r="T136"/>
  <c r="U136" s="1"/>
  <c r="T45" i="3"/>
  <c r="R158"/>
  <c r="U195" i="4"/>
  <c r="U195" i="16" s="1"/>
  <c r="T27" i="5"/>
  <c r="Q68" i="7"/>
  <c r="Q211" s="1"/>
  <c r="T210" i="8"/>
  <c r="T93" i="9"/>
  <c r="U210" i="11"/>
  <c r="S211"/>
  <c r="T7" i="16"/>
  <c r="Y7" s="1"/>
  <c r="N158"/>
  <c r="K210"/>
  <c r="T181"/>
  <c r="Y181" s="1"/>
  <c r="T204"/>
  <c r="Y204" s="1"/>
  <c r="P27"/>
  <c r="U31"/>
  <c r="U34"/>
  <c r="U140"/>
  <c r="U149"/>
  <c r="U152"/>
  <c r="U159"/>
  <c r="U162"/>
  <c r="U165"/>
  <c r="U168"/>
  <c r="U171"/>
  <c r="U174"/>
  <c r="U177"/>
  <c r="U180"/>
  <c r="U183"/>
  <c r="P195"/>
  <c r="T195" s="1"/>
  <c r="U6" i="2"/>
  <c r="U159" i="3"/>
  <c r="T184" i="4"/>
  <c r="U184" s="1"/>
  <c r="U210" s="1"/>
  <c r="S93" i="10"/>
  <c r="S211" s="1"/>
  <c r="F211" i="11"/>
  <c r="L211"/>
  <c r="U93" i="12"/>
  <c r="P211"/>
  <c r="U68" i="13"/>
  <c r="Q211"/>
  <c r="I211"/>
  <c r="U93" i="14"/>
  <c r="U210"/>
  <c r="K211" i="15"/>
  <c r="M68" i="16"/>
  <c r="H93"/>
  <c r="T203"/>
  <c r="Y203" s="1"/>
  <c r="N29"/>
  <c r="T29" s="1"/>
  <c r="Y29" s="1"/>
  <c r="U57"/>
  <c r="U60"/>
  <c r="N68" i="1"/>
  <c r="I27" i="16"/>
  <c r="U62" i="1"/>
  <c r="U62" i="16" s="1"/>
  <c r="M68" i="1"/>
  <c r="M211" s="1"/>
  <c r="U157" i="16"/>
  <c r="Q158" i="1"/>
  <c r="Q211" s="1"/>
  <c r="P210"/>
  <c r="T210" s="1"/>
  <c r="T27" i="7"/>
  <c r="U26" i="10"/>
  <c r="U68" s="1"/>
  <c r="K211"/>
  <c r="Q211"/>
  <c r="U158" i="11"/>
  <c r="K211"/>
  <c r="Q211"/>
  <c r="U210" i="12"/>
  <c r="P211" i="13"/>
  <c r="U68" i="14"/>
  <c r="Q211"/>
  <c r="T158" i="15"/>
  <c r="U210"/>
  <c r="T62" i="16"/>
  <c r="Y62" s="1"/>
  <c r="T189"/>
  <c r="Y189" s="1"/>
  <c r="U26" i="12"/>
  <c r="U68" s="1"/>
  <c r="I68"/>
  <c r="I211" s="1"/>
  <c r="T154"/>
  <c r="U154" s="1"/>
  <c r="F211"/>
  <c r="N68" i="13"/>
  <c r="T68" s="1"/>
  <c r="T136"/>
  <c r="U136" s="1"/>
  <c r="U158" s="1"/>
  <c r="T184"/>
  <c r="U184" s="1"/>
  <c r="U210" s="1"/>
  <c r="T26" i="14"/>
  <c r="T45"/>
  <c r="T210"/>
  <c r="T20" i="15"/>
  <c r="T28"/>
  <c r="U28" s="1"/>
  <c r="U28" i="16" s="1"/>
  <c r="N68" i="15"/>
  <c r="T79"/>
  <c r="K93"/>
  <c r="T174"/>
  <c r="T69" i="16"/>
  <c r="J89"/>
  <c r="J93" s="1"/>
  <c r="U106"/>
  <c r="T135"/>
  <c r="T159"/>
  <c r="M164"/>
  <c r="M210" s="1"/>
  <c r="P185"/>
  <c r="T185" s="1"/>
  <c r="Y185" s="1"/>
  <c r="T210" i="11"/>
  <c r="T26" i="12"/>
  <c r="T148"/>
  <c r="U148" s="1"/>
  <c r="U158" s="1"/>
  <c r="T158"/>
  <c r="S93" i="13"/>
  <c r="S211" s="1"/>
  <c r="T30" i="14"/>
  <c r="U30" s="1"/>
  <c r="U30" i="16" s="1"/>
  <c r="I68" i="14"/>
  <c r="I211" s="1"/>
  <c r="T184"/>
  <c r="U184" s="1"/>
  <c r="T37" i="15"/>
  <c r="U37" s="1"/>
  <c r="U37" i="16" s="1"/>
  <c r="J93" i="15"/>
  <c r="T136"/>
  <c r="U136" s="1"/>
  <c r="U158" s="1"/>
  <c r="N210"/>
  <c r="F68" i="16"/>
  <c r="T94"/>
  <c r="P180"/>
  <c r="T180" s="1"/>
  <c r="Y180" s="1"/>
  <c r="P192"/>
  <c r="T192" s="1"/>
  <c r="Y192" s="1"/>
  <c r="H211" i="11"/>
  <c r="R158" i="13"/>
  <c r="R211" s="1"/>
  <c r="N68" i="14"/>
  <c r="N211" s="1"/>
  <c r="T44" i="15"/>
  <c r="U44" s="1"/>
  <c r="U44" i="16" s="1"/>
  <c r="T203" i="15"/>
  <c r="G210"/>
  <c r="G211" s="1"/>
  <c r="N89" i="16"/>
  <c r="N93" s="1"/>
  <c r="T7" i="15"/>
  <c r="U7" s="1"/>
  <c r="U68" s="1"/>
  <c r="K68"/>
  <c r="T68" s="1"/>
  <c r="Q68"/>
  <c r="Q211" s="1"/>
  <c r="H93"/>
  <c r="T93" s="1"/>
  <c r="T148"/>
  <c r="U148" s="1"/>
  <c r="R210"/>
  <c r="R211" s="1"/>
  <c r="P20" i="16"/>
  <c r="R148"/>
  <c r="P45"/>
  <c r="T27" i="13"/>
  <c r="T204" i="15"/>
  <c r="U204" s="1"/>
  <c r="U204" i="16" s="1"/>
  <c r="U136" l="1"/>
  <c r="T26"/>
  <c r="Y26" s="1"/>
  <c r="U211" i="14"/>
  <c r="U211" i="13"/>
  <c r="T211" i="8"/>
  <c r="T158" i="5"/>
  <c r="U211" i="4"/>
  <c r="T211"/>
  <c r="U154" i="16"/>
  <c r="U148"/>
  <c r="T68" i="9"/>
  <c r="T45" i="16"/>
  <c r="Y45" s="1"/>
  <c r="O211"/>
  <c r="G211"/>
  <c r="U211" i="7"/>
  <c r="P211"/>
  <c r="T211" s="1"/>
  <c r="T68"/>
  <c r="P68" i="16"/>
  <c r="U26"/>
  <c r="U134"/>
  <c r="T27"/>
  <c r="Y27" s="1"/>
  <c r="T158" i="6"/>
  <c r="S211" i="16"/>
  <c r="H211"/>
  <c r="U184"/>
  <c r="U210" s="1"/>
  <c r="L211"/>
  <c r="Q211"/>
  <c r="T211" i="5"/>
  <c r="F211" i="16"/>
  <c r="Q211" i="5"/>
  <c r="P158" i="16"/>
  <c r="U142"/>
  <c r="J211"/>
  <c r="T164"/>
  <c r="Y164" s="1"/>
  <c r="T89"/>
  <c r="Y89" s="1"/>
  <c r="I68"/>
  <c r="I211" s="1"/>
  <c r="Y195"/>
  <c r="T211" i="10"/>
  <c r="U211" i="8"/>
  <c r="T211" i="14"/>
  <c r="T211" i="9"/>
  <c r="U158" i="6"/>
  <c r="U158" i="2"/>
  <c r="T148" i="16"/>
  <c r="Y148" s="1"/>
  <c r="N211" i="15"/>
  <c r="T158" i="13"/>
  <c r="M211" i="16"/>
  <c r="T20"/>
  <c r="Y20" s="1"/>
  <c r="N211" i="13"/>
  <c r="T211" s="1"/>
  <c r="P210" i="16"/>
  <c r="U210" i="3"/>
  <c r="T136" i="16"/>
  <c r="Y136" s="1"/>
  <c r="T68" i="12"/>
  <c r="U27" i="16"/>
  <c r="T210" i="3"/>
  <c r="U158" i="9"/>
  <c r="T158" i="2"/>
  <c r="T158" i="9"/>
  <c r="P211" i="3"/>
  <c r="T93" i="13"/>
  <c r="T68" i="14"/>
  <c r="H211" i="15"/>
  <c r="T211" s="1"/>
  <c r="P211" i="6"/>
  <c r="T211" s="1"/>
  <c r="U211" i="5"/>
  <c r="U7" i="16"/>
  <c r="U69"/>
  <c r="U93" s="1"/>
  <c r="U93" i="1"/>
  <c r="T210" i="15"/>
  <c r="R158" i="16"/>
  <c r="R211" s="1"/>
  <c r="T158" i="11"/>
  <c r="T93" i="10"/>
  <c r="U68" i="1"/>
  <c r="U211" s="1"/>
  <c r="U6" i="16"/>
  <c r="U68" i="2"/>
  <c r="Y135" i="16"/>
  <c r="T134"/>
  <c r="Y134" s="1"/>
  <c r="Y94"/>
  <c r="Y159"/>
  <c r="U211" i="15"/>
  <c r="K211" i="16"/>
  <c r="P211" i="1"/>
  <c r="T211" s="1"/>
  <c r="T211" i="12"/>
  <c r="T211" i="11"/>
  <c r="U135" i="16"/>
  <c r="N68"/>
  <c r="N211" s="1"/>
  <c r="T68" i="11"/>
  <c r="T68" i="3"/>
  <c r="Y69" i="16"/>
  <c r="U211" i="12"/>
  <c r="U211" i="11"/>
  <c r="U211" i="10"/>
  <c r="U211" i="9" l="1"/>
  <c r="U211" i="6"/>
  <c r="U211" i="3"/>
  <c r="T211" i="2"/>
  <c r="T93" i="16"/>
  <c r="Y93" s="1"/>
  <c r="U158"/>
  <c r="P211"/>
  <c r="U211" i="2"/>
  <c r="T210" i="16"/>
  <c r="Y210" s="1"/>
  <c r="T68"/>
  <c r="Y68" s="1"/>
  <c r="U68"/>
  <c r="T158"/>
  <c r="Y158" s="1"/>
  <c r="T211" i="3"/>
  <c r="U211" i="16" l="1"/>
  <c r="T211"/>
  <c r="Y211" l="1"/>
</calcChain>
</file>

<file path=xl/comments1.xml><?xml version="1.0" encoding="utf-8"?>
<comments xmlns="http://schemas.openxmlformats.org/spreadsheetml/2006/main">
  <authors>
    <author/>
  </authors>
  <commentList>
    <comment ref="M87" authorId="0">
      <text>
        <r>
          <rPr>
            <sz val="11"/>
            <color theme="1"/>
            <rFont val="Calibri"/>
            <family val="2"/>
            <scheme val="minor"/>
          </rPr>
          <t>287.32 during FY 2025-26
	-nrcp kerala</t>
        </r>
      </text>
    </comment>
    <comment ref="J89" authorId="0">
      <text>
        <r>
          <rPr>
            <sz val="11"/>
            <color theme="1"/>
            <rFont val="Calibri"/>
            <family val="2"/>
            <scheme val="minor"/>
          </rPr>
          <t>Kind Grant, 109.9 during FY 25-26
	-nrcp kerala</t>
        </r>
      </text>
    </comment>
  </commentList>
</comments>
</file>

<file path=xl/sharedStrings.xml><?xml version="1.0" encoding="utf-8"?>
<sst xmlns="http://schemas.openxmlformats.org/spreadsheetml/2006/main" count="7733" uniqueCount="1868">
  <si>
    <t>Annexure - 5: Programme Wise Summary for FY 2024-26</t>
  </si>
  <si>
    <t>THIRUVANANTHAPURAM</t>
  </si>
  <si>
    <t>Amount in Rs. (Lakhs)</t>
  </si>
  <si>
    <t>Pool</t>
  </si>
  <si>
    <t>FMR Code</t>
  </si>
  <si>
    <t>Programme/ Theme</t>
  </si>
  <si>
    <t>S.No.</t>
  </si>
  <si>
    <t xml:space="preserve">
Scheme/ Activity</t>
  </si>
  <si>
    <t>DBT</t>
  </si>
  <si>
    <t>Infrastructure - Civil works (I&amp;C)</t>
  </si>
  <si>
    <t>Equipment (Including Furniture, Excluding Computers)</t>
  </si>
  <si>
    <t>Drugs and supplies</t>
  </si>
  <si>
    <t>Diagnostics (Consumables, PPP, Sample Transport)</t>
  </si>
  <si>
    <t xml:space="preserve"> Capacity building incl. training</t>
  </si>
  <si>
    <t>ASHA incentives</t>
  </si>
  <si>
    <t>Others including operating costs (OOC)</t>
  </si>
  <si>
    <t>IEC &amp; Printing</t>
  </si>
  <si>
    <t>Planning &amp; M&amp;E</t>
  </si>
  <si>
    <t>Surveillance, Research, Review, Evaluation (SRRE)</t>
  </si>
  <si>
    <t>Amount</t>
  </si>
  <si>
    <t xml:space="preserve"> Remarks</t>
  </si>
  <si>
    <t>Old / ongoing work</t>
  </si>
  <si>
    <t>New Work</t>
  </si>
  <si>
    <t>Budget for Procurement done by States</t>
  </si>
  <si>
    <t>Total</t>
  </si>
  <si>
    <t>FY 2024-25</t>
  </si>
  <si>
    <t>FY 2025-26</t>
  </si>
  <si>
    <t>RCH Flexible Pool (including RI, IPPI, NIDDCP)</t>
  </si>
  <si>
    <t>RCH.1</t>
  </si>
  <si>
    <t>Maternal Health</t>
  </si>
  <si>
    <t>Village Health &amp; Nutrition Day (VHND)</t>
  </si>
  <si>
    <t>Pregnancy Registration and Ante-Natal Checkups</t>
  </si>
  <si>
    <t>Janani Suraksha Yojana (JSY)</t>
  </si>
  <si>
    <t>1)DBT  Rs.123.92  lakhs(R- 14070 xRs.700 + U-4203 xRs.600 + H-42*Rs 500)
2)Asha incentive - Rs.101.23lakhs( Rural 14070@Rs 600 &amp; Urban 4203 @Rs 400)  
3) Planning &amp; M&amp; E - Rs.4.95lakhs (For Administrative exp- @4% of DBT given)</t>
  </si>
  <si>
    <t>Janani Shishu Suraksha Karyakram (JSSK) (excluding transport)</t>
  </si>
  <si>
    <t xml:space="preserve">1)Free Drugs &amp; consumables -Rs 160.17 lakhs for PW( 10576 ND @ Rs 350 &amp; 7697 C sections @ Rs 1600) accessing Govt health facilities for delivery
2) Diagnostics -Rs 36.55@ Rs 200/beneficiary for 18273 PW                                                                                                 3) Other Operating Cost(Blood transfusion &amp; Diet) -                                                                                                                                   a.Diet - Rs. 85.61 lakhs @ Rs 100 for 10576 ND for 3 days(10576*100*3)  and 7697 C sections for 7 days (7697*100*7)                                                                                                                                                                         b.Blood Transfusion - Rs. 5.48 lakhs @ Rs 300/PW for blood transfusion of 10% of total deliveries in govt.health facilities (10% of 18273 =1827)                                                                                                                                                                    </t>
  </si>
  <si>
    <t>Janani Shishu Suraksha Karyakram (JSSK) - transport</t>
  </si>
  <si>
    <t xml:space="preserve">JSSK free transport  for pick up, drop back and referral to higher institutions @Rs 500 /beneficiary for 18273 beneficiaries </t>
  </si>
  <si>
    <t>Pradhan Mantri Surakshit Matritva Abhiyan (PMSMA)</t>
  </si>
  <si>
    <t>DBT
Rs.1.07 lakhs for mobility support to HRP women @Rs 100 for 3 visits for 358 HRPs(100*3*358 = Rs.1.07 lakhs) 
ASHA Incentives
1.ePMSMA
a.  Rs.1.07 lakhs for ASHA incentives for mobilising HRP women @Rs 100 for 3 visits for 358 HRPs(100*3*358 = Rs.1.07 lakhs)                                                                                                                      b. Rs1.79 lakhs for ASHA incentives for healthy outcome of HRP @ Rs 500/HRP for 358 HRPs (500*358 = Rs1.79 lakhs)
2) PNC visit - Rs.0.45 lakhs as ASHA incentive for healthy outcome of HRPs identified during  PNC visit (Rs.250* 179= Rs 0.45 lakhs)                                                                                                                 OOC
PMSMA session sites -5, Fund to be utilised for vehicle hiring/POL/refreshments</t>
  </si>
  <si>
    <t>Surakshit Matritva Aashwasan (SUMAN)</t>
  </si>
  <si>
    <t xml:space="preserve">IEC &amp; PRINTING- 1.95L (Activity breakup details attached)
Branding of 39 SUMAN certified facilities @ Rs.5000/- per facility
Planning and M&amp;E
Rs 10000 for conducting district level meeting(2 meetings in a year). This may be utlised for conducting DQAC meeting </t>
  </si>
  <si>
    <t>Midwifery</t>
  </si>
  <si>
    <t>Maternal Death Review</t>
  </si>
  <si>
    <t>Comprehensive Abortion Care</t>
  </si>
  <si>
    <t>MCH wings</t>
  </si>
  <si>
    <t>FRUs</t>
  </si>
  <si>
    <t>Prevention of Preventable Maternal Deaths-50000/batch -Total 4 batch One batch 35 participants
(Rs 50000*4=Rs 200000)</t>
  </si>
  <si>
    <t>HDU/ICU - Maternal Health</t>
  </si>
  <si>
    <t>Labour Rooms (LDR + NBCCs)</t>
  </si>
  <si>
    <t>LaQshya</t>
  </si>
  <si>
    <t>Implementation of RCH Portal/ANMOL/MCTS</t>
  </si>
  <si>
    <t>Other MH Components</t>
  </si>
  <si>
    <t>State specific Initiatives and Innovations</t>
  </si>
  <si>
    <t>RCH.2</t>
  </si>
  <si>
    <t>PC &amp; PNDT Act</t>
  </si>
  <si>
    <t>Gender Based Violence &amp; Medico Legal Care For Survivors Victims of Sexual Violence</t>
  </si>
  <si>
    <t xml:space="preserve">IEC &amp; PRINTING- 0.50L (Activity breakup details attached)
                                                                                                                                                </t>
  </si>
  <si>
    <t>RCH.3</t>
  </si>
  <si>
    <t>Child Health</t>
  </si>
  <si>
    <t>Rashtriya Bal Swasthya Karyakram (RBSK)</t>
  </si>
  <si>
    <t xml:space="preserve">Equipment :-  Rs.2 lkhs- Repair equipment for 100 existing nurses - Unit cost - Rs.2000/-
Capacity building training : Rs.2.395 L
1.  RBSK Refresher training @ Rs. 50000/- per batch for 3 batches. 
2. One-day orientation for MO / other staff Delivery points (RBSK training) -2 Batch training per district @ ₹21000 per batch, 
3. Half-day RBSK refresher training @ Rs. 2500 x 19 = 47500/-                                                                                                                                                                                                                                              
OOC :-  Rs.21.61 lakhs- Incentive for RBSK nurse – Rs.1000*100*12 = Rs.12,00,000/-, 1 vehicles for MHT – Rs.48000*1*12 = Rs. 5,76,000 /- , 107 connections @ Rs.300 per month = 107*300*12 =  3,85,200.  
IEC &amp; PRINTING- 0.25 L for Printing of RBSK cards and registers and Diary @ Rs.250/- for 100 RBSK nurses                                                                                                                                                                                                                                                   Planning &amp; M &amp; E : - Rs.50,000/- for One yearly meeting at the district level involving line departments like WCD, LSGD, ICPS, ORC, Childline, BRC/ Education dept. etc @ 50000 per district. </t>
  </si>
  <si>
    <t>RBSK at Facility Level including District Early Intervention Centers (DEIC)</t>
  </si>
  <si>
    <t xml:space="preserve">Equipment :- Rs. 153706  lakh is recommended for essential equipment  as per gap analysis
Diagnostics :- Approval is to purchase Consumables for functioning DEIC. @ Rs. 100000/-
OOC :Rs.177.93 lakhs
1. Operational expenses for Rs.20000 per month for TVM DEIC which has separate  new buildings - Rs. 2,40,000/-, 
2. Referral Support for Secondary/ Tertiary – Rs. 175.53/- Lakhs 
IEC &amp; PRINTING- Printing cost for DEIC – Rs. 1 lakhs </t>
  </si>
  <si>
    <t>Community Based  Care - HBNC &amp; HBYC</t>
  </si>
  <si>
    <t xml:space="preserve">Capacity building training : - Rs.11000/- for One day District  Level TOT training for selected 10 participants  in each districts @ Rs.11000/-
Asha Incentives :- Incentive for HBNC, HBYC, &amp; SNCU discharge babies – Rs. 76.88 lakhs </t>
  </si>
  <si>
    <t>Facility Based New born Care</t>
  </si>
  <si>
    <t xml:space="preserve"> Capacity building training Rs.6.876 lakhs
1. NSSK Training for Medical Officers - 2 batch NSSK training Rs. 34400 x 2 = Rs.68800/-., 2. NSSK Training for Staff Nurses - 2 batch NSSK training Rs. 34400 x 2 = Rs.68800/-, 
3. Trainings for Family participatory care (KMC) - Rs 50000 per district to get a  team of trained doctors and Nurses at SNCUs. Rs.50000 x 1 = Rs.50,000/- , 
4. Rs. 1 lakh is approved for two batches of Musqan District level Sensitization Training @ 100000 per district, 
5. MUSQAN: Health Institution level activities – 4 lakh approved for selected 2 institutions. Unit price of  1 each for gap filling &amp; Equipments approved for these 2 institutions.                                                                                                                                                                                                                                        
OOC Rs.22.30 lakhs
1. State new-born resource centre– Rs. 1 lakhs is approved for  @ 100000 for SAT hospital, 
2. 2 Functional SNCUs = Rs. 300000x 2 SNCU = Rs.6,00,000/-, 
3. NBCC– approved @ Rs.10,000 for 12 delivery points Rs. 10000x12 Delivery point = 1,20,000/- ,
 4. Family participatory care (KMC) -Rs. 75000 x 2 SNCUs = 1,50,000/- , 
5. Mother new-born Care Unit– Rs. 260000 for  SAT Trivandrum. Rs. 260000 x 1 MNCU = 2,60,000/-, 
6.  Operating expenses for  10 NBSU – Rs. 10 lakhs.   
IEC &amp; PRINTING- Rs 1 lakh per unit for 2 SNCUs</t>
  </si>
  <si>
    <t>Child Death Review</t>
  </si>
  <si>
    <t xml:space="preserve">Capacity building training : -  CDR training approved @ Rs.50000 per district.                                                                                                           
Asha Incentives :- Rs.50 per under 5 Child death @ community level /Non-FRU level/ pvt facilities for 129 under 5 deaths - 129 cases * 50 =  6450/                                                                                                                                  
OOC :- 1. ANM Honorarium (FBIR) - Rs. 100 per Under 5 Child Deaths @ Community level/ Non-FRU level/ private facilities for 129 Under 5 Deaths -129 cases * 100 = 12,900/- , 
2. Medical Officer Honorarium (Verbal Autopsy) by team of 2 MOs -  Rs. 500 per Under 5 Child Deaths @ Community level/ Non- FRU level/ private facilities for 129 Under 5 Deaths -129 cases * 500 = 64,500/-, 
3. Transport of parents @ Rs.100 per case to attend DM level meeting for 73 deceased children -73  children * 100 = 7300/-, 
4. DM level meeting @ Rs. 5000 per District (per annum) 5000 * 1 = 5000/-   </t>
  </si>
  <si>
    <t>SAANS</t>
  </si>
  <si>
    <t xml:space="preserve">Capacity building training : -  1.  Rs. 1.0 Lakhs for District level sensitization for Medical Officers, Staff nurses, JPHNs, PHNs etc,  2.  Rs. 0.50 Lakhs for One day Training  for Paediatricians and medical Officers of 40 participants on new Pneumonia management guidelines Rs 150000 * 1 = 150000/-, 3. Training of ASHAs- 90 batch x Rs.3000 = Rs. 2,70,000/-                                                                                                                                                                                                                                                                                                                                                                                                  Planning &amp; M &amp; E : - Rs. 20000  for Supportive Supervision of SAANS Program.  
IEC &amp; PRINTING-  1. 1 Lakh per District for  District Level Launch of SAANS Campaign, 2. Rs. 2 lakh for per district for district level  IEC /BCC Activities of SAANS Campaign., 3. Rs. 20000 for printing of SAANS Guidelines.
</t>
  </si>
  <si>
    <t xml:space="preserve">Paediatric Care </t>
  </si>
  <si>
    <t xml:space="preserve">Capacity building training : - Rs. 1 lakh per batch for district level  ToT/ training on F-IMNCI.
 OOC :- Operational Cost Pediatric HDUs – Rs. 4.5 lakhs - Rs. 4.5 Lakhs as Operational Cost of 3 HDUs @ Rs. 1.5 Lakh per Unit. </t>
  </si>
  <si>
    <t>Other Child Health Components</t>
  </si>
  <si>
    <t xml:space="preserve">Planning &amp; M &amp; E : -   District Level Review Meeting of Program including RBSK and CH @ Rs. 1.75 lakhs per District 
IEC &amp; PRINTING- Rs. 2.29 lakh for Child health IEC activities. </t>
  </si>
  <si>
    <t>RCH.4</t>
  </si>
  <si>
    <t>Immunization</t>
  </si>
  <si>
    <t>Immunization including Mission Indradhanush</t>
  </si>
  <si>
    <t>Training Rs.7.93 lakhs
 ASHA Incentives -Rs.82.33 lkhs for 2024-25 and Rs.81.45 for 2025-26
 OOC Rs.20.76 lakhs
 IEC &amp; PRINTING- 4L (Activity breakup details attached in IEC annexure)
 Planning and M&amp;E Rs.4.99 lakhs
 SRRE-AEFI Rs.4.6Lakhs</t>
  </si>
  <si>
    <t>Pulse polio Campaign</t>
  </si>
  <si>
    <t>eVIN Operational Cost</t>
  </si>
  <si>
    <t>RCH.5</t>
  </si>
  <si>
    <t>Adolescent Health</t>
  </si>
  <si>
    <t>Adolescent Friendly Health Clinics</t>
  </si>
  <si>
    <t>Weekly Iron Folic Supplement (WIFS)</t>
  </si>
  <si>
    <t>Menstrual Hygiene Scheme (MHS)</t>
  </si>
  <si>
    <t>Peer Educator Programme</t>
  </si>
  <si>
    <t>School Health And Wellness Program under Ayushman Bharat</t>
  </si>
  <si>
    <t>Other Adolescent Health Components</t>
  </si>
  <si>
    <t>RCH.6</t>
  </si>
  <si>
    <t>Family Planning</t>
  </si>
  <si>
    <t>Sterilization - Female</t>
  </si>
  <si>
    <t>Sterilization - Male</t>
  </si>
  <si>
    <t xml:space="preserve">a.DBT -Male sterilization -26 cases @ Rs 1500 per case.
b.Training of Medical Officers on NSV 1 batch @ Rs 34500/batch with 5 participants per batch for 5 days training </t>
  </si>
  <si>
    <t>IUCD Insertion (PPIUCD and PAIUCD)</t>
  </si>
  <si>
    <t>ANTARA</t>
  </si>
  <si>
    <t>DBT -Rs 100 per dose per beneficiary for 75 cases
ASHA Incentive- Rs 100 per dose per ASHA for 75 cases</t>
  </si>
  <si>
    <t>MPV(Mission Parivar Vikas)</t>
  </si>
  <si>
    <t>Family Planning Indemnity Scheme</t>
  </si>
  <si>
    <t xml:space="preserve">DBT - for FPIS @ Rs 30000 as compensation for each failure of sterilization for 36 cases </t>
  </si>
  <si>
    <t>FPLMIS</t>
  </si>
  <si>
    <t>Training -1 batch @ Rs.28900/- (1day training for 30 Participants)</t>
  </si>
  <si>
    <t>World Population Day and Vasectomy fortnight</t>
  </si>
  <si>
    <t>IEC &amp; PRINTING-  3.25L  Activity Breakup is attached
Planning &amp; M&amp;E- Rs.1 lakh for monitoring activities during World Population Day and vasectomy Fortnight at district and block level</t>
  </si>
  <si>
    <t>Other Family Planning Components</t>
  </si>
  <si>
    <t>a.Drugs- Procurement of Self care Kit 46 kit @Rs 1000/kit-Selfcare kit should be installed in all delivery points and other appropriate facilities based on the demand and eligible couple catered by that facilty.
b. IEC &amp; PRINTING -4.50L Activity Breakup attached
c. FP QAC meeting Rs 1000/meeting /quarter</t>
  </si>
  <si>
    <t>RCH.7</t>
  </si>
  <si>
    <t>Nutrition</t>
  </si>
  <si>
    <t>Anaemia Mukt Bharat</t>
  </si>
  <si>
    <t xml:space="preserve">Capacity building incl. training - 1. Orientation activities on vitamin A supplementation and Anaemia Mukta Bharat Programme/ VIVA Kerala - Rs.100000 per district., 2. One day Orientation of frontline workers (ASHA/ANM) and allied department workers (Teachers/AWW) on  VIVA Kerala/ Anaemia Mukt Bharat - Rs.100000 per district.
ASHA Incentive - 1. National Iron Plus Incentive for Mobilizing WRA (non pregnant &amp; non lactating women  20-49 years) approved at Rs 50  for ASHA for one month - 2563 Asha * 50 * 12 = 1537800/-, 2. National Iron Plus Incentive for Mobilizing  children  and / or ensuring compliance and reporting (6-59 months) - approved @ Rs 100 for ASHA for one month - 2563 Asha * 100 *12 = 3075600/-
</t>
  </si>
  <si>
    <t>National Deworming Day</t>
  </si>
  <si>
    <t>Capacity building incl. training - 
Rs.7.58 lakhs for Orientation of Nodal teacher, field staff and Anganwadi workers @ Rs.50/- for  two rounds of NDD
ASHA  INCENTIVE - Rs 5.13 Lakhs for ASHA incentives for 2563 ASHAs for mobilizing 
beneficiaries for NDD round @ Rs 100 per ASHA per round 
Rs.100 * 2563 * 2 round  = 5,12,600/-
IEC and printing -  IEC and printing activities for NDD @ Rs 1.5 Lakh per district per round. Rs. 1.5 lakh * 2 round = 3,00,000/-</t>
  </si>
  <si>
    <t>Nutritional Rehabilitation Centers (NRC)</t>
  </si>
  <si>
    <t>Vitamin A Supplementation</t>
  </si>
  <si>
    <t>Mother's Absolute Affection (MAA)</t>
  </si>
  <si>
    <t>Lactation Management Centers</t>
  </si>
  <si>
    <t>Intensified Diarrhoea Control Fortnight</t>
  </si>
  <si>
    <t xml:space="preserve">1. Incentive for IDCF for prophylactic distribution of ORS to family with under-five children: Approved @ Rs 100 per ASHA for IDCF campaign for the routine activity.  2563*100 = 2,53,600
2.  IEC &amp; Printing - Approved under IDCF @ Rs.0.75 lakh                                         </t>
  </si>
  <si>
    <t>Eat Right Campaign</t>
  </si>
  <si>
    <t>Other Nutrition Components</t>
  </si>
  <si>
    <t>RCH.8</t>
  </si>
  <si>
    <t>National Iodine Deficiency Disorders Control Programme (NIDDCP)</t>
  </si>
  <si>
    <t>Implementation of NIDDCP</t>
  </si>
  <si>
    <t xml:space="preserve">Incentives to be distributed to ASHA  workers for using STK. @Rs.25/- per kit / ASHA)
Health education to health workers through  awareness classes and IEC.  approved for conducting IEC activities  including  Global IDD Prevention Day
 </t>
  </si>
  <si>
    <t>RCH Sub Total</t>
  </si>
  <si>
    <t>NDCP Flexi Pool</t>
  </si>
  <si>
    <t>NDCP.1</t>
  </si>
  <si>
    <t>Integrated Disease Surveillance Programme (IDSP)</t>
  </si>
  <si>
    <t>Implementation of IDSP</t>
  </si>
  <si>
    <t>Training Rs.7.05 lakhs
Planning and M&amp;E Rs.3.75 lakh
SRRE-Rs.1 lakh</t>
  </si>
  <si>
    <t>NDCP.2</t>
  </si>
  <si>
    <t>National Vector Borne Disease Control Programme (NVBDCP)</t>
  </si>
  <si>
    <t>Malaria</t>
  </si>
  <si>
    <t>Training Rs.1.50 lakhs
Equipments Rs. 0.84Lakhs
OOC Rs.2.68 lakhs
IEC &amp; Printing Rs.1.05 lakhs
Planning and M&amp;E Rs.3.10 lakh</t>
  </si>
  <si>
    <t>Kala-azar</t>
  </si>
  <si>
    <t>OOC -Rs.0.45 lakhs Kala-azar Case search/ Camp Approach: Mobility/POL/supervision/Entamology Study</t>
  </si>
  <si>
    <t>AES/JE</t>
  </si>
  <si>
    <t>Training Rs.0.20 lakhs
OOC Rs.0.09 lakhs
IEC &amp; Printing Rs0.05 lakhs
Planning and M&amp;E Rs.0.15 lakh</t>
  </si>
  <si>
    <t>Dengue &amp; Chikungunya</t>
  </si>
  <si>
    <t>Training Rs.0.60 lakhs
ASHA incentive Rs.1.75 lakhs
OOC Rs.73.72 lakhs
IEC &amp; Printing Rs 1.15 lakhs
Planning and M&amp;E Rs.3.75 lakh
SRRE Rs.5 lakhs</t>
  </si>
  <si>
    <t>Lymphatic Filariasis</t>
  </si>
  <si>
    <t>Training Rs.0.40 lakhs
OOC Rs.4.738 lakhs
IEC &amp; Printing Rs 3.25 lakhs
Planning and M&amp;E Rs.2.00 lakh
SRRE Rs.0.90 lakhs</t>
  </si>
  <si>
    <t>NDCP.3</t>
  </si>
  <si>
    <t>National Leprosy Eradication Programme (NLEP)</t>
  </si>
  <si>
    <t xml:space="preserve"> Case detection and Management</t>
  </si>
  <si>
    <t>Diagnostics - 0.68 L
 Approved Rs 0.68 Lakhs per district for drugs required for management of reaction and printing.
 ASHA incentives - 92.74 L
 1. Approved an amount of Rs 92.4 L as incentive for Incentive for search team (Rs 1000 per Volunteer) for each screening round/ village for LCDC
 2. Approved Rs 0.04 Lakhs as Incentive for ASHA/ AWW/ Volunteer/ etc for detection of Leprosy (Rs 250 for detection of an early case before onset of any visible deformity, Rs 200 for detection of new case with visible deformity in hands, feet or eye)
 3. Approved Rs 0.04 Lakhs for ASHA Incentive for Treatment completion of PB cases (@ Rs 400)
 4. Approved Rs 0.06 Lakhs for ASHA Incentive for Treatment completion of MB cases (@ Rs 600)
 5. Approved 0.20 Lakhs for Any other ASHA incentives(Sensitisation) @ Rs 100 per ASHA
  OOC - 1.2 L: Approved for Case Detection and Management in urban Areas</t>
  </si>
  <si>
    <t xml:space="preserve"> DPMR Services: Reconstructive surgeries</t>
  </si>
  <si>
    <t>DBT - 2.4 L
 Approved for 20 RCS cases @ Rs 12000/ Patient
 Equipment - 0.44 L 
 1. Procurement of other equipment: NLEP- MCR
 Approved Rs 0.32 Lakhs for MCR Chappals @ Rs 400 per unit
 2. Procurement of other equipment: NLEP- Aids/Appliance
 Approved Rs 0.12 Lakhs for Self care kit @ Rs 150 per unit 
 OOC - 1.1 L
 Approved for Early detection in camps, ulcer management, and prevention of deformity @ Rs 10000 per camp</t>
  </si>
  <si>
    <t>District Awards</t>
  </si>
  <si>
    <t>Other NLEP Components</t>
  </si>
  <si>
    <t>Capacity building incl Training - 5.62 L
 1. Approved Rs 4.62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OOC - 7.00 L
 Approved Rs 7 Lakhs for NGO activities under NLEP- St. Johns Health Services, Pirappancode, Trivandrum
 IEC &amp; Printing - 3.486 L
 1.Approved Rs 1.28 Lakhs for Advocacy/ IEC (Rs 4000/block of urban area) in connection with LCDC.
 2. Approved Rs 1.386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- 4.146 L
 1.Office operation &amp; Maintenance, Consumables- District Cell @ Rs 0.30 Lakhs
 2. Mobility Support District cell including TA/DA of NLEP staff@ Rs 1.5 Lakh/district
 3. Approved an amount of Rs 0.924 L as POL, transport (field supervisors) for LCDC @ Rs 100/ supervisor
 4. Approved Rs 0.462 Lakhs for Logistics Rs.10/ team in connection with LCDC.
 5. Approved Rs 0.96 Lakhs for Supervision and monitoring @ Rs 3000 per block in connection with LCDC</t>
  </si>
  <si>
    <t>NDCP.4</t>
  </si>
  <si>
    <t>National Tuberculosis Elimination Programme (NTEP)</t>
  </si>
  <si>
    <t>Drug Sensitive TB (DSTB)</t>
  </si>
  <si>
    <t>Nikshay Poshan Yojana</t>
  </si>
  <si>
    <t>74.1 – DBT – Rs. 54.00 Lakhs - Nutrition support to TB patient Rs. 500 per month till the treatment is completed, by DBT for DSTB Patients for 6 months &amp; Nutrition support to TB patient Rs. 500 per month till the treatment is completed, by DBT for DRTB Patients for 12 months. The payment to be release directly to the beneficiary bank account through Nikshay DBT mode.</t>
  </si>
  <si>
    <t>PPP</t>
  </si>
  <si>
    <t xml:space="preserve">75.1 – DBT – Rs. 2.75 Lakhs - Private Provider Incentives- NTEP DBT Scheme @Rs. 500/- per notification and Rs. 500/- when treatment outcome declared &amp; Incentives for first informant (20% of Public notified case will be expected to be eligible for first informant incentive).
75.8 - Others including operating costs (OOC) - Rs. 4.15 Lakhs  - Cost of existing NGO/ PP support schemes and new NGO/ PP support schemes proposed as per NTEP Public Private Partnership Guidance.
</t>
  </si>
  <si>
    <t>Latent TB Infection (LTBI)</t>
  </si>
  <si>
    <t>76.5 - LTBI Diagnostics (Consumables, PPP, Sample Transportation) - Rs. 2.10 lakhs - Screening, referral linkages and follow-up under Latent TB Infection Management ,Cost for screening of LTBI such as incentives, sample collection &amp; transport, etc activities pertaining to LTBI.</t>
  </si>
  <si>
    <t>Drug Resistant TB(DRTB)</t>
  </si>
  <si>
    <t>77.1 – DBT – Rs. 1.75 Lakhs:- Treatment Supporter Honorarium (Rs.5000), payment on the update of the Outcome of Treatment for drug resistant TB patients. will be release through Nikshay DBT Mode directly to the beneficiaries.
77.2 - Infrastructure - Civil - Rs 2.00 lakhs - minor civil works/ repairing &amp; maintenance of Nodal DRTB centre, CBNAAT, TRUNAAT sites, IRL &amp; CDST labs on need basis.
77.3 - Equipments - Rs. 2.00 Lakhs -  Procurement of equipment for District levels (DR TB Centre, C&amp; DST Lab and Molecular Diagnostics), Maintenance / up gradation costs for Laboratory equipment’s for DR TB Centre, C&amp;DST Lab and Molecular Diagnostics Equipment for NTEP
77.4 - Drugs - Rs. 2.10 Lakhs - Procurement of DRTB drugs, Local Procurement of second line drugs on need basis and Drug Transportation charges etc
77.6 - Capacity building Incl. training - Rs. 0.40 Lakhs -   Training for AIC, Cost for AIC related trainings etc.
77.11 - Surveillance, Research, Review, Evaluation (SRRE) - Rs. 0.50 Lakhs  - AIC Review Committee, Cost for Committee meeting &amp; etc.</t>
  </si>
  <si>
    <t>TB Harega Desh Jeetega Campaign</t>
  </si>
  <si>
    <t xml:space="preserve">78.9 - Rs. 10.50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 </t>
  </si>
  <si>
    <t>NDCP.5</t>
  </si>
  <si>
    <t>National Viral Hepatitis Control Programme (NVHCP)</t>
  </si>
  <si>
    <t>Prevention</t>
  </si>
  <si>
    <t>Screening and Testing through facilities</t>
  </si>
  <si>
    <t>Rs 10,000/- for Sample Transportation</t>
  </si>
  <si>
    <t>Screening and Testing through NGOs</t>
  </si>
  <si>
    <t xml:space="preserve"> </t>
  </si>
  <si>
    <t>Treatment</t>
  </si>
  <si>
    <t>NDCP.6</t>
  </si>
  <si>
    <t>National Rabies Control Programme (NRCP)</t>
  </si>
  <si>
    <t>Implementation of NRCP</t>
  </si>
  <si>
    <t>NDCP.7</t>
  </si>
  <si>
    <t>Programme for Prevention and Control of Leptospirosis (PPCL)</t>
  </si>
  <si>
    <t>Implementation of PPCL</t>
  </si>
  <si>
    <t>a)Training for Medical Officers/Field Staff/ ASHAs and sensitisation to AnganWadi/Kudumbasree workers - Rs.50000/-
b)        IEC Activities - Rs.1 lakh -IEC activities focusing on Leptospirosis – risk reduction, Doxycycline prophylaxis, health seeking behavior and intersectoral coordination.</t>
  </si>
  <si>
    <t>NDCP.8</t>
  </si>
  <si>
    <t>Implementation of State specific Initiatives and Innovations</t>
  </si>
  <si>
    <t>NDCP Sub Total</t>
  </si>
  <si>
    <t>NCD Flexi Pool</t>
  </si>
  <si>
    <t>NCD.1</t>
  </si>
  <si>
    <t>National Program for Control of Blindness and Vision Impairment (NPCB+VI)</t>
  </si>
  <si>
    <t>Cataract Surgeries through facilities</t>
  </si>
  <si>
    <t>Approved for 800 cases @ Rs 1000 for the Assistance for consumables/ drugs/ medicines including IOL to the Govt. Hospital for Cataract surgery</t>
  </si>
  <si>
    <t>Cataract Surgeries through NGOs</t>
  </si>
  <si>
    <t>Approved for 750 cases @ Rs 2000 per case</t>
  </si>
  <si>
    <t>Other Ophthalmic Interventions through facilities</t>
  </si>
  <si>
    <t>Other Ophthalmic Interventions through NGOs</t>
  </si>
  <si>
    <t>Mobile Ophthalmic Units</t>
  </si>
  <si>
    <t>Collection of eye balls by eye banks and eye donation centres</t>
  </si>
  <si>
    <t>Approved for 100 pair @ Rs 2000  per pair</t>
  </si>
  <si>
    <t>Free spectacles to school children</t>
  </si>
  <si>
    <t>Free spectacles to others</t>
  </si>
  <si>
    <t>Grant in Aid for the health institutions, Eye Bank, NGO, Private Practioners</t>
  </si>
  <si>
    <t>Approved @ Rs 1 Lakh per unit for 5 vision centers- Bharathanoor, Kanjiramkulam, Mangalapuram, Panavoor, Malayinkeezh</t>
  </si>
  <si>
    <t>Other NPCB+VI components</t>
  </si>
  <si>
    <t>1. IEC - Rs 1 L 
 Approved for District Level Awareness and activities in connection with Eye donation fortnight, world sight day, world Glaucoma week.
 2. OOC: Rs 2 L
 Approved for Maintenance, POL &amp; Insurance of existing Mobile Ophthalmic unit @ Rs 2 Lakhs each
 3. Planning &amp; M &amp; E : Rs 1 L 
  Approved for conducting camps,POL, TA/DA of District level staff, Contingencies, monthly review meetings at District level</t>
  </si>
  <si>
    <t>NCD.2</t>
  </si>
  <si>
    <t>National Mental Health Program (NMHP)</t>
  </si>
  <si>
    <t>Implementation of District Mental Health Plan</t>
  </si>
  <si>
    <t>1. Purchase for Furnitues Rs. 1 L/each District 
2. Training Rs. 3.75 Lakhs/district 
3.OOC - (a) implementation of sampoorna Manasika arogyam and ASHA Incentive 0.5 Lakhs/ FHC 
b. Tribal Mental Health interventions 0.2 L/Camp 
c. Mental Health Interventions in Coastal Areas 0.2 L/camp 
d. Workplace Intervention in Rs. 0.05 L/ institutions 
e. operational expenses, for misc ./travel expenses for operational expenses of the dist centre Rs. 5.55 L 
 4. IEC activities @ Rs.2.5 L per district 
5. Planning  and M&amp;E. Rs.6 L/ day care centres financial support etc.</t>
  </si>
  <si>
    <t>NCD.3</t>
  </si>
  <si>
    <t>National Programme for Health Care for the Elderly (NPHCE)</t>
  </si>
  <si>
    <t>Geriatric Care at DH</t>
  </si>
  <si>
    <t>1 Procurement of equipment for DH/ GH elderly clinics Rs. 2 Lakhs
 2. Capacity building incl. training - Rs. 1 L 
 3.IEC &amp; Printing - Rs. 1 Lakh</t>
  </si>
  <si>
    <t>Geriatric Care at CHC/SDH</t>
  </si>
  <si>
    <t>Geriatric Care at PHC/ SHC</t>
  </si>
  <si>
    <t xml:space="preserve">Community Based Intervention </t>
  </si>
  <si>
    <t>Innovation to conduct multispeciality comprehensive geriatric assessment camp Rs. 0.10/ Old Age Homes</t>
  </si>
  <si>
    <t>NCD.4</t>
  </si>
  <si>
    <t>National Tobacco Control Programme (NTCP)</t>
  </si>
  <si>
    <t xml:space="preserve">Implementation of COTPA - 2003 </t>
  </si>
  <si>
    <t xml:space="preserve">Implementation of ToEFI guideline </t>
  </si>
  <si>
    <t>Activities include both indoor and outdoor activities like tobacco free school, school level task force formation &amp; meetings, awareness generation campaigns etc at Schools &amp; Colleges 
 2L /district</t>
  </si>
  <si>
    <t>Tobacco Cessation</t>
  </si>
  <si>
    <t>Training of Health care workers – medical officers , staff Nurses , MPW ,counsellors on Tobacco cessation 
 1session – 0.2L</t>
  </si>
  <si>
    <t>NCD.5</t>
  </si>
  <si>
    <t>National Programme for Prevention and Control of Diabetes, Cardiovascular Disease and Stroke (NPCDCS)</t>
  </si>
  <si>
    <t>NCD Clinics at DH</t>
  </si>
  <si>
    <t>1. OCC Rs 2.50 Lakhs for each district for proving transportation facility for patients referred from secondary care hospitals to tertiary care hospitals 2. Coordination Meeting (1 L/each District NCD Clinic) Miscellaneous including Travel/POL/Stationary etc.</t>
  </si>
  <si>
    <t>NCD Clinics at CHC/SDH</t>
  </si>
  <si>
    <t>Operating expenses at for transportation cost (Samples)at 227 CHCs Rs. 0.25 LL/CHC</t>
  </si>
  <si>
    <t>Cardiac Care Unit (CCU/ICU) including STEMI</t>
  </si>
  <si>
    <t>Other NPCDCS Components</t>
  </si>
  <si>
    <t xml:space="preserve">1. District Level Trainings and PBS Training  Rs. 3 Lakhs /each District 
2.ASHA Incentive  for CBAC Form Filling for Population Based Survey  - Rs. 50.50 Lakhs
• ASHA Incentive for NCD follow-up activity: Rs. 11.35 Lakhs 
3.Rs.4 L for IEC activities for   Dist level. and  Printing of referral cards at PHC @ Rs.2500/card 
4. Planning &amp; M&amp; E  Rs. 3 L/each   District level  for  Program Management Activities "
</t>
  </si>
  <si>
    <t>NCD.6</t>
  </si>
  <si>
    <t>Pradhan Mantri National Dialysis Programme (PMNDP)</t>
  </si>
  <si>
    <t>Haemodialysis Services</t>
  </si>
  <si>
    <t>Peritoneal Dialysis Services</t>
  </si>
  <si>
    <t>1.Training 0.5L/district 
 2. IEC Rs 0.30 L per district</t>
  </si>
  <si>
    <t>NCD.7</t>
  </si>
  <si>
    <t>National Program for Climate Change and Human Health (NPCCHH)</t>
  </si>
  <si>
    <t>Implementation of NPCCHH</t>
  </si>
  <si>
    <t xml:space="preserve">1Purchase for Heat Stroke Equipment
2. District Level Training 50000 
3. Greening &amp; Climate Disaster Resilient (Energy audit, non LED replacement at HCF) and Solorization. 
4. IEC &amp; Printing Rs.0.5 L 
5. Task Force meetings- 0.5 </t>
  </si>
  <si>
    <t>NCD.8</t>
  </si>
  <si>
    <t>National Oral health programme (NOHP)</t>
  </si>
  <si>
    <t>Implementation at DH</t>
  </si>
  <si>
    <t>1. Fast moving dental consumables for selected Dental units 2. Conducting Dental camps(Rs 15000/One camp)2.IEC Printing Activitie (Rs 20000/One camp)3.Observance of WOHD) -Rs 2 L/District</t>
  </si>
  <si>
    <t>Implementation at CHC/SDH</t>
  </si>
  <si>
    <t>1. Purchase of Dental Consumables as per the NEED of Institutions. 136 Dental Units (SDH an CHC)</t>
  </si>
  <si>
    <t>Mobile Dental Units/Van</t>
  </si>
  <si>
    <t>NCD.9</t>
  </si>
  <si>
    <t>National Programme on palliative care (NPPC)</t>
  </si>
  <si>
    <t>Implementation of NPPC</t>
  </si>
  <si>
    <t>1. Capacity Building: Rs 2 L
 2. OOC: Rs 8 L Others including operating costs. Miscellaneous including Travel/ POL/ Stationary/ Communications/ Drugs etc.</t>
  </si>
  <si>
    <t>NCD.10</t>
  </si>
  <si>
    <t>National Programme for Prevention and Control of Fluorosis (NPPCF)</t>
  </si>
  <si>
    <t>Implementation of NPPCF</t>
  </si>
  <si>
    <t>NCD.11</t>
  </si>
  <si>
    <t>National Programme for Prevention and Control of Deafness (NPPCD)</t>
  </si>
  <si>
    <t>Screening of Deafness</t>
  </si>
  <si>
    <t>Capacity building incl. training
 Training for Medical Officers @ CHCs, PHCs &amp; FHCs
 Duration - 2 days; Batch Size: 25 MOs
 Approved amount per batch:2 Batches @ Rs 48,000 per batch</t>
  </si>
  <si>
    <t>Management of Deafness</t>
  </si>
  <si>
    <t>State Specific Initiatives</t>
  </si>
  <si>
    <t>Approved Rs 1.5 Lakhs per district for the Telecast of awareness videos and audio messages through television, FM channels, Theatre Campaign, printing of Hoardings etc. Observance of world hearing day and deafness day. Special awareness programmes at tribal and coastal areas.</t>
  </si>
  <si>
    <t>NCD.12</t>
  </si>
  <si>
    <t>National programme for Prevention and Management of Burn &amp; Injuries</t>
  </si>
  <si>
    <t>Support for Burn Units</t>
  </si>
  <si>
    <t>1. Training Rs. 1 Lakhs/District.
 2. IEC/Printing activities Rs.0.50 L per district</t>
  </si>
  <si>
    <t>Support for Emergency Trauma Care</t>
  </si>
  <si>
    <t>NCD.13</t>
  </si>
  <si>
    <t>State specific Programme Interventions</t>
  </si>
  <si>
    <t>NCD Sub Total</t>
  </si>
  <si>
    <t>Health System Strengthening (HSS) - Urban</t>
  </si>
  <si>
    <t>HSS(U).1</t>
  </si>
  <si>
    <t>Comprehensive Primary Healthcare (CPHC)</t>
  </si>
  <si>
    <t>Development and operations of Health &amp; Wellness Centers - Urban</t>
  </si>
  <si>
    <t>Wellness activities at HWCs- Urban</t>
  </si>
  <si>
    <t xml:space="preserve">
IEC- 75000/ UPHC </t>
  </si>
  <si>
    <t>Teleconsultation facilities at HWCs-Urban</t>
  </si>
  <si>
    <t>HSS(U).2</t>
  </si>
  <si>
    <t>Community Engagement</t>
  </si>
  <si>
    <t>ASHA (including ASHA Certification and ASHA benefit package)</t>
  </si>
  <si>
    <t>MAS</t>
  </si>
  <si>
    <t>252 mas @ 1000</t>
  </si>
  <si>
    <t>JAS</t>
  </si>
  <si>
    <t>RKS</t>
  </si>
  <si>
    <t>Outreach activities</t>
  </si>
  <si>
    <t xml:space="preserve"> UHNDs /month/ANM @ Rs. 250.00/ANM/UPHC      Mobility support for ANM@ Rs. 500/ month
</t>
  </si>
  <si>
    <t>Mapping of slums and vulnerable population</t>
  </si>
  <si>
    <t>Other Community Engagement Components</t>
  </si>
  <si>
    <t>HSS(U).3</t>
  </si>
  <si>
    <t>Public Health Institutions as per IPHS norms</t>
  </si>
  <si>
    <t>Urban PHCs</t>
  </si>
  <si>
    <t>Urban CHCs and Maternity Homes</t>
  </si>
  <si>
    <t>HSS(U).4</t>
  </si>
  <si>
    <t>Quality Assurance</t>
  </si>
  <si>
    <t>Quality Assurance Implementation &amp; Mera Aspataal</t>
  </si>
  <si>
    <t>OOC)   Quality Assurance Assessments (State &amp; National):@ 1 L   Planning &amp; M&amp;E : QA committees ( Regional)</t>
  </si>
  <si>
    <t>Kayakalp</t>
  </si>
  <si>
    <t>Kayakalp Assessments Rs 500 for UPHC for internal assessment Rs 5000 for peer assessment and  Rs  8000 for  for external assessment                                      Kayakalp Assessments 1L , Rs.10000 for EQAS</t>
  </si>
  <si>
    <t>Swacch Swasth Sarvatra</t>
  </si>
  <si>
    <t>HSS(U).5</t>
  </si>
  <si>
    <t>HRH</t>
  </si>
  <si>
    <t>Remuneration for all NHM HR</t>
  </si>
  <si>
    <t>Incentives(Allowance, Incentives, staff welfare fund)</t>
  </si>
  <si>
    <t>Incentives under CPHC</t>
  </si>
  <si>
    <t>Costs for HR Recruitment and Outsourcing</t>
  </si>
  <si>
    <t>HSS(U).6</t>
  </si>
  <si>
    <t>Technical Assistance</t>
  </si>
  <si>
    <t xml:space="preserve">Planning and Program Management </t>
  </si>
  <si>
    <t xml:space="preserve">Planning &amp; M&amp;E  Mobility support for  for DPMU  @ Rs. 40000/- per month   = 4.8 L
Administrative expenses (including Review meetings, workshops,  etc.)Rs. 10000/- per month for 14 district Units
</t>
  </si>
  <si>
    <t>HSS(U).7</t>
  </si>
  <si>
    <t>Access</t>
  </si>
  <si>
    <t>HSS(U).8</t>
  </si>
  <si>
    <t>Innovation</t>
  </si>
  <si>
    <t>State specific Programme Innovations and Interventions</t>
  </si>
  <si>
    <t>HSS(U).9</t>
  </si>
  <si>
    <t>Untied Grants</t>
  </si>
  <si>
    <t>Untied Fund</t>
  </si>
  <si>
    <t>UTF for 18 PHCs @ 1.75 L = 31.5 L &amp; 1 CHC 2.5 L and 252 MAS @ 5000  and 264 MAS for 25-26</t>
  </si>
  <si>
    <t>NUHM Sub Total</t>
  </si>
  <si>
    <t>Health System Strengthening (HSS) Rural</t>
  </si>
  <si>
    <t>HSS.1</t>
  </si>
  <si>
    <t>Development and operations of Health &amp; Wellness Centers - Rural</t>
  </si>
  <si>
    <t>Wellness activities at HWCs- Rural</t>
  </si>
  <si>
    <t>OOC -Rs.16.77 lakhs approved @ Rs. 250 per wellness session for one session per month for 12 months at HWCs SC and PHCs
Planning and M&amp;E 
Rs. 0.50 lakhs approved for  refresher training and review on wellness for Medical officers for PHC&amp;UPHCs. 
Rs. 1.50 lakhs approved @Rs 75000  per batch for training of MLSPs</t>
  </si>
  <si>
    <t>Teleconsultation facilities at HWCs-Rural</t>
  </si>
  <si>
    <t>CHO Mentoring</t>
  </si>
  <si>
    <t>State</t>
  </si>
  <si>
    <t>HSS.2</t>
  </si>
  <si>
    <t>Blood Services &amp; Disorders</t>
  </si>
  <si>
    <t>Screening for Blood Disorders</t>
  </si>
  <si>
    <t>IEC &amp; Printing - Printing a customised book for one patient identified, Rs  15000 for 300 customized books @ Rs 50. 50 * 300 = 15000.</t>
  </si>
  <si>
    <t>Support for Blood Transfusion</t>
  </si>
  <si>
    <t xml:space="preserve">Blood Bank/BCSU/BSU/Thalassemia Day Care Centre </t>
  </si>
  <si>
    <t>OOC - Operational cost of Rs 1.5 Lakhs for HTC</t>
  </si>
  <si>
    <t>Blood collection and Transport Vans</t>
  </si>
  <si>
    <t>Other  Blood Services &amp; Disorders Components</t>
  </si>
  <si>
    <t>HSS.3</t>
  </si>
  <si>
    <t>VHSNC</t>
  </si>
  <si>
    <t>Other Community Engagements Components</t>
  </si>
  <si>
    <t>HSS.4</t>
  </si>
  <si>
    <t xml:space="preserve">Public Health Institutions as per IPHS norms 
</t>
  </si>
  <si>
    <t>District Hospitals</t>
  </si>
  <si>
    <t>Sub-District Hospitals</t>
  </si>
  <si>
    <t>Community Health Centers</t>
  </si>
  <si>
    <t>Primary Health Centers</t>
  </si>
  <si>
    <t>Sub-Health Centers</t>
  </si>
  <si>
    <t>Other Infrastructure/Civil works/expansion etc.</t>
  </si>
  <si>
    <t>Renovation/Repair/Upgradation of facilities for IPHS/NQAS/MUSQAN/SUMAN Compliant</t>
  </si>
  <si>
    <t>HSS.5</t>
  </si>
  <si>
    <t>Referral Transport</t>
  </si>
  <si>
    <t>Advance Life Saving Ambulances</t>
  </si>
  <si>
    <t>Basic Life Saving Ambulances</t>
  </si>
  <si>
    <t>Patient Transport Vehicle</t>
  </si>
  <si>
    <t>Other Ambulances</t>
  </si>
  <si>
    <t>HSS.6</t>
  </si>
  <si>
    <t>Capacity Building Swacch Swasth Sarvatra(SSS) – Total 1 L for trainings related to water sanitation and Hygiene (WASH) Training for infection control,Sanitation and Hygiene,Waste Management System.</t>
  </si>
  <si>
    <t>HSS.7</t>
  </si>
  <si>
    <t>Other Initiatives to improve access</t>
  </si>
  <si>
    <t>Comprehensive Grievance Redressal Mechanism</t>
  </si>
  <si>
    <t>Free Drugs Services Initiative</t>
  </si>
  <si>
    <t>Free Diagnostics Services Initiative</t>
  </si>
  <si>
    <t>Mobile Medical Units</t>
  </si>
  <si>
    <t>3 MMUs @ Rs.60000/- per month</t>
  </si>
  <si>
    <t>State specific Programme Interventions and Innovations</t>
  </si>
  <si>
    <t>HSS.8</t>
  </si>
  <si>
    <t>Inventory management</t>
  </si>
  <si>
    <t>Biomedical Equipment Management System and AERB</t>
  </si>
  <si>
    <t>HSS.9</t>
  </si>
  <si>
    <t>1)Remuneration for all NHM HR-SD and PM staff and EPF</t>
  </si>
  <si>
    <t xml:space="preserve">OOC -
Rs.10 lakhs for Call Allowance
Rs. Rs.10350/-for incentives to provider for PPIUCD services 69*150
Rs.3150/- for incentives to provider for PAIUCD services 21*150
Rs.4.025 Lakhs for Incentives for updation of NVHCP MIS portal 
(Nodal officer/Pharmacist/Lab Technician)  
</t>
  </si>
  <si>
    <t>Remuneration for CHOs</t>
  </si>
  <si>
    <t>Human Resource Information Systems (HRIS)</t>
  </si>
  <si>
    <t>IEC - IPC tool for frontline health workers</t>
  </si>
  <si>
    <t>HSS.10</t>
  </si>
  <si>
    <t>Enhancing HR</t>
  </si>
  <si>
    <t>DNB/CPS courses for Medical doctors</t>
  </si>
  <si>
    <t>Training Institutes and Skill Labs</t>
  </si>
  <si>
    <t>HSS.11</t>
  </si>
  <si>
    <t>SHSRC / ILC (Innovation &amp; Learning Centre)</t>
  </si>
  <si>
    <t>HSS.12</t>
  </si>
  <si>
    <t>IT interventions and systems</t>
  </si>
  <si>
    <t>Health Management Information System (HMIS)</t>
  </si>
  <si>
    <t>Implementation of DVDMS</t>
  </si>
  <si>
    <t>eSanjeevani (OPD+HWC)</t>
  </si>
  <si>
    <t>HSS.13</t>
  </si>
  <si>
    <t>HSS.14</t>
  </si>
  <si>
    <t>HSS.15</t>
  </si>
  <si>
    <t>Snake bite</t>
  </si>
  <si>
    <t>1. Approved Rs 19560/- for district level training 
 2. Approved Rs 0.50 Lakhs for Meeting Costs/Office expenses/contingency
 3. Approved Rs 0.50 L for Surveillance &amp; Monitoring</t>
  </si>
  <si>
    <t>HSS Sub Total</t>
  </si>
  <si>
    <t>GRAND TOTAL</t>
  </si>
  <si>
    <t>Scheme/ Activity</t>
  </si>
  <si>
    <t>Remarks</t>
  </si>
  <si>
    <t xml:space="preserve">JSSK free transport  for pick up, drop back and referral to higher institutions @Rs 500 /beneficiary for 10371 beneficiaries </t>
  </si>
  <si>
    <t>DBT-     
Rs.0.69 lakhs for mobility support to HRP women @Rs 100 for 3 visits for 231 HRPs(100*3*231 = Rs.1.07 lakhs)
ASHA Incentives
1. e-PMSMA   
a. Rs.0.69 lakhs for ASHA incentives for mobilising HRP women @Rs 100 for 3 visits for 231 HRPs(100*3*231 = Rs.1.07 lakhs)                                                                                                                                                                                 b. Rs1.16 lakhs for ASHA incentives for healthy outcome of HRP @ Rs 500/HRP for 358 HRPs (500*231 = Rs1.79 lakhs)
2) PNC visit - Rs.0.29 lakhs as ASHA incentive for healthy outcome of HRPs identified during  PNC visit (Rs250*116= Rs0.29 lakhs )    
OOC
PMSMA session sites -16, Fund to be utilised for vehicle hiring/POL/refreshments</t>
  </si>
  <si>
    <t xml:space="preserve">IEC &amp; PRINTING- 2L (Activity breakup details attached)
Branding of 40 SUMAN certified facilities @ Rs.5000/- per facility
Planning and M&amp;E
Rs 10000 for conducting district level meeting(2 meetings in a year). This may be utlised for conducting DQAC meeting </t>
  </si>
  <si>
    <t xml:space="preserve">OOC
To conduct maternal death audit meeting @ Rs 1321/month(Rs1321*12=15852 for POL and refreshments)
Planning and M&amp;E 
 MDNMSR - Rs 24000 (2000/meeting*12 meeting ) </t>
  </si>
  <si>
    <t>2024-25 
1. Equipments
Color coded hand ties for mother and child identification for 5 LaQshya targeted facilities
 (8605 delivery x2noxRs.10 = 1.72 L)
 2..Capacity building incl. training s for district level 
LaQshya training @ Rs 0.75 L /Districts 
3.Operational Cost for District level activities 
Rs 1 lakh for gap closure identified during internal/District assessment.
Rs.2 lakhs for National/state assessment as per NQAS operational guidelines
2025-26
1Equipments
Color coded hand ties for mother and child identification for 5 LaQshya targeted facilities  (9428 delivery x2noxRs.10 = 1.89 L)
2.Capacity building incl. training s for district level 
LaQshya training @ Rs 1L /District 
2.Operational Cost for District level activities 
Rs 1 lakh for gap closure identified during internal/District assessment.
Rs.2 lakhs for National/state assessment as per NQAS operational guidelines</t>
  </si>
  <si>
    <t xml:space="preserve">MH IEC &amp; PRINTING- 4.24L (Activity breakup details attached)
OOC: 4 RCH camps @ 15000/-= 0.6L
2025-26
Training -One batch RTI/STI training for MO @ Rs.50000/- </t>
  </si>
  <si>
    <t>IEC &amp; PRINTING- 2L (Activity breakup details attached)</t>
  </si>
  <si>
    <t>Equipment :-    Repair equipment for 85 existing nurses - Unit cost - Rs.2000/-
Drugs &amp; Supplies :-                                                                                                                                         
Diagnostics :-                                                                                                                                           
 Capacity building training : -  1. RBSK Refresher training @ Rs. 50000/- per batch for 2 batches, 2. One-day orientation for MO / other staff Delivery points (RBSK training) – 2 Batch training per district @ ₹21000 per batch, 3. Half-day RBSK refresher training @ Rs. 2500 x 16 = 40000/-                                                                                                             
Asha Incentives :-                                                                                                                                  
OOC :-   1. Mobility support for the RBSK Mobile health team  - Incentive for RBSK nurse – Rs.1000*85*12 = Rs.10,20,000/- and 1 vehicles for MHT – Rs.48000*1*12 = Rs. 5,76,000/-, 2. CUG connection -  91 connections @ Rs.300 per month =   3,27,600                                                                                                                                                                                                                                                                             Planning &amp; M &amp; E : - One yearly meeting at the district level involving line departments like WCD, LSGD, ICPS, ORC, Childline, BRC/ Education dept. etc @ 50000 per district.    
IEC &amp; PRINTING- 0.2125 L for Printing of RBSK cards and registers and Diary @ Rs.250/- for 85 RBSK nurses Total - 21,250/-</t>
  </si>
  <si>
    <t xml:space="preserve"> Capacity building incl. training - One day District  Level TOT training for selected 10 participants in each districts @ Rs.11000/-for per district .  
ASHA incentives - Incentive for HBNC, HBYC, &amp; SNCU discharge babies – Rs. 58.53 lakhs - 1951 ASHA * 250 * 12  = 58,53,000
</t>
  </si>
  <si>
    <t xml:space="preserve">Equipment :-    
Drugs &amp; Supplies :-                                                                                                                                         
Diagnostics :-                                                                                                                                           
Capacity building training : -  CDR training approved @ Rs.50000 per district.                                                                                                           
Asha Incentives :- Rs.50 per under 5 Child death @ community level /Non-FRU level/ pvt facilities for 129 under 5 deaths - 129 cases * 50 =  6450/                                                                                                                                  
OOC :- 1. ANM Honorarium (FBIR) - Rs. 100 per Under 5 Child Deaths @ Community level/ Non-FRU level/ private facilities for 129 Under 5 Deaths -129 cases * 100 = 12,900/- , 2. Medical Officer Honorarium (Verbal Autopsy) by team of 2 MOs -  Rs. 500 per Under 5 Child Deaths @ Community level/ Non- FRU level/ private facilities for 129 Under 5 Deaths -129 cases * 500 = 64,500/-, 3. Transport of parents @ Rs.100 per case to attend DM level meeting for 72 deceased children -72  children * 100 = 7200/-, 4. DM level meeting @ Rs. 5000 per District (per annum) 5000 * 1 = 5000/-                                                                                                                                                                                                                                                                                     Planning &amp; M &amp; E : -   
IEC &amp; PRINTING- </t>
  </si>
  <si>
    <t>Training Rs.6.17 lakhs
 ASHA Incentives -Rs.66.75  lkhs for 2024-25 and Rs.65.28  for 2025-26
 OOC Rs.14.06 lakhs
 IEC &amp; PRINTING- 2.25L (Activity breakup details attached in IEC annexure)
 Planning and M&amp;E Rs.4.77 lakhs
 SRRE-AEFI Rs.3.55 Lakhs</t>
  </si>
  <si>
    <t>DRG 2 days Training at District level @ Rs 1 Lakh, Duration = 2 days, Batch size = 50 nos, approved amount Rs 1.00 L
OOC
SHWP Worshop in each 14 districts @ Rs 40,000/ Dist</t>
  </si>
  <si>
    <t xml:space="preserve">a.DBT -Male sterilization -20 cases @ Rs 1500 per case.
b.Training of Medical Officers on NSV 1 batch @ Rs 34500/batch with 5 participants per batch for 5 days training </t>
  </si>
  <si>
    <t>DBT -Rs 100 per dose per beneficiary for 113 cases
ASHA Incentive- Rs 100 per dose per ASHA for 113 cases</t>
  </si>
  <si>
    <t xml:space="preserve">DBT - for FPIS @ Rs 30000 as compensation for each failure of sterilization for 10 cases </t>
  </si>
  <si>
    <t>IEC &amp; PRINTING-  2.5 L Activity Breakup is attached
Planning &amp; M&amp;E- Rs.1 lakh for monitoring activities during World Population Day and vasectomy Fortnight at district and block level</t>
  </si>
  <si>
    <t>a.Drugs- Procurement of Self care Kit 37 kit @Rs 1000/kit-Selfcare kit should be installed in all delivery points and other appropriate facilities based on the demand and eligible couple catered by that facilty.
b. IEC &amp; PRINTING -3.20 L Activity Breakup attached
c. FP QAC meeting Rs 1000/meeting /quarter</t>
  </si>
  <si>
    <t>Capacity building incl. training - 1. Orientation activities on vitamin A supplementation and Anaemia Mukta Bharat Programme/ VIVA Kerala - Rs.100000 per district., 2. One day Orientation of frontline workers (ASHA/ANM) and allied department workers (Teachers/AWW) on  VIVA Kerala/ Anaemia Mukt Bharat - Rs.100000 per district.
ASHA Incentive - 1.National Iron Plus Incentive for Mobilizing WRA (non pregnant &amp; non lactating women  20-49 years) approved at Rs 50  for ASHA for one month - 1951 Asha * 50 * 12 = 1170600/- , 2. National Iron Plus Incentive for Mobilizing  children  and / or ensuring compliance and reporting (6-59 months) - approved @ Rs 100 for ASHA for one month - 1951 Asha * 100 *12 = 2341200/-</t>
  </si>
  <si>
    <t>Capacity building incl. training - 
Rs.6.565 lakhs for Orientation of Nodal teacher, field staff and Anganwadi workers @ Rs.50/- for  two rounds of NDD
ASHA  INCENTIVE - Rs 3.90 Lakhs for ASHA incentives for 1951 ASHAs for mobilizing beneficiaries for NDD round @ Rs 100 per ASHA per round Rs.100 * 1951 * 2 round  = 3,90,200/-
IEC and printing -  IEC and printing activities for NDD @ Rs 1.5 Lakh per district per round. Rs. 1.5 lakh * 2 round = 3,00,000/-</t>
  </si>
  <si>
    <t>ASHA Incentive. ASHA incentive under MAA programme @ Rs 100 per ASHA for quarterly mother's meeting : Rs 400 * 1951 ASHAs = 7,80,400/-
IEC &amp; PRINTING- 0.5L (Activity breakup details attached)</t>
  </si>
  <si>
    <t>Diagnostics -Consumables and stationaries for proposed 3 LMU @ Rs.105000 as recurring cost Rs.105000 x 3 = 3,15,000/-</t>
  </si>
  <si>
    <t>IDCF -Incentive for IDCF for prophylactic distribution of ORS to family with under-five children: Approved @ Rs 100 per ASHA for IDCF campaign for the routine activity. 1951 *100 = 1,95,100
IEC &amp; PRINTING- Approved 0.75 lakh  as IEC/printing under IDCF</t>
  </si>
  <si>
    <t>Training Rs.7.30 lakhs
Planning and M&amp;E Rs.3.75 lakh
SRRE-Rs.3 lakh</t>
  </si>
  <si>
    <t>Training Rs.1.50 lakhs
Equipments Rs. 3.29Lakhs
OOC Rs.3.28 lakhs
IEC &amp; Printing Rs.2.30 lakhs
Planning and M&amp;E Rs.2 lakh</t>
  </si>
  <si>
    <t>Training Rs.0.60 lakhs
ASHA incentive Rs.1.50lakhs
OOC Rs.37.59lakhs
IEC &amp; Printing Rs 1.20 lakhs
Planning and M&amp;E Rs.3.75 lakh
SRRE Rs.5 lakhs</t>
  </si>
  <si>
    <t>Training Rs.0.40 lakhs
OOC Rs.3.610 lakhs
IEC &amp; Printing Rs 3.25 lakhs
Planning and M&amp;E Rs.2.00 lakh
SRRE Rs.5.90 lakhs</t>
  </si>
  <si>
    <t>Diagnostics - 0.68 L
 Approved Rs 0.68 Lakhs per district for drugs required for management of reaction and printing.
 ASHA incentives - 60.869 L
 1. Approved an amount of Rs 60.6 L as incentive for Incentive for search team (Rs 1000 per Volunteer) for each screening round/ village for LCDC
 2. Approved Rs 0.025 L as Incentive for ASHA/ AWW/ Volunteer/ etc for detection of Leprosy (Rs 250 for detection of an early case before onset of any visible deformity, Rs 200 for detection of new case with visible deformity in hands, feet or eye)
 3. Approved Rs 0.02 L for ASHA Incentive for Treatment completion of PB cases (@ Rs 400)
 4. Approved Rs 0.024 L for ASHA Incentive for Treatment completion of MB cases (@ Rs 600)
 5. Approved 0.20 Lakhs for Any other ASHA incentives(Sensitisation) @ Rs 100 per ASHA
 OOC - 1.2 L: Approved for Case Detection and Management in urban Areas</t>
  </si>
  <si>
    <t>Equipment - 0.34 L 
 1. Procurement of other equipment: NLEP- MCR
 Approved Rs 0.28 Lakhs for MCR Chappals @ Rs 400 per unit
 2. Procurement of other equipment: NLEP- Aids/Appliance
 Approved Rs 0.06 Lakhs for Self care kit @ Rs 150 per unit 
 OOC - 1.1 L
 Approved for Early detection in camps, ulcer management, and prevention of deformity@ Rs 10000 per camp</t>
  </si>
  <si>
    <t>Capacity building incl Training - 4.03 L
 1. Approved Rs 3.03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Planning &amp; M &amp; E - 3.283 L
 1.Office operation &amp; Maintenance, Consumables- District Cell @ Rs 0.30 Lakhs
 2. Mobility Support District cell including TA/DA of NLEP staff@ Rs 1.5 Lakh/district
 3. Approved an amount of Rs 0.61 L as POL, transport (field supervisors) for LCDC @ Rs 100/ supervisor
 4. Approved Rs 0.303 Lakhs for Logistics Rs.10/ team in connection with LCDC.
 5. Approved Rs 0.57 Lakhs for Supervision and monitoring @ Rs 3000 per block in connection with LCDC</t>
  </si>
  <si>
    <t>73.1 – DBT – Rs. 2.47 Lakhs:- Treatment Supporter Honorarium (Rs.1000) - one-time payment on the update of the Outcome of Treatment for drug sensitive TB patients, will be release through Nikshay DBT Mode directly to the beneficiaries.
73.2 - Infrastructure - Civil - Rs 2.50 lakhs - minor civil works/ repairing &amp; maintenance required at  DTC, TU &amp; DMC and X-ray facilities etc based on need basis and for minor civil works.
73.3 - Equipments - Rs. 8.40 Lakhs -  Rs. 2.50 lakhs Procurement of equipment for District levels. (DMC, X-ray and ECG, etc for NTEP) Procurement of Sleeves and drug boxes - Rs. 2.40 lakhs for Maintenance / up gradation costs for Laboratory equipment’s DMC, X-ray and ECG, etc for NTEP  - Rs. 2.00 lakhs for Procurement of office equipment and furniture for District levels. (Office Equipments)  - Rs. 1.50 lakhs for Maintenance / up gradation costs for office equipment’s (Office Equipments)
73.4 - Drugs - Rs. 2.80 Lakhs - Procurement of First line drugs, Local Procurement of first line Anti TB  drugs on need basis and Drug Transportation charges etc
73.5 - Diagnostics (Consumables, PPP, Sample Transportation) - Rs. 10.50 Lakhs - Rs. 5.20 lakhs Patient Support &amp; Sample collection and Transport , Charges for transportation of samples for diagnosis, DST, follow-up &amp; Rs. 5.30 lakhs for Procurement of Lab consumables for DMCs, Procurement of Consumables for X-rays, ECG and etc.
73.6 - Capacity building Incl. training - Rs. 7.10 Lakhs -   Rs. 4.40 lakhs for training cost (including TA/DA &amp; other course materials) for officers / staff/ TB Champions and all district staff at National level, State level and District level, Rs. 2.00 lakhs Cost for conducting CME Training in Medical Colleges, Rs. 0.70 lakhs Community Engagement Activities - Sensitization of TB survivors, sensitization of NGOs, PRIs meeting, TB survivor led activities, etc
73.8 - Others including operating costs (OOC) - Rs. 3.25 Lakhs  - Rs. 1.20 lakhs Incentives for Active Case Finding/Akshaya Keralam Campaign/TB Elimination house to house visit , Rs 10/ for every household visit &amp; Rs 500/ for every new cases identified -the unit cost shall preferably be budgeted as per household or per person screened.,  Rs. 0.25 lakhs Incentive to non-salaried person for injection prick,  Rs. 1.80 lakhs Budget for Printing of Materials..
73.10 - Planning &amp; M&amp;E - Rs. 12.50 Lakhs  - Rs. 3.10 lakhs Supervision and Monitoring (District Level) - TA/DA cost of all officer/ staff working in NTEP, review meetings, Cost of internal evaluation etc.,  -Rs.1.80 lakhs for POL for existing vehicles under NTEP and mobility support for those field staff in lieu of vehicles. Rs. 2.10 lakhs Vehicle hiring cost for Districts where Govt vehicles are not available for supervision &amp; monitoring.  Rs. 1.10 lakhs Medical Colleges meetings, Rs. 3.00 lakhs Office operation includes office maintenance expenditure, stationary, communication etc.  Rs. 1.40 lakhs Maintenance cost for District vehicles (including four-wheeler &amp; two wheelers)
73.11 - Surveillance, Research, Review, Evaluation (SRRE) - Rs. 0.60 Lakhs  - Support for State &amp; District level/TU/LSG TB Forums(Treatment Support Groups) functioning including meeting cost, travel support to community members attending meeting, etc.</t>
  </si>
  <si>
    <t>74. NPY DBT - Rs. 49 Lakhs - Nutrition support to TB patient Rs. 500 per month till the treatment is completed, by DBT for DSTB Patients for 6 months &amp; Nutrition support to TB patient Rs. 500 per month till the treatment is completed, by DBT for DRTB Patients for 12 months.</t>
  </si>
  <si>
    <t xml:space="preserve">75.1 – DBT – Rs. 2.05 Lakhs - Private Provider Incentives- NTEP DBT Scheme @Rs. 500/- per notification and Rs. 500/- when treatment outcome declared &amp; Incentives for first informant (20% of Public notified case will be expected to be eligible for first informant incentive).
75.8 - Others including operating costs (OOC) - Rs. 3.05 Lakhs  - Cost of existing NGO/ PP support schemes and new NGO/ PP support schemes proposed as per NTEP Public Private Partnership Guidance.
</t>
  </si>
  <si>
    <t>76.5 - LTBI Diagnostics (Consumables, PPP, Sample Transportation) - Rs. 2.20 lakhs - Screening, referral linkages and follow-up under Latent TB Infection Management ,Cost for screening of LTBI such as incentives, sample collection &amp; transport, etc activities pertaining to LTBI.</t>
  </si>
  <si>
    <t>77.1 – DBT – Rs. 1.60 Lakhs:- Treatment Supporter Honorarium (Rs.5000), payment on the update of the Outcome of Treatment for drug resistant TB patients. will be release through Nikshay DBT Mode directly to the beneficiaries.
77.2 - Infrastructure - Civil - Rs 1.70 lakhs - minor civil works/ repairing &amp; maintenance of Nodal DRTB centre, CBNAAT, TRUNAAT sites, IRL &amp; CDST labs on need basis.
77.3 - Equipments - Rs. 2.00 Lakhs -  Procurement of equipment for District levels (DR TB Centre, C&amp; DST Lab and Molecular Diagnostics), Maintenance / up gradation costs for Laboratory equipment’s for DR TB Centre, C&amp;DST Lab and Molecular Diagnostics Equipment for NTEP
77.4 - Drugs - Rs. 1.40 Lakhs - Procurement of DRTB drugs, Local Procurement of second line drugs on need basis and Drug Transportation charges etc
77.6 - Capacity building Incl. training - Rs. 0.40 Lakhs -   Training for AIC, Cost for AIC related trainings etc.
77.11 - Surveillance, Research, Review, Evaluation (SRRE) - Rs. 0.50 Lakhs  - AIC Review Committee, Cost for Committee meeting &amp; etc.</t>
  </si>
  <si>
    <t>a)Training for Medical Officers/Field Staff/ ASHAs and sensitisation to AnganWadi/Kudumbasree workers - Rs.50000/-
b)	IEC Activities - Rs.1 lakh -IEC activities focusing on Leptospirosis – risk reduction, Doxycycline prophylaxis, health seeking behavior and intersectoral coordination.</t>
  </si>
  <si>
    <t>Approved for 800 cases @ Rs 1000 for the Assistance for consuma-bles/ drugs/ medicines including IOL to the Govt. Hospital for Cataract surgery.</t>
  </si>
  <si>
    <t>Approved for 1500 cases@ Rs 2000 per case</t>
  </si>
  <si>
    <t>Approved @ Rs 1 Lakh per unit for 4 vision centers- Edamulakkal, Thevalakkara, Thrikkovilvattom, kottamkara</t>
  </si>
  <si>
    <t xml:space="preserve">   1 Procurement of equipment for DH/ GH elderly clinics Rs. 2 Lakhs and Rs. 7 Lakhs purchase for physiotheraphy equipments SDH punalur
 2. Capacity building incl. training - Rs. 1 L </t>
  </si>
  <si>
    <t>1 Procurement of equipment for DH/ GH elderly clinics Rs. 1 Lakhs
 2. Capacity building incl. training - Rs. 1 L 
 3.IEC &amp; Printing - Rs. 1 Lakh</t>
  </si>
  <si>
    <t>1. District Level Trainings and PBS Training Rs. 3 Lakhs /each District 
 2.ASHA Incentive for CBAC Form Filling for Population Based Survey - Rs. 45.75 Lakhs
 • ASHA Incentive for NCD follow-up activity: Rs. 11.33 Lakhs 
 3.Rs.4 L for IEC activities for Dist level. and Printing of referral cards at PHC @ Rs.2500/card 
 4. Planning &amp; M&amp; E Rs. 3 L/each District level for Program Management Activities</t>
  </si>
  <si>
    <t>Diagnostics - 0.5 L Dialyzer Reprocessing Unit SDH Nedungolam (Kollam)</t>
  </si>
  <si>
    <t>2. Purchase for Heat Stroke Equipment 2. District Level Training 50000 3. Greening &amp; Climate Disaster Resilient (Energy audit, non LED replacement at HCF) and Solorization. Details attached 4. IEC &amp; Printing Rs.0.5 L 5. Task Force meetings- 0.5 L</t>
  </si>
  <si>
    <t>Capacity building incl. training
  Training for Medical Officers @ CHCs, PHCs &amp; FHCs
  Duration - 2 days; Batch Size: 25 MOs
  Approved amount per batch:2 Batches @ Rs 48,000 per batch</t>
  </si>
  <si>
    <t>Capacity building: Rs 1.6225 L 
 1. Approved Rs 0. 8925 L for one day Training for CDPO, Anganwadi Supervisors, PHN &amp; MPW Supervisors (Level 5) for 3 batches @ Rs 29750/ batch. No of participants per batch: 30
 2. Approved Rs 0.73 L for half day training Anganwadi workers (Level 6) for 2 Batches @ Rs 36500/batch. No of participants per batch: 60</t>
  </si>
  <si>
    <t>70 mas @ 1000</t>
  </si>
  <si>
    <t xml:space="preserve">OOC)   Quality Assurance Assessments (State &amp; National):@ 1 L   </t>
  </si>
  <si>
    <t xml:space="preserve">Planning &amp; M&amp;E  Mobility support for  for DPMU  @ Rs. 40000/- per month   
Administrative expenses (including Review meetings, workshops,  etc.)Rs. 10000/- per month for 14 district Units
</t>
  </si>
  <si>
    <t>OOC -Rs.14.37 lakhs approved @ Rs. 250 per wellness session for one session per month for 12 months at HWCs SC and PHCs
Planning and M&amp;E 
Rs. 0.50 lakhs approved for  refresher training and review on wellness for Medical officers for PHC&amp;UPHCs. 
Rs. 1.50 lakhs approved @Rs 75000  per batch for training of MLSPs</t>
  </si>
  <si>
    <t>Approved Operational cost of Rs 1.00 Lakhs for DDCC</t>
  </si>
  <si>
    <t xml:space="preserve">IEC &amp; PRINTING- 6.73 L (Activity breakup details attached)
ASHA Incentive 
Incentive to ASHA for ABHA ID creation @ Rs. 10 for 50 ABHA ID for 1951  one ASHA @ Rs. 9.76 L
</t>
  </si>
  <si>
    <t xml:space="preserve">a.Equipment 
A total of Rs. 9.60 L allotted for External Quality Assurance of LABS in the district at annual rates of not  more than 
•        DH-Rs.20,000/- ( 2 DH), 
•        TH-Rs.20,000/-( 9 TH/THQH), 
•        CHC-Rs.10,000/-( 16 CHC), 
•        PHC-Rs.10,000/-(58  PHC)  .
EQAS Priority should be given to the targeted institutions for NQAS.
b .Capacity building including training
A total of Rs. 11.94 L allotted for the following expenses
b.1. NQAS District Level Training -      An amount of Rs.1.66 Lakhs  is allotted for NQAS district level training of prioritized/targeted institutions for NQAS in the district. The training shall be given as team training to staffs of the targeted institutions. (Rs.83,000* 2 days ) .As per the Quality training norms NQAS operational guideline 2021 page no 101.
b.2 Kayakalp refresher training   -A total of Rs.10.28 L allotted for the following - 
b.2.1 District Level Trainings under Kayakalp Rs.54,000/- for District Level refresher trainings/ Internal Assessor workshop under Kayakalp.
Peer assessment awareness cum Internal/District Assessor workshop shall be provided to district Kayakalp inspection team.
b.2.2 Facility Level Kayakalp Training on "Swachh Bharat Abhiyan“- Rs. 9.74    L.  Facility Level Kayakalp Training on "Swachh Bharat Abhiyan“ –Kayakalp  Institutional training  for  each institutions 
•        DH- Rs.20,000/- (2 DH)  
•        TH/THQH and CHC Rs.15,000/- (25 TH/THQH &amp; CHC) ,
•        PHCs -Rs.6000/- ( 58 PHC) , 
•        HWC-SC Rs.500/- (  421 HWC-SC) 
Districts can prioritize institutions as per performance of needed additional trainings.
c. OOC
OOC Total of Rs.32.08L allotted
c.1 Rs.5 L for  District  Level Assessment &amp; Mentoring Visit including Vehicle for field visit in Districts for Quality Program.
c.2 Rs.27.08 lakhs for assessments (National/state/NQAS, MusQan)  (1 DH, 1SDH, 1 CHC, 10 PHC, 10 SC)
d. IEC/BCC
Rs.1 L   is allotted for IEC &amp; Printing for providing                                                    Signage’s- in Approach road, departmental, directional and any other relevant facility level signage’s for Quality Assurance or printing of Quality improvement IECs boards in hospital at DH/SDH .
Districts can prioritize the needy institutions based on gap analysis. Not exceeding maximum of Rs.50,000/- per institution. 
e.Planning &amp; M&amp;E.Rs.0.79L for 
  a.    Rs.24,000/-  allotted for district towards expenses for conducting    District Quality Assurance Committee Meetings as per NQAS Operational guidelines 2021 (DQAC should be met at least once in a quarter)  and other Quality Review Meetings.
 b.   Rs.55,000/-allotted for district towards meeting Contingency &amp; Misc expenses including expenses incurred for District Level Quality Assessments.                   </t>
  </si>
  <si>
    <t xml:space="preserve">Diagnostics: Rs.23.20 L 
Consumables related to implementation of infection control practices in hospital/ hospital laboratory including cost of water testing /environmental swab/sample testing, autoclave bags, indicator strips etc.
 · DH&amp;TH/THQH - @ Rs 1L for each 11 DH &amp; TH 
 · CHC – Rs.40,000/- for each     16 CHC 
 · PHC- Rs.10,000/- for each   58 PHC 
 Priority should be given to the targeted institutions for NQAS.
OOC-  62.85  lakhs
1 Expenses for Kayakalp Peer Assessment of institutions - Rs.10.85 L.  
•        DH Level Peer Assessment -Rs.25,000/- each for 2 DH           
•        TH/THQH &amp; CHC Hospital Peer Assessment- Rs.13,000/- each for 25 TH/THQH &amp; CHC.
•        PHC Peer Assessment - Rs.5000/- each  for 58 PHC                                                  
•        HWC-SC Peer Assessment - Rs.5000/- for 84 HWC-SC (20% of Total  421  HWC-SC)  
2 BIOMEDICAL WASTE MANAGEMENT-  Rs.23 L  Support for the implementation of Kayakalp                                      
•        DH-Rs.60,000/- each for   2 DH,        
•        TH/THQH-Rs.60,000/- each for 9  SDH,                                                                
•        CHC –Rs.30,000/- each for  16 CHC,                                                           
•        PHC-Rs.20,000/- each for 58  PHC.           
3 Pest Control- Rs. 13.50 L 
Pest control measures has to be undertaken and done regularly at the institutions level. For implementing Pest control measures in     
•        DH – Rs.50,000/- each for  2 DH ,   
•        TH – Rs.30,000/- each for 9 TH ,                                                                     
•        CHC – Rs.25,000/- each for   16 CHC,                                                       
•        PHC –Rs.10,000/- each for  58  PHC.   
4 Support for NQAS/KASH/MusQan Implementation for the gap closure in targeted institutions  Rs.15L for District for identified target institutions on priority basis. 
5. Rs.0.50 L for District Level Award function and District Assessment.
IEC/BCC (Printing of SOPs necessary for Implementation of NQAS, Kayakalp, LaQshya, MusQan) – Total Rs.8.05 L.
•        (DH/GH/W&amp;C- Rs.25,000/- each for 2  DH),
•        (TH/THQH - Rs.25,000/- each for 9  TH/THQH )
•        (CHC - Rs.15,000/- each for  16  CHC ),
•        (PHC - Rs.5,000/- each for 58 PHC) 
The SOP printing amount for the HWC-SCs under PHC  shall be given by the PHC. Out of Rs.5,000/-, Rs.3,000/- for PHC and Rs.2000/- for HWC-SC) </t>
  </si>
  <si>
    <t xml:space="preserve">OOC -
Rs.30 lakhs for Call Allowance
Rs. Rs.14400/-for incentives to provider for PPIUCD services 96*150
Rs.3300/- for incentives to provider for PAIUCD services 22*150
Rs.4.025 Lakhs for Incentives for updation of NVHCP MIS portal 
(Nodal officer/Pharmacist/Lab Technician)  </t>
  </si>
  <si>
    <t>FY 2024-2025
 i)Capacity building
Training of Specialist doctors, MOs, Staff Nurse, MLSP, Palliative care staffs, ASHA workers, RBSK Nurses, UPHC Staffs, JPHN, JHI, Medical College staff @Rs 0.25 lakhs per batch. 
Stationery – 100*50=5000
Food - 350*50= 17,500 
Miscellaneous -2500 
Total expenses for one batch 25,000/-
ii) )Other operating cost : .
a) Remuneration for Doctors
Speciality doctor 4, number of calls 30 @ Rs.100/- 313 days 
b). For establishment of 5 Telemedicine units @Rs. 70,000 per unit. Total Rs.3.5 Lac
Unit cost : Rs, 70,000/- 
1. Laptop - Rs. 40,000/- 
2. Headset / Webcam (If needed) - Rs. 3000/- 
3. Net connectivity - Rs. 1000 per month - Total Rs. 12,000/- per year 
4. Multifunction printer scanner -Rs. 15,000/-
 iii) Planning &amp; M&amp;E Rs 0.05 lakhs for district review meeting.
Stationery - 500 
Food -350*12= 4,200 
Miscellaneous - 300 300 
Total expenses for one batch is 5,000/-
FY 2025-2026
i) Other operating cost : .
a) Remuneration for Doctors
Speciality doctor 4, number of calls 30 @ Rs.100/- 313 days 
b). For establishment of 5 Telemedicine units @Rs. 70,000 per unit. Total Rs.3.5 Lac
Unit cost : Rs, 70,000/- 
1. Laptop - Rs. 40,000/- 
2. Headset / Webcam (If needed) - Rs. 3000/- 
3. Net connectivity - Rs. 1000 per month - Total Rs. 12,000/- per year 
4. Multifunction printer scanner -Rs. 15,000/-
 iii) Planning &amp; M&amp;E Rs 0.05 lakhs for district review meeting.
Stationery - 500 
Food -350*12= 4,200 
Miscellaneous - 300 300 
Total expenses for one batch is 5,000/-
.</t>
  </si>
  <si>
    <t>Others including operating costs(OOC)</t>
  </si>
  <si>
    <t xml:space="preserve">
1)DBT-Rs26.87 lakhs( R-3050  xRs.700 + U-911 xRs.600 + H-12*Rs 500)
2) Asha incentive -Rs.21.94 lakhs (Rural@Rs 600 &amp; Urban@Rs 400 ) 
3) Planning &amp; M&amp; E - Rs.1.08 lakhs (For Administrative exp- @4% of DBT given)</t>
  </si>
  <si>
    <t xml:space="preserve">
1)Free Drugs &amp; consumables -Rs 38.9 lakhs for PW( 1955 ND @ Rs 350 &amp; 2006 C sections @ Rs 1600) accessing Govt health facilities for delivery
2) Diagnostics -Rs 7.92lakhs@ Rs 200/beneficiary for 3961 PW 
  3) Other Operating Cost(Blood transfusion &amp; Diet) - a.Diet - Rs. 19.90 lakhs @ Rs 100 for 1955 ND for 3 days (1955*100*3)  and 2006 C sections for 7 days (2006*100*7)                                                                                                                                                                         
b.Blood Transfusion - Rs. 1.9lakhs @ Rs 300/PW for blood transfusion of 10% of total deliveries in govt.health facilities (10% of 3961 =396)        </t>
  </si>
  <si>
    <t xml:space="preserve">JSSK free transport  for pick up, drop back and referral to higher institutions @Rs 500 /beneficiary for 3961 beneficiaries </t>
  </si>
  <si>
    <t xml:space="preserve"> DBT
Rs.0.36 lakhs for mobility support to HRP women @Rs 100 for 3 visits for 122 HRPs(100*3*122 = Rs.0.36 lakhs) 
ASHA Incentives
1) e-PMSMA 
a.Rs.0.36 lakhs for ASHA incentives for mobilising HRP women @Rs 100 for 3 visits for 122 HRPs(100*3*122 = Rs.0.36 lakhs)                                                                                                                      b. Rs 0.36 lakhs for ASHA incentives for healthy outcome of HRP @ Rs 500/HRP for 122 HRPs (500*122 = Rs1.79 lakhs)
2) PNC visit - Rs.0.15 lakhs as ASHA incentive for healthy outcome of HRPs identified during  PNC visit (Rs250*61=Rs.0.15lakhs) 
OOC
PMSMA session sites -3, Fund to be utilised for vehicle hiring/POL/refreshments</t>
  </si>
  <si>
    <t xml:space="preserve">IEC &amp; PRINTING- 1.25L (Activity breakup details attached)
Branding of 25 SUMAN certified facilities @ Rs.5000/- per facility
Planning and M&amp;E
Rs 10000 for conducting district level meeting(2 meetings in a year). This may be utlised for conducting DQAC meeting </t>
  </si>
  <si>
    <t xml:space="preserve">OOC
To conduct maternal death audit meeting @ Rs 1321/month(Rs1321*12=15852, for POL and refreshments)
Planning and M&amp;E 
MDNMSR - Rs 18000 (1500/meeting*12 meeting ) </t>
  </si>
  <si>
    <t>Prevention of Preventable Maternal Deaths-50000/batch -Total 2 batch One batch 35 participants
(Rs 50000*2=Rs 100000)</t>
  </si>
  <si>
    <t>2024-25 
1. Equipments
Color coded hand ties for mother and child identification for 2 LaQshya targeted facilities
 (1738 delivery x2noxRs.10 = .35 L)
2.Capacity building incl. training s for district level - LaQshya training @ Rs 0.75 L /Districts 
3.Operational Cost for District level activities 
Rs 1 lakh for gap closure identified during internal/District assessment.
Rs.2 lakhs for National/state assessment as per NQAS operational guidelines
2025-26
1Equipments
Color coded hand ties for mother and child identification for 2 LaQshya targeted facilities  (1904 delivery x2noxRs.10 = 0.38L)
2.Capacity building incl. training s for district level 
LaQshya training @ Rs 1L /District 
2.Operational Cost for District level activities 
Rs 1 lakh for gap closure identified during internal/District assessment.
Rs.2 lakhs for National/state assessment as per NQAS operational guidelines</t>
  </si>
  <si>
    <t xml:space="preserve">MH IEC &amp; PRINTING- 2.45L (Activity breakup details attached)
OOC: 10 RCH camps @ 15000/-= 1.5L
2025-26
Training -One batch RTI/STI training for MO @ Rs.50000/- </t>
  </si>
  <si>
    <t>IEC &amp; PRINTING- 0.40L (Activity breakup details attached)</t>
  </si>
  <si>
    <t>Equipment :-    Repair equipment for 57 existing nurses - Unit cost - Rs.2000/- - Rs.2000 x 57 = 1,14,000/-
Drugs &amp; Supplies :-                                                                                                                                         
Diagnostics :-                                                                                                                                           
 Capacity building training : -  1. RBSK Refresher training @ Rs. 50000/- per batch for 2 batches, 2. One-day orientation for MO / other staff Delivery points (RBSK training) – 2 Batch training per district @ ₹21000 per batch, 3. Half-day RBSK refresher training @ Rs. 2500 x 10 = 25000/-                                                                                                            
Asha Incentives :-                                                                                                                                  
OOC :-   1. Mobility support for the RBSK Mobile health team  - Incentive for RBSK nurse – Rs.1000*57*12 = Rs.6,84,000/- and 1 vehicles for MHT – Rs.48000*1*12 = Rs. 5,76,000 /-
, 2. CUG connection -  61 connections @ Rs.300 per month =   2,19,600                                                                                                                                                                                                                                                                             Planning &amp; M &amp; E : - One yearly meeting at the district level involving line departments like WCD, LSGD, ICPS, ORC, Childline, BRC/ Education dept. etc @ 50000 per district.    
IEC &amp; PRINTING- 0.1425 L for Printing of RBSK cards and registers and Diary @ Rs.250/- for 57 RBSK nurses Total - 14,250/-</t>
  </si>
  <si>
    <t xml:space="preserve">Equipment :- Rs. 227330 lakh is recommended for essential equipment as per gap analysis. 
Drugs &amp; Supplies :- 
Diagnostics :- Approval is to purchase Consumables for functioning 
DEIC. @ Rs. 100000/-
Capacity building training : - 
 Asha Incentives :- 
OOC :- 1. Operational expenses for Rs.10000 per month for Pathanamthitta DEIC. Total amount  = Rs. 1,20,000/-, 
2. Referral Support for Secondary/ Tertiary – Rs. 77.23/- Lakhs 
Planning &amp; M &amp; E : - 
IEC &amp; PRINTING- Printing cost for DEIC – Rs. 1 lakhs </t>
  </si>
  <si>
    <t xml:space="preserve">Equipment :- 
Drugs &amp; Supplies :- 
Diagnostics :- 
Capacity building training : - One day District  Level TOT training for selected 10 participants
 in each districts @ Rs.11000/-
Asha Incentives :- Incentive for HBNC, HBYC, &amp; SNCU discharge babies – Rs. 32.73 lakhs
OOC :- 
Planning &amp; M &amp; E : - 
IEC &amp; PRINTING- </t>
  </si>
  <si>
    <t>Equipment :-    
Drugs &amp; Supplies :-                                                                                                                                         
Diagnostics :-                                                                                                                                           
 Capacity building training : - 1. NSSK Training for Medical Officers - 2 batch NSSK training Rs. 34400 x 2 = Rs.68800/-., 2. NSSK Training for Staff Nurses - 2 batch NSSK training Rs. 34400 x 2 = Rs.68800/-, 3. Trainings for Family participatory care (KMC) - Rs 50000 per district to get a  team of trained doctors and Nurses at SNCUs. Rs.50000 x 1 = Rs.50,000/- , 4. Rs. 1 lakh is approved for two batches of Musqan District level Sensitization Training @ 100000 per district, 5. MUSQAN: Health Institution level activities – 2 lakh approved for selected 1 institution. Unit price of  1 each for gap filling &amp; Equipments approved for this 1 institution                                                                                             
Asha Incentives :-                                                                                                                                  
OOC :- 1. 1 Functional SNCUs = Rs. 300000x 1 SNCU = Rs.3,00,000/-, 2. NBCC– approved @ Rs.10,000 for 5 delivery points Rs. 10000x12 Delivery point = 50,000/- , 3. Family participatory care (KMC) -Rs. 75000 x 1 SNCUs = 75,000/- , 6.  Operating expenses for  4 NBSU – Rs. 4 lakhs.                                                                                                                                                                                                                                                                                    Planning &amp; M &amp; E : -   
IEC &amp; PRINTING- Rs 1 lakh per unit for 1 SNCUs</t>
  </si>
  <si>
    <t xml:space="preserve">Equipment :-    
Drugs &amp; Supplies :-                                                                                                                                         
Diagnostics :-                                                                                                                                           
Capacity building training : -  CDR training approved @ Rs.50000 per district.                                                                                                           
Asha Incentives :- Rs.50 per under 5 Child death @ community level /Non-FRU level/ pvt facilities for 127 under 5 deaths. 127 cases * 50 =  6350/-                                                                                                                                 
OOC :- 1. ANM Honorarium (FBIR) - Rs. 100 per Under 5 Child Deaths @ Community level/ Non-FRU level/ private facilities for 127 Under 5 Deaths -127 cases * 100 = 12,700/- , 2. Medical Officer Honorarium (Verbal Autopsy) by team of 2 MOs -  Rs. 500 per Under 5 Child Deaths @ Community level/ Non- FRU level/ private facilities for 127 Under 5 Deaths -127 cases * 500 = 63,500/-, 3. Transport of parents @ Rs.100 per case to attend DM level meeting for 72 deceased children -72  children * 100 = 7200/-, 4. DM level meeting @ Rs. 5000 per District (per annum) 5000 * 1 = 5000/-                                                                                                                                                                                                                                                                                     Planning &amp; M &amp; E : -   
IEC &amp; PRINTING- </t>
  </si>
  <si>
    <t xml:space="preserve">Equipment :-    
Drugs &amp; Supplies :-                                                                                                                                         
Diagnostics :-                                                                                                                                           
Capacity building training : -  1.  Rs. 1.0 Lakhs for District level sensitization for Medical Officers, Staff nurses, JPHNs, PHNs etc,  2.  Rs. 0.50 Lakhs for One day Training  for Paediatricians and medical Officers of 40 participants on new Pneumonia management guidelines Rs 150000 * 1 = 150000/-, 3. Training of ASHAs- 35 batch x Rs.3000 = Rs. 1,05,000/-                                                                                                         
Asha Incentives :-                                                                                                                                  
OOC :-                                                                                                                                                                                                                                                                                             Planning &amp; M &amp; E : - Rs. 20000  for Supportive Supervision of SAANS Program.  
IEC &amp; PRINTING-  1. 1 Lakh per District for  District Level Launch of SAANS Campaign, 2. Rs. 2 lakh for per district for district level  IEC /BCC Activities of SAANS Campaign., 3. Rs. 20000 for printing of SAANS Guidelines.
</t>
  </si>
  <si>
    <t>Equipment :- 
Drugs &amp; Supplies :- 
Diagnostics :- 
Capacity building training : - Rs. 1 lakh per batch for district level  ToT/ training on F-IMNCI.
Asha Incentives :- 
OOC :- Rs. 3.0 Lakhs as Operational Cost of 2 HDUs @ Rs. 1.5 Lakh per Unit.  1.5 lakh * 2 HDU = 3,00,000/-
Planning &amp; M &amp; E : - 
 IEC &amp; PRINTING- .</t>
  </si>
  <si>
    <t xml:space="preserve">                                                                                                                                                                                                                                                                                 Planning &amp; M &amp; E : -   District Level Review Meeting of Program including RBSK and CH @ Rs. 1.75 lakhs per District 
IEC &amp; PRINTING- Rs. 2.09 lakh for Child health IEC activities
 </t>
  </si>
  <si>
    <t>Training Rs.3.65 lakhs
 ASHA Incentives -Rs.24.68  lkhs for 2024-25 and Rs.24.22  for 2025-26
 OOC Rs.10.83 lakhs
 IEC &amp; PRINTING- 1.40 L (Activity breakup details attached in IEC annexure)
 Planning and M&amp;E Rs.4.30 lakhs
 SRRE-AEFI Rs.2.92 Lakhs</t>
  </si>
  <si>
    <t>DRG 2 days Training at Dsitrict level @ Rs 1 Lakh, Duration = 2 days, Batch size = 50 nos, approved amount Rs 1.00 L
OOC
SHWP Worshop in each 14 districts @ Rs 40,000/ Dist</t>
  </si>
  <si>
    <t xml:space="preserve">a.DBT -Male sterilization -12cases @ Rs 1500 per case.
b.Training of Medical Officers on NSV 1 batch @ Rs 34500/batch with 5 participants per batch for 5 days training </t>
  </si>
  <si>
    <t>DBT -Rs 100 per dose per beneficiary for 102 cases
ASHA Incentive- Rs 100 per dose per ASHA for 102 cases</t>
  </si>
  <si>
    <t xml:space="preserve">DBT - for FPIS @ Rs 30000 as compensation for each failure of sterilization for 3 cases </t>
  </si>
  <si>
    <t>IEC &amp; PRINTING-  1.85 L Activity Breakup is attached
Planning &amp; M&amp;E- Rs.1 lakh for monitoring activities during World Population Day and vasectomy Fortnight at district and block level</t>
  </si>
  <si>
    <t>a.Drugs- Procurement of Self care Kit 29 kit @Rs 1000/kit-Selfcare kit should be installed in all delivery points and other appropriate facilities based on the demand and eligible couple catered by that facilty.
b. IEC &amp; PRINTING -2.08 L Activity Breakup attached
c. FP QAC meeting Rs 1000/meeting /quarter</t>
  </si>
  <si>
    <t xml:space="preserve">Capacity building incl. training - 1. Orientation activities on vitamin A supplementation and Anaemia Mukta Bharat Programme/ VIVA Kerala - Rs.100000 per district., 2. One day Orientation of frontline workers (ASHA/ANM) and allied department workers (Teachers/AWW) on  VIVA Kerala/ Anaemia Mukt Bharat - Rs.100000 per district.
ASHA Incentive - 1. National Iron Plus Incentive for Mobilizing WRA (non pregnant &amp; non lactating women  20-49 years) approved at Rs 50  for ASHA for one month - 1091 Asha * 50 * 12 = 654600/- , 2.National Iron Plus Incentive for Mobilizing  children  and / or ensuring compliance and reporting (6-59 months) - approved @ Rs 100 for ASHA for one month - 1091 Asha * 100 *12 = 1309200/-
</t>
  </si>
  <si>
    <t>Capacity building incl. training - 
Rs.3.75 lakhs for Orientation of Nodal teacher, field staff and Anganwadi workers @ Rs.50/- for  two rounds of NDD
ASHA  INCENTIVE - Rs 2.18 Lakhs for ASHA incentives for 1091 ASHAs for mobilizing beneficiaries for NDD round @ Rs 100 per ASHA per round Rs.100 * 1091 * 2 round  = 2,18,200/-
IEC and printing -  IEC and printing activities for NDD @ Rs 1.5 Lakh per district per round. Rs. 1.5 lakh * 2 round = 3,00,000/-</t>
  </si>
  <si>
    <t>IEC &amp; PRINTING- 0.5L (Activity breakup details attached)
ASHA Incentive - ASHA incentive under MAA programme @ Rs 100 per ASHA for quarterly 
mother's meeting - Rs 400 * 1091 ASHAs = 4,36,400/-</t>
  </si>
  <si>
    <t>Diagnostics - Consumables and stationaries for proposed 1 LMU @ Rs.105000 as recurring cost. 
 Rs.105000 x 1 = 105000/-</t>
  </si>
  <si>
    <t>"1. Incentive for IDCF for prophylactic distribution of ORS to family with under-five children:
 Approved @ Rs 100 per ASHA for IDCF campaign for the routine activity. 1091 *100 = 1,09,100					
2.  IEC &amp; Printing - Approved under IDCF @ Rs.0.75 lakh                                         "</t>
  </si>
  <si>
    <t>Training Rs.5.75 lakhs
Planning and M&amp;E Rs.3.75 lakh
SRRE-Rs.2 lakh</t>
  </si>
  <si>
    <t>Training Rs.1.10 lakhs
Equipments Rs. 1.37Lakhs
OOC Rs.1.24 lakhs
IEC &amp; Printing Rs.0.70 lakhs
Planning and M&amp;E Rs.6.10 lakh</t>
  </si>
  <si>
    <t>Training Rs.0.40 lakhs
ASHA incentive Rs.0.88lakhs
OOC Rs.21.01lakhs
IEC &amp; Printing Rs 0.65 lakhs
Planning and M&amp;E Rs.3.50 lakh
SRRE Rs.3lakhs</t>
  </si>
  <si>
    <t>Training Rs.0.40 lakhs
OOC Rs.0.2530 lakhs
IEC &amp; Printing Rs.0.25 lakhs
Planning and M&amp;E -nil
SRRE Rs.0.50 lakhs</t>
  </si>
  <si>
    <t xml:space="preserve">Training Rs.0.40 lakhs
OOC Rs.0.2530 lakhs
IEC &amp; Printing Rs.0.25 lakhs
</t>
  </si>
  <si>
    <t>Diagnostics - 0.68 L
 Approved Rs 0.68 Lakhs per district for drugs required for management of reaction and printing.
 ASHA incentives - 37.337 L
 1. Approved an amount of Rs 37.12 L as incentive for Incentive for search team (Rs 1000 per Volunteer) for each screening round/ village for LCDC
 2. Approved Rs 0.025 L as Incentive for ASHA/ AWW/ Volunteer/ etc for detection of Leprosy (Rs 250 for detection of an early case before onset of any visible deformity, Rs 200 for detection of new case with visible deformity in hands, feet or eye)
 3. Approved Rs 0.02 L for ASHA Incentive for Treatment completion of PB cases (@ Rs 400)
 4. Approved Rs 0.012 L for ASHA Incentive for Treatment completion of MB cases (@ Rs 600)
 5. Approved 0.20 Lakhs for Any other ASHA incentives(Sensitisation) @ Rs 100 per ASHA
 OOC - 0.80 L: Approved for Case Detection and Management in urban Areas</t>
  </si>
  <si>
    <t>Equipment - 0.208 L 
 1. Procurement of other equipment: NLEP- MCR
 Approved Rs 0.16 Lakhs for MCR Chappals @ Rs 400 per unit
 2. Procurement of other equipment: NLEP- Aids/Appliance
 Approved Rs 0.048 Lakhs for Self care kit @ Rs 150 per unit 
 OOC - 1.1 L
 Approved for Early detection in camps, ulcer management, and prevention of deformity@ Rs 10000 per camp</t>
  </si>
  <si>
    <t>Capacity building incl Training - 2.856 L
 1. Approved Rs 1.856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Planning &amp; M &amp; E - 2.723 L
 1.Office operation &amp; Maintenance, Consumables- District Cell @ Rs 0.30 Lakhs
 2. Mobility Support District cell including TA/DA of NLEP staff@ Rs 1.5 Lakh/district
 3. Approved an amount of Rs 0.378 L as POL, transport (field supervisors) for LCDC @ Rs 100/ supervisor
 4. Approved Rs 0.185 Lakhs for Logistics Rs.10/ team in connection with LCDC.
 5. Approved Rs 0.36 Lakhs for Supervision and monitoring @ Rs 3000 per block in connection with LCDC</t>
  </si>
  <si>
    <t>Capacity building incl Training - 2.856 L
 1. Approved Rs 1.856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- 2.016 L
 1.Approved Rs 0.48 Lakhs for Advocacy/ IEC (Rs 4000/block of urban area) in connection with LCDC.
 2. Approved Rs 0.556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- 2.723 L
 1.Office operation &amp; Maintenance, Consumables- District Cell @ Rs 0.30 Lakhs
 2. Mobility Support District cell including TA/DA of NLEP staff@ Rs 1.5 Lakh/district
 3. Approved an amount of Rs 0.378 L as POL, transport (field supervisors) for LCDC @ Rs 100/ supervisor
 4. Approved Rs 0.185 Lakhs for Logistics Rs.10/ team in connection with LCDC.
 5. Approved Rs 0.36 Lakhs for Supervision and monitoring @ Rs 3000 per block in connection with LCDC</t>
  </si>
  <si>
    <t>73.1 – DBT – Rs. 1.99 Lakhs:- Treatment Supporter Honorarium (Rs.1000) - one-time payment on the update of the Outcome of Treatment for drug sensitive TB patients, will be release through Nikshay DBT Mode directly to the beneficiaries.
73.2 - Infrastructure - Civil - Rs 2.50 lakhs – Rs. 2.50 lakhs for minor civil works/ repairing &amp; maintenance required at  DTC, TU &amp; DMC and X-ray facilities etc based on need basis and for minor civil works.
73.3 - Equipments - Rs. 8.40 Lakhs -  Rs. 2.50 lakhs Procurement of equipment for District levels. (DMC, X-ray and ECG, etc for NTEP) Procurement of Sleeves and drug boxes - Rs. 2.40 lakhs for Maintenance / up gradation costs for Laboratory equipment’s DMC, X-ray and ECG, etc for NTEP  - Rs. 2.00 lakhs for Procurement of office equipment and furniture for District levels. (Office Equipments)  - Rs. 1.50 lakhs for Maintenance / up gradation costs for office equipment’s (Office Equipments)
73.4 - Drugs - Rs. 2.60 Lakhs - Procurement of First line drugs, Local Procurement of first line Anti TB  drugs on need basis and Drug Transportation charges etc
73.5 - Diagnostics (Consumables, PPP, Sample Transportation) - Rs. 9.40 Lakhs - Rs. 4.10 lakhs Patient Support &amp; Sample collection and Transport , Charges for transportation of samples for diagnosis, DST, follow-up &amp; Rs. 5.30 lakhs for Procurement of Lab consumables for DMCs, Procurement of Consumables for X-rays, ECG and etc.
73.6 - Capacity building Incl. training - Rs. 6.20 Lakhs -   Rs. 4.10 lakhs for training cost (including TA/DA &amp; other course materials) for officers / staff/ TB Champions and all district staff at National level, State level and District level, Rs. 1.60 lakhs Cost for conducting CME Training in Medical Colleges, Rs. 0.50 lakhs Community Engagement Activities - Sensitization of TB survivors, sensitization of NGOs, PRIs meeting, TB survivor led activities, etc
73.8 - Others including operating costs (OOC) - Rs. 3.00 Lakhs  - Rs. 1.05 lakhs Incentives for Active Case Finding/Akshaya Keralam Campaign/TB Elimination house to house visit , Rs 10/ for every household visit &amp; Rs 500/ for every new cases identified -the unit cost shall preferably be budgeted as per household or per person screened.,  Rs. 0.25 lakhs Incentive to non-salaried person for injection prick,  Rs. 1.70 lakhs Budget for Printing of Materials..
73.10 - Planning &amp; M&amp;E - Rs. 14.00 Lakhs  - Rs. 3.80 lakhs Supervision and Monitoring (District Level) - TA/DA cost of all officer/ staff working in NTEP, review meetings, Cost of internal evaluation etc.,  -Rs.1.90 lakhs for POL for existing vehicles under NTEP and mobility support for those field staff in lieu of vehicles. Rs. 2.30 lakhs Vehicle hiring cost for Districts where Govt vehicles are not available for supervision &amp; monitoring.  Rs. 1.10 lakhs Medical Colleges meetings, Rs. 3.30 lakhs Office operation includes office maintenance expenditure, stationary, communication etc.  Rs. 1.60 lakhs Maintenance cost for District vehicles (including four-wheeler &amp; two wheelers)
73.11 - Surveillance, Research, Review, Evaluation (SRRE) - Rs. 0.50 Lakhs  - Support for State &amp; District level/TU/LSG TB Forums(Treatment Support Groups) functioning including meeting cost, travel support to community members attending meeting, etc.</t>
  </si>
  <si>
    <t>74.1 – DBT – Rs. 34.00 Lakhs - Nutrition support to TB patient Rs. 500 per month till the treatment is completed, by DBT for DSTB Patients for 6 months &amp; Nutrition support to TB patient Rs. 500 per month till the treatment is completed, by DBT for DRTB Patients for 12 months. The payment to be release directly to the beneficiary bank account through Nikshay DBT mode.</t>
  </si>
  <si>
    <t xml:space="preserve">75.1 – DBT – Rs. 1.32 Lakhs - Private Provider Incentives- NTEP DBT Scheme @Rs. 500/- per notification and Rs. 500/- when treatment outcome declared &amp; Incentives for first informant (20% of Public notified case will be expected to be eligible for first informant incentive).
75.8 - Others including operating costs (OOC) - Rs. 2.20 Lakhs  - Cost of existing NGO/ PP support schemes and new NGO/ PP support schemes proposed as per NTEP Public Private Partnership Guidance.
</t>
  </si>
  <si>
    <t>76.5 - LTBI Diagnostics (Consumables, PPP, Sample Transportation) - Rs. 1.60 lakhs - Screening, referral linkages and follow-up under Latent TB Infection Management ,Cost for screening of LTBI such as incentives, sample collection &amp; transport, etc activities pertaining to LTBI.</t>
  </si>
  <si>
    <t xml:space="preserve">77.1 – DBT – Rs. 1.40 Lakhs:- Treatment Supporter Honorarium (Rs.5000), payment on the update of the Outcome of Treatment for drug resistant TB patients. will be release through Nikshay DBT Mode directly to the beneficiaries.
77.2 - Infrastructure - Civil - Rs 2.00 lakhs - minor civil works/ repairing &amp; maintenance of Nodal DRTB centre, CBNAAT, TRUNAAT sites, IRL &amp; CDST labs on need basis.
77.3 - Equipments - Rs. 2.00 Lakhs -  Procurement of equipment for District levels (DR TB Centre, C&amp; DST Lab and Molecular Diagnostics), Maintenance / up gradation costs for Laboratory equipment’s for DR TB Centre, C&amp;DST Lab and Molecular Diagnostics Equipment for NTEP
77.4 - Drugs - Rs. 1.20 Lakhs - Procurement of DRTB drugs, Local Procurement of second line drugs on need basis and Drug Transportation charges etc
77.6 - Capacity building Incl. training - Rs. 0.40 Lakhs -   Training for AIC, Cost for AIC related trainings etc.
77.11 - Surveillance, Research, Review, Evaluation (SRRE) - Rs. 0.50 Lakhs  - AIC Review Committee, Cost for Committee meeting &amp; etc.
</t>
  </si>
  <si>
    <t>78.9 - Rs. 8.50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 (Separate excel sheet on activity wise attached)</t>
  </si>
  <si>
    <t>Approved for 500 cases @ Rs 1000 for the Assistance for consuma-bles/ drugs/ medicines including IOL to the Govt. Hospital for Cataract surgery</t>
  </si>
  <si>
    <t>Approved for 200 cases@ Rs 2000 per case</t>
  </si>
  <si>
    <t xml:space="preserve">
1 Procurement of equipment for DH/ GH elderly clinics Rs. 2 Lakhs
 2. Capacity building incl. training - Rs. 1 L 
 3.IEC &amp; Printing - Rs. 1 Lakh</t>
  </si>
  <si>
    <t>1. District Level Trainings and PBS Training Rs. 3 Lakhs /each District 
 2.ASHA Incentive for CBAC Form Filling for Population Based Survey - Rs. 22.50 Lakhs
 • ASHA Incentive for NCD follow-up activity: Rs. 11.34 Lakhs 
 3.Rs.4 L for IEC activities for Dist level. and Printing of referral cards at PHC @ Rs.2500/card 
 4. Planning &amp; M&amp; E Rs. 3 L/each District level for Program Management Activities</t>
  </si>
  <si>
    <t xml:space="preserve">Diagnostics - 0.5 L Dialyzer Reprocessing Unit GH Pathanamthitta </t>
  </si>
  <si>
    <t xml:space="preserve">
1.Training 0.5L/district 
 2. IEC Rs 0.30 L per district</t>
  </si>
  <si>
    <t xml:space="preserve">
2. Purchase for Heat Stroke Equipment 2. District Level Training 50000 3. Greening &amp; Climate Disaster Resilient (Energy audit, non LED replacement at HCF) and Solorization. Details attached 4. IEC &amp; Printing Rs.0.5 L 5. Task Force meetings- 0.5 L</t>
  </si>
  <si>
    <t xml:space="preserve">
1. Fast moving dental consumables for selected Dental units 2. Conducting Dental camps(Rs 15000/One camp)2.IEC Printing Activitie (Rs 20000/One camp)3.Observance of WOHD) -Rs 2 L/District</t>
  </si>
  <si>
    <t>Capacity building incl. training
 Training for Medical Officers @ CHCs, PHCs &amp; FHCs
 Duration - 2 days; Batch Size: 25 MOs
 Approved amount per batch: Rs 48,000 per batch</t>
  </si>
  <si>
    <t>Capacity building: Rs 0.96 L 
 1. Approved Rs 0. 595 L for one day Training for CDPO, Anganwadi Supervisors, PHN &amp; MPW Supervisors (Level 5) for 2 batches @ Rs 29750/ batch. No of participants per batch: 30
 2. Approved Rs 0.365 L for half day training Anganwadi workers (Level 6) for 1 Batches @ Rs 36500/batch. No of participants per batch: 60</t>
  </si>
  <si>
    <t xml:space="preserve">
1. Training Rs. 1 Lakhs/District.</t>
  </si>
  <si>
    <t xml:space="preserve">
1. Training Rs. 1 Lakhs/District.
 </t>
  </si>
  <si>
    <t>Rs.1,000*39 MAS (Trainings to 39 MAS &amp; 41 for 25-26)</t>
  </si>
  <si>
    <t xml:space="preserve"> UHNDs /month/ANM @ Rs. 250.00  Mobility support for ANM@ Rs. 500/- 
</t>
  </si>
  <si>
    <t>Untied fund @2,00,000/UPHC. Untied fund to MAS @5000*39 and 41 MAS 24-26</t>
  </si>
  <si>
    <t>OOC -Rs.9.12 lakhs approved @ Rs. 250 per wellness session for one session per month for 12 months at HWCs SC and PHCs
Planning and M&amp;E 
Rs. 0.50 lakhs approved for  refresher training and review on wellness for Medical officers for PHC&amp;UPHCs. 
Rs. 0.75 lakhs approved @Rs 75000  per batch for training of MLSPs</t>
  </si>
  <si>
    <t>IEC &amp; Printing -Printing a customised book for one patient identified, Rs  10000 for 200 customized books @ Rs 50.
50 * 200 = 10000.</t>
  </si>
  <si>
    <t>Approved Operational cost of Rs 1.00 Lakhs -for DDCC operational expenses</t>
  </si>
  <si>
    <t xml:space="preserve">IEC &amp; PRINTING- 1.60L (Activity breakup details attached)
ASHA Incentive 
Incentive to ASHA for ABHA ID creation @ Rs. 10 for 50 ABHA ID for 1091  one ASHA @ Rs. 5.46 L
</t>
  </si>
  <si>
    <t xml:space="preserve">a.Equipment 
A total of Rs. 6.90 L allotted for External Quality Assurance of LABS in the district at annual rates of not  more than 
•        DH-Rs.20,000/- (3 DH), 
•        TH-Rs.20,000/-( 4TH/THQH), 
•        CHC-Rs.10,000/-(12 CHC), 
•        PHC-Rs.10,000/-( 43PHC)  .
EQAS Priority should be given to the targeted institutions for NQAS.
b .Capacity building including training
A total of Rs.9.09 L allotted for the following expenses
b.1. NQAS District Level Training -      An amount of Rs.1.66 Lakhs  is allotted for NQAS district level training of prioritized/targeted institutions for NQAS in the district. The training shall be given as team training to staffs of the targeted institutions. (Rs.83,000* 2 days ) .As per the Quality training norms NQAS operational guideline 2021 page no 101.
b.2 Kayakalp refresher training   -A total of Rs.7.43 L allotted for the following - 
b.2.1 District Level Trainings under Kayakalp Rs.54,000/- for District Level refresher trainings/ Internal Assessor workshop under Kayakalp.
Peer assessment awareness cum Internal/District Assessor workshop shall be provided to district Kayakalp inspection team.
b.2.2 Facility Level Kayakalp Training on "Swachh Bharat Abhiyan“- Rs.6.89 L.  Facility Level Kayakalp Training on "Swachh Bharat Abhiyan“ –Kayakalp  Institutional training  for  each institutions 
•        DH- Rs.20,000/- (3DH)  
•        TH/THQH and CHC Rs.15,000/- (16TH/THQH &amp; CHC) ,
•        PHCs -Rs.6000/- ( 43PHC) , 
•        HWC-SC Rs.500/- (  261HWC-SC) 
Districts can prioritize institutions as per performance of needed additional trainings.
c. OOC
OOC a total of Rs.32.08 Lakhs is allotted.
c.1 Rs.5 L for  District  Level Assessment &amp; Mentoring Visit including Vehicle for field visit in Districts for Quality Program.
c.2 Rs.27.08 lakhs for assessments (National/state/NQAS, MusQan)  (1 DH, 1SDH, 1 CHC, 10 PHC, 10 SC)
d. IEC/BCC
Rs.1 L   is allotted for IEC &amp; Printing for providing                                                    Signage’s- in Approach road, departmental, directional and any other relevant facility level signage’s for Quality Assurance or printing of Quality improvement IECs boards in hospital at DH/SDH .
Districts can prioritize the needy institutions based on gap analysis. Not exceeding maximum of Rs.50,000/- per institution. 
e.Planning &amp; M&amp;E.Rs.0.79L for 
  a.    Rs.24,000/-  allotted for district towards expenses for conducting    District Quality Assurance Committee Meetings as per NQAS Operational guidelines 2021 (DQAC should be met at least once in a quarter)  and other Quality Review Meetings.
 b.   Rs.55,000/-allotted for district towards meeting Contingency &amp; Misc expenses including expenses incurred for District Level Quality Assessments.                   </t>
  </si>
  <si>
    <t xml:space="preserve">Diagnostics: Rs. 16.10 L 
Consumables related to implementation of infection control practices in hospital/ hospital laboratory including cost of water testing /environmental swab/sample testing, autoclave bags, indicator strips etc.
 · DH&amp;TH/THQH - @ Rs 1L for each 7DH &amp; TH 
 · CHC – Rs.40,000/- for each    12 CHC 
 · PHC- Rs.10,000/- for each  43 PHC 
 Priority should be given to the targeted institutions for NQAS.
OOC-    49.48 lakhs
1 Expenses for Kayakalp Peer Assessment of institutions - Rs.7.58    L.  
•        DH Level Peer Assessment -Rs.25,000/- each for  3DH           
•        TH/THQH &amp; CHC Hospital Peer Assessment- Rs.13,000/- each for 16 TH/THQH &amp; CHC.
•        PHC Peer Assessment - Rs.5000/- each  for 43 PHC                                                  
•        HWC-SC Peer Assessment - Rs.5000/- for  52HWC-SC (20% of Total 261 HWC-SC)  
2 BIOMEDICAL WASTE MANAGEMENT-  Rs.16.40 L  Support for the implementation of Kayakalp                                      
•        DH-Rs.60,000/- each for   3 DH,        
•        TH/THQH-Rs.60,000/- each for 4 SDH,                                                                
•        CHC –Rs.30,000/- each for   12 CHC,                                                           
•        PHC-Rs.20,000/- each for  43 PHC.           
3 Pest Control- Rs.10 L 
Pest control measures has to be undertaken and done regularly at the institutions level. For implementing Pest control measures in     
•        DH – Rs.50,000/- each for 3 DH ,   
•        TH – Rs.30,000/- each for  4 TH ,                                                                     
•        CHC – Rs.25,000/- each for  12  CHC,                                                       
•        PHC –Rs.10,000/- each for   43 PHC.   
4 Support for NQAS/KASH/MusQan Implementation for the gap closure in targeted institutions  Rs.15L for District for identified target institutions on priority basis. 
5. Rs.0.50 L for District Level Award function and District Assessment.
IEC/BCC (Printing of SOPs necessary for Implementation of NQAS, Kayakalp, LaQshya, MusQan) – Total  Rs.5.70  L.
•        (DH/GH/W&amp;C- Rs.25,000/- each for 3DH),
•        (TH/THQH - Rs.25,000/- each for  4 TH/THQH )
•        (CHC - Rs.15,000/- each for   12 CHC ),
•        (PHC - Rs.5,000/- each for 43  PHC) 
The SOP printing amount for the HWC-SCs under PHC  shall be given by the PHC. Out of Rs.5,000/-, Rs.3,000/- for PHC and Rs.2000/- for HWC-SC) </t>
  </si>
  <si>
    <t>TMMU 3 nos  @50000 per month</t>
  </si>
  <si>
    <t xml:space="preserve">OOC -
Rs.5 lakhs for Call Allowance
Rs. Rs.17400/-for incentives to provider for PPIUCD services 116*150
Rs.300/- for incentives to provider for PAIUCD services 2*150
Rs.4.025 Lakhs for Incentives for updation of NVHCP MIS portal 
(Nodal officer/Pharmacist/Lab Technician)  </t>
  </si>
  <si>
    <t xml:space="preserve">IEC &amp; PRINTING- 1.12L (Activity breakup details attached) Planning and M&amp;E
10 HMIS / RCH training cum review meeting @ unit cost 10000/- at District level
2 HMIS / RCH training cum review meeting per health Block @ unit cost 10000/--10 blocks 
SRRE  Rs. 35000/-  internet annual user fee for ( 1 UPHCs implemented ehealth)
</t>
  </si>
  <si>
    <t xml:space="preserve">FY 2024-2025
 i)Capacity building
Training of Specialist doctors, MOs, Staff Nurse, MLSP, Palliative care staffs, ASHA workers, RBSK Nurses, UPHC Staffs, JPHN, JHI, Medical College staff @Rs 0.25 lakhs per batch. 
Stationery – 100*50=5000
Food - 350*50= 17,500 
Miscellaneous -2500 
Total expenses for one batch 25,000/-
ii) )Other operating cost : .
a) Remuneration for Doctors
Speciality doctor 4, number of calls 30 @ Rs.100/- 313 days 
b). For establishment of 5 Telemedicine units @Rs. 70,000 per unit. Total Rs.3.5 Lac
Unit cost : Rs, 70,000/- 
1. Laptop - Rs. 40,000/- 
2. Headset / Webcam (If needed) - Rs. 3000/- 
3. Net connectivity - Rs. 1000 per month - Total Rs. 12,000/- per year 
4. Multifunction printer scanner -Rs. 15,000/-
 iii) Planning &amp; M&amp;E Rs 0.05 lakhs for district review meeting.
Stationery - 500 
Food -350*12= 4,200 
Miscellaneous - 300 300 
Total expenses for one batch is 5,000/-
FY 2025-2026
i) Other operating cost : .
a) Remuneration for Doctors
Speciality doctor 4, number of calls 30 @ Rs.100/- 313 days 
b). For establishment of 5 Telemedicine units @Rs. 70,000 per unit. Total Rs.3.5 Lac
Unit cost : Rs, 70,000/- 
1. Laptop - Rs. 40,000/- 
2. Headset / Webcam (If needed) - Rs. 3000/- 
3. Net connectivity - Rs. 1000 per month - Total Rs. 12,000/- per year 
4. Multifunction printer scanner -Rs. 15,000/-
 iii) Planning &amp; M&amp;E Rs 0.05 lakhs for district review meeting.
Stationery - 500 
Food -350*12= 4,200 
Miscellaneous - 300 300 
Total expenses for one batch is 5,000/-
</t>
  </si>
  <si>
    <t>Annexure - 1: Budgeting format for FY 2024-26</t>
  </si>
  <si>
    <t xml:space="preserve">
1)DBT-Rs 49.15 lakhs (R- 5583 xRs.700 + U-1668xRs.600 + H-13*Rs 500)
2) Asha incentive - Rs.40.17 lakhs (Rural@Rs 600 &amp; Urban@Rs 400)
3)  Planning &amp; M&amp; E - Rs.1.97lakhs (For Administrative exp- @4% of DBT given)</t>
  </si>
  <si>
    <t xml:space="preserve">
1)Free Drugs &amp; consumables -Rs 73.4 lakhs for PW( 3411 ND @ Rs 350 &amp; 3839 C sections @ Rs 1600) accessing Govt health facilities for delivery
2) Diagnostics -Rs 14.50lakhs@ Rs 200/beneficiary for 7250PW 
  3) Other Operating Cost(Blood transfusion &amp; Diet) - a.Diet - Rs. 37.10 lakhs @ Rs 100 for 3411 ND for 3 days(3411*100*3)  and 3839 C sections for 7 days (3839*100*7)                                                                                                                                                                         
b.Blood Transfusion - Rs. 2.2lakhs @ Rs 300/PW for blood transfusion of 10% of total deliveries in govt.health facilities (10% of 7250= 725)        </t>
  </si>
  <si>
    <t xml:space="preserve">JSSK free transport  for pick up, drop back and referral to higher institutions @Rs 500 /beneficiary for 7250 beneficiaries </t>
  </si>
  <si>
    <t>DBT
Rs.0.44 lakhs for mobility support to HRP women @Rs 100 for 3 visits for 145 HRPs(100*3*145 = Rs.0.44 lakhs)
ASHA Incentives 
1) e-PMSMA 
a. Rs.0.44 lakhs for ASHA incentives for mobilising HRP women @Rs 100 for 3 visits for 145HRPs(100*3*145 = Rs.0.44 lakhs)                                                                                                                      b. Rs 0.73 lakhs for ASHA incentives for healthy outcome of HRP @ Rs 500/HRP for 145 HRPs (500*145 = Rs 0.73 lakhs)
2) PNC visit - Rs.0.18 lakhs as ASHA incentive for healthy outcome of HRPs identified during  PNC visit (Rs.250* 73= Rs 0.18 lakhs)                                                                                                                OOC
PMSMA session sites -5, Fund to be utilised for vehicle hiring/POL/refreshments</t>
  </si>
  <si>
    <t xml:space="preserve">IEC &amp; PRINTING- 1.75L (Activity breakup details attached)
Branding of 35 SUMAN certified facilities @ Rs.5000/- per facility
Planning and M&amp;E
Rs 10000 for conducting district level meeting(2 meetings in a year). This may be utlised for conducting DQAC meeting </t>
  </si>
  <si>
    <t xml:space="preserve">OOC
To conduct maternal death audit meeting @ Rs 1321/month(Rs1321*12=15852, for POL and refreshments)
Planning and M&amp;E
MDNMSR - Rs 24000 (2000/meeting*12 meeting ) </t>
  </si>
  <si>
    <t>2024-25 
1. Equipments
Color coded hand ties for mother and child identification for 3 LaQshya targeted facilities
 (5527 delivery x2noxRs.10 = 1.11L)
2.Capacity building incl. training s for district level  -LaQshya training @ Rs 0.75 L /Districts 
3.Operational Cost for District level activities -Rs 1 lakh for gap closure identified during internal/District assessment.
Rs.2 lakhs for National/state assessment as per NQAS operational guidelines
2025-26
1Equipments
Color coded hand ties for mother and child identification for 3 LaQshya targeted facilities  (6056 delivery x2noxRs.10 = 1.21 L)
2.Capacity building incl. training s for district level 
LaQshya training @ Rs 1L /District 
2.Operational Cost for District level activities 
Rs 1 lakh for gap closure identified during internal/District assessment.
Rs.2 lakhs for National/state assessment as per NQAS operational guidelines</t>
  </si>
  <si>
    <t xml:space="preserve">MH IEC &amp; PRINTING- 2.37L (Activity breakup details attached)
OOC: 13 RCH camps @ 15000/-= 1.95L
2025-26
Training -One batch RTI/STI training for MO @ Rs.50000/- </t>
  </si>
  <si>
    <t xml:space="preserve"> Railway station digital display advertisements and awareness boards, short film making competition PNDT &amp; Bhoomika Gender Based Violence Management Centers.
Adolescent friendly residence association: Through this residential association and projects with Adolescent engaging facilities like Play Grounds ( For physical activity promotion), Libraries ( For encouraging their reading habits), etc.-</t>
  </si>
  <si>
    <t xml:space="preserve">Equipment :-    
Drugs &amp; Supplies :-                                                                                                                                         
Diagnostics :-                                                                                                                                           
Capacity building training : -  1.  Rs. 1.0 Lakhs for District level sensitization for Medical Officers, Staff nurses, JPHNs, PHNs etc,  2.  Rs. 0.50 Lakhs for One day Training  for Paediatricians and medical Officers of 40 participants on new Pneumonia management guidelines Rs 150000 * 1 = 150000/-, 3. Training of ASHAs- 70 batch x Rs.3000 = Rs. 2,10,000/-
Asha Incentives :-                                                                                                                                  
OOC :-                                                                                                                                                                                                                                                                                             Planning &amp; M &amp; E : - Rs. 20000  for Supportive Supervision of SAANS Program.  
IEC &amp; PRINTING-  1. 1 Lakh per District for  District Level Launch of SAANS Campaign, 2. Rs. 2 lakh for per district for district level  IEC /BCC Activities of SAANS Campaign., 3. Rs. 20000 for printing of SAANS Guidelines.
</t>
  </si>
  <si>
    <t xml:space="preserve">                                                                                                                                                                                                                                                                                 Planning &amp; M &amp; E : -   District Level Review Meeting of Program including RBSK and CH @ Rs. 1.75 lakhs per District 
IEC &amp; PRINTING- Rs. 3.35 lakh for Child health IEC activities.</t>
  </si>
  <si>
    <t>Training Rs.5.48 lakhs
 ASHA Incentives -Rs.49.08  lkhs for 2024-25 and Rs.48.24  for 2025-26
 OOC Rs.14.29 lakhs
 IEC &amp; PRINTING- 11.30 L (Activity breakup details attached in IEC annexure)
 Planning and M&amp;E Rs.4.50 lakhs
 SRRE-AEFI Rs.3.62 Lakhs</t>
  </si>
  <si>
    <t>WIFS trainings (block level), 1 batch (40 nos. ) @Rs.5000/) * No. of health blocks (ALP- 12 )</t>
  </si>
  <si>
    <t xml:space="preserve">a.DBT -Male sterilization -228 cases @ Rs 1500 per case.
b.Training of Medical Officers on NSV 1 batch @ Rs 34500/batch with 5 participants per batch for 5 days training </t>
  </si>
  <si>
    <t>DBT -Rs 100 per dose per beneficiary for 74 cases
ASHA Incentive- Rs 100 per dose per ASHA for 74 cases</t>
  </si>
  <si>
    <t xml:space="preserve">DBT - for FPIS @ Rs 30000 as compensation for each failure of sterilization for 13 cases </t>
  </si>
  <si>
    <t>IEC &amp; PRINTING-  2.1 L Activity Breakup is attached
Planning &amp; M&amp;E- Rs.1 lakh for monitoring activities during World Population Day and vasectomy Fortnight at district and block level</t>
  </si>
  <si>
    <t>a.Drugs- Procurement of Self care Kit 36 kit @Rs 1000/kit-Selfcare kit should be installed in all delivery points and other appropriate facilities based on the demand and eligible couple catered by that facilty.
b. IEC &amp; PRINTING -2.40 L Activity Breakup attached
c. FP QAC meeting Rs 1000/meeting /quarter</t>
  </si>
  <si>
    <t xml:space="preserve">Capacity building incl. training - 1. Orientation activities on vitamin A supplementation and Anaemia Mukta Bharat Programme/ VIVA Kerala - Rs.100000 per district., 2. One day Orientation of frontline workers (ASHA/ANM) and allied department workers (Teachers/AWW) on  VIVA Kerala/ Anaemia Mukt Bharat - Rs.100000 per district.
ASHA Incentive - 1.National Iron Plus Incentive for Mobilizing WRA (non pregnant &amp; non lactating women  20-49 years) approved at Rs 50  for ASHA for one month - 1957 Asha * 50 * 12 = 1174200/- , 2. National Iron Plus Incentive for Mobilizing  children  and / or ensuring compliance and reporting (6-59 months) - approved @ Rs 100 for ASHA for one month - 1957 Asha * 100 *12 = 2348400/-
</t>
  </si>
  <si>
    <t>Capacity building incl. training - 
Rs.5.67 lakhs for Orientation of Nodal teacher, field staff and Anganwadi workers @ Rs.50/- for  two rounds of NDD
ASHA  INCENTIVE - Rs 3.91 Lakhs for ASHA incentives for 1957 ASHAs for mobilizing 
beneficiaries for NDD round @ Rs 100 per ASHA per round Rs.100 * 1957 * 2 round  = 3,91,400/-
IEC and printing -  IEC and printing activities for NDD @ Rs 1.5 Lakh per district
 per round. Rs. 1.5 lakh * 2 round = 3,00,000/-</t>
  </si>
  <si>
    <t>ASHA incentive under MAA programme @ Rs 100 per ASHA for quarterly mother's meeting - Rs 400 * 1957 ASHAs = 7,82,800/-
IEC &amp; PRINTING- 0.5L (Activity breakup details attached)</t>
  </si>
  <si>
    <t>Diagnostics - Consumables and stationaries for proposed 2 LMU @ Rs.105000 as recurring
 cost. Rs.105000 x 2 = Rs.2,10,000/-</t>
  </si>
  <si>
    <t>ASHA Incentive -  for IDCF for prophylactic distribution of ORS to family with under-five children: Approved @ Rs 100 per ASHA for IDCF campaign for the routine activity. 1957*100 = 1,95,700					
IEC &amp; PRINTING- 0.75L (Activity breakup details attached)</t>
  </si>
  <si>
    <t>Incentives to be distributed to ASHA  workers for using STK. @Rs.25/- per kit / ASHA)</t>
  </si>
  <si>
    <t>Training Rs.7.30 lakhs
IEC-Rs.1.25 lakhs
Planning and M&amp;E Rs.3.75 lakh
SRRE-Rs.2 lakh</t>
  </si>
  <si>
    <t xml:space="preserve">
Training Rs.1.50 lakhs
Equipments Rs.0.84Lakhs
OOC Rs.1.34 lakhs
IEC &amp; Printing Rs.0.84 lakhs
Planning and M&amp;E Rs.2.10 lakh
SRRE Rs.5Lakhs</t>
  </si>
  <si>
    <t xml:space="preserve">
Training Rs.1.50 lakhs
Equipments Rs.0.84Lakhs
OOC Rs.1.34 lakhs
IEC &amp; Printing Rs.0.84 lakhs
Planning and M&amp;E Rs.2.10 lakh
</t>
  </si>
  <si>
    <t xml:space="preserve">OOC -Rs.0.45 lakhs Kala-azar Case search/ Camp Approach: Mobility/POL/supervision/Entamology Study
</t>
  </si>
  <si>
    <t xml:space="preserve">Training Rs.0.20 lakhs
OOC Rs.0.09 lakhs
IEC &amp; Printing Rs0.05 lakhs
Planning and M&amp;E Rs.0.15 lakh
</t>
  </si>
  <si>
    <t>Training Rs.0.40 lakhs
ASHA incentive Rs.1.25lakhs
OOC Rs.33.451lakhs
IEC &amp; Printing Rs 0.85 lakhs
Planning and M&amp;E Rs.2.50 lakh
SRRE Rs.3lakhs</t>
  </si>
  <si>
    <t xml:space="preserve">Training Rs.0.40 lakhs
OOC Rs.19.4800 lakhs
IEC &amp; Printing Rs.3.10 lakhs
Planning and M&amp;E -Rs. 2 Lakhs
SRRE Rs.2.90 lakhs
</t>
  </si>
  <si>
    <t>Training Rs.0.40 lakhs
OOC Rs.19.4800 lakhs
IEC &amp; Printing Rs.3.10 lakhs
Planning and M&amp;E -Rs. 2 Lakhs
SRRE Rs.2.90 lakhs</t>
  </si>
  <si>
    <t>Diagnostics - 0.68 L
 Approved Rs 0.68 Lakhs per district for drugs required for management of reaction and printing.
 ASHA incentives - 60.462 L
 1. Approved an amount of Rs 60.16 L as incentive for Incentive for search team (Rs 1000 per Volunteer) for each screening round/ village for LCDC
 2. Approved Rs 0.05 L as Incentive for ASHA/ AWW/ Volunteer/ etc for detection of Leprosy (Rs 250 for detection of an early case before onset of any visible deformity, Rs 200 for detection of new case with visible deformity in hands, feet or eye)
 3. Approved Rs 0.04 L for ASHA Incentive for Treatment completion of PB cases (@ Rs 400)
 4. Approved Rs 0.012 L for ASHA Incentive for Treatment completion of MB cases (@ Rs 600)
 5. Approved 0.20 L for Any other ASHA incentives(Sensitisation) @ Rs 100 per ASHA
 OOC - 1.2 L: Approved for Case Detection and Management in urban Areas</t>
  </si>
  <si>
    <t>Equipment - 0.364 L 
 1. Procurement of other equipment: NLEP- MCR
 Approved Rs 0.28 Lakhs for MCR Chappals @ Rs 400 per unit
 2. Procurement of other equipment: NLEP- Aids/Appliance
 Approved Rs 0.084 Lakhs for Self care kit @ Rs 150 per unit 
 OOC - 1.1 L
 Approved for Early detection in camps, ulcer management, and prevention of deformity@ Rs10000 per camp</t>
  </si>
  <si>
    <t>Capacity building incl Training - 4.008 L
 1. Approved Rs 3.008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Planning &amp; M &amp; E -3.0668 L
 1.Office operation &amp; Maintenance, Consumables- District Cell @ Rs 0.30 Lakhs
 2. Mobility Support District cell including TA/DA of NLEP staff@ Rs 1.5 Lakh/district
 3. Approved an amount of Rs 0.606 L as POL, transport (field supervisors) for LCDC @ Rs 100/ supervisor
 5. Approved Rs 0.3008 Lakhs for Logistics Rs.10/ team in connection with LCDC.
 6. Approved Rs 0.36 Lakhs for Supervision and monitoring @ Rs 3000 per block in connection with LCDC</t>
  </si>
  <si>
    <t>Capacity building incl Training - 4.008 L
 1. Approved Rs 3.008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- 2.3624 L
 1.Approved Rs 0.48 Lakhs for Advocacy/ IEC (Rs 4000/block of urban area) in connection with LCDC.
 2. Approved Rs 0.9024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-3.0668 L
 1.Office operation &amp; Maintenance, Consumables- District Cell @ Rs 0.30 Lakhs
 2. Mobility Support District cell including TA/DA of NLEP staff@ Rs 1.5 Lakh/district
 3. Approved an amount of Rs 0.606 L as POL, transport (field supervisors) for LCDC @ Rs 100/ supervisor
 5. Approved Rs 0.3008 Lakhs for Logistics Rs.10/ team in connection with LCDC.
 6. Approved Rs 0.36 Lakhs for Supervision and monitoring @ Rs 3000 per block in connection with LCDC</t>
  </si>
  <si>
    <t>73.1 – DBT – Rs. 2.61 Lakhs:- Treatment Supporter Honorarium (Rs.1000) - one-time payment on the update of the Outcome of Treatment for drug sensitive TB patients, will be release through Nikshay DBT Mode directly to the beneficiaries.
73.2 - Infrastructure - Civil - Rs 6.00 lakhs – Rs. 6.00 lakhs for minor civil works/ repairing &amp; maintenance required at  DTC, TU &amp; DMC and X-ray facilities etc based on need basis and for minor civil works., 
73.3 - Equipments - Rs. 8.40 Lakhs -  Rs. 2.50 lakhs Procurement of equipment for District levels. (DMC, X-ray and ECG, etc for NTEP) Procurement of Sleeves and drug boxes - Rs. 2.40 lakhs for Maintenance / up gradation costs for Laboratory equipment’s DMC, X-ray and ECG, etc for NTEP  - Rs. 2.00 lakhs for Procurement of office equipment and furniture for District levels. (Office Equipments)  - Rs. 1.50 lakhs for Maintenance / up gradation costs for office equipment’s (Office Equipments)
73.4 - Drugs - Rs. 3.50 Lakhs - Procurement of First line drugs, Local Procurement of first line Anti TB  drugs on need basis and Drug Transportation charges etc
73.5 - Diagnostics (Consumables, PPP, Sample Transportation) - Rs. 14.00 Lakhs - Rs. 6.00 lakhs Patient Support &amp; Sample collection and Transport , Charges for transportation of samples for diagnosis, DST, follow-up &amp; Rs. 8.00 lakhs for Procurement of Lab consumables for DMCs, Procurement of Consumables for X-rays, ECG and etc.
73.6 - Capacity building Incl. training - Rs. 11.00 Lakhs -   Rs. 8.30 lakhs for training cost (including TA/DA &amp; other course materials) for officers / staff/ TB Champions and all district staff at National level, State level and District level, Rs. 1.80 lakhs Cost for conducting CME Training in Medical Colleges, Rs. 0.90 lakhs Community Engagement Activities - Sensitization of TB survivors, sensitization of NGOs, PRIs meeting, TB survivor led activities, etc
73.8 - Others including operating costs (OOC) - Rs. 3.00 Lakhs  - Rs. 1.50 lakhs Incentives for Active Case Finding/Akshaya Keralam Campaign/TB Elimination house to house visit , Rs 10/ for every household visit &amp; Rs 500/ for every new cases identified -the unit cost shall preferably be budgeted as per household or per person screened.,  Rs. 0.25 lakhs Incentive to non-salaried person for injection prick,  Rs. 1.25 lakhs Budget for Printing of Materials..
73.10 - Planning &amp; M&amp;E - Rs. 15.00 Lakhs  - Rs. 4.10 lakhs Supervision and Monitoring (District Level) - TA/DA cost of all officer/ staff working in NTEP, review meetings, Cost of internal evaluation etc.,  -Rs.3.10 lakhs for POL for existing vehicles under NTEP and mobility support for those field staff in lieu of vehicles. Rs. 2.50 lakhs Vehicle hiring cost for Districts where Govt vehicles are not available for supervision &amp; monitoring.  Rs. 1.50 lakhs Medical Colleges meetings, Rs. 2.30 lakhs Office operation includes office maintenance expenditure, stationary, communication etc.  Rs. 1.50 lakhs Maintenance cost for District vehicles (including four-wheeler &amp; two wheelers)
73.11 - Surveillance, Research, Review, Evaluation (SRRE) - Rs. 0.85 Lakhs  - Support for State &amp; District level/TU/LSG TB Forums(Treatment Support Groups) functioning including meeting cost, travel support to community members attending meeting, etc.</t>
  </si>
  <si>
    <t>74.1 – DBT – Rs. 53.00 Lakhs - Nutrition support to TB patient Rs. 500 per month till the treatment is completed, by DBT for DSTB Patients for 6 months &amp; Nutrition support to TB patient Rs. 500 per month till the treatment is completed, by DBT for DRTB Patients for 12 months. The payment to be release directly to the beneficiary bank account through Nikshay DBT mode.</t>
  </si>
  <si>
    <t xml:space="preserve">75.1 – DBT – Rs. 2.82 Lakhs - Private Provider Incentives- NTEP DBT Scheme @Rs. 500/- per notification and Rs. 500/- when treatment outcome declared &amp; Incentives for first informant (20% of Public notified case will be expected to be eligible for first informant incentive).
75.8 - Others including operating costs (OOC) - Rs. 5.50 Lakhs  - Cost of existing NGO/ PP support schemes and new NGO/ PP support schemes proposed as per NTEP Public Private Partnership Guidance.
</t>
  </si>
  <si>
    <t>76.5 - LTBI Diagnostics (Consumables, PPP, Sample Transportation) - Rs. 7.00 lakhs - Screening, referral linkages and follow-up under Latent TB Infection Management ,Cost for screening of LTBI such as incentives, sample collection &amp; transport, etc activities pertaining to LTBI.</t>
  </si>
  <si>
    <t>77.1 – DBT – Rs. 1.80 Lakhs:- Treatment Supporter Honorarium (Rs.5000), payment on the update of the Outcome of Treatment for drug resistant TB patients. will be release through Nikshay DBT Mode directly to the beneficiaries.
77.2 - Infrastructure - Civil - Rs 5.00 lakhs - minor civil works/ repairing &amp; maintenance of Nodal DRTB centre, CBNAAT, TRUNAAT sites, IRL &amp; CDST labs on need basis.
77.3 - Equipments - Rs. 2.00 Lakhs -  Procurement of equipment for District levels (DR TB Centre, C&amp; DST Lab and Molecular Diagnostics), Maintenance / up gradation costs for Laboratory equipment’s for DR TB Centre, C&amp;DST Lab and Molecular Diagnostics Equipment for NTEP
77.4 - Drugs - Rs. 2.00 Lakhs - Procurement of DRTB drugs, Local Procurement of second line drugs on need basis and Drug Transportation charges etc
77.6 - Capacity building Incl. training - Rs. 1.00 Lakhs -   Training for AIC, Cost for AIC related trainings etc.
77.11 - Surveillance, Research, Review, Evaluation (SRRE) - Rs. 1.00 Lakhs  - AIC Review Committee, Cost for Committee meeting &amp; etc.</t>
  </si>
  <si>
    <t>78.9 - Rs. 10.50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</si>
  <si>
    <t>Approved for 800 cases@ Rs 2000 per case</t>
  </si>
  <si>
    <t>Approved for 100 pair @ Rs 2000 per pair</t>
  </si>
  <si>
    <t>Approved @ Rs 1 Lakh per unit for 4 vision centers- Thakazhy, Devikulangara, Thondankulangara, Nooranad</t>
  </si>
  <si>
    <t>Approved @ Rs 1 Lakh per unit for 5 vision centers- Cheriyanad, Thazhakkara, Chennithala, Nooranad, Pallippad</t>
  </si>
  <si>
    <t>1. District Level Trainings and PBS Training Rs. 3 Lakhs /each District 
 2.ASHA Incentive for CBAC Form Filling for Population Based Survey - Rs. 33 Lakhs
 • ASHA Incentive for NCD follow-up activity: Rs. 11.33 Lakhs 
 3.Rs.4 L for IEC activities for Dist level. and Printing of referral cards at PHC @ Rs.2500/card 
 4. Planning &amp; M&amp; E Rs. 3 L/each District level for Program Management Activities</t>
  </si>
  <si>
    <t xml:space="preserve">
1.Training 0.5L/district 
</t>
  </si>
  <si>
    <t xml:space="preserve">
2. Purchase for Heat Stroke Equipment 2. District Level Training 50000 3. Greening &amp; Climate Disaster Resilient (Energy audit, non LED replacement at HCF) and Solorization. Details attached 4. </t>
  </si>
  <si>
    <t>1. Retrofitting for Model Climate-Disaster Resilient healthcare facility Rs. 5 Lakhs 2. Purchase for Heat Stroke Equipment 2. District Level Training 50000 3. Greening &amp; Climate Disaster Resilient (Energy audit, non LED replacement at HCF) and Solorization. Details attached 4. IEC &amp; Printing Rs.0.5 L 5. Task Force meetings- 0.5 L</t>
  </si>
  <si>
    <t xml:space="preserve">
1. Fast moving dental consumables for selected Dental units 2. Conducting Dental camps(Rs 15000/One camp) 2.IEC Printing Activitie (Rs 20000/One camp)3.Observance of WOHD) -Rs 2 L/District</t>
  </si>
  <si>
    <t xml:space="preserve">
1. Drugs &amp; Supplies Rs.1 lakh (Purchase for Mediciens) 2. Rs.1.68Lakhs Diagnostics and Consumables (Ion Electrode, Laboratory Equipments (Pipettes, Sample Containers) and Lab Reagents (Fluoride standard and Buffer Solution-TISAB 3. IEC &amp; Printing . Rs. 1.5 lakh - IEC &amp; BCC Activities 4. Planning and M&amp;E - 1.6 lakh - 0.6 lakh for coordination meeting and Rs.1 lakh for travel cost.</t>
  </si>
  <si>
    <t xml:space="preserve">
1. Training Rs. 1 Lakhs/District.
</t>
  </si>
  <si>
    <t xml:space="preserve"> mas @ 1000 for 125 MAS</t>
  </si>
  <si>
    <t xml:space="preserve">Planning &amp; M&amp;E  Mobility support for  for DPMU  @ Rs. 40000/- per month   = 5.4 L
Administrative expenses (including Review meetings, workshops,  etc.)Rs. 10000/- per month for 14 district Units
</t>
  </si>
  <si>
    <t>Untied fund Rs 175000/- for 6 UPHCs &amp; Rs 5000/-  Untied Fund  for 103 MAS and 109 MAS</t>
  </si>
  <si>
    <t>OOC -Rs.12.81 lakhs approved @ Rs. 250 per wellness session for one session per month for 12 months at HWCs SC and PHCs
Planning and M&amp;E 
Rs. 0.50 lakhs approved for  refresher training and review on wellness for Medical officers for PHC&amp;UPHCs. 
Rs. 1.50 lakhs approved @Rs 75000  per batch for training of MLSPs</t>
  </si>
  <si>
    <t>Operational cost of Rs 1.00 Lakhs -for operational expenses DDCCs</t>
  </si>
  <si>
    <t>National blood donor day observation</t>
  </si>
  <si>
    <t xml:space="preserve">ASHA Incentive 
Incentive to ASHA for ABHA ID creation @ Rs. 10 for 50 ABHA ID for 1957  one ASHA @ Rs. 9.79 L
IEC &amp; PRINTING- 4.50L (Activity breakup details attached)
</t>
  </si>
  <si>
    <t xml:space="preserve">a.Equipment 
A total of Rs. 9.50 L allotted for External Quality Assurance of LABS in the district at annual rates of not  more than 
•        DH-Rs.20,000/- (4 DH), 
•        TH-Rs.20,000/-( 6TH/THQH), 
•        CHC-Rs.10,000/-(16 CHC), 
•        PHC-Rs.10,000/-( 59 PHC)  .
EQAS Priority should be given to the targeted institutions for NQAS.
b .Capacity building including training
A total of Rs. 11.67 L allotted for the following expenses
b.1. NQAS District Level Training -      An amount of Rs.1.66    Lakhs  is allotted for NQAS district level training of prioritized/targeted institutions for NQAS in the district. The training shall be given as team training to staffs of the targeted institutions. (Rs.83,000* 2 days ) .As per the Quality training norms NQAS operational guideline 2021 page no 101.
b.2 Kayakalp refresher training   -A total of Rs.10.01 L allotted for the following - 
b.2.1 District Level Trainings under Kayakalp Rs.54,000/- for District Level refresher trainings/ Internal Assessor workshop under Kayakalp.
Peer assessment awareness cum Internal/District Assessor workshop shall be provided to district Kayakalp inspection team.
b.2.2 Facility Level Kayakalp Training on "Swachh Bharat Abhiyan“- Rs. 9.47 L.  Facility Level Kayakalp Training on "Swachh Bharat Abhiyan“ –Kayakalp  Institutional training  for  each institutions 
•        DH- Rs.20,000/- (4DH)  
•        TH/THQH and CHC Rs.15,000/- (22 TH/THQH &amp; CHC) ,
•        PHCs -Rs.6000/- (59 PHC) , 
•        HWC-SC Rs.500/- (  366 HWC-SC) 
Districts can prioritize institutions as per performance of needed additional trainings.
c. OOC
OOC a total of Rs.32.08L
c.1 Rs.5 L for  District  Level Assessment &amp; Mentoring Visit including Vehicle for field visit in Districts for Quality Program.
c.2 Rs.27.08 lakhs for assessments (National/state/NQAS, MusQan)  (1 DH, 1SDH, 1 CHC, 10 PHC, 10 SC)
d. IEC/BCC
Rs.1 L   is allotted for IEC &amp; Printing for providing                                                    Signage’s- in Approach road, departmental, directional and any other relevant facility level signage’s for Quality Assurance or printing of Quality improvement IECs boards in hospital at DH/SDH .
Districts can prioritize the needy institutions based on gap analysis. Not exceeding maximum of Rs.50,000/- per institution. 
e.Planning &amp; M&amp;E.Rs.0.79L for 
  a.    Rs.24,000/-  allotted for district towards expenses for conducting    District Quality Assurance Committee Meetings as per NQAS Operational guidelines 2021 (DQAC should be met at least once in a quarter)  and other Quality Review Meetings.
 b.   Rs.55,000/-allotted for district towards meeting Contingency &amp; Misc expenses including expenses incurred for District Level Quality Assessments.                   </t>
  </si>
  <si>
    <t xml:space="preserve">Diagnostics: Rs. 22.30 L 
Consumables related to implementation of infection control practices in hospital/ hospital laboratory including cost of water testing /environmental swab/sample testing, autoclave bags, indicator strips etc.
 · DH&amp;TH/THQH - @ Rs 1L for each   10  DH &amp; TH 
 · CHC – Rs.40,000/- for each     16 CHC 
 · PHC- Rs.10,000/- for each  59 PHC 
 Priority should be given to the targeted institutions for NQAS.
OOC-    62.26 lakhs
1 Expenses for Kayakalp Peer Assessment of institutions - Rs. 10.46   L.  
•        DH Level Peer Assessment -Rs.25,000/- each for 4 DH           
•        TH/THQH &amp; CHC Hospital Peer Assessment- Rs.13,000/- each for  22 TH/THQH &amp; CHC.
•        PHC Peer Assessment - Rs.5000/- each  for 59 PHC                                                  
•        HWC-SC Peer Assessment - Rs.5000/- for 73 HWC-SC (20% of Total  366  HWC-SC)  
2 BIOMEDICAL WASTE MANAGEMENT-   Rs.22.60  L  Support for the implementation of Kayakalp                                      
•        DH-Rs.60,000/- each for  4 DH,        
•        TH/THQH-Rs.60,000/- each for 6  SDH,                                                                
•        CHC –Rs.30,000/- each for   16CHC,                                                           
•        PHC-Rs.20,000/- each for 59 PHC.           
3 Pest Control- Rs.13.70 L 
Pest control measures has to be undertaken and done regularly at the institutions level. For implementing Pest control measures in     
•        DH – Rs.50,000/- each for 4  DH ,   
•        TH – Rs.30,000/- each for  6TH ,                                                                     
•        CHC – Rs.25,000/- each for 16   CHC,                                                       
•        PHC –Rs.10,000/- each for    59 PHC.   
4 Support for NQAS/KASH/MusQan Implementation for the gap closure in targeted institutions  Rs.15L for District for identified target institutions on priority basis. 
5. Rs.0.50 L for District Level Award function and District Assessment.
IEC/BCC (Printing of SOPs necessary for Implementation of NQAS, Kayakalp, LaQshya, MusQan) – Total Rs.7.85 L.
•        (DH/GH/W&amp;C- Rs.25,000/- each for  4 DH),
•        (TH/THQH - Rs.25,000/- each for  6 TH/THQH )
•        (CHC - Rs.15,000/- each for   16 CHC ),
•        (PHC - Rs.5,000/- each for 59 PHC) 
The SOP printing amount for the HWC-SCs under PHC  shall be given by the PHC. Out of Rs.5,000/-, Rs.3,000/- for PHC and Rs.2000/- for HWC-SC) </t>
  </si>
  <si>
    <t xml:space="preserve">4 Mobile Medical Units Operational cost of @ Rs.46250/- per month
</t>
  </si>
  <si>
    <t xml:space="preserve">OOC -
Rs. Rs.35250/-for incentives to provider for PPIUCD services 235*150
Rs.600/- for incentives to provider for PAIUCD services 4*150
Rs.4.025 Lakhs for Incentives for updation of NVHCP MIS portal 
(Nodal officer/Pharmacist/Lab Technician)  </t>
  </si>
  <si>
    <t>IEC &amp; PRINTING- 1.58L (Activity breakup details attached)
Planning &amp; M&amp;E
10 HMIS / RCH training cum review meeting @ unit cost 10000/- at District level
2 HMIS / RCH training cum review meeting per health Block @ unit cost 10000/--12 blocks
OOC) Rs. 35000/-  internet annual user fee for (UPHCs implemented ehealth)
SRRE  Rs. 35000/-  internet annual user fee for ( 5 UPHCs)</t>
  </si>
  <si>
    <t xml:space="preserve">
1)DBT-Rs 54.95 lakhs( R-6244  xRs.700 + U-1865 xRs.600 + H-11*Rs 500)
2) Asha incentive -Rs.41.05 lakhs (Rural@Rs 600 &amp; Urban@Rs 400 )
3)  Planning &amp; M&amp; E - Rs.2.19lakhs (For Administrative exp- @4% of DBT given)</t>
  </si>
  <si>
    <t xml:space="preserve">
1)Free Drugs &amp; consumables -Rs 73 lakhs for PW( 4536 ND @ Rs 350 &amp; 3573 C sections @ Rs 1600) accessing Govt health facilities for delivery
2) Diagnostics -Rs 16.21lakhs@ Rs 200/beneficiary for 8109 PW 
  3) Other Operating Cost(Blood transfusion &amp; Diet) - a.Diet - Rs. 38.61 lakhs @ Rs 100 for 4536 ND for 3 days(4536*100*3)  and 3573 C sections for 7 days (3573*100*7)                                                                                                                                                                         
b.Blood Transfusion - Rs. 2.5lakhs @ Rs 300/PW for blood transfusion of 10% of total deliveries in govt.health facilities (10% of 8109= 811)        </t>
  </si>
  <si>
    <t xml:space="preserve">JSSK free transport  for pick up, drop back and referral to higher institutions @Rs 500 /beneficiary for 8109 beneficiaries </t>
  </si>
  <si>
    <t xml:space="preserve"> DBT                      
Rs.0.59 lakhs for mobility support to HRP women @Rs 100 for 3 visits for 197 HRPs(100*3*197 = Rs.0.59 lakhs)
ASHA Incentives
1) e-PMSMA                                                                                                    
a. Rs.0.59lakhs for ASHA incentives for mobilising HRP women @Rs 100 for 3 visits for 197HRPs(100*3*197 = Rs.0.59 lakhs)                                                                                                                      b. Rs0.99 lakhs for ASHA incentives for healthy outcome of HRP @ Rs 500/HRP for 197 HRPs (500*197 = Rs 0.99 lakhs)
2) PNC visit - Rs.0.25 lakhs as ASHA incentive for healthy outcome of HRPs identified during  PNC visit (Rs.250* 99 = Rs 0.25 lakhs)                                                                                                                OOC
PMSMA session sites -4, Fund to be utilised for vehicle hiring/POL/refreshments</t>
  </si>
  <si>
    <t xml:space="preserve">IEC &amp; PRINTING- 1.60L (Activity breakup details attached)
Branding of 32 SUMAN certified facilities @ Rs.5000/- per facility
Planning and M&amp;E
Rs 10000 for conducting district level meeting(2 meetings in a year). This may be utlised for conducting DQAC meeting </t>
  </si>
  <si>
    <t xml:space="preserve">OOC
To conduct maternal death audit meeting @ Rs 1321/month(Rs1321*12=15852, for POL and refreshments)
Planning and M&amp;E
MDNMSR - Rs 24000 (2000/meeting*12 meeting )  - 
</t>
  </si>
  <si>
    <t>Prevention of Preventable Maternal Deaths-50000/batch -Total 2 batch One batch 35 participants (Rs 50000*2=Rs 100000)</t>
  </si>
  <si>
    <t>2024-25 
1. Equipments
Color coded hand ties for mother and child identification for 2 LaQshya targeted facilities  (5473 delivery x2noxRs.10 = 1.09L)
2.Capacity building incl. training s for district level - LaQshya training @ Rs 0.75 L /Districts 
3.Operational Cost for District level activities -Rs 1 lakh for gap closure identified during internal/District assessment.
Rs.2 lakhs for National/state assessment as per NQAS operational guidelines
2025-26
1Equipments
Color coded hand ties for mother and child identification for 2 LaQshya targeted facilities  (5997 delivery x2noxRs.10 = 1.20 )
2.Capacity building incl. training s for district level 
LaQshya training @ Rs 1L /District 
2.Operational Cost for District level activities 
Rs 1 lakh for gap closure identified during internal/District assessment.
Rs.2 lakhs for National/state assessment as per NQAS operational guidelines</t>
  </si>
  <si>
    <t xml:space="preserve">MH IEC &amp; PRINTING- 2.05L (Activity breakup details attached)
OOC: 1 RCH camps @ 15000/-= 0.15L
2025-26
Training -One batch RTI/STI training for MO @ Rs.50000/- </t>
  </si>
  <si>
    <t xml:space="preserve"> Railway station digital display advertisements and awareness boards, short film making competition PNDT &amp; Bhoomika Gender Based Violence Management Centers.
Adolescent friendly residence association: Through this residential association and projects with Adolescent engaging facilities like Play Grounds ( For physical activity promotion), Libraries ( For encouraging their reading habits), etc.-
IEC &amp; PRINTING- 0.50L (Activity breakup details attached)</t>
  </si>
  <si>
    <t xml:space="preserve">Equipment :-   Repair equipment for 76 existing nurses - Unit cost - Rs.2000/-
Drugs &amp; Supplies :-                                                                                                                                         
Diagnostics :-                                                                                                                                                                    
Capacity building training : -1.  RBSK Refresher training @ Rs. 50000/- per batch for 3 batches. 2. One-day orientation for MO / other staff Delivery points (RBSK training) -2 Batch training per district @ ₹21000 per batch, 3. Half-day RBSK refresher training @ Rs. 2500 x 16 = 40000/--                                                                                                              Asha Incentives :-                                                                                                                                  
OOC :- 1. Mobility support for RBSK Mobile health team -  Incentive for RBSK nurse – Rs.1000*76*12 = Rs.9,12,000/- and 1 vehicles for MHT – Rs.48000*1*12 = Rs. 5,76,000 /-
 , 80 connections @ Rs.300 per month = 80*300*12 =  2,88,000.                                                                                                                                                                                                                                                     Planning &amp; M &amp; E : -  One yearly meeting at the district level involving line departments like WCD, LSGD, ICPS, ORC, Childline, BRC/ Education dept. etc @ 50000 per district. 
IEC &amp; PRINTING- 0.19 L for Printing of RBSK cards and registers and Diary @ Rs.250/- for 76 RBSK nurses - Total - 19,000/-
</t>
  </si>
  <si>
    <t>Infrastructure - Civil works (I&amp;C):-   Rs.100.2 lakh following GoI guideline for establishment of infrastructure for MNCU at MCH Kottayam. 
Drugs &amp; Supplies :-                                                                                                                                         
Diagnostics :-                                                                                                                                           
 Capacity building training : - 1. NSSK Training for Medical Officers - 2 batch NSSK training Rs. 34400 x 2 = Rs.68800/-., 2. NSSK Training for Staff Nurses - 2 batch NSSK training Rs. 34400 x 2 = Rs.68800/-, 3. Trainings for Family participatory care (KMC) - Rs 50000 per district to get a  team of trained doctors and Nurses at SNCUs. Rs.50000 x 1 = Rs.50,000/- , 4. Rs. 1 lakh is approved for two batches of Musqan District level Sensitization Training @ 100000 per district, 5. MUSQAN: Health Institution level activities – 4 lakh approved for selected 2 institutions. Unit price of  1 each for gap filling &amp; Equipments approved for these 2 institutions.                                                                                                         
Asha Incentives :-                                                                                                                                  
OOC :- 1. 2 Functional SNCUs = Rs. 300000x 2 SNCU = Rs.6,00,000/-, 2. NBCC– approved @ Rs.10,000 for 6 delivery points Rs. 10000x6 Delivery point = 60,000/- , 3. Family participatory care (KMC) -Rs. 75000 x 2 SNCUs = 1,50,000/- , 4.  Operating expenses for  4 NBSU – Rs. 4 lakhs.                                                                                                                                                                                                                                                                                    Planning &amp; M &amp; E : -   
IEC &amp; PRINTING- Rs 1 lakh per unit for 2 SNCUs</t>
  </si>
  <si>
    <t xml:space="preserve">                                                                                                                                                                                                                                                                                 Planning &amp; M &amp; E : -   District Level Review Meeting of Program including RBSK and CH @ Rs. 1.75 lakhs per District 
IEC &amp; PRINTING- Rs. 2.66 lakh for Child health IEC activitiess. 
 </t>
  </si>
  <si>
    <t>Training Rs.4.82 lakhs
 ASHA Incentives -Rs.41.64  lkhs for 2024-25 and Rs.41.50  for 2025-26
 OOC Rs.14.22 lakhs
 IEC &amp; PRINTING- 2.40 L (Activity breakup details attached in IEC annexure)
 Planning and M&amp;E Rs.4.68 lakhs
 SRRE-AEFI Rs.3.83 Lakhs</t>
  </si>
  <si>
    <t>WIFS trainings (block level), 1 batch (40 nos. ) @Rs.5000/) * No. of health blocks (KTM- 16)</t>
  </si>
  <si>
    <t xml:space="preserve">a.DBT -Male sterilization -53 cases @ Rs 1500 per case.
b.Training of Medical Officers on NSV 1 batch @ Rs 34500/batch with 5 participants per batch for 5 days training </t>
  </si>
  <si>
    <t>IEC &amp; PRINTING-  2 L Activity Breakup is attached
Planning &amp; M&amp;E- Rs.1 lakh for monitoring activities during World Population Day and vasectomy Fortnight at district and block level</t>
  </si>
  <si>
    <t>a.Drugs- Procurement of Self care Kit 38 kit @Rs 1000/kit-Selfcare kit should be installed in all delivery points and other appropriate facilities based on the demand and eligible couple catered by that facilty.
b. IEC &amp; PRINTING -4.35 L Activity Breakup attached
c. FP QAC meeting Rs 1000/meeting /quarter</t>
  </si>
  <si>
    <t>Capacity building incl. training - 1. Orientation activities on vitamin A supplementation and Anaemia Mukta Bharat Programme/ VIVA Kerala - Rs.100000 per district., 2. One day Orientation of frontline workers (ASHA/ANM) and allied department workers (Teachers/AWW) on  VIVA Kerala/ Anaemia Mukt Bharat - Rs.100000 per district.
ASHA Incentive - National Iron Plus Incentive for Mobilizing WRA (non pregnant &amp; non lactating women  20-49 years) approved at Rs 50  for ASHA for one month - 1527 Asha * 50 * 12 = 916200/- , 2. National Iron Plus Incentive for Mobilizing  children  and / or ensuring compliance and reporting (6-59 months) - approved @ Rs 100 for ASHA for one month - 1527 Asha * 100 *12 = 1832400/-</t>
  </si>
  <si>
    <t>Capacity building incl. training - 
Rs.5.26 lakhs for Orientation of Nodal teacher, field staff and Anganwadi workers @ Rs.50/- for  two rounds of NDD
ASHA  INCENTIVE - Rs 3.05 Lakhs for ASHA incentives for 1527 ASHAs for mobilizing beneficiaries for 
NDD round @ Rs 100 per ASHA per round - Rs.100 * 1527 * 2 round  = 3,05,400/-
IEC and printing -  IEC and printing activities for NDD @ Rs 1.5 Lakh per district per round. 
Rs. 1.5 lakh * 2 round = 3,00,000/-</t>
  </si>
  <si>
    <t>ASHA incentive under MAA programme @ Rs 100 per ASHA for quarterly mother's meeting - Rs 400 * 1527 ASHAs = 6,10,800/-
IEC &amp; PRINTING- 0.5L (Activity breakup details attached)</t>
  </si>
  <si>
    <t xml:space="preserve">Diagnostics - A) Consumables, stationaries &amp; equipment maintenance for 1 CLMC @ Rs.249000 
as recurring cost. Rs.249000 x 1 CLMC  = 2,49,,000/-
B) Consumables and stationaries for proposed 1 LMU @ Rs.105000 as recurring cost. 
Rs.105000 x 1 = 105000/-
</t>
  </si>
  <si>
    <t>Incentive for IDCF for prophylactic distribution of ORS to family with under-five children: Approved @ Rs 100 per ASHA for IDCF campaign for the routine activity. 1527*100 = 1,52,700
IEC &amp; PRINTING- 0.75L (Activity breakup details attached)</t>
  </si>
  <si>
    <t>Training Rs.7.0 lakhs
Planning and M&amp;E Rs.3.75 lakh
SRRE-Rs.1 lakh</t>
  </si>
  <si>
    <t xml:space="preserve">
Training Rs.1.50 lakhs
Equipments Rs.0.84Lakhs
OOC Rs.0.99 lakhs
IEC &amp; Printing Rs.0.95 lakhs
Planning and M&amp;E Rs.2.10 lakh
</t>
  </si>
  <si>
    <t xml:space="preserve">Training Rs.1.50 lakhs
Equipments Rs.0.84Lakhs
OOC Rs.0.99 lakhs
IEC &amp; Printing Rs.0.95 lakhs
Planning and M&amp;E Rs.2.10 lakh
</t>
  </si>
  <si>
    <t xml:space="preserve">Training Rs.0.40 lakhs
ASHA incentive Rs.1.25lakhs
OOC Rs.32.451lakhs
IEC &amp; Printing Rs 1.00 lakhs
Planning and M&amp;E Rs.3.50 lakh
SRRE Rs.2lakhs
</t>
  </si>
  <si>
    <t>Training Rs.0.40 lakhs
ASHA incentive Rs.1.25lakhs
OOC Rs.32.451lakhs
IEC &amp; Printing Rs 1.00 lakhs
Planning and M&amp;E Rs.3.50 lakh
SRRE Rs.2lakhs</t>
  </si>
  <si>
    <t>Training Rs.0.40 lakhs
OOC Rs.1.6250 lakhs
IEC &amp; Printing Rs.3.25 lakhs
Planning and M&amp;E -Rs. 2 Lakhs
SRRE Rs.5.60 lakhs</t>
  </si>
  <si>
    <t>Training Rs.0.40 lakhs
OOC Rs.1.6250 lakhs
IEC &amp; Printing Rs.3.25 lakhs
Planning and M&amp;E -Rs. 2 Lakhs
SRRE Rs.0.60 lakhs</t>
  </si>
  <si>
    <t>Diagnostics - 0.68 L
 Approved Rs 0.68 Lakhs per district for drugs required for management of reaction and printing.
 ASHA incentives - 55.981 L
 1. Approved an amount of Rs 55.7 L as incentive for Incentive for search team (Rs 1000 per Volunteer) for each screening round/ village for LCDC
 2. Approved Rs 0.035 L as Incentive for ASHA/ AWW/ Volunteer/ etc for detection of Leprosy (Rs 250 for detection of an early case before onset of any visible deformity, Rs 200 for detection of new case with visible deformity in hands, feet or eye)
 3. Approved Rs 0.04 L for ASHA Incentive for Treatment completion of PB cases (@ Rs 400)
 4. Approved Rs 0.006 L for ASHA Incentive for Treatment completion of MB cases (@ Rs 600)
 5. Approved 0.20 L for Any other ASHA incentives(Sensitisation) @ Rs 100 per ASHA
 OOC - 1.2 L: Approved for Case Detection and Management in urban Areas</t>
  </si>
  <si>
    <t>Equipment - 0.22 L 
 1. Procurement of other equipment: NLEP- MCR
 Approved Rs 0.16 Lakhs for MCR Chappals @ Rs 400 per unit
 2. Procurement of other equipment: NLEP- Aids/Appliance
 Approved Rs 0.060 Lakhs for Self care kit @ Rs 150 per unit 
 OOC - 1.1 L
 Approved for Early detection in camps, ulcer management, and prevention of deformity @ Rs 10000 per camp</t>
  </si>
  <si>
    <t>Capacity building incl Training - 3.785 L
 1. Approved Rs 2.785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Planning &amp; M &amp; E - 3.2975 L
 1.Office operation &amp; Maintenance, Consumables- District Cell @ Rs 0.30 Lakhs
 2. Mobility Support District cell including TA/DA of NLEP staff@ Rs 1.5 Lakh/district
 3. Approved an amount of Rs 0.559 L as POL, transport (field supervisors) for LCDC @ Rs 100/ supervisor
 4. Approved Rs 0.2785 Lakhs for Logistics Rs.10/ team in connection with LCDC.
 5. Approved Rs 0.66 Lakhs for Supervision and monitoring @ Rs 3000 per block in connection with LCDC</t>
  </si>
  <si>
    <t>Capacity building incl Training - 3.785 L
 1. Approved Rs 2.785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- 2.6955 L
 1.Approved Rs 0.88 Lakhs for Advocacy/ IEC (Rs 4000/block of urban area) in connection with LCDC.
 2. Approved Rs 0.8355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- 3.2975 L
 1.Office operation &amp; Maintenance, Consumables- District Cell @ Rs 0.30 Lakhs
 2. Mobility Support District cell including TA/DA of NLEP staff@ Rs 1.5 Lakh/district
 3. Approved an amount of Rs 0.559 L as POL, transport (field supervisors) for LCDC @ Rs 100/ supervisor
 4. Approved Rs 0.2785 Lakhs for Logistics Rs.10/ team in connection with LCDC.
 5. Approved Rs 0.66 Lakhs for Supervision and monitoring @ Rs 3000 per block in connection with LCDC</t>
  </si>
  <si>
    <t>73.1 – DBT – Rs. 2.06 Lakhs:- Treatment Supporter Honorarium (Rs.1000) - one-time payment on the update of the Outcome of Treatment for drug sensitive TB patients, will be release through Nikshay DBT Mode directly to the beneficiaries.
73.2 - Infrastructure - Civil - Rs 2.50 lakhs – Rs. 2.50 lakhs for minor civil works/ repairing &amp; maintenance required at  DTC, TU &amp; DMC and X-ray facilities etc based on need basis and for minor civil works., 
73.3 - Equipments - Rs. 8.40 Lakhs -  Rs. 2.50 lakhs Procurement of equipment for District levels. (DMC, X-ray and ECG, etc for NTEP) Procurement of Sleeves and drug boxes - Rs. 2.40 lakhs for Maintenance / up gradation costs for Laboratory equipment’s DMC, X-ray and ECG, etc for NTEP  - Rs. 2.00 lakhs for Procurement of office equipment and furniture for District levels. (Office Equipments)  - Rs. 1.50 lakhs for Maintenance / up gradation costs for office equipment’s (Office Equipments)
73.4 - Drugs - Rs. 2.80 Lakhs - Procurement of First line drugs, Local Procurement of first line Anti TB  drugs on need basis and Drug Transportation charges etc
73.5 - Diagnostics (Consumables, PPP, Sample Transportation) - Rs. 10.20 Lakhs - Rs. 4.10 lakhs Patient Support &amp; Sample collection and Transport , Charges for transportation of samples for diagnosis, DST, follow-up &amp; Rs. 6.10 lakhs for Procurement of Lab consumables for DMCs, Procurement of Consumables for X-rays, ECG and etc.
73.6 - Capacity building Incl. training - Rs. 6.70 Lakhs -   Rs. 4.30 lakhs for training cost (including TA/DA &amp; other course materials) for officers / staff/ TB Champions and all district staff at National level, State level and District level, Rs. 1.90 lakhs Cost for conducting CME Training in Medical Colleges, Rs. 0.50 lakhs Community Engagement Activities - Sensitization of TB survivors, sensitization of NGOs, PRIs meeting, TB survivor led activities, etc
73.8 - Others including operating costs (OOC) - Rs. 3.00 Lakhs  - Rs. 1.20 lakhs Incentives for Active Case Finding/Akshaya Keralam Campaign/TB Elimination house to house visit , Rs 10/ for every household visit &amp; Rs 500/ for every new cases identified -the unit cost shall preferably be budgeted as per household or per person screened.,  Rs. 0.25 lakhs Incentive to non-salaried person for injection prick,  Rs. 1.55 lakhs Budget for Printing of Materials..
73.10 - Planning &amp; M&amp;E - Rs. 12.80 Lakhs  - Rs. 4.00 lakhs Supervision and Monitoring (District Level) - TA/DA cost of all officer/ staff working in NTEP, review meetings, Cost of internal evaluation etc.,  -Rs.2.40 lakhs for POL for existing vehicles under NTEP and mobility support for those field staff in lieu of vehicles. Rs. 1.30 lakhs Vehicle hiring cost for Districts where Govt vehicles are not available for supervision &amp; monitoring.  Rs. 1.00 lakhs Medical Colleges meetings, Rs. 3.00 lakhs Office operation includes office maintenance expenditure, stationary, communication etc.  Rs. 1.10 lakhs Maintenance cost for District vehicles (including four-wheeler &amp; two wheelers)
73.11 - Surveillance, Research, Review, Evaluation (SRRE) - Rs. 0.60 Lakhs  - Support for State &amp; District level/TU/LSG TB Forums(Treatment Support Groups) functioning including meeting cost, travel support to community members attending meeting, etc.</t>
  </si>
  <si>
    <t>74.1 – DBT – Rs. 44.50 Lakhs - Nutrition support to TB patient Rs. 500 per month till the treatment is completed, by DBT for DSTB Patients for 6 months &amp; Nutrition support to TB patient Rs. 500 per month till the treatment is completed, by DBT for DRTB Patients for 12 months. The payment to be release directly to the beneficiary bank account through Nikshay DBT mode.</t>
  </si>
  <si>
    <t xml:space="preserve">75.1 – DBT – Rs. 1.90 Lakhs - Private Provider Incentives- NTEP DBT Scheme @Rs. 500/- per notification and Rs. 500/- when treatment outcome declared &amp; Incentives for first informant (20% of Public notified case will be expected to be eligible for first informant incentive).
75.8 - Others including operating costs (OOC) - Rs. 1.65 Lakhs  - Cost of existing NGO/ PP support schemes and new NGO/ PP support schemes proposed as per NTEP Public Private Partnership Guidance.
</t>
  </si>
  <si>
    <t>77.1 – DBT – Rs. 1.80 Lakhs:- Treatment Supporter Honorarium (Rs.5000), payment on the update of the Outcome of Treatment for drug resistant TB patients. will be release through Nikshay DBT Mode directly to the beneficiaries.
77.2 - Infrastructure - Civil - Rs 1.50 lakhs - minor civil works/ repairing &amp; maintenance of Nodal DRTB centre, CBNAAT, TRUNAAT sites, IRL &amp; CDST labs on need basis.
77.3 - Equipments - Rs. 2.00 Lakhs -  Procurement of equipment for District levels (DR TB Centre, C&amp; DST Lab and Molecular Diagnostics), Maintenance / up gradation costs for Laboratory equipment’s for DR TB Centre, C&amp;DST Lab and Molecular Diagnostics Equipment for NTEP
77.4 - Drugs - Rs. 1.90 Lakhs - Procurement of DRTB drugs, Local Procurement of second line drugs on need basis and Drug Transportation charges etc
77.6 - Capacity building Incl. training - Rs. 0.40 Lakhs -   Training for AIC, Cost for AIC related trainings etc.
77.11 - Surveillance, Research, Review, Evaluation (SRRE) - Rs. 0.50 Lakhs  - AIC Review Committee, Cost for Committee meeting &amp; etc.</t>
  </si>
  <si>
    <t>Approved for 800 cases @ Rs 1000 for the Assistance for consuma-bles/ drugs/ medicines including IOL to the Govt. Hospital for Cataract surgery</t>
  </si>
  <si>
    <t>Approved for 150 cases@ Rs 2000 per case</t>
  </si>
  <si>
    <t>Approved for 100 pair@ Rs 2000 per pair</t>
  </si>
  <si>
    <t>Approved @ Rs 1 Lakh per unit for 2 vision centers- Aymanam, Velloor</t>
  </si>
  <si>
    <t>Approved @ Rs 1 Lakh per unit for 1 vision center- Velloor</t>
  </si>
  <si>
    <t xml:space="preserve">1 Procurement of equipment for DH/ GH elderly clinics Rs. 2 Lakhs
 2. Capacity building incl. training - Rs. 1 L 
</t>
  </si>
  <si>
    <t>1. District Level Trainings and PBS Training Rs. 3 Lakhs /each District 
 2.ASHA Incentive for CBAC Form Filling for Population Based Survey - Rs. 32 Lakhs
 • ASHA Incentive for NCD follow-up activity: Rs. 11.33 Lakhs 
 3.Rs.4 L for IEC activities for Dist level. and Printing of referral cards at PHC @ Rs.2500/card 
 4. Planning &amp; M&amp; E Rs. 3 L/each District level for Program Management Activities</t>
  </si>
  <si>
    <t xml:space="preserve">1.Training 0.5L/district 
 </t>
  </si>
  <si>
    <t xml:space="preserve">1. Training Rs. 1 Lakhs/District.
</t>
  </si>
  <si>
    <t xml:space="preserve"> mas @ 1000</t>
  </si>
  <si>
    <t xml:space="preserve"> UHNDs /month/ANM @ Rs. 250.00      Mobility support for ANM@ Rs. 500/- 
</t>
  </si>
  <si>
    <t xml:space="preserve">Planning &amp; M&amp;E  Mobility support for  for DPMU  @ Rs. 40000/- per month  
Administrative expenses (including Review meetings, workshops,  etc.)Rs. 10000/- per month for 14 district Units
</t>
  </si>
  <si>
    <t>OOC -Rs.11.64 lakhs approved @ Rs. 250 per wellness session for one session per month for 12 months at HWCs SC and PHCs
Planning and M&amp;E 
Rs. 0.50 lakhs approved for  refresher training and review on wellness for Medical officers for PHC&amp;UPHCs. 
Rs. 1.50 lakhs approved @Rs 75000  per batch for training of MLSPs</t>
  </si>
  <si>
    <t xml:space="preserve">OOC -  Approved Operational cost of Rs 1.00 Lakhs each for  MCH Hemophilia treatment center and DDCC </t>
  </si>
  <si>
    <t xml:space="preserve">a.Equipment 
A total of Rs. 8.90 L allotted for External Quality Assurance of LABS in the district at annual rates of not  more than 
•        DH-Rs.20,000/- (4 DH), 
•        TH-Rs.20,000/-( 3TH/THQH), 
•        CHC-Rs.10,000/-(20 CHC), 
•        PHC-Rs.10,000/-( 55PHC)  .
EQAS Priority should be given to the targeted institutions for NQAS.
b .Capacity building including training
A total of Rs. 11.42 L allotted for the following expenses
b.1. NQAS District Level Training -      An amount of Rs.1.66 Lakhs  is allotted for NQAS district level training of prioritized/targeted institutions for NQAS in the district. The training shall be given as team training to staffs of the targeted institutions. (Rs.83,000* 2 days ) .As per the Quality training norms NQAS operational guideline 2021 page no 101.
b.2 Kayakalp refresher training   -A total of Rs.9.76 L allotted for the following - 
b.2.1 District Level Trainings under Kayakalp Rs.54,000/- for District Level refresher trainings/ Internal Assessor workshop under Kayakalp.
Peer assessment awareness cum Internal/District Assessor workshop shall be provided to district Kayakalp inspection team.
b.2.2 Facility Level Kayakalp Training on "Swachh Bharat Abhiyan“- Rs. 9.22L.  Facility Level Kayakalp Training on "Swachh Bharat Abhiyan“ –Kayakalp  Institutional training  for  each institutions 
•        DH- Rs.20,000/- (4DH)  
•        TH/THQH and CHC Rs.15,000/- (23TH/THQH &amp; CHC) ,
•        PHCs -Rs.6000/- (55 PHC) , 
•        HWC-SC Rs.500/- (  333HWC-SC) 
Districts can prioritize institutions as per performance of needed additional trainings.
c. OOC
OOC a total of Rs.32.08 L
c.1 Rs.5 L for  District  Level Assessment &amp; Mentoring Visit including Vehicle for field visit in Districts for Quality Program.
c.2 Rs.27.08 lakhs for assessments (National/state/NQAS, MusQan)  (1 DH, 1SDH, 1 CHC, 10 PHC, 10 SC)
d. IEC/BCC
Rs.1 L   is allotted for IEC &amp; Printing for providing                                                    Signage’s- in Approach road, departmental, directional and any other relevant facility level signage’s for Quality Assurance or printing of Quality improvement IECs boards in hospital at DH/SDH .
Districts can prioritize the needy institutions based on gap analysis. Not exceeding maximum of Rs.50,000/- per institution. 
e.Planning &amp; M&amp;E.Rs.0.79L for 
  a.    Rs.24,000/-  allotted for district towards expenses for conducting    District Quality Assurance Committee Meetings as per NQAS Operational guidelines 2021 (DQAC should be met at least once in a quarter)  and other Quality Review Meetings.
 b.   Rs.55,000/-allotted for district towards meeting Contingency &amp; Misc expenses including expenses incurred for District Level Quality Assessments.                   </t>
  </si>
  <si>
    <t xml:space="preserve">Diagnostics: Rs. 20.50L 
Consumables related to implementation of infection control practices in hospital/ hospital laboratory including cost of water testing /environmental swab/sample testing, autoclave bags, indicator strips etc.
 · DH&amp;TH/THQH - @ Rs 1L for each  7 DH &amp; TH 
 · CHC – Rs.40,000/- for each  20 CHC 
 · PHC- Rs.10,000/- for each  55 PHC 
 Priority should be given to the targeted institutions for NQAS.
OOC-   60.19 lakhs
1 Expenses for Kayakalp Peer Assessment of institutions - Rs. 10.09 L.  
•        DH Level Peer Assessment -Rs.25,000/- each for  4 DH           
•        TH/THQH &amp; CHC Hospital Peer Assessment- Rs.13,000/- each for 23 TH/THQH &amp; CHC.
•        PHC Peer Assessment - Rs.5000/- each  for 55 PHC                                                  
•        HWC-SC Peer Assessment - Rs.5000/- for 67 HWC-SC (20% of Total 333 HWC-SC)  
2 BIOMEDICAL WASTE MANAGEMENT-  Rs.21.20 L  Support for the implementation of Kayakalp                                      
•        DH-Rs.60,000/- each for  4 DH,        
•        TH/THQH-Rs.60,000/- each for 3 SDH,                                                                
•        CHC –Rs.30,000/- each for  20 CHC,                                                           
•        PHC-Rs.20,000/- each for  55 PHC.           
3 Pest Control- Rs.13.40 L 
Pest control measures has to be undertaken and done regularly at the institutions level. For implementing Pest control measures in     
•        DH – Rs.50,000/- each for  4DH ,   
•        TH – Rs.30,000/- each for  3TH ,                                                                     
•        CHC – Rs.25,000/- each for 20   CHC,                                                       
•        PHC –Rs.10,000/- each for   55 PHC.   
4 Support for NQAS/KASH/MusQan Implementation for the gap closure in targeted institutions  Rs.15L for District for identified target institutions on priority basis. 
5. Rs.0.50 L for District Level Award function and District Assessment.
IEC/BCC (Printing of SOPs necessary for Implementation of NQAS, Kayakalp, LaQshya, MusQan) – Total  7.50  L.
•        (DH/GH/W&amp;C- Rs.25,000/- each for 4DH),
•        (TH/THQH - Rs.25,000/- each for  3 TH/THQH )
•        (CHC - Rs.15,000/- each for 20CHC ),
•        (PHC - Rs.5,000/- each for 55 PHC) 
The SOP printing amount for the HWC-SCs under PHC  shall be given by the PHC. Out of Rs.5,000/-, Rs.3,000/- for PHC and Rs.2000/- for HWC-SC) </t>
  </si>
  <si>
    <t xml:space="preserve">OOC -
Rs.5lakhs for Call Allowance
Rs. Rs.15150/-for incentives to provider for PPIUCD services 101*150
Rs.150/- for incentives to provider for PAIUCD services 1*150
Rs.4.025 Lakhs for Incentives for updation of NVHCP MIS portal 
(Nodal officer/Pharmacist/Lab Technician)  </t>
  </si>
  <si>
    <t xml:space="preserve">FY 2024-2025
Kottayam - 18L (Training of Medical Officers and Nursing Officers in maternal health related skills and procurement of mannequines/equipments except Laptop)
FY 2025-2026
Kottayam - 18L (Training of Medical Officers and Nursing Officers in maternal health related skills and procurement of mannequines/equipments except Laptop) </t>
  </si>
  <si>
    <t>IEC &amp; PRINTING- 1.45L (Activity breakup details attached)
Planning and M&amp;E
10 HMIS / RCH training cum review meeting @ unit cost 10000/- at District level
2 HMIS / RCH training cum review meeting per health Block @ unit cost 10000/- 16 blocks
OOC) Rs. 35000/-  internet annual user fee for (UPHCs implemented ehealth)</t>
  </si>
  <si>
    <t xml:space="preserve">FY 2024-2025
 i)Capacity building
Training of Specialist doctors, MOs, Staff Nurse, MLSP, Palliative care staffs, ASHA workers, RBSK Nurses, UPHC Staffs, JPHN, JHI, Medical College staff @Rs 0.25 lakhs per batch. 
Stationery – 100*50=5000
Food - 350*50= 17,500 
Miscellaneous -2500 
Total expenses for one batch 25,000/-
ii) )Other operating cost : .
a) Remuneration for Doctors
Speciality doctor 4, number of calls 30 @ Rs.100/- 313 days 
b). For establishment of 5 Telemedicine units @Rs. 70,000 per unit. Total Rs.3.5 Lac
Unit cost : Rs, 70,000/- 
1. Laptop - Rs. 40,000/- 
2. Headset / Webcam (If needed) - Rs. 3000/- 
3. Net connectivity - Rs. 1000 per month - Total Rs. 12,000/- per year 
4. Multifunction printer scanner -Rs. 15,000/-
 iii) Planning &amp; M&amp;E Rs 0.05 lakhs for district review meeting.
Stationery - 500 
Food -350*12= 4,200 
Miscellaneous - 300 300 
Total expenses for one batch is 5,000/-
FY 2025-2026
i) Other operating cost : .
a) Remuneration for Doctors
Speciality doctor 4, number of calls 30 @ Rs.100/- 313 days 
b). For establishment of 5 Telemedicine units @Rs. 70,000 per unit. Total Rs.3.5 Lac
Unit cost : Rs, 70,000/- 
1. Laptop - Rs. 40,000/- 
2. Headset / Webcam (If needed) - Rs. 3000/- 
3. Net connectivity - Rs. 1000 per month - Total Rs. 12,000/- per year 
4. Multifunction printer scanner -Rs. 15,000/-
 iii) Planning &amp; M&amp;E Rs 0.05 lakhs for district review meeting.
Stationery - 500 
Food -350*12= 4,200 
Miscellaneous - 300 300 
Total expenses for one batch is 5,000/-
</t>
  </si>
  <si>
    <t xml:space="preserve">
1)DBT Rs.24.51 lakhs ( R-2766  xRs.700 + U-826 xRs.600 + H-38*Rs 500)
2) Asha incentive - Rs.19.89 lakhs( Rural@Rs 600 &amp; Urban@Rs 400  )
3)  Planning &amp; M&amp; E - Rs.0.98 lakhs (For Administrative exp- @4% of DBT given)</t>
  </si>
  <si>
    <t xml:space="preserve">
1)Free Drugs &amp; consumables -Rs 36.3 lakhs for PW( 1696 ND @ Rs 350 &amp; 1896 C sections @ Rs 1600) accessing Govt health facilities for delivery
2) Diagnostics -Rs 7.2 lakhs@ Rs 200/beneficiary for 3592 PW 
  3) Other Operating Cost(Blood transfusion &amp; Diet) - a.Diet - Rs. 18.4 lakhs @ Rs 100 for 1696 ND for 3 days(1696*100*3)  and 1896 C sections for 7 days (1896*100*7)                                                                                                                                                                         
b.Blood Transfusion - Rs. 1.07lakhs @ Rs 300/PW for blood transfusion of 10% of total deliveries in govt.health facilities (10% of 3592= 359)     </t>
  </si>
  <si>
    <t xml:space="preserve">JSSK free transport  for pick up, drop back and referral to higher institutions @Rs 500 /beneficiary for 3592 beneficiaries </t>
  </si>
  <si>
    <t>DBT
Rs.0.28 lakhs for mobility support to HRP women @Rs 100 for 3 visits for 92 HRPs(100*3*92 = Rs.0.28 lakhs)  
ASHA Incentives
1) e-PMSMA 
a. Rs.0.28 lakhs for ASHA incentives for mobilising HRP women @Rs 100 for 3 visits for 92 HRPs(100*3*92 = Rs.0.28 lakhs)   
b. Rs0.46 lakhs for ASHA incentives for healthy outcome of HRP @ Rs 500/HRP for 92 HRPs (500*92 = Rs0.46 lakhs)
2) PNC visit - Rs.0.12 lakhs as ASHA incentive for healthy outcome of HRPs identified during  PNC visit (Rs.250* 46= Rs 0.12 lakhs) 
OOC
PMSMA session sites -7, Fund to be utilised for vehicle hiring/POL/refreshments</t>
  </si>
  <si>
    <t xml:space="preserve">IEC &amp; PRINTING- 1.15L (Activity breakup details attached)
Branding of 23 SUMAN certified facilities @ Rs.5000/- per facility
Planning and M&amp;E
Rs 10000 for conducting district level meeting(2 meetings in a year). This may be utlised for conducting DQAC meeting </t>
  </si>
  <si>
    <t xml:space="preserve">OOC
To conduct maternal death audit meeting @ Rs 1321/month(Rs1321*12=15852, for POL and refreshments)
Planning and M&amp;E
 MDNMSR - Rs 18000 (1500/meeting*12 meeting ) </t>
  </si>
  <si>
    <t>2024-25
1. Equipments
Color coded hand ties for mother and child identification for 1 LaQshya targeted facilities - (1022 delivery x2noxRs.10 = 0.20L)
2.Capacity building incl. training s for district level -LaQshya training @ Rs 0.75 L /Districts 
3.Operational Cost for District level activities -Rs 1 lakh for gap closure identified during internal/District assessment. Rs.2 lakhs for National/state assessment as per NQAS operational guidelines
2025-26
1Equipments
Color coded hand ties for mother and child identification for 1 LaQshya targeted facilities  (1120 delivery x2noxRs.10 = 0.22L)
2.Capacity building incl. training s for district level 
LaQshya training @ Rs 1L /District 
2.Operational Cost for District level activities 
Rs 1 lakh for gap closure identified during internal/District assessment.Rs.2 lakhs for National/state assessment as per NQAS operational guidelines</t>
  </si>
  <si>
    <t xml:space="preserve">IEC &amp; PRINTING- 3.2L (Activity breakup details attached)
OOC: 15 RCH camps @ 15000/-= 2.25L
2025-26
Training -One batch RTI/STI training for MO @ Rs.50000/- </t>
  </si>
  <si>
    <t xml:space="preserve"> Railway station digital display advertisements and awareness boards, short film making competition PNDT &amp; Bhoomika Gender Based Violence Management Centers.
Adolescent friendly residence association: Through this residential association and projects with Adolescent engaging facilities like Play Grounds ( For physical activity promotion), Libraries ( For encouraging their reading habits), etc.-
IEC &amp; PRINTING- 0.45L (Activity breakup details attached)</t>
  </si>
  <si>
    <t>Training Rs.4.13 lakhs
 ASHA Incentives -Rs.27.42  lkhs for 2024-25 and Rs.27.30  for 2025-26
 OOC Rs.10.52 lakhs
 IEC &amp; PRINTING- 2.50 L (Activity breakup details attached in IEC annexure)
 Planning and M&amp;E Rs.4.19 lakhs
 SRRE-AEFI Rs.2.78 Lakhs</t>
  </si>
  <si>
    <t>WIFS trainings (block level) , 1 batch (40 nos. ) @Rs.5000/) * No. of health blocks (IDK- 8)</t>
  </si>
  <si>
    <t>DRG 2 days Training at District level @ Rs 1 Lakh, Duration = 2 days, Batch size = 50 nos, approved amount Rs 1.00 L 
OOC
SHWP Worshop in each 14 districts @ Rs 40,000/ Dist</t>
  </si>
  <si>
    <t xml:space="preserve">a.DBT -Male sterilization -8 cases @ Rs 1500 per case.
b.Training of Medical Officers on NSV 1 batch @ Rs 34500/batch with 5 participants per batch for 5 days training </t>
  </si>
  <si>
    <t>DBT -Rs 100 per dose per beneficiary for 130 cases
ASHA Incentive- Rs 100 per dose per ASHA for 130 cases</t>
  </si>
  <si>
    <t xml:space="preserve">DBT - for FPIS @ Rs 30000 as compensation for each failure of sterilization for 1 cases </t>
  </si>
  <si>
    <t>IEC &amp; PRINTING-  1.5 L Activity Breakup is attached
Planning &amp; M&amp;E- Rs.1 lakh for monitoring activities during World Population Day and vasectomy Fortnight at district and block level</t>
  </si>
  <si>
    <t>a.Drugs- Procurement of Self care Kit 30 kit @Rs 1000/kit-Selfcare kit should be installed in all delivery points and other appropriate facilities based on the demand and eligible couple catered by that facilty.
b. IEC &amp; PRINTING -1.10L Activity Breakup attached
c. FP QAC meeting Rs 1000/meeting /quarter</t>
  </si>
  <si>
    <t>Capacity building incl. training - 
Rs.3.82 lakhs for Orientation of Nodal teacher, field staff and Anganwadi workers @ Rs.50/- for  two rounds of NDD
ASHA  INCENTIVE - Rs 2.08 Lakhs for ASHA incentives for 1042 ASHAs for mobilizing beneficiaries
 for NDD round @ Rs 100 per ASHA per round Rs.100 * 1042 * 2 round  = 2,08,400/-
IEC and printing -  IEC and printing activities for NDD @ Rs 1.5 Lakh per district per round. Rs. 1.5 lakh * 2 round = 3,00,000/-</t>
  </si>
  <si>
    <t xml:space="preserve">IEC &amp; PRINTING- 0.5L (Activity breakup details attached)
Asha Incentive - ASHA incentive under MAA programme @ Rs 100 per ASHA for quarterly mother's meeting 
Rs 400 * 1042 ASHAs = 4,16,800/-                                                                                                                  
</t>
  </si>
  <si>
    <t xml:space="preserve">1. Incentive for IDCF for prophylactic distribution of ORS to family with under-five children: Approved @ Rs 100 per ASHA for IDCF campaign for the routine activity. 1042*100 = 1,04,200
2.  IEC &amp; Printing - Approved under IDCF @ Rs.0.75 lakh                                         </t>
  </si>
  <si>
    <t xml:space="preserve">Incentives to be distributed to ASHA  workers for using STK. @Rs.25/- per kit / ASHA)
 </t>
  </si>
  <si>
    <t>Training Rs.6.50 lakhs
Planning and M&amp;E Rs.3.75 lakh</t>
  </si>
  <si>
    <t>Training Rs.1.10 lakhs
Equipments Rs.0.84Lakhs
OOC Rs1.19 lakhs
IEC &amp; Printing Rs.0.70 lakhs
Planning and M&amp;E Rs.1.60 lakh</t>
  </si>
  <si>
    <t xml:space="preserve">Training Rs.0.40 lakhs
ASHA incentive Rs.0.88lakhs
OOC Rs.21.761lakhs
IEC &amp; Printing Rs0.75 lakhs
Planning and M&amp;E Rs.3.50 lakh
SRRE Rs.2lakhs
</t>
  </si>
  <si>
    <t>Training Rs.0.40 lakhs
OOC Rs.0.0700Lakhs
IEC &amp; Printing Rs.0.25 lakhs
Planning and M&amp;E -Nil
SRRE Rs. 0.60 lakhs</t>
  </si>
  <si>
    <t>Diagnostics - 0.68 L
 Approved Rs 0.68 Lakhs per district for drugs required for management of reaction and printing.
 ASHA incentives - 27.232 L
 1. Approved an amount of Rs 26.98 L as incentive for Incentive for search team (Rs 1000 per Volunteer) for each screening round/ village for LCDC
 2. Approved Rs 0.02 L as Incentive for ASHA/ AWW/ Volunteer/ etc for detection of Leprosy (Rs 250 for detection of an early case before onset of any visible deformity, Rs 200 for detection of new case with visible deformity in hands, feet or eye)
 3. Approved Rs 0.02 L for ASHA Incentive for Treatment completion of PB cases (@ Rs 400)
 4. Approved Rs 0.012 L for ASHA Incentive for Treatment completion of MB cases (@ Rs 600)
 5. Approved 0.20 L for Any other ASHA incentives(Sensitisation) @ Rs 100 per ASHA
 OOC - 0.4 L: Approved for Case Detection and Management in urban Areas</t>
  </si>
  <si>
    <t>Equipment - 0.148 L 
 1. Procurement of other equipment: NLEP- MCR
 Approved Rs 0.10 Lakhs for MCR Chappals @ Rs 400 per unit
 2. Procurement of other equipment: NLEP- Aids/Appliance
 Approved Rs 0.048 Lakhs for Self care kit @ Rs 150 per unit.
 OOC - 1.1 L
 Approved for Early detection in camps, ulcer management, and prevention of deformity @ Rs 10000 per camp</t>
  </si>
  <si>
    <t>Capacity building incl Training - 2.349 L
 1. Approved Rs 1.349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Planning &amp; M &amp; E - 2.4699 L
 1.Office operation &amp; Maintenance, Consumables- District Cell @ Rs 0.30 Lakhs
 2. Mobility Support District cell including TA/DA of NLEP staff@ Rs 1.5 Lakh/district
 3. Approved an amount of Rs 0.265 L as POL, transport (field supervisors) for LCDC @ Rs 100/ supervisor
 4. Approved Rs 0.1349 Lakhs for Logistics Rs.10/ team in connection with LCDC.
 5. Approved Rs 0.27 Lakhs for Supervision and monitoring @ Rs 3000 per block in connection with LCDC</t>
  </si>
  <si>
    <t>74.1 – DBT – Rs. 23.00 Lakhs - Nutrition support to TB patient Rs. 500 per month till the treatment is completed, by DBT for DSTB Patients for 6 months &amp; Nutrition support to TB patient Rs. 500 per month till the treatment is completed, by DBT for DRTB Patients for 12 months. The payment to be release directly to the beneficiary bank account through Nikshay DBT mode.</t>
  </si>
  <si>
    <t xml:space="preserve">75.1 – DBT – Rs. 1.06 Lakhs - Private Provider Incentives- NTEP DBT Scheme @Rs. 500/- per notification and Rs. 500/- when treatment outcome declared &amp; Incentives for first informant (20% of Public notified case will be expected to be eligible for first informant incentive).
75.8 - Others including operating costs (OOC) - Rs. 32.00 Lakhs  - Cost of existing NGO/ PP support schemes and new NGO/ PP support schemes proposed as per NTEP Public Private Partnership Guidance.
</t>
  </si>
  <si>
    <t>76.5 - LTBI Diagnostics (Consumables, PPP, Sample Transportation) - Rs. 1.70 lakhs - Screening, referral linkages and follow-up under Latent TB Infection Management ,Cost for screening of LTBI such as incentives, sample collection &amp; transport, etc activities pertaining to LTBI.</t>
  </si>
  <si>
    <t>77.1 – DBT – Rs. 1.50 Lakhs:- Treatment Supporter Honorarium (Rs.5000), payment on the update of the Outcome of Treatment for drug resistant TB patients. will be release through Nikshay DBT Mode directly to the beneficiaries.
77.2 - Infrastructure - Civil - Rs 2.00 lakhs - minor civil works/ repairing &amp; maintenance of Nodal DRTB centre, CBNAAT, TRUNAAT sites, IRL &amp; CDST labs on need basis.
77.3 - Equipments - Rs. 2.00 Lakhs -  Procurement of equipment for District levels (DR TB Centre, C&amp; D0ST Lab and Molecular Diagnostics), Maintenance / up gradation costs for Laboratory equipment’s for DR TB Centre, C&amp;DST Lab and Molecular Diagnostics Equipment for NTEP
77.4 - Drugs - Rs. 1.10 Lakhs - Procurement of DRTB drugs, Local Procurement of second line drugs on need basis and Drug Transportation charges etc
77.6 - Capacity building Incl. training - Rs. 0.40 Lakhs -   Training for AIC, Cost for AIC related trainings etc.
77.11 - Surveillance, Research, Review, Evaluation (SRRE) - Rs. 0.50 Lakhs  - AIC Review Committee, Cost for Committee meeting &amp; etc.</t>
  </si>
  <si>
    <t>78.9 - Rs. 8.50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 (Separate excel sheet on activity wise attached</t>
  </si>
  <si>
    <t>Approved for 300 cases @ Rs 1000 for the Assistance for consuma-bles/ drugs/ medicines including IOL to the Govt. Hospital for Cataract surgery</t>
  </si>
  <si>
    <t>Approved for 350 cases@ Rs 2000 per case</t>
  </si>
  <si>
    <t>1. District Level Trainings and PBS Training Rs. 3 Lakhs /each District 
 2.ASHA Incentive for CBAC Form Filling for Population Based Survey - Rs. 17.93 Lakhs
 • ASHA Incentive for NCD follow-up activity: Rs. 11.33 Lakhs 
 3.Rs.4 L for IEC activities for Dist level. and Printing of referral cards at PHC @ Rs.2500/card 
 4. Planning &amp; M&amp; E Rs. 3 L/each District level for Program Management Activities</t>
  </si>
  <si>
    <t xml:space="preserve">1.Training 0.5L/district 
</t>
  </si>
  <si>
    <t xml:space="preserve">1. Retrofitting for Model Climate-Disaster Resilient healthcare facility Rs. 5 Lakhs 2. Purchase for Heat Stroke Equipment 2. District Level Training 50000 3. Greening &amp; Climate Disaster Resilient (Energy audit, non LED replacement at HCF) and Solorization. Details attached </t>
  </si>
  <si>
    <t>OOC -Rs.10.50 lakhs approved @ Rs. 250 per wellness session for one session per month for 12 months at HWCs SC and PHCs
Planning and M&amp;E 
Rs. 0.50 lakhs approved for  refresher training and review on wellness for Medical officers for PHC&amp;UPHCs. 
Rs. 1.50 lakhs approved @Rs 75000  per batch for training of MLSPs</t>
  </si>
  <si>
    <t>IEC &amp; Printing - Printing a customised book for one patient identified, Rs  10000 for 200 customized books @ Rs 50.
50 * 200 = 10000.</t>
  </si>
  <si>
    <t xml:space="preserve">OOC -  Operational cost of Rs 1.00 Lakhs -for operational expenses DDCCs
</t>
  </si>
  <si>
    <t xml:space="preserve">a.Equipment 
A total of Rs.6.40L allotted for External Quality Assurance of LABS in the district at annual rates of not  more than 
•        DH-Rs.20,000/- (2 DH), 
•        TH-Rs.20,000/-( 4TH/THQH), 
•        CHC-Rs.10,000/-(13 CHC), 
•        PHC-Rs.10,000/-( 39PHC)  .
EQAS Priority should be given to the targeted institutions for NQAS.
b .Capacity building including training
A total of Rs. 9.04L allotted for the following expenses
b.1. NQAS District Level Training -      An amount of Rs.1.66 Lakhs  is allotted for NQAS district level training of prioritized/targeted institutions for NQAS in the district. The training shall be given as team training to staffs of the targeted institutions. (Rs.83,000* 2 days ) .As per the Quality training norms NQAS operational guideline 2021 page no 101.
b.2 Kayakalp refresher training   -A total of Rs.7.38 L allotted for the following - 
b.2.1 District Level Trainings under Kayakalp Rs.54,000/- for District Level refresher trainings/ Internal Assessor workshop under Kayakalp.
Peer assessment awareness cum Internal/District Assessor workshop shall be provided to district Kayakalp inspection team.
b.2.2 Facility Level Kayakalp Training on "Swachh Bharat Abhiyan“- Rs.6.48L.  Facility Level Kayakalp Training on "Swachh Bharat Abhiyan“ –Kayakalp  Institutional training  for  each institutions 
•        DH- Rs.20,000/- (2DH)  
•        TH/THQH and CHC Rs.15,000/- (17TH/THQH &amp; CHC) ,
•        PHCs -Rs.6000/- (39 PHC) , 
•        HWC-SC Rs.500/- (  309HWC-SC) 
Districts can prioritize institutions as per performance of needed additional trainings.
c. OOC
OOC a total of Rs.32.08L 
c.1 Rs.5 L for  District  Level Assessment &amp; Mentoring Visit including Vehicle for field visit in Districts for Quality Program.
c.2 Rs.27.08 lakhs for assessments (National/state/NQAS, MusQan)  (1 DH, 1SDH, 1 CHC, 10 PHC, 10 SC)
d. IEC/BCC
Rs.1 L   is allotted for IEC &amp; Printing for providing                                                    Signage’s- in Approach road, departmental, directional and any other relevant facility level signage’s for Quality Assurance or printing of Quality improvement IECs boards in hospital at DH/SDH .
Districts can prioritize the needy institutions based on gap analysis. Not exceeding maximum of Rs.50,000/- per institution. 
e.Planning &amp; M&amp;E.Rs.0.79L for 
  a.    Rs.24,000/-  allotted for district towards expenses for conducting    District Quality Assurance Committee Meetings as per NQAS Operational guidelines 2021 (DQAC should be met at least once in a quarter)  and other Quality Review Meetings.
 b.   Rs.55,000/-allotted for district towards meeting Contingency &amp; Misc expenses including expenses incurred for District Level Quality Assessments.                   </t>
  </si>
  <si>
    <t xml:space="preserve">Diagnostics: Rs. 15.10 L 
Consumables related to implementation of infection control practices in hospital/ hospital laboratory including cost of water testing /environmental swab/sample testing, autoclave bags, indicator strips etc.
 · DH&amp;TH/THQH - @ Rs 1L for each 6 DH &amp; TH 
 · CHC – Rs.40,000/- for each 13 CHC 
 · PHC- Rs.10,000/- for each  39 PHC 
 Priority should be given to the targeted institutions for NQAS.
OOC-   47.91 lakhs
1 Expenses for Kayakalp Peer Assessment of institutions - Rs.7.76 L.  
•        DH Level Peer Assessment -Rs.25,000/- each for 2 DH           
•        TH/THQH &amp; CHC Hospital Peer Assessment- Rs.13,000/- each for 17 TH/THQH &amp; CHC.
•        PHC Peer Assessment - Rs.5000/- each  for 39 PHC                                                  
•        HWC-SC Peer Assessment - Rs.5000/- for 62 HWC-SC (20% of Total 309 HWC-SC)  
2 BIOMEDICAL WASTE MANAGEMENT-  15.30 L  Support for the implementation of Kayakalp                                      
•        DH-Rs.60,000/- each for  2 DH,        
•        TH/THQH-Rs.60,000/- each for4  SDH,                                                                
•        CHC –Rs.30,000/- each for  13 CHC,                                                           
•        PHC-Rs.20,000/- each for  39 PHC.           
3 Pest Control- Rs.9.35 L 
Pest control measures has to be undertaken and done regularly at the institutions level. For implementing Pest control measures in     
•        DH – Rs.50,000/- each for 2 DH ,   
•        TH – Rs.30,000/- each for  4TH ,                                                                     
•        CHC – Rs.25,000/- each for 13   CHC,                                                       
•        PHC –Rs.10,000/- each for    39 PHC.   
4 Support for NQAS/KASH/MusQan Implementation for the gap closure in targeted institutions  Rs.15L for District for identified target institutions on priority basis. 
5. Rs.0.50 L for District Level Award function and District Assessment.
IEC/BCC (Printing of SOPs necessary for Implementation of NQAS, Kayakalp, LaQshya, MusQan) – Total  10.10  L.
•        (DH/GH/W&amp;C- Rs.25,000/- each for 2  DH),
•        (TH/THQH - Rs.25,000/- each for  4 TH/THQH )
•        (CHC - Rs.15,000/- each for   13 CHC ),
•        (PHC - Rs.5,000/- each for 39 PHC) 
The SOP printing amount for the HWC-SCs under PHC  shall be given by the PHC. Out of Rs.5,000/-, Rs.3,000/- for PHC and Rs.2000/- for HWC-SC) </t>
  </si>
  <si>
    <t xml:space="preserve">3 Mobile Medical Units (MMU) / Mobile Health Units (MHU) Operational cost of @ Rs.55000/- </t>
  </si>
  <si>
    <t xml:space="preserve">OOC -
Rs.20 lakhs for Call Allowance
Rs. Rs.1050/-for incentives to provider for PPIUCD services 7*150
Rs.4.025 Lakhs for Incentives for updation of NVHCP MIS portal 
(Nodal officer/Pharmacist/Lab Technician)  </t>
  </si>
  <si>
    <t>IEC &amp; PRINTING- 1.22L (Activity breakup details attached)
Planning and M&amp;E
10 HMIS / RCH training cum review meeting @ unit cost 10000/- at District level
2 HMIS / RCH training cum review meeting per health Block @ unit cost 10000/--7 blocks 
OOC) Rs. 35000/-  internet annual user fee for (2UPHCs )</t>
  </si>
  <si>
    <t xml:space="preserve">JSSK free transport  for pick up, drop back and referral to higher institutions @Rs 500 /beneficiary for 7818 beneficiaries </t>
  </si>
  <si>
    <t>DBT                        
Rs.1.07 lakhs for mobility support to HRP women @Rs 100 for 3 visits for 357 HRPs(100*3*357 = Rs.1.07 lakhs)  
ASHA Incentives
1) e-PMSMA 
a. Rs.1.07 lakhs for ASHA incentives for mobilising HRP women @Rs 100 for 3 visits for 357 HRPs(100*3*357 = Rs.1.07 lakhs)                                                                                                                      b. Rs1.78 lakhs for ASHA incentives for healthy outcome of HRP @ Rs 500/HRP for 357 HRPs (500*357 = Rs1.78 lakhs)
2) PNC visit - Rs.0.45 lakhs as ASHA incentive for healthy outcome of HRPs identified during  PNC visit (Rs.250* 178= Rs 0.45 lakhs)                                                                                                                3) OOC
PMSMA session sites -2, Fund to be utilised for vehicle hiring/POL/refreshments</t>
  </si>
  <si>
    <t xml:space="preserve">IEC &amp; PRINTING- 2.15L (Activity breakup details attached)
Branding of 43 SUMAN certified facilities @ Rs.5000/- per facility
Planning and M&amp;E
Rs 10000 for conducting district level meeting(2 meetings in a year). This may be utlised for conducting DQAC meeting </t>
  </si>
  <si>
    <t xml:space="preserve">OOC
To conduct maternal death audit meeting @ Rs 1321/month(Rs1321*12=15852, for POL and refreshments)
Planning and M&amp;E
 MDNMSR - Rs 30000 (2500/meeting*12 meeting ) 
</t>
  </si>
  <si>
    <t>2024-25
1. Equipments
Color coded hand ties for mother and child identification for 4 LaQshya targeted facilities
 (5860 delivery x2noxRs.10 = 1.17 L)
2. Capacity building incl. training s for district level -LaQshya training @ Rs 0.75 L /Districts 
3.Operational Cost for District level activities -Rs 1 lakh for gap closure identified during internal/District assessment. Rs.2 lakhs for National/state assessment as per NQAS operational guidelines
2025-26
1Equipments
Color coded hand ties for mother and child identification for 4 LaQshya targeted facilities  (6421 delivery x2noxRs.10 = 1.28 L)
2.Capacity building incl. training s for district level 
LaQshya training @ Rs 1L /District 
2.Operational Cost for District level activities 
Rs 1 lakh for gap closure identified during internal/District assessment. Rs.2 lakhs for National/state assessment as per NQAS operational guidelines</t>
  </si>
  <si>
    <t xml:space="preserve">MH- IEC &amp; PRINTING -4.30L (Activity breakup details attached)
OOC: 1 RCH camps @ 15000/-= 0.15L
2025-26
Training -One batch RTI/STI training for MO @ Rs.50000/- </t>
  </si>
  <si>
    <t>IEC &amp; PRINTING- 0.90L (Activity breakup details attached)
Railway station digital display advertisements and awareness boards, short film making competition PNDT &amp; Bhoomika Gender Based Violence Management Centers.
Adolescent friendly residence association: Through this residential association and projects with Adolescent engaging facilities like Play Grounds ( For physical activity promotion), Libraries ( For encouraging their reading habits), etc.-</t>
  </si>
  <si>
    <t>Equipment :-   Repair equipment for 100 existing nurses - Unit cost - Rs.2000/-
Drugs &amp; Supplies :-                                                                                                                                         
Diagnostics :-                                                                                                                                                                    
Capacity building training : -1.  RBSK Refresher training @ Rs. 50000/- per batch for 3 batches. 2. One-day orientation for MO / other staff Delivery points (RBSK training) -2 Batch training per district @ ₹21000 per batch, 3. Half-day RBSK refresher training @ Rs. 2500 x 19 = 47500/-                                                                                                              
Asha Incentives :-                                                                                                                                  
OOC :- 1. Mobility support for RBSK Mobile health team  -    Incentive for RBSK nurse – Rs.1000*100*12 = Rs.12,00,000/- and 1 vehicles for MHT – Rs.48000*1*12 = Rs. 5,76,000 /- , 105 connections @ Rs.300 per month = 105*300*12 =  3,78,000                                                                                                                                                                                                                                                     Planning &amp; M &amp; E : -  One yearly meeting at the district level involving line departments like WCD, LSGD, ICPS, ORC, Childline, BRC/ Education dept. etc @ 50000 per district. 
IEC &amp; PRINTING- 0.25 L for Printing of RBSK cards and registers and Diary @ Rs.250/- for 100 RBSK nurses</t>
  </si>
  <si>
    <t xml:space="preserve">Equipment :- Rs.1109878  lakh is recommended for essential equipment as per gap analysis. 
Drugs &amp; Supplies :- 
Diagnostics :- Approval is to purchase Consumables for functioning 
DEIC. @ Rs. 100000/-
Capacity building training : - 
 Asha Incentives :- 
OOC :- 1. Operational expenses for Rs.20000 per month for EKM DEIC 
which has separate  new buildings - Rs. 2,40,000/-, 
2. Referral Support for Secondary/ Tertiary – Rs. 280.85/- Lakhs 
Planning &amp; M &amp; E : - 
IEC &amp; PRINTING- Printing cost for DEIC – Rs. 1 lakhs </t>
  </si>
  <si>
    <t>Training Rs.7.87 lakhs
 ASHA Incentives -Rs.77.31  lkhs for 2024-25 and Rs.76.20  for 2025-26
 OOC Rs.21.53 lakhs
 IEC &amp; PRINTING- 3.10 L (Activity breakup details attached in IEC annexure)
 Planning and M&amp;E Rs.4.91 lakhs
 SRRE-AEFI Rs.4.39 Lakhs</t>
  </si>
  <si>
    <t>WIFS trainings (block level) , 1 batch (40 nos. ) @Rs.5000/) * No. of health blocks (EKM - 19)</t>
  </si>
  <si>
    <t xml:space="preserve">a.DBT -Male sterilization -52 cases @ Rs 1500 per case.
b.Training of Medical Officers on NSV 1 batch @ Rs 34500/batch with 5 participants per batch for 5 days training </t>
  </si>
  <si>
    <t>DBT -Rs 100 per dose per beneficiary for 182 cases
ASHA Incentive- Rs 100 per dose per ASHA for 182 cases</t>
  </si>
  <si>
    <t xml:space="preserve">DBT - for FPIS @ Rs 30000 as compensation for each failure of sterilization for 5 cases </t>
  </si>
  <si>
    <t>IEC &amp; PRINTING-  2.45 L Activity Breakup is attached
Planning &amp; M&amp;E- Rs.1 lakh for monitoring activities during World Population Day and vasectomy Fortnight at district and block level</t>
  </si>
  <si>
    <t>a.Drugs- Procurement of Self care Kit 46 kit @Rs 1000/kit-Selfcare kit should be installed in all delivery points and other appropriate facilities based on the demand and eligible couple catered by that facilty.
b. IEC &amp; PRINTING -4.80 L Activity Breakup attached
c. FP QAC meeting Rs 1000/meeting /quarter</t>
  </si>
  <si>
    <t xml:space="preserve">Capacity building incl. training - 1. Orientation activities on vitamin A supplementation and Anaemia Mukta Bharat Programme/ VIVA Kerala - Rs.100000 per district., 2. One day Orientation of frontline workers (ASHA/ANM) and allied department workers (Teachers/AWW) on  VIVA Kerala/ Anaemia Mukt Bharat - Rs.100000 per district.
ASHA Incentive - 1. National Iron Plus Incentive for Mobilizing WRA (non pregnant &amp; non lactating women  20-49 years) approved at Rs 50  for ASHA for one month -2375 Asha * 50 * 12 = 1425000/- , 2. National Iron Plus Incentive for Mobilizing  children  and / or ensuring compliance and reporting (6-59 months) - approved @ Rs 100 for ASHA for one month -2375 Asha * 100 *12 = 2850000/-
</t>
  </si>
  <si>
    <t>Capacity building incl. training - 
Rs.7.22 lakhs for Orientation of Nodal teacher, field staff and Anganwadi workers @ Rs.50/- for  two rounds of NDD
ASHA  INCENTIVE - Rs 4.75 Lakhs for ASHA incentives for 2375 ASHAs for 
mobilizing beneficiaries for NDD round @ Rs 100 per ASHA per round
Rs.100 * 2375 * 2 round  = 4,75,000/-
IEC and printing -  IEC and printing activities for NDD @ Rs 1.5 Lakh per district per round. 
Rs. 1.5 lakh * 2 round = 3,00,000/-</t>
  </si>
  <si>
    <t>IEC &amp; PRINTING- 0.5L (Activity breakup details attached)
Asha Incentive - ASHA incentive under MAA programme @ Rs 100 per ASHA for quarterly mother's meeting . 
Rs 400 * 2375 ASHAs = 9,50,000/-</t>
  </si>
  <si>
    <t xml:space="preserve">Diagnostics - Consumables and stationaries for proposed 2 LMU @ Rs.105000 as recurring cost. 
                  Rs.105000 x 2 = Rs.2,10,000/-
</t>
  </si>
  <si>
    <t xml:space="preserve">1. Incentive for IDCF for prophylactic distribution of ORS to family with under-five children: Approved @ Rs 100 per ASHA for IDCF campaign for the routine activity. 2375*100 = 2,37,500					
2.  IEC &amp; Printing - Approved under IDCF @ Rs.0.75 lakh                                         </t>
  </si>
  <si>
    <t>Training Rs.9.10 lakhs
Planning and M&amp;E Rs.3.75 lakh
SRRE-Rs.3 lakh</t>
  </si>
  <si>
    <t>Training Rs.0.60 Lakhs
ASHA incentive Rs.1.75lakhs
OOC Rs. 74.721Lakhs
IEC &amp; Printing Rs1.20 Lakh 
Planning &amp; M&amp;E Rs. 3.75 Lakh
SRRE Rs..3 Lakhs</t>
  </si>
  <si>
    <t>Training Rs.0.40 lakhs
OOC Rs.2.4500Lakhs
IEC &amp; Printing Rs.3.50 lakhs
Planning and M&amp;E -Rs. 2 Lakhs
SRRE Rs. 1.20 lakhs</t>
  </si>
  <si>
    <t>Diagnostics - 0.68 L
 Approved Rs 0.68 Lakhs per district for drugs required for management of reaction and printing.
 ASHA incentives -91.224 L
 1. Approved an amount of Rs 90.92 L as incentive for Incentive for search team (Rs 1000 per Volunteer) for each screening round/ village for LCDC
 2. Approved Rs 0.04 L as Incentive for ASHA/ AWW/ Volunteer/ etc for detection of Leprosy (Rs 250 for detection of an early case before onset of any visible deformity, Rs 200 for detection of new case with visible deformity in hands, feet or eye)
 3. Approved Rs 0.04 L for ASHA Incentive for Treatment completion of PB cases (@ Rs 400)
 4. Approved Rs 0.024 L for ASHA Incentive for Treatment completion of MB cases (@ Rs 600)
 5. Approved 0.20 L for Any other ASHA incentives(Sensitisation) @ Rs 100 per ASHA
 OOC - 3 L: 
 Approved for Case Detection and Management in urban Areas</t>
  </si>
  <si>
    <t>Equipment - 0.244 L 
 1. Procurement of other equipment: NLEP- MCR
 Approved Rs 0.16 Lakhs for MCR Chappals @ Rs 400 per unit
 2. Procurement of other equipment: NLEP- Aids/Appliance
 Approved Rs 0.084 Lakhs for Self care kit @ Rs 150 per unit 
 OOC - 1.10 L
 Approved for Early detection in camps, ulcer management, and prevention of deformity @ Rs 10000 per camp</t>
  </si>
  <si>
    <t>Capacity building incl Training - 5.546 L
 1. Approved Rs 4.546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Planning &amp; M &amp; E - 4.0736 L
 1.Office operation &amp; Maintenance, Consumables- District Cell @ Rs 0.30 Lakhs
 2. Mobility Support District cell including TA/DA of NLEP staff@ Rs 1.5 Lakh/district
 3.Approved an amount of Rs 0.919 L as POL, transport (field supervisors) for LCDC @ Rs 100/ supervisor
 4. Approved Rs 0.4546 Lakhs for Logistics Rs.10/ team in connection with LCDC.
 5. Approved Rs 0.90 Lakhs for Supervision and monitoring @ Rs 3000 per block in connection with LCDC</t>
  </si>
  <si>
    <t>73.1 – DBT – Rs. 2.47 Lakhs:- Treatment Supporter Honorarium (Rs.1000) - one-time payment on the update of the Outcome of Treatment for drug sensitive TB patients, will be release through Nikshay DBT Mode directly to the beneficiaries.
73.2 - Infrastructure - Civil - Rs 2.50 lakhs – Rs. 2.50 lakhs for minor civil works/ repairing &amp; maintenance required at  DTC, TU &amp; DMC and X-ray facilities etc based on need basis and for minor civil works., 
73.3 - Equipments - Rs. 8.40 Lakhs -  Rs. 2.50 lakhs Procurement of equipment for District levels. (DMC, X-ray and ECG, etc for NTEP) Procurement of Sleeves and drug boxes - Rs. 2.40 lakhs for Maintenance / up gradation costs for Laboratory equipment’s DMC, X-ray and ECG, etc for NTEP  - Rs. 2.00 lakhs for Procurement of office equipment and furniture for District levels. (Office Equipments)  - Rs. 1.50 lakhs for Maintenance / up gradation costs for office equipment’s (Office Equipments)
73.4 - Drugs - Rs. 3.20 Lakhs - Procurement of First line drugs, Local Procurement of first line Anti TB  drugs on need basis and Drug Transportation charges etc
73.5 - Diagnostics (Consumables, PPP, Sample Transportation) - Rs. 11.50 Lakhs - Rs. 5.60 lakhs Patient Support &amp; Sample collection and Transport , Charges for transportation of samples for diagnosis, DST, follow-up &amp; Rs. 5.90 lakhs for Procurement of Lab consumables for DMCs, Procurement of Consumables for X-rays, ECG and etc.
73.6 - Capacity building Incl. training - Rs. 7.70 Lakhs -   Rs. 4.30 lakhs for training cost (including TA/DA &amp; other course materials) for officers / staff/ TB Champions and all district staff at National level, State level and District level, Rs. 2.40 lakhs Cost for conducting CME Training in Medical Colleges, Rs. 1.00 lakhs Community Engagement Activities - Sensitization of TB survivors, sensitization of NGOs, PRIs meeting, TB survivor led activities, etc
73.8 - Others including operating costs (OOC) - Rs. 3.45 Lakhs  - Rs. 1.40 lakhs Incentives for Active Case Finding/Akshaya Keralam Campaign/TB Elimination house to house visit , Rs 10/ for every household visit &amp; Rs 500/ for every new cases identified -the unit cost shall preferably be budgeted as per household or per person screened.,  Rs. 0.25 lakhs Incentive to non-salaried person for injection prick,  Rs. 1.80 lakhs Budget for Printing of Materials..
73.10 - Planning &amp; M&amp;E - Rs. 15.00 Lakhs  - Rs. 4.10 lakhs Supervision and Monitoring (District Level) - TA/DA cost of all officer/ staff working in NTEP, review meetings, Cost of internal evaluation etc.,  -Rs.6.80 lakhs for POL for existing vehicles under NTEP and mobility support for those field staff in lieu of vehicles,.Vehicle hiring cost for Districts where Govt vehicles are not available for supervision &amp; monitoring. Rs. 4.10 lakhs Office operation includes office maintenance expenditure, stationary, communication etc.  
73.11 - Surveillance, Research, Review, Evaluation (SRRE) - Rs. 0.85 Lakhs  - Support for State &amp; District level/TU/LSG TB Forums(Treatment Support Groups) functioning including meeting cost, travel support to community members attending meeting, etc.</t>
  </si>
  <si>
    <t>74.1 – DBT – Rs. 52.00 Lakhs - Nutrition support to TB patient Rs. 500 per month till the treatment is completed, by DBT for DSTB Patients for 6 months &amp; Nutrition support to TB patient Rs. 500 per month till the treatment is completed, by DBT for DRTB Patients for 12 months. The payment to be release directly to the beneficiary bank account through Nikshay DBT mode.</t>
  </si>
  <si>
    <t xml:space="preserve">75.1 – DBT – Rs. 2.93 Lakhs - Private Provider Incentives- NTEP DBT Scheme @Rs. 500/- per notification and Rs. 500/- when treatment outcome declared &amp; Incentives for first informant (20% of Public notified case will be expected to be eligible for first informant incentive).
75.8 - Others including operating costs (OOC) - Rs. 4.00 Lakhs  - Cost of existing NGO/ PP support schemes and new NGO/ PP support schemes proposed as per NTEP Public Private Partnership Guidance.
</t>
  </si>
  <si>
    <t>76.5 - LTBI Diagnostics (Consumables, PPP, Sample Transportation) - Rs. 2.40 lakhs - Screening, referral linkages and follow-up under Latent TB Infection Management ,Cost for screening of LTBI such as incentives, sample collection &amp; transport, etc activities pertaining to LTBI.</t>
  </si>
  <si>
    <t>77.1 – DBT – Rs. 1.90 Lakhs:- Treatment Supporter Honorarium (Rs.5000), payment on the update of the Outcome of Treatment for drug resistant TB patients. will be release through Nikshay DBT Mode directly to the beneficiaries.
77.2 - Infrastructure - Civil - Rs 1.50 lakhs - minor civil works/ repairing &amp; maintenance of Nodal DRTB centre, CBNAAT, TRUNAAT sites, IRL &amp; CDST labs on need basis.
77.3 - Equipments - Rs. 2.00 Lakhs -  Procurement of equipment for District levels (DR TB Centre, C&amp; DST Lab and Molecular Diagnostics), Maintenance / up gradation costs for Laboratory equipment’s for DR TB Centre, C&amp;DST Lab and Molecular Diagnostics Equipment for NTEP
77.4 - Drugs - Rs. 2.40 Lakhs - Procurement of DRTB drugs, Local Procurement of second line drugs on need basis and Drug Transportation charges etc
77.6 - Capacity building Incl. training - Rs. 0.40 Lakhs -   Training for AIC, Cost for AIC related trainings etc.
77.11 - Surveillance, Research, Review, Evaluation (SRRE) - Rs. 0.50 Lakhs  - AIC Review Committee, Cost for Committee meeting &amp; etc.</t>
  </si>
  <si>
    <t>Approved for 900 cases @ Rs 1000 for the Assistance for consuma-bles/ drugs/ medicines including IOL to the Govt. Hospital for Cataract surgery</t>
  </si>
  <si>
    <t>Approved for 1000 cases@ Rs 2000 per case</t>
  </si>
  <si>
    <t>10 cases of Diabetic Retinopathy @ 2000 – Rs.0.2 L
 5 cases of Childhood Blindness @ Rs.2000 – Rs 0.1 L
 20 cases of Glaucoma @ Rs.2000 – Rs 0.4 L
 5 Cases of Keratoplasty @ Rs 7500- Rs 0.38 Lakhs
 3 Cases of Vitreoretinal Surgery @Rs.10000/- Rs 0.30 Lakhs</t>
  </si>
  <si>
    <t>Approved for 1915 pair @ Rs 2000 per pair</t>
  </si>
  <si>
    <t>Approved @ Rs 1 Lakh per unit for 5 vision centers- Kalamassery, Maneed ,Binanipuram, Poothrikka,Varappuzha</t>
  </si>
  <si>
    <t>1 Procurement of equipment for DH/ GH elderly clinics Rs. 2 Lakhs
 2. Capacity building incl. training - Rs. 1 L 
NPHCE- IEC &amp; PRINTING -1L Activity Breakup will be shared from State BCC wing</t>
  </si>
  <si>
    <t>1. District Level Trainings and PBS Training Rs. 3 Lakhs /each District 
 2.ASHA Incentive for CBAC Form Filling for Population Based Survey - Rs. 39.92 Lakhs
 • ASHA Incentive for NCD follow-up activity: Rs. 11.33 Lakhs 
 3.Rs.4 L for IEC activities for Dist level. and Printing of referral cards at PHC @ Rs.2500/card 
 4. Planning &amp; M&amp; E Rs. 3 L/each District level for Program Management Activities</t>
  </si>
  <si>
    <t xml:space="preserve">2. Purchase for Heat Stroke Equipment 2. District Level Training 50000 3. Greening &amp; Climate Disaster Resilient (Energy audit, non LED replacement at HCF) and Solorization. Details attached 
</t>
  </si>
  <si>
    <t xml:space="preserve">
1. Fast moving dental consumables for selected Dental units 2. Conducting Dental camps(Rs 15000/One camp) 3.Observance of WOHD) -Rs 2 L/District</t>
  </si>
  <si>
    <t xml:space="preserve"> UHNDs /month/ANM @ Rs. 250.00   Mobility support for ANM@ Rs. 500/- 
</t>
  </si>
  <si>
    <t>OOC)  U. 13. 1. 1 Quality Assurance Assessments (State &amp; National):@ 1 L   Planning &amp; M&amp;E : U .16.1.3.1 QA committees ( Regional)</t>
  </si>
  <si>
    <t>OOC -Rs.14.55 lakhs approved @ Rs. 250 per wellness session for one session per month for 12 months at HWCs SC and PHCs
Planning and M&amp;E 
Rs. 0.50 lakhs approved for  refresher training and review on wellness for Medical officers for PHC&amp;UPHCs. 
Rs. 1.50 lakhs approved @Rs 75000  per batch for training of MLSPs</t>
  </si>
  <si>
    <t xml:space="preserve">a.Equipment 
A total of Rs.12.80 L allotted for External Quality Assurance of LABS in the district at annual rates of not  more than 
•        DH-Rs.20,000/- (4 DH), 
•        TH-Rs.20,000/-( 11TH/THQH), 
•        CHC-Rs.10,000/-( 23CHC), 
•        PHC-Rs.10,000/-( 75PHC)  .
EQAS Priority should be given to the targeted institutions for NQAS.
b .Capacity building including training
A total of Rs. 14.65 L allotted for the following expenses
b.1. NQAS District Level Training -      An amount of Rs.1.66Lakhs  is allotted for NQAS district level training of prioritized/targeted institutions for NQAS in the district. The training shall be given as team training to staffs of the targeted institutions. (Rs.83,000* 2 days ) .As per the Quality training norms NQAS operational guideline 2021 page no 101.
b.2 Kayakalp refresher training   -A total of    12.99  L allotted for the following - 
b.2.1 District Level Trainings under Kayakalp Rs.54,000/- for District Level refresher trainings/ Internal Assessor workshop under Kayakalp.
Peer assessment awareness cum Internal/District Assessor workshop shall be provided to district Kayakalp inspection team.
b.2.2 Facility Level Kayakalp Training on "Swachh Bharat Abhiyan“- Rs.12.45L.  Facility Level Kayakalp Training on "Swachh Bharat Abhiyan“ –Kayakalp  Institutional training  for  each institutions 
•        DH- Rs.20,000/- (4DH)  
•        TH/THQH and CHC Rs.15,000/- (34TH/THQH &amp; CHC) ,
•        PHCs -Rs.6000/- (75 PHC) , 
•        HWC-SC Rs.500/- (  410HWC-SC) 
Districts can prioritize institutions as per performance of needed additional trainings.
c. OOC 
OOC a total of Rs.32.08 L
c.1 Rs.5 L for  District  Level Assessment &amp; Mentoring Visit including Vehicle for field visit in Districts for Quality Program.
c.2 Rs.27.08 lakhs for assessments (National/state/NQAS, MusQan)  (1 DH, 1SDH, 1 CHC, 10 PHC, 10 SC)
d. IEC/BCC
Rs.1 L   is allotted for IEC &amp; Printing for providing                                                    Signage’s- in Approach road, departmental, directional and any other relevant facility level signage’s for Quality Assurance or printing of Quality improvement IECs boards in hospital at DH/SDH .
Districts can prioritize the needy institutions based on gap analysis. Not exceeding maximum of Rs.50,000/- per institution. 
e.Planning &amp; M&amp;E.Rs.0.79L for 
  a.    Rs.24,000/-  allotted for district towards expenses for conducting    District Quality Assurance Committee Meetings as per NQAS Operational guidelines 2021 (DQAC should be met at least once in a quarter)  and other Quality Review Meetings.
 b.   Rs.55,000/-allotted for district towards meeting Contingency &amp; Misc expenses including expenses incurred for District Level Quality Assessments.                   </t>
  </si>
  <si>
    <t xml:space="preserve">Diagnostics: Rs.31.70L 
Consumables related to implementation of infection control practices in hospital/ hospital laboratory including cost of water testing /environmental swab/sample testing, autoclave bags, indicator strips etc.
 · DH&amp;TH/THQH - @ Rs 1L for each 15DH &amp; TH 
 · CHC – Rs.40,000/- for each     23 CHC 
 · PHC- Rs.10,000/- for each  75 PHC 
 Priority should be given to the targeted institutions for NQAS.
OOC- Rs.78.22 lakhs
1 Expenses for Kayakalp Peer Assessment of institutions - Rs. 13.27L.  
•        DH Level Peer Assessment -Rs.25,000/- each for 4 DH           
•        TH/THQH &amp; CHC Hospital Peer Assessment- Rs.13,000/- each for 34 TH/THQH &amp; CHC.
•        PHC Peer Assessment - Rs.5000/- each  for 75 PHC                                                  
•        HWC-SC Peer Assessment - Rs.5000/- for  82 HWC-SC (20% of Total 410 HWC-SC)  
2 BIOMEDICAL WASTE MANAGEMENT-  Rs.30.90 L  Support for the implementation of Kayakalp                                      
•        DH-Rs.60,000/- each for  4 DH,        
•        TH/THQH-Rs.60,000/- each for 11 SDH,                                                                
•        CHC –Rs.30,000/- each for  23 CHC,                                                           
•        PHC-Rs.20,000/- each for  75 PHC.           
3 Pest Control- Rs.18.55 L 
Pest control measures has to be undertaken and done regularly at the institutions level. For implementing Pest control measures in     
•        DH – Rs.50,000/- each for 4 DH ,   
•        TH – Rs.30,000/- each for 11 TH ,                                                                     
•        CHC – Rs.25,000/- each for   23 CHC,                                                       
•        PHC –Rs.10,000/- each for   75 PHC.   
4 Support for NQAS/KASH/MusQan Implementation for the gap closure in targeted institutions  Rs.15L for District for identified target institutions on priority basis. 
5. Rs.0.50 L for District Level Award function and District Assessment.
IEC/BCC (Printing of SOPs necessary for Implementation of NQAS, Kayakalp, LaQshya, MusQan) – Total Rs.10.95L.
•        (DH/GH/W&amp;C- Rs.25,000/- each for  4 DH),
•        (TH/THQH - Rs.25,000/- each for  11 TH/THQH )
•        (CHC - Rs.15,000/- each for   23 CHC ),
•        (PHC - Rs.5,000/- each for 75 PHC) 
The SOP printing amount for the HWC-SCs under PHC  shall be given by the PHC. Out of Rs.5,000/-, Rs.3,000/- for PHC and Rs.2000/- for HWC-SC) </t>
  </si>
  <si>
    <t xml:space="preserve">3  Mobile Medical Units (MMU) / Mobile Health Units (MHU) Operational cost 
</t>
  </si>
  <si>
    <t xml:space="preserve">OOC -
Rs.15 lakhs for Call Allowance
Rs. Rs.11400/-for incentives to provider for PPIUCD services 76*150
Rs.600/- for incentives to provider for PAIUCD services 4*150
Rs.4.025 Lakhs for Incentives for updation of NVHCP MIS portal 
(Nodal officer/Pharmacist/Lab Technician)  </t>
  </si>
  <si>
    <t>FY 2024-2025
GH Ernakulam - 10.10 L
FY 2025-2026
GH Ernakulam - 18.47 L
Amount can be booked for 
1.        Procurement of instruments
2.        Conduct of CME
3.        Books and library materials
4.        Academic ambience
5.        Registration/renewal fees for accreditation
6.        Stipend for accredited seat</t>
  </si>
  <si>
    <t>FY 2024-2025
Ernakulam - 18 L (Training of Medical Officers and Nursing Officers in maternal health related skills and procurement of mannequines/equipments except Laptop)
FY 2025-2026
Ernakulam - 19.53 L (Training of Medical Officers and Nursing Officers in maternal health related skills and procurement of mannequines/equipments except Laptop)</t>
  </si>
  <si>
    <t xml:space="preserve">IEC &amp; PRINTING- 1.91L (Activity breakup details attached)
Planning and M&amp;E
10 HMIS / RCH training cum review meeting @ unit cost 10000/- at District level
2 HMIS / RCH training cum review meeting per health Block @ unit cost 10000/- 19 blocks
OOC) Rs. 35000/-  internet annual user fee for (13UPHCs )
</t>
  </si>
  <si>
    <t>HUB AND SPOKE(14 lacs)</t>
  </si>
  <si>
    <t>61.83-10.95-12</t>
  </si>
  <si>
    <t>\</t>
  </si>
  <si>
    <t xml:space="preserve">
1)Free Drugs &amp; consumables -Rs 107 lakhs for PW( 6709ND @ Rs 350 &amp; 5193 C sections @ Rs 1600) accessing Govt health facilities for delivery
2) Diagnostics -Rs 24 lakhs@ Rs 200/beneficiary for 11902 PW 
  3) Other Operating Cost(Blood transfusion &amp; Diet) - a.Diet - Rs. 56.5 lakhs @ Rs 100 for 6709ND for 3 days(6709*100*3)  and 5193 C sections for 7 days (5193*100*7)                                                                                                                                                                         
b.Blood Transfusion - Rs. 3.6lakhs @ Rs 300/PW for blood transfusion of 10% of total deliveries in govt.health facilities (10% of 11902= 1190)     </t>
  </si>
  <si>
    <t xml:space="preserve">JSSK free transport  for pick up, drop back and referral to higher institutions @Rs 500 /beneficiary for 11902 beneficiaries </t>
  </si>
  <si>
    <t>DBT                         
Rs.1.09 lakhs for mobility support to HRP women @Rs 100 for 3 visits for 363 HRPs(100*3*363 = Rs.1.07 lakhs) 
ASHA Incentives
1) e-PMSMA
a. Rs.1.07 lakhs for ASHA incentives for mobilising HRP women @Rs 100 for 3 visits for 363 HRPs(100*3*363 = Rs.1.07 lakhs)                                                                                                                      b. Rs1.82 lakhs for ASHA incentives for healthy outcome of HRP @ Rs 500/HRP for 363 HRPs (500*363 = Rs1.82 lakhs)
2) PNC visit - Rs.0.45 lakhs as ASHA incentive for healthy outcome of HRPs identified during  PNC visit (Rs.250* 182= Rs 0.45 lakhs)                                                                                                                OOC
PMSMA session sites -5, Fund to be utilised for vehicle hiring/POL/refreshments</t>
  </si>
  <si>
    <t xml:space="preserve">OOC
To conduct maternal death audit meeting @ Rs 1321/month(Rs1321*12=15852, for POL and refreshments)
Planning and M&amp;E
 MDNMSR - Rs 24000 (2000/meeting*12 meeting ) </t>
  </si>
  <si>
    <t>2024-25
1. Equipments
Color coded hand ties for mother and child identification for 2 LaQshya targeted facilities
 (3262 delivery x2noxRs.10 = 0.65 L)
2..Capacity building incl. training s for district level-LaQshya training @ Rs 0.75 L /Districts 
3.Operational Cost for District level activities -Rs 1 lakh for gap closure identified during internal/District assessment. Rs.2 lakhs for National/state assessment as per NQAS operational guidelines
2025-26
1Equipments
Color coded hand ties for mother and child identification for 2 LaQshya targeted facilities  (3574 delivery x2noxRs.10 = 0.71L)
2.Capacity building incl. training s for district level 
LaQshya training @ Rs 1L /District 
2.Operational Cost for District level activities 
Rs 1 lakh for gap closure identified during internal/District assessment.Rs.2 lakhs for National/state assessment as per NQAS operational guidelines</t>
  </si>
  <si>
    <t xml:space="preserve">
MH IEC &amp; PRINTING- 3.52L (Activity breakup details attached)
OOC: 6 RCH camps @ 15000/-= 0.9L
2025-26
Training -One batch RTI/STI training for MO @ Rs.50000/- </t>
  </si>
  <si>
    <t>IEC &amp; PRINTING- 2.50L (Activity breakup details attached)</t>
  </si>
  <si>
    <t>Equipment :-   Repair equipment for 96 existing nurses - Unit cost - Rs.2000/-
Drugs &amp; Supplies :-                                                                                                                                         
Diagnostics :-                                                                                                                                                                    
Capacity building training : -1.  RBSK Refresher training @ Rs. 50000/- per batch for 3 batches. 2. One-day orientation for MO / other staff Delivery points (RBSK training) -2 Batch training per district @ ₹21000 per batch, 3. Half-day RBSK refresher training @ Rs. 2500 x 17 = 42500/-                                                                                                             
Asha Incentives :-                                                                                                                                  
OOC :-  1. Mobility support for RBSK Mobile health team-  Incentive for RBSK nurse – Rs.1000*96*12 = Rs.11,52,000/- and 1 vehicles for MHT – Rs.48000*1*12 = Rs. 5,76,000 /- , 101 connections @ Rs.300 per month = 101*300*12 =  3,63,600.                                                                                                                                                                                                                                                     Planning &amp; M &amp; E : -  One yearly meeting at the district level involving line departments like WCD, LSGD, ICPS, ORC, Childline, BRC/ Education dept. etc @ 50000 per district. 
IEC &amp; PRINTING- 0.24 L for Printing of RBSK cards and registers and Diary @ Rs.250/- for 96 RBSK nurses</t>
  </si>
  <si>
    <t xml:space="preserve">Equipment :- Rs. 255305 lakh is recommended for essential equipment as per gap analysis. 
Drugs &amp; Supplies :- 
Diagnostics :- Approval is to purchase Consumables for functioning 
DEIC. @ Rs. 100000/-
Capacity building training : - 
 Asha Incentives :- 
OOC :- 1. Operational expenses for Rs.20000 per month for Thrissur DEIC - Rs. 2,40,000/-, 
2. Referral Support for Secondary/ Tertiary – Rs. 238.72/- Lakhs 
Planning &amp; M &amp; E : - 
IEC &amp; PRINTING- Printing cost for DEIC – Rs. 1 lakhs </t>
  </si>
  <si>
    <t xml:space="preserve">Equipment :- 
Drugs &amp; Supplies :- 
Diagnostics :- 
Capacity building training : - One day District  Level TOT training for selected 10 participants
 in each districts @ Rs.11000/-
Asha Incentives :- Incentive for HBNC, HBYC, &amp; SNCU discharge babies – Rs. 69.87 lakhs 
OOC :- 
Planning &amp; M &amp; E : - 
IEC &amp; PRINTING- </t>
  </si>
  <si>
    <t>Equipment :-    
Drugs &amp; Supplies :-                                                                                                                                         
Diagnostics :-                                                                                                                                           
 Capacity building training : - 1. NSSK Training for Medical Officers - 2 batch NSSK training Rs. 34400 x 2 = Rs.68800/-., 2. NSSK Training for Staff Nurses - 2 batch NSSK training Rs. 34400 x 2 = Rs.68800/-, 3. Trainings for Family participatory care (KMC) - Rs 50000 per district to get a  team of trained doctors and Nurses at SNCUs. Rs.50000 x 1 = Rs.50,000/- , 4. Rs. 1 lakh is approved for two batches of Musqan District level Sensitization Training @ 100000 per district, 5. MUSQAN: Health Institution level activities – 6 lakh approved for selected 3 institutions. Unit price of  1 each for gap filling &amp; Equipments approved for these 3 institutions.                                                                                                         
Asha Incentives :-                                                                                                                                  
OOC :- 1. 2 Functional SNCUs = Rs. 300000x 2 SNCU = Rs.6,00,000/-, 2. NBCC– approved @ Rs.10,000 for 8 delivery points Rs. 10000x8 Delivery point = 80,000/- , 3. Family participatory care (KMC) -Rs. 75000 x 2 SNCUs = 1,50,000/- , 4. Mother new-born Care Unit– Rs. 260000 for  MCH Thrissur.
Rs. 260000 x 1 MNCU = 2,60,000/-, 5.  Operating expenses for  4 NBSU – Rs. 4 lakhs.                                                                                                                                                                                                                                                                                    Planning &amp; M &amp; E : -   
IEC &amp; PRINTING- Rs 1 lakh per unit for 2 SNCUs</t>
  </si>
  <si>
    <t xml:space="preserve">Equipment :-    
Drugs &amp; Supplies :-                                                                                                                                         
Diagnostics :-                                                                                                                                           
Capacity building training : -  1.  Rs. 1.0 Lakhs for District level sensitization for Medical Officers, Staff nurses, JPHNs, PHNs etc,  2.  Rs. 0.50 Lakhs for One day Training  for Paediatricians and medical Officers of 40 participants on new Pneumonia management guidelines Rs 150000 * 1 = 150000/-, 3. Training of ASHAs- 80 batch x Rs.3000 = Rs. 2,40,000/-
Asha Incentives :-                                                                                                                                  
OOC :-                                                                                                                                                                                                                                                                                             Planning &amp; M &amp; E : - Rs. 20000  for Supportive Supervision of SAANS Program.  
IEC &amp; PRINTING-  1. 1 Lakh per District for  District Level Launch of SAANS Campaign, 2. Rs. 2 lakh for per district for district level  IEC /BCC Activities of SAANS Campaign., 3. Rs. 20000 for printing of SAANS Guidelines.
</t>
  </si>
  <si>
    <t>Equipment :- 
Drugs &amp; Supplies :- 
Diagnostics :- 
Capacity building training : - Rs. 1 lakh per batch for district level  ToT/ training on F-IMNCI.
Asha Incentives :- 
 OOC :- Operational Cost Pediatric HDUs – Rs. 3.0 Lakhs as Operational Cost of 2 HDUs @ Rs. 1.5 Lakh per Unit. 
Planning &amp; M &amp; E : - 
 IEC &amp; PRINTING- .</t>
  </si>
  <si>
    <t xml:space="preserve">                                                                                                                                                                                                                                                                                 Planning &amp; M &amp; E : -   District Level Review Meeting of Program including RBSK and CH @ Rs. 1.75 lakhs per District 
IEC &amp; PRINTING- Rs. 2.20 lakh for Child health IEC activities. 
 </t>
  </si>
  <si>
    <t>Training Rs.7.30 lakhs
 ASHA Incentives -Rs.85.12  lkhs for 2024-25 and Rs.84.06  for 2025-26
 OOC Rs.17.92 lakhs
 IEC &amp; PRINTING- 5 L (Activity breakup details attached in IEC annexure)
 Planning and M&amp;E Rs.4.87 lakhs
 SRRE-AEFI Rs.4.60 Lakhs</t>
  </si>
  <si>
    <t>WIFS trainings (block level), 1 batch (40 nos. ) @Rs.5000/) * No. of health blocks (TSR -17)</t>
  </si>
  <si>
    <t xml:space="preserve">a.DBT -Male sterilization -78 cases @ Rs 1500 per case.
b.Training of Medical Officers on NSV 1 batch @ Rs 34500/batch with 5 participants per batch for 5 days training </t>
  </si>
  <si>
    <t>DBT -Rs 100 per dose per beneficiary for 53 cases
ASHA Incentive- Rs 100 per dose per ASHA for 53 cases</t>
  </si>
  <si>
    <t>IEC &amp; PRINTING-  2.14 L Activity Breakup is attached
Planning &amp; M&amp;E- Rs.1 lakh for monitoring activities during World Population Day and vasectomy Fortnight at district and block level</t>
  </si>
  <si>
    <t>a.Drugs- Procurement of Self care Kit 44 kit @Rs 1000/kit-Selfcare kit should be installed in all delivery points and other appropriate facilities based on the demand and eligible couple catered by that facilty.
b. IEC &amp; PRINTING -3 L Activity Breakup attached
c. FP QAC meeting Rs 1000/meeting /quarter</t>
  </si>
  <si>
    <t>Capacity building incl. training - 1. Orientation activities on vitamin A supplementation and Anaemia Mukta Bharat Programme/ VIVA Kerala - Rs.100000 per district., 2. One day Orientation of frontline workers (ASHA/ANM) and allied department workers (Teachers/AWW) on  VIVA Kerala/ Anaemia Mukt Bharat - Rs.100000 per district.
ASHA Incentive - 1.National Iron Plus Incentive for Mobilizing WRA (non pregnant &amp; non lactating women  20-49 years) approved at Rs 50  for ASHA for one month -2329 Asha * 50 * 12 = 1397400/- , 2. National Iron Plus Incentive for Mobilizing  children  and / or ensuring compliance and reporting (6-59 months) - approved @ Rs 100 for ASHA for one month -2329 Asha * 100 *12 = 2794800/-</t>
  </si>
  <si>
    <t>Capacity building incl. training - 
Rs.7.34 lakhs for Orientation of Nodal teacher, field staff and Anganwadi workers @ Rs.50/- for  two rounds of NDD
ASHA  INCENTIVE - Rs 4.66 Lakhs for ASHA incentives for 2329 ASHAs for 
mobilizing beneficiaries for NDD round @ Rs 100 per ASHA per round
Rs.100 * 2329 * 2 round  = 4,65,800/-
IEC and printing -  IEC and printing activities for NDD @ Rs 1.5 Lakh per district per round. Rs. 1.5 lakh * 2 round = 3,00,000/-</t>
  </si>
  <si>
    <t xml:space="preserve">IEC &amp; PRINTING- 0.5L (Activity breakup details attached)
Asha Incentive - ASHA incentive under MAA programme @ Rs 100 per ASHA for quarterly mother's meeting : Rs 400 * 2329 ASHAs = 9,31,600/-
</t>
  </si>
  <si>
    <t xml:space="preserve">Diagnostics - A) Consumables, stationaries &amp; equipment maintenance for 41CLMC 
@ Rs.249000 as recurring cost.Rs.249000 x 1 CLMC  = 249000/-
B) Consumables and stationaries for proposed 1 LMU @ Rs.105000 as recurring cost. 
 Rs.105000 x 1 = 105000/-
</t>
  </si>
  <si>
    <t xml:space="preserve">1. Incentive for IDCF for prophylactic distribution of ORS to family with under-five children: Approved @ Rs 100 per ASHA for IDCF campaign for the routine activity. 2329*100 = 2,32,900					
2.  IEC &amp; Printing - Approved under IDCF @ Rs.0.75 lakh                                         </t>
  </si>
  <si>
    <t>Training Rs.7.30 lakhs
Planning and M&amp;E Rs.3.75 lakh
SRRE-Rs.1 lakh</t>
  </si>
  <si>
    <t xml:space="preserve">
Training Rs.1.50 lakhs
Equipments Rs.0.84Lakhs
OOC Rs. 3.67 lakhs
IEC &amp; Printing Rs.1.05 lakhs
Planning and M&amp;E Rs.3.10 lakh
</t>
  </si>
  <si>
    <t>Training Rs.1.50 lakhs
Equipments Rs.0.84Lakhs
OOC Rs. 3.67 lakhs
IEC &amp; Printing Rs.1.05 lakhs
Planning and M&amp;E Rs.3.10 lakh</t>
  </si>
  <si>
    <t>Training Rs.0.60 Lakhs
ASHA incentive Rs.1.50 Lakhs
OOC Rs.37.34Lakhs
IEC &amp; Printing Rs1.20 Lakh 
Planning &amp; M&amp;E Rs. 3.75 Lakh
SRRE Rs..2 Lakhs</t>
  </si>
  <si>
    <t>Training Rs.0.40 lakhs
OOC Rs.1.4800Lakhs
IEC &amp; Printing Rs.3.20 lakhs
Planning and M&amp;E -Rs. 2 Lakhs
SRRE Rs.0.90lakhs</t>
  </si>
  <si>
    <t>OOC Rs.1.4800Lakhs
IEC &amp; Printing Rs.3.20 lakhs
Planning and M&amp;E -Rs. 2 Lakhs
SRRE Rs.0.90lakhs</t>
  </si>
  <si>
    <t>Diagnostics - 0.68 L
 Approved Rs 0.68 Lakhs per district for drugs required for management of reaction and printing.
 ASHA incentives - 90.244 L
 1. Approved an amount of Rs 89.90 L as incentive for Incentive for search team (Rs 1000 per Volunteer) for each screening round/ village for LCDC
 2. Approved Rs 0.06 L as Incentive for ASHA/ AWW/ Volun-teer/ etc for detection of Leprosy (Rs 250 for detection of an early case before onset of any visible deformity, Rs 200 for detection of new case with visible deformity in hands, feet or eye)
 3. Approved Rs 0.06 L for ASHA Incentive for Treatment completion of PB cases (@ Rs 400)
 4. Approved Rs 0.024 L for ASHA Incentive for Treatment completion of MB cases (@ Rs 600)
 5. Approved 0.20 L for Any other ASHA incen-tives(Sensitisation) @ Rs 100 per ASHA
 OOC - 1.8 L:
  Approved for Case Detection and Management in urban Areas</t>
  </si>
  <si>
    <t>Equipment - 0.4 L 
 1. Procurement of other equipment: NLEP- MCR
 Approved Rs 0.28 Lakhs for MCR Chappals @ Rs 400 per unit
 2. Procurement of other equipment: NLEP- Aids/Appliance
 Approved Rs 0.12 Lakhs for Self care kit @ Rs 150 per unit 
 OOC - 1.10 L
 Approved for Early detection in camps, ulcer management, and prevention of deformity @ Rs 10000 per camp</t>
  </si>
  <si>
    <t>Capacity building incl Training - 5.495 L
 1. Approved Rs 4.495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Planning &amp; M &amp; E - 3.9585 L
 1.Office operation &amp; Maintenance, Consumables- District Cell @ Rs 0.30 Lakhs
 2. Mobility Support District cell including TA/DA of NLEP staff@ Rs 1.5 Lakh/district
 3. Approved an amount of Rs 0.899 L as POL, transport (field supervisors) for LCDC @ Rs 100/ supervisor
 5. Approved Rs 0.45 Lakhs for Logistics Rs.10/ team in connection with LCDC.
 6. Approved Rs 0.81 Lakhs for Supervision and monitoring @ Rs 3000 per block in connection with LCDC</t>
  </si>
  <si>
    <t>Capacity building incl Training - 5.495 L
 1. Approved Rs 4.495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- 3.4085 L
 1.Approved Rs 1.08 Lakhs for Advocacy/ IEC (Rs 4000/block of urban area) in connection with LCDC.
 2. Approved Rs 1.3485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- 3.9585 L
 1.Office operation &amp; Maintenance, Consumables- District Cell @ Rs 0.30 Lakhs
 2. Mobility Support District cell including TA/DA of NLEP staff@ Rs 1.5 Lakh/district
 3. Approved an amount of Rs 0.899 L as POL, transport (field supervisors) for LCDC @ Rs 100/ supervisor
 5. Approved Rs 0.45 Lakhs for Logistics Rs.10/ team in connection with LCDC.
 6. Approved Rs 0.81 Lakhs for Supervision and monitoring @ Rs 3000 per block in connection with LCDC</t>
  </si>
  <si>
    <t>73.1 – DBT – Rs. 2.95 Lakhs:- Treatment Supporter Honorarium (Rs.1000) - one-time payment on the update of the Outcome of Treatment for drug sensitive TB patients, will be release through Nikshay DBT Mode directly to the beneficiaries.
73.2 - Infrastructure - Civil - Rs 6.60 lakhs – Rs. 6.60 lakhs for minor civil works/ repairing &amp; maintenance required at  DTC, TU &amp; DMC and X-ray facilities etc based on need basis and for minor civil works., 
73.3 - Equipments - Rs. 8.40 Lakhs -  Rs. 2.50 lakhs Procurement of equipment for District levels. (DMC, X-ray and ECG, etc for NTEP) Procurement of Sleeves and drug boxes - Rs. 2.40 lakhs for Maintenance / up gradation costs for Laboratory equipment’s DMC, X-ray and ECG, etc for NTEP  - Rs. 2.50 lakhs for Procurement of office equipment and furniture for District levels. (Office Equipments)  - Rs. 1.00 lakhs for Maintenance / up gradation costs for office equipment’s (Office Equipments)
73.4 - Drugs - Rs. 3.80 Lakhs - Procurement of First line drugs, Local Procurement of first line Anti TB  drugs on need basis and Drug Transportation charges etc
73.5 - Diagnostics (Consumables, PPP, Sample Transportation) - Rs. 20.60 Lakhs - Rs. 10.60 lakhs Patient Support &amp; Sample collection and Transport , Charges for transportation of samples for diagnosis, DST, follow-up &amp; Rs. 10.00 lakhs for Procurement of Lab consumables for DMCs, Procurement of Consumables for X-rays, ECG and etc.
73.6 - Capacity building Incl. training - Rs. 6.60 Lakhs -   Rs. 4.00 lakhs for training cost (including TA/DA &amp; other course materials) for officers / staff/ TB Champions and all district staff at National level, State level and District level, Rs. 1.90 lakhs Cost for conducting CME Training in Medical Colleges, Rs. 0.70 lakhs Community Engagement Activities - Sensitization of TB survivors, sensitization of NGOs, PRIs meeting, TB survivor led activities, etc
73.8 - Others including operating costs (OOC) - Rs. 3.25 Lakhs  - Rs. 1.30 lakhs Incentives for Active Case Finding/Akshaya Keralam Campaign/TB Elimination house to house visit , Rs 10/ for every household visit &amp; Rs 500/ for every new cases identified -the unit cost shall preferably be budgeted as per household or per person screened.,  Rs. 0.20 lakhs Incentive to non-salaried person for injection prick,  Rs. 1.75 lakhs Budget for Printing of Materials..
73.10 - Planning &amp; M&amp;E - Rs. 13.00 Lakhs  - Rs. 2.50 lakhs Supervision and Monitoring (District Level) - TA/DA cost of all officer/ staff working in NTEP, review meetings, Cost of internal evaluation etc.,  Rs. 2.50 lakhs POL for existing vehicles under NTEP and mobility support for those field staff in lieu of vehicles, Rs. 1.40 lakhs Vehicle hiring cost for Districts on contract, Rs. 2.60 lakhs Govt vehicles are not available for supervision &amp; monitoring,  Rs. 0.80 lakhs Medical Colleges meetings, Rs. 2.20 lakhs Office operation includes office maintenance expenditure, stationary, communication etc. Rs. 1.00 lakhs Maintenance cost for District vehicles (including four-wheeler &amp; two wheelers)
73.11 - Surveillance, Research, Review, Evaluation (SRRE) - Rs. 0.50 Lakhs  - Support for State &amp; District level/TU/LSG TB Forums(Treatment Support Groups) functioning including meeting cost, travel support to community members attending meeting, etc.</t>
  </si>
  <si>
    <t>74.1 – DBT – Rs. 55.00 Lakhs - Nutrition support to TB patient Rs. 500 per month till the treatment is completed, by DBT for DSTB Patients for 6 months &amp; Nutrition support to TB patient Rs. 500 per month till the treatment is completed, by DBT for DRTB Patients for 12 months. The payment to be release directly to the beneficiary bank account through Nikshay DBT mode.</t>
  </si>
  <si>
    <t xml:space="preserve">75.1 – DBT – Rs. 2.16 Lakhs - Private Provider Incentives- NTEP DBT Scheme @Rs. 500/- per notification and Rs. 500/- when treatment outcome declared &amp; Incentives for first informant (20% of Public notified case will be expected to be eligible for first informant incentive).
75.8 - Others including operating costs (OOC) - Rs. 1.55 Lakhs  - Cost of existing NGO/ PP support schemes and new NGO/ PP support schemes proposed as per NTEP Public Private Partnership Guidance.
</t>
  </si>
  <si>
    <t>77.1 – DBT – Rs. 1.80 Lakhs:- Treatment Supporter Honorarium (Rs.5000), payment on the update of the Outcome of Treatment for drug resistant TB patients. will be release through Nikshay DBT Mode directly to the beneficiaries.
77.2 - Infrastructure - Civil - Rs 2.00 lakhs - minor civil works/ repairing &amp; maintenance of Nodal DRTB centre, CBNAAT, TRUNAAT sites, IRL &amp; CDST labs on need basis.
77.3 - Equipments - Rs. 2.00 Lakhs -  Procurement of equipment for District levels (DR TB Centre, C&amp; DST Lab and Molecular Diagnostics), Maintenance / up gradation costs for Laboratory equipment’s for DR TB Centre, C&amp;DST Lab and Molecular Diagnostics Equipment for NTEP
77.4 - Drugs - Rs. 1.80 Lakhs - Procurement of DRTB drugs, Local Procurement of second line drugs on need basis and Drug Transportation charges etc
77.6 - Capacity building Incl. training - Rs. 0.40 Lakhs -   Training for AIC, Cost for AIC related trainings etc.
77.11 - Surveillance, Research, Review, Evaluation (SRRE) - Rs. 0.50 Lakhs  - AIC Review Committee, Cost for Committee meeting &amp; etc.</t>
  </si>
  <si>
    <t>Approved for 600 cases @ Rs 1000 for the Assistance for consumables/ drugs/ medicines including IOL to the Govt. Hospital for Cataract surgery</t>
  </si>
  <si>
    <t>Approved for 250 cases@ Rs 2000 per case</t>
  </si>
  <si>
    <t>Approved @ Rs 1 Lakh per unit for 6 vision centers-Nalukettu, Porthussery ,Meloor, Andathode , Padiyur, Vembaloor</t>
  </si>
  <si>
    <t>Approved @ Rs 1 Lakh per unit for 1 vision center-Velookara</t>
  </si>
  <si>
    <t>1. District Level Trainings and PBS Training Rs. 3 Lakhs /each District 
 2.ASHA Incentive for CBAC Form Filling for Population Based Survey - Rs.49.35 Lakhs
 • ASHA Incentive for NCD follow-up activity: Rs. 11.33 Lakhs 
 3.Rs.4 L for IEC activities for Dist level. and Printing of referral cards at PHC @ Rs.2500/card 
 4. Planning &amp; M&amp; E Rs. 3 L/each District level for Program Management Activities</t>
  </si>
  <si>
    <t xml:space="preserve">
2. Purchase for Heat Stroke Equipment 2. District Level Training 50000 3. Greening &amp; Climate Disaster Resilient (Energy audit, non LED replacement at HCF) and Solorization. Details attached 5. Task Force meetings- 0.5 L</t>
  </si>
  <si>
    <t>NOHP- IEC &amp; PRINTING -7.25L Activity Breakup will be shared from State BCC wing
1. Fast moving dental consumables for selected Dental units 2. Conducting Dental camps(Rs 15000/One camp) 3.Observance of WOHD) -Rs 2 L/District</t>
  </si>
  <si>
    <t>OOC)  U. 13. 1. 1 Quality Assurance Assessments (State &amp; National):@ 1 L</t>
  </si>
  <si>
    <t>OOC -Rs.16.50 lakhs approved @ Rs. 250 per wellness session for one session per month for 12 months at HWCs SC and PHCs
Planning and M&amp;E 
Rs. 0.50 lakhs approved for  refresher training and review on wellness for Medical officers for PHC&amp;UPHCs. 
Rs. 1.50 lakhs approved @Rs 75000  per batch for training of MLSPs</t>
  </si>
  <si>
    <t>IEC &amp; Printing -Printing a customised book for one patient identified, Rs  17500 for 350 customized books @ Rs 50.
50 * 350 = 17500.</t>
  </si>
  <si>
    <t>OOC - Operational cost of Rs 1.00 Lakhs each  MCH Hemophilia treatment center and DDCC TSR</t>
  </si>
  <si>
    <t xml:space="preserve">               
Capacity building incl. training  - 40.74 L
Induction training to ASHA@Rs. 74750 per batch of 30 ASHA for Rs0.74 L
ASHA 10th Module training @ Rs. 1533 per one ASHA for 2329 ASHA  35.70 L
Supplementary training to ASHA - One ASHA from one institution per month @ Rs. 300 per ASHA for 119ASHA's -  4.28  L.
ASHA incentives – 601.87 L 
ASHA fixed incentive @Rs. 2000 per month for 2329 ASHAs Rs. 558.96  L 
Incentive for monthly review meeting @Rs.100 per month for 2329 ASHAs  Rs. 27.94 L
Social Security Insurance packages for ASHA - PMJJBY @ Rs.436 for 1272 ASHA of  Rs. 5.54 L , PMSBY @Rs. 20 for 1460  ASHA Rs . 2.92 L,  PMSYM @Rs.100 per month for 760 ASHAs Rs. 9.12  L . Total 17.58  L.
OOC  57.04 L
On going expenses for Ward Health Facilitation Centres @Rs. 500 per month per ward 19 wards Rs.1.14 L          
Mobile allowance to ASHA @Rs. 200 per month for Rs. 55.89 L .
IEC &amp; PRINTING- 5.329L (Activity breakup details attached)                                                     2025-26 Distrit ASHA Sammelan  Rs. 2 L
</t>
  </si>
  <si>
    <t xml:space="preserve">
ASHA Incentive – 11.65  L
Incentive to ASHA for ABHA ID creation @ Rs. 10 for 50 ABHA ID for 2329 one ASHA @ Rs. 11.64 L
OOC-1.80 L 
Incentive for TG Link Workers @ Rs. 5000 per month @ Rs. 1.80 L &amp;  for 2025-26 Incentive for TG Link Workers @ Rs. 5250 per month
IEC &amp; PRINTING- 6.35L (Activity breakup details attached)
</t>
  </si>
  <si>
    <t xml:space="preserve">a.Equipment 
A total of Rs. 12.10 L allotted for External Quality Assurance of LABS in the district at annual rates of not  more than 
•        DH-Rs.20,000/- ( 3DH), 
•        TH-Rs.20,000/-(6 TH/THQH), 
•        CHC-Rs.10,000/-(24 CHC), 
•        PHC-Rs.10,000/-(79 PHC)  .
EQAS Priority should be given to the targeted institutions for NQAS.
b .Capacity building including training
A total of Rs. 14.40 L allotted for the following expenses
b.1. NQAS District Level Training -      An amount of Rs.1.66 Lakhs  is allotted for NQAS district level training of prioritized/targeted institutions for NQAS in the district. The training shall be given as team training to staffs of the targeted institutions. (Rs.83,000* 2 days ) .As per the Quality training norms NQAS operational guideline 2021 page no 101.
b.2 Kayakalp refresher training   -A total of  Rs.12.74 L allotted for the following - 
b.2.1 District Level Trainings under Kayakalp Rs.54,000/- for District Level refresher trainings/ Internal Assessor workshop under Kayakalp.
Peer assessment awareness cum Internal/District Assessor workshop shall be provided to district Kayakalp inspection team.
b.2.2 Facility Level Kayakalp Training on "Swachh Bharat Abhiyan“- Rs. 12.20 L.  Facility Level Kayakalp Training on "Swachh Bharat Abhiyan“ –Kayakalp  Institutional training  for  each institutions 
•        DH- Rs.20,000/- (3DH)  
•        TH/THQH and CHC Rs.15,000/- (30TH/THQH &amp; CHC) ,
•        PHCs -Rs.6000/- (79 PHC) , 
•        HWC-SC Rs.500/- (  471 HWC-SC) 
Districts can prioritize institutions as per performance of needed additional trainings.
c. OOC
OOC a total of Rs. 32.08L
c.1 Rs.5 L for  District  Level Assessment &amp; Mentoring Visit including Vehicle for field visit in Districts for Quality Program.
c.2 Rs.27.08 lakhs for assessments (National/state/NQAS, MusQan)  (1 DH, 1SDH, 1 CHC, 10 PHC, 10 SC)
d. IEC/BCC
Rs.1 L   is allotted for IEC &amp; Printing for providing                                                    Signage’s- in Approach road, departmental, directional and any other relevant facility level signage’s for Quality Assurance or printing of Quality improvement IECs boards in hospital at DH/SDH .
Districts can prioritize the needy institutions based on gap analysis. Not exceeding maximum of Rs.50,000/- per institution. 
e.Planning &amp; M&amp;E.Rs.0.79L for 
  a.    Rs.24,000/-  allotted for district towards expenses for conducting    District Quality Assurance Committee Meetings as per NQAS Operational guidelines 2021 (DQAC should be met at least once in a quarter)  and other Quality Review Meetings.
 b.   Rs.55,000/-allotted for district towards meeting Contingency &amp; Misc expenses including expenses incurred for District Level Quality Assessments.                   </t>
  </si>
  <si>
    <t xml:space="preserve">Diagnostics: Rs. 26.50 L 
Consumables related to implementation of infection control practices in hospital/ hospital laboratory including cost of water testing /environmental swab/sample testing, autoclave bags, indicator strips etc.
 · DH&amp;TH/THQH - @ Rs 1L for each   9  DH &amp; TH 
 · CHC – Rs.40,000/- for each 24 CHC 
 · PHC- Rs.10,000/- for each 79 PHC 
 Priority should be given to the targeted institutions for NQAS.
OOC-    74.40 lakhs
1 Expenses for Kayakalp Peer Assessment of institutions - Rs.13.30L.  
•        DH Level Peer Assessment -Rs.25,000/- each for 3 DH           
•        TH/THQH &amp; CHC Hospital Peer Assessment- Rs.13,000/- each for 30 TH/THQH &amp; CHC.
•        PHC Peer Assessment - Rs.5000/- each  for 79 PHC                                                  
•        HWC-SC Peer Assessment - Rs.5000/- for 94 HWC-SC (20% of Total 471   HWC-SC)  
2 BIOMEDICAL WASTE MANAGEMENT- Rs.28.40L  Support for the implementation of Kayakalp                                      
•        DH-Rs.60,000/- each for  3 DH,        
•        TH/THQH-Rs.60,000/- each for 6 SDH,                                                                
•        CHC –Rs.30,000/- each for  24 CHC,                                                           
•        PHC-Rs.20,000/- each for  79 PHC.           
3 Pest Control- Rs. 17.20   L 
Pest control measures has to be undertaken and done regularly at the institutions level. For implementing Pest control measures in     
•        DH – Rs.50,000/- each for 3 DH ,   
•        TH – Rs.30,000/- each for 6 TH ,                                                                     
•        CHC – Rs.25,000/- each for  24  CHC,                                                       
•        PHC –Rs.10,000/- each for  79  PHC.   
4 Support for NQAS/KASH/MusQan Implementation for the gap closure in targeted institutions  Rs.15L for District for identified target institutions on priority basis. 
5. Rs.0.50 L for District Level Award function and District Assessment.
IEC/BCC (Printing of SOPs necessary for Implementation of NQAS, Kayakalp, LaQshya, MusQan) – Total  Rs.9.80  L.
•        (DH/GH/W&amp;C- Rs.25,000/- each for 3  DH),
•        (TH/THQH - Rs.25,000/- each for  6 TH/THQH )
•        (CHC - Rs.15,000/- each for   24 CHC ),
•        (PHC - Rs.5,000/- each for 79 PHC) 
The SOP printing amount for the HWC-SCs under PHC  shall be given by the PHC. Out of Rs.5,000/-, Rs.3,000/- for PHC and Rs.2000/- for HWC-SC) </t>
  </si>
  <si>
    <t xml:space="preserve">one  Mobile Medical Units (MMU) / Mobile Health Units (MHU) Operational cost of @ Rs.25000/- </t>
  </si>
  <si>
    <t xml:space="preserve">OOC -
Rs.7.50 lakhs for Call Allowance
Rs. Rs.12300/-for incentives to provider for PPIUCD services 82*150
Rs.450/- for incentives to provider for PAIUCD services 3*150
Rs.4.025 Lakhs for Incentives for updation of NVHCP MIS portal 
(Nodal officer/Pharmacist/Lab Technician)  </t>
  </si>
  <si>
    <t xml:space="preserve">IEC &amp; PRINTING- 2.02L (Activity breakup details attached)
Planning and M&amp;E
10 HMIS / RCH training cum review meeting @ unit cost 10000/- at District level
2 HMIS / RCH training cum review meeting per health Block @ unit cost 10000/- 17 blocks
OOC) Rs. 35000/-  internet annual user fee for ( 7UPHCs implemented ehealth)
</t>
  </si>
  <si>
    <t xml:space="preserve">
1)DBT- Rs.48.99 lakhs( R-5556  xRs.700 + U-1659 xRs.600 + H-29*Rs 500)
2) Asha incentive - Rs39.97 lakhs( Rural@Rs 600 &amp; Urban@Rs 400)  
3)  Planning &amp; M&amp; E - Rs.1.96lakhs (For Administarive exp- @4% of DBT given)</t>
  </si>
  <si>
    <t xml:space="preserve">
1)Free Drugs &amp; consumables -Rs 63.2 lakhs for PW (4181ND @ Rs 350 &amp; 3034 C sections @ Rs 1600) accessing Govt health facilities for delivery
2) Diagnostics -Rs 14.4 lakhs@ Rs 200/beneficiary for 7215 PW 
  3) Other Operating Cost (Blood transfusion &amp; Diet) - a.Diet - Rs. 34 lakhs @ Rs 100 for 4181ND for 3 days(4181*100*3)  and 3034 C sections for 7 days (3034*100*7)                                                                                                                                                                         
b.Blood Transfusion - Rs. 2.2lakhs @ Rs 300/PW for blood transfusion of 10% of total deliveries in govt.health facilities (10% of 7215= 721)     </t>
  </si>
  <si>
    <t xml:space="preserve">JSSK free transport  for pick up, drop back and referral to higher institutions @Rs 500 /beneficiary for 7215 beneficiaries </t>
  </si>
  <si>
    <t>DBT
 Rs.0.93 lakhs for mobility support to HRP women @Rs 100 for 3 visits for 309 HRPs(100*3*309 = Rs.0.93 lakhs)  
ASHA Incentives
1) e-PMSMA
a. Rs.0.93 lakhs for ASHA incentives for mobilising HRP women @Rs 100 for 3 visits for 309 HRPs(100*3*309 = Rs.0.93 lakhs)                                                                                                                      b. Rs1.54 lakhs for ASHA incentives for healthy outcome of HRP @ Rs 500/HRP for 309 HRPs (500*309 = Rs1.54 lakhs)
2) PNC visit - Rs.0.39 lakhs as ASHA incentive for healthy outcome of HRPs identified during  PNC visit (Rs.250* 154= Rs 0.39 lakhs)                                                                                                               OOC
PMSMA session sites -4, Fund to be utilised for vehicle hiring/POL/refreshments</t>
  </si>
  <si>
    <t xml:space="preserve">IEC &amp; PRINTING- 2.35L (Activity breakup details attached)
Branding of 47 SUMAN certified facilities @ Rs.5000/- per facility
Planning and M&amp;E
Rs 10000 for conducting district level meeting(2 meetings in a year). This may be utlised for conducting DQAC meeting </t>
  </si>
  <si>
    <t>Prevention of Preventable Maternal Deaths-50000/batch -Total 4 batch One batch 35 participants (Rs 50000*4=Rs 200000)</t>
  </si>
  <si>
    <t>2024-25 
1.Equipments
Color coded hand ties for mother and child identification for 3 LaQshya targeted facilities
 (5747 delivery x2noxRs.10 = 1.15L )
2.Capacity building incl. training s for district level -LaQshya training @ Rs 0.75 L /Districts 
3.Operational Cost for District level activities -Rs 1 lakh for gap closure identified during internal/District assessment. Rs.2 lakhs for National/state assessment as per NQAS operational guidelines
2025-26
1Equipments
Color coded hand ties for mother and child identification for 3 LaQshya targeted facilities  (6297 delivery x2noxRs.10 = 1.26 L)
2.Capacity building incl. training s for district level 
LaQshya training @ Rs 1L /District 
2.Operational Cost for District level activities 
Rs 1 lakh for gap closure identified during internal/District assessment.Rs.2 lakhs for National/state assessment as per NQAS operational guidelines</t>
  </si>
  <si>
    <t xml:space="preserve">MH- IEC &amp; PRINTING -2.86L (Activity breakup details attached)
OOC: 15 RCH camps @ 15000/-= 2.25 L
2025-26
Training -One batch RTI/STI training for MO @ Rs.50000/- </t>
  </si>
  <si>
    <t>IEC &amp; PRINTING- 0.35L (Activity breakup details attached)</t>
  </si>
  <si>
    <t>Equipment :-   Repair equipment for 114 existing nurses - Unit cost - Rs.2000/-
Drugs &amp; Supplies :-                                                                                                                                         
Diagnostics :-                                                                                                                                                                    
Capacity building training : -1.  RBSK Refresher training @ Rs. 50000/- per batch for 3 batches. 2. One-day orientation for MO / other staff Delivery points (RBSK training) -2 Batch training per district @ ₹21000 per batch, 3. Half-day RBSK refresher training @ Rs. 2500 x 14 = 35000/--                                                                                                             
Asha Incentives :-                                                                                                                                  
OOC :-  1. Mobility support for RBSK Mobile health team-  Incentive for RBSK nurse – Rs.1000*114*12 = Rs.13,68,000/- and 2 vehicles for MHT – Rs.48000*2*12 = Rs. 11,52,000 /- , 118 connections @ Rs.300 per month = 118*300*12 =  4,24,800.                                                                                                                                                                                                                                                     Planning &amp; M &amp; E : -  One yearly meeting at the district level involving line departments like WCD, LSGD, ICPS, ORC, Childline, BRC/ Education dept. etc @ 50000 per district. 
IEC &amp; PRINTING- 0.285 L for Printing of RBSK cards and registers and Diary @ Rs.250/- for 114 RBSK nurses</t>
  </si>
  <si>
    <t xml:space="preserve">Equipment :-Rs. 681993 lakh is recommended for essential equipment as per gap analysis.
Drugs &amp; Supplies :- 
Diagnostics :- Approval is to purchase Consumables for functioning 
DEIC. @ Rs. 100000/-
Capacity building training : - 
 Asha Incentives :- 
OOC :- 1. Operational expenses for Rs.10000 per month for Palakkad DEIC. Total amount  = Rs. 1,20,000/-, 
2. Referral Support for Secondary/ Tertiary – Rs. 143.93/- Lakhs  
Planning &amp; M &amp; E : - 
IEC &amp; PRINTING- Printing cost for DEIC – Rs. 1 lakhs </t>
  </si>
  <si>
    <t xml:space="preserve">Equipment :- 
Drugs &amp; Supplies :- 
Diagnostics :- 
Capacity building training : - One day District  Level TOT training for selected 10 participants
 in each districts @ Rs.11000/-
Asha Incentives :- Incentive for HBNC, HBYC, &amp; SNCU discharge babies – Rs. 70.05 lakhs 
OOC :- 
Planning &amp; M &amp; E : - 
IEC &amp; PRINTING- </t>
  </si>
  <si>
    <t>Equipment :-    
Drugs &amp; Supplies :-                                                                                                                                         
Diagnostics :-                                                                                                                                           
 Capacity building training : - 1. NSSK Training for Medical Officers - 2 batch NSSK training Rs. 34400 x 2 = Rs.68800/-., 2. NSSK Training for Staff Nurses - 2 batch NSSK training Rs. 34400 x 2 = Rs.68800/-, 3. Trainings for Family participatory care (KMC) - Rs 50000 per district to get a  team of trained doctors and Nurses at SNCUs. Rs.50000 x 1 = Rs.50,000/- , 4. Rs. 1 lakh is approved for two batches of Musqan District level Sensitization Training @ 100000 per district, 5. MUSQAN: Health Institution level activities – 4 lakh approved for selected 2 institutions. Unit price of  1 each for gap filling &amp; Equipments approved for these 2 institutions. .                                                                                                         
Asha Incentives :-                                                                                                                                  
OOC :- 1. 2 Functional SNCUs = Rs. 300000x 2 SNCU = Rs.6,00,000/-, 2. NBCC– approved @ Rs.10,000 for 7 delivery points Rs. 10000x7Delivery point = 70,000/- , 3. Family participatory care (KMC) -Rs. 75000 x 2 SNCUs = 1,50,000/- , 4.  Operating expenses for  4 NBSU – Rs. 4 lakhs.                                                                                                                                                                                                                                                                                    Planning &amp; M &amp; E : -   
IEC &amp; PRINTING- Rs 1 lakh per unit for 2 SNCUs</t>
  </si>
  <si>
    <t>Equipment :- 
Drugs &amp; Supplies :- 
Diagnostics :- 
Capacity building training : - Rs. 1 lakh per batch for district level  ToT/ training on F-IMNCI.
Asha Incentives :- 
 OOC :- Operational Cost Pediatric HDUs – Rs. 6.0 Lakhs as Operational Cost of 4 HDUs @ Rs. 1.5 Lakh per Unit.
Planning &amp; M &amp; E : - 
 IEC &amp; PRINTING- .</t>
  </si>
  <si>
    <t xml:space="preserve">                                                                                                                                                                                                                                                                                 Planning &amp; M &amp; E : -   District Level Review Meeting of Program including RBSK and CH @ Rs. 1.75 lakhs per District 
IEC &amp; PRINTING- Rs. 2.70 lakh for Child health IEC activities. 
 </t>
  </si>
  <si>
    <t>Training Rs.7.33 lakhs
 ASHA Incentives -Rs.90.93  lkhs for 2024-25 and Rs.90.09  for 2025-26
 OOC Rs.16.74 lakhs
 IEC &amp; PRINTING- 1.5 L (Activity breakup details attached in IEC annexure)
 Planning and M&amp;E Rs.4.75 lakhs
 SRRE-AEFI Rs.4.39 Lakhs</t>
  </si>
  <si>
    <t>WIFS trainings (block level), 1 batch (40 nos. ) @Rs.5000/) * No. of health blocks (PKD-14)</t>
  </si>
  <si>
    <t xml:space="preserve">a.DBT -Male sterilization -14 cases @ Rs 1500 per case.
b.Training of Medical Officers on NSV 1 batch @ Rs 34500/batch with 5 participants per batch for 5 days training </t>
  </si>
  <si>
    <t>DBT -Rs 100 per dose per beneficiary for 179 cases
ASHA Incentive- Rs 100 per dose per ASHA for 179 cases</t>
  </si>
  <si>
    <t xml:space="preserve">DBT - for FPIS @ Rs 30000 as compensation for each failure of sterilization for 11 cases </t>
  </si>
  <si>
    <t>a.Drugs- Procurement of Self care Kit 38 kit @Rs 1000/kit-Selfcare kit should be installed in all delivery points and other appropriate facilities based on the demand and eligible couple catered by that facilty.
b. IEC &amp; PRINTING -1.50 L Activity Breakup attached
c. FP QAC meeting Rs 1000/meeting /quarter</t>
  </si>
  <si>
    <t>Capacity building incl. training - 1. Orientation activities on vitamin A supplementation and Anaemia Mukta Bharat Programme/ VIVA Kerala - Rs.100000 per district., 2. One day Orientation of frontline workers (ASHA/ANM) and allied department workers (Teachers/AWW) on  VIVA Kerala/ Anaemia Mukt Bharat - Rs.100000 per district.
ASHA Incentive - 1.National Iron Plus Incentive for Mobilizing WRA (non pregnant &amp; non lactating women  20-49 years) approved at Rs 50  for ASHA for one month -2335 Asha * 50 * 12 = 1401000/-- , 2. National Iron Plus Incentive for Mobilizing  children  and / or ensuring compliance and reporting (6-59 months) - approved @ Rs 100 for ASHA for one month -2335 Asha * 100 *12 = 1401000/-</t>
  </si>
  <si>
    <t>Capacity building incl. training - 
Rs.7.00 lakhs for Orientation of Nodal teacher, field staff and Anganwadi workers @ Rs.50/- for  two rounds of NDD
ASHA  INCENTIVE - Rs 4.67 Lakhs for ASHA incentives for 2335 ASHAs for mobilizing beneficiaries for NDD round @ Rs 100 per ASHA per round
Rs.100 * 2335 * 2 round  = 4,67,000/-
IEC and printing -  IEC and printing activities for NDD @ Rs 1.5 Lakh per district per round. Rs. 1.5 lakh * 2 round = 3,00,000/-</t>
  </si>
  <si>
    <t>ASHA Incentive - Rs 0.225 Lakhs for ASHA incentives for referral of SAM cases to NRC 
and for follow-up on discharge for 150 SAM cases @ Rs 300 per SAM case
OOC- Operating expenses for 3 NRCs - 1.5 lakh for each NRC at Palakkad.  Nutrition Rehabilitation Centers (NRC) are established in Health Facilities to provide appropriate and facility-based case management to children with SAM for all under 5 children. The guidelines are available in operational guidelines for making expenditures
Rs. 1.5 x 3 NRC = 4,50,000/-</t>
  </si>
  <si>
    <t>IEC &amp; PRINTING- 0.5L (Activity breakup details attached)
Asha Incentive - ASHA incentive under MAA programme @ Rs 100 per ASHA for quarterly mother's meeting : 
Rs 400 * 2335 ASHAs = 9,34,000/-</t>
  </si>
  <si>
    <t xml:space="preserve">Diagnostics - Consumables and stationaries for proposed 2 LMU @ Rs.105000 as recurring cost.
 Rs.105000 x 2 = Rs.2,10,000/-
</t>
  </si>
  <si>
    <t xml:space="preserve">1. Incentive for IDCF for prophylactic distribution of ORS to family with under-five children: Approved @ Rs 100 per ASHA for IDCF campaign for the routine activity. 2335*100 = 2,33,500					                                     
2.  IEC &amp; Printing - Approved under IDCF @ Rs.0.75 lakh                                         </t>
  </si>
  <si>
    <t>Training Rs.6.80  lakhs
Planning and M&amp;E Rs.3.75 lakh
SRRE-Rs.1 lakh</t>
  </si>
  <si>
    <t>Training Rs.1.50 lakhs
Equipments Rs.0.84Lakhs
OOC Rs. 2.48 lakhs
IEC &amp; Printing Rs.1.30 lakhs
Planning and M&amp;E Rs.3 lakh</t>
  </si>
  <si>
    <t>Training Rs.0.40 Lakhs
ASHA incentive Rs.1.25 Lakhs
OOC Rs.37.34Lakhs
IEC &amp; Printing Rs.1.00 Lakh 
Planning &amp; M&amp;E Rs. 3.50 Lakh
SRRE Rs..2 Lakhs</t>
  </si>
  <si>
    <t>Capacity building including Training Rs. 2.40L
OOC Rs.6.258Lakhs
IEC &amp; Printing Rs.4 lakhs
Planning and M&amp;E -Rs. 4 Lakhs
SRRE Rs.19.25 Llakhs</t>
  </si>
  <si>
    <t>Diagnostics - 0.68 L
 Approved Rs 0.68 Lakhs per district for drugs required for management of reaction and printing.
 ASHA incentives - 77.12 L
 1. Approved an amount of Rs 76.56 L as incentive for Incentive for search team (Rs 1000 per Volunteer) for each screening round/ village for LCDC
 2. Approved Rs 0.10 L as Incentive for ASHA/ AWW/ Volunteer/ etc for detection of Leprosy (Rs 250 for detection of an early case before onset of any visible deformity, Rs 200 for detection of new case with visible deformity in hands, feet or eye)
 3. Approved Rs 0.08 L for ASHA Incentive for Treatment com-pletion of PB cases (@ Rs 400)
 4. Approved Rs 0.18 L for ASHA Incentive for Treatment completion of MB cases (@ Rs 600)
 5. Approved 0.20 L for Any other ASHA incentives(Sensitisation) @ Rs 100 per ASHA
 OOC - 1.4 L: 
 Approved for Case Detection and Management in urban Areas</t>
  </si>
  <si>
    <t>Equipment - 0.58 L 
 1. Procurement of other equipment: NLEP- MCR
 Approved Rs 0.4 Lakhs for MCR Chappals @ Rs 400 per unit
 2. Procurement of other equipment: NLEP- Aids/Appliance
 Approved Rs 0.18 Lakhs for Self care kit @ Rs 150 per unit 
 OOC - 1.10 L
 Approved for Early detection in camps, ulcer management, and prevention of deformity @ Rs 10000 per camp</t>
  </si>
  <si>
    <t>Capacity building incl Training - 4.828 L
 1. Approved Rs 3. 828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Planning &amp; M &amp; E - 3.5058 L
 1.Office operation &amp; Maintenance, Consumables- District Cell @ Rs 0.30 Lakhs
 2. Mobility Support District cell including TA/DA of NLEP staff@ Rs 1.5 Lakh/district
 3.Approved an amount of Rs 0.753 L as POL, transport (field supervisors) for LCDC @ Rs 100/ supervisor
 4. Approved Rs 0.3828 Lakhs for Logistics Rs.10/ team in connection with LCDC.
 5. Approved Rs 0.57 Lakhs for Supervision and monitoring @ Rs 3000 per block in connection with LCDC</t>
  </si>
  <si>
    <t>Capacity building incl Training - 4.828 L
 1. Approved Rs 3. 828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- 2.888 L
 1.Approved Rs 0.76 Lakhs for Advocacy/ IEC (Rs 4000/block of urban area) in connection with LCDC.
 2. Approved Rs 1.1484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- 3.5058 L
 1.Office operation &amp; Maintenance, Consumables- District Cell @ Rs 0.30 Lakhs
 2. Mobility Support District cell including TA/DA of NLEP staff@ Rs 1.5 Lakh/district
 3.Approved an amount of Rs 0.753 L as POL, transport (field supervisors) for LCDC @ Rs 100/ supervisor
 4. Approved Rs 0.3828 Lakhs for Logistics Rs.10/ team in connection with LCDC.
 5. Approved Rs 0.57 Lakhs for Supervision and monitoring @ Rs 3000 per block in connection with LCDC</t>
  </si>
  <si>
    <t>73.1 – DBT – Rs. 2.39 Lakhs:- Treatment Supporter Honorarium (Rs.1000) - one-time payment on the update of the Outcome of Treatment for drug sensitive TB patients, will be release through Nikshay DBT Mode directly to the beneficiaries.
73.2 - Infrastructure - Civil - Rs 5.00 lakhs – Rs. 5.00 lakhs for minor civil works/ repairing &amp; maintenance required at  DTC, TU &amp; DMC and X-ray facilities etc based on need basis and for minor civil works., 
73.3 - Equipments - Rs. 8.40 Lakhs -  Rs. 2.50 lakhs Procurement of equipment for District levels. (DMC, X-ray and ECG, etc for NTEP) Procurement of Sleeves and drug boxes - Rs. 2.40 lakhs for Maintenance / up gradation costs for Laboratory equipment’s DMC, X-ray and ECG, etc for NTEP  - Rs. 2.50 lakhs for Procurement of office equipment and furniture for District levels. (Office Equipments)  - Rs. 1.00 lakhs for Maintenance / up gradation costs for office equipment’s (Office Equipments)
73.4 - Drugs - Rs. 4.00 Lakhs - Procurement of First line drugs, Local Procurement of first line Anti TB  drugs on need basis and Drug Transportation charges etc
73.5 - Diagnostics (Consumables, PPP, Sample Transportation) - Rs. 10.00 Lakhs - Rs. 3.00 lakhs Patient Support &amp; Sample collection and Transport , Charges for transportation of samples for diagnosis, DST, follow-up &amp; Rs. 7.00 lakhs for Procurement of Lab consumables for DMCs, Procurement of Consumables for X-rays, ECG and etc.
73.6 - Capacity building Incl. training - Rs. 4.50 Lakhs -   Rs. 2.50 lakhs for training cost (including TA/DA &amp; other course materials) for officers / staff/ TB Champions and all district staff at National level, State level and District level, Rs. 1.40 lakhs Cost for conducting CME Training in Medical Colleges, Rs. 0.60 lakhs Community Engagement Activities - Sensitization of TB survivors, sensitization of NGOs, PRIs meeting, TB survivor led activities, etc
73.8 - Others including operating costs (OOC) - Rs. 3.00 Lakhs  - Rs. 1.60 lakhs Incentives for Active Case Finding/Akshaya Keralam Campaign/TB Elimination house to house visit , Rs 10/ for every household visit &amp; Rs 500/ for every new cases identified -the unit cost shall preferably be budgeted as per household or per person screened.,  Rs. 0.30 lakhs Incentive to non-salaried person for injection prick,  Rs. 1.10 lakhs Budget for Printing of Materials..
73.10 - Planning &amp; M&amp;E - Rs. 13.30 Lakhs  - Rs. 4.00 lakhs Supervision and Monitoring (District Level) - TA/DA cost of all officer/ staff working in NTEP, review meetings, Cost of internal evaluation etc.,  Rs. 1.50 lakhs POL for existing vehicles under NTEP and mobility support for those field staff in lieu of vehicles, Rs. 1.50 lakhs Vehicle hiring cost for Districts on contract, Rs. 1.00 lakhs Medical Colleges meetings, Rs. 4.50 lakhs Office operation includes office maintenance expenditure, stationary, communication etc. Rs. 0.80 lakhs Maintenance cost for District vehicles (including four-wheeler &amp; two wheelers)
73.11 - Surveillance, Research, Review, Evaluation (SRRE) - Rs. 0.50 Lakhs  - Support for State &amp; District level/TU/LSG TB Forums(Treatment Support Groups) functioning including meeting cost, travel support to community members attending meeting, etc.</t>
  </si>
  <si>
    <t xml:space="preserve">75.1 – DBT – Rs. 1.47 Lakhs - Private Provider Incentives- NTEP DBT Scheme @Rs. 500/- per notification and Rs. 500/- when treatment outcome declared &amp; Incentives for first informant (20% of Public notified case will be expected to be eligible for first informant incentive).
75.8 - Others including operating costs (OOC) - Rs. 1.10 Lakhs  - Cost of existing NGO/ PP support schemes and new NGO/ PP support schemes proposed as per NTEP Public Private Partnership Guidance.
</t>
  </si>
  <si>
    <t>76.5 - LTBI Diagnostics (Consumables, PPP, Sample Transportation) - Rs. 1.00 lakhs - Screening, referral linkages and follow-up under Latent TB Infection Management ,Cost for screening of LTBI such as incentives, sample collection &amp; transport, etc activities pertaining to LTBI.</t>
  </si>
  <si>
    <t xml:space="preserve">77.1 – DBT – Rs. 1.85 Lakhs:- Treatment Supporter Honorarium (Rs.5000), payment on the update of the Outcome of Treatment for drug resistant TB patients. will be release through Nikshay DBT Mode directly to the beneficiaries.
77.2 - Infrastructure - Civil - Rs 1.00 lakhs - minor civil works/ repairing &amp; maintenance of Nodal DRTB centre, CBNAAT, TRUNAAT sites, IRL &amp; CDST labs on need basis.
77.3 - Equipments - Rs. 2.00 Lakhs -  Procurement of equipment for District levels (DR TB Centre, C&amp; DST Lab and Molecular Diagnostics), Maintenance / up gradation costs for Laboratory equipment’s for DR TB Centre, C&amp;DST Lab and Molecular Diagnostics Equipment for NTEP
77.4 - Drugs - Rs. 1.00 Lakhs - Procurement of DRTB drugs, Local Procurement of second line drugs on need basis and Drug Transportation charges etc
77.6 - Capacity building Incl. training - Rs. 0.40 Lakhs -   Training for AIC, Cost for AIC related trainings etc.
77.11 - Surveillance, Research, Review, Evaluation (SRRE) - Rs. 0.30 Lakhs  - AIC Review Committee, Cost for Committee meeting &amp; etc.
</t>
  </si>
  <si>
    <t>Approved for 700 cases @ Rs 1000 for the Assistance for consumables/ drugs/ medicines including IOL to the Govt. Hospital for Cataract surgery.</t>
  </si>
  <si>
    <t>Approved for 2000 cases@ Rs 2000 per case</t>
  </si>
  <si>
    <t>Approved for 25 pair@ Rs 2000 per pair</t>
  </si>
  <si>
    <t>Approved @ Rs 1 Lakh per unit for 9 vision centers- Karakurissi, Kanjirapuzha, Ayillur, Thrikaderi, Pattithara, Kumbidi, Kottayi, Nellayamapthi, Elumbullassery</t>
  </si>
  <si>
    <t>1. District Level Trainings and PBS Training Rs. 3 Lakhs /each District 
 2.ASHA Incentive for CBAC Form Filling for Population Based Survey - Rs.46.95 Lakhs
 • ASHA Incentive for NCD follow-up activity: Rs. 11.33 Lakhs 
 3.Rs.4 L for IEC activities for Dist level. and Printing of referral cards at PHC @ Rs.2500/card 
 4. Planning &amp; M&amp; E Rs. 3 L/each District level for Program Management Activities</t>
  </si>
  <si>
    <t xml:space="preserve">1. Drugs &amp; Supplies Rs.1 lakh (Purchase for Mediciens) 2. Rs.1.68Lakhs Diagnostics and Consumables (Ion Electrode, Laboratory Equipments (Pipettes, Sample Containers) and Lab Reagents (Fluoride standard and Buffer Solution-TISAB 4. Planning and M&amp;E - 1.6 lakh - 0.6 lakh for coordination meeting and Rs.1 lakh for travel cost.
</t>
  </si>
  <si>
    <t xml:space="preserve"> UHNDs /month/ANM @ Rs. 250.00    Mobility support for ANM@ Rs. 500/- 
</t>
  </si>
  <si>
    <t>OOC -Rs.17.40 lakhs approved @ Rs. 250 per wellness session for one session per month for 12 months at HWCs SC and PHCs
Planning and M&amp;E 
Rs. 0.50 lakhs approved for  refresher training and review on wellness for Medical officers for PHC&amp;UPHCs. 
Rs. 2.25 lakhs approved @Rs 75000  per batch for training of MLSPs</t>
  </si>
  <si>
    <t>IEC &amp; Printing -Printing a customised book for one patient identified, Rs  12500 for 250 customized books @ Rs 50.
50 * 250 = 12500.</t>
  </si>
  <si>
    <t xml:space="preserve">Rs. 21750/- for Block level training for maximum 50 participants for 1 batch training for sickle cell. 					</t>
  </si>
  <si>
    <t>OOC - Operational cost of Rs 1.00 Lakhs -for DDCC</t>
  </si>
  <si>
    <t>Capacity building incl. training  - 40.40 L
Induction training to ASHA@Rs. 74750 per batch of 30 ASHA for Rs.0. 74 L
ASHA 10th Module training @ Rs. 1533 per one ASHA for 2335 ASHA  35.79 L
Supplementary training to ASHA - One ASHA from one institution per month @ Rs. 300 per ASHA for 107ASHA's -  3.85  L.
ASHA incentives – 603.80 L 
ASHA fixed incentive @Rs. 2000 per month for 2335 ASHAs Rs. 560.40  L 
Incentive for monthly review meeting @Rs.100 per month for 2335 ASHAs  Rs. 28.02 L
Social Security Insurance packages for ASHA - PMJJBY @ Rs.436 for 1230 ASHA of  Rs. 5.36 L , PMSBY @Rs. 20 for 1389 ASHA Rs . 2.77  L,  PMSYM @Rs.100 per month for 812  ASHAs Rs. 9.74  L . Total  17.87  L.
OOC  56.88 L
 On going expenses for Ward Health Facilitation Centres @Rs. 500 per month per ward 14 wards Rs.0.84 L          
Mobile allowance to ASHA @Rs. 200 per month for Rs. 56.04 L .
IEC &amp; PRINTING- 5.335L (Activity breakup details attached)                                                                             2025-26 Distrit ASHA Sammelan  Rs. 2 L</t>
  </si>
  <si>
    <t xml:space="preserve">
ASHA Incentive – 11.68  L
Incentive to ASHA for ABHA ID creation @ Rs. 10 for 50 ABHA ID for 2335 one ASHA @ Rs. 11.67 L
IEC &amp; PRINTING- 1L (Activity breakup details attached)</t>
  </si>
  <si>
    <t xml:space="preserve">a.Equipment 
A total of Rs.  11.10 L allotted for External Quality Assurance of LABS in the district at annual rates of not  more than 
•        DH-Rs.20,000/- (2 DH), 
•        TH-Rs.20,000/-( 6TH/THQH), 
•        CHC-Rs.10,000/-(19 CHC), 
•        PHC-Rs.10,000/-( 76PHC)  .
EQAS Priority should be given to the targeted institutions for NQAS.
b .Capacity building including training
A total of Rs. 13.43  L allotted for the following expenses
b.1. NQAS District Level Training -      An amount of Rs.1.66    Lakhs  is allotted for NQAS district level training of prioritized/targeted institutions for NQAS in the district. The training shall be given as team training to staffs of the targeted institutions. (Rs.83,000* 2 days ) .As per the Quality training norms NQAS operational guideline 2021 page no 101.
b.2 Kayakalp refresher training   -A total of  Rs. 11.77   L allotted for the following - 
b.2.1 District Level Trainings under Kayakalp Rs.54,000/- for District Level refresher trainings/ Internal Assessor workshop under Kayakalp.
Peer assessment awareness cum Internal/District Assessor workshop shall be provided to district Kayakalp inspection team.
b.2.2 Facility Level Kayakalp Training on "Swachh Bharat Abhiyan“- Rs.11.23 L.  Facility Level Kayakalp Training on "Swachh Bharat Abhiyan“ –Kayakalp  Institutional training  for  each institutions 
•        DH- Rs.20,000/- (2DH)  
•        TH/THQH and CHC Rs.15,000/- (25TH/THQH &amp; CHC) ,
•        PHCs -Rs.6000/- ( 76PHC) , 
•        HWC-SC Rs.500/- (  504HWC-SC) 
Districts can prioritize institutions as per performance of needed additional trainings.
c. OOC
OOC a total of Rs.32.08L
c.1 Rs.5 L for  District  Level Assessment &amp; Mentoring Visit including Vehicle for field visit in Districts for Quality Program.
c.2 Rs.27.08 lakhs for assessments (National/state/NQAS, MusQan)  (1 DH, 1SDH, 1 CHC, 10 PHC, 10 SC)
d. IEC/BCC
Rs.1 L   is allotted for IEC &amp; Printing for providing                                                    Signage’s- in Approach road, departmental, directional and any other relevant facility level signage’s for Quality Assurance or printing of Quality improvement IECs boards in hospital at DH/SDH .
Districts can prioritize the needy institutions based on gap analysis. Not exceeding maximum of Rs.50,000/- per institution. 
e.Planning &amp; M&amp;E.Rs.0.79L for 
  a.    Rs.24,000/-  allotted for district towards expenses for conducting    District Quality Assurance Committee Meetings as per NQAS Operational guidelines 2021 (DQAC should be met at least once in a quarter)  and other Quality Review Meetings.
 b.   Rs.55,000/-allotted for district towards meeting Contingency &amp; Misc expenses including expenses incurred for District Level Quality Assessments.                   </t>
  </si>
  <si>
    <t xml:space="preserve">Diagnostics: Rs.23.20    L 
Consumables related to implementation of infection control practices in hospital/ hospital laboratory including cost of water testing /environmental swab/sample testing, autoclave bags, indicator strips etc.
 · DH&amp;TH/THQH - @ Rs 1L for each 8 DH &amp; TH 
 · CHC – Rs.40,000/- for each  19 CHC 
 · PHC- Rs.10,000/- for each   76 PHC 
 Priority should be given to the targeted institutions for NQAS.
OOC-    68.95 lakhs
1 Expenses for Kayakalp Peer Assessment of institutions - Rs.12.60 L.  
•        DH Level Peer Assessment -Rs.25,000/- each for 2 DH           
•        TH/THQH &amp; CHC Hospital Peer Assessment- Rs.13,000/- each for 25 TH/THQH &amp; CHC.
•        PHC Peer Assessment - Rs.5000/- each  for 76 PHC                                                  
•        HWC-SC Peer Assessment - Rs.5000/- for 101 HWC-SC (20% of Total  504  HWC-SC)  
2 BIOMEDICAL WASTE MANAGEMENT- Rs.25.70 L  Support for the implementation of Kayakalp                                      
•        DH-Rs.60,000/- each for  2 DH,        
•        TH/THQH-Rs.60,000/- each for 6 SDH,                                                                
•        CHC –Rs.30,000/- each for  19 CHC,                                                           
•        PHC-Rs.20,000/- each for  76 PHC.           
3 Pest Control- Rs. 15.15   L 
Pest control measures has to be undertaken and done regularly at the institutions level. For implementing Pest control measures in     
•        DH – Rs.50,000/- each for 2 DH ,   
•        TH – Rs.30,000/- each for 6 TH ,                                                                     
•        CHC – Rs.25,000/- each for 19   CHC,                                                       
•        PHC –Rs.10,000/- each for   76 PHC.   
4 Support for NQAS/KASH/MusQan Implementation for the gap closure in targeted institutions  Rs.15L for District for identified target institutions on priority basis. 
5. Rs.0.50 L for District Level Award function and District Assessment.
IEC/BCC (Printing of SOPs necessary for Implementation of NQAS, Kayakalp, LaQshya, MusQan) – Total Rs.8.65   L.
•        (DH/GH/W&amp;C- Rs.25,000/- each for  2 DH),
•        (TH/THQH - Rs.25,000/- each for  6 TH/THQH )
•        (CHC - Rs.15,000/- each for  19  CHC ),
•        (PHC - Rs.5,000/- each for 76 PHC) 
The SOP printing amount for the HWC-SCs under PHC  shall be given by the PHC. Out of Rs.5,000/-, Rs.3,000/- for PHC and Rs.2000/- for HWC-SC) </t>
  </si>
  <si>
    <t>5  Mobile Medical Units (MMU) / Mobile Health Units (MHU) Operational cost of</t>
  </si>
  <si>
    <t xml:space="preserve">OOC -
Rs.10 lakhs for Call Allowance
Rs. Rs.11700/-for incentives to provider for PPIUCD services 78*150
Rs.600/- for incentives to provider for PAIUCD services 4*150
Rs.4.02 Lakhs for Incentives for updation of NVHCP MIS portal 
(Nodal officer/Pharmacist/Lab Technician)  </t>
  </si>
  <si>
    <t>FY 2024-2025
DH Palakkad - 15 L
FY 2025-2026
DH Palakkad - 15 L
Amount can be booked for 
1.        Procurement of instruments
2.        Conduct of CME
3.        Books and library materials
4.        Academic ambience
5.        Registration/renewal fees for accreditation
6.        Stipend for accredited seat</t>
  </si>
  <si>
    <t>FY 2024-2025
Palakkad - 3 L (Training of Medical Officers and Nursing Officers in maternal health related skills and procurement of mannequines/equipments except Laptop)
FY 2025-2026
Palakkad - 12 L  (Training of Medical Officers and Nursing Officers in maternal health related skills and procurement of mannequines/equipments except Laptop)</t>
  </si>
  <si>
    <t>IEC &amp; PRINTING- 2.06L (Activity breakup details attached)
Planning and M&amp;E
10 HMIS / RCH training cum review meeting @ unit cost 10000/- at District level
2 HMIS / RCH training cum review meeting per health Block @ unit cost 10000/- -14 block
OOC) Rs. 35000/-  internet annual user fee for (5 UPHCs )</t>
  </si>
  <si>
    <t xml:space="preserve">
1)DBT-Rs.118.02 lakhs(R-13271  xRs.700 + U-3964 xRs.600 + H-266*Rs 500)
2) Asha incentive - Rs.95.49 lakhs (Rural@Rs 600 &amp; Urban@Rs 400 )
3)  Planning &amp; M&amp; E - Rs.4.72 lakhs (For Administarive exp- @4% of DBT given)</t>
  </si>
  <si>
    <t xml:space="preserve">
1)Free Drugs &amp; consumables -Rs 131.1lakhs for PW( 11571ND @ Rs 350 &amp; 5665 C sections @ Rs 1600) accessing Govt health facilities for delivery
2) Diagnostics -Rs 35 lakhs@ Rs 200/beneficiary for 17236 PW 
  3) Other Operating Cost(Blood transfusion &amp; Diet) - a.Diet - Rs. 74.4 lakhs @ Rs 100 for 11571ND for 3 days(11571*100*3)  and 5665 C sections for 7 days (5665*100*7)                                                                                                                                                                         
b.Blood Transfusion - Rs. 5.2lakhs @ Rs 300/PW for blood transfusion of 10% of total deliveries in govt.health facilities (10% of 17236= 1724)     </t>
  </si>
  <si>
    <t xml:space="preserve">JSSK free transport  for pick up, drop back and referral to higher institutions @Rs 500 /beneficiary for 17236 beneficiaries </t>
  </si>
  <si>
    <t>DBT
 Rs.2.67 lakhs for mobility support to HRP women @Rs 100 for 3 visits for 891 HRPs(100*3*891 = Rs.2.67lakhs)      
ASHA Incentives
1) e-PMSMA -                                                                                                
a. Rs.2.67 lakhs for ASHA incentives for mobilising HRP women @Rs 100 for 3 visits for 891 HRPs(100*3*891 = Rs.2.67 lakhs)                                                                                                                     
 b. Rs7.13 lakhs for ASHA incentives for healthy outcome of HRP @ Rs 500/HRP for 891 HRPs (500*891 = Rs7.13 lakhs)
2) PNC visit - Rs.1.11 lakhs as ASHA incentive for healthy outcome of HRPs identified during  PNC visit (Rs.250* 445= Rs 1.11 lakhs)                                                                                                                
OOC
PMSMA session sites -6, Fund to be utilised for vehicle hiring/POL/refreshments</t>
  </si>
  <si>
    <t xml:space="preserve">IEC &amp; PRINTING- 2.75L (Activity breakup details attached)
Branding of 55 SUMAN certified facilities @ Rs.5000/- per facility
Planning and M&amp;E
Rs 10000 for conducting district level meeting(2 meetings in a year). This may be utlised for conducting DQAC meeting </t>
  </si>
  <si>
    <t xml:space="preserve">OOC
To conduct maternal death audit meeting @ Rs 1321/month(Rs1321*12=15852, for POL and refreshments)
Planning and M&amp;E
 MDNMSR - Rs 30000 (2500/meeting*12 meeting ) </t>
  </si>
  <si>
    <t>2024-25
1.Equipments
Color coded hand ties for mother and child identification for 4 LaQshya targeted facilities
 (8078 delivery x2noxRs.10 = 1.62L)
2.Capacity building incl. training s for district level -LaQshya training @ Rs 0.75 L /Districts 
3.Operational Cost for District level activities -Rs 1 lakh for gap closure identified during internal/District assessment. Rs.2 lakhs for National/state assessment as per NQAS operational guidelines
2025-26
1Equipments
Color coded hand ties for mother and child identification for 4 LaQshya targeted facilities  (8851 delivery x2noxRs.10 = 1.77L)
2.Capacity building incl. training s for district level 
LaQshya training @ Rs 1L /District 
2.Operational Cost for District level activities 
Rs 1 lakh for gap closure identified during internal/District assessment. Rs.2 lakhs for National/state assessment as per NQAS operational guidelines</t>
  </si>
  <si>
    <t xml:space="preserve">MH IEC &amp; PRINTING- 3.585L (Activity breakup details attached)
OOC: 7 RCH camps @ 15000/-= 1.05L
2025-26
Training -One batch RTI/STI training for MO @ Rs.50000/- </t>
  </si>
  <si>
    <t>Equipment :-   Repair equipment for 125 existing nurses - Unit cost - Rs.2000/-
Drugs &amp; Supplies :-                                                                                                                                         
Diagnostics :-                                                                                                                                                                    
Capacity building training : -1.  RBSK Refresher training @ Rs. 50000/- per batch for 3 batches. 2. One-day orientation for MO / other staff Delivery points (RBSK training) -2 Batch training per district @ ₹21000 per batch, 3. Half-day RBSK refresher training @ Rs. 2500 x 15 = 37500/-          
Asha Incentives :-                                                                                                                                  
OOC :-  1. Mobility support for RBSK Mobile health team-  Incentive for RBSK nurse – Rs.1000*125*12 = Rs.15,00,000/- and 2 vehicles for MHT – Rs.48000*2*12 = Rs. 11,52,000 /- , 131 connections @ Rs.300 per month = 131*300*12 =  4,71,600.                                                                                                                                                                                                                                                     Planning &amp; M &amp; E : -  One yearly meeting at the district level involving line departments like WCD, LSGD, ICPS, ORC, Childline, BRC/ Education dept. etc @ 50000 per district. 
IEC &amp; PRINTING- 0.3125 L for Printing of RBSK cards and registers and Diary @ Rs.250/- for 125 RBSK nurses</t>
  </si>
  <si>
    <t xml:space="preserve">Equipment :-Rs. 1121285 lakh is recommended for essential equipment as per gap analysis. 
Drugs &amp; Supplies :- 
Diagnostics :- Approval is to purchase Consumables for functioning 
DEIC. @ Rs. 100000/-
Capacity building training : - 
 Asha Incentives :- 
OOC :- 1. Operational expenses for Rs.20000 per month for Malappuram DEIC - Total amount  = Rs. 2,40,000/-, 
2. Referral Support for Secondary/ Tertiary – Rs. 280.85/- Lakhs   
Planning &amp; M &amp; E : - 
IEC &amp; PRINTING- Printing cost for DEIC – Rs. 1 lakhs </t>
  </si>
  <si>
    <t xml:space="preserve">Equipment :- 
Drugs &amp; Supplies :- 
Diagnostics :- 
Capacity building training : - One day District  Level TOT training for selected 10 participants
 in each districts @ Rs.11000/-
Asha Incentives :- Incentive for HBNC, HBYC, &amp; SNCU discharge babies – Rs. 94.95 lakhs 
OOC :- 
Planning &amp; M &amp; E : - 
IEC &amp; PRINTING- </t>
  </si>
  <si>
    <t>Equipment :-    
Drugs &amp; Supplies :-                                                                                                                                         
Diagnostics :-                                                                                                                                           
 Capacity building training : - 1. NSSK Training for Medical Officers - 2 batch NSSK training Rs. 34400 x 2 = Rs.68800/-., 2. NSSK Training for Staff Nurses - 2 batch NSSK training Rs. 34400 x 2 = Rs.68800/-, 3. Trainings for Family participatory care (KMC) - Rs 50000 per district to get a  team of trained doctors and Nurses at SNCUs. Rs.50000 x 1 = Rs.50,000/- , 4. Rs. 1 lakh is approved for two batches of Musqan District level Sensitization Training @ 100000 per district, 5. MUSQAN: Health Institution level activities – 4 lakh approved for selected 2 institutions. Unit price of  1 each for gap filling &amp; Equipments approved for these 2 institutions. .                                                                                                         
Asha Incentives :-                                                                                                                                  
OOC :- 1. 1 Functional SNCUs = Rs. 300000x 1 SNCU = Rs.3,00,000/-, 2. NBCC– approved @ Rs.10,000 for 7 delivery points Rs. 10000x7Delivery point = 70,000/- , 3. Family participatory care (KMC) -Rs. 75000 x 1 SNCUs = 75,000/- ,4. Operating expenses for Mother new-born Care Unit– Rs. 260000 for  W &amp; C Ponnani. Rs. 260000 x 1 MNCU = 2,60,000/- , 5.   Operating expenses for  7 NBSU – Rs. 7 lakhs.                                                                                                                                                                                                                                                                                    Planning &amp; M &amp; E : -   
IEC &amp; PRINTING- Rs 1 lakh per unit for 1 SNCUs</t>
  </si>
  <si>
    <t xml:space="preserve">Equipment :-    
Drugs &amp; Supplies :-                                                                                                                                         
Diagnostics :-                                                                                                                                           
Capacity building training : -  CDR training approved @ Rs.50000 per district.                                                                                                           
Asha Incentives :- Rs.50 per under 5 Child death @ community level /Non-FRU level/ pvt facilities for 127 under 5 deaths - 127 cases * 50 =  6350/                                                                                                                                  
OOC :- 1. ANM Honorarium (FBIR) - Rs. 100 per Under 5 Child Deaths @ Community level/ Non-FRU level/ private facilities for 127 Under 5 Deaths -127 cases * 100 = 12,700/- , 2. Medical Officer Honorarium (Verbal Autopsy) by team of 2 MOs -  Rs. 500 per Under 5 Child Deaths @ Community level/ Non- FRU level/ private facilities for 127 Under 5 Deaths -127 cases * 500 = 63,500/-, 3. Transport of parents @ Rs.100 per case to attend DM level meeting for 73 deceased children -73  children * 100 = 7300/-, 4. DM level meeting @ Rs. 5000 per District (per annum) 5000 * 1 = 5000/-                                                                                                                                                                                                                                                                                     Planning &amp; M &amp; E : -   
IEC &amp; PRINTING- </t>
  </si>
  <si>
    <t xml:space="preserve">Equipment :-    
Drugs &amp; Supplies :-                                                                                                                                         
Diagnostics :-                                                                                                                                           
Capacity building training : -  1.  Rs. 1.0 Lakhs for District level sensitization for Medical Officers, Staff nurses, JPHNs, PHNs etc,  2.  Rs. 0.50 Lakhs for One day Training  for Paediatricians and medical Officers of 40 participants on new Pneumonia management guidelines Rs 150000 * 1 = 150000/-, 3. Training of ASHAs- 110 batch x Rs.3000 = Rs. 3,30,000/-
Asha Incentives :-                                                                                                                                  
OOC :-                                                                                                                                                                                                                                                                                             Planning &amp; M &amp; E : - Rs. 20000  for Supportive Supervision of SAANS Program.  
IEC &amp; PRINTING-  1. 1 Lakh per District for  District Level Launch of SAANS Campaign, 2. Rs. 2 lakh for per district for district level  IEC /BCC Activities of SAANS Campaign., 3. Rs. 20000 for printing of SAANS Guidelines.
</t>
  </si>
  <si>
    <t>Equipment :- 
Drugs &amp; Supplies :- 
Diagnostics :- 
Capacity building training : - Rs. 1 lakh per batch for district level  ToT/ training on F-IMNCI.
Asha Incentives :- 
 OOC :- Operational Cost Pediatric HDUs – Rs. 4.5 Lakhs as Operational Cost of 3 HDUs @ Rs. 1.5 Lakh per Unit. 
Planning &amp; M &amp; E : - 
 IEC &amp; PRINTING- .</t>
  </si>
  <si>
    <t xml:space="preserve">                                                                                                                                                                                                                                                                                 Planning &amp; M &amp; E : -   District Level Review Meeting of Program including RBSK and CH @ Rs. 1.75 lakhs per District 
IEC &amp; PRINTING- Rs. 3.85 lakh for Child health IEC activities. 
 </t>
  </si>
  <si>
    <t>Training Rs.8.11 lakhs
 ASHA Incentives -Rs.221.78  lkhs for 2024-25 and Rs.218.05  for 2025-26
 OOC Rs.19.12 lakhs
 IEC &amp; PRINTING- 2 L (Activity breakup details attached in IEC annexure)
 Planning and M&amp;E Rs.4.88 lakhs
 SRRE-AEFI Rs.4.60 Lakhs</t>
  </si>
  <si>
    <t>WIFS trainings (block level) , 1 batch (40 nos. ) @Rs.5000/) * No. of health blocks (MLP-15)</t>
  </si>
  <si>
    <t xml:space="preserve">a.DBT -Male sterilization -39 cases @ Rs 1500 per case.
b.Training of Medical Officers on NSV 1 batch @ Rs 34500/batch with 5 participants per batch for 5 days training </t>
  </si>
  <si>
    <t>DBT -Rs 100 per dose per beneficiary for 62 cases
ASHA Incentive- Rs 100 per dose per ASHA for 62 cases</t>
  </si>
  <si>
    <t xml:space="preserve">DBT - for FPIS @ Rs 30000 as compensation for each failure of sterilization for 8 cases </t>
  </si>
  <si>
    <t>IEC &amp; PRINTING-  2.87 L Activity Breakup is attached
Planning &amp; M&amp;E- Rs.1 lakh for monitoring activities during World Population Day and vasectomy Fortnight at district and block level</t>
  </si>
  <si>
    <t>a.Drugs- Procurement of Self care Kit 42 kit @Rs 1000/kit-Selfcare kit should be installed in all delivery points and other appropriate facilities based on the demand and eligible couple catered by that facilty.
b. IEC &amp; PRINTING -5.55  L Activity Breakup attached
c. FP QAC meeting Rs 1000/meeting /quarter</t>
  </si>
  <si>
    <t>Capacity building incl. training - 1. Orientation activities on vitamin A supplementation and Anaemia Mukta Bharat Programme/ VIVA Kerala - Rs.100000 per district., 2. One day Orientation of frontline workers (ASHA/ANM) and allied department workers (Teachers/AWW) on  VIVA Kerala/ Anaemia Mukt Bharat - Rs.100000 per district.
ASHA Incentive - 1.National Iron Plus Incentive for Mobilizing WRA (non pregnant &amp; non lactating women  20-49 years) approved at Rs 50  for ASHA for one month -3165 Asha * 50 * 12 = 1899000/-  , 2. National Iron Plus Incentive for Mobilizing  children  and / or ensuring compliance and reporting (6-59 months) - approved @ Rs 100 for ASHA for one month -3165 Asha * 100 *12 = 3798000/-</t>
  </si>
  <si>
    <t>Capacity building incl. training - 
Rs.9.38 lakhs for Orientation of Nodal teacher, field staff and Anganwadi workers @ Rs.50/- for  two rounds of NDD
ASHA  INCENTIVE - Rs 6.33 Lakhs for ASHA incentives for 3165 ASHAs for
 mobilizing beneficiaries for NDD round @ Rs 100 per ASHA per round
Rs.100 * 3165 * 2 round  = 6,33,000/-
IEC and printing -  IEC and printing activities for NDD @ Rs 1.5 Lakh per 
district per round. Rs. 1.5 lakh * 2 round = 3,00,000/-</t>
  </si>
  <si>
    <t>IEC &amp; PRINTING- 0.5L (Activity breakup details attached)
Asha Incentive - ASHA incentive under MAA programme @ Rs 100 per ASHA for quarterly mother's meeting : 
Rs 400 * 3165 ASHAs = 12,66,000/-</t>
  </si>
  <si>
    <t xml:space="preserve">Diagnostics - Consumables and stationaries for proposed 1 LMU @ Rs.105000 as recurring cost.Rs.105000 x 1 = 105000 /-
</t>
  </si>
  <si>
    <t xml:space="preserve">1.Incentive for IDCF for prophylactic distribution of ORS to family with under-five children: Approved @ Rs 100 per ASHA for IDCF campaign for the routine activity. 3165*100 = 3,16,500					                                                                          
2.  IEC &amp; Printing - Approved under IDCF @ Rs.0.75 lakh                                         </t>
  </si>
  <si>
    <t>Training Rs.1.50 lakhs
Equipments Rs.0.84Lakhs
OOC Rs.1.83 lakhs
IEC &amp; Printing Rs.1.05 lakhs
Planning and M&amp;E Rs.3.10 lakh</t>
  </si>
  <si>
    <t>Training Rs.0.60 Lakhs
ASHA incentive Rs.1.50 Lakhs
OOC Rs.37.59Lakhs
IEC &amp; Printing Rs.1.20 Lakh 
Planning &amp; M&amp;E Rs. 3.75 Lakh
SRRE Rs..4Lakhs</t>
  </si>
  <si>
    <t>Capacity building including Training Rs. 0.40L
OOC Rs. 8.94Lakhs
IEC &amp; Printing Rs.3.50lakhs
Planning and M&amp;E -Rs.5.75 Lakhs
SRRE Rs.17.15 Llakhs</t>
  </si>
  <si>
    <t>Diagnostics - 0.68 L
 Approved Rs 0.68 Lakhs per district for drugs required for management of reaction and printing.
 ASHA incentives - 99.512 L
 1. Approved an amount of Rs 99.02 L as incentive for Incentive for search team (Rs 1000 per Volunteer) for each screening round/ village for LCDC
 2. Approved Rs 0.08 L as Incentive for ASHA/ AWW/ Volunteer/ etc for detection of Leprosy (Rs 250 for detection of an early case before onset of any visible deformity, Rs 200 for detection of new case with visible deformity in hands, feet or eye)
 3. Approved Rs 0.08 L for ASHA Incentive for Treatment completion of PB cases (@ Rs 400)
 4. Approved Rs 0.132 L for ASHA Incentive for Treatment completion of MB cases (@ Rs 600)
 5. Approved 0.20 L for Any other ASHA incentives(Sensitisation) @ Rs 100 per ASHA
 OOC - 2.4 L
  Approved for Case Detection and Management in urban Areas</t>
  </si>
  <si>
    <t>Equipment - 0.412 L 
 1. Procurement of other equipment: NLEP- MCR
 Approved Rs 0.28 Lakhs for MCR Chappals @ Rs 400 per unit
 2. Procurement of other equipment: NLEP- Aids/Appliance
 Approved Rs 0.132 Lakhs for Self care kit @ Rs 150 per unit 
 OOC - 1.10 L
 Approved for Early detection in camps, ulcer management, and prevention of deformity @ Rs 10000 per camp</t>
  </si>
  <si>
    <t>Capacity building incl Training - 5.951 L
 1. Approved Rs 4.951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1.Office operation &amp; Maintenance, Consumables- District Cell @ Rs 0.30 Lakhs
 2. Mobility Support District cell including TA/DA of NLEP staff@ Rs 1.5 Lakh/district
 3. Approved an amount of Rs 0.993 L as POL, transport (field supervisors) for LCDC @ Rs 100/ supervisor
 4. Approved Rs 0.4951 Lakhs for Logistics Rs.10/ team in connection with LCDC.
 5. Approved Rs 0.66 Lakhs for Supervision and monitoring @ Rs 3000 per block in connection with LCDC</t>
  </si>
  <si>
    <t>Capacity building incl Training - 5.951 L
 1. Approved Rs 4.951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- 3.345 L
 1.Approved Rs 0.88 Lakhs for Advocacy/ IEC (Rs 4000/block of urban area) in connection with LCDC.
 2. Approved Rs 1.485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- 3.9481 L
 1.Office operation &amp; Maintenance, Consumables- District Cell @ Rs 0.30 Lakhs
 2. Mobility Support District cell including TA/DA of NLEP staff@ Rs 1.5 Lakh/district
 3. Approved an amount of Rs 0.993 L as POL, transport (field supervisors) for LCDC @ Rs 100/ supervisor
 4. Approved Rs 0.4951 Lakhs for Logistics Rs.10/ team in connection with LCDC.
 5. Approved Rs 0.66 Lakhs for Supervision and monitoring @ Rs 3000 per block in connection with LCDC</t>
  </si>
  <si>
    <t>73.1 – DBT – Rs. 2.50 Lakhs:- Treatment Supporter Honorarium (Rs.1000) - one-time payment on the update of the Outcome of Treatment for drug sensitive TB patients, will be release through Nikshay DBT Mode directly to the beneficiaries.
73.2 - Infrastructure - Civil - Rs 2.50 lakhs – Rs. 2.50 lakhs for minor civil works/ repairing &amp; maintenance required at  DTC, TU &amp; DMC and X-ray facilities etc based on need basis and for minor civil works., 
73.3 - Equipments - Rs. 8.40 Lakhs -  Rs. 2.50 lakhs Procurement of equipment for District levels. (DMC, X-ray and ECG, etc for NTEP) Procurement of Sleeves and drug boxes - Rs. 2.40 lakhs for Maintenance / up gradation costs for Laboratory equipment’s DMC, X-ray and ECG, etc for NTEP  - Rs. 2.00 lakhs for Procurement of office equipment and furniture for District levels. (Office Equipments)  - Rs. 1.50 lakhs for Maintenance / up gradation costs for office equipment’s (Office Equipments)
73.4 - Drugs - Rs. 3.10 Lakhs - Procurement of First line drugs, Local Procurement of first line Anti TB  drugs on need basis and Drug Transportation charges etc
73.5 - Diagnostics (Consumables, PPP, Sample Transportation) - Rs. 10.50 Lakhs - Rs. 4.60 lakhs Patient Support &amp; Sample collection and Transport , Charges for transportation of samples for diagnosis, DST, follow-up &amp; Rs. 5.90 lakhs for Procurement of Lab consumables for DMCs, Procurement of Consumables for X-rays, ECG and etc.
73.6 - Capacity building Incl. training - Rs. 10.00 Lakhs -   Rs. 7.10 lakhs for training cost (including TA/DA &amp; other course materials) for officers / staff/ TB Champions and all district staff at National level, State level and District level, Rs. 2.20 lakhs Cost for conducting CME Training in Medical Colleges, Rs. 0.70 lakhs Community Engagement Activities - Sensitization of TB survivors, sensitization of NGOs, PRIs meeting, TB survivor led activities, etc
73.8 - Others including operating costs (OOC) - Rs. 3.10 Lakhs  - Rs. 1.20 lakhs Incentives for Active Case Finding/Akshaya Keralam Campaign/TB Elimination house to house visit , Rs 10/ for every household visit &amp; Rs 500/ for every new cases identified -the unit cost shall preferably be budgeted as per household or per person screened.,  Rs. 0.25 lakhs Incentive to non-salaried person for injection prick,  Rs. 1.65 lakhs Budget for Printing of Materials..
73.10 - Planning &amp; M&amp;E - Rs. 17.00 Lakhs  - Rs. 4.50 lakhs Supervision and Monitoring (District Level) - TA/DA cost of all officer/ staff working in NTEP, review meetings, Cost of internal evaluation etc.,  Rs. 3.80 lakhs POL for existing vehicles under NTEP and mobility support for those field staff in lieu of vehicles, Rs. 2.40 lakhs Vehicle hiring cost for Districts on contract, Rs. 2.00 lakhs Medical Colleges meetings, Rs. 3.30 lakhs Office operation includes office maintenance expenditure, stationary, communication etc. Rs. 1.00 lakhs Maintenance cost for District vehicles (including four-wheeler &amp; two wheelers)
73.11 - Surveillance, Research, Review, Evaluation (SRRE) - Rs. 0.70 Lakhs  - Support for State &amp; District level/TU/LSG TB Forums(Treatment Support Groups) functioning including meeting cost, travel support to community members attending meeting, etc.</t>
  </si>
  <si>
    <t>74.1 – DBT – Rs. 58.50 Lakhs - Nutrition support to TB patient Rs. 500 per month till the treatment is completed, by DBT for DSTB Patients for 6 months &amp; Nutrition support to TB patient Rs. 500 per month till the treatment is completed, by DBT for DRTB Patients for 12 months. The payment to be release directly to the beneficiary bank account through Nikshay DBT mode.</t>
  </si>
  <si>
    <t xml:space="preserve">75.1 – DBT – Rs. 2.67 Lakhs - Private Provider Incentives- NTEP DBT Scheme @Rs. 500/- per notification and Rs. 500/- when treatment outcome declared &amp; Incentives for first informant (20% of Public notified case will be expected to be eligible for first informant incentive).
75.8 - Others including operating costs (OOC) - Rs. 6.50 Lakhs  - Cost of existing NGO/ PP support schemes and new NGO/ PP support schemes proposed as per NTEP Public Private Partnership Guidance.
</t>
  </si>
  <si>
    <t>77.1 – DBT – Rs. 1.80 Lakhs:- Treatment Supporter Honorarium (Rs.5000), payment on the update of the Outcome of Treatment for drug resistant TB patients. will be release through Nikshay DBT Mode directly to the beneficiaries.
77.2 - Infrastructure - Civil - Rs 2.00 lakhs - minor civil works/ repairing &amp; maintenance of Nodal DRTB centre, CBNAAT, TRUNAAT sites, IRL &amp; CDST labs on need basis.
77.3 - Equipments - Rs. 2.00 Lakhs -  Procurement of equipment for District levels (DR TB Centre, C&amp; DST Lab and Molecular Diagnostics), Maintenance / up gradation costs for Laboratory equipment’s for DR TB Centre, C&amp;DST Lab and Molecular Diagnostics Equipment for NTEP
77.4 - Drugs - Rs. 5.00 Lakhs - Procurement of DRTB drugs, Local Procurement of second line drugs on need basis and Drug Transportation charges etc
77.6 - Capacity building Incl. training - Rs. 0.40 Lakhs -   Training for AIC, Cost for AIC related trainings etc.</t>
  </si>
  <si>
    <t>Approved for 600 cases @ Rs 1000 for the Assistance for consumables/ drugs/ medicines including IOL to the Govt. Hospital for Cataract surgery.</t>
  </si>
  <si>
    <t>Approved for 400 cases@ Rs 2000 per case</t>
  </si>
  <si>
    <t>Approved @ Rs 1 Lakh per unit for 3 vision centers-Valavannur, Vazhayur, Chathallur</t>
  </si>
  <si>
    <t>1. IEC - Rs 1 L 
 Approved for District Level Awareness and activities in connection with Eye donation fortnight, world sight day, world Glaucoma week.
 2. OOC: Rs 4 L
 Approved for Maintenance, POL &amp; Insurance of existing Mobile Ophthalmic unit @ Rs 2 Lakhs each
 3. Planning &amp; M &amp; E : Rs 1 L 
  Approved for conducting camps,POL, TA/DA of District level staff, Contingencies, monthly review meetings at District level</t>
  </si>
  <si>
    <t xml:space="preserve">1 Procurement of equipment for DH/ GH elderly clinics Rs. 2 Lakhs and Rs. 7 Lakhs for Physiotherapy Equipments Perithalmanna and Tirur
 2. Capacity building incl. training - Rs. 1 L 
</t>
  </si>
  <si>
    <t>1. District Level Trainings and PBS Training Rs. 3 Lakhs /each District 
 2.ASHA Incentive for CBAC Form Filling for Population Based Survey - Rs.69.50 Lakhs
 • ASHA Incentive for NCD follow-up activity: Rs. 11.33 Lakhs 
 3.Rs.4 L for IEC activities for Dist level. and Printing of referral cards at PHC @ Rs.2500/card 
 4. Planning &amp; M&amp; E Rs. 3 L/each District level for Program Management Activities</t>
  </si>
  <si>
    <t>Capacity building: Rs 1.92 L 
 1. Approved Rs 1.19 L for one day Training for CDPO, Anganwadi Supervisors, PHN &amp; MPW Supervisors (Level 5) for 4 batches @ Rs 29750/ batch. No of participants per batch: 30
 2. Approved Rs 0.73 L for half day training Anganwadi workers (Level 6) for 2 Batches @ Rs 36500/batch. No of participants per batch: 60</t>
  </si>
  <si>
    <t>1. Training Rs. 1 Lakhs/District.</t>
  </si>
  <si>
    <t>OOC -Rs.20.19 lakhs approved @ Rs. 250 per wellness session for one session per month for 12 months at HWCs SC and PHCs
Planning and M&amp;E 
Rs. 0.50 lakhs approved for  refresher training and review on wellness for Medical officers for PHC&amp;UPHCs. 
Rs. 2.25 lakhs approved @Rs 75000  per batch for training of MLSPs</t>
  </si>
  <si>
    <t>IEC &amp; Printing -Printing a customised book for one patient identified, Rs  17500 for 350 customized books @ Rs 50 - 50 * 350 = 17500.</t>
  </si>
  <si>
    <t>ASHA Incentive – 18.83 L
Incentive to ASHA for ABHA ID creation @ Rs. 10 for 50 ABHA ID for 3165  one ASHA @ Rs. 15.82 L
Incentive for Migrant  Link Workers @ Rs. 2500 per month @ Rs. 3.00 L &amp;  for 2025-26 the incentive for Migrant LWs is Rs. 2750
OOC-1.20  L 
Incentive for TG Link Workers @ Rs. 5000 per month @ Rs. 1.2 L &amp;  for 2025-26 Incentive for TG Link Workers @ Rs. 5250 per month
IEC &amp; PRINTING- 4.05L (Activity breakup details attached)</t>
  </si>
  <si>
    <t xml:space="preserve">a.Equipment 
A total of Rs.12.70 L allotted for External Quality Assurance of LABS in the district at annual rates of not  more than 
•        DH-Rs.20,000/- (4 DH), 
•        TH-Rs.20,000/-( 7TH/THQH), 
•        CHC-Rs.10,000/-(21 CHC), 
•        PHC-Rs.10,000/-(84 PHC)  .
EQAS Priority should be given to the targeted institutions for NQAS.
b .Capacity building including training
A total of Rs.  15.19  L allotted for the following expenses
b.1. NQAS District Level Training -      An amount of Rs.1.66 Lakhs  is allotted for NQAS district level training of prioritized/targeted institutions for NQAS in the district. The training shall be given as team training to staffs of the targeted institutions. (Rs.83,000* 2 days ) .As per the Quality training norms NQAS operational guideline 2021 page no 101.
b.2 Kayakalp refresher training   -A total of  Rs.13.53 L allotted for the following - 
b.2.1 District Level Trainings under Kayakalp Rs.54,000/- for District Level refresher trainings/ Internal Assessor workshop under Kayakalp.
Peer assessment awareness cum Internal/District Assessor workshop shall be provided to district Kayakalp inspection team.
b.2.2 Facility Level Kayakalp Training on "Swachh Bharat Abhiyan“- Rs.12.99 L.  Facility Level Kayakalp Training on "Swachh Bharat Abhiyan“ –Kayakalp  Institutional training  for  each institutions 
•        DH- Rs.20,000/- (4DH)  
•        TH/THQH and CHC Rs.15,000/- (28TH/THQH &amp; CHC) ,
•        PHCs -Rs.6000/- (84 PHC) , 
•        HWC-SC Rs.500/- ( 589 HWC-SC) 
Districts can prioritize institutions as per performance of needed additional trainings.
c. OOC
OOC amount of Rs. 32.08L
c.1 Rs.5 L for  District  Level Assessment &amp; Mentoring Visit including Vehicle for field visit in Districts for Quality Program.
c.2 Rs.27.08 lakhs for assessments (National/state/NQAS, MusQan)  (1 DH, 1SDH, 1 CHC, 10 PHC, 10 SC)
d. IEC/BCC
Rs.1 L   is allotted for IEC &amp; Printing for providing                                                    Signage’s- in Approach road, departmental, directional and any other relevant facility level signage’s for Quality Assurance or printing of Quality improvement IECs boards in hospital at DH/SDH .
Districts can prioritize the needy institutions based on gap analysis. Not exceeding maximum of Rs.50,000/- per institution. 
e.Planning &amp; M&amp;E.Rs.0.79L for 
  a.    Rs.24,000/-  allotted for district towards expenses for conducting    District Quality Assurance Committee Meetings as per NQAS Operational guidelines 2021 (DQAC should be met at least once in a quarter)  and other Quality Review Meetings.
 b.   Rs.55,000/-allotted for district towards meeting Contingency &amp; Misc expenses including expenses incurred for District Level Quality Assessments.                   </t>
  </si>
  <si>
    <t xml:space="preserve">Diagnostics: Rs. 27.80 L 
Consumables related to implementation of infection control practices in hospital/ hospital laboratory including cost of water testing /environmental swab/sample testing, autoclave bags, indicator strips etc.
 · DH&amp;TH/THQH - @ Rs 1L for each  11   DH &amp; TH 
 · CHC – Rs.40,000/- for each    21 CHC 
 · PHC- Rs.10,000/- for each  84 PHC 
 Priority should be given to the targeted institutions for NQAS.
OOC-  Rs.77.69  lakhs
1 Expenses for Kayakalp Peer Assessment of institutions - Rs.14.74    L.  
•        DH Level Peer Assessment -Rs.25,000/- each for 4 DH           
•        TH/THQH &amp; CHC Hospital Peer Assessment- Rs.13,000/- each for 28 TH/THQH &amp; CHC.
•        PHC Peer Assessment - Rs.5000/- each  for 84 PHC                                                  
•        HWC-SC Peer Assessment - Rs.5000/- for 118 HWC-SC (20% of Total 589   HWC-SC)  
2 BIOMEDICAL WASTE MANAGEMENT-   Rs.29.70  L  Support for the implementation of Kayakalp                                      
•        DH-Rs.60,000/- each for  4 DH,        
•        TH/THQH-Rs.60,000/- each for 7 SDH,                                                                
•        CHC –Rs.30,000/- each for  21 CHC,                                                           
•        PHC-Rs.20,000/- each for  84 PHC.           
3 Pest Control- Rs.17.75L 
Pest control measures has to be undertaken and done regularly at the institutions level. For implementing Pest control measures in     
•        DH – Rs.50,000/- each for 4 DH ,   
•        TH – Rs.30,000/- each for 7 TH ,                                                                     
•        CHC – Rs.25,000/- each for  21  CHC,                                                       
•        PHC –Rs.10,000/- each for   84 PHC.   
4 Support for NQAS/KASH/MusQan Implementation for the gap closure in targeted institutions  Rs.15L for District for identified target institutions on priority basis. 
5. Rs.0.50 L for District Level Award function and District Assessment.
IEC/BCC (Printing of SOPs necessary for Implementation of NQAS, Kayakalp, LaQshya, MusQan) – Total Rs.10.10  L.
•        (DH/GH/W&amp;C- Rs.25,000/- each for  4 DH),
•        (TH/THQH - Rs.25,000/- each for  7 TH/THQH )
•        (CHC - Rs.15,000/- each for   21 CHC ),
•        (PHC - Rs.5,000/- each for 84 PHC) 
The SOP printing amount for the HWC-SCs under PHC  shall be given by the PHC. Out of Rs.5,000/-, Rs.3,000/- for PHC and Rs.2000/- for HWC-SC) </t>
  </si>
  <si>
    <t xml:space="preserve">4  Mobile Medical Units (MMU) / Mobile Health Units (MHU) Operational cost of @ Rs.50000/- 
</t>
  </si>
  <si>
    <t xml:space="preserve">OOC -
Rs.3 lakhs for Call Allowance
Rs. Rs.31800/-for incentives to provider for PPIUCD services 212*150
Rs.4.02 Lakhs for Incentives for updation of NVHCP MIS portal 
(Nodal officer/Pharmacist/Lab Technician)  </t>
  </si>
  <si>
    <t>IEC &amp; PRINTING- 2.40L (Activity breakup details attached)
Planning and M&amp;E
10 HMIS / RCH training cum review meeting @ unit cost 10000/- at District level
2 HMIS / RCH training cum review meeting per health Block @ unit cost 10000/- 15 blocks
OOC) Rs. 35000/-  internet annual user fee for (11 UPHCs)</t>
  </si>
  <si>
    <t>Shelter Home for Tribal Antenatel women-10.64,Hub and spoke Lab networking vehicle-15</t>
  </si>
  <si>
    <t xml:space="preserve">
1)DBT-Rs.105.65 lakhs( R-12003  xRs.700 + U-3585 xRs.600 + H-22*Rs 500)
2) Asha incentive - Rs.86.36 lakhs( Rural@Rs 600 &amp; Urban@Rs 400 )
3)  Planning &amp; M&amp; E - Rs. 4.23 lakhs(For Administrative exp- @4% of DBT given)</t>
  </si>
  <si>
    <t xml:space="preserve">
1)Free Drugs &amp; consumables -Rs 136.2 lakhs for PW( 9058 ND @ Rs 350 &amp; 6531 C sections @ Rs 1600) accessing Govt health facilities for delivery
2) Diagnostics -Rs 31.2lakhs@ Rs 200/beneficiary for 15589 PW 
  3) Other Operating Cost(Blood transfusion &amp; Diet) - a.Diet - Rs. 73 lakhs @ Rs 100 for 9058ND for 3 days(9058*100*3)  and 6531 C sections for 7 days (6531*100*7)                                                                                                                                                                         
b.Blood Transfusion - Rs. 4.7lakhs @ Rs 300/PW for blood transfusion of 10% of total deliveries in govt.health facilities (10% of 15589= 1559)     </t>
  </si>
  <si>
    <t xml:space="preserve">JSSK free transport  for pick up, drop back and referral to higher institutions @Rs 500 /beneficiary for 15589 beneficiaries </t>
  </si>
  <si>
    <t>DBT                     
Rs.1.31 lakhs for mobility support to HRP women @Rs 100 for 3 visits for  435HRPs(100*3*435 = Rs.1.31 lakhs)    
ASHA incentives
1) e-PMSMA - 
a. Rs.1.31 lakhs for ASHA incentives for mobilising HRP women @Rs 100 for 3 visits for 435 HRPs(100*3*435 = Rs.1.31 lakhs)                                                                                                                      b. Rs2.17 lakhs for ASHA incentives for healthy outcome of HRP @ Rs 500/HRP for 435HRPs (500*435 = Rs2.17 lakhs)
2) PNC visit - Rs.0.54 lakhs as ASHA incentive for healthy outcome of HRPs identified during  PNC visit (Rs.250* 218= Rs 0.54 lakhs)                                                                                                                OOC
PMSMA session sites -4, Fund to be utilised for vehicle hiring/POL/refreshments</t>
  </si>
  <si>
    <t>2024-25
1.Equipments
Color coded hand ties for mother and child identification for 3 LaQshya targeted facilities
 (13946 delivery x2noxRs.10 = 2.79L)
 2.Capacity building incl. training s for district level -LaQshya training @ Rs 0.75 L /Districts 
3.Operational Cost for District level activities-Rs 1 lakh for gap closure identified during internal/District assessment.Rs.2 lakhs for National/state assessment as per NQAS operational guidelines
2025-26
1Equipments
Color coded hand ties for mother and child identification for 3 LaQshya targeted facilities  (15281 delivery x2noxRs.10 = 3.06 L)
2.Capacity building incl. training s for district level 
LaQshya training @ Rs 1L /District 
2.Operational Cost for District level activities 
Rs 1 lakh for gap closure identified during internal/District assessment.Rs.2 lakhs for National/state assessment as per NQAS operational guidelines</t>
  </si>
  <si>
    <t xml:space="preserve">MH IEC &amp; PRINTING- 2.875 L (Activity breakup details attached)
OOC: 6 RCH camps @ 15000/-= 0.9L
2025-26
Training -One batch RTI/STI training for MO @ Rs.50000/- </t>
  </si>
  <si>
    <t>IEC &amp; PRINTING- 1.25L (Activity breakup details attached)</t>
  </si>
  <si>
    <t xml:space="preserve">Equipment :-   Repair equipment for 95 existing nurses - Unit cost - Rs.2000/-
Drugs &amp; Supplies :-                                                                                                                                         
Diagnostics :-                                                                                                                                                                    
Capacity building training : -1.  RBSK Refresher training @ Rs. 50000/- per batch for 3 batches. 2. One-day orientation for MO / other staff Delivery points (RBSK training) -2 Batch training per district @ ₹21000 per batch, 3. Half-day RBSK refresher training @ Rs. 2500 x 16 = 40000/-
Asha Incentives :-                                                                                                                                  
OOC :-  1. Mobility support for RBSK Mobile health team- Incentive for RBSK nurse – Rs.1000*95*12 = Rs.11,40,000/- and 1 vehicles for MHT – Rs.48000*1*12 = Rs. 5,76,000 /- , 101 connections @ Rs.300 per month = 101*300*12 =  3,63,600                                                                                                                                                                                                                                                     Planning &amp; M &amp; E : -  One yearly meeting at the district level involving line departments like WCD, LSGD, ICPS, ORC, Childline, BRC/ Education dept. etc @ 50000 per district. 
IEC &amp; PRINTING- 0.2375 L for Printing of RBSK cards and registers and Diary @ Rs.250/- for 95 RBSK nurses
 </t>
  </si>
  <si>
    <t xml:space="preserve">Equipment :- Rs.52233  lakh is recommended for essential equipment as per gap analysis. . 
Drugs &amp; Supplies :- 
Diagnostics :- Approval is to purchase Consumables for functioning 
DEIC. @ Rs. 100000/-
Capacity building training : - 
 Asha Incentives :- 
OOC :- 1. Operational expenses for Rs.10000 per month for Kozhikode DEIC - Total amount  = Rs. 1,20,000/--, 
2. Referral Support for Secondary/ Tertiary – Rs. 280.85/- Lakhs    
Planning &amp; M &amp; E : - 
IEC &amp; PRINTING- Printing cost for DEIC – Rs. 1 lakhs </t>
  </si>
  <si>
    <t xml:space="preserve">Equipment :-    
Drugs &amp; Supplies :-                                                                                                                                         
Diagnostics :-                                                                                                                                           
Capacity building training : -  CDR training approved @ Rs.50000 per district.                                                                                                           
Asha Incentives :- Rs.50 per under 5 Child death @ community level /Non-FRU level/ pvt facilities for 129 under 5 deaths - 129 cases * 50 =  6450/                                                                                                                                  
OOC :- 1. ANM Honorarium (FBIR) - Rs. 100 per Under 5 Child Deaths @ Community level/ Non-FRU level/ private facilities for 129 Under 5 Deaths -127 cases * 100 = 12,900/- , 2. Medical Officer Honorarium (Verbal Autopsy) by team of 2 MOs -  Rs. 500 per Under 5 Child Deaths @ Community level/ Non- FRU level/ private facilities for 129 Under 5 Deaths -127 cases * 500 = 64,500/-, 3. Transport of parents @ Rs.100 per case to attend DM level meeting for 72 deceased children -72  children * 100 = 7200/-, 4. DM level meeting @ Rs. 5000 per District (per annum) 5000 * 1 = 5000/-                                                                                                                                                                                                                                                                                     Planning &amp; M &amp; E : -   
IEC &amp; PRINTING- </t>
  </si>
  <si>
    <t>Equipment :- 
Drugs &amp; Supplies :- 
Diagnostics :- 
Capacity building training : - Rs. 1 lakh per batch for district level  ToT/ training on F-IMNCI.
Asha Incentives :- 
 OOC :- Operational Cost Pediatric HDUs – Rs. 3.0 Lakhs as Operational Cost of 2 HDUs @ Rs. 1.5 Lakh per Unit. . 
Planning &amp; M &amp; E : - 
 IEC &amp; PRINTING- .</t>
  </si>
  <si>
    <t xml:space="preserve">                                                                                                                                                                                                                                                                                 Planning &amp; M &amp; E : -   District Level Review Meeting of Program including RBSK and CH @ Rs. 1.75 lakhs per District 
IEC &amp; PRINTING- Rs. 3.00 lakh for Child health IEC activities. 
 </t>
  </si>
  <si>
    <t>Training Rs.6.71 lakhs
 ASHA Incentives -Rs.103.34  lkhs for 2024-25 and Rs.101.03  for 2025-26
 OOC Rs.18.33 lakhs
 IEC &amp; PRINTING- 7.15 L (Activity breakup details attached in IEC annexure)
 Planning and M&amp;E Rs.4.75 lakhs
 SRRE-AEFI Rs.3.76 Lakhs</t>
  </si>
  <si>
    <t>WIFS trainings (block level), 1 batch (40 nos. ) @Rs.5500/) * No. of health blocks (KKD-16)</t>
  </si>
  <si>
    <t xml:space="preserve">a.DBT -Male sterilization -25 cases @ Rs 1500 per case.
b.Training of Medical Officers on NSV 1 batch @ Rs 34500/batch with 5 participants per batch for 5 days training </t>
  </si>
  <si>
    <t>DBT -Rs 100 per dose per beneficiary for 6 cases
ASHA Incentive- Rs 100 per dose per ASHA for 6cases</t>
  </si>
  <si>
    <t xml:space="preserve">DBT - for FPIS @ Rs 30000 as compensation for each failure of sterilization for 7 cases </t>
  </si>
  <si>
    <t>IEC &amp; PRINTING-  2.02 L Activity Breakup is attached
Planning &amp; M&amp;E- Rs.1 lakh for monitoring activities during World Population Day and vasectomy Fortnight at district and block level</t>
  </si>
  <si>
    <t>a.Drugs- Procurement of Self care Kit 36 kit @Rs 1000/kit-Selfcare kit should be installed in all delivery points and other appropriate facilities based on the demand and eligible couple catered by that facilty.
b. IEC &amp; PRINTING -2.25 L Activity Breakup attached
c. FP QAC meeting Rs 1000/meeting /quarter</t>
  </si>
  <si>
    <t>Capacity building incl. training - 1. Orientation activities on vitamin A supplementation and Anaemia Mukta Bharat Programme/ VIVA Kerala - Rs.100000 per district., 2. One day Orientation of frontline workers (ASHA/ANM) and allied department workers (Teachers/AWW) on  VIVA Kerala/ Anaemia Mukt Bharat - Rs.100000 per district.
ASHA Incentive - 1.National Iron Plus Incentive for Mobilizing WRA (non pregnant &amp; non lactating women  20-49 years) approved at Rs 50  for ASHA for one month - 2035 Asha * 50 * 12 = 1221000/- , 2. National Iron Plus Incentive for Mobilizing  children  and / or ensuring compliance and reporting (6-59 months) - approved @ Rs 100 for ASHA for one month - 2035 Asha * 100 *12 = 2442000/--</t>
  </si>
  <si>
    <t>Capacity building incl. training - 
Rs.6.99 lakhs for Orientation of Nodal teacher, field staff and Anganwadi workers @ Rs.50/- for  two rounds of NDD 
ASHA  INCENTIVE - Rs 4.07 Lakhs for ASHA incentives for 2035 ASHAs for 
mobilizing beneficiaries for NDD round @ Rs 100 per ASHA per round
Rs.100 * 2035 * 2 round  = 4,07,000/-/-
IEC and printing -  IEC and printing activities for NDD @ Rs 1.5 Lakh per 
district per round. Rs. 1.5 lakh * 2 round = 3,00,000/-</t>
  </si>
  <si>
    <t>IEC &amp; PRINTING- 0.5L (Activity breakup details attached)
Asha Incentive - ASHA incentive under MAA programme @ Rs 100 per ASHA for quarterly mother's meeting : 
Rs 400 * 2035 ASHAs = 8,14,000/-</t>
  </si>
  <si>
    <t xml:space="preserve">Diagnostics -A) Consumables, stationaries &amp; equipment maintenance for 1 CLMC @ Rs.249000 as recurring cost.  Rs.249000 x 1 CLMC  = Rs. 2,49,000/-
B) Consumables and stationaries for proposed 1 LMU @ Rs.105000 as recurring cost. 
 Rs.105000 x 1 = 105000/-
</t>
  </si>
  <si>
    <t xml:space="preserve">1.Incentive for IDCF for prophylactic distribution of ORS to family with under-five children: Approved @ Rs 100 per ASHA for IDCF campaign for the routine activity. 2035*100 = 2,03,500                                                                                                                                                     
2. IEC &amp; Printing - Approved under IDCF @ Rs.0.75 lakh                                         </t>
  </si>
  <si>
    <t>Promotion of gestional diet activities.</t>
  </si>
  <si>
    <t>Training Rs.8.10lakhs
Planning and M&amp;E Rs.3.75 lakh
SRRE-Rs.2.5 lakh</t>
  </si>
  <si>
    <t>Training Rs.1.50 lakhs
Equipments Rs.1.37Lakhs
OOC Rs.3.22 lakhs
IEC &amp; Printing Rs.0.85 lakhs
Planning and M&amp;E Rs.7.60 lakh</t>
  </si>
  <si>
    <t xml:space="preserve">Training Rs.0.60 Lakhs
ASHA incentive Rs.1.50 Lakhs
OOC Rs.74.72Lakhs
IEC &amp; Printing Rs.1. Lakh 
Planning &amp; M&amp;E Rs. 3.75 Lakh
SRRE Rs..2Lakhs
</t>
  </si>
  <si>
    <t>Capacity building including Training Rs. 0.40L
OOC Rs. 5.74Lakhs
IEC &amp; Printing Rs.3.25 Lakhs
Planning and M&amp;E -Rs.2 Lakhs
SRRE Rs.1.20 Llakhs</t>
  </si>
  <si>
    <t>Diagnostics - 0.68 L
 Approved Rs 0.68 Lakhs per district for drugs required for management of reaction and printing.
 ASHA incentives - 82.118 L
 1. Approved an amount of Rs 81.84 L as incentive for Incentive for search team (Rs 1000 per Volunteer) for each screening round/ village for LCDC
 2. Approved Rs 0.04 L as Incentive for ASHA/ AWW/ Volunteer/ etc for detection of Leprosy (Rs 250 for detection of an early case before onset of any visible deformity, Rs 200 for detection of new case with visible deformity in hands, feet or eye)
 3. Approved Rs 0.02 L for ASHA Incentive for Treatment completion of PB cases (@ Rs 400)
 4. Approved Rs 0.018 L for ASHA Incentive for Treatment completion of MB cases (@ Rs 600)
 5. Approved 0.20 L for Any other ASHA incentives(Sensitisation) @ Rs 100 per ASHA
 OOC - 1.8 L:
 Approved for Case Detection and Management in urban Areas</t>
  </si>
  <si>
    <t>Equipment - 0.312 L 
 1. Procurement of other equipment: NLEP- MCR
 Approved Rs 0.24 Lakhs for MCR Chappals @ Rs 400 per unit
 2. Procurement of other equipment: NLEP- Aids/Appliance
 Approved Rs 0.072 Lakhs for Self care kit @ Rs 150 per unit 
 OOC - 1.10 L
 Approved for Early detection in camps, ulcer management, and prevention of deformity @ Rs 10000 per camp</t>
  </si>
  <si>
    <t>Capacity building incl Training - 5.092 L
 1. Approved Rs 4.092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- 3.1276 L
 1.Approved Rs 0.92 Lakhs for Advocacy/ IEC (Rs 4000/block of urban area) in connection with LCDC.
 2. Approved Rs 1.2276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- 3.7162 L
 1.Office operation &amp; Maintenance, Consumables- District Cell @ Rs 0.30 Lakhs
 2. Mobility Support District cell including TA/DA of NLEP staff@ Rs 1.5 Lakh/district
 3. Approved an amount of Rs 0.817 L as POL, transport (field supervisors) for LCDC @ Rs 100/ supervisor
 4. Approved Rs 0.4092 Lakhs for Logistics Rs.10/ team in connection with LCDC.
 5. Approved Rs 0.69 Lakhs for Supervision and monitoring @ Rs 3000 per block in connection with LCDC</t>
  </si>
  <si>
    <t>73.1 – DBT – Rs. 5.52 Lakhs:- Treatment Supporter Honorarium (Rs.1000) - one-time payment on the update of the Outcome of Treatment for drug sensitive TB patients, will be release through Nikshay DBT Mode directly to the beneficiaries.
73.2 - Infrastructure - Civil - Rs 3.00 lakhs – Rs. 3.00 lakhs for minor civil works/ repairing &amp; maintenance required at  DTC, TU &amp; DMC and X-ray facilities etc based on need basis and for minor civil works., 
73.3 - Equipments - Rs. 8.40 Lakhs -  Rs. 2.50 lakhs Procurement of equipment for District levels. (DMC, X-ray and ECG, etc for NTEP) Procurement of Sleeves and drug boxes - Rs. 2.40 lakhs for Maintenance / up gradation costs for Laboratory equipment’s DMC, X-ray and ECG, etc for NTEP  - Rs. 2.00 lakhs for Procurement of office equipment and furniture for District levels. (Office Equipments)  - Rs. 1.50 lakhs for Maintenance / up gradation costs for office equipment’s (Office Equipments)
73.4 - Drugs - Rs. 7.00 Lakhs - Procurement of First line drugs, Local Procurement of first line Anti TB  drugs on need basis and Drug Transportation charges etc
73.5 - Diagnostics (Consumables, PPP, Sample Transportation) - Rs. 12.00 Lakhs - Rs. 4.10 lakhs Patient Support &amp; Sample collection and Transport , Charges for transportation of samples for diagnosis, DST, follow-up &amp; Rs. 7.90 lakhs for Procurement of Lab consumables for DMCs, Procurement of Consumables for X-rays, ECG and etc.
73.6 - Capacity building Incl. training - Rs. 9.00 Lakhs -   Rs. 5.00 lakhs for training cost (including TA/DA &amp; other course materials) for officers / staff/ TB Champions and all district staff at National level, State level and District level, Rs. 3.00 lakhs Cost for conducting CME Training in Medical Colleges, Rs. 1.00 lakhs Community Engagement Activities - Sensitization of TB survivors, sensitization of NGOs, PRIs meeting, TB survivor led activities, etc
73.8 - Others including operating costs (OOC) - Rs. 3.45 Lakhs  - Rs. 1.45 lakhs Incentives for Active Case Finding/Akshaya Keralam Campaign/TB Elimination house to house visit , Rs 10/ for every household visit &amp; Rs 500/ for every new cases identified -the unit cost shall preferably be budgeted as per household or per person screened.,  Rs. 0.35 lakhs Incentive to non-salaried person for injection prick,  Rs. 1.65 lakhs Budget for Printing of Materials..
73.10 - Planning &amp; M&amp;E - Rs. 15.00 Lakhs  - Rs. 4.00 lakhs Supervision and Monitoring (District Level) - TA/DA cost of all officer/ staff working in NTEP, review meetings, Cost of internal evaluation etc.,  Rs. 2.50 lakhs POL for existing vehicles under NTEP and mobility support for those field staff in lieu of vehicles, Rs. 2.00 lakhs Vehicle hiring cost for Districts on contract, Rs. 1.50 lakhs Medical Colleges meetings, Rs. 3.00 lakhs Office operation includes office maintenance expenditure, stationary, communication etc. Rs. 2.00 lakhs Maintenance cost for District vehicles (including four-wheeler &amp; two wheelers)
73.11 - Surveillance, Research, Review, Evaluation (SRRE) - Rs. 0.50 Lakhs  - Support for State &amp; District level/TU/LSG TB Forums(Treatment Support Groups) functioning including meeting cost, travel support to community members attending meeting, etc.</t>
  </si>
  <si>
    <t>74.1 – DBT – Rs. 93.50 Lakhs - Nutrition support to TB patient Rs. 500 per month till the treatment is completed, by DBT for DSTB Patients for 6 months &amp; Nutrition support to TB patient Rs. 500 per month till the treatment is completed, by DBT for DRTB Patients for 12 months. The payment to be release directly to the beneficiary bank account through Nikshay DBT mode.</t>
  </si>
  <si>
    <t>75.1 – DBT – Rs. 2.93 Lakhs - Private Provider Incentives- NTEP DBT Scheme @Rs. 500/- per notification and Rs. 500/- when treatment outcome declared &amp; Incentives for first informant (20% of Public notified case will be expected to be eligible for first informant incentive).
75.8 - Others including operating costs (OOC) - Rs. 9.50 Lakhs  - Cost of existing NGO/ PP support schemes and new NGO/ PP support schemes proposed as per NTEP Public Private Partnership Guidance.</t>
  </si>
  <si>
    <t>76.5 - LTBI Diagnostics (Consumables, PPP, Sample Transportation) - Rs. 4.00 lakhs - Screening, referral linkages and follow-up under Latent TB Infection Management ,Cost for screening of LTBI such as incentives, sample collection &amp; transport, etc activities pertaining to LTBI.</t>
  </si>
  <si>
    <t>77.1 – DBT – Rs. 1.00 Lakhs:- Treatment Supporter Honorarium (Rs.5000), payment on the update of the Outcome of Treatment for drug resistant TB patients. will be release through Nikshay DBT Mode directly to the beneficiaries.
77.2 - Infrastructure - Civil - Rs 2.00 lakhs - minor civil works/ repairing &amp; maintenance of Nodal DRTB centre, CBNAAT, TRUNAAT sites, IRL &amp; CDST labs on need basis.
77.3 - Equipments - Rs. 2.00 Lakhs -  Procurement of equipment for District levels (DR TB Centre, C&amp; DST Lab and Molecular Diagnostics), Maintenance / up gradation costs for Laboratory equipment’s for DR TB Centre, C&amp;DST Lab and Molecular Diagnostics Equipment for NTEP
77.4 - Drugs - Rs. 4.00 Lakhs - Procurement of DRTB drugs, Local Procurement of second line drugs on need basis and Drug Transportation charges etc
77.5 - Diagnostics, Consumables, PPP, SampleTransportation) - Rs. 12.00 Lakhs - Procurement of Lab Materials and consumables for molecular diagnostics and CDST
77.6 - Capacity building Incl. training - Rs. 0.40 Lakhs -   Training for AIC, Cost for AIC related trainings etc.
77.11 - Surveillance, Research, Review, Evaluation (SRRE) - Rs. 0.50 Lakhs  - AIC Review Committee, Cost for Committee meeting &amp; etc.</t>
  </si>
  <si>
    <t>Approved for 700 cases @ Rs 1000 for the Assistance for consuma-bles/ drugs/ medicines including IOL to the Govt. Hospital for Cataract surgery</t>
  </si>
  <si>
    <t>Approved for 1100 cases@ Rs 2000 per case</t>
  </si>
  <si>
    <t>Approved for 110 pair @ Rs 2000 per pair</t>
  </si>
  <si>
    <t>Approved @ Rs 1 Lakh per unit for 9 vision centers- Valayam, Villiappally, Chorod, Kayanna, Kolathoor, Koothali, Kuruvatoor, Mangad, Koorachund</t>
  </si>
  <si>
    <t>Approved @ Rs 1 Lakh per unit for 2 vision centers- Chekyad, Kakkodi</t>
  </si>
  <si>
    <t>1. District Level Trainings and PBS Training Rs. 3 Lakhs /each District 
 2.ASHA Incentive for CBAC Form Filling for Population Based Survey - Rs.50.15 Lakhs
 • ASHA Incentive for NCD follow-up activity: Rs. 11.33 Lakhs 
 3.Rs.4 L for IEC activities for Dist level. and Printing of referral cards at PHC @ Rs.2500/card 
 4. Planning &amp; M&amp; E Rs. 3 L/each District level for Program Management Activities</t>
  </si>
  <si>
    <t>OOC -Rs.13.95 lakhs approved @ Rs. 250 per wellness session for one session per month for 12 months at HWCs SC and PHCs
Planning and M&amp;E 
Rs. 0.50 lakhs approved for  refresher training and review on wellness for Medical officers for PHC&amp;UPHCs. 
Rs. 1.50 lakhs approved @Rs 75000  per batch for training of MLSPs</t>
  </si>
  <si>
    <t xml:space="preserve">Capacity building incl. training  - 35.54 L
Induction training to ASHA@Rs. 74750 per batch of 30 ASHA for Rs. 0.74 L
ASHA 10th Module training @ Rs. 1533 per one ASHA for 2035 ASHA  31.19  L
Supplementary training to ASHA - One ASHA from one institution per month @ Rs. 300 per ASHA for 100ASHA's -  3.60  L.
ASHA incentives – 524. 20 L 
ASHA fixed incentive @Rs. 2000 per month for 2035 ASHAs Rs. 488.40  L 
Incentive for monthly review meeting @Rs.100 per month for 2035 ASHAs  Rs. 24.42 L
Social Security Insurance packages for ASHA - PMJJBY @ Rs.436 for 860 ASHA of  Rs. 3.74  L , PMSBY @Rs. 20 for 1511 ASHA Rs . 3.02  L,  PMSYM @Rs.100 per month for  610 ASHAs Rs. 7.32  L . Total  14.08  L.
OOC  49.62 L
 Ongoing expenses for Ward Health Facilitation Centres @Rs. 500 per month per ward 13 wards Rs.0.78 L          
Mobile allowance to ASHA @Rs. 200 per month for Rs. 48.84 L
IEC &amp; PRINTING- 4.535L (Activity breakup details attached)                                                                    2025-26 Distrit ASHA Sammelan  Rs. 2 L
</t>
  </si>
  <si>
    <t xml:space="preserve">
ASHA Incentive – 10.18 L
Incentive to ASHA for ABHA ID creation @ Rs. 10 for 50 ABHA ID for 2035  one ASHA @ Rs. 10.175 L
OCC-1.80  L 
Incentive for TG Link Workers @ Rs. 5000 per month @ Rs. 1.80 L &amp;  for 2025-26 Incentive for TG Link Workers @ Rs. 5250 per month
IEC &amp; PRINTING- 3.10L (Activity breakup details attached)</t>
  </si>
  <si>
    <t xml:space="preserve">a.Equipment 
A total of Rs.9.80 L allotted for External Quality Assurance of LABS in the district at annual rates of not  more than 
•        DH-Rs.20,000/- ( 3DH), 
•        TH-Rs.20,000/-(6 TH/THQH), 
•        CHC-Rs.10,000/-(16 CHC), 
•        PHC-Rs.10,000/-(64 PHC)  .
EQAS Priority should be given to the targeted institutions for NQAS.
b .Capacity building including training
A total of Rs. 11.95      L allotted for the following expenses
b.1. NQAS District Level Training -      An amount of Rs. 1.66   Lakhs  is allotted for NQAS district level training of prioritized/targeted institutions for NQAS in the district. The training shall be given as team training to staffs of the targeted institutions. (Rs.83,000* 2 days ) .As per the Quality training norms NQAS operational guideline 2021 page no 101.
b.2 Kayakalp refresher training   -A total of  Rs.10.29    L allotted for the following - 
b.2.1 District Level Trainings under Kayakalp Rs.54,000/- for District Level refresher trainings/ Internal Assessor workshop under Kayakalp.
Peer assessment awareness cum Internal/District Assessor workshop shall be provided to district Kayakalp inspection team.
b.2.2 Facility Level Kayakalp Training on "Swachh Bharat Abhiyan“- Rs. 9.75     L.  Facility Level Kayakalp Training on "Swachh Bharat Abhiyan“ –Kayakalp  Institutional training  for  each institutions 
•        DH- Rs.20,000/- (3DH)  
•        TH/THQH and CHC Rs.15,000/- (22TH/THQH &amp; CHC) ,
•        PHCs -Rs.6000/- ( 64PHC) , 
•        HWC-SC Rs.500/- (  401HWC-SC) 
Districts can prioritize institutions as per performance of needed additional trainings.
c. OOC - Rs32.08L
c.1 Rs.5 L for  District  Level Assessment &amp; Mentoring Visit including Vehicle for field visit in Districts for Quality Program.
c.2 Rs.27.08 lakhs for assessments (National/state/NQAS, MusQan)  (1 DH, 1SDH, 1 CHC, 10 PHC, 10 SC)
d. IEC/BCC
Rs.1 L   is allotted for IEC &amp; Printing for providing                                                    Signage’s- in Approach road, departmental, directional and any other relevant facility level signage’s for Quality Assurance or printing of Quality improvement IECs boards in hospital at DH/SDH .
Districts can prioritize the needy institutions based on gap analysis. Not exceeding maximum of Rs.50,000/- per institution. 
e.Planning &amp; M&amp;E.Rs.0.79L for 
  a.    Rs.24,000/-  allotted for district towards expenses for conducting    District Quality Assurance Committee Meetings as per NQAS Operational guidelines 2021 (DQAC should be met at least once in a quarter)  and other Quality Review Meetings.
 b.   Rs.55,000/-allotted for district towards meeting Contingency &amp; Misc expenses including expenses incurred for District Level Quality Assessments.                   </t>
  </si>
  <si>
    <t xml:space="preserve">Diagnostics: Rs. 21.80   L 
Consumables related to implementation of infection control practices in hospital/ hospital laboratory including cost of water testing /environmental swab/sample testing, autoclave bags, indicator strips etc.
 · DH&amp;TH/THQH - @ Rs 1L for each  9   DH &amp; TH 
 · CHC – Rs.40,000/- for each    16 CHC 
 · PHC- Rs.10,000/- for each 64  PHC 
 Priority should be given to the targeted institutions for NQAS.
OOC-   63.01 lakhs
1 Expenses for Kayakalp Peer Assessment of institutions - Rs.10.81    L.  
•        DH Level Peer Assessment -Rs.25,000/- each for 3 DH           
•        TH/THQH &amp; CHC Hospital Peer Assessment- Rs.13,000/- each for  22TH/THQH &amp; CHC.
•        PHC Peer Assessment - Rs.5000/- each  for 64 PHC                                                  
•        HWC-SC Peer Assessment - Rs.5000/- for 80 HWC-SC (20% of Total    401 HWC-SC)  
2 BIOMEDICAL WASTE MANAGEMENT-  Rs.23   L  Support for the implementation of Kayakalp                                      
•        DH-Rs.60,000/- each for  3 DH,        
•        TH/THQH-Rs.60,000/- each for 6 SDH,                                                                
•        CHC –Rs.30,000/- each for  16 CHC,                                                           
•        PHC-Rs.20,000/- each for 64  PHC.           
3 Pest Control- Rs. 13.70   L 
Pest control measures has to be undertaken and done regularly at the institutions level. For implementing Pest control measures in     
•        DH – Rs.50,000/- each for 3 DH ,   
•        TH – Rs.30,000/- each for 6 TH ,                                                                     
•        CHC – Rs.25,000/- each for 16   CHC,                                                       
•        PHC –Rs.10,000/- each for  64  PHC.   
4 Support for NQAS/KASH/MusQan Implementation for the gap closure in targeted institutions  Rs.15L for District for identified target institutions on priority basis. 
5. Rs.0.50 L for District Level Award function and District Assessment.
IEC/BCC (Printing of SOPs necessary for Implementation of NQAS, Kayakalp, LaQshya, MusQan) – Total Rs.7.85   L.
•        (DH/GH/W&amp;C- Rs.25,000/- each for   3DH),
•        (TH/THQH - Rs.25,000/- each for  6 TH/THQH )
•        (CHC - Rs.15,000/- each for   16 CHC ),
•        (PHC - Rs.5,000/- each for 64 PHC) 
The SOP printing amount for the HWC-SCs under PHC  shall be given by the PHC. Out of Rs.5,000/-, Rs.3,000/- for PHC and Rs.2000/- for HWC-SC) </t>
  </si>
  <si>
    <t xml:space="preserve">OOC -
Rs.10 lakhs for Call Allowance
Rs. 63900/-for incentives to provider for PPIUCD services 426*150
Rs.4800/- for incentives to provider for PAIUCD services 32*150
Rs.4.02 Lakhs for Incentives for updation of NVHCP MIS portal 
(Nodal officer/Pharmacist/Lab Technician)  </t>
  </si>
  <si>
    <t xml:space="preserve">FY 2024-2025
GH Kozhikode - 70.36 L - Stipend for accredited seats Rs. 51,36,000/ - [ DNB Medicines Rs.53000*2*12 + Rs.54000*2*12 = Rs. 2568000  and for Diploma Ophthalmology Rs.53000*2*12 + Rs.54000*2*12 = Rs. 2568000] 
MHC Kozhikode - 34.63 L
FY 2025-2026
MHC Kozhikode - 9.33 L - Academic ambience, CME fund, books,  Procurement of instruments
GH Kozhikode - 83.56 L - Stipend for accredited seats Rs. 64,56,000/ -(  DNB Medicine for 1st year Rs.53000*2*12 +  2nd year Rs.54000*2*12 + 3rd year Rs.55000*2*12 = Rs. 38,88,000  and for Diploma Ophthalmology 1st year  Rs.53000*2*12 + 2nd year Rs.54000*2*12  = Rs. 2568000 ) </t>
  </si>
  <si>
    <t>FY 2024-2025
Kozhikode - 18 L(Training of Medical Officers and Nursing Officers in maternal health related skills and procurement of mannequines/equipments except Laptop)
FY 2025-2026
Kozhikode - 18 L(Training of Medical Officers and Nursing Officers in maternal health related skills and procurement of mannequines/equipments except Laptop)</t>
  </si>
  <si>
    <t>IEC &amp; PRINTING- 1.78L (Activity breakup details attached)
Planning and M&amp;E
10 HMIS / RCH training cum review meeting @ unit cost 10000/- at District level
2 HMIS / RCH training cum review meeting per health Block @ unit cost 10000/- -16 blocks
OOC) Rs. 35000/-  internet annual user fee for (6 UPHCs)</t>
  </si>
  <si>
    <t>DBT  Sterilization-Female  -Public  - BPL/SC/ST Sterilization  Rs 1000 per case .APL  sterilization RS 650 per case</t>
  </si>
  <si>
    <t xml:space="preserve">
1)DBT-Rs.26.93 lakhs (R-3039  xRs.700 + U-908 xRs.600 + H-42*Rs 500)
2) Asha incentive - Rs.21.87 lakhs (Rural@Rs 600 &amp; Urban@Rs 400 )
3)  Planning &amp; M&amp; E - Rs.1.08 lakhs (For Administrative exp- @4% of DBT given)</t>
  </si>
  <si>
    <t xml:space="preserve">
1)Free Drugs &amp; consumables -Rs 27.4 lakhs for PW( 2859ND @ Rs 350 &amp; 1088 C sections @ Rs 1600) accessing Govt health facilities for delivery
2) Diagnostics -Rs 8 lakhs@ Rs 200/beneficiary for 3947 PW 
  3) Other Operating Cost(Blood transfusion &amp; Diet) - a.Diet - Rs. 16.2 lakhs @ Rs 100 for 2859ND for 3 days(2859*100*3)  and 1088 C sections for 7 days (1088*100*7)                                                                                                                                                                         
b.Blood Transfusion - Rs. 1.2lakhs @ Rs 300/PW for blood transfusion of 10% of total deliveries in govt.health facilities (10% of 3947= 395)     </t>
  </si>
  <si>
    <t xml:space="preserve">JSSK free transport  for pick up, drop back and referral to higher institutions @Rs 500 /beneficiary for 3947 beneficiaries </t>
  </si>
  <si>
    <t>DBT
 Rs.0.36 lakhs for mobility support to HRP women @Rs 100 for 3 visits for 120 HRPs(100*3*120 = Rs.0.36 lakhs)
ASHA Incentives
1) e-PMSMA -                                                                                                        a. Rs.0.36 lakhs for ASHA incentives for mobilising HRP women @Rs 100 for 3 visits for 120 HRPs(100*3*120 = Rs.0.36 lakhs)                                                                                                                      b. Rs 0.6 lakhs for ASHA incentives for healthy outcome of HRP @ Rs 500/HRP for 120 HRPs (500*120 = Rs 0.6 lakhs)
2) PNC visit - Rs.0.15 lakhs as ASHA incentive for healthy outcome of HRPs identified during  PNC visit (Rs.250* 60= Rs 0.15 lakhs)                                                                                                                OOC
PMSMA session sites -3, Fund to be utilised for vehicle hiring/POL/refreshments</t>
  </si>
  <si>
    <t xml:space="preserve">IEC &amp; PRINTING- 0.75L (Activity breakup details attached)
Branding of 15 SUMAN certified facilities @ Rs.5000/- per facility
Planning and M&amp;E
Rs 10000 for conducting district level meeting(2 meetings in a year). This may be utlised for conducting DQAC meeting </t>
  </si>
  <si>
    <t>2024-25
1.Equipments
Color coded hand ties for mother and child identification for 3 LaQshya targeted facilities  (2959 delivery x2noxRs.10 = 0.59L)
2.Capacity building incl. training s for district level 
LaQshya training @ Rs 0.75 L /Districts 
3.Operational Cost for District level activities 
Rs 1 lakh for gap closure identified during internal/District assessment. Rs.2 lakhs for National/state assessment as per NQAS operational guidelines
2025-26
1Equipments
Color coded hand ties for mother and child identification for 3 LaQshya targeted facilities  (3242 delivery x2noxRs.10 = 0.65L)
2.Capacity building incl. training s for district level 
LaQshya training @ Rs 1L /District 
2.Operational Cost for District level activities 
Rs 1 lakh for gap closure identified during internal/District assessment. Rs.2 lakhs for National/state assessment as per NQAS operational guidelines</t>
  </si>
  <si>
    <t xml:space="preserve">MH IEC &amp; PRINTING- 2.80L (Activity breakup details attached)
OOC: 2 RCH camps @ 15000/-= 0.30L
2025-26
Training -One batch RTI/STI training for MO @ Rs.50000/- </t>
  </si>
  <si>
    <t>IEC &amp; PRINTING- 1.50L (Activity breakup details attached)</t>
  </si>
  <si>
    <t>Equipment :-   Repair equipment for 40 existing nurses - Unit cost - Rs.2000/-
Drugs &amp; Supplies :-                                                                                                                                         
Diagnostics :-                                                                                                                                                                    
Capacity building training : -1.  RBSK Refresher training @ Rs. 50000/- per batch for 3 batches. 2. One-day orientation for MO / other staff Delivery points (RBSK training) -2 Batch training per district @ ₹21000 per batch, 3. Half-day RBSK refresher training @ Rs. 2500 x 5 = 12500/-
Asha Incentives :-                                                                                                                                  
OOC :-  1. Mobility support for RBSK Mobile health team- Incentive for RBSK nurse – Rs.1000*40*12 = Rs.4,80,000/- and 2 vehicles for MHT – Rs.48000*2*12 = Rs. 11,52,000 /-, 44 connections @ Rs.300 per month = 44*300*12 = 1,58,400                                                                                                                                                                                                                                                   Planning &amp; M &amp; E : -  One yearly meeting at the district level involving line departments like WCD, LSGD, ICPS, ORC, Childline, BRC/ Education dept. etc @ 50000 per district. 
IEC &amp; PRINTING- 0.10 L for Printing of RBSK cards and registers and Diary @ Rs.250/- for 40 RBSK nurses</t>
  </si>
  <si>
    <t xml:space="preserve">Equipment :- Rs.276746  lakh is recommended for essential equipment as per gap analysis. 
Drugs &amp; Supplies :- 
Diagnostics :- Approval is to purchase Consumables for functioning 
DEIC. @ Rs. 100000/-
Capacity building training : - 
 Asha Incentives :- 
OOC :- 1. Operational expenses for Rs.20000 per month for Wayanad DEIC - Total amount  = Rs. 2,40,000/-, 
2. Referral Support for Secondary/ Tertiary – Rs. 140.42/- Lakhs     
Planning &amp; M &amp; E : - 
IEC &amp; PRINTING- Printing cost for DEIC – Rs. 1 lakhs </t>
  </si>
  <si>
    <t xml:space="preserve">Equipment :- 
Drugs &amp; Supplies :- 
Diagnostics :- 
Capacity building training : - One day District  Level TOT training for selected 10 participants
 in each districts @ Rs.11000/-
Asha Incentives :- Incentive for HBNC, HBYC, &amp; SNCU discharge babies – Rs. 27.66 lakhs 
OOC :- 
Planning &amp; M &amp; E : - 
IEC &amp; PRINTING- </t>
  </si>
  <si>
    <t>Equipment :-    
Drugs &amp; Supplies :-                                                                                                                                         
Diagnostics :-                                                                                                                                           
 Capacity building training : - 1. NSSK Training for Medical Officers - 2 batch NSSK training Rs. 34400 x 2 = Rs.68800/-., 2. NSSK Training for Staff Nurses - 2 batch NSSK training Rs. 34400 x 2 = Rs.68800/-, 3. Trainings for Family participatory care (KMC) - Rs 50000 per district to get a  team of trained doctors and Nurses at SNCUs. Rs.50000 x 1 = Rs.50,000/- , 4. Rs. 1 lakh is approved for two batches of Musqan District level Sensitization Training @ 100000 per district, 5. MUSQAN: Health Institution level activities – 4 lakh approved for selected 2 institutions. Unit price of  1 each for gap filling &amp; Equipments approved for these 2 institutions.                                                                                                         
Asha Incentives :-                                                                                                                                  
OOC :- 1. 1 Functional SNCUs = Rs. 300000x 1 SNCU = Rs.3,00,000/-, 2. NBCC– approved @ Rs.10,000 for 5 delivery points Rs. 10000x5Delivery point = 50,000/- , 3. Family participatory care (KMC) -Rs. 75000 x 1 SNCUs = 75,000/- ,4.  Operating expenses for  4 NBSU – Rs. 4 lakhs.                                                                                                                                                                                                                                                                                    Planning &amp; M &amp; E : -   
IEC &amp; PRINTING- Rs 1 lakh per unit for 1 SNCUs</t>
  </si>
  <si>
    <t xml:space="preserve">Equipment :-    
Drugs &amp; Supplies :-                                                                                                                                         
Diagnostics :-                                                                                                                                           
Capacity building training : -  CDR training approved @ Rs.50000 per district.                                                                                                           
Asha Incentives :- Rs.50 per under 5 Child death @ community level /Non-FRU level/ pvt facilities for 129 under 5 deaths - 129 cases * 50 =  6450/                                                                                                                                  
OOC :- 1. ANM Honorarium (FBIR) - Rs. 100 per Under 5 Child Deaths @ Community level/ Non-FRU level/ private facilities for 129 Under 5 Deaths -127 cases * 100 = 12,900/- , 2. Medical Officer Honorarium (Verbal Autopsy) by team of 2 MOs -  Rs. 500 per Under 5 Child Deaths @ Community level/ Non- FRU level/ private facilities for 129 Under 5 Deaths -129 cases * 500 = 64,500/-, 3. Transport of parents @ Rs.100 per case to attend DM level meeting for 72 deceased children -72  children * 100 = 7200/-, 4. DM level meeting @ Rs. 5000 per District (per annum) 5000 * 1 = 5000/-                                                                                                                                                                                                                                                                                     Planning &amp; M &amp; E : -   
IEC &amp; PRINTING- </t>
  </si>
  <si>
    <t xml:space="preserve">Equipment :-    
Drugs &amp; Supplies :-                                                                                                                                         
Diagnostics :-                                                                                                                                           
Capacity building training : -  1.  Rs. 1.0 Lakhs for District level sensitization for Medical Officers, Staff nurses, JPHNs, PHNs etc,  2.  Rs. 0.50 Lakhs for One day Training  for Paediatricians and medical Officers of 40 participants on new Pneumonia management guidelines Rs 150000 * 1 = 150000/-, 3. Training of ASHAs- 30 batch x Rs.3000 = Rs. 90,000/-
Asha Incentives :-                                                                                                                                  
OOC :-                                                                                                                                                                                                                                                                                             Planning &amp; M &amp; E : - Rs. 20000  for Supportive Supervision of SAANS Program.  
IEC &amp; PRINTING-  1. 1 Lakh per District for  District Level Launch of SAANS Campaign, 2. Rs. 2 lakh for per district for district level  IEC /BCC Activities of SAANS Campaign., 3. Rs. 20000 for printing of SAANS Guidelines.
</t>
  </si>
  <si>
    <t xml:space="preserve">                                                                                                                                                                                                                                                                                 Planning &amp; M &amp; E : -   District Level Review Meeting of Program including RBSK and CH @ Rs. 1.75 lakhs per District 
IEC &amp; PRINTING- Rs. 3.43 lakh for Child health IEC activities. 
 </t>
  </si>
  <si>
    <t>Training Rs.2.58 lakhs
 ASHA Incentives -Rs.28.16  lkhs for 2024-25 and Rs.27.78  for 2025-26
 OOC Rs.8.21 lakhs
 IEC &amp; PRINTING- 4 L (Activity breakup details attached in IEC annexure)
 Planning and M&amp;E Rs.3.98 lakhs
 SRRE-AEFI Rs.1.73 Lakhs</t>
  </si>
  <si>
    <t>WIFS trainings (block level), 1 batch (40 nos. ) @Rs.5000/) * No. of health blocks (WYD - 5)</t>
  </si>
  <si>
    <t>DBT -Rs 100 per dose per beneficiary for 461 cases
ASHA Incentive- Rs 100 per dose per ASHA for 461 cases</t>
  </si>
  <si>
    <t xml:space="preserve">DBT - for FPIS @ Rs 30000 as compensation for each failure of sterilization for 4 cases </t>
  </si>
  <si>
    <t>IEC &amp; PRINTING-  1.7 L Activity Breakup is attached
Planning &amp; M&amp;E- Rs.1 lakh for monitoring activities during World Population Day and vasectomy Fortnight at district and block level</t>
  </si>
  <si>
    <t>a.Drugs- Procurement of Self care Kit 26 kit @Rs 1000/kit-Selfcare kit should be installed in all delivery points and other appropriate facilities based on the demand and eligible couple catered by that facilty.
b. IEC &amp; PRINTING -6.40 L Activity Breakup attached
c. FP QAC meeting Rs 1000/meeting /quarter</t>
  </si>
  <si>
    <t xml:space="preserve">Capacity building incl. training - 1. Orientation activities on vitamin A supplementation and Anaemia Mukta Bharat Programme/ VIVA Kerala - Rs.100000 per district., 2. One day Orientation of frontline workers (ASHA/ANM) and allied department workers (Teachers/AWW) on  VIVA Kerala/ Anaemia Mukt Bharat - Rs.100000 per district.
ASHA Incentive - 1.National Iron Plus Incentive for Mobilizing WRA (non pregnant &amp; non lactating women  20-49 years) approved at Rs 50  for ASHA for one month -922 Asha * 50 * 12 = 553200/-, 2. National Iron Plus Incentive for Mobilizing  children  and / or ensuring compliance and reporting (6-59 months) - approved @ Rs 100 for ASHA for one month - 922 Asha * 100 *12 = 1106400/-
</t>
  </si>
  <si>
    <t>Capacity building incl. training - 
Rs.2.53 lakhs for Orientation of Nodal teacher, field staff and Anganwadi workers @ Rs.50/- for  two rounds of NDD
ASHA  INCENTIVE - Rs 1.84 Lakhs for ASHA incentives for 922 ASHAs for mobilizing beneficiaries for NDD round @ Rs 100 per ASHA per round - Rs.100 * 922 * 2 round  = 1,84,400/-
IEC and printing -  IEC and printing activities for NDD @ Rs 1.5 Lakh per 
district per round. Rs. 1.5 lakh * 2 round = 3,00,000/-</t>
  </si>
  <si>
    <t xml:space="preserve">ASHA Incentive - Rs 0.225 Lakhs for ASHA incentives for referral of SAM cases to NRC 
and for follow-up on discharge for 75 SAM cases @ Rs 300 per SAM case
OOC- Operating expenses for 1 NRC -  3.5 lakh for NRC Wayanad. </t>
  </si>
  <si>
    <t>IEC &amp; PRINTING- 0.5L (Activity breakup details attached)
Asha Incentive - ASHA incentive under MAA programme @ Rs 100 per ASHA for quarterly mother's meeting : 
Rs 400 * 922 ASHAs = 3,68,800/-</t>
  </si>
  <si>
    <t xml:space="preserve">1.Incentive for IDCF for prophylactic distribution of ORS to family with under-five children: Approved @ Rs 100 per ASHA for IDCF campaign for the routine activity. 922*100 = 92,200					                                                                                                                                                    
2. IEC &amp; Printing - Approved under IDCF @ Rs.0.75 lakh                                         </t>
  </si>
  <si>
    <t>Training Rs.6.25 lakhs
Planning and M&amp;E Rs.3.75 lakh
SRRE-Rs.2 lakh</t>
  </si>
  <si>
    <t xml:space="preserve">Training Rs.1.10 lakhs
Equipments Rs.0.84Lakhs
OOC Rs.0.69 lakhs
IEC &amp; Printing Rs.0.60 lakhs
Planning and M&amp;E Rs.2.10 lakh
</t>
  </si>
  <si>
    <t>Training Rs.1.10 lakhs
Equipments Rs.0.84Lakhs
OOC Rs.0.69 lakhs
IEC &amp; Printing Rs.0.60 lakhs
Planning and M&amp;E Rs.2.10 lakh</t>
  </si>
  <si>
    <t>Training Rs.0.40 Lakhs
ASHA incentive Rs.0.88 Lakhs
OOC Rs.17.87Lakhs
IEC &amp; Printing Rs.0.50 Lakh 
Planning &amp; M&amp;E Rs.2.50 Lakh
SRRE Rs..2Lakhs</t>
  </si>
  <si>
    <t>Capacity building including Training Rs. 0.40L
OOC Rs.0.0950Lakhs
IEC &amp; Printing Rs.0.50 Lakhs
Planning and M&amp;E -Rs.0 Lakhs
SRRE Rs.0.55 Llakhs</t>
  </si>
  <si>
    <t xml:space="preserve">Capacity building including Training Rs. 0.40L
OOC Rs.0.0950Lakhs
IEC &amp; Printing Rs.0.50 Lakhs
Planning and M&amp;E -Rs.0 Lakhs
</t>
  </si>
  <si>
    <t>Diagnostics - 0.68 L
 Approved Rs 0.68 Lakhs per district for drugs required for management of reaction and printing.
 ASHA incentives - 23.643 L
 1. Approved an amount of Rs 23.38 L as incentive for Incentive for search team (Rs 1000 per Volunteer) for each screening round/ village for LCDC
 2. Approved Rs 0.025 L as Incentive for ASHA/ AWW/ Volunteer/ etc for detection of Leprosy (Rs 250 for detection of an early case before onset of any visible deformity, Rs 200 for detection of new case with visible deformity in hands, feet or eye)
 3. Approved Rs 0.02 L for ASHA Incentive for Treatment completion of PB cases (@ Rs 400)
 4. Approved Rs 0.018 L for ASHA Incentive for Treatment completion of MB cases (@ Rs 600)
 5. Approved 0.20 L for Any other ASHA incentives(Sensitisation) @ Rs 100 per ASHA
 OOC - 0.6 L
  Approved for Case Detection and Management in urban Areas</t>
  </si>
  <si>
    <t>Equipment - 0.108 L 
 1. Procurement of other equipment: NLEP- MCR
 Approved Rs 0.06 Lakhs for MCR Chappals @ Rs 400 per unit
 2. Procurement of other equipment: NLEP- Aids/Appliance
 Approved Rs 0.048 Lakhs for Self care kit @ Rs 150 per unit 
 OOC - 1.10 L
 Approved for Early detection in camps, ulcer management, and prevention of deformity @ Rs 10000 per camp</t>
  </si>
  <si>
    <t>Capacity building incl Training - 2.169 L
 1. Approved Rs 1.169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Planning &amp; M &amp; E - 2.4219 L
 1.Office operation &amp; Maintenance, Consumables- District Cell @ Rs 0.30 Lakhs
 2. Mobility Support District cell including TA/DA of NLEP staff@ Rs 1.5 Lakh/district
 3. Approved an amount of Rs 0.235 L as POL, transport (field supervisors) for LCDC @ Rs 100/ supervisor
 4. Approved Rs 0.1169 Lakhs for Logistics Rs.10/ team in connection with LCDC.
 5. Approved Rs 0.27 Lakhs for Supervision and monitoring @ Rs 3000 per block in connection with LCDC</t>
  </si>
  <si>
    <t>Capacity building incl Training - 2.169 L
 1. Approved Rs 1.169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- 1.6907 L
 1.Approved Rs 0.36 Lakhs for Advocacy/ IEC (Rs 4000/block of urban area) in connection with LCDC.
 2. Approved Rs 0.3507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- 2.4219 L
 1.Office operation &amp; Maintenance, Consumables- District Cell @ Rs 0.30 Lakhs
 2. Mobility Support District cell including TA/DA of NLEP staff@ Rs 1.5 Lakh/district
 3. Approved an amount of Rs 0.235 L as POL, transport (field supervisors) for LCDC @ Rs 100/ supervisor
 4. Approved Rs 0.1169 Lakhs for Logistics Rs.10/ team in connection with LCDC.
 5. Approved Rs 0.27 Lakhs for Supervision and monitoring @ Rs 3000 per block in connection with LCDC</t>
  </si>
  <si>
    <t>73.1 – DBT – Rs. 1.51 Lakhs:- Treatment Supporter Honorarium (Rs.1000) - one-time payment on the update of the Outcome of Treatment for drug sensitive TB patients, will be release through Nikshay DBT Mode directly to the beneficiaries.
73.2 - Infrastructure - Civil - Rs 2.50 lakhs – Rs. 2.50 lakhs for minor civil works/ repairing &amp; maintenance required at  DTC, TU &amp; DMC and X-ray facilities etc based on need basis and for minor civil works., 
73.3 - Equipments - Rs. 8.40 Lakhs -  Rs. 2.50 lakhs Procurement of equipment for District levels. (DMC, X-ray and ECG, etc for NTEP) Procurement of Sleeves and drug boxes - Rs. 2.40 lakhs for Maintenance / up gradation costs for Laboratory equipment’s DMC, X-ray and ECG, etc for NTEP  - Rs. 2.00 lakhs for Procurement of office equipment and furniture for District levels. (Office Equipments)  - Rs. 1.50 lakhs for Maintenance / up gradation costs for office equipment’s (Office Equipments)
73.4 - Drugs - Rs. 2.20 Lakhs - Procurement of First line drugs, Local Procurement of first line Anti TB  drugs on need basis and Drug Transportation charges etc
73.5 - Diagnostics (Consumables, PPP, Sample Transportation) - Rs. 7.50 Lakhs - Rs. 3.50 lakhs Patient Support &amp; Sample collection and Transport , Charges for transportation of samples for diagnosis, DST, follow-up &amp; Rs. 4.00 lakhs for Procurement of Lab consumables for DMCs, Procurement of Consumables for X-rays, ECG and etc.
73.6 - Capacity building Incl. training - Rs. 5.20 Lakhs -   Rs. 3.60 lakhs for training cost (including TA/DA &amp; other course materials) for officers / staff/ TB Champions and all district staff at National level, State level and District level, Rs. 1.10 lakhs Cost for conducting CME Training in Medical Colleges, Rs. 0.50 lakhs Community Engagement Activities - Sensitization of TB survivors, sensitization of NGOs, PRIs meeting, TB survivor led activities, etc
73.8 - Others including operating costs (OOC) - Rs. 3.00 Lakhs  - Rs. 1.10 lakhs Incentives for Active Case Finding/Akshaya Keralam Campaign/TB Elimination house to house visit , Rs 10/ for every household visit &amp; Rs 500/ for every new cases identified -the unit cost shall preferably be budgeted as per household or per person screened.,  Rs. 0.15 lakhs Incentive to non-salaried person for injection prick,  Rs. 1.75 lakhs Budget for Printing of Materials..
73.10 - Planning &amp; M&amp;E - Rs. 11.90 Lakhs  - Rs. 3.30 lakhs Supervision and Monitoring (District Level) - TA/DA cost of all officer/ staff working in NTEP, review meetings, Cost of internal evaluation etc.,  Rs. 2.30 lakhs POL for existing vehicles under NTEP and mobility support for those field staff in lieu of vehicles, Rs. 1.20 lakhs Vehicle hiring cost for Districts on contract, Rs. 1.20 lakhs Medical Colleges meetings, Rs. 2.90 lakhs Office operation includes office maintenance expenditure, stationary, communication etc. Rs. 1.00 lakhs Maintenance cost for District vehicles (including four-wheeler &amp; two wheelers)
73.11 - Surveillance, Research, Review, Evaluation (SRRE) - Rs. 0.50 Lakhs  - Support for State &amp; District level/TU/LSG TB Forums(Treatment Support Groups) functioning including meeting cost, travel support to community members attending meeting, etc.</t>
  </si>
  <si>
    <t>74.1 – DBT – Rs. 26.00 Lakhs - Nutrition support to TB patient Rs. 500 per month till the treatment is completed, by DBT for DSTB Patients for 6 months &amp; Nutrition support to TB patient Rs. 500 per month till the treatment is completed, by DBT for DRTB Patients for 12 months. The payment to be release directly to the beneficiary bank account through Nikshay DBT mode.</t>
  </si>
  <si>
    <t xml:space="preserve">75.1 – DBT – Rs. 1.03 Lakhs - Private Provider Incentives- NTEP DBT Scheme @Rs. 500/- per notification and Rs. 500/- when treatment outcome declared &amp; Incentives for first informant (20% of Public notified case will be expected to be eligible for first informant incentive).
75.8 - Others including operating costs (OOC) - Rs. 2.50 Lakhs  - Cost of existing NGO/ PP support schemes and new NGO/ PP support schemes proposed as per NTEP Public Private Partnership Guidance.
</t>
  </si>
  <si>
    <t>77. DRTB - Rs. 6.50L
 1. DBT - Rs. 1.00 Lakhs - Treatment Supporter Honorarium (Rs.5000), payment on the update of the Outcome of Treatment for drug resistant TB patients.
 2. Infrastructure- Civil works (I&amp;C) - Rs. 1.50 Lakhs - Major &amp; minor civil works/ repairing &amp; maintenance of Nodal DRTB centre, CBNAAT,
 TRUNAAT sites, IRL &amp; CDST labs on need basis.
 3. Equipment - Rs. 2.00 Lakhs - Procurement of equipment for District levels (DR TB Centre, IRL, C
 &amp; DST Lab and Molecular Diagnostics), Maintenance / up gradation costs for Laboratory equipment’s for DR TB Centre, IRL, C&amp;DST Lab and Molecular Diagnostics Equipment for NTEP
 4. Drugs - Rs. 1.10 Lakhs - Procurement of DRTB drugs, Local Procurement of second line drugs.
 6. Capacity building Incl. training - Rs. 0.40 Lakhs - Training for AIC, Cost for AIC related trainings.
 11. Surveillance, Research, Review, Evaluation (SRRE) - Rs 0.50 Lakhs - AIC Review Committee, Cost for Committee meeting &amp; etc.</t>
  </si>
  <si>
    <t>78.9 - Rs. 8.00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</si>
  <si>
    <t>Approved for 400 cases @ Rs 1000 for the Assistance for consumables/ drugs/ medicines including IOL to the Govt. Hospital for Cataract surgery.</t>
  </si>
  <si>
    <t>1. District Level Trainings and PBS Training Rs. 3 Lakhs /each District 
 2.ASHA Incentive for CBAC Form Filling for Population Based Survey - Rs.12 Lakhs
 • ASHA Incentive for NCD follow-up activity: Rs. 11.33 Lakhs 
 3.Rs.4 L for IEC activities for Dist level. and Printing of referral cards at PHC @ Rs.2500/card 
 4. Planning &amp; M&amp; E Rs. 3 L/each District level for Program Management Activities</t>
  </si>
  <si>
    <t>OOC -Rs.6.69 lakhs approved @ Rs. 250 per wellness session for one session per month for 12 months at HWCs SC and PHCs
Planning and M&amp;E 
Rs. 0.50 lakhs approved for  refresher training and review on wellness for Medical officers for PHC&amp;UPHCs. 
Rs. 0.75 lakhs approved @Rs 75000  per batch for training of MLSPs</t>
  </si>
  <si>
    <t>IEC &amp; Printing - Printing a customised book for one patient identified, Rs  12500 for 250 customized books @ Rs 50 - 50 * 250 = 12500.</t>
  </si>
  <si>
    <t xml:space="preserve"> Capacity building incl. training -Rs. 21750/- for Block level training for maximum 50 participants  
for 5 batch training for sickle cell. 5 batch * 21750 = 1,08,750</t>
  </si>
  <si>
    <t>ASHA Incentive – 4.61 L
Incentive to ASHA for ABHA ID creation @ Rs. 10 for 50 ABHA ID for 922  one ASHA @ Rs. 4.61 L
IEC &amp; PRINTING- 10L (Activity breakup details attached)</t>
  </si>
  <si>
    <t xml:space="preserve">a.Equipment 
A total of Rs. 4 L allotted for External Quality Assurance of LABS in the district at annual rates of not  more than 
•        DH-Rs.20,000/- (2 DH), 
•        TH-Rs.20,000/-( 2TH/THQH), 
•        CHC-Rs.10,000/-(9 CHC), 
•        PHC-Rs.10,000/-( 23PHC)  .
EQAS Priority should be given to the targeted institutions for NQAS.
b .Capacity building including training
A total of Rs. 6.63  L allotted for the following expenses
b.1. NQAS District Level Training -      An amount of Rs. 1.66   Lakhs  is allotted for NQAS district level training of prioritized/targeted institutions for NQAS in the district. The training shall be given as team training to staffs of the targeted institutions. (Rs.83,000* 2 days ) .As per the Quality training norms NQAS operational guideline 2021 page no 101.
b.2 Kayakalp refresher training   -A total of   Rs.4.97   L allotted for the following - 
b.2.1 District Level Trainings under Kayakalp Rs.54,000/- for District Level refresher trainings/ Internal Assessor workshop under Kayakalp.
Peer assessment awareness cum Internal/District Assessor workshop shall be provided to district Kayakalp inspection team.
b.2.2 Facility Level Kayakalp Training on "Swachh Bharat Abhiyan“- Rs. 4.43  L.  Facility Level Kayakalp Training on "Swachh Bharat Abhiyan“ –Kayakalp  Institutional training  for  each institutions 
•        DH- Rs.20,000/- (2DH)  
•        TH/THQH and CHC Rs.15,000/- (11TH/THQH &amp; CHC) ,
•        PHCs -Rs.6000/- ( 23PHC) , 
•        HWC-SC Rs.500/- (  200HWC-SC) 
Districts can prioritize institutions as per performance of needed additional trainings.
c. OOC -Rs.32.08 L
c.1 Rs.5 L for  District  Level Assessment &amp; Mentoring Visit including Vehicle for field visit in Districts for Quality Program.
c.2 Rs.27.08 lakhs for assessments (National/state/NQAS, MusQan)  (1 DH, 1SDH, 1 CHC, 10 PHC, 10 SC)
d. IEC/BCC
Rs.1 L   is allotted for IEC &amp; Printing for providing                                                    Signage’s- in Approach road, departmental, directional and any other relevant facility level signage’s for Quality Assurance or printing of Quality improvement IECs boards in hospital at DH/SDH .
Districts can prioritize the needy institutions based on gap analysis. Not exceeding maximum of Rs.50,000/- per institution. 
e.Planning &amp; M&amp;E.Rs.0.79L for 
  a.    Rs.24,000/-  allotted for district towards expenses for conducting    District Quality Assurance Committee Meetings as per NQAS Operational guidelines 2021 (DQAC should be met at least once in a quarter)  and other Quality Review Meetings.
 b.   Rs.55,000/-allotted for district towards meeting Contingency &amp; Misc expenses including expenses incurred for District Level Quality Assessments.                   </t>
  </si>
  <si>
    <t xml:space="preserve">Diagnostics: Rs. 9.90   L 
Consumables related to implementation of infection control practices in hospital/ hospital laboratory including cost of water testing /environmental swab/sample testing, autoclave bags, indicator strips etc.
 · DH&amp;TH/THQH - @ Rs 1L for each   4  DH &amp; TH 
 · CHC – Rs.40,000/- for each    9 CHC 
 · PHC- Rs.10,000/- for each  23 PHC 
 Priority should be given to the targeted institutions for NQAS.
OOC-   36.43 lakhs
1 Expenses for Kayakalp Peer Assessment of institutions - Rs. 5.08   L.  
•        DH Level Peer Assessment -Rs.25,000/- each for  2DH           
•        TH/THQH &amp; CHC Hospital Peer Assessment- Rs.13,000/- each for 11 TH/THQH &amp; CHC.
•        PHC Peer Assessment - Rs.5000/- each  for 23 PHC                                                  
•        HWC-SC Peer Assessment - Rs.5000/- for  40 HWC-SC (20% of Total 200   HWC-SC)  
2 BIOMEDICAL WASTE MANAGEMENT-  Rs.9.70  L  Support for the implementation of Kayakalp                                      
•        DH-Rs.60,000/- each for  2 DH,        
•        TH/THQH-Rs.60,000/- each for 2 SDH,                                                                
•        CHC –Rs.30,000/- each for  9 CHC,                                                           
•        PHC-Rs.20,000/- each for 23  PHC.           
3 Pest Control- Rs.6.15    L 
Pest control measures has to be undertaken and done regularly at the institutions level. For implementing Pest control measures in     
•        DH – Rs.50,000/- each for 2 DH ,   
•        TH – Rs.30,000/- each for  2 TH ,                                                                     
•        CHC – Rs.25,000/- each for  9  CHC,                                                       
•        PHC –Rs.10,000/- each for   23 PHC.   
4 Support for NQAS/KASH/MusQan Implementation for the gap closure in targeted institutions  Rs.15L for District for identified target institutions on priority basis. 
5. Rs.0.50 L for District Level Award function and District Assessment.
IEC/BCC (Printing of SOPs necessary for Implementation of NQAS, Kayakalp, LaQshya, MusQan) – Total Rs.3.50  L.
•        (DH/GH/W&amp;C- Rs.25,000/- each for 2  DH),
•        (TH/THQH - Rs.25,000/- each for  2 TH/THQH )
•        (CHC - Rs.15,000/- each for   9 CHC ),
•        (PHC - Rs.5,000/- each for  23 PHC) 
The SOP printing amount for the HWC-SCs under PHC  shall be given by the PHC. Out of Rs.5,000/-, Rs.3,000/- for PHC and Rs.2000/- for HWC-SC) </t>
  </si>
  <si>
    <t xml:space="preserve">3  Mobile Medical Units (MMU) / Mobile Health Units (MHU) Operational cost of @ Rs.50000/- </t>
  </si>
  <si>
    <t xml:space="preserve">OOC -
Rs.55 lakhs for Call Allowance and addl incentive to doctors
Rs. 32550/-for incentives to provider for PPIUCD services 217*150
Rs.1800/- for incentives to provider for PAIUCD services 12*150
Rs.4.02 Lakhs for Incentives for updation of NVHCP MIS portal 
(Nodal officer/Pharmacist/Lab Technician)  </t>
  </si>
  <si>
    <t xml:space="preserve">FY 2024-2025
Wayanad - 6 L(Training of Medical Officers and Nursing Officers in maternal health related skills and procurement of mannequines/equipments except Laptop) 
FY 2025-2026
Wayanad - 12 L(Training of Medical Officers and Nursing Officers in maternal health related skills and procurement of mannequines/equipments except Laptop)
</t>
  </si>
  <si>
    <t xml:space="preserve">IEC &amp; PRINTING- 0.80L (Activity breakup details attached)
Planning and M&amp;E
10 HMIS / RCH training cum review meeting @ unit cost 10000/- at District level
2 HMIS / RCH training cum review meeting per health Block @ unit cost 10000/- 5 block
OOC) Rs. 35000/-  internet annual user fee for (UPHCs implemented ehealth)
</t>
  </si>
  <si>
    <t>Tribal Health Information Broadcasting Through Community Radio( Radio Mattoli)</t>
  </si>
  <si>
    <t xml:space="preserve">
1)DBT- Rs60.21 lakhs ( R-6836  xRs.700 + U-2042 xRs.600 + H-23*Rs 500)
2) Asha incentive - Rs.49.18 lakhs (Rural@Rs 600 &amp; Urban@Rs 400 ) 
3)  Planning &amp; M&amp; E - Rs.2.41 lakhs (For Administrative exp- @4% of DBT given)</t>
  </si>
  <si>
    <t xml:space="preserve">
1)Free Drugs &amp; consumables -Rs 81.2 lakhs for PW( 4867ND @ Rs 350 &amp; 4011 C sections @ Rs 1600) accessing Govt health facilities for delivery
2) Diagnostics -Rs 17.7 lakhs@ Rs 200/beneficiary for 8878 PW 
  3) Other Operating Cost(Blood transfusion &amp; Diet) - a.Diet - Rs. 42.7 lakhs @ Rs 100 for 4867ND for 3 days(4867*100*3)  and 4011 C sections for 7 days (4011*100*7)                                                                                                                                                                         
b.Blood Transfusion - Rs. 2.7lakhs @ Rs 300/PW for blood transfusion of 10% of total deliveries in govt.health facilities (10% of 8878= 888)     </t>
  </si>
  <si>
    <t xml:space="preserve">JSSK free transport  for pick up, drop back and referral to higher institutions @Rs 500 /beneficiary for 8878 beneficiaries </t>
  </si>
  <si>
    <t>DBT               
a. Rs.1.04 lakhs for mobility support to HRP women @Rs 100 for 3 visits for 347 HRPs(100*3*347= Rs.1.04 lakhs)
ASHA incentives
1) e-PMSMA                                                                                                     
a. Rs.1.04 lakhs for ASHA incentives for mobilising HRP women @Rs 100 for 3 visits for 347 HRPs(100*3*347 = Rs.1.04 lakhs)     
b. Rs1.73 lakhs for ASHA incentives for healthy outcome of HRP @ Rs 500/HRP for 347 HRPs (500*347 = Rs1.73 lakhs)
2) PNC visit - Rs.0.43 lakhs as ASHA incentive for healthy outcome of HRPs identified during  PNC visit (Rs.250* 173= Rs 0.43 lakhs)                                                                                                               
OOC
PMSMA session sites -8, Fund to be utilised for vehicle hiring/POL/refreshments</t>
  </si>
  <si>
    <t>Prevention of Preventable Maternal Deaths-50000/batch -Total 2 batch One batch 35 participants(Rs 50000*2=Rs 100000)</t>
  </si>
  <si>
    <t>2024-25
1. Equipments
Color coded hand ties for mother and child identification for 4 LaQshya targeted facilities  (7627 delivery x2noxRs.10 = 1.53L)
2..Capacity building incl. training s for district level -LaQshya training @ Rs 0.75 L /Districts 
3.Operational Cost for District level activities -Rs 1 lakh for gap closure identified during internal/District assessment.Rs.2 lakhs for National/state assessment as per NQAS operational guidelines
2025-26
1Equipments
Color coded hand ties for mother and child identification for 4 LaQshya targeted facilities  (8357 delivery x2noxRs.10 = 1.67L)
2.Capacity building incl. training s for district level 
LaQshya training @ Rs 1L /District 
2.Operational Cost for District level activities 
Rs 1 lakh for gap closure identified during internal/District assessment.Rs.2 lakhs for National/state assessment as per NQAS operational guidelines</t>
  </si>
  <si>
    <t xml:space="preserve">MH IEC &amp; PRINTING- 3.25L(Activity breakup details attached)
OOC: 14 RCH camps @ 15000/-= 2.1L
2025-26
Training -One batch RTI/STI training for MO @ Rs.50000/- </t>
  </si>
  <si>
    <t>IEC &amp; PRINTING- 1.15L (Activity breakup details attached)</t>
  </si>
  <si>
    <t>Equipment :-   Repair equipment for 100 existing nurses - Unit cost - Rs.2000/-
Drugs &amp; Supplies :-                                                                                                                                         
Diagnostics :-                                                                                                                                                                    
Capacity building training : -1.  RBSK Refresher training @ Rs. 50000/- per batch for 3 batches. 2. One-day orientation for MO / other staff Delivery points (RBSK training) -2 Batch training per district @ ₹21000 per batch, 3. Half-day RBSK refresher training @ Rs. 2500 x 13 = 32500/-
Asha Incentives :-                                                                                                                                  
OOC :-  1. Mobility support for RBSK Mobile health team-Incentive for RBSK nurse – Rs.1000*100*12 = Rs.12,00,000/- and 1 vehicles for MHT – Rs.48000*1*12 = Rs. 5,76,000 /- , 106 connections @ Rs.300 per month = 106*300*12 = 3,81,600                                                                                                                                                                                                                                                   Planning &amp; M &amp; E : -  One yearly meeting at the district level involving line departments like WCD, LSGD, ICPS, ORC, Childline, BRC/ Education dept. etc @ 50000 per district. 
IEC &amp; PRINTING- 0.25 L for Printing of RBSK cards and registers and Diary @ Rs.250/- for 100 RBSK nurses</t>
  </si>
  <si>
    <t xml:space="preserve">Equipment :- Rs.329029  lakh is recommended for essential equipment as per gap analysis. 
Drugs &amp; Supplies :- 
Diagnostics :- Approval is to purchase Consumables for functioning 
DEIC. @ Rs. 100000/-
Capacity building training : - 
 Asha Incentives :- 
OOC :- 1. Operational expenses for Rs.20000 per month for Kannur DEIC - Total amount  = Rs. 2,40,000/-, 
2. Referral Support for Secondary/ Tertiary – Rs. 210.63/- Lakhs     
Planning &amp; M &amp; E : - 
IEC &amp; PRINTING- Printing cost for DEIC – Rs. 1 lakhs </t>
  </si>
  <si>
    <t xml:space="preserve">Equipment :- 
Drugs &amp; Supplies :- 
Diagnostics :- 
Capacity building training : - One day District  Level TOT training for selected 10 participants
 in each districts @ Rs.11000/-
Asha Incentives :- Incentive for HBNC, HBYC, &amp; SNCU discharge babies – Rs. 58.74 lakhs 
OOC :- 
Planning &amp; M &amp; E : - 
IEC &amp; PRINTING- </t>
  </si>
  <si>
    <t>Equipment :-    
Drugs &amp; Supplies :-                                                                                                                                         
Diagnostics :-                                                                                                                                           
 Capacity building training : - 1. NSSK Training for Medical Officers - 2 batch NSSK training Rs. 34400 x 2 = Rs.68800/-., 2. NSSK Training for Staff Nurses - 2 batch NSSK training Rs. 34400 x 2 = Rs.68800/-, 3. Trainings for Family participatory care (KMC) - Rs 50000 per district to get a  team of trained doctors and Nurses at SNCUs. Rs.50000 x 1 = Rs.50,000/- , 4. Rs. 1 lakh is approved for two batches of Musqan District level Sensitization Training @ 100000 per district, 5. MUSQAN: Health Institution level activities – 6 lakh approved for selected 3 institutions. Unit price of  1 each for gap filling &amp; Equipments approved for these 3 institutions.                                                                                                       
Asha Incentives :-                                                                                                                                  
OOC :- 1. 3 Functional SNCUs = Rs. 300000x 3 SNCU = Rs.9,00,000/-, 2. NBCC– approved @ Rs.10,000 for 8 delivery points Rs. 10000x8Delivery point = 80,000/- , 3. Family participatory care (KMC) -Rs. 75000 x 3 SNCUs = 2,25,000/- ,4.  Operating expenses for  4 NBSU – Rs. 4 lakhs.                                                                                                                                                                                                                                                                                    Planning &amp; M &amp; E : -   
IEC &amp; PRINTING- Rs 1 lakh per unit for 3 SNCUs</t>
  </si>
  <si>
    <t>Equipment :- 
Drugs &amp; Supplies :- 
Diagnostics :- 
Capacity building training : - Rs. 1 lakh per batch for district level  ToT/ training on F-IMNCI.
Asha Incentives :- 
 OOC :- Operational Cost Pediatric HDUs – Rs. 1.5 Lakhs as Operational Cost of 1 HDUs @ Rs. 1.5 Lakh per Unit.  
Planning &amp; M &amp; E : - 
 IEC &amp; PRINTING- .</t>
  </si>
  <si>
    <t xml:space="preserve">                                                                                                                                                                                                                                                                                 Planning &amp; M &amp; E : -   District Level Review Meeting of Program including RBSK and CH @ Rs. 1.75 lakhs per District 
IEC &amp; PRINTING- Rs. 3.65 lakh for Child health IEC activities. 
 </t>
  </si>
  <si>
    <t>Training Rs.6.71 lakhs
 ASHA Incentives -Rs.83.28  lkhs for 2024-25 and Rs.81.35  for 2025-26
 OOC Rs.17.42 lakhs
 IEC &amp; PRINTING- 1.65 L (Activity breakup details attached in IEC annexure)
 Planning and M&amp;E Rs.4.61 lakhs
 SRRE-AEFI Rs.4.11 Lakhs</t>
  </si>
  <si>
    <t>WIFS trainings (block level), 1 batch (40 nos. ) @Rs.5000/) * No. of health blocks (KNR -13) - 5000* 13 = 0.65 L</t>
  </si>
  <si>
    <t xml:space="preserve">a.DBT -Male sterilization -41 cases @ Rs 1500 per case.
b.Training of Medical Officers on NSV 1 batch @ Rs 34500/batch with 5 participants per batch for 5 days training </t>
  </si>
  <si>
    <t>DBT -Rs 100 per dose per beneficiary for 202 cases
ASHA Incentive- Rs 100 per dose per ASHA for 202 cases</t>
  </si>
  <si>
    <t>IEC &amp; PRINTING-  2.0 L Activity Breakup is attached
Planning &amp; M&amp;E- Rs.1 lakh for monitoring activities during World Population Day and vasectomy Fortnight at district and block level</t>
  </si>
  <si>
    <t>a.Drugs- Procurement of Self care Kit 31 kit @Rs 1000/kit-Selfcare kit should be installed in all delivery points and other appropriate facilities based on the demand and eligible couple catered by that facilty.
b. IEC &amp; PRINTING -1.35 L Activity Breakup attached
c. FP QAC meeting Rs 1000/meeting /quarter</t>
  </si>
  <si>
    <t xml:space="preserve">Capacity building incl. training - 1. Orientation activities on vitamin A supplementation and Anaemia Mukta Bharat Programme/ VIVA Kerala - Rs.100000 per district., 2. One day Orientation of frontline workers (ASHA/ANM) and allied department workers (Teachers/AWW) on  VIVA Kerala/ Anaemia Mukt Bharat - Rs.100000 per district.
ASHA Incentive - 1.National Iron Plus Incentive for Mobilizing WRA (non pregnant &amp; non lactating women  20-49 years) approved at Rs 50  for ASHA for one month -1958 Asha * 50 * 12 = 1174800/- 
-, 2. National Iron Plus Incentive for Mobilizing  children  and / or ensuring compliance and reporting (6-59 months) - approved @ Rs 100 for ASHA for one month -1958 Asha * 100 *12 = 2349600/-
</t>
  </si>
  <si>
    <t>Capacity building incl. training - 
Rs.6.58 lakhs for Orientation of Nodal teacher, field staff and Anganwadi workers @ Rs.50/- for  two rounds of NDD 
ASHA  INCENTIVE - Rs 3.92 Lakhs for ASHA incentives for 1958 ASHAs for mobilizing beneficiaries for NDD round @ Rs 100 per ASHA per round - Rs.100 * 1958 * 2 round  = 3,91,600/-
IEC and printing -  IEC and printing activities for NDD @ Rs 1.5 Lakh per 
district per round. Rs. 1.5 lakh * 2 round = 3,00,000/-</t>
  </si>
  <si>
    <t>IEC &amp; PRINTING- 0.5L (Activity breakup details attached)
Asha Incentive - ASHA incentive under MAA programme @ Rs 100 per ASHA for quarterly mother's meeting : 
Rs 400 * 1958 ASHAs = 7,83,200/-</t>
  </si>
  <si>
    <t xml:space="preserve">Diagnostics -Consumables and stationaries for proposed 3 LMU @ Rs.105000 as recurring cost. 
Rs.105000 x 3  = 3,15,000 /-
</t>
  </si>
  <si>
    <t xml:space="preserve">1.Incentive for IDCF for prophylactic distribution of ORS to family with under-five children: Approved @ Rs 100 per ASHA for IDCF campaign for the routine activity. 1958*100 = 1,95,800					                                                                                                                                                                                            
2. IEC &amp; Printing - Approved under IDCF @ Rs.0.75 lakh                                         </t>
  </si>
  <si>
    <t>Training Rs.7.0 lakhs
Planning and M&amp;E Rs.3.75 lakh
SRRE-Rs.2.5 lakh</t>
  </si>
  <si>
    <t>Training Rs.1.50 lakhs
Equipments Rs.0.84Lakhs
OOC Rs.1.73lakhs
IEC &amp; Printing Rs.0.70 lakhs
Planning and M&amp;E Rs.2.10 lakh</t>
  </si>
  <si>
    <t xml:space="preserve">Training Rs.0.20 lakhs
OOC Rs.0.09 lakhs
IEC &amp; Printing Rs0.05 lakhs
Planning and M&amp;E Rs.0.15 lakh 
</t>
  </si>
  <si>
    <t>Training Rs.0.60 Lakhs
ASHA incentive Rs.1.25 Lakhs
OOC Rs.35.13Lakhs
IEC &amp; Printing Rs.0.75 Lakh 
Planning &amp; M&amp;E Rs.3.75 Lakh
SRRE Rs..3Lakhs</t>
  </si>
  <si>
    <t>Capacity building including Training Rs. 0.40L
OOC Rs. 4.32Lakhs
IEC &amp; Printing Rs.3.25Lakhs
Planning and M&amp;E -Rs.2 Lakhs
SRRE Rs.1.20 Llakhs</t>
  </si>
  <si>
    <t>Diagnostics - 0.68 L
 Approved Rs 0.68 Lakhs per district for drugs required for management of reaction and printing.
 ASHA incentives - 57.618 L
 1. Approved an amount of Rs 57.3 L as incentive for Incentive for search team (Rs 1000 per Volunteer) for each screening round/ village for LCDC
 2. Approved Rs 0.04 L as Incentive for ASHA/ AWW/ Volunteer/ etc for detection of Leprosy (Rs 250 for detection of an early case before onset of any visible deformity, Rs 200 for detection of new case with visible deformity in hands, feet or eye)
 3. Approved Rs 0.06 L for ASHA Incentive for Treatment completion of PB cases (@ Rs 400)
 4. Approved Rs 0.018 L for ASHA Incentive for Treatment completion of MB cases (@ Rs 600)
 5. Approved 0.20 L for Any other ASHA incentives(Sensitisation) @ Rs 100 per ASHA
 OOC - 2.2 L: Approved for Case Detection and Management in urban Areas</t>
  </si>
  <si>
    <t>Equipment - 0.364 L 
 1. Procurement of other equipment: NLEP- MCR
 Approved Rs 0.28 Lakhs for MCR Chappals @ Rs 400 per unit
 2. Procurement of other equipment: NLEP- Aids/Appliance
 Approved Rs 0.084 Lakhs for Self care kit @ Rs 150 per unit 
 OOC - 1.10 L
 Approved for Early detection in camps, ulcer management, and prevention of deformity @ Rs 10000 per camp</t>
  </si>
  <si>
    <t>Capacity building incl Training - 3.865 L
 1. Approved Rs 2.865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Planning &amp; M &amp; E - 3.4725 L
 1.Office operation &amp; Maintenance, Consumables- District Cell @ Rs 0.30 Lakhs
 2. Mobility Support District cell including TA/DA of NLEP staff@ Rs 1.5 Lakh/district
 3. Approved an amount of Rs 0.576 L as POL, transport (field supervisors) for LCDC @ Rs 100/ supervisor
 4. Approved Rs 0.2865 Lakhs for Logistics Rs.10/ team in connection with LCDC.
 5. Approved Rs 0.81 Lakhs for Supervision and monitoring @ Rs 3000 per block in connection with LCDC</t>
  </si>
  <si>
    <t>73.1 – DBT – Rs. 2.32 Lakhs:- Treatment Supporter Honorarium (Rs.1000) - one-time payment on the update of the Outcome of Treatment for drug sensitive TB patients, will be release through Nikshay DBT Mode directly to the beneficiaries.
73.2 - Infrastructure - Civil - Rs 2.50 lakhs –Rs. 2.50 lakhs for minor civil works/ repairing &amp; maintenance required at  DTC, TU &amp; DMC and X-ray facilities etc based on need basis and for minor civil works., 
73.3 - Equipments - Rs. 8.40 Lakhs -  Rs. 2.50 lakhs Procurement of equipment for District levels. (DMC, X-ray and ECG, etc for NTEP) Procurement of Sleeves and drug boxes - Rs. 2.40 lakhs for Maintenance / up gradation costs for Laboratory equipment’s DMC, X-ray and ECG, etc for NTEP  - Rs. 2.00 lakhs for Procurement of office equipment and furniture for District levels. (Office Equipments)  - Rs. 1.50 lakhs for Maintenance / up gradation costs for office equipment’s (Office Equipments)
73.4 - Drugs - Rs. 3.20 Lakhs - Procurement of First line drugs, Local Procurement of first line Anti TB  drugs on need basis and Drug Transportation charges etc
73.5 - Diagnostics (Consumables, PPP, Sample Transportation) - Rs. 11.00 Lakhs - Rs. 3.80 lakhs Patient Support &amp; Sample collection and Transport , Charges for transportation of samples for diagnosis, DST, follow-up &amp; Rs. 7.20 lakhs for Procurement of Lab consumables for DMCs, Procurement of Consumables for X-rays, ECG and etc.
73.6 - Capacity building Incl. training - Rs. 7.90 Lakhs -   Rs. 4.80 lakhs for training cost (including TA/DA &amp; other course materials) for officers / staff/ TB Champions and all district staff at National level, State level and District level, Rs. 2.40 lakhs Cost for conducting CME Training in Medical Colleges, Rs. 0.70 lakhs Community Engagement Activities - Sensitization of TB survivors, sensitization of NGOs, PRIs meeting, TB survivor led activities, etc
73.8 - Others including operating costs (OOC) - Rs. 3.25 Lakhs  - Rs. 1.40 lakhs Incentives for Active Case Finding/Akshaya Keralam Campaign/TB Elimination house to house visit , Rs 10/ for every household visit &amp; Rs 500/ for every new cases identified -the unit cost shall preferably be budgeted as per household or per person screened.,  Rs. 0.20 lakhs Incentive to non-salaried person for injection prick,  Rs. 1.65 lakhs Budget for Printing of Materials..
73.10 - Planning &amp; M&amp;E - Rs. 16.50 Lakhs  - Rs. 3.50 lakhs Supervision and Monitoring (District Level) - TA/DA cost of all officer/ staff working in NTEP, review meetings, Cost of internal evaluation etc.,  Rs. 3.20 lakhs POL for existing vehicles under NTEP and mobility support for those field staff in lieu of vehicles, Rs. 4.10 lakhs Vehicle hiring cost for Districts on contract, Rs. 1.60 lakhs Medical Colleges meetings, Rs. 3.00 lakhs Office operation includes office maintenance expenditure, stationary, communication etc. Rs. 1.10 lakhs Maintenance cost for District vehicles (including four-wheeler &amp; two wheelers)
73.11 - Surveillance, Research, Review, Evaluation (SRRE) - Rs. 0.70 Lakhs  - Support for State &amp; District level/TU/LSG TB Forums(Treatment Support Groups) functioning including meeting cost, travel support to community members attending meeting, etc.</t>
  </si>
  <si>
    <t xml:space="preserve">75.1 – DBT – Rs. 1.39 Lakhs - Private Provider Incentives- NTEP DBT Scheme @Rs. 500/- per notification and Rs. 500/- when treatment outcome declared &amp; Incentives for first informant (20% of Public notified case will be expected to be eligible for first informant incentive).
75.8 - Others including operating costs (OOC) - Rs. 3.80 Lakhs  - Cost of existing NGO/ PP support schemes and new NGO/ PP support schemes proposed as per NTEP Public Private Partnership Guidance.
</t>
  </si>
  <si>
    <t>77.1 – DBT – Rs. 1.70 Lakhs:- Treatment Supporter Honorarium (Rs.5000), payment on the update of the Outcome of Treatment for drug resistant TB patients. will be release through Nikshay DBT Mode directly to the beneficiaries.
77.2 - Infrastructure - Civil - Rs 4.00 lakhs - minor civil works/ repairing &amp; maintenance of Nodal DRTB centre, CBNAAT, TRUNAAT sites, IRL &amp; CDST labs on need basis.
77.3 - Equipments - Rs. 2.00 Lakhs -  Procurement of equipment for District levels (DR TB Centre, C&amp; DST Lab and Molecular Diagnostics), Maintenance / up gradation costs for Laboratory equipment’s for DR TB Centre, C&amp;DST Lab and Molecular Diagnostics Equipment for NTEP
77.4 - Drugs - Rs. 4.00 Lakhs - Procurement of DRTB drugs, Local Procurement of second line drugs on need basis and Drug Transportation charges etc
77.6 - Capacity building Incl. training - Rs. 0.40 Lakhs -   Training for AIC, Cost for AIC related trainings etc.
77.11 - Surveillance, Research, Review, Evaluation (SRRE)  - Rs. 0.50 Lakhs -   AIC Review Committee, Cost for Committee meeting &amp; etc.</t>
  </si>
  <si>
    <t>Approved for 700 cases @ Rs 1000 for the Assistance for consumables/ drugs/ medicines including IOL to the Govt. Hospital for Cataract surgery</t>
  </si>
  <si>
    <t>Approved @ Rs 1 Lakh per unit for 7 vision centers- Chokli ,Ramanthali, Chandanakkampara, Kunnothumparamb, Karivellur, Pariyaram, Mangattidam</t>
  </si>
  <si>
    <t>Approved @ Rs 1 Lakh per unit for 6 vision centers-Urathur, Eranholi, Dharamadam, EramamKuttoor, Kuttiattoor, Koottumugham</t>
  </si>
  <si>
    <t>1. District Level Trainings and PBS Training Rs. 3 Lakhs /each District 
 2.ASHA Incentive for CBAC Form Filling for Population Based Survey - Rs.40.35Lakhs
 • ASHA Incentive for NCD follow-up activity: Rs. 11.33 Lakhs 
 3.Rs.4 L for IEC activities for Dist level. and Printing of referral cards at PHC @ Rs.2500/card 
 4. Planning &amp; M&amp; E Rs. 3 L/each District level for Program Management Activities</t>
  </si>
  <si>
    <t xml:space="preserve"> mas @ 1000                                                                        new 13 MAS formed for Uphc Kolassery, planning to form 100 MAS.</t>
  </si>
  <si>
    <t>OOC)  U. 13. 1. 1 Quality Assurance Assessments (State &amp; National):@ 1.5  L</t>
  </si>
  <si>
    <t>OOC -Rs.14.88 lakhs approved @ Rs. 250 per wellness session for one session per month for 12 months at HWCs SC and PHCs
Planning and M&amp;E 
Rs. 0.50 lakhs approved for  refresher training and review on wellness for Medical officers for PHC&amp;UPHCs. 
Rs. 1.50 lakhs approved @Rs 75000  per batch for training of MLSPs</t>
  </si>
  <si>
    <t>IEC &amp; Printing - Printing a customised book for one patient identified, Rs  15000 for 300 customized books @ Rs 50 - 50 * 300 = 15000.</t>
  </si>
  <si>
    <t>ASHA Incentive – 9.79 L
Incentive to ASHA for ABHA ID creation @ Rs. 10 for 50 ABHA ID for 1958  one ASHA @ Rs.9.79 L
IEC &amp; PRINTING- 2.55L (Activity breakup details attached)</t>
  </si>
  <si>
    <t xml:space="preserve">a.Equipment 
A total of Rs. 11.60    L allotted for External Quality Assurance of LABS in the district at annual rates of not  more than 
•        DH-Rs.20,000/- (3 DH), 
•        TH-Rs.20,000/-( 10TH/THQH), 
•        CHC-Rs.10,000/-( 10CHC), 
•        PHC-Rs.10,000/-( 80PHC)  .
EQAS Priority should be given to the targeted institutions for NQAS.
b .Capacity building including training
A total of Rs. 12.68      L allotted for the following expenses
b.1. NQAS District Level Training -      An amount of Rs.1.66    Lakhs  is allotted for NQAS district level training of prioritized/targeted institutions for NQAS in the district. The training shall be given as team training to staffs of the targeted institutions. (Rs.83,000* 2 days ) .As per the Quality training norms NQAS operational guideline 2021 page no 101.
b.2 Kayakalp refresher training   -A total of  Rs.11.02    L allotted for the following - 
b.2.1 District Level Trainings under Kayakalp Rs.54,000/- for District Level refresher trainings/ Internal Assessor workshop under Kayakalp.
Peer assessment awareness cum Internal/District Assessor workshop shall be provided to district Kayakalp inspection team.
b.2.2 Facility Level Kayakalp Training on "Swachh Bharat Abhiyan“- Rs.10.48      L.  Facility Level Kayakalp Training on "Swachh Bharat Abhiyan“ –Kayakalp  Institutional training  for  each institutions 
•        DH- Rs.20,000/- (3DH)  
•        TH/THQH and CHC Rs.15,000/- (20TH/THQH &amp; CHC) ,
•        PHCs -Rs.6000/- (80 PHC) , 
•        HWC-SC Rs.500/- ( 416 HWC-SC) 
Districts can prioritize institutions as per performance of needed additional trainings.
c. OOC -Rs.32.08 L
c.1 Rs.5 L for  District  Level Assessment &amp; Mentoring Visit including Vehicle for field visit in Districts for Quality Program.
c.2 Rs.27.08 lakhs for assessments (National/state/NQAS, MusQan)  (1 DH, 1SDH, 1 CHC, 10 PHC, 10 SC)
d. IEC/BCC
Rs.1 L   is allotted for IEC &amp; Printing for providing                                                    Signage’s- in Approach road, departmental, directional and any other relevant facility level signage’s for Quality Assurance or printing of Quality improvement IECs boards in hospital at DH/SDH .
Districts can prioritize the needy institutions based on gap analysis. Not exceeding maximum of Rs.50,000/- per institution. 
e.Planning &amp; M&amp;E.Rs.0.79L for 
  a.    Rs.24,000/-  allotted for district towards expenses for conducting    District Quality Assurance Committee Meetings as per NQAS Operational guidelines 2021 (DQAC should be met at least once in a quarter)  and other Quality Review Meetings.
 b.   Rs.55,000/-allotted for district towards meeting Contingency &amp; Misc expenses including expenses incurred for District Level Quality Assessments.                   </t>
  </si>
  <si>
    <t xml:space="preserve">Diagnostics: Rs. 25   L 
Consumables related to implementation of infection control practices in hospital/ hospital laboratory including cost of water testing /environmental swab/sample testing, autoclave bags, indicator strips etc.
 · DH&amp;TH/THQH - @ Rs 1L for each   13  DH &amp; TH 
 · CHC – Rs.40,000/- for each    10 CHC 
 · PHC- Rs.10,000/- for each  80 PHC 
 Priority should be given to the targeted institutions for NQAS.
OOC-  Rs.68.80  lakhs
1 Expenses for Kayakalp Peer Assessment of institutions - Rs. 11.50   L.  
•        DH Level Peer Assessment -Rs.25,000/- each for 3 DH           
•        TH/THQH &amp; CHC Hospital Peer Assessment- Rs.13,000/- each for 20 TH/THQH &amp; CHC.
•        PHC Peer Assessment - Rs.5000/- each  for 80  PHC                                                  
•        HWC-SC Peer Assessment - Rs.5000/- for  83 HWC-SC (20% of Total  416  HWC-SC)  
2 BIOMEDICAL WASTE MANAGEMENT- Rs.26.80    L  Support for the implementation of Kayakalp                                      
•        DH-Rs.60,000/- each for  3 DH,        
•        TH/THQH-Rs.60,000/- each for 10 SDH,                                                                
•        CHC –Rs.30,000/- each for  10 CHC,                                                           
•        PHC-Rs.20,000/- each for  80 PHC.           
3 Pest Control- Rs. 15   L 
Pest control measures has to be undertaken and done regularly at the institutions level. For implementing Pest control measures in     
•        DH – Rs.50,000/- each for 3 DH ,   
•        TH – Rs.30,000/- each for 10 TH ,                                                                     
•        CHC – Rs.25,000/- each for  10  CHC,                                                       
•        PHC –Rs.10,000/- each for  80  PHC.   
4 Support for NQAS/KASH/MusQan Implementation for the gap closure in targeted institutions  Rs.15L for District for identified target institutions on priority basis. 
5. Rs.0.50 L for District Level Award function and District Assessment.
IEC/BCC (Printing of SOPs necessary for Implementation of NQAS, Kayakalp, LaQshya, MusQan) – Total Rs.8.75   L.
•        (DH/GH/W&amp;C- Rs.25,000/- each for 3  DH),
•        (TH/THQH - Rs.25,000/- each for  10 TH/THQH )
•        (CHC - Rs.15,000/- each for  10  CHC ),
•        (PHC - Rs.5,000/- each for 80 PHC) 
The SOP printing amount for the HWC-SCs under PHC  shall be given by the PHC. Out of Rs.5,000/-, Rs.3,000/- for PHC and Rs.2000/- for HWC-SC) </t>
  </si>
  <si>
    <t xml:space="preserve">one  Mobile Medical Units (MMU) / Mobile Health Units (MHU) Operational cost of @ Rs.50000/- 
</t>
  </si>
  <si>
    <t xml:space="preserve">OOC -
Rs.20 lakhs for Call Allowance
Rs. 12900/-for incentives to provider for PPIUCD services 86*150
Rs.4.02 Lakhs for Incentives for updation of NVHCP MIS portal 
(Nodal officer/Pharmacist/Lab Technician)  </t>
  </si>
  <si>
    <t xml:space="preserve">IEC &amp; PRINTING- 1.83L (Activity breakup details attached)
plannig and M&amp;E
10 HMIS / RCH training cum review meeting @ unit cost 10000/- at District level
2 HMIS / RCH training cum review meeting per health Block @ unit cost 10000/--13 blocks 
OOC) Rs. 35000/-  internet annual user fee for (8 UPHCs )
</t>
  </si>
  <si>
    <t xml:space="preserve">FY 2024-2025
 i)Capacity building
Training of Specialist doctors, MOs, Staff Nurse, MLSP, Palliative care staffs, ASHA workers, RBSK Nurses, UPHC Staffs, JPHN, JHI, Medical College staff @Rs 0.25 lakhs per batch. 
Stationery – 100*50=5000
Food - 350*50= 17,500 
Miscellaneous -2500 
Total expenses for one batch 25,000/-
ii) )Other operating cost : .
a) Remuneration for Doctors
Speciality doctor 2, number of calls 30 @ Rs.100/- 313 days 
b). For establishment of 5 Telemedicine units @Rs. 70,000 per unit. Total Rs.3.5 Lac
Unit cost : Rs, 70,000/- 
1. Laptop - Rs. 40,000/- 
2. Headset / Webcam (If needed) - Rs. 3000/- 
3. Net connectivity - Rs. 1000 per month - Total Rs. 12,000/- per year 
4. Multifunction printer scanner -Rs. 15,000/-
 iii) Planning &amp; M&amp;E Rs 0.05 lakhs for district review meeting.
Stationery - 500 
Food -350*12= 4,200 
Miscellaneous - 300 300 
Total expenses for one batch is 5,000/-
FY 2025-2026
i) Other operating cost : .
a) Remuneration for Doctors
Speciality doctor 2, number of calls 30 @ Rs.100/- 313 days 
b). For establishment of 5 Telemedicine units @Rs. 70,000 per unit. Total Rs.3.5 Lac
Unit cost : Rs, 70,000/- 
1. Laptop - Rs. 40,000/- 
2. Headset / Webcam (If needed) - Rs. 3000/- 
3. Net connectivity - Rs. 1000 per month - Total Rs. 12,000/- per year 
4. Multifunction printer scanner -Rs. 15,000/-
i.
 iii) Planning &amp; M&amp;E Rs 0.05 lakhs for district review meeting.
Stationery - 500 
Food -350*12= 4,200 
Miscellaneous - 300 300 
Total expenses for one batch is 5,000/-
</t>
  </si>
  <si>
    <t xml:space="preserve">
1)DBT-Rs.27.26 lakhs (R-3087 xRs.700 + U-922 xRs.600 + H-22*Rs 500)
2) Asha incentive - Rs.22.21 lakhs (Rural@Rs 600 &amp; Urban@Rs 400)  
3) Planning &amp; M&amp; E - Rs.1.09lakhs (For Administrative exp- @4% of DBT given)</t>
  </si>
  <si>
    <t xml:space="preserve">
1)Free Drugs &amp; consumables -Rs 30.7 lakhs for PW( 2677 ND @ Rs 350 &amp; 1332 C sections @ Rs 1600) accessing Govt health facilities for delivery
2) Diagnostics -Rs 8 lakhs@ Rs 200/beneficiary for 4009 PW 
  3) Other Operating Cost(Blood transfusion &amp; Diet) - a.Diet - Rs. 17.4 lakhs @ Rs 100 for 2677 ND for 3 days(2677*100*3)  and 1332 C sections for 7 days (1332*100*7)                                                                                                                                                                         
b.Blood Transfusion - Rs. 1.20lakhs @ Rs 300/PW for blood transfusion of 10% of total deliveries in govt.health facilities (10% of 4009= 401)     </t>
  </si>
  <si>
    <t xml:space="preserve">JSSK free transport  for pick up, drop back and referral to higher institutions @Rs 500 /beneficiary for 4009 beneficiaries </t>
  </si>
  <si>
    <t>DBT                      
Rs.0.54 lakhs for mobility support to HRP women @Rs 100 for 3 visits for 179 HRPs(100*3*179 = Rs.0.54 lakhs) 
ASHA Incentives
1) e-PMSMA -                                                                                                      a. Rs.0.54 lakhs for ASHA incentives for mobilising HRP women @Rs 100 for 3 visits for 179 HRPs(100*3*179 = Rs.0.54 lakhs)                                                                                                                      b. Rs 0.89 lakhs for ASHA incentives for healthy outcome of HRP @ Rs 500/HRP for 179 HRPs (500*179 = Rs 0.89 lakhs)
2) PNC visit - Rs.0.22 lakhs as ASHA incentive for healthy outcome of HRPs identified during  PNC visit (Rs.250* 90 = Rs 0.22 lakhs)                                                                                                                OOC
PMSMA session sites -4, Fund to be utilised for vehicle hiring/POL/refreshments</t>
  </si>
  <si>
    <t xml:space="preserve">OOC
To conduct maternal death audit meeting @ Rs 1321/month(Rs1321*12=15852, for POL and refreshments)
Planning and M&amp;E
MDNMSR - Rs 18000 (1500/meeting*12 meeting ) </t>
  </si>
  <si>
    <t>2024-25
Equipments
Color coded hand ties for mother and child identification for 1 LaQshya targeted facilities  (1490 delivery x2noxRs.10 = 0.30L)
2.Capacity building incl. training s for district level 
LaQshya training @ Rs 0.75 L /Districts 
3.Operational Cost for District level activities 
Rs 1 lakh for gap closure identified during internal/District assessment. Rs.2 lakhs for National/state assessment as per NQAS operational guidelines
2025-26
1Equipments
Color coded hand ties for mother and child identification for 1 LaQshya targeted facilities  (1632 delivery x2noxRs.10 = 0.33 L)
2.Capacity building incl. training s for district level 
LaQshya training @ Rs 1L /District 
2.Operational Cost for District level activities 
Rs 1 lakh for gap closure identified during internal/District assessment.Rs.2 lakhs for National/state assessment as per NQAS operational guidelines</t>
  </si>
  <si>
    <t>RCH portal review cum Training</t>
  </si>
  <si>
    <t xml:space="preserve">MH IEC &amp; PRINTING- 3.85L (Activity breakup details attached)
OOC: 5 RCH camps @ 15000/-= 0.75L
2025-26
Training -One batch RTI/STI training for MO @ Rs.50000/- </t>
  </si>
  <si>
    <t>IEC &amp; PRINTING- 1.10L (Activity breakup details attached)</t>
  </si>
  <si>
    <t>Equipment :-   Repair equipment for 53 existing nurses - Unit cost - Rs.2000/-
Drugs &amp; Supplies :-                                                                                                                                         
Diagnostics :-                                                                                                                                                                    
Capacity building training : -1.  RBSK Refresher training @ Rs. 50000/- per batch for 3 batches. 2. One-day orientation for MO / other staff Delivery points (RBSK training) -2 Batch training per district @ ₹21000 per batch, 3. Half-day RBSK refresher training @ Rs. 2500 x 7 = 17500/-
Asha Incentives :-                                                                                                                                  
OOC :-  1. Mobility support for RBSK Mobile health team-Incentive for RBSK nurse – Rs.1000*53*12 = Rs.63,600/- and 1 vehicles for MHT – Rs.48000*1*12 = Rs. 5,76,000 /- , 55 connections @ Rs.300 per month = 55*300*12 = 1,98,000                                                                                                                                                                                                                                                Planning &amp; M &amp; E : -  One yearly meeting at the district level involving line departments like WCD, LSGD, ICPS, ORC, Childline, BRC/ Education dept. etc @ 50000 per district. 
IEC &amp; PRINTING- 0.1325 L for Printing of RBSK cards and registers and Diary @ Rs.250/- for 53 RBSK nurses</t>
  </si>
  <si>
    <t xml:space="preserve">Equipment :- Rs.441049  lakh is recommended for essential equipment as per gap analysis.
Drugs &amp; Supplies :- 
Diagnostics :- Approval is to purchase Consumables for functioning 
DEIC. @ Rs. 100000/-
Capacity building training : - 
 Asha Incentives :- 
OOC :- 1. Operational expenses for Rs.20000 per month for Kasargode DEIC - Total amount  = Rs. 2,40,000/-, 
2. Referral Support for Secondary/ Tertiary – Rs. 35.11/- Lakhs     
Planning &amp; M &amp; E : - 
IEC &amp; PRINTING- Printing cost for DEIC – Rs. 1 lakhs </t>
  </si>
  <si>
    <t xml:space="preserve">Equipment :- 
Drugs &amp; Supplies :- 
Diagnostics :- 
Capacity building training : - One day District  Level TOT training for selected 10 participants
 in each districts @ Rs.11000/-
Asha Incentives :- Incentive for HBNC, HBYC, &amp; SNCU discharge babies – Rs. 27.81 lakhs 
OOC :- 
Planning &amp; M &amp; E : - 
IEC &amp; PRINTING- </t>
  </si>
  <si>
    <t>Equipment :-    
Drugs &amp; Supplies :-                                                                                                                                         
Diagnostics :-                                                                                                                                           
 Capacity building training : - 1. NSSK Training for Medical Officers - 2 batch NSSK training Rs. 34400 x 2 = Rs.68800/-., 2. NSSK Training for Staff Nurses - 2 batch NSSK training Rs. 34400 x 2 = Rs.68800/-, 3. Trainings for Family participatory care (KMC) - Rs 50000 per district to get a  team of trained doctors and Nurses at SNCUs. Rs.50000 x 1 = Rs.50,000/- , 4. Rs. 1 lakh is approved for two batches of Musqan District level Sensitization Training @ 100000 per district, 5. MUSQAN: Health Institution level activities – 2 lakh approved for selected 1 institution. Unit price of  1 each for gap filling &amp; Equipments approved for this 1 institution.                                                                                                       
Asha Incentives :-                                                                                                                                  
OOC :- 1. 2 Functional SNCUs = Rs. 300000x 3 SNCU = Rs.6,00,000/-, 2. NBCC– approved @ Rs.10,000 for 4 delivery points Rs. 10000x4Delivery point = 40,000/- , 3. Family participatory care (KMC) -Rs. 75000 x 2 SNCUs = 1,50,000/-                                                                                                                                                                                                                                                                                 Planning &amp; M &amp; E : -   
IEC &amp; PRINTING- Rs 1 lakh per unit for 2 SNCUs</t>
  </si>
  <si>
    <t xml:space="preserve">                                                                                                                                                                                                                                                                                 Planning &amp; M &amp; E : -   District Level Review Meeting of Program including RBSK and CH @ Rs. 1.75 lakhs per District 
IEC &amp; PRINTING- Rs. 3.30 lakh for Child health IEC activities. 
 </t>
  </si>
  <si>
    <t>Training Rs.3.59 lakhs
 ASHA Incentives -Rs.54.33  lkhs for 2024-25 and Rs.53.11  for 2025-26
 OOC Rs.9.81 lakhs
 IEC &amp; PRINTING- 1.16 L (Activity breakup details attached in IEC annexure)
 Planning and M&amp;E Rs.4.13 lakhs
 SRRE-AEFI Rs.2.50 Lakhs</t>
  </si>
  <si>
    <t>WIFS trainings (block level), 1 batch (40 nos. ) @Rs.5000/) * No. of health blocks (KSD -9)</t>
  </si>
  <si>
    <t xml:space="preserve">a.DBT -Male sterilization -37 cases @ Rs 1500 per case.
b.Training of Medical Officers on NSV 1 batch @ Rs 34500/batch with 5 participants per batch for 5 days training </t>
  </si>
  <si>
    <t>DBT -Rs 100 per dose per beneficiary for 223 cases
ASHA Incentive- Rs 100 per dose per ASHA for 223 cases</t>
  </si>
  <si>
    <t xml:space="preserve">DBT - for FPIS @ Rs 30000 as compensation for each failure of sterilization for 2 cases </t>
  </si>
  <si>
    <t>IEC &amp; PRINTING-  2.06 L Activity Breakup is attached
Planning &amp; M&amp;E- Rs.1 lakh for monitoring activities during World Population Day and vasectomy Fortnight at district and block level</t>
  </si>
  <si>
    <t>a.Drugs- Procurement of Self care Kit 21 kit @Rs 1000/kit-Selfcare kit should be installed in all delivery points and other appropriate facilities based on the demand and eligible couple catered by that facilty.
b. IEC &amp; PRINTING -1.50 L Activity Breakup attached
c. FP QAC meeting Rs 1000/meeting /quarter</t>
  </si>
  <si>
    <t xml:space="preserve">Capacity building incl. training - 1. Orientation activities on vitamin A supplementation and Anaemia Mukta Bharat Programme/ VIVA Kerala - Rs.100000 per district., 2. One day Orientation of frontline workers (ASHA/ANM) and allied department workers (Teachers/AWW) on  VIVA Kerala/ Anaemia Mukt Bharat - Rs.100000 per district.
ASHA Incentive - 1.National Iron Plus Incentive for Mobilizing WRA (non pregnant &amp; non lactating women  20-49 years) approved at Rs 50  for ASHA for one month. 
1951 Asha * 50 * 12 = 1170600/- 
-, 2. National Iron Plus Incentive for Mobilizing  children  and / or ensuring compliance and reporting (6-59 months) - approved @ Rs 100 for ASHA for one month. 
1951 Asha * 100 *12 = 2341200/-
</t>
  </si>
  <si>
    <t>Capacity building incl. training - 
Rs.3.31lakhs for Orientation of Nodal teacher, field staff and Anganwadi workers @ Rs.50/- for  two rounds of NDD
ASHA  INCENTIVE - Rs 1.85 Lakhs for ASHA incentives for 927 ASHAs for mobilizing beneficiaries for NDD round @ Rs 100 per ASHA per round
Rs.100 * 927 * 2 round  = 1,85,400/-
IEC and printing -  IEC and printing activities for NDD @ Rs 1.5 Lakh per 
district per round. Rs. 1.5 lakh * 2 round = 3,00,000/-</t>
  </si>
  <si>
    <t>IEC &amp; PRINTING- 0.5L (Activity breakup details attached)
Asha Incentive - ASHA incentive under MAA programme @ Rs 100 per ASHA for quarterly mother's meeting : 
Rs 400 * 927 ASHAs = 3,70,800/-</t>
  </si>
  <si>
    <t xml:space="preserve">Diagnostics - Consumables and stationaries for proposed 2 LMU @ Rs.105000 as recurring cost. 
Rs.105000 x 2  = 2,10,000 /-
</t>
  </si>
  <si>
    <t xml:space="preserve">1.Incentive for IDCF for prophylactic distribution of ORS to family with under-five children: Approved @ Rs 100 per ASHA for IDCF campaign for the routine activity. 927*100 = 92,700					                                                                                                                                                                                                                                    
2. IEC &amp; Printing - Approved under IDCF @ Rs.0.75 lakh                                         </t>
  </si>
  <si>
    <t>Training Rs.6.25 lakhs
IEC-Rs.1.00 lakhs
Planning and M&amp;E Rs.3.75 lakh
SRRE-Rs.1.50 lakh</t>
  </si>
  <si>
    <t xml:space="preserve">
Training Rs.1.30 lakhs
Equipments Rs5.59Lakhs
OOC Rs.1.88lakhs
IEC &amp; Printing Rs.0.60 lakhs
Planning and M&amp;E Rs.2.10 lakh
</t>
  </si>
  <si>
    <t>Training Rs.0.40 Lakhs
ASHA incentive Rs.0.88 Lakhs
OOC Rs.31.84Lakhs
IEC &amp; Printing Rs.0.50 Lakh 
Planning &amp; M&amp;E Rs.3.50 Lakh
SRRE Rs..3Lakhs</t>
  </si>
  <si>
    <t xml:space="preserve">
Capacity building including Training Rs. 0.40L
OOC Rs. 3.34 Lakhs
IEC &amp; Printing Rs.3.25Lakhs
Planning and M&amp;E -Rs.2 Lakhs
SRRE Rs.0.60 Lakhs</t>
  </si>
  <si>
    <t>Diagnostics - 0.68 L
 Approved Rs 0.68 Lakhs per district for drugs required for management of reaction and printing.
 ASHA incentives - 34.64 L
 1. Approved an amount of Rs 34.34 L as incentive for Incentive for search team (Rs 1000 per Volunteer) for each screening round/ village for LCDC
 2. Approved Rs 0.02 L as Incentive for ASHA/ AWW/ Volunteer/ etc for detection of Leprosy (Rs 250 for detection of an early case before onset of any visible deformity, Rs 200 for detection of new case with visible deformity in hands, feet or eye)
 3. Approved Rs 0.02 L for ASHA Incentive for Treatment completion of PB cases (@ Rs 400)
 4. Approved Rs 0.06 L for ASHA Incentive for Treatment completion of MB cases (@ Rs 600)
 5. Approved 0.20 L for Any other ASHA incentives(Sensitisation) @ Rs 100 per ASHA
 OOC - 0.6 L: Approved for Case Detection and Management in urban Areas</t>
  </si>
  <si>
    <t>Equipment - 0.26 L 
 1. Procurement of other equipment: NLEP- MCR
 Approved Rs 0.2 Lakhs for MCR Chappals @ Rs 400 per unit
 2. Procurement of other equipment: NLEP- Aids/Appliance
 Approved Rs 0.06 Lakhs for Self care kit @ Rs 150 per unit 
 OOC - 1.10 L
 Approved for Early detection in camps, ulcer management, and prevention of deformity @ Rs 10000 per camp</t>
  </si>
  <si>
    <t>Capacity building incl Training - 2.717 L
 1. Approved Rs 1.717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Planning &amp; M &amp; E - 2.6177 L
 1.Office operation &amp; Maintenance, Consumables- District Cell @ Rs 0.30 Lakhs
 2. Mobility Support District cell including TA/DA of NLEP staff@ Rs 1.5 Lakh/district
 3.Approved an amount of Rs 0.346 L as POL, transport (field supervisors) for LCDC @ Rs 100/ supervisor
 4. Approved Rs 0.1717 Lakhs for Logistics Rs.10/ team in connection with LCDC.
 5. Approved Rs 0.3 Lakhs for Supervision and monitoring @ Rs 3000 per block in connection with LCDC</t>
  </si>
  <si>
    <t>73.1 – DBT – Rs. 1.66 Lakhs:- Treatment Supporter Honorarium (Rs.1000) - one-time payment on the update of the Outcome of Treatment for drug sensitive TB patients, will be release through Nikshay DBT Mode directly to the beneficiaries.
73.2 - Infrastructure - Civil - Rs 3.00 lakhs –Rs. 3.00 lakhs for minor civil works/ repairing &amp; maintenance required at  DTC, TU &amp; DMC and X-ray facilities etc based on need basis and for minor civil works., 
73.3 - Equipments - Rs. 8.40 Lakhs -  Rs. 2.50 lakhs Procurement of equipment for District levels. (DMC, X-ray and ECG, etc for NTEP) Procurement of Sleeves and drug boxes - Rs. 2.30 lakhs for Maintenance / up gradation costs for Laboratory equipment’s DMC, X-ray and ECG, etc for NTEP  - Rs. 2.15 lakhs for Procurement of office equipment and furniture for District levels. (Office Equipments)  - Rs. 1.45 lakhs for Maintenance / up gradation costs for office equipment’s (Office Equipments)
73.4 - Drugs - Rs. 3.50 Lakhs - Procurement of First line drugs, Local Procurement of first line Anti TB  drugs on need basis and Drug Transportation charges etc
73.5 - Diagnostics (Consumables, PPP, Sample Transportation) - Rs. 9.00 Lakhs - Rs. 3.50 lakhs Patient Support &amp; Sample collection and Transport , Charges for transportation of samples for diagnosis, DST, follow-up &amp; Rs. 5.50 lakhs for Procurement of Lab consumables for DMCs, Procurement of Consumables for X-rays, ECG and etc.
73.6 - Capacity building Incl. training - Rs. 5.00 Lakhs -   Rs. 4.50 lakhs for training cost (including TA/DA &amp; other course materials) for officers / staff/ TB Champions and all district staff at National level, State level and District level, Rs. 0.50 lakhs Cost for conducting CME Training in Medical Colleges, Rs. 0.50 lakhs Community Engagement Activities - Sensitization of TB survivors, sensitization of NGOs, PRIs meeting, TB survivor led activities, etc
73.8 - Others including operating costs (OOC) - Rs. 3.00 Lakhs  - Rs. 1.20 lakhs Incentives for Active Case Finding/Akshaya Keralam Campaign/TB Elimination house to house visit , Rs 10/ for every household visit &amp; Rs 500/ for every new cases identified -the unit cost shall preferably be budgeted as per household or per person screened.,  Rs. 0.15 lakhs Incentive to non-salaried person for injection prick,  Rs. 1.65 lakhs Budget for Printing of Materials..
73.10 - Planning &amp; M&amp;E - Rs. 12.10 Lakhs  - Rs. 3.30 lakhs Supervision and Monitoring (District Level) - TA/DA cost of all officer/ staff working in NTEP, review meetings, Cost of internal evaluation etc.,  Rs. 3.60 lakhs POL for existing vehicles under NTEP and mobility support for those field staff in lieu of vehicles, Rs. 2.20 lakhs Vehicle hiring cost for Districts on contract,  Rs. 2.50 lakhs Office operation includes office maintenance expenditure, stationary, communication etc. Rs. 0.50 lakhs Maintenance cost for District vehicles (including four-wheeler &amp; two wheelers)
73.11 - Surveillance, Research, Review, Evaluation (SRRE) - Rs. 0.50 Lakhs  - Support for State &amp; District level/TU/LSG TB Forums(Treatment Support Groups) functioning including meeting cost, travel support to community members attending meeting, etc.</t>
  </si>
  <si>
    <t>74.1 – DBT – Rs. 39.00 Lakhs - Nutrition support to TB patient Rs. 500 per month till the treatment is completed, by DBT for DSTB Patients for 6 months &amp; Nutrition support to TB patient Rs. 500 per month till the treatment is completed, by DBT for DRTB Patients for 12 months. The payment to be release directly to the beneficiary bank account through Nikshay DBT mode.</t>
  </si>
  <si>
    <t>75.1 – DBT – Rs. 0.92 Lakhs - Private Provider Incentives- NTEP DBT Scheme @Rs. 500/- per notification and Rs. 500/- when treatment outcome declared &amp; Incentives for first informant (20% of Public notified case will be expected to be eligible for first informant incentive).
75.8 - Others including operating costs (OOC) - Rs. 2.50 Lakhs  - Cost of existing NGO/ PP support schemes and new NGO/ PP support schemes proposed as per NTEP Public Private Partnership Guidance.</t>
  </si>
  <si>
    <t>76.5 - LTBI Diagnostics (Consumables, PPP, Sample Transportation) - Rs. 4.50 lakhs - Screening, referral linkages and follow-up under Latent TB Infection Management ,Cost for screening of LTBI such as incentives, sample collection &amp; transport, etc activities pertaining to LTBI.</t>
  </si>
  <si>
    <t>77.1 – DBT – Rs. 1.20 Lakhs:- Treatment Supporter Honorarium (Rs.5000), payment on the update of the Outcome of Treatment for drug resistant TB patients. will be release through Nikshay DBT Mode directly to the beneficiaries.
77.2 - Infrastructure - Civil - Rs 1.50 lakhs - minor civil works/ repairing &amp; maintenance of Nodal DRTB centre, CBNAAT, TRUNAAT sites, IRL &amp; CDST labs on need basis.
77.3 - Equipments - Rs. 2.00 Lakhs -  Procurement of equipment for District levels (DR TB Centre, C&amp; DST Lab and Molecular Diagnostics), Maintenance / up gradation costs for Laboratory equipment’s for DR TB Centre, C&amp;DST Lab and Molecular Diagnostics Equipment for NTEP
77.4 - Drugs - Rs. 5.00 Lakhs - Procurement of DRTB drugs, Local Procurement of second line drugs on need basis and Drug Transportation charges etc
77.6 - Capacity building Incl. training - Rs. 0.40 Lakhs -   Training for AIC, Cost for AIC related trainings etc.
77.11 - Surveillance, Research, Review, Evaluation (SRRE)  - Rs. 1.00 Lakhs -   AIC Review Committee, Cost for Committee meeting &amp; etc.</t>
  </si>
  <si>
    <t xml:space="preserve">78.9 - Rs. 10.00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 </t>
  </si>
  <si>
    <t>Approved for 300 cases @ Rs 1000 for the Assistance for consumables/ drugs/ medicines including IOL to the Govt. Hospital for Cataract surgery.</t>
  </si>
  <si>
    <t>Approved @ Rs 1 Lakh per unit for 6 vision centers- Manjeshwar, Cheruvathur, Bellur, Madikkai, Thaikadappuram, Bayar</t>
  </si>
  <si>
    <t>1. District Level Trainings and PBS Training Rs. 3 Lakhs /each District 
 2.ASHA Incentive for CBAC Form Filling for Population Based Survey - Rs.20.10Lakhs
 • ASHA Incentive for NCD follow-up activity: Rs. 11.33 Lakhs 
 3.Rs.4 L for IEC activities for Dist level. and Printing of referral cards at PHC @ Rs.2500/card 
 4. Planning &amp; M&amp; E Rs. 3 L/each District level for Program Management Activities</t>
  </si>
  <si>
    <t>OOC -Rs.8.61 lakhs approved @ Rs. 250 per wellness session for one session per month for 12 months at HWCs SC and PHCs
Planning and M&amp;E 
Rs. 0.50 lakhs approved for  refresher training and review on wellness for Medical officers for PHC&amp;UPHCs. 
Rs. 0.75 lakhs approved @Rs 75000  per batch for training of MLSPs</t>
  </si>
  <si>
    <t>IEC &amp; Printing - Printing a customised book for one patient identified, Rs  12500 for 250 customized books @ Rs 50.
50 * 250 = 12500.</t>
  </si>
  <si>
    <t xml:space="preserve">Capacity building incl. training  - 16.97  L
Induction training to ASHA@Rs. 74750 per batch of 30 ASHA for Rs. 0.74 L
ASHA 10th Module training @ Rs. 1533 per one ASHA for 927 ASHA  14.21  L
Supplementary training to ASHA - One ASHA from one institution per month @ Rs. 300 per ASHA for 56ASHA's -  2.01  L.
ASHA incentives – 240.51 L 
ASHA fixed incentive @Rs. 2000 per month for 927 ASHAs Rs. 222.48  L 
Incentive for monthly review meeting @Rs.100 per month for  927  ASHAs  Rs. 11.12  L
Social Security Insurance packages for ASHA - PMJJBY @ Rs.436 for 450 ASHA of  Rs.1.96 L , PMSBY @Rs. 20 for 454 ASHA Rs . 0.90  L,  PMSYM @Rs.200 per month for  405 ASHAs Rs. 4.86  L . Total  7.72 L.
OOC  23.27 L                                                                                                     Ongoing expenses for Ward Health Facilitation Centres @Rs. 500 per month per ward 17 wards Rs.1.02 L          
Mobile allowance to 927 ASHA @Rs. 200 per month for Rs. 22.24 L
IEC &amp; PRINTING- 2.927L (Activity breakup details attached)                                   2025-26 Distrit ASHA Sammelan  Rs. 2 L
</t>
  </si>
  <si>
    <t>ASHA Incentive – 4.63 L
Incentive to ASHA for ABHA ID creation @ Rs. 10 for 50 ABHA ID for 927  one ASHA @ Rs.4.63 L
IEC &amp; PRINTING- 1.55L (Activity breakup details attached)</t>
  </si>
  <si>
    <t xml:space="preserve">a.Equipment 
A total of Rs. 6.20    L allotted for External Quality Assurance of LABS in the district at annual rates of not  more than 
•        DH-Rs.20,000/- ( 3DH), 
•        TH-Rs.20,000/-( 5TH/THQH), 
•        CHC-Rs.10,000/-(6 CHC), 
•        PHC-Rs.10,000/-(40 PHC)  .
EQAS Priority should be given to the targeted institutions for NQAS.
b .Capacity building including training
A total of Rs. 8.09 L allotted for the following expenses
b.1. NQAS District Level Training -    An amount of Rs.  1.66  Lakhs  is allotted for NQAS district level training of prioritized/targeted institutions for NQAS in the district. The training shall be given as team training to staffs of the targeted institutions. (Rs.83,000* 2 days ) .As per the Quality training norms NQAS operational guideline 2021 page no 101.
b.2 Kayakalp refresher training   -A total of  Rs.6.43    L allotted for the following - 
b.2.1 District Level Trainings under Kayakalp Rs.54,000/- for District Level refresher trainings/ Internal Assessor workshop under Kayakalp.
Peer assessment awareness cum Internal/District Assessor workshop shall be provided to district Kayakalp inspection team.
b.2.2 Facility Level Kayakalp Training on "Swachh Bharat Abhiyan“- Rs. 5.89  L.  Facility Level Kayakalp Training on "Swachh Bharat Abhiyan“ –Kayakalp  Institutional training  for  each institutions 
•        DH- Rs.20,000/- (3DH)  
•        TH/THQH and CHC Rs.15,000/- (11TH/THQH &amp; CHC) ,
•        PHCs -Rs.6000/- (40 PHC) , 
•        HWC-SC Rs.500/- (  247HWC-SC) 
Districts can prioritize institutions as per performance of needed additional trainings.
c. OOC -Rs.32.08 L
c.1 Rs.5 L for  District  Level Assessment &amp; Mentoring Visit including Vehicle for field visit in Districts for Quality Program.
c.2 Rs.27.08 lakhs for assessments (National/state/NQAS, MusQan)  (1 DH, 1SDH, 1 CHC, 10 PHC, 10 SC)
d. IEC/BCC
Rs.1 L   is allotted for IEC &amp; Printing for providing                                                    Signage’s- in Approach road, departmental, directional and any other relevant facility level signage’s for Quality Assurance or printing of Quality improvement IECs boards in hospital at DH/SDH .
Districts can prioritize the needy institutions based on gap analysis. Not exceeding maximum of Rs.50,000/- per institution. 
e.Planning &amp; M&amp;E.Rs.0.79L for 
  a.    Rs.24,000/-  allotted for district towards expenses for conducting    District Quality Assurance Committee Meetings as per NQAS Operational guidelines 2021 (DQAC should be met at least once in a quarter)  and other Quality Review Meetings.
 b.   Rs.55,000/-allotted for district towards meeting Contingency &amp; Misc expenses including expenses incurred for District Level Quality Assessments.                   </t>
  </si>
  <si>
    <t xml:space="preserve">Diagnostics: Rs.  14.40  L 
Consumables related to implementation of infection control practices in hospital/ hospital laboratory including cost of water testing /environmental swab/sample testing, autoclave bags, indicator strips etc.
 · DH&amp;TH/THQH - @ Rs 1L for each    8 DH &amp; TH 
 · CHC – Rs.40,000/- for each    6 CHC 
 · PHC- Rs.10,000/- for each  40 PHC 
 Priority should be given to the targeted institutions for NQAS.
OOC-  Rs.45.23  lakhs
1 Expenses for Kayakalp Peer Assessment of institutions - Rs. 6.63   L.  
•        DH Level Peer Assessment -Rs.25,000/- each for 3 DH           
•        TH/THQH &amp; CHC Hospital Peer Assessment- Rs.13,000/- each for 11 TH/THQH &amp; CHC.
•        PHC Peer Assessment - Rs.5000/- each  for  40 PHC                                                  
•        HWC-SC Peer Assessment - Rs.5000/- for 49 HWC-SC (20% of Total   247 HWC-SC)  
2 BIOMEDICAL WASTE MANAGEMENT-   Rs.14.60  L  Support for the implementation of Kayakalp                                      
•        DH-Rs.60,000/- each for  3 DH,        
•        TH/THQH-Rs.60,000/- each for 5 SDH,                                                                
•        CHC –Rs.30,000/- each for  6 CHC,                                                           
•        PHC-Rs.20,000/- each for  40 PHC.           
3 Pest Control- Rs. 8.50   L 
Pest control measures has to be undertaken and done regularly at the institutions level. For implementing Pest control measures in     
•        DH – Rs.50,000/- each for 3 DH ,   
•        TH – Rs.30,000/- each for 5 TH ,                                                                     
•        CHC – Rs.25,000/- each for 6   CHC,                                                       
•        PHC –Rs.10,000/- each for   40 PHC.   
4 Support for NQAS/KASH/MusQan Implementation for the gap closure in targeted institutions  Rs.15L for District for identified target institutions on priority basis. 
5. Rs.0.50 L for District Level Award function and District Assessment.
IEC/BCC (Printing of SOPs necessary for Implementation of NQAS, Kayakalp, LaQshya, MusQan) – Total    Rs.4.90 L.
•        (DH/GH/W&amp;C- Rs.25,000/- each for 3  DH),
•        (TH/THQH - Rs.25,000/- each for  5 TH/THQH )
•        (CHC - Rs.15,000/- each for   6 CHC ),
•        (PHC - Rs.5,000/- each for 40 PHC) 
The SOP printing amount for the HWC-SCs under PHC  shall be given by the PHC. Out of Rs.5,000/-, Rs.3,000/- for PHC and Rs.2000/- for HWC-SC) </t>
  </si>
  <si>
    <t xml:space="preserve">OOC -
Rs.5lakhs for Call Allowance
Rs. 5550/-for incentives to provider for PPIUCD services 37*150
Rs.4.02 Lakhs for Incentives for updation of NVHCP MIS portal 
(Nodal officer/Pharmacist/Lab Technician)  </t>
  </si>
  <si>
    <t>IEC &amp; PRINTING- 1.02L (Activity breakup details attached)
Planning and M&amp;E
10 HMIS / RCH training cum review meeting @ unit cost 10000/- at District level
2 HMIS / RCH training cum review meeting per health Block @ unit cost 10000/- 
OOC) Rs. 35000/-  internet annual user fee for (2UPHCs )</t>
  </si>
  <si>
    <t xml:space="preserve">FY 2024-2025
 i)Capacity building
Training of Specialist doctors, MOs, Staff Nurse, MLSP, Palliative care staffs, ASHA workers, RBSK Nurses, UPHC Staffs, JPHN, JHI, Medical College staff @Rs 0.25 lakhs per batch. 
Stationery – 100*50=5000
Food - 350*50= 17,500 
Miscellaneous -2500 
Total expenses for one batch 25,000/-
ii) )Other operating cost : .
a) Remuneration for Doctors
Speciality doctor 2, number of calls 30 @ Rs.100/- 313 days 
b). For establishment of 5 Telemedicine units @Rs. 70,000 per unit. Total Rs.3.5 Lac
Unit cost : Rs, 70,000/- 
1. Laptop - Rs. 40,000/- 
2. Headset / Webcam (If needed) - Rs. 3000/- 
3. Net connectivity - Rs. 1000 per month - Total Rs. 12,000/- per year 
4. Multifunction printer scanner -Rs. 15,000/-
 iii) Planning &amp; M&amp;E Rs 0.05 lakhs for district review meeting.
Stationery - 500 
Food -350*12= 4,200 
Miscellaneous - 300 300 
Total expenses for one batch is 5,000/-
FY 2025-2026
i) Other operating cost : .
a) Remuneration for Doctors
Speciality doctor 2, number of calls 30 @ Rs.100/- 313 days 
b). For establishment of 5 Telemedicine units @Rs. 70,000 per unit. Total Rs.3.5 Lac
Unit cost : Rs, 70,000/- 
1. Laptop - Rs. 40,000/- 
2. Headset / Webcam (If needed) - Rs. 3000/- 
3. Net connectivity - Rs. 1000 per month - Total Rs. 12,000/- per year 
4. Multifunction printer scanner -Rs. 15,000/-
 iii) Planning &amp; M&amp;E Rs 0.05 lakhs for district review meeting.
Stationery - 500 
Food -350*12= 4,200 
Miscellaneous - 300 300 
Total expenses for one batch is 5,000/-
</t>
  </si>
  <si>
    <t>Amount 2024-25</t>
  </si>
  <si>
    <t>Amount 2025-26</t>
  </si>
  <si>
    <r>
      <rPr>
        <b/>
        <sz val="11"/>
        <color theme="1"/>
        <rFont val="Times New Roman"/>
        <family val="1"/>
      </rPr>
      <t>Central supplies (Kind grants)</t>
    </r>
    <r>
      <rPr>
        <sz val="11"/>
        <color theme="1"/>
        <rFont val="Times New Roman"/>
        <family val="1"/>
      </rPr>
      <t xml:space="preserve"> (To be provided by the PDs)</t>
    </r>
  </si>
  <si>
    <t>Drugs - 
Calcium tablet - PW - 74624400 tablet @ Rs 0.42 &amp; Lactationg Women 74624400 tablet @ Rs 0.42
    Printing of MCP card- 142.5 L</t>
  </si>
  <si>
    <t>OOC -  0.10 L for conducting  committee meeting for certification of SUMAN facilities @ Rs.5000/meeting (2 meetings in a year),  Rs.25 L for branding of SUMAN certified facilities - 500 facilities will be certified @ Rs.5000/- per institution</t>
  </si>
  <si>
    <t>Printing of MDR formats - 0.50 L;
Maternal Death Review- 2.4 (Rs 60000 *4)</t>
  </si>
  <si>
    <t>Equipments - Rs.0.4 L - for comprehensive abortion care equipments
Rs.82000 for 1 batch of ToT</t>
  </si>
  <si>
    <t xml:space="preserve">Rs.1.5 L for ToT Prevention of Preventable Maternal Deaths </t>
  </si>
  <si>
    <r>
      <rPr>
        <sz val="11"/>
        <color rgb="FF980000"/>
        <rFont val="Times New Roman"/>
        <family val="1"/>
      </rPr>
      <t xml:space="preserve">Approved Eqipment for Rs.303.85 L  - for Labour Room and Gynecology OT - Strengthening exisiting Units in the selected hospitals &amp;  hospitals where Civil work completed /nearing completion </t>
    </r>
    <r>
      <rPr>
        <sz val="11"/>
        <color rgb="FF000000"/>
        <rFont val="Times New Roman"/>
        <family val="1"/>
      </rPr>
      <t xml:space="preserve">
Equipment (Including Furniture, Excluding Computers) total of Rs.17.87 L for procurement of 1,78,700 color coded hand ties for mother and child identification for 45 LaQshya targeted facilities
 (89,350 delivary x2x10 = 17.87 L)
State Level Activities : Rs.34.30 Lakhs (OOC)
a. LaQshya National Assessment for both Labour room &amp; OT total Rs.11.9 Lakhs ie. 
1.19 x10 facilities =11.90L
b. LaQshya National Recertification for both Labour room &amp; OT total Rs.11.9 Lakhs ie. 
1.19 x10 facilities =11.90L
c. LaQshya State Assessment (DH/SDH) for both Labour room &amp; OT Rs.10.50 Lakhs 
for 35 Facilities ie.30000 x 35 = 10.50</t>
    </r>
  </si>
  <si>
    <r>
      <rPr>
        <sz val="11"/>
        <color rgb="FF980000"/>
        <rFont val="Calibri, sans-serif"/>
      </rPr>
      <t>Approved Eqipment  for Rs.25.20L - for Labour Room and Gynecology OT - Strengthening exisiting Units in the selected hospitals &amp; hospitals where Civil work completed /nearing completion</t>
    </r>
    <r>
      <rPr>
        <sz val="11"/>
        <color rgb="FF000000"/>
        <rFont val="Calibri, sans-serif"/>
      </rPr>
      <t xml:space="preserve">                                                                                                                                                                                                                                           Rs.19.58 L for color coded hand ties for mother and child identification,child mopping and covering towels for LaQshya Targetted facilities district and for other procurements closing gaps identified in internal/District Assessment. Rs 10 per unit .</t>
    </r>
  </si>
  <si>
    <r>
      <rPr>
        <sz val="11"/>
        <color rgb="FF980000"/>
        <rFont val="Times New Roman"/>
        <family val="1"/>
      </rPr>
      <t>Approved Equipments for Total Rs.786.619 lakhs,Equipment for all Delivery Points, Strengtheing of existing Labour Room ,Gynec/ Maternity OT, MMR Reduction Programme of the State – Infection Control</t>
    </r>
    <r>
      <rPr>
        <sz val="11"/>
        <color rgb="FF000000"/>
        <rFont val="Times New Roman"/>
        <family val="1"/>
      </rPr>
      <t xml:space="preserve">
Planning and M&amp;E : Rs.1.50 L for review on MH, FP &amp; Immunisation
IEC / BCC 2024-25 - 85L                                                                                                                                              Media Activities- Rs. 58 L, IPC- Rs. 20 L, Any Other MH component- Rs.7L
</t>
    </r>
  </si>
  <si>
    <r>
      <rPr>
        <b/>
        <sz val="11"/>
        <color rgb="FF980000"/>
        <rFont val="Times New Roman"/>
        <family val="1"/>
      </rPr>
      <t>Approved Equipments for Rs.746.489</t>
    </r>
    <r>
      <rPr>
        <sz val="11"/>
        <color rgb="FF980000"/>
        <rFont val="Times New Roman"/>
        <family val="1"/>
      </rPr>
      <t xml:space="preserve"> </t>
    </r>
    <r>
      <rPr>
        <b/>
        <sz val="11"/>
        <color rgb="FF980000"/>
        <rFont val="Times New Roman"/>
        <family val="1"/>
      </rPr>
      <t>lakhs, Revised after Post NPCC Comments.</t>
    </r>
    <r>
      <rPr>
        <sz val="11"/>
        <color rgb="FF980000"/>
        <rFont val="Times New Roman"/>
        <family val="1"/>
      </rPr>
      <t xml:space="preserve">Equipment for all Delivery Points, Strengtheing of existing Labour Room ,Gynec/ Maternity OT, MMR Reduction Programme of the State – 
</t>
    </r>
    <r>
      <rPr>
        <sz val="11"/>
        <color rgb="FF000000"/>
        <rFont val="Times New Roman"/>
        <family val="1"/>
      </rPr>
      <t>Infection Control  Rs.19.58 L for color coded hand ties for mother and child identification,child mopping and covering towels for LaQshya Targetted facilities district and for other procurements closing gaps identified in internal/District Assessment. Rs 10 per unit .</t>
    </r>
  </si>
  <si>
    <t>State Level IEC/BCC activities @ RS. 12.90. Includes activities like wall paintings at Scan Centres, Awareness Boards inside hospital primises, Bhoomika Kiosks and awareness Boards,  Production of Audio and Video Content for campaign through social media handles ( Vide IEC/BCC Annexure for more details)
Study on Online monitoring tools for health and grievance of Transgenders and Intersex in Kerala for Rs. 8 L</t>
  </si>
  <si>
    <t xml:space="preserve">State Level IEC/BCC activities. This  includes activities like wall paintings at Scan Centres, Awareness Boards inside hospital primises, Bhoomika Kiosks and awareness Boards,  Production of Audio and Video Content for campaign through social media handles </t>
  </si>
  <si>
    <t xml:space="preserve">
</t>
  </si>
  <si>
    <t xml:space="preserve">Asha Incentive -  Rs. 785.31 L ,   Rs. 235.39 Lakhs for  HBNC, Rs. 392.66 Lakhs  for HBYC, Rs.157.06 Lakhs for  SNCU Follow up
Training - Rs.3.32 L - 0.62 L for one day state level sensitization, 1.16 L for Two day state level TOT,  Rs. 1.54 L for one day district level ToT. </t>
  </si>
  <si>
    <r>
      <rPr>
        <b/>
        <sz val="11"/>
        <color theme="1"/>
        <rFont val="Times New Roman"/>
        <family val="1"/>
      </rPr>
      <t xml:space="preserve">Infra </t>
    </r>
    <r>
      <rPr>
        <sz val="11"/>
        <color theme="1"/>
        <rFont val="Times New Roman"/>
        <family val="1"/>
      </rPr>
      <t xml:space="preserve">- Rs.100.2 L for MNCU at MCH Kottayam
</t>
    </r>
    <r>
      <rPr>
        <sz val="11"/>
        <color rgb="FFE06666"/>
        <rFont val="Times New Roman"/>
        <family val="1"/>
      </rPr>
      <t xml:space="preserve"> Approved </t>
    </r>
    <r>
      <rPr>
        <b/>
        <sz val="11"/>
        <color rgb="FFE06666"/>
        <rFont val="Times New Roman"/>
        <family val="1"/>
      </rPr>
      <t xml:space="preserve">Equipment for </t>
    </r>
    <r>
      <rPr>
        <sz val="11"/>
        <color rgb="FFE06666"/>
        <rFont val="Times New Roman"/>
        <family val="1"/>
      </rPr>
      <t xml:space="preserve"> Rs.178.827 Lakhs for Strengthening of SNCUNBCU Units</t>
    </r>
    <r>
      <rPr>
        <sz val="11"/>
        <color rgb="FF38761D"/>
        <rFont val="Times New Roman"/>
        <family val="1"/>
      </rPr>
      <t xml:space="preserve">
</t>
    </r>
    <r>
      <rPr>
        <b/>
        <sz val="11"/>
        <color rgb="FFFF00FF"/>
        <rFont val="Times New Roman"/>
        <family val="1"/>
      </rPr>
      <t>IEC &amp; Printing</t>
    </r>
    <r>
      <rPr>
        <sz val="11"/>
        <color rgb="FFFF00FF"/>
        <rFont val="Times New Roman"/>
        <family val="1"/>
      </rPr>
      <t xml:space="preserve"> - 11 lakhs for IEC (Detailed in Annexure I) 
Printing &amp; translation cost for Family participatory care (KMC) Rs. 4.17 L, 2) Rs.25 L for printing for SNCU Data management.</t>
    </r>
    <r>
      <rPr>
        <sz val="11"/>
        <color theme="1"/>
        <rFont val="Times New Roman"/>
        <family val="1"/>
      </rPr>
      <t xml:space="preserve">
C</t>
    </r>
    <r>
      <rPr>
        <b/>
        <sz val="11"/>
        <color theme="1"/>
        <rFont val="Times New Roman"/>
        <family val="1"/>
      </rPr>
      <t>apacity Building</t>
    </r>
    <r>
      <rPr>
        <sz val="11"/>
        <color theme="1"/>
        <rFont val="Times New Roman"/>
        <family val="1"/>
      </rPr>
      <t xml:space="preserve"> -1) Rs.13.84 L for state level training Muskaan. 2) MusQan District level  refresher Training– Rs. 14  lakhs, 3) MusQan: Health Institution level activities – Rs. 60  lakhs, 4) NSSK Training for Medical Officers– Rs. 9.63 Lakhs, 5) NSSK Training for SNs– Rs. 9.63  lakhs, 6) Rs.4.49 L for observership for FBNC training , 7) Rs.12.08 L for 4 days NBSU training, 8) Trainings for Family participatory care (KMC) - Rs.7.00 lakh
</t>
    </r>
    <r>
      <rPr>
        <b/>
        <sz val="11"/>
        <color theme="1"/>
        <rFont val="Times New Roman"/>
        <family val="1"/>
      </rPr>
      <t xml:space="preserve"> OOC</t>
    </r>
    <r>
      <rPr>
        <sz val="11"/>
        <color theme="1"/>
        <rFont val="Times New Roman"/>
        <family val="1"/>
      </rPr>
      <t xml:space="preserve"> - 1) Rs. 1 Lakh for Operating expenses for State new-born resource centre , 2) Operating expenses for SNCU - Rs.120.00/- Lakh, 3) Operating expenses for NBSU :Rs.119.00/- Lakh, 4) Operating expenses for NBCC - Rs. 10.00/- Lakh, 5) Operating expenses for Family participatory care (KMC) - 24.00/- Lakh, 6) Operating expenses for Mother new-born Care Unit - Rs. 25.00/- Lakh
            </t>
    </r>
  </si>
  <si>
    <t>Approved Equipment for  Rs.4.34Lakhs for Strengthening of SNCUNBCU Units</t>
  </si>
  <si>
    <t>CDR regional and state ToT training @ Rs.7 lakh,                                                   Child death review – Rs. 7 lakhs for CDR training @ Rs.50000 per district</t>
  </si>
  <si>
    <t>Rs.2000x1263= 25,26,000/-</t>
  </si>
  <si>
    <r>
      <rPr>
        <sz val="11"/>
        <color theme="1"/>
        <rFont val="Times New Roman"/>
        <family val="1"/>
      </rPr>
      <t xml:space="preserve">
Training -  Rs.50.80 L 
Rs.21 L for conducting one day sensitisation program for dist officials 
Rs.27.30 L for training fo ASHA s in SAANS
</t>
    </r>
    <r>
      <rPr>
        <sz val="11"/>
        <color rgb="FFFF00FF"/>
        <rFont val="Times New Roman"/>
        <family val="1"/>
      </rPr>
      <t>IEC - Rs.46 L
Printing - Rs.3 L for printing of training module and treatment protocol</t>
    </r>
    <r>
      <rPr>
        <sz val="11"/>
        <color theme="1"/>
        <rFont val="Times New Roman"/>
        <family val="1"/>
      </rPr>
      <t xml:space="preserve">
Plannig &amp; M&amp;E - Rs.3 lakhs for supportive supervison of SAANS programme
Rs.3 L for mobility support</t>
    </r>
  </si>
  <si>
    <r>
      <rPr>
        <sz val="11"/>
        <color rgb="FFFF00FF"/>
        <rFont val="Times New Roman"/>
        <family val="1"/>
      </rPr>
      <t xml:space="preserve">
</t>
    </r>
    <r>
      <rPr>
        <sz val="11"/>
        <color theme="1"/>
        <rFont val="Times New Roman"/>
        <family val="1"/>
      </rPr>
      <t xml:space="preserve">
OOC - balance amount for 4 NBSU and for 29 pediatrc HDU operational cost @ Rs. 5 lakh per HDU</t>
    </r>
  </si>
  <si>
    <r>
      <rPr>
        <sz val="13"/>
        <color theme="1"/>
        <rFont val="Times New Roman"/>
        <family val="1"/>
      </rPr>
      <t xml:space="preserve">
</t>
    </r>
    <r>
      <rPr>
        <sz val="13"/>
        <color rgb="FF980000"/>
        <rFont val="Times New Roman"/>
        <family val="1"/>
      </rPr>
      <t>Equipments  -Approved , Equipment for Strengthening Paediatric Units at Delivery Points,Total Rs.212.45Lakhs</t>
    </r>
  </si>
  <si>
    <r>
      <rPr>
        <sz val="11"/>
        <color theme="1"/>
        <rFont val="Times New Roman"/>
        <family val="1"/>
      </rPr>
      <t xml:space="preserve">
</t>
    </r>
    <r>
      <rPr>
        <sz val="11"/>
        <color rgb="FFFF00FF"/>
        <rFont val="Times New Roman"/>
        <family val="1"/>
      </rPr>
      <t>IEC &amp; Printing - 75.50 L</t>
    </r>
    <r>
      <rPr>
        <sz val="11"/>
        <color theme="1"/>
        <rFont val="Times New Roman"/>
        <family val="1"/>
      </rPr>
      <t xml:space="preserve">
Planning and M &amp; E -  Rs.29.95 L
1) Rs. 8.95 L for State meeting and orientation progammes 
2) Rs.21 L for district level orientation program for CH program @ 1.5 lakh each district. 
</t>
    </r>
  </si>
  <si>
    <t xml:space="preserve">SHSRC Proposed PIP2024-25
Adolescent Health
Summary Budget of Research Proposal
Division        Study titles        Budget
AdolescentHealth        Effectiveness of intensive outreach activities to reduce substance abuse among adolescents in Kerala - A Randomized controlled trial.        13.25 Lakhs
EFFECTIVENESS OF INTENSIVE OUTREACH ACTIVITIES TO REDUCE SUBSTANCE ABUSE AMONG ADOLESCENTS IN KERALA - A RANDOMIZED CONTROLLED TRIAL.
Background: Substance abuse includes the use of illegal drugs or over-the-counter drugs or alcohol for purposes other than those for which they are meant to be used, or in excessive amounts.1 Substance abuse has a significant influence on people, families, and communities. Because of its compounding consequences, it also contributes to social, physical, and mental health issues. Adolescent substance abuse is on the rise in India at a startling rate and poses a major public health challenge. The age of adolescence causes individuals to explore more and experiment with new substances. A study by Lucy Raphael et al revealed that 31.8% youth in central part of Kerala in South India used or abused any one of the substances (alcohol, smoking, pan chewing) irrespective of time and frequency in lifetime.2 The results of another study by Anita Sharon Joshua et al showed that substance use correlated positively with suicidal ideation.3 According to National Crime Records Bureau data, 792 persons in Kerala committed suicide in 2019 as a result of drug or alcohol abuse.4 The ill effects of substance abuse affects beyond the individual. Hence targeted interventions are needed to reduce the prevalence of this rising epidemic among adolescents. An overview of systematic reviews by Jai K Das et al suggested that among smoking/tobacco interventions, school-based prevention programs and family-based intensive interventions typically addressing family functioning are effective in reducing smoking.5 Similarly, a study by Charis Theo et al conducted an awareness programme to a group of students which had lecture, discussion and a video on substance abuse and its consequences. The indices showed a steady increase in knowledge from 7.5 % during the pretest to 52.8% during the posttest. The Government of Kerala initiated the anti-drug campaign Vimukthi to draw attention to the gravity of the crisis and to raise awareness among the populace, particularly among young people. According to the survey report 2020-2021 conducted by the Excise department of Kerala, 82% of the youths who participated in the study used marijuana; 75.6% also used tobacco; 64% drank alcohol; and 25.5% used tablets as drugs. It is worrying to know that 70% of the adolescent respondents began their drug use at the age of 10 to 15, 20% at the age of 15 to 19, while 9% started using drugs at the age of 5 to 10.7
Rationale: Adolescent substance abuse is on the rise in India and poses a major public health challenge. Former studies have shown that community-based, peer-led and family-supported interventions have been found to reduce substance abuse rates in adolescents.
Objectives: 
To find out the effectiveness of an intensive outreach activities in reducing the substance abuse among adolescents in Kerala
 To analyze the extent and pattern of substance abuse among adolescents in Kerala.
Methodology
Study sites: Three districts of Kerala will be randomly selected ensuring adequate geographical representation of North, South and Central zones.
Study Population: Adolescents aging 13-18 years InterventionIntensivebehavioural interventions including group and individual session, and family sessions, while incorporating technology to impart IEC. The intervention group receiving the intensive outreach activities will be compared to the students who are receiving the regular management for substance abuse. Outcome - The effectiveness of the intervention can be determined.
Sample size: Based on the prevalence of 41.67% detected in the study titled ‘Significant Social Determinants of Substance Abuse among School Students: A Study with Special Reference to Idukki District, Kerala Authors: Akhil P Joseph &amp; Abin Abraham” and using the formula zα + zβ (P1Q1) + (P2Q2) / d2 the sample size in each arm was oversampled by 10 percent to compensate for loss to follow up and non-response was calculated to be 441, which will be rounded off to 450 in each arm. Then the total sample size will be 900.
For objective 2, Using the formula (4pq)/d2, the sample size was calculated. p= 2.29, q=97.02 and absolute precision(d)=1, the sample size obtained was 1110, which is oversampled to compensate for the nonresponse and lost follow-up, to get a final sample size of 1200. Since Objective 2 requires more samples (N=1200), total sample of 1200 will be taken for the entire study.
Implementation strategy: Adolescents will be approached at schools and Anganwadi centres and consents/assent will be obtained. Exclusion criteria: Students from special schools, those who do not consent/assent and those not willing to follow-up Baseline survey will be done to record self-reported substance abuse. The students will be allocated into two groups: intervention and control group. The former will recieve intensive behavioural interventions The intervention will be based on the FACS therapy proposed by Curry et al. There will be 3 modules – individual, family and group modules, which will be conducted simultaneously. Twice weekly group sessions will be held separately for adolescents and parents. Weekly individual and family sessions will be organized for 6 months. Additionally individualized sessions will be conducted on a need basis. The intervention will begin with a structured interview with the adolescent done by a trained psychiatrist, along with symptom review and use of scales to quantify depression and substance abuse. Based on the result of the initial assessment, individualized goals will be set. Family module will focus on parents and adolescent communication, conflict resolution and problem solving techniques. Group sessions focus on building positive experiences, goal setting, problem solving, responding assertively including refusing drugs, learning to relax and prevention of relapse with yoga and meditation being used to reduce stress. Information, guidance and support will also be shared via mobile applications. The control group will be referred for regular management of substance abuse. at the end of the intervention of six months, an endline survey will also be conducted among two groups of adolescents.
For objective 2, Adolescents will be approached at schools and Anganwadi centres and consents/assent will be obtained. Exclusion criteria: Students from special schools, those who do not consent/assent and those not willing to follow-up Using the WHO Assist Tool, Substance abuse prevalence will be determined.
Analysis: Quantitative data will be collected using ODK Collect, which is an Android app to replace paper forms. Data cleaning, coding and analysis will be done using SPSS version 27. The independent variables will be subjected to bivariate analysis using the chisquare test and significant or near significant variables will be included for logistic regression analysis. Prevalence in both groups and will be calculated.
Ethical considerations: The study will commence only after getting required permissions and ethical clearance from concerned departments. The potential participants and their parents will be given a physical copy of the Malayalam version of the consent form and information sheet, which will be read aloud to those who can't read it. The contact information of the principal investigator will be provided on the research subject information sheet. Participants will be given the option to participate or decline participation in the study and will be allowed to withdraw at any point of the study without furnishing a reason. The study's voluntary nature, aims, and possible advantages and risks will be explained to participants.
Budget
Sl.no        Quantity        Unit cost        Total cost
Field investigators        3*7        25000        525000
Data collection        1200*2        200        480000
Intervention        600        500        300000
Data analysis                10000        10000
Publishing                10000        10000
Total        1325000
Timeline
Time period        Preparatory phase        Data collection        Follow-up        Data entry        Analysis        Report writing
2024 January                                                
2024 February                                                
2024 March                                                
2024 April                                                
2024 May                                                
2024 June                                                
2024 July                                                
2024 August                                                
2024 September                                                
2024 October                                                
2024 November                                                
2024 December                                                
2025
January                                                
2025 February                                                
2025 March                                                
2025 April                                                
2025 May                                                
2025 June          
SHSRC
Proposed PIP
2025-26
Adolescent Health
Summary Budget of Research Proposal
Division        Study titles        Budget
AdolescentHealth        Factors contributing to conduct disorder and its prevalence: a study of adolescents in government schools        3.9 Lakhs
FACTORS CONTRIBUTING TO CONDUCT DISSOCIAL DISORDER AMONG SCHOOL-GOING ADOLESCENTS WITH SPECIAL REFERENCE TO GOVT. SCHOOLS: A COMPREHENSIVE INVESTIGATION
1.        Introduction
Conduct dissocial disorder is characterized by a repetitive and persistent pattern of behavior in which the basic rights of others or major age-appropriate societal norms, rules, or laws are violate such as aggression towards people or animals; deduction of property; deceitfulness or theft; and serious violation of rules. For a child to be classified as conducted dissocial disordered, they must display multiple behaviors persistently for at least 6 months, and these behaviors should occur more frequently than in the majority of children of the same age. 
Understanding the factors that contribute to the development and persistence of conduct dissocial disorder is crucial for effective prevention and intervention strategies. This study aims to conduct an in-depth investigation into the multifaceted influences on conduct dissocial disorder in adolescents. The etiology of conduct dissocial disorder is a complex and often involves an intricate interplay of various factors. Biological and genetic predispositions, coupled with adverse childhood experiences, may create a foundation for the emergence of maladaptive behavioral patterns. Additionally, the social environment, including family dynamics, peer interactions, and exposure to community violence, can further influence the conduct dissocial behavior. 
Several theories have been proposed to explain the development of conduct dissocial disorder. The social learning theory posits that adolescents learn and imitate aggressive and antisocial behaviors through observation and reinforcement from their immediate environment, including family and peer interactions. The biopsychosocial model acknowledges the contributions of biology, psychological, and social factors, recognizing that no single factor can fully explain the complexity of CDD development. 
2.        Rationale 
Conduct dissocial disorder is the prevailing childhood behavior disorder, affecting approximately 5 to 10% of school-going children in the general population. Additionally, it is even more frequently observed among children from underprivileged backgrounds. According to a study conducted in schools of a district panchayath, Thiruvananthapuram, the common mental disorder identified in adolescents in between the class 8 to 10 was conduct dissocial disorder and its prevalence is 36.4%. It is a serious mental health condition that can lead to a wide range of negative consequences for affected adolescents, their families, and communities. By investigating the complex factors contributing to CDD development, this study aims to provide valuable insights that can inform targeted interventions and support strategies. 
Conduct dissocial disorder poses a considerable public health challenge due to its prevalence and potential long-term consequences. Adolescents with CDD often engage in criminal behavior, substance use, and interpersonal violence, affecting the safety and well-being of communities. The study can inform the development of targeted and evidence-based interventions. By gaining a deeper understanding of the multifaceted influences on CDD, this study can contribute to improved diagnosis and early identification of the disorder. This study will make a significant contribution to promoting the well-being of children by showing that consistent and long-term interventions can have lasting effects on the children.
Government schools often caters students from all the economic backgrounds and communities. Investigating conduct dissocial disorder in this specific population is essential for understanding the unique challenges they face and tailoring the interventions accordingly. The findings of the study can have significant policy implications for government education systems. By identifying the factors contributing to conduct dissocial disorder in government schools, policy makers can develop evidence-based policies and support programs that address the specific needs of students in these settings. 
3.        Objectives
●        To investigate the influence of familial, social and peer factors on the prevalence and severity of conduct dissocial disorder in school going adolescents
●        To propose evidence-based recommendations for families, schools and communities to mitigate the risk and manage conduct dissocial disorder in school going adolescents, in the light of the study.
4.        Expected Outcome
●        The study may identify the specific familial, social, and peer factors and their interactions that are strongly associated with the development and persistence of conduct dissocial disorder.
●        By identifying key risk factors, the study can emphasize the importance of early intervention and prevention strategies in familial, social and peer contexts.
●        The study may provide recommendations for parenting strategies and family support systems and understanding the impact of social factors can contribute policies and interventions aimed at creating supportive and nurturing social environments for school going adolescents. 
●        The study can help raise awareness about conduct dissocial disorder, and reduce stigma.
5.        Methodology
5.1.        Study design
This will be a mixed method study.
5.2.        Study setting 
The study will conduct on the adolescents who are in between 10 to 19 years of age from various districts of Kerala. 
From three zones of Kerala, that is north, central and south, two districts each will be selected. The DCPU in each district will be requested to provide a list of children diagnosed with conduct disorder, from this list, 30 names will be randomly selected. In the event that 30 samples are not available in that district, the DCPU in the next district of that zone will be approached. 
The setting also includes the family of the adolescents, mental health practitioners, the peer gang and the other societal individuals that affects the adolescent. 
5.3.        Study population
School going adolescents in between 10 to 19 years of age diagnosed as having conduct dissocial disorder. The parents, teachers, peer group, mental health practitioners and other individuals who affects the adolescent.
Inclusion criteria
●        All the school going adolescents in between 10 to 19 years of age, who are diagnosed with conduct disorder, clinically and gives assent.
●        The parents, teachers, psycho social counselors, mental health practitioners, and other concerned individuals who gives consent
Exclusion criteria
●        The individuals who don’t give consent
●        The adolescents who are not able to corporate due to psychological or physical constraints
5.4.        study duration
 One year
5.5.        Sample Size
Based on literature review, 51.7 percent of adolescents with conduct dissocial disorder had discordant relationship with peers.(Jayaprakash et al, 2014). the sample size estimated using a 95% confidence interval and 10% precision using the formula 4pq/d2 was 100. Anticipating non-response and errors the sample size was over sampled by 10% resulting in a sample size of 110.
For the qualitative aspect, purposive sampling of adolescents, parents, psycho social counselors, medical practitioners and teachers will be done till data saturation is reached. Key informant interviews will be conducted with officials at DCPU. 
5.6.        Method of sampling
For quantitative aspect, adolescents will be randomly selected from the list provided by DCPU. For the qualitative aspect, the purposive sampling of adolescents, parents, psycho social counselors, medical practitioners and teachers will be done. 
5.7.        Study tools and instruments
For the quantitative aspect, interview schedule will be developed with the following sections;
●        Familial factors, including parenting styles, family conflicts, relationships and history of conduct disorder on the prevalence and severity of conduct dissocial disorder in school going adolescents, and the individuals will be a part of this study. 
●        Impact of social factors, including socioeconomic status, culture, neighborhood conditions and community support. The persons who are important in the life of the adolescent will be included in the study, like teachers, medical practitioners, and other community members. 
●        The peer factors, such as peer rejection, association with delinquent peer and exposure to deviant behaviors on the maintenance and development of conduct dissocial disorder in school going adolescents, will be included in the study. 
In depth interview will use to collect information from adolescents and a structure interview schedule will use to conduct key informant interview from the officials of DCPU.
5.8.        Method of data collection
From three zones of Kerala, that is north, central and south, two districts each will be selected. The DCPU in each district will be requested to provide a list of children diagnosed with conduct disorder, from this list, 30 names will be randomly selected. In the event that 30 samples are not available in that district, the DCPU in the next district of that zone will be approached. 
For ethical reasons, the counselors of those adolescents who are randomly selected from the list will be contacted initially and to be informed regarding the study and its objectives. The counselors will take an initial consent from the parents of the adolescents. Only then, will the PI contact those who are willing. 
5.9.        Plan for data analysis
The data will be entered into Kobo collect, downloaded into Microsoft excel, and then uploaded into IBM SPSS. 
6.        Ethical considerations
Prior to data collection ethical clearance will be obtained from the institutional ethics committee. Permission from the DCPU, schools and written informed consent and assent from all participants will be obtained.
7.        Timelines (April 2024 to March 2025)
Activities        Apr 24        May 24        June 24        July        Aug        Sep        Oct        Nov        Dec         Jan 25        Feb 25        Mar 25
Data collection tool preparation and IEC                                                                                                
Piloting and tool modification                                                                                                
Data collection                                                                                                
Data Entry                                                                                                
Data analysis                                                                                                
Submission of results                                                                                                 
8.        Budget
Item        Unit cost        Quantity        Total
Tool preparation        20,000        -        20,000
Printing and Photocopy        10,000        -        10,000
Data collection (including travel expenses)        2,00,000        -        2,00,000
Data entry, analysis and report writing         50,000        -        50,000
Publication cost        50,000        ----        50,000
Stationery        20,000        -        20,000
Miscellaneous        40,000        -        40,000
Total amount        3,90,000
9.        References
1.        R Jayaprakash, S Sharija (2017), UNARV: A District Model for Adolescent School Mental Health Programme in Kerala, India, Dapertment of child health, SAT Haospital, Department of Forensic Medicine, Government Medical College, Thiruvananthapuram, Kerala, India
2.        https://www.ncbi.nlm.nih.gov/pmc/articles/PMC2932986/
3.        Jayaprakash, R., Rajamohanan, K., &amp; Anil, P. (2014). Determinants of symptom profile and severity of conduct disorder in a tertiary level pediatric care set up: A pilot study. Indian journal of psychiatry, 56(4), 330–336. https://doi.org/10.4103/0019-5545.146511
4.        Mervyn K Freeze, Alban Burke &amp; Adri C Voester (2014), The role of parental style in the conduct disorders: A comparison between adolescent boys with and without conduct disorder, Journal of child &amp; adolescent mental health, Deaprtment of psychology, University of Johannesburg, PO Box 524, Auckland Park 2006, South Africa
5.        Laura A Baker, Serena Bezdian, And Adrian Raine (2006), Behavioral Genetics: The Science of Antisocial Behavior, Law and Contemporary Problems, Vol. 69, No. ½, The Impact of Behavioral Genetics On the Criminal Law (Winter-Spring, 2006), pp. 7-46
6.        Judy Silberg, Ashlee A Moore, And Michael Rutter (2015), Age of Onset and the Subclassification of Conduct Dissocial Disorder, Journal of Child Psychology and Psychiatry 56:7 (2015), pp 826-833
7.        Jane D McLeod, Candace Kruttschnitt, Maude Dornfeld (2014), Does Parenting Explain the Effects of Structural Conditions on Children’s Antisocial Behavior? A Comparison of Blacks and Whites, University of Minnesota. 
8.        Shareefah N Al’Uqdah, Sycarah Grant, Celeste M Malone, Tyne McGee, Ivory A Toldson (2016), Impact of Community Violence on Parenting Behaviors and Children’s Outcomes, The Journal of Negro Education, 84(3), 428-441. 
</t>
  </si>
  <si>
    <r>
      <rPr>
        <sz val="11"/>
        <color theme="1"/>
        <rFont val="Times New Roman"/>
        <family val="1"/>
      </rPr>
      <t xml:space="preserve">ASHA incentives for full Immunisation -1030.04 L;  555.26 L - Incentives for mobilisation of children ; 474.78 L - Mobilisation of children 
Equipment - Procurement of Hub Cutter as per norms @ Rs.1500/- for 1125 institutions - Rs.16.875 L; 
Training - Cold chain handlers training 26 L - 52 batches - 20 participants - 2 days training @ Rs.50000 per batch
TOT for technicians - Rs.36000/-
TOT for vaccine store custodians - Rs.36000/-
Orientation training for MO and dist level officers - 5.18 L - Rs.37000/dist, 14 district
OOC - 228.42 L
AVD in hard to reach areas @ Rs.200/- for 14768 sessions - Rs.29.54 L
AVD in very hard to reach areas @ Rs.450/- for 7384 session - Rs.33.23 L
AVD in other areas @ Rs.90/- for 125536 sessions - Rs.112.98 L
POL for vaccine delivery as per norms - 34 L
Cold chain maintenance as per norms - Rs.18.67 L
</t>
    </r>
    <r>
      <rPr>
        <sz val="11"/>
        <color rgb="FFFF00FF"/>
        <rFont val="Times New Roman"/>
        <family val="1"/>
      </rPr>
      <t xml:space="preserve">IEC Activities - 22 L </t>
    </r>
    <r>
      <rPr>
        <sz val="11"/>
        <color theme="1"/>
        <rFont val="Times New Roman"/>
        <family val="1"/>
      </rPr>
      <t xml:space="preserve">
</t>
    </r>
    <r>
      <rPr>
        <sz val="11"/>
        <color rgb="FFFF00FF"/>
        <rFont val="Times New Roman"/>
        <family val="1"/>
      </rPr>
      <t>Printing and dissemination of Immunisation cards - 17 L 
Printing of Temperature log book for cold chain Management - Rs. 50,000/-</t>
    </r>
    <r>
      <rPr>
        <sz val="11"/>
        <color theme="1"/>
        <rFont val="Times New Roman"/>
        <family val="1"/>
      </rPr>
      <t xml:space="preserve">
Planning &amp; M&amp;E - 69.71 L
Consumables for computers @ 1000/dist &amp; state per month - 1.8 L
Mobility support for MHT - Rs.2.58 L
Developing micro plan at SHC level - 5.412 L 
For micro plans at block level - 2.17 L
Quarterly state levle meetings - 2.152 L
Quarterly review meetings at dist level - 5.67 L
Quarterly review meetings at block level - 7.56 L
Mobility support at dist level - 42 L                                                                                                                Mobility support at state level - 3 L</t>
    </r>
  </si>
  <si>
    <t>*AEFI QMS (Assessment 80.29 (Internal Assessment at District level 23.9, Peer assessment at  CHC &amp; PHC/FHC 54.15 and Peer Assessment at District Level 2.24),Training 1.21 &amp; Mentoring cum Monitoring 10.08)</t>
  </si>
  <si>
    <t xml:space="preserve">Equipment-Rs.28 L for replacement of Temperature loggers
Training - State and  district level evin training-8.20 L, 
OOC-Operational cost for evin
Rs.71.76 lakhs for Data sim card for TL, Data SIM Card for
CCH/VCCM- 46.46 lakhs
</t>
  </si>
  <si>
    <r>
      <rPr>
        <b/>
        <sz val="11"/>
        <color theme="1"/>
        <rFont val="Times New Roman"/>
        <family val="1"/>
      </rPr>
      <t>Capacity Building -Training Rs 8.00 L</t>
    </r>
    <r>
      <rPr>
        <sz val="11"/>
        <color theme="1"/>
        <rFont val="Times New Roman"/>
        <family val="1"/>
      </rPr>
      <t xml:space="preserve">
 1) Refresher Training of counsellors for 3 days (3 batches) Rs.2 lakhs / batch – 
 Rs. 6 L 
 2) Refresher Training of core group district AH Nodal MOs and District AH Co ordinator for 2 days – Rs. 2 L</t>
    </r>
  </si>
  <si>
    <r>
      <rPr>
        <b/>
        <sz val="11"/>
        <color theme="1"/>
        <rFont val="Times New Roman"/>
        <family val="1"/>
      </rPr>
      <t>Capacity Building -Training Rs 8.00 L</t>
    </r>
    <r>
      <rPr>
        <sz val="11"/>
        <color theme="1"/>
        <rFont val="Times New Roman"/>
        <family val="1"/>
      </rPr>
      <t xml:space="preserve">
 1) Refresher Training of counsellors for 3 days (3 batches) Rs.2 lakhs / batch – 
 Rs. 6 L 
 2) Refresher Training of core group district AH Nodal MOs and District AH Co ordinator for 2 days – Rs. 2 L</t>
    </r>
  </si>
  <si>
    <r>
      <rPr>
        <b/>
        <sz val="11"/>
        <color theme="1"/>
        <rFont val="Times New Roman"/>
        <family val="1"/>
      </rPr>
      <t xml:space="preserve">Drugs and supplies - Budget for Procurement done by States - Rs 182.37 lakhs </t>
    </r>
    <r>
      <rPr>
        <sz val="11"/>
        <color theme="1"/>
        <rFont val="Times New Roman"/>
        <family val="1"/>
      </rPr>
      <t xml:space="preserve">
 1)Procurement of 154552268 WIFS IFA BLUE tabs for 2972159 adolescents (10-19yr) @Rs 0.118 per tab= Rs 182.37 L</t>
    </r>
  </si>
  <si>
    <r>
      <rPr>
        <b/>
        <sz val="11"/>
        <color theme="1"/>
        <rFont val="Times New Roman"/>
        <family val="1"/>
      </rPr>
      <t xml:space="preserve">Drugs and supplies - Budget for Procurement done by States - Rs 182.37 lakhs </t>
    </r>
    <r>
      <rPr>
        <sz val="11"/>
        <color theme="1"/>
        <rFont val="Times New Roman"/>
        <family val="1"/>
      </rPr>
      <t xml:space="preserve">
 1)Procurement of 154552268 WIFS IFA BLUE tabs for 2972159 adolescents (10-19yr) @Rs 0.118 per tab= Rs 182.37 L</t>
    </r>
  </si>
  <si>
    <r>
      <rPr>
        <b/>
        <sz val="11"/>
        <color theme="1"/>
        <rFont val="Times New Roman"/>
        <family val="1"/>
      </rPr>
      <t xml:space="preserve">Drugs and supplies - 200 Lakhs 
</t>
    </r>
    <r>
      <rPr>
        <sz val="11"/>
        <color theme="1"/>
        <rFont val="Times New Roman"/>
        <family val="1"/>
      </rPr>
      <t xml:space="preserve"> Sanitary napkins for adolescent girls
 For 83333 adolescent girls @120 napkins per year --Rs 2.00 per napkin-Post NPCC revision</t>
    </r>
  </si>
  <si>
    <r>
      <rPr>
        <b/>
        <sz val="11"/>
        <color theme="1"/>
        <rFont val="Times New Roman"/>
        <family val="1"/>
      </rPr>
      <t xml:space="preserve">Drugs and supplies - 200 Lakhs 
</t>
    </r>
    <r>
      <rPr>
        <sz val="11"/>
        <color theme="1"/>
        <rFont val="Times New Roman"/>
        <family val="1"/>
      </rPr>
      <t xml:space="preserve"> Sanitary napkins for adolescent girls
 For 83333 adolescent girls @120 napkins per year --Rs 2.00 per napkin-Post NPCC revision</t>
    </r>
  </si>
  <si>
    <r>
      <rPr>
        <b/>
        <sz val="11"/>
        <color theme="1"/>
        <rFont val="Times New Roman"/>
        <family val="1"/>
      </rPr>
      <t xml:space="preserve">Capacity Building - Training : Rs. 101.50  lakhs </t>
    </r>
    <r>
      <rPr>
        <sz val="11"/>
        <color theme="1"/>
        <rFont val="Times New Roman"/>
        <family val="1"/>
      </rPr>
      <t xml:space="preserve">
1) Training (6 days ) of New Peer Educator in all districts (BLOCK LEVEL)@70000/- for 145 batch -101.50 L
</t>
    </r>
    <r>
      <rPr>
        <b/>
        <sz val="11"/>
        <color theme="1"/>
        <rFont val="Times New Roman"/>
        <family val="1"/>
      </rPr>
      <t xml:space="preserve">ASHA Incentives :Rs.3.49 lakhs </t>
    </r>
    <r>
      <rPr>
        <sz val="11"/>
        <color theme="1"/>
        <rFont val="Times New Roman"/>
        <family val="1"/>
      </rPr>
      <t xml:space="preserve">
 Incentive for AH/RKSK Services - ASHA Incentive for mobilizing adolescents and community for AHWD. (Rs.200/- * 4 ASHAs * 4 AHWDs/year * 109)  - Rs.3.49 L
</t>
    </r>
    <r>
      <rPr>
        <b/>
        <sz val="11"/>
        <color theme="1"/>
        <rFont val="Times New Roman"/>
        <family val="1"/>
      </rPr>
      <t>OCC – Rs. 159.40 lakhs</t>
    </r>
    <r>
      <rPr>
        <sz val="11"/>
        <color theme="1"/>
        <rFont val="Times New Roman"/>
        <family val="1"/>
      </rPr>
      <t xml:space="preserve">
1) Organizing monthly Adolescent Friendly Club meetings at sub centre level Rs. 500* 109 selected blocks *5 sub centre*12 AFC meetings/FY – Rs.32.70 L
2) Community Intervention for AH Services - Incentives for Peer Educators Rs 50/month* 12 months*19300 PEs – Rs.115.80 L
3) Organizing Adolescent Health &amp; Wellness day Rs. 2500* 109 selected blocks *
4 AHWD/FY – Rs. 10.90 L
</t>
    </r>
    <r>
      <rPr>
        <b/>
        <sz val="11"/>
        <color theme="1"/>
        <rFont val="Times New Roman"/>
        <family val="1"/>
      </rPr>
      <t>IEC &amp; Printing : Rs.20.30 lakhs</t>
    </r>
    <r>
      <rPr>
        <sz val="11"/>
        <color theme="1"/>
        <rFont val="Times New Roman"/>
        <family val="1"/>
      </rPr>
      <t xml:space="preserve">
PE Kit and PE Diary @ Rs 350/PE kit &amp; diary * 5800  New PEs entering 8th STD. – Rs.20.30 L
</t>
    </r>
  </si>
  <si>
    <r>
      <rPr>
        <b/>
        <sz val="11"/>
        <color theme="1"/>
        <rFont val="Times New Roman"/>
        <family val="1"/>
      </rPr>
      <t>Capacity Building - Training : Rs.150 lakhs</t>
    </r>
    <r>
      <rPr>
        <sz val="11"/>
        <color theme="1"/>
        <rFont val="Times New Roman"/>
        <family val="1"/>
      </rPr>
      <t xml:space="preserve">
 1) SRG 2 days refresher training (STATE LEVEL). 1 batch, 70 nos. @200000/batch
  - Rs. 2 L 
 2 ) HWA 3 days training at District level @ 1 lakhs, 50 nos. / batch @ 1 lakh , total 130 batch ie 1 L * 130 batch – Rs. 130 L
 3) Pre Screening Trg. for teachers 4 lakhs - Rs. 4 L
</t>
    </r>
    <r>
      <rPr>
        <b/>
        <sz val="11"/>
        <color theme="1"/>
        <rFont val="Times New Roman"/>
        <family val="1"/>
      </rPr>
      <t xml:space="preserve"> IEC &amp; Printing : Rs.51.22 lakhs</t>
    </r>
    <r>
      <rPr>
        <sz val="11"/>
        <color theme="1"/>
        <rFont val="Times New Roman"/>
        <family val="1"/>
      </rPr>
      <t xml:space="preserve">
 1) Module reference copy for schools , No. of schools 6505/2 = 3252 schools , 1 module Rs. 300 * 4 set ie. 3252 * 300 * set of 4, ie Rs.39.02 L 
 2) IEC poster, 3252 schools * set of 15 @ Rs.25 = 3252 * 15 * 25 ie Rs. 12.20 L 
</t>
    </r>
    <r>
      <rPr>
        <b/>
        <sz val="11"/>
        <color theme="1"/>
        <rFont val="Times New Roman"/>
        <family val="1"/>
      </rPr>
      <t>OOC : : Rs.110.56 lakhs</t>
    </r>
    <r>
      <rPr>
        <sz val="11"/>
        <color theme="1"/>
        <rFont val="Times New Roman"/>
        <family val="1"/>
      </rPr>
      <t xml:space="preserve">
 1) Health corner boards at 3252 schools @ Rs. 700 ie 3252 * 700 ie Rs. 22.76 L
 2) Merchandisc for HWA and HWM cap (for teachers in 3252 schools @ Rs 200 i.e Rs. 6.5 L
 3) T-shirt for students (HWM) in 3252 schools 10 students @ Rs 250 ie Rs. 81.30 L
</t>
    </r>
    <r>
      <rPr>
        <sz val="11"/>
        <color rgb="FFFF9900"/>
        <rFont val="Times New Roman"/>
        <family val="1"/>
      </rPr>
      <t xml:space="preserve"> 4) Advocacy workshop under SHWP @Rs.40000/dist. Ie. Rs.5.60 L</t>
    </r>
  </si>
  <si>
    <r>
      <rPr>
        <b/>
        <sz val="11"/>
        <color theme="1"/>
        <rFont val="Times New Roman"/>
        <family val="1"/>
      </rPr>
      <t>Capacity Building - Training : Rs.150 lakhs</t>
    </r>
    <r>
      <rPr>
        <sz val="11"/>
        <color theme="1"/>
        <rFont val="Times New Roman"/>
        <family val="1"/>
      </rPr>
      <t xml:space="preserve">
1) SRG 2 days refresher training (STATE LEVEL). 1 batch, 70 nos. @200000/batch
 - Rs. 2 L 
2 ) DRG 2 days Training at District level @ 1 lakhs, 50 nos. / batch @ 1 lakh ie 1 L * 14 dist. – Rs. 14 L
3 ) HWA 3 days training at District level @ 1 lakhs, 50 nos. / batch @ 1 lakh , total 130 batch ie 1 L * 130 batch – Rs. 130 L
4) Pre Screening Trg. for teachers 4 lakhs - Rs. 4 L
</t>
    </r>
    <r>
      <rPr>
        <b/>
        <sz val="11"/>
        <color theme="1"/>
        <rFont val="Times New Roman"/>
        <family val="1"/>
      </rPr>
      <t>IEC &amp; Printing : Rs.167.38 lakhs</t>
    </r>
    <r>
      <rPr>
        <sz val="11"/>
        <color theme="1"/>
        <rFont val="Times New Roman"/>
        <family val="1"/>
      </rPr>
      <t xml:space="preserve">
1) Module reference copy for schools , No. of schools 6505/2 = 3252 schools , 1 module Rs. 300 * 4 set ie. 3252 * 300 * set of 4,  ie Rs.39.02 L 
2) IEC poster, 3252 schools * set of 15 @ Rs.25 = 3252 * 15 * 25 ie Rs. 12.20 L 
3) Health corner boards at 3252 schools @ Rs. 700 ie 3252 * 700 ie Rs. 22.76 L
4) Merchandisc for HWA and HWM cap (for teachers in 3252 schools @ Rs 200 i.e Rs. 6.5 L
5) T-shirt for students (HWM) in 3252 schools 10 students @ Rs 250 ie Rs. 81.30 L
6) Advocacy workshop under SHWP @Rs.40000/dist. Ie. Rs.5.60 L
</t>
    </r>
  </si>
  <si>
    <r>
      <rPr>
        <b/>
        <sz val="11"/>
        <color theme="1"/>
        <rFont val="Times New Roman"/>
        <family val="1"/>
      </rPr>
      <t>IEC &amp; Printing -56.66 lakhs</t>
    </r>
    <r>
      <rPr>
        <sz val="11"/>
        <color theme="1"/>
        <rFont val="Times New Roman"/>
        <family val="1"/>
      </rPr>
      <t xml:space="preserve">
 IEC - Mass Mid media Activities - 50 L (Detailed in IEC Annexure)
 </t>
    </r>
    <r>
      <rPr>
        <b/>
        <sz val="11"/>
        <color theme="1"/>
        <rFont val="Times New Roman"/>
        <family val="1"/>
      </rPr>
      <t>Planning and M&amp;E :15.00 lakhs</t>
    </r>
    <r>
      <rPr>
        <sz val="11"/>
        <color theme="1"/>
        <rFont val="Times New Roman"/>
        <family val="1"/>
      </rPr>
      <t xml:space="preserve">
 Regional Review Meeting scheduled for 2025 - 2026 – Rs.15 L
</t>
    </r>
    <r>
      <rPr>
        <b/>
        <sz val="11"/>
        <color theme="1"/>
        <rFont val="Times New Roman"/>
        <family val="1"/>
      </rPr>
      <t xml:space="preserve">Rs 17.10 Lakhs 
</t>
    </r>
    <r>
      <rPr>
        <sz val="11"/>
        <color theme="1"/>
        <rFont val="Times New Roman"/>
        <family val="1"/>
      </rPr>
      <t>Norms will be decided and disseminated to districts
 Regional Review Meeting scheduled for 2024 - 2025 = 15 L (not approved in 2025-2026)</t>
    </r>
  </si>
  <si>
    <r>
      <rPr>
        <b/>
        <sz val="11"/>
        <color theme="1"/>
        <rFont val="Times New Roman"/>
        <family val="1"/>
      </rPr>
      <t>IEC &amp; Printing -56.66 lakhs</t>
    </r>
    <r>
      <rPr>
        <sz val="11"/>
        <color theme="1"/>
        <rFont val="Times New Roman"/>
        <family val="1"/>
      </rPr>
      <t xml:space="preserve">
 IEC - Mass Mid media Activities - 50 L (Detailed in IEC Annexure)
 </t>
    </r>
    <r>
      <rPr>
        <b/>
        <sz val="11"/>
        <color theme="1"/>
        <rFont val="Times New Roman"/>
        <family val="1"/>
      </rPr>
      <t>Planning and M&amp;E :15.00 lakhs</t>
    </r>
    <r>
      <rPr>
        <sz val="11"/>
        <color theme="1"/>
        <rFont val="Times New Roman"/>
        <family val="1"/>
      </rPr>
      <t xml:space="preserve">
 Regional Review Meeting scheduled for 2025 - 2026 – Rs.15 L
</t>
    </r>
    <r>
      <rPr>
        <b/>
        <sz val="11"/>
        <color theme="1"/>
        <rFont val="Times New Roman"/>
        <family val="1"/>
      </rPr>
      <t xml:space="preserve">Rs 17.10 Lakhs 
</t>
    </r>
    <r>
      <rPr>
        <sz val="11"/>
        <color theme="1"/>
        <rFont val="Times New Roman"/>
        <family val="1"/>
      </rPr>
      <t xml:space="preserve">Norms will be decided and disseminated to districts
</t>
    </r>
  </si>
  <si>
    <r>
      <rPr>
        <b/>
        <sz val="11"/>
        <color theme="1"/>
        <rFont val="Times New Roman"/>
        <family val="1"/>
      </rPr>
      <t>OOC – Rs.2.5 lakhs</t>
    </r>
    <r>
      <rPr>
        <sz val="11"/>
        <color theme="1"/>
        <rFont val="Times New Roman"/>
        <family val="1"/>
      </rPr>
      <t xml:space="preserve">
AH Mela @ selected two schools in each block in Wayanad (aspirational dist.) total 10 school@ 25000 ie.  Rs.2.5 L 
</t>
    </r>
  </si>
  <si>
    <t>DBT - Rs.157.74 L for compensation for female sterilisation
Training - Rs.21.92 L 
Rs.1 L for TOT on laproscopic sterilisation
Rs.12.81 L for Laproscopic sterlisation training for MO, SN 
Rs.0.55 L for refresher training on Laproscopic sterilisation
Rs.1 L for TO T on minilap
Rs.6.41 L for minilap trianing for MOs
Rs.0.15 L for refreher training on Minilap sterilisiation
OOC Rs.20.40 L
Rs.16 L for female sterilisation fixe day services
Rs. 2.3 L for processing accreditation  / empnelment for private facilities to provide sterilisation services 
Rs.2.10 L for institutions conducting CAC in private sector</t>
  </si>
  <si>
    <t xml:space="preserve">Equipment approved for Total Rs.72 Lakh for  Video Laproscope Set for Sterilisation at a unit cost of 12 lakh for selected hospitals </t>
  </si>
  <si>
    <t>DBT - Rs.15.59 L for compensation for male sterilisation @ 1500/ case
Training - 8.14 L 
Rs.1.73 L for state level TOT on NSV
Rs.6.41 L for refresher training on NSC
OOC - Rs.14 L - Male sterlisation fixed day services</t>
  </si>
  <si>
    <t>DBT - 15.42 L  
Rs.4.78 L for compensation for IUCD insertion
Rs.9.42 L for compensation for PPIUCD insertion @ Rs 300/ beneficiary/ insertion
Rs.1.22 L for compensation for PAIUCD insertion  @ Rs 300/ beneficiary/ insertion
Capacity Building  - Rs.40.62 L
Rs.1.73 L for TOT for IUCD insertion training
Rs.6.42 L for training of MO in IUCD insertion training
Rs.13.22 L for training fo SN /ANM/LHV in IUCD insertion training
Rs.1 L for TOT PPIUCD insertion training
Rs.7.5 L for training of MO in PPIUCD insertion training
Rs.10.75 L for training of SN/LHV/ANM in PPIUCD insertion training
ASHA incentives - Rs.5.32 L
Rs.4.71 L for ASHA PPIUCD incentives
Rs.0.61 L for ASHA PAIUCD incentives
OOC - Rs.5.39 L for IUCD fixed day services</t>
  </si>
  <si>
    <t>DBT - 1.4 L injectiable contraceptive incentives for beneficiaries @ Rs100 / dose/beneficiary
Training - 15 L
Rs.1 L for TOT on ANTARA
Rs.7 L for training of MO - ANTARA
Rs.7 L for training of SN
ASHA incentives - Rs.2.8 L for ASHA incentives for accompanying the client for ANTARA program</t>
  </si>
  <si>
    <t>DBT - 112.20 L for 374 cases @ Rs.30000/case</t>
  </si>
  <si>
    <t>Training - 2.05 L for FPLMIS training</t>
  </si>
  <si>
    <r>
      <rPr>
        <sz val="11"/>
        <color rgb="FFFF00FF"/>
        <rFont val="Times New Roman"/>
        <family val="1"/>
      </rPr>
      <t>IEC &amp; Printing - 39.50 L</t>
    </r>
    <r>
      <rPr>
        <sz val="11"/>
        <color theme="1"/>
        <rFont val="Times New Roman"/>
        <family val="1"/>
      </rPr>
      <t xml:space="preserve">
</t>
    </r>
    <r>
      <rPr>
        <sz val="11"/>
        <color rgb="FFFF00FF"/>
        <rFont val="Times New Roman"/>
        <family val="1"/>
      </rPr>
      <t xml:space="preserve">Rs.12.5 L for IEC &amp; promotional activities for World Population day celebration, 
Rs.27 L for IEC &amp; promotional activities for Vasectomy fortnight celebration </t>
    </r>
    <r>
      <rPr>
        <sz val="11"/>
        <color theme="1"/>
        <rFont val="Times New Roman"/>
        <family val="1"/>
      </rPr>
      <t xml:space="preserve">
Planning &amp; M &amp; E - Rs.17.85 L 
Rs.2.60 L for district level PM activities for world Population day celebrations
Rs.1 L for district level PM activities for Vasectomy day celebrations
Rs.1 L for block  level PM activities for world Population day celebrations
Rs.13.25 L for block level PM activities for Vasectomy day celebrations</t>
    </r>
  </si>
  <si>
    <r>
      <rPr>
        <sz val="11"/>
        <color theme="1"/>
        <rFont val="Times New Roman"/>
        <family val="1"/>
      </rPr>
      <t xml:space="preserve">
</t>
    </r>
    <r>
      <rPr>
        <sz val="11"/>
        <color rgb="FFFF00FF"/>
        <rFont val="Times New Roman"/>
        <family val="1"/>
      </rPr>
      <t>IEC &amp; printing - 61.55 L 
Rs.19 L for IEC (details annexed) Annexure 1
Rs. 5  L Any other IEC 
Rs.7.55 L for dissemination of FP manual
Rs. 10 L for printing of FP manual and guidelines
Rs.20 L for printing of IUCD cards</t>
    </r>
    <r>
      <rPr>
        <sz val="11"/>
        <color theme="1"/>
        <rFont val="Times New Roman"/>
        <family val="1"/>
      </rPr>
      <t xml:space="preserve">
Planning &amp; M &amp; E Rs.2.52 L
Rs.0.94 for FP QAC ,SISC &amp; FP review meeting
</t>
    </r>
  </si>
  <si>
    <t xml:space="preserve">Hemometer Strips Rs.75.72 Lakh  for Subcenters as part of Antenatal Checkup of Pregnant women ,we have 5409 Subcenetrs and 100 strips is needed per subcenter @ uni cost of Rs.14/- for total strips of 5,40,900 per year
Equipments - The budgeting done for 600 hemoglobinometer test strips @ unit cost Rs.15 for an RBSK Nurse.
Cost per Nurse = 600 x 15= 9000/-
For 1174 RBSK Nurses 600 strip/yr @ Rs 15 per strip for 1 yr
1174 x 600 x 15= 1,05,66,000/-
C.2) Hemoglobinometer 10 % for replacement of available damaged Hemoglobinometer for FY 2024-25 (1174 RBSK nurses)
       117 hemoglobinometer x Rs.2000 = 2,34,000/-
Drugs - Rs.  1126.89 L
Folic Acid - 37312200 tablet @ Rs 0.20
Rs.28 L Capacity Building
Rs.14 L for orientation activities on VIt A supplementation
Rs.14 L for orientation of front line workers and allied dept workers on AMB strategy
ASHA incentives - Rs. 628.24 L
Rs.157.06 L for NIPPI for mobilising WRA
Rs.314.12 L for NIPPI for mobilising Children (6-60 months)
</t>
  </si>
  <si>
    <t>Hemometer Strips for Subcenters as part of Antenatal Checkup of Pregnant women ,we have 5409 Subcenetrs and 100 strips is needed per subcenter @ uni cost of Rs.14/- for total strips of 5,40,900 per year</t>
  </si>
  <si>
    <r>
      <rPr>
        <sz val="11"/>
        <color theme="1"/>
        <rFont val="Times New Roman"/>
        <family val="1"/>
      </rPr>
      <t xml:space="preserve">2 rounds of NDD;
Drugs - 366.29L - Procurement of drugs-All albendazole procurement;
Training - 73.25 L - Orientation of Nodal teacher, field staff and Anganwadi workers @ Rs.50/- for 83196 participants;
ASHA incentives - 52.35 L @ Rs.100/- for mobilisation of children for 26177 ASHAs;
</t>
    </r>
    <r>
      <rPr>
        <sz val="11"/>
        <color rgb="FFFF00FF"/>
        <rFont val="Times New Roman"/>
        <family val="1"/>
      </rPr>
      <t>IEC - 13 L for IEC Activities 
Printing - IEC material and reporting format Rs.44 lakhs - @ Rs.1.5 L per district and rs.1 L for staff level for one round of NDD - totally 2 rounds</t>
    </r>
  </si>
  <si>
    <t>IEC - 13 L for IEC Activities 
Printing - IEC material and reporting format Rs.44 lakhs - @ Rs.1.5 L per district and rs.1 L for staff level for one round of NDD - totally 2 rounds</t>
  </si>
  <si>
    <t xml:space="preserve">
ASHA incentives - 0.405 L
Incentives for referral of SAM cases to NRC and for follow up on discharge
OOC - 8.00L
For operating expenses at 2 NRCs - 1 at palakkad and 1 at Wayanad @ Rs.4 L</t>
  </si>
  <si>
    <t xml:space="preserve">Rs.97.57 L for drugs - procurement of Vit A - @ Rs.108/- for 90346 bottles
</t>
  </si>
  <si>
    <t xml:space="preserve">) Incentive - Rs. 104.70 lakhs
       Quarterly incentive for ASHA for arranging meetings to facilitate MAA related activities in the field to promote Breastfeeding.
                   Rs. 400 x 26177 ASHAs = 1,04,70,800/-                                                   
</t>
  </si>
  <si>
    <t xml:space="preserve">
A) Consumables, sationaries &amp; equipment maintenance for 4 CLMC @ Rs.249000 as recurring cost.
 Rs.249000 x 4 = Rs.9,96,000
B)   Consumables and sationaries for newly Proposed 23 LMU @ Rs.105000 as recurring cost.
Rs.105000 x 23 = Rs.2415000
</t>
  </si>
  <si>
    <r>
      <rPr>
        <sz val="11"/>
        <color theme="1"/>
        <rFont val="Times New Roman"/>
        <family val="1"/>
      </rPr>
      <t xml:space="preserve">Drugs &amp; Supplies Rs.68.50 L - Procurement of ORS - 75 L and zinc - 14.22 L
ASHA incentives - 26.17 L @ Rs.100/ASHA for IDCF campaign
</t>
    </r>
    <r>
      <rPr>
        <sz val="11"/>
        <color rgb="FFFF00FF"/>
        <rFont val="Times New Roman"/>
        <family val="1"/>
      </rPr>
      <t>IEC - 28 L for IEC</t>
    </r>
    <r>
      <rPr>
        <sz val="11"/>
        <color theme="1"/>
        <rFont val="Times New Roman"/>
        <family val="1"/>
      </rPr>
      <t xml:space="preserve">
</t>
    </r>
    <r>
      <rPr>
        <sz val="11"/>
        <color rgb="FFFF00FF"/>
        <rFont val="Times New Roman"/>
        <family val="1"/>
      </rPr>
      <t>IEC &amp; Printing - 10.5 L - Printing of IEC material and monitoring format for IDCF @ Rs.75000/dist</t>
    </r>
    <r>
      <rPr>
        <sz val="11"/>
        <color theme="1"/>
        <rFont val="Times New Roman"/>
        <family val="1"/>
      </rPr>
      <t xml:space="preserve">
Planning &amp; M &amp;E - 1.05 lakh for state level one day orientation and state level activities</t>
    </r>
  </si>
  <si>
    <t>Operational expenses of 12 Food Safety on Wheels (FSW) @ Rs.10 lakh.</t>
  </si>
  <si>
    <t xml:space="preserve">Diagnostics - Proposed amount-Rs.12,00000/- Lakhs
To be distributed to ASHA workers in all 12 districts to analyze the iodine content of the salt consumed.
Amount to procure STK/District – Rs.1,00,000/-
Estimated rate of Per STK = Rs.25
So total number STK/District  to be procured = 4000nos
Total number of STK for the 12 District  = 4000x12=48000nos
ASHA INCENTIVES
Incentives to be distributed to ASHA workers for using STK as per norms.
3) ASHA incentive distribution split up details District wise:
ASHA incentive based on STK i.e,
@Rs.25/- per kit / ASHA =Rs.25/-x4000kit =Rs.1, 00,000/-(Rupees One
Lakh)/District@12Districts= Rs.12,00,000/-(Rupees Twelve Lakhs) only
IEC
• Health Education in 8 District @ 20000/District = Rs1,60,000/-
• Global IDD Day and IEC Activities – Rs 6,40,000/-
SURVEILLANCE
• IDD  Goitre Survey in 4 District as per the GOI guidelines @ Rsw.50000/District ( covering north, south,east and west direction of each district selected) – Rs.200000/- </t>
  </si>
  <si>
    <t>Training Rs.1.70 lakhs
Planning and M&amp;E Rs.10.50 lakh
SRRE-Rs.10 lakh (Study on Nipah)</t>
  </si>
  <si>
    <t xml:space="preserve">Training Rs. 1.70L
Planning &amp; M&amp;E Rs. 10.50L
</t>
  </si>
  <si>
    <r>
      <rPr>
        <sz val="11"/>
        <color theme="1"/>
        <rFont val="Times New Roman"/>
        <family val="1"/>
      </rPr>
      <t xml:space="preserve">
</t>
    </r>
    <r>
      <rPr>
        <b/>
        <sz val="11"/>
        <color theme="1"/>
        <rFont val="Times New Roman"/>
        <family val="1"/>
      </rPr>
      <t xml:space="preserve">TRAINING AND CAPACITY BUILDING- </t>
    </r>
    <r>
      <rPr>
        <b/>
        <sz val="13"/>
        <color theme="1"/>
        <rFont val="Times New Roman"/>
        <family val="1"/>
      </rPr>
      <t>Rs.1.36L</t>
    </r>
    <r>
      <rPr>
        <sz val="11"/>
        <color theme="1"/>
        <rFont val="Times New Roman"/>
        <family val="1"/>
      </rPr>
      <t xml:space="preserve">
State &amp; District level training-1) Training / Capacity Building (Malaria)  ELIMINATION 2) Training / Capacity Building (Malaria)  ROUTINE 
</t>
    </r>
    <r>
      <rPr>
        <b/>
        <sz val="13"/>
        <color theme="1"/>
        <rFont val="Times New Roman"/>
        <family val="1"/>
      </rPr>
      <t>Diagnostics (Consumables, PPP, Sample Transport)-17.25 L</t>
    </r>
    <r>
      <rPr>
        <sz val="11"/>
        <color theme="1"/>
        <rFont val="Times New Roman"/>
        <family val="1"/>
      </rPr>
      <t xml:space="preserve">
1) RDT for Malaria 2) Others (Kit for Simple PCR Analyser)
</t>
    </r>
    <r>
      <rPr>
        <b/>
        <sz val="14"/>
        <color theme="1"/>
        <rFont val="Times New Roman"/>
        <family val="1"/>
      </rPr>
      <t>Drugs -1.51L</t>
    </r>
    <r>
      <rPr>
        <sz val="11"/>
        <color theme="1"/>
        <rFont val="Times New Roman"/>
        <family val="1"/>
      </rPr>
      <t xml:space="preserve">
Chloroquine, Primaquine 2.5/7.5 (No.), Injection Quinine &amp; Injection Artisunate &amp;ACT Adult Blister Packets  (Artesunate+SP) 
</t>
    </r>
    <r>
      <rPr>
        <b/>
        <sz val="15"/>
        <color theme="1"/>
        <rFont val="Times New Roman"/>
        <family val="1"/>
      </rPr>
      <t xml:space="preserve">Equip-6.36L </t>
    </r>
    <r>
      <rPr>
        <sz val="11"/>
        <color theme="1"/>
        <rFont val="Times New Roman"/>
        <family val="1"/>
      </rPr>
      <t xml:space="preserve">Infrastructure facility improvment(equipment ,laptop &amp; accessories,Furniture etc)-Insecticide store, computer accessories. 
</t>
    </r>
    <r>
      <rPr>
        <b/>
        <sz val="14"/>
        <color theme="1"/>
        <rFont val="Times New Roman"/>
        <family val="1"/>
      </rPr>
      <t xml:space="preserve">IEC &amp; Printing-0.60 L </t>
    </r>
    <r>
      <rPr>
        <sz val="14"/>
        <color theme="1"/>
        <rFont val="Times New Roman"/>
        <family val="1"/>
      </rPr>
      <t>1</t>
    </r>
    <r>
      <rPr>
        <b/>
        <sz val="14"/>
        <color theme="1"/>
        <rFont val="Times New Roman"/>
        <family val="1"/>
      </rPr>
      <t xml:space="preserve">) </t>
    </r>
    <r>
      <rPr>
        <sz val="11"/>
        <color theme="1"/>
        <rFont val="Times New Roman"/>
        <family val="1"/>
      </rPr>
      <t xml:space="preserve">IEC/BCC for Malaria 2) Printing of forms/registers for Malaria
</t>
    </r>
    <r>
      <rPr>
        <b/>
        <sz val="15"/>
        <color theme="1"/>
        <rFont val="Times New Roman"/>
        <family val="1"/>
      </rPr>
      <t xml:space="preserve">Planning &amp; M&amp;E Rs.6 Lakhs 1) </t>
    </r>
    <r>
      <rPr>
        <sz val="11"/>
        <color theme="1"/>
        <rFont val="Times New Roman"/>
        <family val="1"/>
      </rPr>
      <t xml:space="preserve">Monitoring  Evaluation &amp; Supervision 
</t>
    </r>
  </si>
  <si>
    <r>
      <rPr>
        <b/>
        <sz val="13"/>
        <color theme="1"/>
        <rFont val="Times New Roman"/>
        <family val="1"/>
      </rPr>
      <t>TRAINING AND CAPACITY BUILDING- Rs.1.36L</t>
    </r>
    <r>
      <rPr>
        <sz val="13"/>
        <color theme="1"/>
        <rFont val="Times New Roman"/>
        <family val="1"/>
      </rPr>
      <t xml:space="preserve">
State &amp; District level training-1) Training / Capacity Building (Malaria)  ELIMINATION 2) Training / Capacity Building (Malaria)  ROUTINE 
</t>
    </r>
    <r>
      <rPr>
        <b/>
        <sz val="13"/>
        <color theme="1"/>
        <rFont val="Times New Roman"/>
        <family val="1"/>
      </rPr>
      <t>Diagnostics (Consumables, PPP, Sample Transport)-17.25 L</t>
    </r>
    <r>
      <rPr>
        <sz val="13"/>
        <color theme="1"/>
        <rFont val="Times New Roman"/>
        <family val="1"/>
      </rPr>
      <t xml:space="preserve">
1) RDT for Malaria 2) Others (Kit for Simple PCR Analyser)
</t>
    </r>
    <r>
      <rPr>
        <b/>
        <sz val="13"/>
        <color theme="1"/>
        <rFont val="Times New Roman"/>
        <family val="1"/>
      </rPr>
      <t>Drugs -1.51L</t>
    </r>
    <r>
      <rPr>
        <sz val="13"/>
        <color theme="1"/>
        <rFont val="Times New Roman"/>
        <family val="1"/>
      </rPr>
      <t xml:space="preserve">
Chloroquine, Primaquine 2.5/7.5 (No.), Injection Quinine &amp; Injection Artisunate &amp;ACT Adult Blister Packets  (Artesunate+SP) 
Equip-6.36L Infrastructure facility improvment(equipment ,laptop &amp; accessories,Furniture etc)-Insecticide store, computer accessories. 
</t>
    </r>
    <r>
      <rPr>
        <b/>
        <sz val="13"/>
        <color theme="1"/>
        <rFont val="Times New Roman"/>
        <family val="1"/>
      </rPr>
      <t>IEC &amp; Printing-0.60 L</t>
    </r>
    <r>
      <rPr>
        <sz val="13"/>
        <color theme="1"/>
        <rFont val="Times New Roman"/>
        <family val="1"/>
      </rPr>
      <t xml:space="preserve"> 1) IEC/BCC for Malaria 2) Printing of forms/registers for Malaria
</t>
    </r>
    <r>
      <rPr>
        <b/>
        <sz val="13"/>
        <color theme="1"/>
        <rFont val="Times New Roman"/>
        <family val="1"/>
      </rPr>
      <t>Planning &amp; M&amp;E Rs.6 Lakhs</t>
    </r>
    <r>
      <rPr>
        <sz val="13"/>
        <color theme="1"/>
        <rFont val="Times New Roman"/>
        <family val="1"/>
      </rPr>
      <t xml:space="preserve"> 1) Monitoring  Evaluation &amp; Supervision </t>
    </r>
  </si>
  <si>
    <r>
      <rPr>
        <b/>
        <sz val="12"/>
        <color theme="1"/>
        <rFont val="Times New Roman"/>
        <family val="1"/>
      </rPr>
      <t>Training and Capacity Building- 0.50L</t>
    </r>
    <r>
      <rPr>
        <sz val="11"/>
        <color theme="1"/>
        <rFont val="Times New Roman"/>
        <family val="1"/>
      </rPr>
      <t xml:space="preserve">
Elimination based training and capacity building for the Medical college and private sector doctors
</t>
    </r>
    <r>
      <rPr>
        <b/>
        <sz val="12"/>
        <color theme="1"/>
        <rFont val="Times New Roman"/>
        <family val="1"/>
      </rPr>
      <t>OTHERS INCLUDING OPERATING COSTS (OOC)- Rs 0.15 L</t>
    </r>
    <r>
      <rPr>
        <sz val="11"/>
        <color theme="1"/>
        <rFont val="Times New Roman"/>
        <family val="1"/>
      </rPr>
      <t xml:space="preserve">
Kala-azar Case search/ Camp Approach: Mobility/POL/supervision/Entamology Study</t>
    </r>
  </si>
  <si>
    <t>Training and Capacity Building- 0.50L
Elimination based training and capacity building for the Medical college and private sector doctors
OTHERS INCLUDING OPERATING COSTS (OOC)- Rs 0.15 L
Kala-azar Case search/ Camp Approach: Mobility/POL/supervision/Entamology Study</t>
  </si>
  <si>
    <r>
      <rPr>
        <sz val="14"/>
        <color theme="1"/>
        <rFont val="Times New Roman"/>
        <family val="1"/>
      </rPr>
      <t xml:space="preserve">Drugs-Rs. </t>
    </r>
    <r>
      <rPr>
        <b/>
        <sz val="14"/>
        <color theme="1"/>
        <rFont val="Times New Roman"/>
        <family val="1"/>
      </rPr>
      <t>5.44L</t>
    </r>
    <r>
      <rPr>
        <sz val="14"/>
        <color theme="1"/>
        <rFont val="Times New Roman"/>
        <family val="1"/>
      </rPr>
      <t xml:space="preserve">
Capacity Building including training-</t>
    </r>
    <r>
      <rPr>
        <b/>
        <sz val="14"/>
        <color theme="1"/>
        <rFont val="Times New Roman"/>
        <family val="1"/>
      </rPr>
      <t>0.30L-</t>
    </r>
    <r>
      <rPr>
        <sz val="14"/>
        <color theme="1"/>
        <rFont val="Times New Roman"/>
        <family val="1"/>
      </rPr>
      <t xml:space="preserve">
IEC &amp; Printing-.70L IEC/BCC specific to J.E. in endemic areas
OOC-</t>
    </r>
    <r>
      <rPr>
        <b/>
        <sz val="14"/>
        <color theme="1"/>
        <rFont val="Times New Roman"/>
        <family val="1"/>
      </rPr>
      <t xml:space="preserve">0.99L </t>
    </r>
    <r>
      <rPr>
        <sz val="14"/>
        <color theme="1"/>
        <rFont val="Times New Roman"/>
        <family val="1"/>
      </rPr>
      <t xml:space="preserve">
Planning &amp; M&amp;E-</t>
    </r>
    <r>
      <rPr>
        <b/>
        <sz val="14"/>
        <color theme="1"/>
        <rFont val="Times New Roman"/>
        <family val="1"/>
      </rPr>
      <t xml:space="preserve">2.35L 
</t>
    </r>
    <r>
      <rPr>
        <sz val="14"/>
        <color theme="1"/>
        <rFont val="Times New Roman"/>
        <family val="1"/>
      </rPr>
      <t>Monitoring and supervision (JE/ AE)</t>
    </r>
  </si>
  <si>
    <t>Drugs-Rs. 5.44L
Capacity Building including training-0.30L-
IEC &amp; Printing-.70L IEC/BCC specific to J.E. in endemic areas
OOC-0.99L 
Planning &amp; M&amp;E-2.35L 
Monitoring and supervision (JE/ AE)</t>
  </si>
  <si>
    <t xml:space="preserve">Diagnostics Rs. 25.20L
DRUGS AND SUPPLIES- Rs.103.48L
TRAINING AND CAPACITY BUILDING-Rs. 0.75 LAKHS
IEC &amp; PRINTING-  RS.5 LAKHS
PLANNING &amp; M&amp;E- RS.5 LAKHS
</t>
  </si>
  <si>
    <t xml:space="preserve"> Diagnostics Rs. 25.20L
DRUGS AND SUPPLIES- Rs.103.48L
TRAINING AND CAPACITY BUILDING-Rs. 0.75 LAKHS
IEC &amp; PRINTING-  RS.5 LAKHS
PLANNING &amp; M&amp;E- RS.5 LAKHS
</t>
  </si>
  <si>
    <t>DRUGS AND SUPPLIES-2.86L
TRAINING AND CAPACITY BUILDING-2 L
IEC &amp; PRINTING- 3Lakhs</t>
  </si>
  <si>
    <t>DRUGS AND SUPPLIES-2.86L
TRAINING AND CAPACITY BUILDING-2 L
IEC &amp; PRINTING- 3Lakhs</t>
  </si>
  <si>
    <t>Capacity building incl Training - 5.58 L
 Approved Rs 5.58 L for training to DLO/ALO/NMS/MOs/Physiotherapists at CLTRI/RLTRI 
 Planning &amp; M&amp;E - 7.75 L
 1. Office operation &amp; Maintenance - State Cell@ Rs 0.75 Lakhs
 2. Office Equipment Maint. State @ Rs 0.50 Lakhs
 3. State Cell – Consumables @ Rs 0.50 Lakhs
 4. Mobility Support State cell including TA/ DA of NLEP staff @ Rs 2 Lakh
 5. NLEP Review Meetings @ Rs 2 lakhs
 6. Approved Rs 2 Lakhs for conducting State level workshop in connection with LCDC</t>
  </si>
  <si>
    <t>73.2 - Infrastructure - Civil - Rs 314.00 lakhs – Rs. 200.00 lakhs – Additional amount required for the construction of new District TB Centre Building Pathanamthitta District, Rs. 75.00 lakhs – For District TB Centre, Wayanad building roof maintenance for clearing leakage etc, Rs. 32.00 lakhs - for NTEP State Drug Store for maintenance and clearing of leakage in the building etc, Rs. 5.50 lakhs - STC, Rs. 1.50 lakhs for STDC office, - Major &amp; minor civil works/ repairing &amp; maintenance based on need basis and for minor civil works. 
73.3 - Equipments - Rs. 152.80 Lakhs -  Rs. 150.00 Lakhs for procurement of portable X-ray machine for 3 districts @Rs. 50L each,  Rs. 2.80 lakhs for Procurement of equipment for State levels, STC, SDS STDC. Procurement of office equipment and furniture for State levels STC, SDS, STDC etc. (Office Equipments), Maintenance / up gradation costs for office equipment’s (Office Equipments) State levels STC, SDS, STDC etc
73.4 - Drugs - Rs. 15.60 Lakhs - Procurement of First line drugs, Local Procurement of first line Anti TB drugs and HR for NTEP Drug Store and Drug Transportation charges etc
73.6 - Capacity building Incl. training - Rs. 9.80 Lakhs -   State level Training cost (including TA/DA &amp; other course materials) for officers / staff/ TB Champions and at State level and District level, Activities - Sensitization of TB survivors, sensitization of NGOs, PRIs meeting, TB survivor led activities, etc
73.8 - Others including operating costs (OOC) - Rs. 3.00 Lakhs  - Budget for Printing of Materials required at NTEP HQ State level institutions.
73.10 - Planning &amp; M&amp;E - Rs. 26.50 Lakhs  - Rs. 6.45 lakhs for Supervision and Monitoring (State Level Level) - TA/DA cost of all officer/ staff working in NTEP, review meetings, Cost of internal evaluation etc., Rs. 0.75 lakhs for POL for existing vehicles under NTEP at State Level, Rs. 1.00 lakhs for Vehicle hiring cost for State where Govt vehicles are not available for supervision &amp; monitoring. Rs. 8.05 lakhs for Medical Colleges meetings, Rs. 9.00 lakhs for Office operation includes office maintenance expenditure, stationary, communication etc. Rs. 1.25 lakhs for maintenance cost for State level vehicles (including four-wheeler &amp; two wheelers
73.11 - Surveillance, Research, Review, Evaluation (SRRE) - Rs. 47.65 Lakhs  - Rs. 13.05 lakhs -TA/DA cost of all officer/ staff working in NTEP, National level review meetings, Cost of internal evaluation etc. - Rs. 8.60 lakhs for Cost of Zonal Task Force, State Task Force meetings. - Rs. 26.00 lakhs - Research &amp; Studies and consultancy/PG Thesis</t>
  </si>
  <si>
    <t>76. LTBI - Rs. 487.20L
 4. Drugs - 310.00 Lakhs - Treatment of LTBI - Local procurement of approved LTBI drugs. 
 5. Diagnostics (Consumbales, PPP, Sample Transportation) - Rs. 177.20 lakhs
  - Procurement of Lab Materials and consumables for IGRA test.</t>
  </si>
  <si>
    <t>77.2 - Infrastructure - Civil - Rs 33.00 lakhs - for IRL Trivandrum, building maintenance, painting, compound maintenance
77.3 - Equipments - Rs. 126.20 Lakhs -  Rs. 12.90 lakhs - Procurement of lab and office equipment for State levels – (IRL Tvm - 11.40 lakhs, 1.50 lakhs for DR TB Centre, Tvm), Rs. 113.30 Lakhs - Maintenance / up gradation costs for Laboratory equipment’s for DR TB Centre, IRL  (IRL Tvm - 14.60 lakhs, Nodal DR TB Centre, Tvm - Rs. 1.50 lakhs, CMC for CBNAAT &amp; Trunaat Machines  - Rs. 97.20 Lakhs).
77.4 - Drugs - Rs. 29.90 Lakhs - Procurement of DRTB drugs, Local Procurement of second line drugs., and Delamind on need basis and Drug Transportation charges etc
77.5 - Diagnostics (Consumbales, PPP, Sample Transportation) - Rs. 1730.00 Lakhs -  Rs. 40.00 Lakhs for LPA Kits, MGIT Kits &amp; Xpert XDR Cartridges for the use in IRL &amp; C&amp;DST Lab kzk, Rs. 1344.00 Lakhs for approximately 80000 Nos of CBNAAT MTB/RIF PCR Test Kit,  Rs. 320.00 lakhs for approximately 40000 Nos of TrueNat Micro PCR MTB Test Kit., Rs. 26 Lakhs for other Lab Consumables &amp; Reagents for IRL.
77.6 - Capacity building Incl. training - Rs. 4.90 Lakhs -   Office and other routine expenses for maintenance and cleaning of IRL compound areas, and petty expenses pertaining to the IRL etc.
77.11 - Surveillance, Research, Review, Evaluation (SRRE)  - Rs. 4.50 Lakhs -   Expenses pertaining to the lRL lab visit by National team and State official and expenses required for calibration/certification process required budgeted for.</t>
  </si>
  <si>
    <t xml:space="preserve">78.9 - Rs. 40.00 Lakhs  -  Budget for State level activities for ACSM including media briefings with journalists, orientation meetings with key groups (e.g., PRIs, SHGs), sensitization session for elected leaders (e.g., MPs, MLAs, school / college-based activities, TB Mukth Panchayath activities, advocacy meeting with State and District authority, (outdoor publicity) folk, mela, street plays, signages, miking, TV/Radio campaign, cost, miking, exhibition/ “World TB Day “rally, etc &amp; Printing of Manuals, Guidelines, Forms,  Formats, Cards, etc. at State level. </t>
  </si>
  <si>
    <r>
      <rPr>
        <sz val="12"/>
        <color rgb="FF0000FF"/>
        <rFont val="Times New Roman"/>
        <family val="1"/>
      </rPr>
      <t xml:space="preserve"> 
a) Drugs and supplies Rs. 36.083 lakhs </t>
    </r>
    <r>
      <rPr>
        <sz val="12"/>
        <color rgb="FF000000"/>
        <rFont val="Times New Roman"/>
        <family val="1"/>
      </rPr>
      <t xml:space="preserve">[Hepatitis B Vaccination - HRG, Vaccinating 36083 HRG in 2024-25 @ Rs 36.083 lakhs(36083 X 100)] 
</t>
    </r>
    <r>
      <rPr>
        <sz val="12"/>
        <color rgb="FFFF00FF"/>
        <rFont val="Times New Roman"/>
        <family val="1"/>
      </rPr>
      <t xml:space="preserve">b) Others including operating costs(OOC) Rs. 4.5 Lakhs 
</t>
    </r>
    <r>
      <rPr>
        <sz val="12"/>
        <color rgb="FF000000"/>
        <rFont val="Times New Roman"/>
        <family val="1"/>
      </rPr>
      <t xml:space="preserve">
 </t>
    </r>
    <r>
      <rPr>
        <b/>
        <sz val="12"/>
        <color rgb="FF000000"/>
        <rFont val="Times New Roman"/>
        <family val="1"/>
      </rPr>
      <t>Rs.1.5 Lakhs</t>
    </r>
    <r>
      <rPr>
        <sz val="12"/>
        <color rgb="FF000000"/>
        <rFont val="Times New Roman"/>
        <family val="1"/>
      </rPr>
      <t xml:space="preserve"> for SVHMU: Cost of travel for supervision and monitoring  ( (TA/DA as per state norms; cost for food @750/- per person for the entire day including tea twice, water, lunch). Rs 60,000/- for contingency cost including postage, photocopy paper, stationary, internet etc.)
</t>
    </r>
    <r>
      <rPr>
        <b/>
        <sz val="12"/>
        <color rgb="FF000000"/>
        <rFont val="Times New Roman"/>
        <family val="1"/>
      </rPr>
      <t xml:space="preserve"> Rs.1.5 Lakhs</t>
    </r>
    <r>
      <rPr>
        <sz val="12"/>
        <color rgb="FF000000"/>
        <rFont val="Times New Roman"/>
        <family val="1"/>
      </rPr>
      <t xml:space="preserve"> for SVHMU: Meeting Costs/Office expenses/Contingency  (TA/DA as per state norms; cost for food @750/- per person for the entire day including tea twice, water, lunch). Rs 60,000/- for contingency cost including ).
</t>
    </r>
    <r>
      <rPr>
        <b/>
        <sz val="12"/>
        <color rgb="FFFF0000"/>
        <rFont val="Times New Roman"/>
        <family val="1"/>
      </rPr>
      <t xml:space="preserve">c) IEC &amp; Printing Rs. 5 Lakhs </t>
    </r>
    <r>
      <rPr>
        <sz val="12"/>
        <color rgb="FF000000"/>
        <rFont val="Times New Roman"/>
        <family val="1"/>
      </rPr>
      <t>- IEC/BCC for NVHCP-( Rs.5,00,000 for State Level activities ( Local TV Campaign, Digital posters, Social media campaign, 1 min Advt video, animation and graphical video, FM Radio Campaign, Online news portal campaign)</t>
    </r>
  </si>
  <si>
    <r>
      <rPr>
        <sz val="12"/>
        <color rgb="FF0000FF"/>
        <rFont val="Times New Roman"/>
        <family val="1"/>
      </rPr>
      <t xml:space="preserve"> 
a) Drugs and supplies Rs. 36.083 lakhs </t>
    </r>
    <r>
      <rPr>
        <sz val="12"/>
        <color rgb="FF000000"/>
        <rFont val="Times New Roman"/>
        <family val="1"/>
      </rPr>
      <t xml:space="preserve">[Hepatitis B Vaccination - HRG, Vaccinating 36083 HRG in 2024-25 @ Rs 36.083 lakhs(36083 X 100)] 
</t>
    </r>
    <r>
      <rPr>
        <sz val="12"/>
        <color rgb="FFFF00FF"/>
        <rFont val="Times New Roman"/>
        <family val="1"/>
      </rPr>
      <t xml:space="preserve">b) Others including operating costs(OOC) Rs. 4.5 Lakhs 
</t>
    </r>
    <r>
      <rPr>
        <sz val="12"/>
        <color rgb="FF000000"/>
        <rFont val="Times New Roman"/>
        <family val="1"/>
      </rPr>
      <t xml:space="preserve">
 </t>
    </r>
    <r>
      <rPr>
        <b/>
        <sz val="12"/>
        <color rgb="FF000000"/>
        <rFont val="Times New Roman"/>
        <family val="1"/>
      </rPr>
      <t>Rs.1.5 Lakhs</t>
    </r>
    <r>
      <rPr>
        <sz val="12"/>
        <color rgb="FF000000"/>
        <rFont val="Times New Roman"/>
        <family val="1"/>
      </rPr>
      <t xml:space="preserve"> for SVHMU: Cost of travel for supervision and monitoring  ( (TA/DA as per state norms; cost for food @750/- per person for the entire day including tea twice, water, lunch). Rs 60,000/- for contingency cost including postage, photocopy paper, stationary, internet etc.)
</t>
    </r>
    <r>
      <rPr>
        <b/>
        <sz val="12"/>
        <color rgb="FF000000"/>
        <rFont val="Times New Roman"/>
        <family val="1"/>
      </rPr>
      <t xml:space="preserve"> Rs.1.5 Lakhs</t>
    </r>
    <r>
      <rPr>
        <sz val="12"/>
        <color rgb="FF000000"/>
        <rFont val="Times New Roman"/>
        <family val="1"/>
      </rPr>
      <t xml:space="preserve"> for SVHMU: Meeting Costs/Office expenses/Contingency  (TA/DA as per state norms; cost for food @750/- per person for the entire day including tea twice, water, lunch). Rs 60,000/- for contingency cost including 
</t>
    </r>
    <r>
      <rPr>
        <b/>
        <sz val="12"/>
        <color rgb="FFFF0000"/>
        <rFont val="Times New Roman"/>
        <family val="1"/>
      </rPr>
      <t xml:space="preserve">c) IEC &amp; Printing Rs. 5 Lakhs </t>
    </r>
    <r>
      <rPr>
        <sz val="12"/>
        <color rgb="FF000000"/>
        <rFont val="Times New Roman"/>
        <family val="1"/>
      </rPr>
      <t>- IEC/BCC for NVHCP-( Rs.5,00,000 for State Level activities ( Local TV Campaign, Digital posters, Social media campaign, 1 min Advt video, animation and graphical video, FM Radio Campaign, Online news portal campaign)</t>
    </r>
  </si>
  <si>
    <r>
      <rPr>
        <b/>
        <sz val="13"/>
        <color rgb="FFFF0000"/>
        <rFont val="Calibri"/>
        <family val="2"/>
      </rPr>
      <t>Diagnostics (Test kits and consumables)</t>
    </r>
    <r>
      <rPr>
        <sz val="11"/>
        <color theme="1"/>
        <rFont val="Calibri"/>
        <family val="2"/>
      </rPr>
      <t xml:space="preserve">
a) HBV RDT Kits for HRGs and General Population - Screening of 286337  individuals per year (250000 General population &amp; 36337 HRGs) @ Rs 15 / Kit
•  Rs 42,95,055/-  for FY 2024-25 
b) HBV RDT Kits for Antenatal Screening - Estimated 418152 antenatal registrations per year and expecting to screen 50% of them ie 209076 antenatals in Government sector @ Rs 15 per kit
•  Rs 31,36,140/-  for FY 2024-25 
c)Confirmatory Testing for HBV - Truenat Viral Load - Esstimated prevalence of 0.15% among Antenatal and General Population. Existing patients also need Viral Load testing as part of Follow up . A total of 6504 tests during 2024-25  is expected as per the screening targets. Budgeted at the rate of Rs 850/Test
• Rs 55,28,400/- for FY 2024-25
d) HCV RDT Kits for HRGs and General Population - Screening of 286337  individuals per year (250000 General population &amp; 36337 HRGs) @ Rs 20 / Kit
•   Rs 57,26,240/-for FY 2024-25.
f) Confirmatory Viral Load Testing - HCV – Truenat - Estimated prevalence of 0.02% among general population. 50 individuals from general population &amp; 1188 individuals from HRGs will require confirmatory testing. 1238 tests @ Rs 850/ test
• Rs 10,52,300/-  for FY 2024-25.
g)  Follow-up Viral Load Testing for SVR - HCV – Truenat - 50% of seropositive individuals will need treatment and follow-up testing for SVR - 619 tests @ Rs 850/ test
• Rs 5,26,150/- for FY 2024-25.
</t>
    </r>
    <r>
      <rPr>
        <b/>
        <sz val="13"/>
        <color rgb="FF0000FF"/>
        <rFont val="Calibri"/>
        <family val="2"/>
      </rPr>
      <t xml:space="preserve">IEC &amp; Printing </t>
    </r>
    <r>
      <rPr>
        <sz val="11"/>
        <color theme="1"/>
        <rFont val="Calibri"/>
        <family val="2"/>
      </rPr>
      <t xml:space="preserve">
a) Rs 1,00,000/- proposed at State level campaigns related to prevention of Viral Hepatitis in association with KSACS
• Rs 1,00,000/- for FY 2024-25.</t>
    </r>
  </si>
  <si>
    <r>
      <rPr>
        <b/>
        <sz val="13"/>
        <color rgb="FFFF0000"/>
        <rFont val="Calibri"/>
        <family val="2"/>
      </rPr>
      <t>Diagnostics (Test kits and consumables)</t>
    </r>
    <r>
      <rPr>
        <sz val="11"/>
        <color theme="1"/>
        <rFont val="Calibri"/>
        <family val="2"/>
      </rPr>
      <t xml:space="preserve">
a) HBV RDT Kits for HRGs and General Population - Screening of 286337  individuals per year (250000 General population &amp; 36337 HRGs) @ Rs 15 / Kit
•  Rs 42,95,055/-  for FY 2025-26 
b) HBV RDT Kits for Antenatal Screening - Estimated 418152 antenatal registrations per year and expecting to screen 50% of them ie 209076 antenatals in Government sector @ Rs 15 per kit
•  Rs 31,36,140/-  for FY 2025-26 
c)Confirmatory Testing for HBV - Truenat Viral Load - Esstimated prevalence of 0.15% among Antenatal and General Population. Existing patients also need Viral Load testing as part of Follow up . A total of 10073 tests during 2025-26  is expected as per the screening targets. Budgeted at the rate of Rs 850/Test
• Rs 85,62,050/- for FY 2025-26
d) HCV RDT Kits for HRGs and General Population - Screening of 286337  individuals per year (250000 General population &amp; 36337 HRGs) @ Rs 20 / Kit
•   Rs 57,26,240/-for FY 2025-26.
f) Confirmatory Viral Load Testing - HCV – Truenat - Estimated prevalence of 0.02% among general population. 50 individuals from general population &amp; 1188 individuals from HRGs will require confirmatory testing. 1238 tests @ Rs 850/ test
• Rs 10,52,300/-  for FY 2025-26.
g)  Follow-up Viral Load Testing for SVR - HCV – Truenat - 50% of seropositive individuals will need treatment and follow-up testing for SVR - 619 tests @ Rs 850/ test
• Rs 5,26,150/- for FY 2025-26.
</t>
    </r>
    <r>
      <rPr>
        <b/>
        <sz val="13"/>
        <color rgb="FF0000FF"/>
        <rFont val="Calibri"/>
        <family val="2"/>
      </rPr>
      <t xml:space="preserve">IEC &amp; Printing </t>
    </r>
    <r>
      <rPr>
        <sz val="11"/>
        <color theme="1"/>
        <rFont val="Calibri"/>
        <family val="2"/>
      </rPr>
      <t xml:space="preserve">
a) Rs 1,00,000/- proposed at State level campaigns related to prevention of Viral Hepatitis in association with KSACS
• Rs 1,00,000/- for FY 2024-25.</t>
    </r>
  </si>
  <si>
    <t>Nil</t>
  </si>
  <si>
    <r>
      <rPr>
        <b/>
        <sz val="12"/>
        <color rgb="FFFF0000"/>
        <rFont val="Times New Roman"/>
        <family val="1"/>
      </rPr>
      <t xml:space="preserve">Drugs and supplies for NVHCP Rs. 98.6 Lakhs </t>
    </r>
    <r>
      <rPr>
        <b/>
        <sz val="12"/>
        <color rgb="FF000000"/>
        <rFont val="Times New Roman"/>
        <family val="1"/>
      </rPr>
      <t xml:space="preserve">for Drugs (Kind Grant)  and 
</t>
    </r>
    <r>
      <rPr>
        <b/>
        <sz val="12"/>
        <color rgb="FF0000FF"/>
        <rFont val="Times New Roman"/>
        <family val="1"/>
      </rPr>
      <t xml:space="preserve">Rs. 12.54 Lahs </t>
    </r>
    <r>
      <rPr>
        <b/>
        <sz val="12"/>
        <color rgb="FF000000"/>
        <rFont val="Times New Roman"/>
        <family val="1"/>
      </rPr>
      <t xml:space="preserve">for HBIG (Cash Grant) 
</t>
    </r>
    <r>
      <rPr>
        <b/>
        <sz val="12"/>
        <color rgb="FF0000FF"/>
        <rFont val="Times New Roman"/>
        <family val="1"/>
      </rPr>
      <t>Rs 5 Lakh</t>
    </r>
    <r>
      <rPr>
        <b/>
        <sz val="12"/>
        <color rgb="FF000000"/>
        <rFont val="Times New Roman"/>
        <family val="1"/>
      </rPr>
      <t xml:space="preserve"> for procurement of Ribavirin 200 mg &amp; Daclatasavir 30 mg - Cash Grant)
</t>
    </r>
    <r>
      <rPr>
        <sz val="12"/>
        <color rgb="FF000000"/>
        <rFont val="Times New Roman"/>
        <family val="1"/>
      </rPr>
      <t xml:space="preserve">
</t>
    </r>
    <r>
      <rPr>
        <b/>
        <sz val="12"/>
        <color rgb="FFFF00FF"/>
        <rFont val="Times New Roman"/>
        <family val="1"/>
      </rPr>
      <t xml:space="preserve">Capacity building incl. Training Rs. 6.5 Lakhs - </t>
    </r>
    <r>
      <rPr>
        <sz val="12"/>
        <color rgb="FF000000"/>
        <rFont val="Times New Roman"/>
        <family val="1"/>
      </rPr>
      <t xml:space="preserve">Rs. 5 Lakhs 3 day training of Medical Officer of the Model Treatment Centre (15 Medical officers in each batch),
  Rs. 0.5 Lakhs for 1 day training of Peer support of the Treatment sites (MTC/TCs),
  Rs.0.5 Lakhs for 1 day training of pharmacist of the Treatment sites (MTC/TCs) &amp;
  Rs.0.5 Lakhs for 1 day training of DEO of the Treatment sites (MTC/TCs).
</t>
    </r>
  </si>
  <si>
    <r>
      <rPr>
        <b/>
        <sz val="12"/>
        <color rgb="FFFF0000"/>
        <rFont val="Times New Roman"/>
        <family val="1"/>
      </rPr>
      <t>Drugs and supplies for NVHCP Rs. 108.55 Lakhs</t>
    </r>
    <r>
      <rPr>
        <b/>
        <sz val="12"/>
        <color rgb="FF0000FF"/>
        <rFont val="Times New Roman"/>
        <family val="1"/>
      </rPr>
      <t xml:space="preserve"> </t>
    </r>
    <r>
      <rPr>
        <b/>
        <sz val="12"/>
        <color rgb="FF000000"/>
        <rFont val="Times New Roman"/>
        <family val="1"/>
      </rPr>
      <t>for Drugs (Kind Grant)  and</t>
    </r>
    <r>
      <rPr>
        <b/>
        <sz val="12"/>
        <color rgb="FF0000FF"/>
        <rFont val="Times New Roman"/>
        <family val="1"/>
      </rPr>
      <t xml:space="preserve"> 
Rs. 12.54 Lahs </t>
    </r>
    <r>
      <rPr>
        <b/>
        <sz val="12"/>
        <color rgb="FF000000"/>
        <rFont val="Times New Roman"/>
        <family val="1"/>
      </rPr>
      <t>for HBIG (Cash Grant)</t>
    </r>
    <r>
      <rPr>
        <b/>
        <sz val="12"/>
        <color rgb="FF0000FF"/>
        <rFont val="Times New Roman"/>
        <family val="1"/>
      </rPr>
      <t xml:space="preserve"> 
Rs 5 Lakhs for procurement of Ribavirin 200 mg &amp; Daclatasavir 30 mg - Cash Grant)
</t>
    </r>
    <r>
      <rPr>
        <sz val="12"/>
        <color rgb="FF000000"/>
        <rFont val="Times New Roman"/>
        <family val="1"/>
      </rPr>
      <t xml:space="preserve">
</t>
    </r>
    <r>
      <rPr>
        <b/>
        <sz val="12"/>
        <color rgb="FFFF00FF"/>
        <rFont val="Times New Roman"/>
        <family val="1"/>
      </rPr>
      <t xml:space="preserve">Capacity building incl. Training Rs. 6.5 Lakhs - </t>
    </r>
    <r>
      <rPr>
        <sz val="12"/>
        <color rgb="FF000000"/>
        <rFont val="Times New Roman"/>
        <family val="1"/>
      </rPr>
      <t xml:space="preserve">Rs. 5 Lakhs 3 day training of Medical Officer of the Model Treatment Centre (15 Medical officers in each batch),
  Rs. 0.5 Lakhs for 1 day training of Peer support of the Treatment sites (MTC/TCs),
  Rs.0.5 Lakhs for 1 day training of pharmacist of the Treatment sites (MTC/TCs) &amp;
  Rs.0.5 Lakhs for 1 day training of DEO of the Treatment sites (MTC/TCs).
</t>
    </r>
  </si>
  <si>
    <r>
      <rPr>
        <b/>
        <sz val="13"/>
        <color rgb="FFFF00FF"/>
        <rFont val="Times New Roman"/>
        <family val="1"/>
      </rPr>
      <t>Training : State level training –of Rs. 5 Lakhs</t>
    </r>
    <r>
      <rPr>
        <b/>
        <sz val="11"/>
        <color rgb="FFFF00FF"/>
        <rFont val="Times New Roman"/>
        <family val="1"/>
      </rPr>
      <t xml:space="preserve"> </t>
    </r>
    <r>
      <rPr>
        <sz val="11"/>
        <color theme="1"/>
        <rFont val="Times New Roman"/>
        <family val="1"/>
      </rPr>
      <t xml:space="preserve"> per training Medical Officers, Staff Nurse, ASHA ANM &amp; other Health care workers. 
</t>
    </r>
    <r>
      <rPr>
        <b/>
        <sz val="13"/>
        <color rgb="FFFF0000"/>
        <rFont val="Times New Roman"/>
        <family val="1"/>
      </rPr>
      <t>IEC &amp; Printing : Rs.23 Lalhs.</t>
    </r>
    <r>
      <rPr>
        <sz val="11"/>
        <color theme="1"/>
        <rFont val="Times New Roman"/>
        <family val="1"/>
      </rPr>
      <t xml:space="preserve">
</t>
    </r>
    <r>
      <rPr>
        <sz val="11"/>
        <color rgb="FFFF0000"/>
        <rFont val="Times New Roman"/>
        <family val="1"/>
      </rPr>
      <t>Re. 20 lakhs for IEC:</t>
    </r>
    <r>
      <rPr>
        <sz val="11"/>
        <color theme="1"/>
        <rFont val="Times New Roman"/>
        <family val="1"/>
      </rPr>
      <t xml:space="preserve">-  Spots on FM - Posters , Digital posters, Social media campaign, Short Films for  Community activities and dissemination.
</t>
    </r>
    <r>
      <rPr>
        <sz val="11"/>
        <color rgb="FFFF0000"/>
        <rFont val="Times New Roman"/>
        <family val="1"/>
      </rPr>
      <t>Printing:- Rs. 3 Lakhs</t>
    </r>
    <r>
      <rPr>
        <sz val="11"/>
        <color theme="1"/>
        <rFont val="Times New Roman"/>
        <family val="1"/>
      </rPr>
      <t xml:space="preserve">
</t>
    </r>
    <r>
      <rPr>
        <b/>
        <sz val="13"/>
        <color rgb="FF0000FF"/>
        <rFont val="Times New Roman"/>
        <family val="1"/>
      </rPr>
      <t>Planning &amp; M &amp; E - Rs.1 Lakhs</t>
    </r>
    <r>
      <rPr>
        <sz val="11"/>
        <color theme="1"/>
        <rFont val="Times New Roman"/>
        <family val="1"/>
      </rPr>
      <t xml:space="preserve">
Supervision and Monitoring activities  Rs 1 Lakhs for state/UT-level activities) 
</t>
    </r>
  </si>
  <si>
    <r>
      <rPr>
        <b/>
        <sz val="13"/>
        <color rgb="FFFF00FF"/>
        <rFont val="Times New Roman"/>
        <family val="1"/>
      </rPr>
      <t>Training : State level training –of Rs. 5 Lakhs</t>
    </r>
    <r>
      <rPr>
        <b/>
        <sz val="11"/>
        <color rgb="FFFF00FF"/>
        <rFont val="Times New Roman"/>
        <family val="1"/>
      </rPr>
      <t xml:space="preserve"> </t>
    </r>
    <r>
      <rPr>
        <sz val="11"/>
        <color theme="1"/>
        <rFont val="Times New Roman"/>
        <family val="1"/>
      </rPr>
      <t xml:space="preserve"> per training Medical Officers, Staff Nurse, ASHA ANM &amp; other Health care workers. 
</t>
    </r>
    <r>
      <rPr>
        <b/>
        <sz val="13"/>
        <color rgb="FFFF0000"/>
        <rFont val="Times New Roman"/>
        <family val="1"/>
      </rPr>
      <t>IEC &amp; Printing : Rs.23 Lalhs.</t>
    </r>
    <r>
      <rPr>
        <sz val="11"/>
        <color theme="1"/>
        <rFont val="Times New Roman"/>
        <family val="1"/>
      </rPr>
      <t xml:space="preserve">
</t>
    </r>
    <r>
      <rPr>
        <sz val="11"/>
        <color rgb="FFFF0000"/>
        <rFont val="Times New Roman"/>
        <family val="1"/>
      </rPr>
      <t>Re. 20 lakhs for IEC:</t>
    </r>
    <r>
      <rPr>
        <sz val="11"/>
        <color theme="1"/>
        <rFont val="Times New Roman"/>
        <family val="1"/>
      </rPr>
      <t xml:space="preserve">-  Spots on FM - Posters , Digital posters, Social media campaign, Short Films for  Community activities and dissemination.
</t>
    </r>
    <r>
      <rPr>
        <sz val="11"/>
        <color rgb="FFFF0000"/>
        <rFont val="Times New Roman"/>
        <family val="1"/>
      </rPr>
      <t>Printing:- Rs. 3 Lakhs</t>
    </r>
    <r>
      <rPr>
        <sz val="11"/>
        <color theme="1"/>
        <rFont val="Times New Roman"/>
        <family val="1"/>
      </rPr>
      <t xml:space="preserve">
</t>
    </r>
    <r>
      <rPr>
        <b/>
        <sz val="13"/>
        <color rgb="FF0000FF"/>
        <rFont val="Times New Roman"/>
        <family val="1"/>
      </rPr>
      <t>Planning &amp; M &amp; E - Rs.1 Lakhs</t>
    </r>
    <r>
      <rPr>
        <sz val="11"/>
        <color theme="1"/>
        <rFont val="Times New Roman"/>
        <family val="1"/>
      </rPr>
      <t xml:space="preserve">
Supervision and Monitoring activities  Rs 1 Lakhs for state/UT-level activities) 
Research - Proposed study from SHSRC - Effectiveness of panchayat level initiatives in reducing stray dog bites in Kerala- A pilot study in Thiruvananthapuram district - Rs 34 Lakhs during 2025-26</t>
    </r>
  </si>
  <si>
    <t xml:space="preserve">Diagnostics - 10 L 
For procurement and distribution of Leptospirosis Diagnostic Kits to districts.
Training - 0.5 L - ToT at State Level
IEC &amp; Printing -19 L
Rs. 5Lakhs in the state level, Rs. 14L for 14 districts for doing district specific IEC/BCC activities
Planning &amp; M&amp;E - 4 L 
Rs. 1 lakhs for state level review meetings under Programme for Prevention and Control of Leptospirosis
Rs.0.5 lakhs for Mobility support under Programme for Prevention and Control of Leptospirosis
</t>
  </si>
  <si>
    <t>Approved @ Rs 1000 for the Assistance for consumables/ drugs/ medicines including IOL to the Govt. Hospital for Cataract surgery.</t>
  </si>
  <si>
    <t>Approved for 27500 cases @ Rs 1000 for the Assistance for consumables/ drugs/ medicines including IOL to the Govt. Hospital for Cataract surgery.</t>
  </si>
  <si>
    <t>Approved for 25000 Spectacles @ Rs.350/- per unit</t>
  </si>
  <si>
    <t>Infra - 200 L 
 Approved Grant-in-aid for construction of Eye Wards and Eye OTS at Palakkad &amp; Tirurangadi @ Rs.100L
 Equipment : 560 L 
 Approved at DH- Kollam, Kozhencherry, Mavelikkara, Palakkad, Vadakara,GH- Kottayam, Pala, Ernakulam, Thrissur, Kalpetta @ Rs.40L each
 Approved at THQH-Tiruvalla, Harippad, Cherthala, Vaikom, Nedumkandam, Kothamangalam, Ottapalam, Ponnani, Thirurangadi</t>
  </si>
  <si>
    <t>Infra - 100 L 
 Approved Grant-in-aid for construction of Eye Wards and Eye OTS at Tiruvalla@ Rs.100L
 Equipment : 440 L 
 Approved at Alappuzha, Manjeri, Kozhikkode, Kannur, Kanhangad, Peroorkada, Kasargod @ Rs.40L each
 Approved at THQH-Thrippunithara, Kuttipuram, Perambra, Koyilandi, Kuthuparamba, Iritty, Ferokke@ Rs 20 Lakhs</t>
  </si>
  <si>
    <t>1. Capacity Building: 2 L
 Approved Rs 2 L for PMOA Training and for Training staff nurse
 2. IEC - 6 L : Approved for District Level Awareness and activities in connection with Eye donation fortnight, world sight day, world Glaucoma week
 3. Planning &amp; M &amp; E : 6 L : State level- POL, TA/DA for staffs, Contingencies, review meetings, Office Operation and miscellaneous</t>
  </si>
  <si>
    <t>1.Drugs - 140 L - Psychotropic medicines 
 2. Training Rs. 3.50 Lakhs/ State Level Training.
 3.OOC - Rs.0.70 Operational expenses, for misc./travel expenses for operational expenses 2
 4. IEC : Rs.7L for IEC/BCC activities</t>
  </si>
  <si>
    <t>1. Infrastructure &amp; Civil Works : Nedumangad - Total 80 L : Rs 40 L (50% Proposed Current Year) 
 2. Drugs and Supplies Rs. 140 Lakhs
 3.Capacity building incl. training - Rs. 1 L 
 4.IEC &amp; Printing - Rs. 1 Lakh</t>
  </si>
  <si>
    <t>1. Infrastructure &amp; Civil Works - Rs. 40 Lakhs (Balance 50%)
 2 Procurement of equipment for DH/ GH elderly clinics - Nedumangad Rs. 25 L
 3.Geriatric Care at DH Drugs and Supplies - : Rs.140 Lakhs 
 4. Capacity building incl. training - Rs. 1 L at State :Training of Doctors, Staff Nurse and Physiotherapists at Districts and state 
  5.IEC &amp; Printing - Rs. 1 Lakh State : Elderly care day observation. State &amp; District Level Elderly care day observation</t>
  </si>
  <si>
    <t>State specific Initiatives and Innovations : Surveillance, Research, Review, Evaluation (SRRE) : Study on assessing the burden of Psychosocial issues among elders in kerala.</t>
  </si>
  <si>
    <t>1. Capacity building and training 1L
 Orientation of stake holder organizations like, police department, excise department, food safety department, education department etc. 1session at state - 0.5L
 Training of health professionals Includes, doctors, staff nurse, MPWs, ASHAS etc
 1 session at state 0.5 L 
 2. IEC printing 2 L
 These activities include making Jingles, Videos, hoardings, newspaper advisories and mass media campaigns, No Tobacco Day observation, special Enforcement drives, mobile IEC corner etc.
 3.Planning M&amp;E 6 L
 State Tobacco Control Cell (STCC): Misc./Office Expenses – 1L
 Hiring of Operational Vehicle under NTCP – 5L</t>
  </si>
  <si>
    <t>Activities include both indoor and outdoor activities like tobacco free school, school level task force formation &amp; meetings, awareness generation campaigns etc at Schools &amp; Colleges. 20L at state</t>
  </si>
  <si>
    <t>1. Equipment – 14 Lakhs For Carbon monoxide breath analysers , minis pirometers and other consumables for TCCs in districts , mobile units ,out reach clinics &amp; camps at HWCs etc 14 L
 2. Drugs &amp; Supplies – 27 Laks
 Procurement of Nicotine gums, lozenges, Buproprione, varnecline etc for 36 Tobacco cessation centers</t>
  </si>
  <si>
    <t>1. Equipment Rs. 212.45 Lakhs
 I. An amount of Rs 180 Lakhs is proposed for the procurement of consumables and equipment for sample transport.
 II. An amount of Rs 32.45 L is proposed for the procurement of 180 Professional Validated High Volume Electronic BP apparatus@ Rs 8000 per unit, 23 Biothesiometer @ Rs 35000, Procurement of Rs 10,00,000for one Uss machine with colourDoppler. 
 2. Drugs and Supplies : Rs. 1080 Lakhs
 36 GH/GH :Rs. 1080 Lakhs. Details Attached</t>
  </si>
  <si>
    <t>1.Equipment Rs. 180 Lakhs
 2.Drugs and Supplies : Rs. 1188 Lakhs 36 GH/GH: Rs. 1188 Lakhs.</t>
  </si>
  <si>
    <t>1.Drugs and Supplies : Rs. 870 Lakhs
 Drugs for 87 SDH Hospital. Details Attached</t>
  </si>
  <si>
    <t>Cardiac Care Unit (CCU/ICU) including STEMI : 
 1.Equipment - Rs. 279Lakhs (2024-25) 
 2.Drugs and Supplies : Rs. 210 Lakhs
 Details Attached
  3. Diagnostics – Rs. 51 L
 Diagnostics &amp;Consumables for CCU Unit</t>
  </si>
  <si>
    <t>1. Drugs &amp; Supplies Rs. 120 L Details attached
 2. Diagnostics &amp; Comsumables : Rs. 51 L</t>
  </si>
  <si>
    <t>1.Equipment - Rs. 154Lakhs for COPD, cancer care, and NAFLD. Equipment.
 2.Drugs and Supplies : Rs. 1375 Lakhs
 Proposing medicines for COPD, Stroke&amp; Cancer Care. Details Attached
 3. Capacity Building Incl. Training : Rs. 10 Lakhs 
 4. IEC &amp;Printing : IEC activities at State 14 Lakhs 
 5.Planning M &amp; E – Rs 3L for Program Management Activities.</t>
  </si>
  <si>
    <t>Other NPCDCS Components :
 1. Equipment - 74 L - for COPD and cancer care, 
 2. Drugs &amp; Supplies 1399 L–Proposing 900 L for COPD and 499 L for Stroke, Cancer Care . 
 3 Capacity Building Incl. Training : State level Training Rs. 10 Lakhs 
 4. IEC &amp; Printing - for IEC activities at State level Rs. 14 Lakhs
 5. Planning &amp; M &amp; E – 3 L for Program Management Activities</t>
  </si>
  <si>
    <t>Innovation under NCD
 1. Infrastructure - Rs. 100 Lakhs General Hospital Pala Kottayam 
 Rs. 50 lakhs Proposed current year, Balance 50 % proposed 2025-26
 2. Equipment : Rs. 65 Lakhs : Rs. 25 Lakhs Procurement of Point of care device for Creatine with consumables in CKD for 87 SDH Hospital 
 b. Rs. 40 Lakhs for Population Based PFT Monitoring 
 3. Diagnostics – Rs. 115 L
 Diagnostics &amp; Consumables, (Cancer Care).
 A pilot programme for screening cervical cancer through HPV detection is proposed in Ernakulam district. Approved only for cartridges and the test will be done NTEP Programme subject to HTA 
 4.Surveillance, Research, Review, Evaluation (SRRE) : Rs.20 L. Development of population based stroke registry- KSSR Details attached.</t>
  </si>
  <si>
    <t>Innovation under NCD
 NCD Clinics at DH
 1. Infrastructure - Rs. 100 Lakhs General Hospital Pala Kottayam 
 Balance Rs. 50 Lakhs (50 % approved 2025-26) 
 2.Diagnostics &amp; Consumables, (Cancer Care). Rs. 87 Lakhs
 A pilot programme for screening cervical cancer through HPV detection is proposed in Ernakulam district. Approved only for cartridges and the test will be done NTEP Programme subject to HTA. 
 3.Equipment Rs. 120 Lakhs Details Attached. Cath Lab Equipment is approved CCU handing STEMI</t>
  </si>
  <si>
    <t>1.Equipment - Rs. 31.90 L
 Purchase of New Dialysis Machine for DH Idukki, and SDH Peravoor (Kannur) Rs.31.90 Lakhs 
 2.Drugs and Supplies : Rs. 50 Lakhs 
 Purchase of Nephrology Medicine for Haemodialysis Patients.</t>
  </si>
  <si>
    <t>mplementation of Haemodialysis Services: Rs. 81.90 L
 1.Equipment - 
 Purchase of New Dialysis Machine for SDH Adimali (Idukki) Rs.31.90 L Lakhs 
 2.Drugs and Supplies : Rs. 50 Lakhs 
 Purchase of Nephrology Medicine for Haemodialysis Patients</t>
  </si>
  <si>
    <t>1. Diagnostics - 990.45 L
 Proposing for the procurement of dialyzing fluids and other consumables.
 2.Capacity Building Incl Training – Rs. 1 Lakhs
 3.IEC &amp; Printing . Rs. 1 L</t>
  </si>
  <si>
    <t xml:space="preserve">"1. Training &amp;  capacity building at the state level  Rs. 1 Lakhs 
2. Developing IEC materials related to climate-sensitive health issues, and observance of important days on environment and health 5 L at state level. 
3. Planning &amp; M&amp; E :Task force meetings, Sensitisation, and other monitoring components at State level 1 L    4. ""1. Population-based vulnerability health assessment: For two districts (20000/district) 2. Documentation of Best practice of intervention on climate change and health: Two reports ( 20000 each) ,3. Baseline Carbon audit as a part of Race to Zero Campaign Rs 25000 training at each district, Rs 50000 training at state, 1L for analysis and documentation of carbon audit.  ( 5.8 L)
"
</t>
  </si>
  <si>
    <t>1. IEC &amp; Printing Rs. 3.75 L at State Level Observance of WOHD in State wise manner,
 2. Planning &amp; M &amp; E : Office and Stationery Expenses Mobility Support for Institutional Visits and inspections Rs. 0.75 L at State Level Programme Management Expenses</t>
  </si>
  <si>
    <t>Equipments: Rs 41.50 L
  Approved under NPPCD for supplying audiology equipments
 1.To procure 10 tympanometers 
 @ 3.75 lakhs per unit- Total 37.50 lakhs
 2. 4 lakh for procuring 4 Puretone 
 Audiometer @ Rs.1 lakh per unit
 Capacity buliding: Rs 2.85 L
 1. Refresher training to NPPCD staff for Rs 2.85 L</t>
  </si>
  <si>
    <t>Approved Rs 15 Lakhs for state level activities for the Telecast of awareness videos and audio messages through television, FM channels, Theatre Campaign, printing of Hoardings etc. Observance of world hearing day and deafness day. Special awareness programmes at tribal and coastal areas.</t>
  </si>
  <si>
    <t>1. Infrastructure : 60 Lakhs SDH Chalakkudy Burns Unit Balance 50% proposed for the current year. 
 2. Equipment Rs.10.38 L Eranakulam Burns Unit Details attached 
 3. Capacity building including training- 1 L 4. IEC &amp; Printing@ 1 L 
 5. Planning M&amp; E @ Rs 1 lL</t>
  </si>
  <si>
    <t>1. Capacity building including training- 1 L 2. IEC &amp; Printing@ 1 L 
 3. Planning M&amp; E @ Rs 1 lL</t>
  </si>
  <si>
    <t>1. Capacity building including training- 1 L 2. IEC &amp; Printing@ 1 L 
 3. Planning M&amp; E @ Rs 1 Lakhs</t>
  </si>
  <si>
    <r>
      <rPr>
        <b/>
        <sz val="11"/>
        <color theme="1"/>
        <rFont val="Times New Roman"/>
        <family val="1"/>
      </rPr>
      <t>National Programme for Palliative Care (NPPC)</t>
    </r>
    <r>
      <rPr>
        <sz val="11"/>
        <color theme="1"/>
        <rFont val="Times New Roman"/>
        <family val="1"/>
      </rPr>
      <t xml:space="preserve">
1. Surveillance, Research, Review, Evaluation (SRRE): Rs 15 L(2024-25)
Based on Post NPCC recommendation, Rs 15 Lakhs is shidted from Palnning M&amp; E to Surveillance, Research, Review, Evaluation (SRRE):
Quality assurance 
Kerala state is having 1084 primary palliative care units and 213secondary palliative care units, and 16 tertiary care palliative care units. Kerala State has prepared an action plan for implanting the revised palliative care policy. One of the main thrust of the action plan is to improve the quality of the services offered at different level. Quality indicators to be checked at various level for improving the quality is also prepared as part of the action plan. This programme is to be rolled out through out of the state in 2024-25.For this resource persons need to be form and trained at state level and district level. Training needed to be given to the staff of all palliative care units. Self assessment, peer assessment, districts and state level assessment is to be conducted. So proposing the amount need for palliative care quality improvement programme as part of ROP 
1.        Amount for state level workshop- Rs. 1 Lakhs 
2.        Amount for district level workshop- Rs.50,000 x 14 district = 7 Lakhs 
3.        Amount for District level and State Level Assessment – Rs. 5 Lakhs 
4.        Printing and other expense- Rs. 2 Lakhs
2. Surveillance, Research, Review, Evaluation (SRRE): Rs 6.2 L (2025-26)
Evaluation of Kerala State Palliative care programme in secondary and in specialty healthcare settings - Mixed method approach.  Rs. 6.2 Lakhs</t>
    </r>
  </si>
  <si>
    <t xml:space="preserve">                                                                                                      2) Capacity building : U.9.2.7 Training of Staff for Ayushman Bharat Health &amp; Wellness Center :20(H&amp;WC):   20L
3) Printing @ 50 /102 UPHCs                                                                                                                         </t>
  </si>
  <si>
    <t xml:space="preserve"> OOC)  U.2.3.1 UHNDs   13.95L ( UHND/month/ANM @ Rs. 250.00 ( 465*12*Rs.250)   4 special outreach medical camps/UPHC(102) per year @ Rs. 10000.00 proposed 40.80L  
  U.2.2.1 Mobility support for ANM/LHV 27.9 L
Rs. 500/- per month was proposed  for 465 ANMs
</t>
  </si>
  <si>
    <t xml:space="preserve">New Work) U.5.1.2 UCHC:  5L ( For CHC Attukal TVM Corporation );                                                                              Equipment) U.6.1.3  Equipment for UCHC : 5L     (UCHC Attukal)                                                                                               Budget for Procurement done by States:  U.6.2.1.2 Procurement of drugs for facilities other than AB-HWCs (including UPHCs, UCHCs, Maternity Homes, etc)            30L Cost of Medicine @ 15 L per CHC (2 existing UCHCs )
Diagnostics) U.6.1.7.2 Provision of free diagnostics at facilities other than AB-HWCs (including UPHCs UCHCs, Maternity Homes, etc  @ 50000 for 2 CHCs : 1                     
</t>
  </si>
  <si>
    <r>
      <rPr>
        <sz val="11"/>
        <color rgb="FF000000"/>
        <rFont val="Times New Roman"/>
        <family val="1"/>
      </rPr>
      <t xml:space="preserve"> </t>
    </r>
    <r>
      <rPr>
        <sz val="11"/>
        <color rgb="FFFF0000"/>
        <rFont val="Times New Roman"/>
        <family val="1"/>
      </rPr>
      <t>Capacity Buiding</t>
    </r>
    <r>
      <rPr>
        <sz val="11"/>
        <color rgb="FF000000"/>
        <rFont val="Times New Roman"/>
        <family val="1"/>
      </rPr>
      <t xml:space="preserve">  U.9.2.9 on Quality Assurance Training of clinical and outreach staff on NQAS accreditation, 1batch  for  20 Urban  Co –ordinators( 2 days)  : 2.6L  </t>
    </r>
    <r>
      <rPr>
        <sz val="11"/>
        <color rgb="FFFF0000"/>
        <rFont val="Times New Roman"/>
        <family val="1"/>
      </rPr>
      <t xml:space="preserve">                                                     OOC</t>
    </r>
    <r>
      <rPr>
        <sz val="11"/>
        <color rgb="FF000000"/>
        <rFont val="Times New Roman"/>
        <family val="1"/>
      </rPr>
      <t xml:space="preserve">)  U. 13. 1. 1 Quality Assurance Assessments (State &amp; National):@ 1 L for 102 UPHC  102L                                                   </t>
    </r>
    <r>
      <rPr>
        <sz val="11"/>
        <color rgb="FFFF0000"/>
        <rFont val="Times New Roman"/>
        <family val="1"/>
      </rPr>
      <t>Planning &amp; M&amp;E</t>
    </r>
    <r>
      <rPr>
        <sz val="11"/>
        <color rgb="FF000000"/>
        <rFont val="Times New Roman"/>
        <family val="1"/>
      </rPr>
      <t xml:space="preserve"> : U .16.1.3.1 QA committees at city  @ 1.2 L four regional Workshop :  4.8 L</t>
    </r>
  </si>
  <si>
    <t xml:space="preserve"> Kayakalp Awards 23.5L , 2 lakh for Winner each in 3 clusters,  1st and 2nd runner up each in 3 clusters @ Rs. 1.5 L and 1 Lakh. 10 lakhs for Commendation price for 20 UPHCs @ .5 Lakhs                                                                                                                            U.13.2.2 Kayakalp Assessments 9.6 L year  Rs 500 for 102 UPHC for internal assessment Rs 5000 for peer assessment and  Rs  8000 for  50 UPHC for external assessment                                               U.13.2.3 Kayakalp Assessments 102L</t>
  </si>
  <si>
    <t>Capacity Building ) U.9.2.13 Any Other (Please specify) :5L  One batch for selected staff in UPHCs Training of Service Delivery Staff on FICTC Management                                             OOC) U.1.3.3.Operational Expenses of Health Kiosks:  6.72L@ Rs. 4000/- per month for 14 health kiosks as electricity , water charges</t>
  </si>
  <si>
    <r>
      <rPr>
        <b/>
        <sz val="11"/>
        <color theme="1"/>
        <rFont val="Times New Roman"/>
        <family val="1"/>
      </rPr>
      <t xml:space="preserve">2024-25:   </t>
    </r>
    <r>
      <rPr>
        <sz val="11"/>
        <color theme="1"/>
        <rFont val="Times New Roman"/>
        <family val="1"/>
      </rPr>
      <t xml:space="preserve">                                                                                                                                                                                                </t>
    </r>
    <r>
      <rPr>
        <b/>
        <sz val="11"/>
        <color theme="1"/>
        <rFont val="Times New Roman"/>
        <family val="1"/>
      </rPr>
      <t xml:space="preserve">Capacity building including Training:   </t>
    </r>
    <r>
      <rPr>
        <sz val="11"/>
        <color theme="1"/>
        <rFont val="Times New Roman"/>
        <family val="1"/>
      </rPr>
      <t xml:space="preserve"> </t>
    </r>
    <r>
      <rPr>
        <b/>
        <sz val="11"/>
        <color theme="1"/>
        <rFont val="Times New Roman"/>
        <family val="1"/>
      </rPr>
      <t xml:space="preserve"> 193.2 Lakhs</t>
    </r>
    <r>
      <rPr>
        <sz val="11"/>
        <color theme="1"/>
        <rFont val="Times New Roman"/>
        <family val="1"/>
      </rPr>
      <t xml:space="preserve">                                                                                                                                                                                    Refresher Training on clinical services/Review meeting- 54 batches of 100 MLSP (5415 MLSP)/Quarter@.55L/batch : 118.8L +                                           Subcentre Team Building Training for expanded package of services in 186 Health Blocks in Kerala- 186 Batches of Subcentre Team@0.4L/batch:74.4L                                                                                                                                                                                      </t>
    </r>
    <r>
      <rPr>
        <b/>
        <sz val="11"/>
        <color theme="1"/>
        <rFont val="Times New Roman"/>
        <family val="1"/>
      </rPr>
      <t>ASHA incentive</t>
    </r>
    <r>
      <rPr>
        <sz val="11"/>
        <color theme="1"/>
        <rFont val="Times New Roman"/>
        <family val="1"/>
      </rPr>
      <t xml:space="preserve"> @Rs.1000/month = </t>
    </r>
    <r>
      <rPr>
        <b/>
        <sz val="11"/>
        <color theme="1"/>
        <rFont val="Times New Roman"/>
        <family val="1"/>
      </rPr>
      <t>3249 Lakhs</t>
    </r>
    <r>
      <rPr>
        <sz val="11"/>
        <color theme="1"/>
        <rFont val="Times New Roman"/>
        <family val="1"/>
      </rPr>
      <t xml:space="preserve">                                                                                                                                              </t>
    </r>
    <r>
      <rPr>
        <b/>
        <sz val="11"/>
        <color theme="1"/>
        <rFont val="Times New Roman"/>
        <family val="1"/>
      </rPr>
      <t xml:space="preserve">Planning and M&amp;E: </t>
    </r>
    <r>
      <rPr>
        <sz val="11"/>
        <color theme="1"/>
        <rFont val="Times New Roman"/>
        <family val="1"/>
      </rPr>
      <t xml:space="preserve"> </t>
    </r>
    <r>
      <rPr>
        <b/>
        <sz val="11"/>
        <color theme="1"/>
        <rFont val="Times New Roman"/>
        <family val="1"/>
      </rPr>
      <t xml:space="preserve">293.75 Lakhs </t>
    </r>
    <r>
      <rPr>
        <sz val="11"/>
        <color theme="1"/>
        <rFont val="Times New Roman"/>
        <family val="1"/>
      </rPr>
      <t xml:space="preserve">                                                                                                                                                          NQAS Assessment :@0.96L for 300 SHCs:288L   +
Research study: @5.75Lakh -Proposed by SHSRC for Evaluating SHC-HWC-The primary objectives of this study are to assess and compare Ayushman Bharat Health and Wellness Centres (Sub centres) and non-converted AB-SHC-HWCs in Kerala in terms of service delivery, healthcare workforce, financing, information management, medical products and technologies, and governance.                                                                                                                                                                                   </t>
    </r>
    <r>
      <rPr>
        <b/>
        <sz val="11"/>
        <color theme="1"/>
        <rFont val="Times New Roman"/>
        <family val="1"/>
      </rPr>
      <t xml:space="preserve">2025-26:  </t>
    </r>
    <r>
      <rPr>
        <sz val="11"/>
        <color theme="1"/>
        <rFont val="Times New Roman"/>
        <family val="1"/>
      </rPr>
      <t xml:space="preserve">                                                                                                                                                                                                         </t>
    </r>
    <r>
      <rPr>
        <b/>
        <sz val="11"/>
        <color theme="1"/>
        <rFont val="Times New Roman"/>
        <family val="1"/>
      </rPr>
      <t xml:space="preserve">Capacity building including Training: 193.2 Lakhs      </t>
    </r>
    <r>
      <rPr>
        <sz val="11"/>
        <color theme="1"/>
        <rFont val="Times New Roman"/>
        <family val="1"/>
      </rPr>
      <t xml:space="preserve">                                                                                                                                                                                      Refresher Training/Review meeting- 54 batches of 100 MLSP (5415 MLSP)/Quarter@.55L/batch : 118.8L +                                    Refresher Subcentre Team Building Training:(186 Health Block) 186 Batches of Subcentre Team@0.4L/batch:74.4L                                                                                                       </t>
    </r>
    <r>
      <rPr>
        <b/>
        <sz val="11"/>
        <color theme="1"/>
        <rFont val="Times New Roman"/>
        <family val="1"/>
      </rPr>
      <t>ASHA incentive</t>
    </r>
    <r>
      <rPr>
        <sz val="11"/>
        <color theme="1"/>
        <rFont val="Times New Roman"/>
        <family val="1"/>
      </rPr>
      <t xml:space="preserve"> @Rs.1000/month = </t>
    </r>
    <r>
      <rPr>
        <b/>
        <sz val="11"/>
        <color theme="1"/>
        <rFont val="Times New Roman"/>
        <family val="1"/>
      </rPr>
      <t>3249 Lakhs</t>
    </r>
    <r>
      <rPr>
        <sz val="11"/>
        <color theme="1"/>
        <rFont val="Times New Roman"/>
        <family val="1"/>
      </rPr>
      <t xml:space="preserve">                                                                                                                                   </t>
    </r>
    <r>
      <rPr>
        <b/>
        <sz val="11"/>
        <color theme="1"/>
        <rFont val="Times New Roman"/>
        <family val="1"/>
      </rPr>
      <t>Planning and M&amp;E</t>
    </r>
    <r>
      <rPr>
        <sz val="11"/>
        <color theme="1"/>
        <rFont val="Times New Roman"/>
        <family val="1"/>
      </rPr>
      <t xml:space="preserve">: NQAS Assessment :@0.96L for 500 SHCs = </t>
    </r>
    <r>
      <rPr>
        <b/>
        <sz val="11"/>
        <color theme="1"/>
        <rFont val="Times New Roman"/>
        <family val="1"/>
      </rPr>
      <t xml:space="preserve">480 Lakhs </t>
    </r>
  </si>
  <si>
    <r>
      <rPr>
        <b/>
        <sz val="11"/>
        <color theme="1"/>
        <rFont val="Times New Roman"/>
        <family val="1"/>
      </rPr>
      <t>Planning &amp; M &amp; E:28.65 Lakhs</t>
    </r>
    <r>
      <rPr>
        <sz val="11"/>
        <color theme="1"/>
        <rFont val="Times New Roman"/>
        <family val="1"/>
      </rPr>
      <t xml:space="preserve"> 
Review meeting and Refresher Training on Wellness activities for Medical Officers and other staff of PHCs and UPHCs - 14 batches at 1 batch per district@0.6L/batch: 8.4 L  +                                                                                                                                                                             Review meeting and Refresher Training to MLSPs from 5415 SC-HWCs on Wellness activities - 27 batches of 200 MLSPs annually @0.75L/batch: 20.25 L</t>
    </r>
  </si>
  <si>
    <r>
      <rPr>
        <sz val="11"/>
        <color rgb="FF000000"/>
        <rFont val="Times New Roman"/>
        <family val="1"/>
      </rPr>
      <t xml:space="preserve">Rs.100/MLSP*12 months*(1000 MLSPs) = </t>
    </r>
    <r>
      <rPr>
        <b/>
        <sz val="11"/>
        <color rgb="FF000000"/>
        <rFont val="Times New Roman"/>
        <family val="1"/>
      </rPr>
      <t>12 Lakhs</t>
    </r>
  </si>
  <si>
    <t xml:space="preserve">Drugs - Rs.5000.00 L - Drugs for Hemoglobinopathies 
Printing - 2 L - Printing customised book for one patient identified - proposed for 4000 books @ Rs.50/-.
Diagnostics - 15 L - 
Planning &amp; M &amp; E -  5 lakh for state level monitoring   activities
</t>
  </si>
  <si>
    <t xml:space="preserve">Drugs and supplies - 75 lakh for nutrition kit.                                                                                    Diagnostics - Rs. 2 cr for testing Kit.                                                                                              Capacity building incl. training -  1) Rs. 14250/- for district level sentization training ( Inter-departmental)  for BDO, BMO, WCD, Tribal, education for one batch for maximum 30 participants, 2) Rs. 152250/-  for Block level training for maximum 50 participants for 7 batch training.                                                                                    OOC - 75.00 L for Transfusion support to patients with blood disorders  and for prevention programs- Sickle Cell Anemia Programme                                                               IEC &amp; Printing - Rs. 1 lakh for printing of ID card                                          </t>
  </si>
  <si>
    <r>
      <rPr>
        <sz val="11"/>
        <color rgb="FF980000"/>
        <rFont val="Times New Roman"/>
        <family val="1"/>
      </rPr>
      <t xml:space="preserve">Equipments - approved  Rs.145L for new BSU and strengthening  existing blood banks/Storage Units
</t>
    </r>
    <r>
      <rPr>
        <sz val="11"/>
        <color theme="1"/>
        <rFont val="Times New Roman"/>
        <family val="1"/>
      </rPr>
      <t xml:space="preserve"> for procurement of equipment for Day care centre - Rs.38.70 L for electro therapy equipments for 3 institutions and RS.29.04 L for Deep freezer for 5 institutions, 
OOC- 17.00 L - Proposed operational expenses 12 DDCCs @ 100000, 2  MCH Hemophilia treatment center @ 100000 and 2 HTCs @ 150000. 
</t>
    </r>
  </si>
  <si>
    <t>Approved Equipments - Rs.40L for strengthening  existing blood banks/Storage Units</t>
  </si>
  <si>
    <t>IEC activities - Rs.4.80 L 
Rs.2.75 L for Blood services and Rs.2.05 L for blood disorders</t>
  </si>
  <si>
    <r>
      <rPr>
        <sz val="11"/>
        <color rgb="FFFF0000"/>
        <rFont val="Times New Roman"/>
        <family val="1"/>
      </rPr>
      <t xml:space="preserve"> </t>
    </r>
    <r>
      <rPr>
        <sz val="11"/>
        <color theme="1"/>
        <rFont val="Times New Roman"/>
        <family val="1"/>
      </rPr>
      <t xml:space="preserve">
</t>
    </r>
    <r>
      <rPr>
        <b/>
        <sz val="11"/>
        <color theme="1"/>
        <rFont val="Times New Roman"/>
        <family val="1"/>
      </rPr>
      <t>Capacity building including Training – 98.99 L</t>
    </r>
    <r>
      <rPr>
        <sz val="11"/>
        <color theme="1"/>
        <rFont val="Times New Roman"/>
        <family val="1"/>
      </rPr>
      <t xml:space="preserve">
Printing and development/ design of composite training module for  Induction training to ASHA   3 L 
10thh module  design &amp; development – 8.75 L 
4th module training to Hamlet ASHAs @Rs. 60000 *18 batches –  10.80 L + Module printing and development 3L Total Hamlet ASHA 4 Module Training  - 13.80 L
Refresher Computer training to ASHA Rs.65.44 L @ Rs. 250 per ASHA 
Training to ASHA District Coordinators s Rs. 1.00 L 
 Documentation of ASHA Programme Rs. 4 L 
Hamlet ASHA Programme documentation - 3 L                        </t>
    </r>
    <r>
      <rPr>
        <b/>
        <sz val="11"/>
        <color theme="1"/>
        <rFont val="Times New Roman"/>
        <family val="1"/>
      </rPr>
      <t>Other Operating Cost – 149.50L</t>
    </r>
    <r>
      <rPr>
        <sz val="11"/>
        <color theme="1"/>
        <rFont val="Times New Roman"/>
        <family val="1"/>
      </rPr>
      <t xml:space="preserve">
Cash Incentive to ASHA's who are willing to leave or Opt to leave @Rs. 20000 per ASHA for 50 ASHAs for Rs.10 L
ASHA Certification for two Districts (Thrissur &amp; Wayanad)  for 2421 ASHA @ Rs.139.50 L 
</t>
    </r>
    <r>
      <rPr>
        <sz val="11"/>
        <color rgb="FFFF0000"/>
        <rFont val="Times New Roman"/>
        <family val="1"/>
      </rPr>
      <t xml:space="preserve">
</t>
    </r>
    <r>
      <rPr>
        <sz val="11"/>
        <color rgb="FFFF00FF"/>
        <rFont val="Times New Roman"/>
        <family val="1"/>
      </rPr>
      <t>IEC under ASHA at State Level  : Rs.28.73 L</t>
    </r>
  </si>
  <si>
    <t xml:space="preserve"> Drugs &amp; Supplies - 261.77 L 
Proposed for ASHA drug kits @ Rs.1000/- for 26177 ASHAs 
Capacity building including Training 
4th module training to Hamlet ASHAs @Rs. 60000 *18 batches – 10.80 L 
 Refresher Computer training to ASHA Rs.65.44 L @ Rs. 250 per ASHA 
Training to ASHA District Coordinators s Rs. 1.00 L 
Documentation of ASHA Programme Rs. 3 L 
Other Operating Cost – 149.50L 
Cash Incentive to ASHA's who are willing to leave or Opt to leave @Rs. 20000 per ASHA for 50 ASHAs for Rs.10 L 
ASHA Certification for two Districts (Ernkulam&amp; Pathanamthitta ) for 2375 ASHA @ Rs.136.84 L
State level  ASHA Sammelan @ Rs. 10 L
ASHA ID Card @ Rs.26.18 L @ Rs. 100 per ASHA (2025-26)
</t>
  </si>
  <si>
    <r>
      <rPr>
        <b/>
        <sz val="11"/>
        <color theme="1"/>
        <rFont val="Times New Roman"/>
        <family val="1"/>
      </rPr>
      <t>ASHA incentives:</t>
    </r>
    <r>
      <rPr>
        <sz val="11"/>
        <color theme="1"/>
        <rFont val="Times New Roman"/>
        <family val="1"/>
      </rPr>
      <t xml:space="preserve"> 
 3 Lakh for training and review meeting. 
</t>
    </r>
    <r>
      <rPr>
        <b/>
        <sz val="11"/>
        <color theme="1"/>
        <rFont val="Times New Roman"/>
        <family val="1"/>
      </rPr>
      <t>OOC</t>
    </r>
    <r>
      <rPr>
        <sz val="11"/>
        <color theme="1"/>
        <rFont val="Times New Roman"/>
        <family val="1"/>
      </rPr>
      <t xml:space="preserve">                                                                                         Aardrakeralam puraskaram Rs. 279.52 
Social audit in Family Health Centres for 50 FHCs @ Rs. 50000 per FHC of Rs.25,00,000 
Training  for Social Audit 5Lakhs.  
Total for Social Audit – 30 L
Team training @ Rs. 1000 per LSG for 1034 LSG . Total 10.34 L
Training &amp; review meeting for TG LW – Rs. 3 L
</t>
    </r>
    <r>
      <rPr>
        <b/>
        <sz val="11"/>
        <color theme="1"/>
        <rFont val="Times New Roman"/>
        <family val="1"/>
      </rPr>
      <t xml:space="preserve">Total for Other Operating Cost – 322.86 L
</t>
    </r>
    <r>
      <rPr>
        <sz val="11"/>
        <color theme="1"/>
        <rFont val="Times New Roman"/>
        <family val="1"/>
      </rPr>
      <t xml:space="preserve">
IEC - 191.01 L - Including Radio Health programme through All India Radio, IEC's targetting naturally Occuring Melas/ Festivals, Awareness generation using Folk Media, etc. (Detailed in Annexure I)
</t>
    </r>
  </si>
  <si>
    <t xml:space="preserve">ASHA incentives: 3 Lakh for training and review meeting.                                                              OOC Aardrakeralam puraskaram Rs. .280 L                                                                                    Social audit in Family Health Centres for 50 FHCs @ Rs. 50000 per FHC of Rs.25,00,000 Training for Social Audit 5Lakhs. Total for Social Audit – 30 L Team training @ Rs. 1000 per LSG for 1034 LSG . Total 10.34 L Training &amp; review meeting for TG LW – Rs. 3 L </t>
  </si>
  <si>
    <r>
      <rPr>
        <b/>
        <sz val="11"/>
        <color rgb="FF000000"/>
        <rFont val="Times New Roman"/>
        <family val="1"/>
      </rPr>
      <t xml:space="preserve">Amount Proposed 24-25 (Rs. In lakhs): Rs. 2780 L
</t>
    </r>
    <r>
      <rPr>
        <b/>
        <i/>
        <sz val="11"/>
        <color rgb="FF000000"/>
        <rFont val="Times New Roman"/>
        <family val="1"/>
      </rPr>
      <t>•Ongoing works – Rs 1724.40 L</t>
    </r>
    <r>
      <rPr>
        <b/>
        <sz val="11"/>
        <color rgb="FF000000"/>
        <rFont val="Times New Roman"/>
        <family val="1"/>
      </rPr>
      <t xml:space="preserve">
1.        GH Adoor( TC - 1300 L) – 520 L
2.        G H Muvattupuzha( TC- 640 L) –256 L
3.        DH Nilambur( TC- 900 L) -360 L
4.        DH Aluva( TC- 473 L) -378.40 L
5.        GH </t>
    </r>
    <r>
      <rPr>
        <b/>
        <i/>
        <sz val="11"/>
        <color rgb="FF000000"/>
        <rFont val="Times New Roman"/>
        <family val="1"/>
      </rPr>
      <t xml:space="preserve">Irinjalakkuda( TC- 300 L) – 210 L
</t>
    </r>
    <r>
      <rPr>
        <b/>
        <sz val="11"/>
        <color rgb="FF000000"/>
        <rFont val="Times New Roman"/>
        <family val="1"/>
      </rPr>
      <t>•         New Works – Rs. 567 L
1. GH Alapuzha(TC-92.63 L)-28 L
2. GHKanjirapally(TC-616 L) -187 L
3. DH Wadakancheri (TC-70 L)-40.8 L
4. DH Nilambur(TC-89.64 L)- 27.2L
5. DH Perinathalmanna(TC-209.9 L)- 63.74 L
6. DH Manthavady (TC-34.71 L)-20 L
7. TATA Hospital Kasargod (TC-405 L)-200L</t>
    </r>
  </si>
  <si>
    <r>
      <rPr>
        <b/>
        <sz val="12"/>
        <color theme="1"/>
        <rFont val="Times New Roman"/>
        <family val="1"/>
      </rPr>
      <t>Amount proposed 25-26 (Rs. In lakhs) : Rs.861L</t>
    </r>
    <r>
      <rPr>
        <sz val="12"/>
        <color theme="1"/>
        <rFont val="Times New Roman"/>
        <family val="1"/>
      </rPr>
      <t xml:space="preserve">
</t>
    </r>
    <r>
      <rPr>
        <b/>
        <i/>
        <sz val="12"/>
        <color theme="1"/>
        <rFont val="Times New Roman"/>
        <family val="1"/>
      </rPr>
      <t>•Ongoing works – Rs.861 L</t>
    </r>
    <r>
      <rPr>
        <sz val="12"/>
        <color theme="1"/>
        <rFont val="Times New Roman"/>
        <family val="1"/>
      </rPr>
      <t xml:space="preserve">
1. GH Alapuzha(TC-92.63 L)-56 L
2. GHKanjirapally(TC-616 L) -374 L
3. DH Wadakancheri (TC-70 L)-29 L
4. DH Nilambur(TC-89.64 L)- 54 L
5. DH Perinathalmanna(TC-209.9 L)- 127 L
6. DH Manthavady (TC-34.71 L)-15 L
7. TATA Hospital Kasargod (TC-405 L)-205L
</t>
    </r>
  </si>
  <si>
    <r>
      <rPr>
        <sz val="11"/>
        <color rgb="FF000000"/>
        <rFont val="Times New Roman"/>
        <family val="1"/>
      </rPr>
      <t xml:space="preserve">Amount proposed in 24-25 (Rs. In lakhs): Rs 822 L
•        </t>
    </r>
    <r>
      <rPr>
        <b/>
        <sz val="11"/>
        <color rgb="FF000000"/>
        <rFont val="Times New Roman"/>
        <family val="1"/>
      </rPr>
      <t xml:space="preserve"> Ongoing works – Rs 740 L</t>
    </r>
    <r>
      <rPr>
        <sz val="11"/>
        <color rgb="FF000000"/>
        <rFont val="Times New Roman"/>
        <family val="1"/>
      </rPr>
      <t xml:space="preserve">
TH Santhivila (TC -800L) – 320 L
THQH Sasthamkotta (TC -600 L) – 420 L
•         </t>
    </r>
    <r>
      <rPr>
        <b/>
        <sz val="11"/>
        <color rgb="FF000000"/>
        <rFont val="Times New Roman"/>
        <family val="1"/>
      </rPr>
      <t>New works – Rs 42.2 L</t>
    </r>
    <r>
      <rPr>
        <sz val="11"/>
        <color rgb="FF000000"/>
        <rFont val="Times New Roman"/>
        <family val="1"/>
      </rPr>
      <t xml:space="preserve">
1. THQH Pazhyangadi(TC-211L)- 42.2 L</t>
    </r>
  </si>
  <si>
    <r>
      <rPr>
        <b/>
        <sz val="13"/>
        <color theme="1"/>
        <rFont val="Times New Roman"/>
        <family val="1"/>
      </rPr>
      <t>Amount proposed 25-26 (Rs. In lakhs): Rs.392.73 L</t>
    </r>
    <r>
      <rPr>
        <sz val="13"/>
        <color theme="1"/>
        <rFont val="Times New Roman"/>
        <family val="1"/>
      </rPr>
      <t xml:space="preserve">
</t>
    </r>
    <r>
      <rPr>
        <b/>
        <i/>
        <sz val="13"/>
        <color theme="1"/>
        <rFont val="Times New Roman"/>
        <family val="1"/>
      </rPr>
      <t>•Ongoing works – 84.4 L</t>
    </r>
    <r>
      <rPr>
        <sz val="13"/>
        <color theme="1"/>
        <rFont val="Times New Roman"/>
        <family val="1"/>
      </rPr>
      <t xml:space="preserve">
1. THQH Pazhyangadi(TC-211L)- 84.4 L</t>
    </r>
    <r>
      <rPr>
        <b/>
        <i/>
        <sz val="13"/>
        <color theme="1"/>
        <rFont val="Times New Roman"/>
        <family val="1"/>
      </rPr>
      <t xml:space="preserve">      
 New works – Rs 228.33 L</t>
    </r>
    <r>
      <rPr>
        <sz val="13"/>
        <color theme="1"/>
        <rFont val="Times New Roman"/>
        <family val="1"/>
      </rPr>
      <t xml:space="preserve">
1. THQH Chalakudy (TC-289.8 L)- 87.93 L
2. THQH Thaliparamba(TC-462.7 L)-140.4 L</t>
    </r>
  </si>
  <si>
    <r>
      <rPr>
        <b/>
        <sz val="11"/>
        <color rgb="FF000000"/>
        <rFont val="Times New Roman"/>
        <family val="1"/>
      </rPr>
      <t>Amount Proposed 24-25 (Rs. In lakhs): Rs 851.80 L</t>
    </r>
    <r>
      <rPr>
        <sz val="11"/>
        <color rgb="FF000000"/>
        <rFont val="Times New Roman"/>
        <family val="1"/>
      </rPr>
      <t xml:space="preserve">
</t>
    </r>
    <r>
      <rPr>
        <b/>
        <i/>
        <sz val="11"/>
        <color rgb="FF000000"/>
        <rFont val="Times New Roman"/>
        <family val="1"/>
      </rPr>
      <t>·         Ongoing works – Rs 737.80 L</t>
    </r>
    <r>
      <rPr>
        <sz val="11"/>
        <color rgb="FF000000"/>
        <rFont val="Times New Roman"/>
        <family val="1"/>
      </rPr>
      <t xml:space="preserve">
1.        CHC Vallana (TC -200) – 140 L 
2.        CHC Porunnanore (TC -380) –266 L
3.        CHC Manjeswa</t>
    </r>
    <r>
      <rPr>
        <b/>
        <i/>
        <sz val="11"/>
        <color rgb="FF000000"/>
        <rFont val="Times New Roman"/>
        <family val="1"/>
      </rPr>
      <t xml:space="preserve">r (TC -474) –331.80
·        </t>
    </r>
    <r>
      <rPr>
        <sz val="11"/>
        <color rgb="FF000000"/>
        <rFont val="Times New Roman"/>
        <family val="1"/>
      </rPr>
      <t xml:space="preserve"> </t>
    </r>
    <r>
      <rPr>
        <b/>
        <sz val="11"/>
        <color rgb="FF000000"/>
        <rFont val="Times New Roman"/>
        <family val="1"/>
      </rPr>
      <t>New works – Rs 64 L</t>
    </r>
    <r>
      <rPr>
        <sz val="11"/>
        <color rgb="FF000000"/>
        <rFont val="Times New Roman"/>
        <family val="1"/>
      </rPr>
      <t xml:space="preserve">
1.CHC Kulathupuzha(TC-211L)-64 L
</t>
    </r>
  </si>
  <si>
    <r>
      <rPr>
        <b/>
        <sz val="11"/>
        <color theme="1"/>
        <rFont val="Times New Roman"/>
        <family val="1"/>
      </rPr>
      <t>Amount proposed 25-26 (Rs. In lakhs): Rs 128 L</t>
    </r>
    <r>
      <rPr>
        <sz val="11"/>
        <color theme="1"/>
        <rFont val="Times New Roman"/>
        <family val="1"/>
      </rPr>
      <t xml:space="preserve">
•         Ongoing works – Rs.128 L
1. CHC Kulathupuzha(TC-211L)-128 L
•         New Works – 0.00</t>
    </r>
  </si>
  <si>
    <r>
      <rPr>
        <b/>
        <sz val="11"/>
        <color rgb="FF000000"/>
        <rFont val="Times New Roman"/>
        <family val="1"/>
      </rPr>
      <t>Amount Proposed 24-25 (Rs. In lakhs): Rs.1502.80 L</t>
    </r>
    <r>
      <rPr>
        <sz val="11"/>
        <color rgb="FF000000"/>
        <rFont val="Times New Roman"/>
        <family val="1"/>
      </rPr>
      <t xml:space="preserve">
</t>
    </r>
    <r>
      <rPr>
        <b/>
        <i/>
        <sz val="11"/>
        <color rgb="FF000000"/>
        <rFont val="Times New Roman"/>
        <family val="1"/>
      </rPr>
      <t>•Ongoing works –Rs1401.40 L</t>
    </r>
    <r>
      <rPr>
        <sz val="11"/>
        <color rgb="FF000000"/>
        <rFont val="Times New Roman"/>
        <family val="1"/>
      </rPr>
      <t xml:space="preserve">
14 Nos. of Day care PHC( TC  @ Rs. 143 L) -PHC Aaryankavu,PHCKadammanitta,PHCPallickal,FHCOthera,FHCKarunapuram,FHCKokayyar,FHCKunissery,FHCKumaranellor, PHC Kottappuaram, FHC Perumannaklari, FHC Alipparamba, PHC Chuloor, FHC Ayanchery, PHC Pakkom– Rs.1401.40 L
</t>
    </r>
    <r>
      <rPr>
        <b/>
        <i/>
        <sz val="11"/>
        <color rgb="FF000000"/>
        <rFont val="Times New Roman"/>
        <family val="1"/>
      </rPr>
      <t>•New works – Rs 97.4 L</t>
    </r>
    <r>
      <rPr>
        <sz val="11"/>
        <color rgb="FF000000"/>
        <rFont val="Times New Roman"/>
        <family val="1"/>
      </rPr>
      <t xml:space="preserve">
1. PHC Edamalakudi (TC-169.67 L)-51.4 L
2. PHC Manakadu(TC-46 L)-46 L
</t>
    </r>
  </si>
  <si>
    <r>
      <rPr>
        <b/>
        <sz val="11"/>
        <color theme="1"/>
        <rFont val="Times New Roman"/>
        <family val="1"/>
      </rPr>
      <t>Amount proposed 25-26 (Rs. In lakhs): Rs. 102.8L</t>
    </r>
    <r>
      <rPr>
        <sz val="11"/>
        <color theme="1"/>
        <rFont val="Times New Roman"/>
        <family val="1"/>
      </rPr>
      <t xml:space="preserve">
•</t>
    </r>
    <r>
      <rPr>
        <b/>
        <i/>
        <sz val="11"/>
        <color theme="1"/>
        <rFont val="Times New Roman"/>
        <family val="1"/>
      </rPr>
      <t>Ongoing works – Rs.102.8 L</t>
    </r>
    <r>
      <rPr>
        <sz val="11"/>
        <color theme="1"/>
        <rFont val="Times New Roman"/>
        <family val="1"/>
      </rPr>
      <t xml:space="preserve">
PHC Edamalakudi (TC-169.67 L)-102.8 L.
</t>
    </r>
    <r>
      <rPr>
        <b/>
        <i/>
        <sz val="11"/>
        <color theme="1"/>
        <rFont val="Times New Roman"/>
        <family val="1"/>
      </rPr>
      <t>•New works – 0.00</t>
    </r>
    <r>
      <rPr>
        <sz val="11"/>
        <color theme="1"/>
        <rFont val="Times New Roman"/>
        <family val="1"/>
      </rPr>
      <t xml:space="preserve">
</t>
    </r>
  </si>
  <si>
    <r>
      <rPr>
        <sz val="11"/>
        <color rgb="FF980000"/>
        <rFont val="Times New Roman"/>
        <family val="1"/>
      </rPr>
      <t xml:space="preserve">Equipment -  approved for ,Total Rs.462.41 Lakhsfor Selected Hospitals as per IPHS Standards 
</t>
    </r>
    <r>
      <rPr>
        <b/>
        <sz val="11"/>
        <color rgb="FF000000"/>
        <rFont val="Times New Roman"/>
        <family val="1"/>
      </rPr>
      <t>Amount Proposed 24-25 for infrastructure(Rs. In lakhs) : Rs. 407 L</t>
    </r>
    <r>
      <rPr>
        <sz val="11"/>
        <color rgb="FF000000"/>
        <rFont val="Times New Roman"/>
        <family val="1"/>
      </rPr>
      <t xml:space="preserve">
•</t>
    </r>
    <r>
      <rPr>
        <b/>
        <i/>
        <sz val="11"/>
        <color rgb="FF000000"/>
        <rFont val="Times New Roman"/>
        <family val="1"/>
      </rPr>
      <t>Ongoing works – Rs 147 L</t>
    </r>
    <r>
      <rPr>
        <sz val="11"/>
        <color rgb="FF000000"/>
        <rFont val="Times New Roman"/>
        <family val="1"/>
      </rPr>
      <t xml:space="preserve">
1.        District Vaccine Store Alappuzha  (TC – 210 L) – 1</t>
    </r>
    <r>
      <rPr>
        <b/>
        <i/>
        <sz val="11"/>
        <color rgb="FF000000"/>
        <rFont val="Times New Roman"/>
        <family val="1"/>
      </rPr>
      <t>47 L
   .    New works – R</t>
    </r>
    <r>
      <rPr>
        <b/>
        <sz val="11"/>
        <color rgb="FF000000"/>
        <rFont val="Times New Roman"/>
        <family val="1"/>
      </rPr>
      <t>s.200 L</t>
    </r>
    <r>
      <rPr>
        <sz val="11"/>
        <color rgb="FF000000"/>
        <rFont val="Times New Roman"/>
        <family val="1"/>
      </rPr>
      <t xml:space="preserve">
1.Ware House at Kollam (TC – 470.37 L)- 100 L
2.Ware House at Kozhikkode (TC–470.37 L)-100 L
</t>
    </r>
  </si>
  <si>
    <r>
      <rPr>
        <sz val="11"/>
        <color rgb="FF980000"/>
        <rFont val="Times New Roman"/>
        <family val="1"/>
      </rPr>
      <t xml:space="preserve">Equipment approved for  Total Rs.503.58 Lakhs for Selected Hospitals as per IPHS Standards </t>
    </r>
    <r>
      <rPr>
        <sz val="11"/>
        <color theme="1"/>
        <rFont val="Times New Roman"/>
        <family val="1"/>
      </rPr>
      <t xml:space="preserve">
</t>
    </r>
    <r>
      <rPr>
        <b/>
        <sz val="13"/>
        <color theme="1"/>
        <rFont val="Times New Roman"/>
        <family val="1"/>
      </rPr>
      <t>Amount proposed 25-26 for infrastructure(Rs. In lakhs) : Rs.496 L</t>
    </r>
    <r>
      <rPr>
        <sz val="13"/>
        <color theme="1"/>
        <rFont val="Times New Roman"/>
        <family val="1"/>
      </rPr>
      <t xml:space="preserve">
•</t>
    </r>
    <r>
      <rPr>
        <b/>
        <i/>
        <sz val="13"/>
        <color theme="1"/>
        <rFont val="Times New Roman"/>
        <family val="1"/>
      </rPr>
      <t>Ongoing works – Rs. 426 L</t>
    </r>
    <r>
      <rPr>
        <sz val="13"/>
        <color theme="1"/>
        <rFont val="Times New Roman"/>
        <family val="1"/>
      </rPr>
      <t xml:space="preserve">
1.Ware House at Kollam (TC – 470.37 L)- 213 L
2.Ware House at Kozhikkode (TC–470.37 L)-213 L</t>
    </r>
    <r>
      <rPr>
        <b/>
        <i/>
        <sz val="13"/>
        <color theme="1"/>
        <rFont val="Times New Roman"/>
        <family val="1"/>
      </rPr>
      <t xml:space="preserve">
•         New works</t>
    </r>
    <r>
      <rPr>
        <sz val="13"/>
        <color theme="1"/>
        <rFont val="Times New Roman"/>
        <family val="1"/>
      </rPr>
      <t xml:space="preserve"> –Rs. 70 L
1.FW Store Wayanad (TC -236L)-70 L
</t>
    </r>
  </si>
  <si>
    <t>1.DH - 8 Nos(TC- 2168L) - Rs 542 L.
 2.TH - 4 Nos(TC- 807L) - Rs 202 L</t>
  </si>
  <si>
    <t>1.DH - 8 Nos(TC- 2168L) - Rs 760 L.
2.TH - 4 Nos(TC- 807L) - Rs 283 L</t>
  </si>
  <si>
    <t xml:space="preserve">GOI has revised the permissible unit cost of BLS ambulance to Rs.1.92 lakhs, budgeted for 315 BLS </t>
  </si>
  <si>
    <t>Rs.154 L - 39 seats at Call centre Rs.3.96 L per seat (This includes ECD call centre also)</t>
  </si>
  <si>
    <t xml:space="preserve">Amount approved for State  Level Trainings
Capacity Building – Rs.27.53 L                                                                                                       
1.Rs. 3.28 L  for Two Days NQAS State Level Two Batch Internal Assessor  Training  Rs.1.64 L each for one training .
2. Rs.22.75 L proposed for Three days NQAS Service Provider Training  for 7 Regional Districts {3.25 each*7 Districts} 
3. Rs.1.50 L Two days  Kayakalp External Assessors Training Master Training on Swachh Bharat Abhiyan.
Others including operating costs(OOC)
Rs.1236.61 L is approved for State Level Activities                                          
  1. Rs.6 L   is allotted for State mentoring Visit for the targeted institutions in the districts.                                                                                                
2. Rs.446.01 Lakhs is allotted for State - (Rs. 825.13 L allotted for Quality Assurance Certification ,Recertification( National, State and Surveillance)  for State from that Rs.379.12 Lakhs (Rs.27.08 Lakhs x 14 districts)  allotted to districts for conducting National/State Assessments of NQAS/MusQan.
National Assessment- NQAS  Rs.490.5L                                                                                                                                     
 DH/SDH - (2.10L*30 hosp)- 63L                                                                                                                                   
 CHC (1.46 *15 hosp) - 21.90L                                                                                                                                            
 PHC (1.20 *210 hosp)- 252L                                                                                                                                           
HWC(0.96 *160 hosp) - 153.6L                                                                                                                                  
MusQan   National Assessment Rs.23.80L  (  1.19 L*20 hosp)                                                                                                                                      
 DH/SDH -3 Departments- (Paediatric OPD,Paediatric Ward,SNCU/NBSU)                                                                                                                                       
State  Assessment including Surveillance - NQAS    - Rs.301.83L                                                                                                                            
 DH/SDH-Rs 0.895L * 35 hosp=31.32L                                                                                                        
CHC –Rs 0.63L*48 hosp = 30.24L                                                                                                              
  PHC – Rs0.43L*409 hosp =175.87L                                                                                                            
 HWC-Rs0 .28L* 230 hosp - 64.40L                                                                                                                     
 MusQan State Assessment Rs.9 L (Rs.0.30L*30 hospitals)                                                                                                                                      
DH/SDH -3 Departments- (Paediatric OPD,Paediatric Ward,SNCU/NBSU).
3.Incentivization for Quality for Quality Accredited Institutions  - Rs.784.6L
 NQAS Incentives - 669.60L  
(DH/SDH/CHC - 10000/- per bed,PHC-2L,UPHC - 2L,HWC - 18000*7 Packages= 1.26L)  
Current status of NQAS Accredited Institutions  (DH -5,SDH – 4,CHC – 9,PHC -109,UPHC – 39,HWC – 50)                                                                                             
LaQshya Incentives - 70L    
(MCH - 6L,DH-3L,SDH-2L for each department) (LaQshya Incentivization -DH 7,MCH – 2,TH-1)
MusQan Incentives - 45L    
(ieRs.9L* 5 hospitals)     Rs3L for each department for   (Paediatric OPD,Paediatric Ward, SNCU / NBSU)    
Planning &amp; M&amp;E
State Level Activities  - amount approved for
 Rs.1.20 L SQAC Operational Cost - Rs.72,000/-                                                                      
Quality Review Meeting at State - Rs48000/-(Rs.12,000/-*4 meetings)                                             
</t>
  </si>
  <si>
    <t>Amount approved for State Level Trainings Capacity Building – Rs.27.53 L
 1.Rs. 3.28 L for Two Days NQAS State Level Two Batch Internal Assessor Training Rs.1.64 L each for one training . 
2. Rs.22.75 L proposed for Three days NQAS Service Provider Training for 7 Regional Districts {3.25 each*7 Districts} 
3. Rs.1.50 L Two days Kayakalp External Assessors Training Master Training on Swachh Bharat Abhiyan. 
Others including operating costs(OOC) Rs.1236.61 L is approved for State Level Activities 
1. Rs.6 L is allotted for State mentoring Visit for the targeted institutions in the districts. 
2. Rs.446.01 Lakhs is allotted for State - (Rs. 825.13 L allotted for Quality Assurance Certification ,Recertification( National, State and Surveillance) for State from that Rs.379.12 Lakhs (Rs.27.08 Lakhs x 14 districts) allotted to districts for conducting National/State Assessments of NQAS/MusQan. National Assessment- NQAS Rs.490.5L DH/SDH - (2.10L*30 hosp)- 63L CHC (1.46 *15 hosp) - 21.90L PHC (1.20 *210 hosp)- 252L HWC(0.96 *160 hosp) - 153.6L MusQan National Assessment Rs.23.80L ( 1.19 L*20 hosp) DH/SDH -3 Departments- (Paediatric OPD,Paediatric Ward,SNCU/NBSU) State Assessment including Surveillance - NQAS - Rs.301.83L DH/SDH-Rs 0.895L * 35 hosp=31.32L CHC –Rs 0.63L*48 hosp = 30.24L PHC – Rs0.43L*409 hosp =175.87L HWC-Rs0 .28L* 230 hosp - 64.40L MusQan State Assessment Rs.9 L (Rs.0.30L*30 hospitals) DH/SDH -3 Departments- (Paediatric OPD,Paediatric Ward,SNCU/NBSU). 
3.Incentivization for Quality for Quality Accredited Institutions - Rs.784.6L NQAS Incentives - 669.60L (DH/SDH/CHC - 10000/- per bed,PHC-2L,UPHC - 2L,HWC - 18000*7 Packages= 1.26L) Current status of NQAS Accredited Institutions (DH -5,SDH – 4,CHC – 9,PHC -109,UPHC – 39,HWC – 50) LaQshya Incentives - 70L (MCH - 6L,DH-3L,SDH-2L for each department) (LaQshya Incentivization -DH 7,MCH – 2,TH-1) MusQan Incentives - 45L (ieRs.9L* 5 hospitals) Rs3L for each department for (Paediatric OPD,Paediatric Ward, SNCU / NBSU) 
4.Rs.609.1L    7 colour  Bedsheets Total number of Sanctioned Beds in DH,W&amp;C &amp; TH Hospitals is 22523 Sets – (ie Rs386.3*15,7,661 no of sheets)    
Planning &amp; M&amp;E State Level Activities - amount approved for Rs.1.20 L SQAC Operational Cost - Rs.72,000/- Quality Review Meeting at State - Rs48000/-(Rs.12,000/-*4 meetings)</t>
  </si>
  <si>
    <t xml:space="preserve">State
others including operating costs (OOC)  
Rs.1263.40L approved for State Level Activities under   
1. Total 72.50L is approved for Kayakalp State External Assessment –
Rs.61L*30DH = Rs.18.3L
Rs.35L*100SDH = Rs.35L
Rs.8L*140 PHC=Rs.11.20L
Rs.8L*100 HWC=Rs.8L
 2.Total 312.90L for Kayakalp Award Award Money for 
Best DH Rs.50L
Runner Up DH Hospital Rs.20L
Commendation Award DH Rs.3Lx25DH=75L
Award Money for Best SDH Rs.15L
Runner Up SDH Rs.10L
Commendation Award SDH Rs.1Lx 50SDH=50L
Award For Best PHC for each District Rs.2Lx14Dist=28L                                                                   
Commendation Award for PHC  Rs.0.50 x 28PHC=14L                                                         
 Best HWC 1L *14 = 14L
1st Runner Up HWC Rs.0.50L*14 Dist=7L                                                                  
2nd Runner UP HWC Rs.0.35*14Dist = 4.90L                                                               Commendation HWC Rs.0.25L*40HWC = 10L                                                             
Best Eco friendly DH = 10L                                                                          
Best Eco friendly SDH/CHC = 5L
3. Liquid Waste Treatment System -Rs.858L   
2DHx198L=396L
2THx132L=264L
1W&amp;Cx198L=198L
4.Contingencies –Rs.20L
</t>
  </si>
  <si>
    <t xml:space="preserve">State
others including operating costs (OOC)  
Rs.1263.40L approved for State Level Activities under   
1. Total 72.50L is approved for Kayakalp State External Assessment –
Rs.61L*30DH = Rs.18.3L
Rs.35L*100SDH = Rs.35L
Rs.8L*140 PHC=Rs.11.20L
Rs.8L*100 HWC=Rs.8L
 2.Total 312.90L for Kayakalp Award Award Money for 
Best DH Rs.50L
Runner Up DH Hospital Rs.20L
Commendation Award DH Rs.3Lx25DH=75L
Award Money for Best SDH Rs.15L
Runner Up SDH Rs.10L
Commendation Award SDH Rs.1Lx 50SDH=50L
Award For Best PHC for each District Rs.2Lx14Dist=28L                                                                   
Commendation Award for PHC  Rs.0.50 x 28PHC=14L                                                         
 Best HWC 1L *14 = 14L
1st Runner Up HWC Rs.0.50L*14 Dist=7L                                                                  
2nd Runner UP HWC Rs.0.35*14Dist = 4.90L                                                               Commendation HWC Rs.0.25L*40HWC = 10L                                                             
Best Eco friendly DH = 10L                                                                          
Best Eco friendly SDH/CHC = 5L
3. Liquid Waste Treatment System -Rs.858L   
2DHx198L=396L
2THx132L=264L
1W&amp;Cx198L=198L
4.Contingencies –Rs.20L
</t>
  </si>
  <si>
    <t xml:space="preserve">State Level Activities     
Swacch Swasth Sarvatra (SSS) – Rs.2 L is approved  for trainings related to  water sanitation and Hygiene (WASH) Training for infection control, Sanitation and Hygiene, Waste Management System. Training related to safe water , water testing, sanitation and hygiene of water source ,waste management  system etc in the hospital. Team member from the institution should be included for QA activities and training.
</t>
  </si>
  <si>
    <t xml:space="preserve">Rs 23 Crores proposed for ERIG and ARV procurement under NRCP under for free Drugs Services Initiative
Proposing Rs 65 L for Anti Snake Venom (Freeze Dried) Polyvalent INJ 10ml Vial 
Free drugs -210.05 cr, 12.60 cr mental health drugs, 3.70 cr for ncd drugs
Additional liability of Rs.347.44 crores will be met from state budget. </t>
  </si>
  <si>
    <t xml:space="preserve">Rs 23 Crores proposed for ERIG and ARV procurement under NRCP under for free Drugs Services Initiative
Proposing Rs 65 L for Anti Snake Venom (Freeze Dried) Polyvalent INJ 10ml Vial </t>
  </si>
  <si>
    <t>OOC - 393.12 L
Rs.309.12 L for operational cost of 38 MMUs under NHM and Rs.84 L for continuation of 14 MMUs under NUHM</t>
  </si>
  <si>
    <t xml:space="preserve">
1) LMS : Development cost for setting up additional course and LMS monitoring platform customization   
(2 Lakhs &amp; 12 Lakhs =14 lakhs).
2) OOC
a)Rs. 15 L for ASHA Software
b)Rs.32.34 lakhs , Project proposal for Palliative Grid Home Care System          
d)Rs.8.85 L for DDFS software AMC
f)Rs.6.1 L for procurement of bulk SMS
i)Rs.7.50 L for mathrudwani mobile app and voice messages
Budget shifted from S. No.198 for Research on Healthcare needs of Transgender Individuals undergoing Gender Affirming Surgery in Kerala. Rs 3.5 L for FY 2024-2025
</t>
  </si>
  <si>
    <t>1) LMS: Development cost for setting up additional course and LMS monitoring platform customization   (5 Lakhs &amp; 12 Lakhs =17 lakhs)   
2) OOC
a) Rs. 8 L for ASHA Software 
b) Rs.8.85 L for DDFS software AMC                     
d) Rs.6.1 L for procurement of bulk SMS</t>
  </si>
  <si>
    <t>BMEMP program - approved for Rs.2700 Lakh</t>
  </si>
  <si>
    <t>BMEMP program - approved for Rs.2970 Lakh</t>
  </si>
  <si>
    <r>
      <rPr>
        <sz val="11"/>
        <color theme="1"/>
        <rFont val="Times New Roman"/>
        <family val="1"/>
      </rPr>
      <t xml:space="preserve">OOC - 450.12 L
Rs.119.80 L for addl allowance to Medical Officers
Rs.4.71 L for incentives to provider for PPIUCD services 
0.61 L for incentives to provider for PAIUCD services
Rs.325 L for health insurance for NHM staff
</t>
    </r>
    <r>
      <rPr>
        <b/>
        <sz val="11"/>
        <color rgb="FF0000FF"/>
        <rFont val="Times New Roman"/>
        <family val="1"/>
      </rPr>
      <t>Incentive under NVHCP  2024-25- Rs: 56.3263 L</t>
    </r>
    <r>
      <rPr>
        <sz val="11"/>
        <color theme="1"/>
        <rFont val="Times New Roman"/>
        <family val="1"/>
      </rPr>
      <t xml:space="preserve">
 a)Incentives for Medical Officers – 
Rs 13,53,000/- for Rx of 2706 HBV patients @ Rs 500 per patient
Rs 1,29,200 for Rx of 646 HCV patients @ Rs 200 per patient
b)Incentives for Lab Technicians
Rs 14,31,685/- for HBV Screening, confirmatory and follow up testing  of 286337 persons @ Rs 5/person
Rs 25,91,125/- for HCV Screening, confirmatory and follow up testing of 518225 persons @ Rs 5/person
c)Incentives for Pharmacists
Rs 1,08,240/- for dispensation and counseling to 2706 HBV patients @ Rs 40 per patient
Rs 19,380/- for dispensation and counseling to 646 HCV patients @ Rs 30 per patient
</t>
    </r>
    <r>
      <rPr>
        <b/>
        <sz val="11"/>
        <color rgb="FF0000FF"/>
        <rFont val="Times New Roman"/>
        <family val="1"/>
      </rPr>
      <t>Incentive under NVHCP  2025-26- Rs: 56.3263 L</t>
    </r>
    <r>
      <rPr>
        <sz val="11"/>
        <color theme="1"/>
        <rFont val="Times New Roman"/>
        <family val="1"/>
      </rPr>
      <t xml:space="preserve">
 a)Incentives for Medical Officers – 
Rs 13,53,000/- for Rx of 2706 HBV patients @ Rs 500 per patient
Rs 1,29,200 for Rx of 646 HCV patients @ Rs 200 per patient
b)Incentives for Lab Technicians
Rs 14,31,685/- for HBV Screening, confirmatory and follow up testing  of 286337 persons @ Rs 5/person
Rs 25,91,125/- for HCV Screening, confirmatory and follow up testing of 518225 persons @ Rs 5/person
c)Incentives for Pharmacists
Rs 1,08,240/- for dispensation and counseling to 2706 HBV patients @ Rs 40 per patient
Rs 19,380/- for dispensation and counseling to 646 HCV patients @ Rs 30 per patient</t>
    </r>
  </si>
  <si>
    <t>IEC - Rs.16.5 L
IPC tool for frontline health workers</t>
  </si>
  <si>
    <t xml:space="preserve">1) Training Centres- Infrastructure: Rs 306.00 lakhs - New Works. 
Rs.155 lakhs for TC at Alappuzha with release of 31 lakhs 
Rs. 333 lakhs for TC at Malappuram with release of 66.6 lakhs
Rs. 179 lakhs for TC at Wayanad with release of 36 lakhs 
Rs.197 lakhs for TC at Kannur with release of 39.4 lakhs 
2) Ongoing works at Chevayur for Rs. 133 lakhs  </t>
  </si>
  <si>
    <t>Training Centres-Infrastructure: Rs 345.60 lakhs - Ongoing Works
Rs.62 lakhs for TC at Alappuzha
Rs. 133.2 lakhs for TC at Malappuram
Rs.71.6 lakhs for TC at Wayanad 
Rs.78.8 lakhs for TC at Kannur</t>
  </si>
  <si>
    <t>SHSRC operational cost and research cost</t>
  </si>
  <si>
    <t>IEC-3 L-Development of State Communication strategy 
Rs.25 lks training
Planning and M&amp;E-PMU Trainings, DAP, Audit fees, mobility support, other overhead expenses
6 training cum review meeting for Monitoring &amp; Evaluation @unit cost of 50000/- ie, 3 Lakh at State Level
 Training for data handling at state level @unit cost of 20000/- for excel VBA, Access-SQL for 40 participants under Monitoring &amp; Evaluation  ie, 8  Lakh at State Level
6 training cum review meeting for each district for Monitoring &amp; Evaluation @unit cost of 20000/- ie, 16.8 Lakh for all districts (14 district)
State level review meeting on national programmes based on key deliverables @unit cost 50000/- per quarter ie, 2 Lakh for state- Under Monitoring &amp; Evaluation
District level review meeting on national programmes based on key deliverables @unit cost 20000/- per quarter ie, Rs 80000/- for each district ie, total 11.2 Lakh for 14 district- Under Monitoring &amp; Evaluation
State review mission on alternate months (6 district) @unit cost 4 Lakh for each district ie, Rs/- 24 Lakh - Under Monitoring &amp; Evaluation
District  review mission  on alternate months at district level @unit cost 20000/- bimonthly for each district ie, 1.2 Lakh for each district ie, 16.8  Lakh for 14 district - Under Monitoring &amp; Evaluation</t>
  </si>
  <si>
    <t xml:space="preserve">6 training cum review meeting for Monitoring &amp; Evaluation @unit cost of 50000/- ie, 3 Lakh at State Level
 Training for data handling at state level @unit cost of 20000/- for excel VBA, Access-SQL for 40 participants under Monitoring &amp; Evaluation  ie, 8  Lakh at State Level
6 training cum review meeting for each district for Monitoring &amp; Evaluation @unit cost of 20000/- ie, 16.8 Lakh for all districts (14 district)
State level review meeting on national programmes based on key deliverables @unit cost 50000/- per quarter ie, 2 Lakh for state- Under Monitoring &amp; Evaluation
District level review meeting on national programmes based on key deliverables @unit cost 20000/- per quarter ie, Rs 80000/- for each district ie, total 11.2 Lakh for 14 district- Under Monitoring &amp; Evaluation
State review mission on alternate months (6 district) @unit cost 4 Lakh for each district ie, Rs/- 24 Lakh - Under Monitoring &amp; Evaluation
District  review mission  on alternate months at district level @unit cost 20000/- bimonthly for each district ie, 1.2 Lakh for each district ie, 16.8  Lakh for 14 district - Under Monitoring &amp; Evaluation
</t>
  </si>
  <si>
    <t xml:space="preserve">U.17.1 Telemedicine/ teleconsultation facility at Ayushman Bharat H&amp;WC 19.3L For the Implementation of eHealth Project(Total digitisation of UPHCs) :
2  Training  for HMIS/RCH @unit cost 2 Lakhs for District Statisticians &amp; JC MIS,MCH,DPHN, State officials
2 Mid term review for HMIS/RCH @unit cost 50000/- for ,District statisticians &amp; JC MIS ,MCH,DPHN,Block representatives,State officials
Meeting for private facility officials @unit cost 50000 /-
Rs. 1 lakh is proposed for printing HMIS factsheet which should be printed quarterly (4 Quarters) at the cost of Rs. 250/-. </t>
  </si>
  <si>
    <t>FY 24-25
Capacity Buidling 
 Proposing for Training - for Specialist doctors, MOs, Staff Nurse, MLSP, Palliative care staffs, ASHA workers, RBSK Nurses, UPHC Staffs, JPHN, JHI, Medical College. Training Expenses per batch (participants - 50,Full day) - Rs. 1,30,000/- per batch.For 3 batches -Rs. 3,90,000/- Content Amount (Rs.1,30,000/-) (Stationery (Rs. 150*50-7500/-), Food (Rs. 450*50-Rs. 22,500), Travel Expenses (TA/DA for participants- Rs. 2000*50- Rs. 1,00,000) 
OOC
1)        Remuneration for Doctors
Speciality doctor 21, number of calls 30 @ Rs.100/- 313 days 
MBBS doctor- 35, number of calls 38 @ Rs.50/- 313 days 
2)        Establishment of Telemedicine units. 
Total 1 units.proposed @ Rs.70000/- for 2024-25
Planning &amp; M&amp;E Rs.2 lakhs 
State review meeting Rs.1,30,000/- 
Stationery – 50*50= 7500
Food -50*450= 4,200=22500 
Travel Expenses (TA/DA for participants)= 50*2000=1,00,000 
Total expenses for one batch 1,30,000/-
FY 24-25
OOC
1)        Remuneration for Doctors
Speciality doctor 21, number of calls 30 @ Rs.100/- 313 days 
MBBS doctor- 35, number of calls 38 @ Rs.50/- 313 days 
2)        Establishment of Telemedicine units. 
Total 6 units.proposed @ Rs.70000/- for 2024-25
Planning &amp; M&amp;E Rs.2 lakhs 
1. State review meeting Rs.1,30,000/- 
Stationery – 50*50= 7500
Food -50*450= 4,200=22500 
Travel Expenses (TA/DA for participants)= 50*2000=1,00,000 
Total expenses for one batch 1,30,000/-
State 
 review meeting.</t>
  </si>
  <si>
    <t xml:space="preserve">
 i) )Other operating cost: 
 a. Renumeration for 21 specialist 
 doctors @Rs 100 per call for 
 30 calls for 313 days 
 b. Renumeration for 35 MBBS 
 doctor @Rs 50 per call for 38 
 calls for 313 days. 
  c.For establishment of 7(2024-2025 - 6 units, 2025-2026 - 1 unit) 
  ii) IEC/BCC activities : 
 a.Rs 45 lakhs as News Paper Advt 
 b.Rs 5 lakhs for Short Video 
 c.Rs 16 lakh for Radio Jingles 
 d.Rs 20 lakh for Online News 
 Channel Advt 
 iii) Planning &amp; M&amp;E 
  Rs 1.30 lakhs for State 
 review meeting.</t>
  </si>
  <si>
    <t xml:space="preserve">  
2. Rs.26 L for continuing education for 1000 ASHAs @ Rs.2600  per ASHA
 </t>
  </si>
  <si>
    <t>Rs.23  L for continuing education for 1000 ASHAs @ Rs. 2300/ASHA                                                                Rs.15 L for Exam fee /registartion for 1000 ASHA @ Rs.1500/ASHA</t>
  </si>
  <si>
    <t>1. Approved Rs 5.4515 L for state level training
 2. Approved Rs 1 L for Meeting Costs/Office expenses/contingency
 3. Approved Rs 1 L for State level Surveillance &amp; Monitoring</t>
  </si>
  <si>
    <t>Remarks 2024-25</t>
  </si>
  <si>
    <t>Remarks 2025-26</t>
  </si>
  <si>
    <r>
      <rPr>
        <b/>
        <sz val="12"/>
        <color theme="1"/>
        <rFont val="Calibri"/>
        <family val="2"/>
      </rPr>
      <t>Central supplies (Kind grants)</t>
    </r>
    <r>
      <rPr>
        <sz val="12"/>
        <color theme="1"/>
        <rFont val="Calibri"/>
        <family val="2"/>
      </rPr>
      <t xml:space="preserve"> (To be provided by the PDs)</t>
    </r>
  </si>
  <si>
    <t>PIP 2023-24</t>
  </si>
  <si>
    <t>variation</t>
  </si>
  <si>
    <r>
      <rPr>
        <b/>
        <sz val="12"/>
        <color theme="1"/>
        <rFont val="Times New Roman"/>
        <family val="1"/>
      </rPr>
      <t>Drugs - 626.84 lakhs</t>
    </r>
    <r>
      <rPr>
        <sz val="12"/>
        <color theme="1"/>
        <rFont val="Times New Roman"/>
        <family val="1"/>
      </rPr>
      <t xml:space="preserve">
Calcium tablet - PW - 74624400 tablet @ Rs 0.42 &amp; Lactating Women 74624400 tablet @ Rs 0.42
</t>
    </r>
    <r>
      <rPr>
        <b/>
        <sz val="12"/>
        <color theme="1"/>
        <rFont val="Times New Roman"/>
        <family val="1"/>
      </rPr>
      <t xml:space="preserve">IEC&amp; Printing Rs.142.50 lakhs </t>
    </r>
    <r>
      <rPr>
        <sz val="12"/>
        <color theme="1"/>
        <rFont val="Times New Roman"/>
        <family val="1"/>
      </rPr>
      <t xml:space="preserve">
Printing of MCP Card, safe motherhood booklet etc  500000 x Rs. 28.5 = 142.50)</t>
    </r>
  </si>
  <si>
    <r>
      <rPr>
        <b/>
        <sz val="12"/>
        <color theme="1"/>
        <rFont val="Times New Roman"/>
        <family val="1"/>
      </rPr>
      <t>Drugs - 626.84 lakhs</t>
    </r>
    <r>
      <rPr>
        <sz val="12"/>
        <color theme="1"/>
        <rFont val="Times New Roman"/>
        <family val="1"/>
      </rPr>
      <t xml:space="preserve">
Calcium tablet - PW - 74624400 tablet @ Rs 0.42 &amp; Lactating Women 74624400 tablet @ Rs 0.42
</t>
    </r>
    <r>
      <rPr>
        <b/>
        <sz val="12"/>
        <color theme="1"/>
        <rFont val="Times New Roman"/>
        <family val="1"/>
      </rPr>
      <t xml:space="preserve">IEC&amp; Printing Rs.142.50 lakhs </t>
    </r>
    <r>
      <rPr>
        <sz val="12"/>
        <color theme="1"/>
        <rFont val="Times New Roman"/>
        <family val="1"/>
      </rPr>
      <t xml:space="preserve">
Printing of MCP Card, safe motherhood booklet etc  500000 x Rs. 28.5 = 142.50)</t>
    </r>
  </si>
  <si>
    <r>
      <rPr>
        <b/>
        <sz val="12"/>
        <color theme="1"/>
        <rFont val="Times New Roman"/>
        <family val="1"/>
      </rPr>
      <t xml:space="preserve">DBT:870.47 lakhs </t>
    </r>
    <r>
      <rPr>
        <sz val="12"/>
        <color theme="1"/>
        <rFont val="Times New Roman"/>
        <family val="1"/>
      </rPr>
      <t xml:space="preserve">
Estimated Deliveries-Rural - 98675, Urban - 29475, Home delivery - 579
Administrative cost estimated @ 4% on DBT cost</t>
    </r>
  </si>
  <si>
    <r>
      <rPr>
        <b/>
        <sz val="12"/>
        <color theme="1"/>
        <rFont val="Times New Roman"/>
        <family val="1"/>
      </rPr>
      <t xml:space="preserve">DBT:870.47 lakhs </t>
    </r>
    <r>
      <rPr>
        <sz val="12"/>
        <color theme="1"/>
        <rFont val="Times New Roman"/>
        <family val="1"/>
      </rPr>
      <t xml:space="preserve">
Estimated Deliveries-Rural - 98675, Urban - 29475, Home delivery - 579
Administrative cost estimated @ 4% on DBT cost</t>
    </r>
  </si>
  <si>
    <t>Proposed as per norms for 128150 cases 
Normal Delivery- 72921, Caessarean -55229</t>
  </si>
  <si>
    <t xml:space="preserve">Proposed as per norms for 128150 cases </t>
  </si>
  <si>
    <r>
      <rPr>
        <b/>
        <sz val="12"/>
        <color theme="1"/>
        <rFont val="Times New Roman"/>
        <family val="1"/>
      </rPr>
      <t>DBT-12.44 lakhs</t>
    </r>
    <r>
      <rPr>
        <sz val="12"/>
        <color theme="1"/>
        <rFont val="Times New Roman"/>
        <family val="1"/>
      </rPr>
      <t xml:space="preserve">
HRP-4147, estimated @ Rs.100/-per visit for 3 visits to the beneficiary
</t>
    </r>
    <r>
      <rPr>
        <b/>
        <sz val="12"/>
        <color theme="1"/>
        <rFont val="Times New Roman"/>
        <family val="1"/>
      </rPr>
      <t>ASHA incentives</t>
    </r>
    <r>
      <rPr>
        <sz val="12"/>
        <color theme="1"/>
        <rFont val="Times New Roman"/>
        <family val="1"/>
      </rPr>
      <t xml:space="preserve">- Rs.100/- per visit for 3 visits, Rs.500/- for visit after 45 days-healthy outcome , ASHA incentive @ R.250/- for visit after 45 days-healthy outcome for the HRP identified during PNC visit
</t>
    </r>
    <r>
      <rPr>
        <b/>
        <sz val="12"/>
        <color theme="1"/>
        <rFont val="Times New Roman"/>
        <family val="1"/>
      </rPr>
      <t>OOC-</t>
    </r>
    <r>
      <rPr>
        <sz val="12"/>
        <color theme="1"/>
        <rFont val="Times New Roman"/>
        <family val="1"/>
      </rPr>
      <t>Rs.18.20 for Operational cost for conducting PMSMA</t>
    </r>
  </si>
  <si>
    <r>
      <rPr>
        <b/>
        <sz val="12"/>
        <color theme="1"/>
        <rFont val="Times New Roman"/>
        <family val="1"/>
      </rPr>
      <t>DBT-12.44 lakhs</t>
    </r>
    <r>
      <rPr>
        <sz val="12"/>
        <color theme="1"/>
        <rFont val="Times New Roman"/>
        <family val="1"/>
      </rPr>
      <t xml:space="preserve">
HRP-4147, estimated @ Rs.100/-per visit for 3 visits to the beneficiary
ASHA incentives- Rs.100/- per visit for 3 visits, Rs.500/- for visit after 45 days-healthy outcome , ASHA incentive @ R.250/- for visit after 45 days-healthy outcome for the HRP identified during PNC visit
OOC-Rs.18.40 for Operational cost for conducting PMSMA</t>
    </r>
  </si>
  <si>
    <r>
      <rPr>
        <b/>
        <sz val="12"/>
        <color theme="1"/>
        <rFont val="Times New Roman"/>
        <family val="1"/>
      </rPr>
      <t>IEC / BCC - Rs.25</t>
    </r>
    <r>
      <rPr>
        <sz val="12"/>
        <color theme="1"/>
        <rFont val="Times New Roman"/>
        <family val="1"/>
      </rPr>
      <t xml:space="preserve"> L for branding of SUMAN certified facilities - 500 facilities will be certified @ Rs.5000/- per institution
</t>
    </r>
    <r>
      <rPr>
        <b/>
        <sz val="12"/>
        <color theme="1"/>
        <rFont val="Times New Roman"/>
        <family val="1"/>
      </rPr>
      <t>Planning &amp; M&amp;E : Rs.1.5 lakhs</t>
    </r>
    <r>
      <rPr>
        <sz val="12"/>
        <color theme="1"/>
        <rFont val="Times New Roman"/>
        <family val="1"/>
      </rPr>
      <t xml:space="preserve">  - Rs 10000 /district &amp; State for conducting district level meeting(2 meetings in a year)                                                                                                                                                                                                                       </t>
    </r>
  </si>
  <si>
    <r>
      <rPr>
        <b/>
        <sz val="12"/>
        <color theme="1"/>
        <rFont val="Times New Roman"/>
        <family val="1"/>
      </rPr>
      <t xml:space="preserve">IEC / BCC - </t>
    </r>
    <r>
      <rPr>
        <sz val="12"/>
        <color theme="1"/>
        <rFont val="Times New Roman"/>
        <family val="1"/>
      </rPr>
      <t xml:space="preserve"> </t>
    </r>
    <r>
      <rPr>
        <b/>
        <sz val="12"/>
        <color theme="1"/>
        <rFont val="Times New Roman"/>
        <family val="1"/>
      </rPr>
      <t xml:space="preserve">Rs.25 L </t>
    </r>
    <r>
      <rPr>
        <sz val="12"/>
        <color theme="1"/>
        <rFont val="Times New Roman"/>
        <family val="1"/>
      </rPr>
      <t xml:space="preserve">for branding of SUMAN certified facilities - 500 facilities will be certified @ Rs.5000/- per institution
</t>
    </r>
    <r>
      <rPr>
        <b/>
        <sz val="12"/>
        <color theme="1"/>
        <rFont val="Times New Roman"/>
        <family val="1"/>
      </rPr>
      <t>Planning &amp; M&amp;E : Rs.1.5 L</t>
    </r>
    <r>
      <rPr>
        <sz val="12"/>
        <color theme="1"/>
        <rFont val="Times New Roman"/>
        <family val="1"/>
      </rPr>
      <t xml:space="preserve"> - Rs 10000 /district &amp; State for conducting district level meeting(2 meetings in a year)                                                                                                                                                                                                                       </t>
    </r>
  </si>
  <si>
    <r>
      <rPr>
        <b/>
        <sz val="12"/>
        <color theme="1"/>
        <rFont val="Times New Roman"/>
        <family val="1"/>
      </rPr>
      <t xml:space="preserve">OOC- Rs.2.22 lakhs - </t>
    </r>
    <r>
      <rPr>
        <sz val="12"/>
        <color theme="1"/>
        <rFont val="Times New Roman"/>
        <family val="1"/>
      </rPr>
      <t xml:space="preserve">To conduct Maternal Death Audit 
</t>
    </r>
    <r>
      <rPr>
        <b/>
        <sz val="12"/>
        <color theme="1"/>
        <rFont val="Times New Roman"/>
        <family val="1"/>
      </rPr>
      <t>IEC-Printing of MDR formats - 0.50 L;</t>
    </r>
    <r>
      <rPr>
        <sz val="12"/>
        <color theme="1"/>
        <rFont val="Times New Roman"/>
        <family val="1"/>
      </rPr>
      <t xml:space="preserve">
</t>
    </r>
    <r>
      <rPr>
        <b/>
        <sz val="12"/>
        <color theme="1"/>
        <rFont val="Times New Roman"/>
        <family val="1"/>
      </rPr>
      <t xml:space="preserve">Planning and M&amp;E 5.76 lakhs </t>
    </r>
    <r>
      <rPr>
        <sz val="12"/>
        <color theme="1"/>
        <rFont val="Times New Roman"/>
        <family val="1"/>
      </rPr>
      <t xml:space="preserve">
Maternal Death Review meeting at State level- Rs.2.40 lks (Rs 60000 *4) &amp; Rs.3.36 lakhs MDNMSR Meeting at district level  </t>
    </r>
  </si>
  <si>
    <r>
      <rPr>
        <b/>
        <sz val="12"/>
        <color theme="1"/>
        <rFont val="Times New Roman"/>
        <family val="1"/>
      </rPr>
      <t>OOC- Rs.2.22 lakhs -</t>
    </r>
    <r>
      <rPr>
        <sz val="12"/>
        <color theme="1"/>
        <rFont val="Times New Roman"/>
        <family val="1"/>
      </rPr>
      <t xml:space="preserve"> To conduct Maternal Death Audit 
</t>
    </r>
    <r>
      <rPr>
        <b/>
        <sz val="12"/>
        <color theme="1"/>
        <rFont val="Times New Roman"/>
        <family val="1"/>
      </rPr>
      <t>IEC-Printing of MDR formats - 0.50 L;</t>
    </r>
    <r>
      <rPr>
        <sz val="12"/>
        <color theme="1"/>
        <rFont val="Times New Roman"/>
        <family val="1"/>
      </rPr>
      <t xml:space="preserve">
</t>
    </r>
    <r>
      <rPr>
        <b/>
        <sz val="12"/>
        <color theme="1"/>
        <rFont val="Times New Roman"/>
        <family val="1"/>
      </rPr>
      <t xml:space="preserve">Planning and M&amp;E 5.76 lakhs </t>
    </r>
    <r>
      <rPr>
        <sz val="12"/>
        <color theme="1"/>
        <rFont val="Times New Roman"/>
        <family val="1"/>
      </rPr>
      <t xml:space="preserve">
Maternal Death Review meeting at State level- Rs.2.40 lks (Rs 60000 *4) &amp; Rs.3.36 lakhs MDNMSR Meeting at district level  </t>
    </r>
  </si>
  <si>
    <r>
      <rPr>
        <b/>
        <sz val="12"/>
        <color rgb="FF1F1F1F"/>
        <rFont val="Times New Roman"/>
        <family val="1"/>
      </rPr>
      <t>Equipments - Rs.0.4 L -</t>
    </r>
    <r>
      <rPr>
        <sz val="12"/>
        <color rgb="FF1F1F1F"/>
        <rFont val="Times New Roman"/>
        <family val="1"/>
      </rPr>
      <t xml:space="preserve"> for comprehensive abortion care equipments
</t>
    </r>
    <r>
      <rPr>
        <b/>
        <sz val="12"/>
        <color rgb="FF1F1F1F"/>
        <rFont val="Times New Roman"/>
        <family val="1"/>
      </rPr>
      <t xml:space="preserve">Training -Rs.12.30 lakhs </t>
    </r>
    <r>
      <rPr>
        <sz val="12"/>
        <color rgb="FF1F1F1F"/>
        <rFont val="Times New Roman"/>
        <family val="1"/>
      </rPr>
      <t>-Medical Methods of Abortion training - one batch/district @ Rs 32000, MVA/MMA training for Gynaecologist - one batch/district @ Rs 50000
Rs.82000 for 1 batch of ToT</t>
    </r>
  </si>
  <si>
    <r>
      <rPr>
        <b/>
        <sz val="12"/>
        <color rgb="FF1F1F1F"/>
        <rFont val="Times New Roman"/>
        <family val="1"/>
      </rPr>
      <t>Equipments - Rs.0.4 L</t>
    </r>
    <r>
      <rPr>
        <sz val="12"/>
        <color rgb="FF1F1F1F"/>
        <rFont val="Times New Roman"/>
        <family val="1"/>
      </rPr>
      <t xml:space="preserve"> - for comprehensive abortion care equipments
MMA training - one batch/district @ Rs 32000, MVA/MMA training for Gynaecologist - one batch/district @ Rs 50000
Rs.82000 for 1 batch of ToT </t>
    </r>
  </si>
  <si>
    <r>
      <rPr>
        <b/>
        <sz val="12"/>
        <color theme="1"/>
        <rFont val="Times New Roman"/>
        <family val="1"/>
      </rPr>
      <t>Training Rs.22.50 lakhs</t>
    </r>
    <r>
      <rPr>
        <sz val="12"/>
        <color theme="1"/>
        <rFont val="Times New Roman"/>
        <family val="1"/>
      </rPr>
      <t xml:space="preserve"> -Rs.21 lakhs for Prevention of Preventable Maternal Deaths at District level (42 batch @ 0.50 lakhs)
One TOT @ Rs.1.50 lakhs at state</t>
    </r>
  </si>
  <si>
    <r>
      <rPr>
        <b/>
        <sz val="12"/>
        <color theme="1"/>
        <rFont val="Times New Roman"/>
        <family val="1"/>
      </rPr>
      <t>Training Rs.22.50 lakhs</t>
    </r>
    <r>
      <rPr>
        <sz val="12"/>
        <color theme="1"/>
        <rFont val="Times New Roman"/>
        <family val="1"/>
      </rPr>
      <t xml:space="preserve"> -for ToT Prevention of Preventable Maternal Deaths at State and District level (15 batch @ 1.50 lakhs)</t>
    </r>
  </si>
  <si>
    <r>
      <rPr>
        <b/>
        <sz val="12"/>
        <color rgb="FF000000"/>
        <rFont val="Times New Roman"/>
        <family val="1"/>
      </rPr>
      <t xml:space="preserve">Equipment Rs.353.87 lakhs </t>
    </r>
    <r>
      <rPr>
        <sz val="12"/>
        <color rgb="FF000000"/>
        <rFont val="Times New Roman"/>
        <family val="1"/>
      </rPr>
      <t xml:space="preserve">
1. Approved Eqipment for Rs.303.85 L  - for Labour Room and Gynecology OT - Strengthening exisiting Units in the selected hospitals &amp;  hospitals where Civil work completed /nearing completion                                                    2.Rs.17.87L for color coded hand ties for mother and child identification,child mopping and covering towels for LaQshya Targetted facilities district and for other procurements closing gaps identified in internal/District Assessment. Rs 10 per unit for  Rs.17.87 L  according to deliveries
</t>
    </r>
    <r>
      <rPr>
        <b/>
        <sz val="12"/>
        <color rgb="FF000000"/>
        <rFont val="Times New Roman"/>
        <family val="1"/>
      </rPr>
      <t>Capacity Building incl.training – Rs. 10.5 L</t>
    </r>
    <r>
      <rPr>
        <sz val="12"/>
        <color rgb="FF000000"/>
        <rFont val="Times New Roman"/>
        <family val="1"/>
      </rPr>
      <t xml:space="preserve">
</t>
    </r>
    <r>
      <rPr>
        <b/>
        <sz val="12"/>
        <color rgb="FF000000"/>
        <rFont val="Times New Roman"/>
        <family val="1"/>
      </rPr>
      <t>LaQshya District level Trainings Rs.75,000/- each for districts</t>
    </r>
    <r>
      <rPr>
        <sz val="12"/>
        <color rgb="FF000000"/>
        <rFont val="Times New Roman"/>
        <family val="1"/>
      </rPr>
      <t xml:space="preserve">.
</t>
    </r>
    <r>
      <rPr>
        <b/>
        <sz val="12"/>
        <color rgb="FF000000"/>
        <rFont val="Times New Roman"/>
        <family val="1"/>
      </rPr>
      <t>Others including operating costs (OOC) – 48.3 L</t>
    </r>
    <r>
      <rPr>
        <sz val="12"/>
        <color rgb="FF000000"/>
        <rFont val="Times New Roman"/>
        <family val="1"/>
      </rPr>
      <t xml:space="preserve">
1.State Level Activities Rs.34.30 lakhs    
 Rs.11.9 Lakhs proposed for Cost of National External Assessment @1,19,000x10=11,90,000/- 
Rs.11.9 Lakhs proposed for Cost of re certification (Medical Colleges, DH,SDH,CHC) @1,19,000x10=11,90,000/- 
Rs,10.50 Lakhs proposed for Cost of State Assessment (DH/SDH) @30,000x35=10,50,000/-
2.District level Activities
LaQshya Gap Closure Rs.1L each for each District.Total Rs14 L.
</t>
    </r>
    <r>
      <rPr>
        <b/>
        <sz val="12"/>
        <color rgb="FF000000"/>
        <rFont val="Times New Roman"/>
        <family val="1"/>
      </rPr>
      <t>IEC &amp; Printing</t>
    </r>
    <r>
      <rPr>
        <sz val="12"/>
        <color rgb="FF000000"/>
        <rFont val="Times New Roman"/>
        <family val="1"/>
      </rPr>
      <t xml:space="preserve">  - Printing of Labour Room Registers and Case sheets Rs.1.60 lakhs </t>
    </r>
  </si>
  <si>
    <r>
      <rPr>
        <b/>
        <sz val="12"/>
        <color rgb="FF000000"/>
        <rFont val="Times New Roman"/>
        <family val="1"/>
      </rPr>
      <t>Eqipment Rs.44.78 lakhs</t>
    </r>
    <r>
      <rPr>
        <sz val="12"/>
        <color rgb="FF000000"/>
        <rFont val="Times New Roman"/>
        <family val="1"/>
      </rPr>
      <t xml:space="preserve">
1. </t>
    </r>
    <r>
      <rPr>
        <sz val="12"/>
        <color rgb="FF980000"/>
        <rFont val="Times New Roman"/>
        <family val="1"/>
      </rPr>
      <t xml:space="preserve">Revised - Rs.25.20 L - for Labour Room and Gynecology OT - Strengthening exisiting Units in the selected hospitals &amp; hospitals where Civil work completed /nearing completion   </t>
    </r>
    <r>
      <rPr>
        <sz val="12"/>
        <color rgb="FF000000"/>
        <rFont val="Times New Roman"/>
        <family val="1"/>
      </rPr>
      <t xml:space="preserve">                                         
2. Rs.19.58 L for color coded hand ties for mother and child identification,child mopping and covering towels for LaQshya Targetted facilities district and for other procurements closing gaps identified in internal/District Assessment. Rs 10 per unit .
</t>
    </r>
    <r>
      <rPr>
        <b/>
        <sz val="12"/>
        <color rgb="FF000000"/>
        <rFont val="Times New Roman"/>
        <family val="1"/>
      </rPr>
      <t>Capacity Building incl.training – Rs. 14 L</t>
    </r>
    <r>
      <rPr>
        <sz val="12"/>
        <color rgb="FF000000"/>
        <rFont val="Times New Roman"/>
        <family val="1"/>
      </rPr>
      <t xml:space="preserve">
LaQshya District level Trainings Rs.1lakh/- each for districts.
</t>
    </r>
    <r>
      <rPr>
        <b/>
        <sz val="12"/>
        <color rgb="FF000000"/>
        <rFont val="Times New Roman"/>
        <family val="1"/>
      </rPr>
      <t>Others including operating costs (OOC) =51.58 L</t>
    </r>
    <r>
      <rPr>
        <sz val="12"/>
        <color rgb="FF000000"/>
        <rFont val="Times New Roman"/>
        <family val="1"/>
      </rPr>
      <t xml:space="preserve">
</t>
    </r>
    <r>
      <rPr>
        <b/>
        <sz val="12"/>
        <color rgb="FF000000"/>
        <rFont val="Times New Roman"/>
        <family val="1"/>
      </rPr>
      <t xml:space="preserve">1.State Level ActivitiesRs.37.58L     </t>
    </r>
    <r>
      <rPr>
        <sz val="12"/>
        <color rgb="FF000000"/>
        <rFont val="Times New Roman"/>
        <family val="1"/>
      </rPr>
      <t xml:space="preserve">
 Rs.11.9 Lakhs proposed for Cost of National External Assessment @1,19,000x11=13,09,000/- 
Rs.11.9 Lakhs proposed for Cost of re certification (Medical Colleges, DH,SDH,CHC) @1,19,000x11=13,09,000/- 
Rs,10.50 Lakhs proposed for Cost of State Assessment (DH/SDH) @30,000x38=11,40,000/-
2.</t>
    </r>
    <r>
      <rPr>
        <b/>
        <sz val="12"/>
        <color rgb="FF000000"/>
        <rFont val="Times New Roman"/>
        <family val="1"/>
      </rPr>
      <t xml:space="preserve">District level Activities-14 lakhs </t>
    </r>
    <r>
      <rPr>
        <sz val="12"/>
        <color rgb="FF000000"/>
        <rFont val="Times New Roman"/>
        <family val="1"/>
      </rPr>
      <t xml:space="preserve">
LaQshya Gap Closure Rs.1L each for each District.Total Rs14 L.
</t>
    </r>
    <r>
      <rPr>
        <b/>
        <sz val="12"/>
        <color rgb="FF000000"/>
        <rFont val="Times New Roman"/>
        <family val="1"/>
      </rPr>
      <t>IEC &amp; Printing</t>
    </r>
    <r>
      <rPr>
        <sz val="12"/>
        <color rgb="FF000000"/>
        <rFont val="Times New Roman"/>
        <family val="1"/>
      </rPr>
      <t xml:space="preserve">  - Rs.1.60 lakhs 
Printing of Labour Room Registers and Case sheets 
</t>
    </r>
  </si>
  <si>
    <r>
      <rPr>
        <b/>
        <sz val="12"/>
        <color rgb="FF980000"/>
        <rFont val="Times New Roman"/>
        <family val="1"/>
      </rPr>
      <t>Equipments -  Rs.786.619 Lakhs,</t>
    </r>
    <r>
      <rPr>
        <sz val="12"/>
        <color rgb="FF980000"/>
        <rFont val="Times New Roman"/>
        <family val="1"/>
      </rPr>
      <t>Equipments - Revised as per Post NPCC Comments, Equipment for all Delivery Points, Strengtheing of existing Labour Room ,Gynec/ Maternity OT, MMR Reduction Programme of the State – Infection Contro</t>
    </r>
    <r>
      <rPr>
        <sz val="12"/>
        <color rgb="FF000000"/>
        <rFont val="Times New Roman"/>
        <family val="1"/>
      </rPr>
      <t xml:space="preserve">l
</t>
    </r>
    <r>
      <rPr>
        <b/>
        <sz val="12"/>
        <color rgb="FF000000"/>
        <rFont val="Times New Roman"/>
        <family val="1"/>
      </rPr>
      <t>OOC-</t>
    </r>
    <r>
      <rPr>
        <sz val="12"/>
        <color rgb="FF000000"/>
        <rFont val="Times New Roman"/>
        <family val="1"/>
      </rPr>
      <t xml:space="preserve">RCH Camps-Rs.15.75 lakhs for 105 camps @15000/-
</t>
    </r>
    <r>
      <rPr>
        <b/>
        <sz val="12"/>
        <color rgb="FF000000"/>
        <rFont val="Times New Roman"/>
        <family val="1"/>
      </rPr>
      <t xml:space="preserve">IEC / Printing </t>
    </r>
    <r>
      <rPr>
        <sz val="12"/>
        <color rgb="FF000000"/>
        <rFont val="Times New Roman"/>
        <family val="1"/>
      </rPr>
      <t xml:space="preserve">: Rs. 85 Lakhs  (Mid Media/ Mass Media Activities- Rs. 58 L, IPC- Rs. 20 L, Any Other- Rs.7, IPC, Other MH Component, (Detailed in Annexure IEC)  
</t>
    </r>
    <r>
      <rPr>
        <b/>
        <sz val="12"/>
        <color rgb="FF000000"/>
        <rFont val="Times New Roman"/>
        <family val="1"/>
      </rPr>
      <t>Planning and M&amp;E</t>
    </r>
    <r>
      <rPr>
        <sz val="12"/>
        <color rgb="FF000000"/>
        <rFont val="Times New Roman"/>
        <family val="1"/>
      </rPr>
      <t xml:space="preserve"> : Rs.1.50 L for review on MH</t>
    </r>
  </si>
  <si>
    <r>
      <rPr>
        <b/>
        <sz val="12"/>
        <color rgb="FF980000"/>
        <rFont val="Times New Roman"/>
        <family val="1"/>
      </rPr>
      <t>Equipments - 746.489 lakhs</t>
    </r>
    <r>
      <rPr>
        <sz val="12"/>
        <color rgb="FF980000"/>
        <rFont val="Times New Roman"/>
        <family val="1"/>
      </rPr>
      <t xml:space="preserve">, Revised after Post NPCC Comments.Equipment for all Delivery Points, Strengtheing of existing Labour Room ,Gynec/ Maternity OT, MMR Reduction Programme of the State </t>
    </r>
    <r>
      <rPr>
        <sz val="12"/>
        <color rgb="FF000000"/>
        <rFont val="Times New Roman"/>
        <family val="1"/>
      </rPr>
      <t xml:space="preserve">
</t>
    </r>
    <r>
      <rPr>
        <b/>
        <sz val="12"/>
        <color rgb="FF000000"/>
        <rFont val="Times New Roman"/>
        <family val="1"/>
      </rPr>
      <t xml:space="preserve">Training Rs.7 lakhs </t>
    </r>
    <r>
      <rPr>
        <sz val="12"/>
        <color rgb="FF000000"/>
        <rFont val="Times New Roman"/>
        <family val="1"/>
      </rPr>
      <t xml:space="preserve">for RTI STI (MO/ANM/LT) @ Rs.50000/- per district
</t>
    </r>
    <r>
      <rPr>
        <b/>
        <sz val="12"/>
        <color rgb="FF000000"/>
        <rFont val="Times New Roman"/>
        <family val="1"/>
      </rPr>
      <t>OOC-RCH Camps</t>
    </r>
    <r>
      <rPr>
        <sz val="12"/>
        <color rgb="FF000000"/>
        <rFont val="Times New Roman"/>
        <family val="1"/>
      </rPr>
      <t xml:space="preserve">-Rs.15.75 lakhs for 105 camps @15000/-
</t>
    </r>
    <r>
      <rPr>
        <b/>
        <sz val="12"/>
        <color rgb="FF000000"/>
        <rFont val="Times New Roman"/>
        <family val="1"/>
      </rPr>
      <t>IEC / Printing</t>
    </r>
    <r>
      <rPr>
        <sz val="12"/>
        <color rgb="FF000000"/>
        <rFont val="Times New Roman"/>
        <family val="1"/>
      </rPr>
      <t xml:space="preserve"> : Rs. 85 Lakhs  (Mid Media/ Mass Media Activities- Rs. 58 L, IPC- Rs. 20 L, Any Other- Rs.7, IPC, Other MH Component,  (Detailed in Annexure IEC)  
</t>
    </r>
    <r>
      <rPr>
        <b/>
        <sz val="12"/>
        <color rgb="FF000000"/>
        <rFont val="Times New Roman"/>
        <family val="1"/>
      </rPr>
      <t>Planning and M&amp;E</t>
    </r>
    <r>
      <rPr>
        <sz val="12"/>
        <color rgb="FF000000"/>
        <rFont val="Times New Roman"/>
        <family val="1"/>
      </rPr>
      <t xml:space="preserve"> : Rs.1.50 L for review on MH</t>
    </r>
  </si>
  <si>
    <r>
      <rPr>
        <b/>
        <sz val="12"/>
        <color theme="1"/>
        <rFont val="Times New Roman"/>
        <family val="1"/>
      </rPr>
      <t xml:space="preserve">OOC- Tribal camps of Rs.21,53,500/- </t>
    </r>
    <r>
      <rPr>
        <sz val="12"/>
        <color theme="1"/>
        <rFont val="Times New Roman"/>
        <family val="1"/>
      </rPr>
      <t xml:space="preserve">
Single MO Camps -101@ Rs.3000/-, Specialist camps-73@15000/-, Health Class-65@1500/-, Health Club-34@10000/-, TMMU -106 @Rs.3000/-</t>
    </r>
  </si>
  <si>
    <r>
      <rPr>
        <b/>
        <sz val="12"/>
        <color theme="1"/>
        <rFont val="Times New Roman"/>
        <family val="1"/>
      </rPr>
      <t xml:space="preserve">OOC- Tribal camps of Rs.21,53,500/- </t>
    </r>
    <r>
      <rPr>
        <sz val="12"/>
        <color theme="1"/>
        <rFont val="Times New Roman"/>
        <family val="1"/>
      </rPr>
      <t xml:space="preserve">
Single MO Camps -101@ Rs.3000/-, Specialist camps-73@15000/-, Health Class-65@1500/-, Health Club-34@10000/-, TMMU -106 @Rs.3000/-</t>
    </r>
  </si>
  <si>
    <r>
      <rPr>
        <b/>
        <sz val="12"/>
        <color rgb="FF000000"/>
        <rFont val="Times New Roman"/>
        <family val="1"/>
      </rPr>
      <t xml:space="preserve">IEC - </t>
    </r>
    <r>
      <rPr>
        <sz val="12"/>
        <color rgb="FF000000"/>
        <rFont val="Times New Roman"/>
        <family val="1"/>
      </rPr>
      <t xml:space="preserve">Mid Media/ Mass Medic Activities for awareness generation towards the Gender Based Violence &amp; Medico Legal Care provided For Survivors ( Details Given as Annexure I)
</t>
    </r>
    <r>
      <rPr>
        <b/>
        <sz val="12"/>
        <color rgb="FF000000"/>
        <rFont val="Times New Roman"/>
        <family val="1"/>
      </rPr>
      <t xml:space="preserve">SRRE 8 Lakhs
</t>
    </r>
    <r>
      <rPr>
        <sz val="12"/>
        <color rgb="FF000000"/>
        <rFont val="Times New Roman"/>
        <family val="1"/>
      </rPr>
      <t>Study on Online monitoring tools for health and grievance of Transgenders and Intersex in Kerala for Rs. 8 L. Details Annexed</t>
    </r>
  </si>
  <si>
    <r>
      <rPr>
        <b/>
        <sz val="12"/>
        <color rgb="FF000000"/>
        <rFont val="Times New Roman"/>
        <family val="1"/>
      </rPr>
      <t xml:space="preserve">IEC - </t>
    </r>
    <r>
      <rPr>
        <sz val="12"/>
        <color rgb="FF000000"/>
        <rFont val="Times New Roman"/>
        <family val="1"/>
      </rPr>
      <t>Mid Media/ Mass Medic Activities for awareness generation towards the Gender Based Violence &amp; Medico Legal Care provided For Survivors ( Details Given as Annexure I)</t>
    </r>
  </si>
  <si>
    <r>
      <rPr>
        <b/>
        <sz val="12"/>
        <color rgb="FF000000"/>
        <rFont val="Times New Roman"/>
        <family val="1"/>
      </rPr>
      <t xml:space="preserve"> Equipment: Rs.23.48 lakhs</t>
    </r>
    <r>
      <rPr>
        <sz val="12"/>
        <color rgb="FF000000"/>
        <rFont val="Times New Roman"/>
        <family val="1"/>
      </rPr>
      <t xml:space="preserve">
A) Rs.23.48 L for repair equipments for Mobile Health Teams  @ Rs.2000/- Repair equipment for 1174 existing RBSK Nurses,                                                                                                             
</t>
    </r>
    <r>
      <rPr>
        <b/>
        <sz val="12"/>
        <color rgb="FF000000"/>
        <rFont val="Times New Roman"/>
        <family val="1"/>
      </rPr>
      <t>Training : Rs.27.53L</t>
    </r>
    <r>
      <rPr>
        <sz val="12"/>
        <color rgb="FF000000"/>
        <rFont val="Times New Roman"/>
        <family val="1"/>
      </rPr>
      <t xml:space="preserve">
A ) RBSK Training -Training of Mobile health team – Technical and Managerial (5 days) – Rs. 17lakhs
 RBSK Refresher training @ Rs. 50000/- per batch for 34 batches. (KLM, PTA,ALP, KTM,IDKI,KSD - 2 BATCH),  
 -  (TVM,ERN,TSR,PKD,MLPM,KKD,KNR - 3 BATCH),   ( WND - 1 BATCH  ) 
B) One day orientation for MO / other staff Delivery points (RBSK trainings) – Rs. 5.88 lakhs
Host 1 days refresher training.  A pool of 8 - 10 people including Delivery point JPHNs, OAE Jphns, Shalabham nurses, DEIC staff nurses, 3 staff nurses (preferrably from Labour room, OBG ward / pediatric ward) and 3 MOs (Preferrably pediatrician / Gynec ) may be trained taking half of them in first day and next half in the second day. with out affecting the Comprehensive Newborn screening services in place.  Hence Proposed 2 Batch training per district @ ₹21000 per batch
 C)  Training/Refresher training -ANM (one day) (RBSK trainings) – Rs. 4.65 Lakhs 
Half day - Health block / Institution level training. Proposed  for 186 health block @ Rs.2500 per training.                                                                                                          
</t>
    </r>
    <r>
      <rPr>
        <b/>
        <sz val="12"/>
        <color rgb="FF000000"/>
        <rFont val="Times New Roman"/>
        <family val="1"/>
      </rPr>
      <t>OOC - Mobility support for RBSK Mobile health team - Rs. 289.24 L</t>
    </r>
    <r>
      <rPr>
        <sz val="12"/>
        <color rgb="FF000000"/>
        <rFont val="Times New Roman"/>
        <family val="1"/>
      </rPr>
      <t xml:space="preserve">
A) Rs. 244.56 lakhs Mobility support for RBSK Mobile health team 
   a) 18 vehicles for difficult rural,tribal vulnerable area @Rs .48000*18*12 = Rs. 1,03,68,000 /-
   b) mobility suport  RBSK JPH nurse  @ Rs.1000*1174*12 = Rs.1,40,88,000/-
B) Rs. 44.67 L - support for CUG connection @ Rs.300/- for 1174 RBSK nurses  and  67 Shalabham Nurses  
Monthly internent charges of Tabs for 1174 existing RBSK Nurses , 67 existing shalabhm nurses . A total of  connection @ Rs.300 per month
</t>
    </r>
    <r>
      <rPr>
        <b/>
        <sz val="12"/>
        <color rgb="FF000000"/>
        <rFont val="Times New Roman"/>
        <family val="1"/>
      </rPr>
      <t>IEC - 2.94 L</t>
    </r>
    <r>
      <rPr>
        <sz val="12"/>
        <color rgb="FF000000"/>
        <rFont val="Times New Roman"/>
        <family val="1"/>
      </rPr>
      <t xml:space="preserve"> for Printing of RBSK cards and registers and dairy @ Rs.250/- for 1174 RBSK nurses
</t>
    </r>
    <r>
      <rPr>
        <b/>
        <sz val="12"/>
        <color rgb="FF000000"/>
        <rFont val="Times New Roman"/>
        <family val="1"/>
      </rPr>
      <t>Planning &amp; M &amp; E - Rs.10.35 L</t>
    </r>
    <r>
      <rPr>
        <sz val="12"/>
        <color rgb="FF000000"/>
        <rFont val="Times New Roman"/>
        <family val="1"/>
      </rPr>
      <t xml:space="preserve">
Rs.0.35 L for printing RBSK job aid
Rs.3 L for detailed operation plan for RBSK
Rs.7 L for RBSK convergence meeting </t>
    </r>
  </si>
  <si>
    <r>
      <rPr>
        <b/>
        <sz val="12"/>
        <color rgb="FF000000"/>
        <rFont val="Times New Roman"/>
        <family val="1"/>
      </rPr>
      <t xml:space="preserve"> Equipment: Rs.23.48 lakhs</t>
    </r>
    <r>
      <rPr>
        <sz val="12"/>
        <color rgb="FF000000"/>
        <rFont val="Times New Roman"/>
        <family val="1"/>
      </rPr>
      <t xml:space="preserve">
A) Rs.23.48 L for repair equipments for Mobile Health Teams  @ Rs.2000/- Repair equipment for 1174 existing RBSK Nurses,                                                                                                             
</t>
    </r>
    <r>
      <rPr>
        <b/>
        <sz val="12"/>
        <color rgb="FF000000"/>
        <rFont val="Times New Roman"/>
        <family val="1"/>
      </rPr>
      <t>Training : Rs.27.53L</t>
    </r>
    <r>
      <rPr>
        <sz val="12"/>
        <color rgb="FF000000"/>
        <rFont val="Times New Roman"/>
        <family val="1"/>
      </rPr>
      <t xml:space="preserve">
A ) RBSK Training -Training of Mobile health team – Technical and Managerial (5 days) – Rs. 17lakhs
 RBSK Refresher training @ Rs. 50000/- per batch for 34 batches. (KLM, PTA,ALP, KTM,IDKI,KSD - 2 BATCH),  
 -  (TVM,ERN,TSR,PKD,MLPM,KKD,KNR - 3 BATCH),   ( WND - 1 BATCH  ) 
B) One day orientation for MO / other staff Delivery points (RBSK trainings) – Rs. 5.88 lakhs
Host 1 days refresher training.  A pool of 8 - 10 people including Delivery point JPHNs, OAE Jphns, Shalabham nurses, DEIC staff nurses, 3 staff nurses (preferrably from Labour room, OBG ward / pediatric ward) and 3 MOs (Preferrably pediatrician / Gynec ) may be trained taking half of them in first day and next half in the second day. with out affecting the Comprehensive Newborn screening services in place.  Hence Proposed 2 Batch training per district @ ₹21000 per batch
 C)  Training/Refresher training -ANM (one day) (RBSK trainings) – Rs. 4.65 Lakhs 
Half day - Health block / Institution level training. Proposed  for 186 health block @ Rs.2500 per training.                                                                                                          
</t>
    </r>
    <r>
      <rPr>
        <b/>
        <sz val="12"/>
        <color rgb="FF000000"/>
        <rFont val="Times New Roman"/>
        <family val="1"/>
      </rPr>
      <t>OOC - Mobility support for RBSK Mobile health team - Rs. 289.24  L</t>
    </r>
    <r>
      <rPr>
        <sz val="12"/>
        <color rgb="FF000000"/>
        <rFont val="Times New Roman"/>
        <family val="1"/>
      </rPr>
      <t xml:space="preserve">
A) Rs. 244.56 lakhs Mobility support for RBSK Mobile health team 
   a) 18 vehicles for difficult rural,tribal vulnerable area @Rs .48000*18*12 = Rs. 1,03,68,000 /-
   b) mobility suport  RBSK JPH nurse  @ Rs.1000*1174*12 = Rs.1,40,88,000/-
B) Rs. 44.67 L - support for CUG connection @ Rs.300/- for 1174 RBSK nurses  and  67 Shalabham Nurses  
Monthly internent charges of Tabs for 1174 existing RBSK Nurses , 67 existing shalabhm nurses . A total of  connection @ Rs.300 per month
</t>
    </r>
    <r>
      <rPr>
        <b/>
        <sz val="12"/>
        <color rgb="FF000000"/>
        <rFont val="Times New Roman"/>
        <family val="1"/>
      </rPr>
      <t>IEC - 2.94 L</t>
    </r>
    <r>
      <rPr>
        <sz val="12"/>
        <color rgb="FF000000"/>
        <rFont val="Times New Roman"/>
        <family val="1"/>
      </rPr>
      <t xml:space="preserve"> for Printing of RBSK cards and registers and dairy @ Rs.250/- for 1174 RBSK nurses
</t>
    </r>
    <r>
      <rPr>
        <b/>
        <sz val="12"/>
        <color rgb="FF000000"/>
        <rFont val="Times New Roman"/>
        <family val="1"/>
      </rPr>
      <t>Planning &amp; M &amp; E - Rs.10.35 L</t>
    </r>
    <r>
      <rPr>
        <sz val="12"/>
        <color rgb="FF000000"/>
        <rFont val="Times New Roman"/>
        <family val="1"/>
      </rPr>
      <t xml:space="preserve">
Rs.0.35 L for printing RBSK job aid
Rs.3 L for detailed operation plan for RBSK
Rs.7 L for RBSK convergence meeting </t>
    </r>
  </si>
  <si>
    <r>
      <rPr>
        <b/>
        <sz val="12"/>
        <color rgb="FF000000"/>
        <rFont val="Times New Roman"/>
        <family val="1"/>
      </rPr>
      <t>Infrastructure - Nil</t>
    </r>
    <r>
      <rPr>
        <sz val="12"/>
        <color rgb="FF000000"/>
        <rFont val="Times New Roman"/>
        <family val="1"/>
      </rPr>
      <t xml:space="preserve">
</t>
    </r>
    <r>
      <rPr>
        <b/>
        <sz val="12"/>
        <color rgb="FF000000"/>
        <rFont val="Times New Roman"/>
        <family val="1"/>
      </rPr>
      <t xml:space="preserve">Equipment </t>
    </r>
    <r>
      <rPr>
        <sz val="12"/>
        <color rgb="FF000000"/>
        <rFont val="Times New Roman"/>
        <family val="1"/>
      </rPr>
      <t>-</t>
    </r>
    <r>
      <rPr>
        <b/>
        <sz val="12"/>
        <color rgb="FF000000"/>
        <rFont val="Times New Roman"/>
        <family val="1"/>
      </rPr>
      <t xml:space="preserve"> Rs.70.00 Lakh</t>
    </r>
    <r>
      <rPr>
        <sz val="12"/>
        <color rgb="FF000000"/>
        <rFont val="Times New Roman"/>
        <family val="1"/>
      </rPr>
      <t xml:space="preserve">
District wise Proposal to fill the gaps in the essential and optional equipments available in each DEIC. Proposal amount is different based on the requirements of each units.
</t>
    </r>
    <r>
      <rPr>
        <b/>
        <sz val="12"/>
        <color rgb="FF000000"/>
        <rFont val="Times New Roman"/>
        <family val="1"/>
      </rPr>
      <t xml:space="preserve">Diagnostics - 14 lakhs
</t>
    </r>
    <r>
      <rPr>
        <sz val="12"/>
        <color rgb="FF000000"/>
        <rFont val="Times New Roman"/>
        <family val="1"/>
      </rPr>
      <t xml:space="preserve">1) Consumables for DEIC - Rs. 1 Lakh for each districts.   Total 14 lakhs                                                                                                                                    </t>
    </r>
    <r>
      <rPr>
        <b/>
        <sz val="12"/>
        <color rgb="FF000000"/>
        <rFont val="Times New Roman"/>
        <family val="1"/>
      </rPr>
      <t>Training - Capacity building incl. training - Rs.26.84 Lakh</t>
    </r>
    <r>
      <rPr>
        <sz val="12"/>
        <color rgb="FF000000"/>
        <rFont val="Times New Roman"/>
        <family val="1"/>
      </rPr>
      <t xml:space="preserve">
RBSK DEIC Staff training (5 days) 2 batch  -   Rs.26.84 Lakh     
 5 days training for all DEIC specialists - one officer from each district under 11 categories - total 2 batch @ Rs.2684500/- for 14 DEICs.
OOC - 2384.60 lakhs
Treatment amount - Rs. 2357 lakhs, Rs.27.6 lakh for DEIC (including Data card internet connection for laptops and rental)                                                                                                                                                                                                                                                   </t>
    </r>
    <r>
      <rPr>
        <b/>
        <sz val="12"/>
        <color rgb="FF000000"/>
        <rFont val="Times New Roman"/>
        <family val="1"/>
      </rPr>
      <t>IEC &amp; Printing -</t>
    </r>
    <r>
      <rPr>
        <sz val="12"/>
        <color rgb="FF000000"/>
        <rFont val="Times New Roman"/>
        <family val="1"/>
      </rPr>
      <t xml:space="preserve"> for printing cost for DEIC @ Rs. 1400000/-</t>
    </r>
  </si>
  <si>
    <r>
      <rPr>
        <b/>
        <sz val="12"/>
        <color rgb="FF000000"/>
        <rFont val="Times New Roman"/>
        <family val="1"/>
      </rPr>
      <t>Infrastructure - Nil</t>
    </r>
    <r>
      <rPr>
        <sz val="12"/>
        <color rgb="FF000000"/>
        <rFont val="Times New Roman"/>
        <family val="1"/>
      </rPr>
      <t xml:space="preserve">           
</t>
    </r>
    <r>
      <rPr>
        <b/>
        <sz val="12"/>
        <color rgb="FF000000"/>
        <rFont val="Times New Roman"/>
        <family val="1"/>
      </rPr>
      <t xml:space="preserve">Diagnostics - 14.00 lakhs
</t>
    </r>
    <r>
      <rPr>
        <sz val="12"/>
        <color rgb="FF000000"/>
        <rFont val="Times New Roman"/>
        <family val="1"/>
      </rPr>
      <t xml:space="preserve">1) Consumables for DEIC - Rs. 1 Lakh for each districts.   Total 14 lakhs 
                                                                                                                                  </t>
    </r>
    <r>
      <rPr>
        <b/>
        <sz val="12"/>
        <color rgb="FF000000"/>
        <rFont val="Times New Roman"/>
        <family val="1"/>
      </rPr>
      <t>Training - Capacity building incl. training - Nil</t>
    </r>
    <r>
      <rPr>
        <sz val="12"/>
        <color rgb="FF000000"/>
        <rFont val="Times New Roman"/>
        <family val="1"/>
      </rPr>
      <t xml:space="preserve">
</t>
    </r>
    <r>
      <rPr>
        <b/>
        <sz val="12"/>
        <color rgb="FF000000"/>
        <rFont val="Times New Roman"/>
        <family val="1"/>
      </rPr>
      <t xml:space="preserve">OOC - Rs. 2384.60 L - 
</t>
    </r>
    <r>
      <rPr>
        <sz val="12"/>
        <color rgb="FF000000"/>
        <rFont val="Times New Roman"/>
        <family val="1"/>
      </rPr>
      <t xml:space="preserve">Treatment amount - Rs. 2357 lakhs, 
Rs.27.60 lakh for DEIC (including Data card internet connection for laptops and rental)                                                                                                                                                                                                                                                   </t>
    </r>
    <r>
      <rPr>
        <b/>
        <sz val="12"/>
        <color rgb="FF000000"/>
        <rFont val="Times New Roman"/>
        <family val="1"/>
      </rPr>
      <t>IEC &amp; Printing - f</t>
    </r>
    <r>
      <rPr>
        <sz val="12"/>
        <color rgb="FF000000"/>
        <rFont val="Times New Roman"/>
        <family val="1"/>
      </rPr>
      <t xml:space="preserve">or printing cost for DEIC @ Rs. 1400000 Lakh </t>
    </r>
  </si>
  <si>
    <r>
      <rPr>
        <b/>
        <sz val="12"/>
        <color theme="1"/>
        <rFont val="Times New Roman"/>
        <family val="1"/>
      </rPr>
      <t>Capacity building incl. training - Rs. 3.32 L</t>
    </r>
    <r>
      <rPr>
        <sz val="12"/>
        <color theme="1"/>
        <rFont val="Times New Roman"/>
        <family val="1"/>
      </rPr>
      <t xml:space="preserve">
 1. HBCC one day State Level Sensitization training - Rs. 0.62 L
One day State Level Sensitization training for DPMs, RCHOs, RBSK Coordinator and ASHA Coordinator. Hence proposed  @ Rs.62000/-
2.HBCC two day State Level TOT training - Rs. 1.16 L
Two day State Level TOT training for selected four participants from districts.  Hence proposed  @ Rs.116400/-
3. HBCC one day District Level TOT training - Rs. 1.54 One day District  Level TOT training for selected ten participants from districts.  Hence proposed  @ Rs.11000/-for each district. Total budget for 14 districts @ Rs.154000/-
</t>
    </r>
    <r>
      <rPr>
        <b/>
        <sz val="12"/>
        <color theme="1"/>
        <rFont val="Times New Roman"/>
        <family val="1"/>
      </rPr>
      <t>ASHA incentives - Rs. 785.31 L</t>
    </r>
    <r>
      <rPr>
        <sz val="12"/>
        <color theme="1"/>
        <rFont val="Times New Roman"/>
        <family val="1"/>
      </rPr>
      <t xml:space="preserve">
 A)   Incentive for Home Based New-born Care programme – Rs. 392.65 lakhs 
  Rs. 392.65 lakhs for ASHA incentives under HBNC after completion of 6/7 home visits for 157060 newborns @Rs. 250/- per newborn.
B) Incentive to ASHA for quarterly visits under HBYC– Rs. 392.65 lakhs 
            Rs. 392.65 lakhs for ASHA incentives under HBYC for completion of 5 quarterly home visits for 157060 children @Rs. 250/- per child (3-15 months). 
The program will be implemented as HBCC - Home based Child Care  - in which the scheduled home visits by ASHA worker to all the mothers and children till the age of 1.5 years from birth to monitor the growth and development and to facilitate early detection and referrals for health deviation / childhood illness. This will cover the beneficiaries of HBNC, HBYC, &amp; SNCU discharge babies as envisaged by GOI guidelines. And ASHA will be given a monthly fixed incentive of Rs. 250 for carrying out HBCC activities       
</t>
    </r>
  </si>
  <si>
    <r>
      <rPr>
        <b/>
        <sz val="12"/>
        <color theme="1"/>
        <rFont val="Times New Roman"/>
        <family val="1"/>
      </rPr>
      <t>Capacity building incl. training - Rs. 3.32 L</t>
    </r>
    <r>
      <rPr>
        <sz val="12"/>
        <color theme="1"/>
        <rFont val="Times New Roman"/>
        <family val="1"/>
      </rPr>
      <t xml:space="preserve">
 1. HBCC one day State Level Sensitization training - Rs. 0.62 L
One day State Level Sensitization training for DPMs, RCHOs, RBSK Coordinator and ASHA Coordinator. Hence proposed  @ Rs.62000/-
2.HBCC two day State Level TOT training - Rs. 1.16 L
Two day State Level TOT training for selected four participants from districts.  Hence proposed  @ Rs.116400/-
3. HBCC one day District Level TOT training - Rs. 1.54 One day District  Level TOT training for selected ten participants from districts.  Hence proposed  @ Rs.11000/-for each district. Total budget for 14 districts @ Rs.154000/-
Total Amount  - Rs.3,32,400/-
ASHA incentives - Rs. 785.31 L
 A)   Incentive for Home Based New-born Care programme – Rs. 392.65 lakhs 
  Rs. 392.65 lakhs for ASHA incentives under HBNC after completion of 6/7 home visits for 157060 newborns @Rs. 250/- per newborn.
B) Incentive to ASHA for quarterly visits under HBYC– Rs. 392.65 lakhs 
            Rs. 392.65 lakhs for ASHA incentives under HBYC for completion of 5 quarterly home visits for 157060 children @Rs. 250/- per child (3-15 months). </t>
    </r>
  </si>
  <si>
    <r>
      <rPr>
        <b/>
        <sz val="12"/>
        <color theme="1"/>
        <rFont val="Times New Roman"/>
        <family val="1"/>
      </rPr>
      <t xml:space="preserve">Infra - Rs.100.2 L for MNCU at MCH Kottayam
</t>
    </r>
    <r>
      <rPr>
        <b/>
        <sz val="12"/>
        <color rgb="FF980000"/>
        <rFont val="Times New Roman"/>
        <family val="1"/>
      </rPr>
      <t>Equipment revised as per Post NPCC Comments - Rs. 178.827  Lakhs</t>
    </r>
    <r>
      <rPr>
        <sz val="12"/>
        <color rgb="FF980000"/>
        <rFont val="Times New Roman"/>
        <family val="1"/>
      </rPr>
      <t xml:space="preserve"> for Strengthening of SNCU/NBSU Units</t>
    </r>
    <r>
      <rPr>
        <b/>
        <sz val="12"/>
        <color theme="1"/>
        <rFont val="Times New Roman"/>
        <family val="1"/>
      </rPr>
      <t xml:space="preserve">
Capacity Building -130.67 lakhs </t>
    </r>
    <r>
      <rPr>
        <sz val="12"/>
        <color theme="1"/>
        <rFont val="Times New Roman"/>
        <family val="1"/>
      </rPr>
      <t xml:space="preserve">
1) Rs.13.84 L for state level training Muskaan. 
2) MusQan District level  refresher Training– Rs. 14  lakhs, 
3) MusQan: Health Institution level activities – Rs. 60  lakhs,
4) NSSK Training for Medical Officers– Rs. 9.63 Lakhs, 
5) NSSK Training for SNs– Rs. 9.63  lakhs, 
6) Rs.4.49 L for observership for FBNC training , 
7) Rs.12.08 L for 4 days NBSU training, 
8) Trainings for Family participatory care (KMC) - Rs.7.00 lakh
</t>
    </r>
    <r>
      <rPr>
        <b/>
        <sz val="12"/>
        <color theme="1"/>
        <rFont val="Times New Roman"/>
        <family val="1"/>
      </rPr>
      <t xml:space="preserve">
OOC - 180.75 lakhs</t>
    </r>
    <r>
      <rPr>
        <sz val="12"/>
        <color theme="1"/>
        <rFont val="Times New Roman"/>
        <family val="1"/>
      </rPr>
      <t xml:space="preserve">
1) Rs. 1 Lakh for Operating expenses for State new-born resource centre , 
2) Operating expenses for 25 SNCU - Rs.75.00 Lakh (Rs. 300000x 25 SNCU), 
3) Operating expenses for 63 NBSU :Rs.63.00 Lakh (Rs. 100000x63 NBSU) , 
4) Operating expenses for NBCC - Rs. 10.00 Lakh (Rs. 10000x100 NBCC),
5) Operating expenses for Family participatory care (KMC) - 18.75 Lakh (Rs. 75000 x 25 SNCUs), 
6) Operating expenses for 5 Mother new-born Care Unit - Rs. 13.00 Lakh (Rs. 260000 x 5 MNCU) 
</t>
    </r>
    <r>
      <rPr>
        <b/>
        <sz val="12"/>
        <color theme="1"/>
        <rFont val="Times New Roman"/>
        <family val="1"/>
      </rPr>
      <t xml:space="preserve">
IEC &amp; Printing - 40.17 lakhs</t>
    </r>
    <r>
      <rPr>
        <sz val="12"/>
        <color theme="1"/>
        <rFont val="Times New Roman"/>
        <family val="1"/>
      </rPr>
      <t xml:space="preserve">
1) 11 lakhs for IEC Mass Media activities for State (Detailed in IEC Annexure) 
2) Rs.25 L for printing for SNCU Data management.
3) Printing &amp; translation cost for Family participatory care (KMC) @ Rs 5 per poster printed 10 posters in all delivery points, 5 each in all CHC PHCs and 2 each in Subcenters and AWCs. Rs.5 x 83418 = Rs.4,17,000/-
</t>
    </r>
  </si>
  <si>
    <r>
      <rPr>
        <b/>
        <sz val="12"/>
        <color rgb="FF980000"/>
        <rFont val="Times New Roman"/>
        <family val="1"/>
      </rPr>
      <t>Equipment - Rs.4.34 Lakhs</t>
    </r>
    <r>
      <rPr>
        <sz val="12"/>
        <color rgb="FF980000"/>
        <rFont val="Times New Roman"/>
        <family val="1"/>
      </rPr>
      <t xml:space="preserve"> for Strengthening of SNCU/NBSU Unit</t>
    </r>
    <r>
      <rPr>
        <sz val="12"/>
        <color rgb="FF000000"/>
        <rFont val="Times New Roman"/>
        <family val="1"/>
      </rPr>
      <t xml:space="preserve">s 
</t>
    </r>
    <r>
      <rPr>
        <b/>
        <sz val="12"/>
        <color rgb="FF000000"/>
        <rFont val="Times New Roman"/>
        <family val="1"/>
      </rPr>
      <t>Capacity Building -158.67 lakhs</t>
    </r>
    <r>
      <rPr>
        <sz val="12"/>
        <color rgb="FF000000"/>
        <rFont val="Times New Roman"/>
        <family val="1"/>
      </rPr>
      <t xml:space="preserve">
1) Rs.13.84 L for state level training Muskaan. 
2) MusQan District level  refresher </t>
    </r>
    <r>
      <rPr>
        <b/>
        <sz val="12"/>
        <color rgb="FF000000"/>
        <rFont val="Times New Roman"/>
        <family val="1"/>
      </rPr>
      <t>Training</t>
    </r>
    <r>
      <rPr>
        <sz val="12"/>
        <color rgb="FF000000"/>
        <rFont val="Times New Roman"/>
        <family val="1"/>
      </rPr>
      <t xml:space="preserve">– Rs. 14  lakhs, 
3) MusQan: Health Institution level activities – Rs. 88  lakhs, 
4) NSSK Training for Medical Officers– Rs. 9.63 Lakhs,
5) NSSK Training for SNs– Rs. 9.63  lakhs, 
6) Rs.4.49 L for observership for FBNC training , 
7) Rs.12.08 L for 4 days NBSU training, 
8) Trainings for Family participatory care (KMC) - Rs.7.00 lakh
</t>
    </r>
    <r>
      <rPr>
        <b/>
        <sz val="12"/>
        <color rgb="FF000000"/>
        <rFont val="Times New Roman"/>
        <family val="1"/>
      </rPr>
      <t xml:space="preserve"> OOC </t>
    </r>
    <r>
      <rPr>
        <sz val="12"/>
        <color rgb="FF000000"/>
        <rFont val="Times New Roman"/>
        <family val="1"/>
      </rPr>
      <t xml:space="preserve">- </t>
    </r>
    <r>
      <rPr>
        <b/>
        <sz val="12"/>
        <color rgb="FF000000"/>
        <rFont val="Times New Roman"/>
        <family val="1"/>
      </rPr>
      <t>184.35 lakhs</t>
    </r>
    <r>
      <rPr>
        <sz val="12"/>
        <color rgb="FF000000"/>
        <rFont val="Times New Roman"/>
        <family val="1"/>
      </rPr>
      <t xml:space="preserve">
1) Rs. 1 Lakh for Operating expenses for State new-born resource centre , 
2) Operating expenses for SNCU - Rs.75.00 Lakh,
3) Operating expenses for 64 NBSU :Rs.64.00 Lakh,
4) Operating expenses for NBCC - Rs. 10.00 Lakh, 
5) Operating expenses for Family participatory care (KMC) - 18.75 Lakh, 
6) Operating expenses for Mother new-born Care Unit - Rs. 15.60 Lakh    
</t>
    </r>
    <r>
      <rPr>
        <b/>
        <sz val="12"/>
        <color rgb="FF000000"/>
        <rFont val="Times New Roman"/>
        <family val="1"/>
      </rPr>
      <t xml:space="preserve">IEC &amp; Printing - 54.55 lakhs
</t>
    </r>
    <r>
      <rPr>
        <sz val="12"/>
        <color rgb="FF000000"/>
        <rFont val="Times New Roman"/>
        <family val="1"/>
      </rPr>
      <t xml:space="preserve">1) 25.3785 lakhs for IEC Mass Media activities for State (Detailed in Annexure I) 2) Rs.25 L for printing for SNCU Data management. 3) Printing &amp; translation cost for Family participatory care (KMC) @ Rs 5 per poster printed 10 posters in all delivery points, 5 each in all CHC PHCs and 2 each in Subcenters and AWCs. Rs.5 x 83418 = Rs.4,17,000/-           </t>
    </r>
  </si>
  <si>
    <r>
      <rPr>
        <b/>
        <sz val="12"/>
        <color theme="1"/>
        <rFont val="Times New Roman"/>
        <family val="1"/>
      </rPr>
      <t xml:space="preserve">Capacity Building &amp; Training - Rs 14 lakh
</t>
    </r>
    <r>
      <rPr>
        <sz val="12"/>
        <color theme="1"/>
        <rFont val="Times New Roman"/>
        <family val="1"/>
      </rPr>
      <t xml:space="preserve">CDR regional and state ToT training @ Rs.7 lakh,  
Child death review – Rs. 7 lakhs for CDR training @ Rs.50000 per district
</t>
    </r>
    <r>
      <rPr>
        <b/>
        <sz val="12"/>
        <color theme="1"/>
        <rFont val="Times New Roman"/>
        <family val="1"/>
      </rPr>
      <t xml:space="preserve">Asha Incentive - </t>
    </r>
    <r>
      <rPr>
        <sz val="12"/>
        <color theme="1"/>
        <rFont val="Times New Roman"/>
        <family val="1"/>
      </rPr>
      <t xml:space="preserve">Rs. 0.90 lakh -        Rs.50 per under 5 Child dealth @ community level /Non-FRU level/ pvt facilities for 1800 under 5 deaths.
</t>
    </r>
    <r>
      <rPr>
        <b/>
        <sz val="12"/>
        <color theme="1"/>
        <rFont val="Times New Roman"/>
        <family val="1"/>
      </rPr>
      <t>Others including operating costs(OOC) – Rs. 72.816  lakh</t>
    </r>
    <r>
      <rPr>
        <sz val="12"/>
        <color theme="1"/>
        <rFont val="Times New Roman"/>
        <family val="1"/>
      </rPr>
      <t xml:space="preserve">
H1) ANM Honorarium (FBIR) of RRs. 100 per Under 5 Child Deaths @ Community level/ Non-FRU level/ private facilities for 1800 Under 5 Deaths. 1800 cases *100 = 1,80,000/- 
H2)  Medical Officer Honorarium (Verbal Autopsy) @ Rs. 9.0 lakhs for Verbal Autopsy by team of 2 MOs @ Rs. 500 per Under 5 Child Deaths @ Community level/ Non- FRU level/ private facilities for 1800 Under 5 Deaths. 1800*500 = 9,00,000/-
H3) Transport of Parents @ Rs. 1.01 lakh for transport of parents @ Rs.100 per case to attend DM level meeting for 1008 deceased children. 
H4)  DM Level Review – Rs. 0.7 lakh for DM level meeting @ Rs. 5000 per District (per annum) for 14districts
@ Rs. 5000 *14 district = Rs. 70,000/- 
</t>
    </r>
  </si>
  <si>
    <r>
      <rPr>
        <b/>
        <sz val="12"/>
        <color theme="1"/>
        <rFont val="Times New Roman"/>
        <family val="1"/>
      </rPr>
      <t xml:space="preserve">Capacity Building &amp; Training - Rs 14 lakh
</t>
    </r>
    <r>
      <rPr>
        <sz val="12"/>
        <color theme="1"/>
        <rFont val="Times New Roman"/>
        <family val="1"/>
      </rPr>
      <t xml:space="preserve">CDR regional and state ToT training @ Rs.7 lakh,  
Child death review – Rs. 7 lakhs for CDR training @ Rs.50000 per district
</t>
    </r>
    <r>
      <rPr>
        <b/>
        <sz val="12"/>
        <color theme="1"/>
        <rFont val="Times New Roman"/>
        <family val="1"/>
      </rPr>
      <t xml:space="preserve">Asha Incentive - </t>
    </r>
    <r>
      <rPr>
        <sz val="12"/>
        <color theme="1"/>
        <rFont val="Times New Roman"/>
        <family val="1"/>
      </rPr>
      <t xml:space="preserve">Rs. 0.90 lakh -        Rs.50 per under 5 Child dealth @ community level /Non-FRU level/ pvt facilities for 1800 under 5 deaths.
</t>
    </r>
    <r>
      <rPr>
        <b/>
        <sz val="12"/>
        <color theme="1"/>
        <rFont val="Times New Roman"/>
        <family val="1"/>
      </rPr>
      <t>Others including operating costs(OOC) – Rs. 72.816  lakh</t>
    </r>
    <r>
      <rPr>
        <sz val="12"/>
        <color theme="1"/>
        <rFont val="Times New Roman"/>
        <family val="1"/>
      </rPr>
      <t xml:space="preserve">
H1) ANM Honorarium (FBIR) of RRs. 100 per Under 5 Child Deaths @ Community level/ Non-FRU level/ private facilities for 1800 Under 5 Deaths. 1800 cases *100 = 1,80,000/- 
H2)  Medical Officer Honorarium (Verbal Autopsy) @ Rs. 9.0 lakhs for Verbal Autopsy by team of 2 MOs @ Rs. 500 per Under 5 Child Deaths @ Community level/ Non- FRU level/ private facilities for 1800 Under 5 Deaths. 1800*500 = 9,00,000/-
H3) Transport of Parents @ Rs. 1.01 lakh for transport of parents @ Rs.100 per case to attend DM level meeting for 1008 deceased children. 
H4)  DM Level Review – Rs. 0.7 lakh for DM level meeting @ Rs. 5000 per District (per annum) for 14districts
@ Rs. 5000 *14 district = Rs. 70,000/- 
</t>
    </r>
  </si>
  <si>
    <r>
      <rPr>
        <b/>
        <sz val="12"/>
        <color rgb="FF000000"/>
        <rFont val="Times New Roman"/>
        <family val="1"/>
      </rPr>
      <t xml:space="preserve">Training </t>
    </r>
    <r>
      <rPr>
        <sz val="12"/>
        <color rgb="FF000000"/>
        <rFont val="Times New Roman"/>
        <family val="1"/>
      </rPr>
      <t>-</t>
    </r>
    <r>
      <rPr>
        <b/>
        <sz val="12"/>
        <color rgb="FF000000"/>
        <rFont val="Times New Roman"/>
        <family val="1"/>
      </rPr>
      <t xml:space="preserve">  Rs.48.30 L </t>
    </r>
    <r>
      <rPr>
        <sz val="12"/>
        <color rgb="FF000000"/>
        <rFont val="Times New Roman"/>
        <family val="1"/>
      </rPr>
      <t xml:space="preserve">
Rs.21 L for conducting one day sensitisation program for dist officials 
Rs.27.30 L for training fo ASHA s in SAANS
</t>
    </r>
    <r>
      <rPr>
        <b/>
        <sz val="12"/>
        <color rgb="FF000000"/>
        <rFont val="Times New Roman"/>
        <family val="1"/>
      </rPr>
      <t>IEC - Rs. 50.25 lakhs</t>
    </r>
    <r>
      <rPr>
        <sz val="12"/>
        <color rgb="FF000000"/>
        <rFont val="Times New Roman"/>
        <family val="1"/>
      </rPr>
      <t xml:space="preserve">
A1)    2 lakh for  state level laungh of SAANS campaign
A2)   1 Lakh per District for  District Level Launch of SAANS  Campaign
B1)   3.25 lakh for state level IEC /BCC Activities 
B2)  Rs. 2 lakh for per district for district level  IEC /BCC Activities of SAANS Campaign. 
 </t>
    </r>
    <r>
      <rPr>
        <b/>
        <sz val="12"/>
        <color rgb="FF000000"/>
        <rFont val="Times New Roman"/>
        <family val="1"/>
      </rPr>
      <t xml:space="preserve">Printing </t>
    </r>
    <r>
      <rPr>
        <sz val="12"/>
        <color rgb="FF000000"/>
        <rFont val="Times New Roman"/>
        <family val="1"/>
      </rPr>
      <t>-</t>
    </r>
    <r>
      <rPr>
        <b/>
        <sz val="12"/>
        <color rgb="FF000000"/>
        <rFont val="Times New Roman"/>
        <family val="1"/>
      </rPr>
      <t xml:space="preserve"> Rs.3 L</t>
    </r>
    <r>
      <rPr>
        <sz val="12"/>
        <color rgb="FF000000"/>
        <rFont val="Times New Roman"/>
        <family val="1"/>
      </rPr>
      <t xml:space="preserve"> for printing of training module and treatment protocol
</t>
    </r>
    <r>
      <rPr>
        <b/>
        <sz val="12"/>
        <color rgb="FF000000"/>
        <rFont val="Times New Roman"/>
        <family val="1"/>
      </rPr>
      <t xml:space="preserve">Plannig &amp; M&amp;E </t>
    </r>
    <r>
      <rPr>
        <sz val="12"/>
        <color rgb="FF000000"/>
        <rFont val="Times New Roman"/>
        <family val="1"/>
      </rPr>
      <t>- Rs.3 lakhs for supportive supervison of SAANS programme
Rs.3 L for mobility support"</t>
    </r>
  </si>
  <si>
    <r>
      <rPr>
        <b/>
        <sz val="12"/>
        <color rgb="FF000000"/>
        <rFont val="Times New Roman"/>
        <family val="1"/>
      </rPr>
      <t xml:space="preserve">Training -  Rs.48.30 L </t>
    </r>
    <r>
      <rPr>
        <sz val="12"/>
        <color rgb="FF000000"/>
        <rFont val="Times New Roman"/>
        <family val="1"/>
      </rPr>
      <t xml:space="preserve">
Rs.21 L for conducting one day sensitisation program for dist officials 
Rs.27.30 L for training fo ASHA s in SAANS
</t>
    </r>
    <r>
      <rPr>
        <b/>
        <sz val="12"/>
        <color rgb="FF000000"/>
        <rFont val="Times New Roman"/>
        <family val="1"/>
      </rPr>
      <t>IEC - Rs. 47.25 lakhs</t>
    </r>
    <r>
      <rPr>
        <sz val="12"/>
        <color rgb="FF000000"/>
        <rFont val="Times New Roman"/>
        <family val="1"/>
      </rPr>
      <t xml:space="preserve">
A) 2 lakh for  state level laungh of SAANS campaign   and Rs. 1 Lakh per District for  District Level Launch of SAANS Campaign
B) 3.25 lakh for state level IEC /BCC Activities  and Rs. 2 lakh for per district for district level  IEC /BCC Activities of SAANS Campaign.
</t>
    </r>
    <r>
      <rPr>
        <b/>
        <sz val="12"/>
        <color rgb="FF000000"/>
        <rFont val="Times New Roman"/>
        <family val="1"/>
      </rPr>
      <t>Printing -Nil</t>
    </r>
    <r>
      <rPr>
        <sz val="12"/>
        <color rgb="FF000000"/>
        <rFont val="Times New Roman"/>
        <family val="1"/>
      </rPr>
      <t xml:space="preserve">
</t>
    </r>
    <r>
      <rPr>
        <b/>
        <sz val="12"/>
        <color rgb="FF000000"/>
        <rFont val="Times New Roman"/>
        <family val="1"/>
      </rPr>
      <t xml:space="preserve">Plannig &amp; M&amp;E </t>
    </r>
    <r>
      <rPr>
        <sz val="12"/>
        <color rgb="FF000000"/>
        <rFont val="Times New Roman"/>
        <family val="1"/>
      </rPr>
      <t>- Rs.3 lakhs for supportive supervison of SAANS programme
Rs.3 L for mobility support"</t>
    </r>
  </si>
  <si>
    <r>
      <rPr>
        <b/>
        <sz val="12"/>
        <color theme="1"/>
        <rFont val="Times New Roman"/>
        <family val="1"/>
      </rPr>
      <t xml:space="preserve">Capacity building incl. training – Rs. 17.5 lakh
</t>
    </r>
    <r>
      <rPr>
        <sz val="12"/>
        <color theme="1"/>
        <rFont val="Times New Roman"/>
        <family val="1"/>
      </rPr>
      <t>F1) Training on F-IMNCI at State Level – Rs. 3.50 Lakh
F2) Training on F-IMNCI at District Level – Rs. 14.00 Lakh</t>
    </r>
    <r>
      <rPr>
        <b/>
        <sz val="12"/>
        <color theme="1"/>
        <rFont val="Times New Roman"/>
        <family val="1"/>
      </rPr>
      <t xml:space="preserve">
</t>
    </r>
    <r>
      <rPr>
        <sz val="12"/>
        <color theme="1"/>
        <rFont val="Times New Roman"/>
        <family val="1"/>
      </rPr>
      <t xml:space="preserve">@ Rs. 1 lakh each for F-IMNCI  district level training </t>
    </r>
    <r>
      <rPr>
        <b/>
        <sz val="12"/>
        <color theme="1"/>
        <rFont val="Times New Roman"/>
        <family val="1"/>
      </rPr>
      <t xml:space="preserve">
OperationalCost </t>
    </r>
    <r>
      <rPr>
        <sz val="12"/>
        <color theme="1"/>
        <rFont val="Times New Roman"/>
        <family val="1"/>
      </rPr>
      <t xml:space="preserve"> </t>
    </r>
    <r>
      <rPr>
        <b/>
        <sz val="12"/>
        <color theme="1"/>
        <rFont val="Times New Roman"/>
        <family val="1"/>
      </rPr>
      <t>Pediatric HDUs – Rs. 43.5lakhs</t>
    </r>
    <r>
      <rPr>
        <sz val="12"/>
        <color theme="1"/>
        <rFont val="Times New Roman"/>
        <family val="1"/>
      </rPr>
      <t xml:space="preserve">
Operational cost for 29 HDUs @ Rs. 1.50 Lakh per HDU</t>
    </r>
  </si>
  <si>
    <r>
      <rPr>
        <sz val="12"/>
        <color rgb="FF980000"/>
        <rFont val="Times New Roman"/>
        <family val="1"/>
      </rPr>
      <t xml:space="preserve">Equipments - Revised list as per Post NPCC Comment, Equipment for Strengthening Paediatric Units at Delivery Points,Total Rs.256.882Lakhs 
</t>
    </r>
    <r>
      <rPr>
        <b/>
        <sz val="12"/>
        <color theme="1"/>
        <rFont val="Times New Roman"/>
        <family val="1"/>
      </rPr>
      <t>Capacity building incl. training – Rs. 17.5 lakh</t>
    </r>
    <r>
      <rPr>
        <sz val="12"/>
        <color theme="1"/>
        <rFont val="Times New Roman"/>
        <family val="1"/>
      </rPr>
      <t xml:space="preserve">
F1) Training on F-IMNCI at State Level – Rs. 3.50 Lakh
F2) Training on F-IMNCI at District Level – Rs. 14.00 Lakh
@ Rs. 1 lakh each for F-IMNCI  district level training </t>
    </r>
    <r>
      <rPr>
        <sz val="12"/>
        <color rgb="FF980000"/>
        <rFont val="Times New Roman"/>
        <family val="1"/>
      </rPr>
      <t xml:space="preserve">
</t>
    </r>
    <r>
      <rPr>
        <b/>
        <sz val="12"/>
        <color theme="1"/>
        <rFont val="Times New Roman"/>
        <family val="1"/>
      </rPr>
      <t xml:space="preserve">Operational Cost </t>
    </r>
    <r>
      <rPr>
        <sz val="12"/>
        <color theme="1"/>
        <rFont val="Times New Roman"/>
        <family val="1"/>
      </rPr>
      <t xml:space="preserve">Pediatric HDUs </t>
    </r>
    <r>
      <rPr>
        <b/>
        <sz val="12"/>
        <color theme="1"/>
        <rFont val="Times New Roman"/>
        <family val="1"/>
      </rPr>
      <t>– Rs. 43.50lakhs</t>
    </r>
    <r>
      <rPr>
        <sz val="12"/>
        <color theme="1"/>
        <rFont val="Times New Roman"/>
        <family val="1"/>
      </rPr>
      <t xml:space="preserve">
Operational cost for 29 HDUs @ Rs. 1.50 Lakh per HDU </t>
    </r>
  </si>
  <si>
    <r>
      <rPr>
        <b/>
        <sz val="12"/>
        <color rgb="FF000000"/>
        <rFont val="Times New Roman"/>
        <family val="1"/>
      </rPr>
      <t>Drugs and Diagnostics</t>
    </r>
    <r>
      <rPr>
        <sz val="12"/>
        <color rgb="FF000000"/>
        <rFont val="Times New Roman"/>
        <family val="1"/>
      </rPr>
      <t>: Total estimated delivery is 128150. it is assumed 15% sick and 19223 cases budgeted for drugs and diagnostics @ Rs.200/- each</t>
    </r>
  </si>
  <si>
    <r>
      <rPr>
        <b/>
        <sz val="12"/>
        <color theme="1"/>
        <rFont val="Times New Roman"/>
        <family val="1"/>
      </rPr>
      <t>OOC  :</t>
    </r>
    <r>
      <rPr>
        <sz val="12"/>
        <color theme="1"/>
        <rFont val="Times New Roman"/>
        <family val="1"/>
      </rPr>
      <t xml:space="preserve"> Total estimated delivery is 128150. it is assumed 15% sick and 19223 cases budgeted for drugs and diagnostics @ Rs.200/- each</t>
    </r>
  </si>
  <si>
    <r>
      <rPr>
        <b/>
        <sz val="12"/>
        <color rgb="FF000000"/>
        <rFont val="Times New Roman"/>
        <family val="1"/>
      </rPr>
      <t xml:space="preserve">OOC </t>
    </r>
    <r>
      <rPr>
        <sz val="12"/>
        <color rgb="FF000000"/>
        <rFont val="Times New Roman"/>
        <family val="1"/>
      </rPr>
      <t xml:space="preserve">: Total estimated delivery is 128150. it is assumed 15% sick and 19223 cases budgeted for transport @ Rs.500/- </t>
    </r>
  </si>
  <si>
    <r>
      <rPr>
        <b/>
        <sz val="12"/>
        <color theme="1"/>
        <rFont val="Times New Roman"/>
        <family val="1"/>
      </rPr>
      <t xml:space="preserve">OOC </t>
    </r>
    <r>
      <rPr>
        <sz val="12"/>
        <color theme="1"/>
        <rFont val="Times New Roman"/>
        <family val="1"/>
      </rPr>
      <t>:  Total estimated delivery is 128150. it is assumed 15% sick and 19223 cases budgeted for transport @ Rs.500/- each</t>
    </r>
  </si>
  <si>
    <r>
      <rPr>
        <b/>
        <sz val="12"/>
        <color theme="1"/>
        <rFont val="Times New Roman"/>
        <family val="1"/>
      </rPr>
      <t xml:space="preserve">IEC &amp; Printing </t>
    </r>
    <r>
      <rPr>
        <sz val="12"/>
        <color theme="1"/>
        <rFont val="Times New Roman"/>
        <family val="1"/>
      </rPr>
      <t xml:space="preserve">- </t>
    </r>
    <r>
      <rPr>
        <b/>
        <sz val="12"/>
        <color theme="1"/>
        <rFont val="Times New Roman"/>
        <family val="1"/>
      </rPr>
      <t xml:space="preserve">100.00 L 
</t>
    </r>
    <r>
      <rPr>
        <sz val="12"/>
        <color theme="1"/>
        <rFont val="Times New Roman"/>
        <family val="1"/>
      </rPr>
      <t xml:space="preserve">Rs. 100 Lakhs for IEC/ BCC activities related to Child Health Programs namely ECD, PAALAN, MCP Card, National Newborn Week, India Newborn Action Plan, IDCF, Promotion of RBSK Program including DEICs and Comprehensive Newborn Screening 
</t>
    </r>
    <r>
      <rPr>
        <b/>
        <sz val="12"/>
        <color theme="1"/>
        <rFont val="Times New Roman"/>
        <family val="1"/>
      </rPr>
      <t xml:space="preserve">Planning and M &amp; E </t>
    </r>
    <r>
      <rPr>
        <sz val="12"/>
        <color theme="1"/>
        <rFont val="Times New Roman"/>
        <family val="1"/>
      </rPr>
      <t xml:space="preserve">- </t>
    </r>
    <r>
      <rPr>
        <b/>
        <sz val="12"/>
        <color theme="1"/>
        <rFont val="Times New Roman"/>
        <family val="1"/>
      </rPr>
      <t xml:space="preserve"> Rs.29.95 L</t>
    </r>
    <r>
      <rPr>
        <sz val="12"/>
        <color theme="1"/>
        <rFont val="Times New Roman"/>
        <family val="1"/>
      </rPr>
      <t xml:space="preserve">
1) Rs. 5.45 L for State level meeting and orientation progammes 
2) Rs.24.5 L for district level orientation program for CH program @ 1.75 lakh each district. </t>
    </r>
  </si>
  <si>
    <r>
      <rPr>
        <b/>
        <sz val="12"/>
        <color theme="1"/>
        <rFont val="Times New Roman"/>
        <family val="1"/>
      </rPr>
      <t xml:space="preserve">IEC &amp; Printing </t>
    </r>
    <r>
      <rPr>
        <sz val="12"/>
        <color theme="1"/>
        <rFont val="Times New Roman"/>
        <family val="1"/>
      </rPr>
      <t xml:space="preserve">- </t>
    </r>
    <r>
      <rPr>
        <b/>
        <sz val="12"/>
        <color theme="1"/>
        <rFont val="Times New Roman"/>
        <family val="1"/>
      </rPr>
      <t xml:space="preserve">100.00 L 
</t>
    </r>
    <r>
      <rPr>
        <sz val="12"/>
        <color theme="1"/>
        <rFont val="Times New Roman"/>
        <family val="1"/>
      </rPr>
      <t xml:space="preserve">Rs. 100 Lakhs for IEC/ BCC activities related to Child Health Programs namely ECD, PAALAN, MCP Card, National Newborn Week, India Newborn Action Plan, IDCF, Promotion of RBSK Program including DEICs and Comprehensive Newborn Screening 
</t>
    </r>
    <r>
      <rPr>
        <b/>
        <sz val="12"/>
        <color theme="1"/>
        <rFont val="Times New Roman"/>
        <family val="1"/>
      </rPr>
      <t xml:space="preserve">Planning and M &amp; E </t>
    </r>
    <r>
      <rPr>
        <sz val="12"/>
        <color theme="1"/>
        <rFont val="Times New Roman"/>
        <family val="1"/>
      </rPr>
      <t xml:space="preserve">- </t>
    </r>
    <r>
      <rPr>
        <b/>
        <sz val="12"/>
        <color theme="1"/>
        <rFont val="Times New Roman"/>
        <family val="1"/>
      </rPr>
      <t xml:space="preserve"> Rs.29.95 L</t>
    </r>
    <r>
      <rPr>
        <sz val="12"/>
        <color theme="1"/>
        <rFont val="Times New Roman"/>
        <family val="1"/>
      </rPr>
      <t xml:space="preserve">
1) Rs. 5.45 L for State level meeting and orientation progammes 
2) Rs.24.5 L for district level orientation program for CH program @ 1.75 lakh each district. </t>
    </r>
  </si>
  <si>
    <t>iec reduced</t>
  </si>
  <si>
    <r>
      <rPr>
        <b/>
        <sz val="12"/>
        <color rgb="FF000000"/>
        <rFont val="Times New Roman"/>
        <family val="1"/>
      </rPr>
      <t>Training -Rs.83.58 lakhs-</t>
    </r>
    <r>
      <rPr>
        <sz val="12"/>
        <color rgb="FF000000"/>
        <rFont val="Times New Roman"/>
        <family val="1"/>
      </rPr>
      <t xml:space="preserve">
1.Cold chain handlers training 22.86 L - 45 batches - 20 participants - 2 days training @ Rs.50800 per batch
2.State TOT  - Rs.120250/-
3.Immunisation training for MO -Rs.15.22 lakhs-22 batch-3 days-30 participants @ Rs.69200/- 
4.Immunisation training for ANM -Rs.34.55 lakhs-68 batch-3 days-30 participants @ Rs.50800/-
5. Uwin training block level for ASHA Rs.9.75 lakhs
</t>
    </r>
    <r>
      <rPr>
        <b/>
        <sz val="12"/>
        <color rgb="FF000000"/>
        <rFont val="Times New Roman"/>
        <family val="1"/>
      </rPr>
      <t>ASHA incentives 1036.16 L</t>
    </r>
    <r>
      <rPr>
        <sz val="12"/>
        <color rgb="FF000000"/>
        <rFont val="Times New Roman"/>
        <family val="1"/>
      </rPr>
      <t xml:space="preserve">-
1.full Immunisation  413.57L 
2. Complete immunisation up to second year Rs.310.17 L
3.DPT booster at the age of 5-6 years Rs.229.71 L
4.Incentives for mobilisation of children  82.71L
</t>
    </r>
    <r>
      <rPr>
        <b/>
        <sz val="12"/>
        <color rgb="FF000000"/>
        <rFont val="Times New Roman"/>
        <family val="1"/>
      </rPr>
      <t xml:space="preserve">OOC </t>
    </r>
    <r>
      <rPr>
        <sz val="12"/>
        <color rgb="FF000000"/>
        <rFont val="Times New Roman"/>
        <family val="1"/>
      </rPr>
      <t>-</t>
    </r>
    <r>
      <rPr>
        <b/>
        <sz val="12"/>
        <color rgb="FF000000"/>
        <rFont val="Times New Roman"/>
        <family val="1"/>
      </rPr>
      <t xml:space="preserve"> 213.77L</t>
    </r>
    <r>
      <rPr>
        <sz val="12"/>
        <color rgb="FF000000"/>
        <rFont val="Times New Roman"/>
        <family val="1"/>
      </rPr>
      <t xml:space="preserve">
AVD in hard to reach areas @ Rs.200/- for 13273 sessions - Rs.26.54L
AVD in very hard to reach areas @ Rs.450/- for 6637session - Rs.29.86L
AVD in other areas @ Rs.90/- for 112822sessions - Rs.101.5398L
POL for vaccine delivery  37L-for 14 DVS @ Rs.2 lakhs and for 3 RVS @ Rs.3 lakhs
Cold chain maintenance - 18.81lakh</t>
    </r>
    <r>
      <rPr>
        <b/>
        <sz val="12"/>
        <color rgb="FF000000"/>
        <rFont val="Times New Roman"/>
        <family val="1"/>
      </rPr>
      <t xml:space="preserve">
</t>
    </r>
    <r>
      <rPr>
        <sz val="12"/>
        <color rgb="FF000000"/>
        <rFont val="Times New Roman"/>
        <family val="1"/>
      </rPr>
      <t xml:space="preserve">Rs.13.01 L for 1301 session sites @ Rs.1000/-, 
District Rs.20000/year districts for 14  - Amount Rs 2.8 lakhs,
Rs.3 lakhs for maintenance cost of 6 RVS/DVS with WIC @ Rs.50000/-
</t>
    </r>
    <r>
      <rPr>
        <b/>
        <sz val="12"/>
        <color rgb="FF000000"/>
        <rFont val="Times New Roman"/>
        <family val="1"/>
      </rPr>
      <t xml:space="preserve">IEC Activities : 88.90 lakhs
</t>
    </r>
    <r>
      <rPr>
        <sz val="12"/>
        <color rgb="FF000000"/>
        <rFont val="Times New Roman"/>
        <family val="1"/>
      </rPr>
      <t xml:space="preserve">(State) - 39.50 L  (IEC activities - 22 L + Printing and dissemination of Immunisation cards - 17 L + .50 for printing temperature record book), District - 49.40 L 
</t>
    </r>
    <r>
      <rPr>
        <b/>
        <sz val="12"/>
        <color rgb="FF000000"/>
        <rFont val="Times New Roman"/>
        <family val="1"/>
      </rPr>
      <t>Planning &amp; M&amp;E - 69.80 lakhs</t>
    </r>
    <r>
      <rPr>
        <sz val="12"/>
        <color rgb="FF000000"/>
        <rFont val="Times New Roman"/>
        <family val="1"/>
      </rPr>
      <t xml:space="preserve">
Consumables for computers @ 1000/dist &amp; state per month - 1.68 L
Developing micro plan at SHC level - 5.415 L 
For micro plans at block level - 2.14 L
Quarterly state levle meetings - 2.52 L
Quarterly review meetings at dist level - 5.60 L
Quarterly review meetings at block level - 7.44 L                                           Mobility Support at  district and state - Rs 45 L
</t>
    </r>
    <r>
      <rPr>
        <b/>
        <sz val="12"/>
        <color rgb="FF000000"/>
        <rFont val="Times New Roman"/>
        <family val="1"/>
      </rPr>
      <t>SRRE 53.71 lakhs</t>
    </r>
    <r>
      <rPr>
        <sz val="12"/>
        <color rgb="FF000000"/>
        <rFont val="Times New Roman"/>
        <family val="1"/>
      </rPr>
      <t xml:space="preserve">
*AEFI QMS (Assessment  (Internal Assessment at District level 13.08 L, Peer assessment at  CHC &amp; PHC/FHC 27.10 L and Peer Assessment at District Level 2.24 L,Training 1.21 &amp; Mentoring cum Monitoring 10.08)</t>
    </r>
  </si>
  <si>
    <r>
      <rPr>
        <b/>
        <sz val="12"/>
        <color rgb="FF000000"/>
        <rFont val="Times New Roman"/>
        <family val="1"/>
      </rPr>
      <t>Training -Rs.83.58 lakhs-</t>
    </r>
    <r>
      <rPr>
        <sz val="12"/>
        <color rgb="FF000000"/>
        <rFont val="Times New Roman"/>
        <family val="1"/>
      </rPr>
      <t xml:space="preserve">
1..Cold chain handlers training 22.86 L - 45 batches - 20 participants - 2 days training @ Rs.50800 per batch
2.State TOT  - Rs.120250/-
3.Immunisation training for MO -Rs.15.22 lakhs-22 batch-3 days-30 participants @ Rs.69200/- 
4.Immunisation training for ANM -Rs.34.55 lakhs-68 batch-3 days-30 participants @ Rs.50800/-                                            
5. Uwin training block level for ASHA Rs.9.75 lakhs
</t>
    </r>
    <r>
      <rPr>
        <b/>
        <sz val="12"/>
        <color rgb="FF000000"/>
        <rFont val="Times New Roman"/>
        <family val="1"/>
      </rPr>
      <t>ASHA incentives 1019.70 L</t>
    </r>
    <r>
      <rPr>
        <sz val="12"/>
        <color rgb="FF000000"/>
        <rFont val="Times New Roman"/>
        <family val="1"/>
      </rPr>
      <t xml:space="preserve">-
1.full Immunisation  413.57L 
2. Complete immunisation up to second year Rs.310.17 L
3.DPT booster at the age of 5-6 years Rs.213.25L
4.Incentives for mobilisation of children  82.71L
</t>
    </r>
    <r>
      <rPr>
        <b/>
        <sz val="12"/>
        <color rgb="FF000000"/>
        <rFont val="Times New Roman"/>
        <family val="1"/>
      </rPr>
      <t xml:space="preserve">OOC </t>
    </r>
    <r>
      <rPr>
        <sz val="12"/>
        <color rgb="FF000000"/>
        <rFont val="Times New Roman"/>
        <family val="1"/>
      </rPr>
      <t>-</t>
    </r>
    <r>
      <rPr>
        <b/>
        <sz val="12"/>
        <color rgb="FF000000"/>
        <rFont val="Times New Roman"/>
        <family val="1"/>
      </rPr>
      <t xml:space="preserve"> 213.77 lkhs</t>
    </r>
    <r>
      <rPr>
        <sz val="12"/>
        <color rgb="FF000000"/>
        <rFont val="Times New Roman"/>
        <family val="1"/>
      </rPr>
      <t xml:space="preserve">
AVD in hard to reach areas @ Rs.200/- for 13273 sessions - Rs.26.54L
AVD in very hard to reach areas @ Rs.500/- for 6637session - Rs.33.18 L
AVD in other areas @ Rs.100/- for 112822sessions - Rs.112.82 L
POL for vaccine delivery  37L-for 14 DVS @ Rs.2 lakhs and for 3 RVS @ Rs.3 lakhs
</t>
    </r>
    <r>
      <rPr>
        <b/>
        <sz val="12"/>
        <color rgb="FF000000"/>
        <rFont val="Times New Roman"/>
        <family val="1"/>
      </rPr>
      <t xml:space="preserve">Cold chain maintenance - 18.81 lakh
</t>
    </r>
    <r>
      <rPr>
        <sz val="12"/>
        <color rgb="FF000000"/>
        <rFont val="Times New Roman"/>
        <family val="1"/>
      </rPr>
      <t xml:space="preserve">Rs.13.01 L for 1301 session sites @ Rs.1000/-, District Rs.20000/year districts for 14  - Amount Rs 2.8 lakhs,
Rs.3 lakhs for maintenance cost of 6 RVS/DVS with WIC @ Rs.50000/-
</t>
    </r>
    <r>
      <rPr>
        <b/>
        <sz val="12"/>
        <color rgb="FF000000"/>
        <rFont val="Times New Roman"/>
        <family val="1"/>
      </rPr>
      <t xml:space="preserve">IEC Activities : 88.90 lakhs
</t>
    </r>
    <r>
      <rPr>
        <sz val="12"/>
        <color rgb="FF000000"/>
        <rFont val="Times New Roman"/>
        <family val="1"/>
      </rPr>
      <t xml:space="preserve">(State) - 39.50 L  (IEC activities - 22 L + Printing and dissemination of Immunisation cards - 17 L + .50 for printing temperature record book), District - 49.40 L 
</t>
    </r>
    <r>
      <rPr>
        <b/>
        <sz val="12"/>
        <color rgb="FF000000"/>
        <rFont val="Times New Roman"/>
        <family val="1"/>
      </rPr>
      <t>Planning &amp; M&amp;E - 69.80 lakhs</t>
    </r>
    <r>
      <rPr>
        <sz val="12"/>
        <color rgb="FF000000"/>
        <rFont val="Times New Roman"/>
        <family val="1"/>
      </rPr>
      <t xml:space="preserve">
Consumables for computers @ 1000/dist &amp; state per month - 1.8 L
Developing micro plan at SHC level - 5.415 L 
For micro plans at block level - 2.14 L
Quarterly state levle meetings - 2.52 L
Quarterly review meetings at dist level - 5.60 L
Quarterly review meetings at block level - 7.44 L                                           Mobility Support at  district and state - Rs 45 L
</t>
    </r>
    <r>
      <rPr>
        <b/>
        <sz val="12"/>
        <color rgb="FF000000"/>
        <rFont val="Times New Roman"/>
        <family val="1"/>
      </rPr>
      <t>SRRE 53.71 lakhs</t>
    </r>
    <r>
      <rPr>
        <sz val="12"/>
        <color rgb="FF000000"/>
        <rFont val="Times New Roman"/>
        <family val="1"/>
      </rPr>
      <t xml:space="preserve">
*AEFI QMS (Assessment  (Internal Assessment at District level 13.08 L, Peer assessment at  CHC &amp; PHC/FHC 27.10 L and Peer Assessment at District Level 2.24 L,Training 1.21 &amp; Mentoring cum Monitoring 10.08)</t>
    </r>
  </si>
  <si>
    <t>Pulse polio operational cost</t>
  </si>
  <si>
    <r>
      <rPr>
        <b/>
        <sz val="12"/>
        <color theme="1"/>
        <rFont val="Times New Roman"/>
        <family val="1"/>
      </rPr>
      <t xml:space="preserve">Equipment-Rs.28 L </t>
    </r>
    <r>
      <rPr>
        <sz val="12"/>
        <color theme="1"/>
        <rFont val="Times New Roman"/>
        <family val="1"/>
      </rPr>
      <t xml:space="preserve">for replacement of Temperature loggers
</t>
    </r>
    <r>
      <rPr>
        <b/>
        <sz val="12"/>
        <color theme="1"/>
        <rFont val="Times New Roman"/>
        <family val="1"/>
      </rPr>
      <t>Training -</t>
    </r>
    <r>
      <rPr>
        <sz val="12"/>
        <color theme="1"/>
        <rFont val="Times New Roman"/>
        <family val="1"/>
      </rPr>
      <t xml:space="preserve"> State and  district level evin training-8.20 L
</t>
    </r>
    <r>
      <rPr>
        <b/>
        <sz val="12"/>
        <color theme="1"/>
        <rFont val="Times New Roman"/>
        <family val="1"/>
      </rPr>
      <t>OOC</t>
    </r>
    <r>
      <rPr>
        <sz val="12"/>
        <color theme="1"/>
        <rFont val="Times New Roman"/>
        <family val="1"/>
      </rPr>
      <t xml:space="preserve">-Operational cost for evin
</t>
    </r>
    <r>
      <rPr>
        <b/>
        <sz val="12"/>
        <color theme="1"/>
        <rFont val="Times New Roman"/>
        <family val="1"/>
      </rPr>
      <t xml:space="preserve">Rs.71.76 lakhs </t>
    </r>
    <r>
      <rPr>
        <sz val="12"/>
        <color theme="1"/>
        <rFont val="Times New Roman"/>
        <family val="1"/>
      </rPr>
      <t>for Data sim card for TL, Data SIM Card for CCH/VCCM- 46.46 lakhs</t>
    </r>
  </si>
  <si>
    <r>
      <rPr>
        <b/>
        <sz val="12"/>
        <color theme="1"/>
        <rFont val="Times New Roman"/>
        <family val="1"/>
      </rPr>
      <t>Equipment</t>
    </r>
    <r>
      <rPr>
        <sz val="12"/>
        <color theme="1"/>
        <rFont val="Times New Roman"/>
        <family val="1"/>
      </rPr>
      <t>-</t>
    </r>
    <r>
      <rPr>
        <b/>
        <sz val="12"/>
        <color theme="1"/>
        <rFont val="Times New Roman"/>
        <family val="1"/>
      </rPr>
      <t xml:space="preserve">Rs.28 L </t>
    </r>
    <r>
      <rPr>
        <sz val="12"/>
        <color theme="1"/>
        <rFont val="Times New Roman"/>
        <family val="1"/>
      </rPr>
      <t xml:space="preserve">for replacement of Temperature loggers
</t>
    </r>
    <r>
      <rPr>
        <b/>
        <sz val="12"/>
        <color theme="1"/>
        <rFont val="Times New Roman"/>
        <family val="1"/>
      </rPr>
      <t>Training</t>
    </r>
    <r>
      <rPr>
        <sz val="12"/>
        <color theme="1"/>
        <rFont val="Times New Roman"/>
        <family val="1"/>
      </rPr>
      <t xml:space="preserve"> - State and  district level evin training-8.20 L
</t>
    </r>
    <r>
      <rPr>
        <b/>
        <sz val="12"/>
        <color theme="1"/>
        <rFont val="Times New Roman"/>
        <family val="1"/>
      </rPr>
      <t>OOC</t>
    </r>
    <r>
      <rPr>
        <sz val="12"/>
        <color theme="1"/>
        <rFont val="Times New Roman"/>
        <family val="1"/>
      </rPr>
      <t xml:space="preserve">-Operational cost for evin
</t>
    </r>
    <r>
      <rPr>
        <b/>
        <sz val="12"/>
        <color theme="1"/>
        <rFont val="Times New Roman"/>
        <family val="1"/>
      </rPr>
      <t xml:space="preserve">Rs.71.76 lakhs </t>
    </r>
    <r>
      <rPr>
        <sz val="12"/>
        <color theme="1"/>
        <rFont val="Times New Roman"/>
        <family val="1"/>
      </rPr>
      <t>for Data sim card for TL, Data SIM Card for CCH/VCCM- 46.46 lakhs</t>
    </r>
  </si>
  <si>
    <r>
      <rPr>
        <b/>
        <sz val="11"/>
        <color theme="1"/>
        <rFont val="Times New Roman"/>
        <family val="1"/>
      </rPr>
      <t>Capacity Building -Training -   24.80 Lakhs</t>
    </r>
    <r>
      <rPr>
        <sz val="11"/>
        <color theme="1"/>
        <rFont val="Times New Roman"/>
        <family val="1"/>
      </rPr>
      <t xml:space="preserve">
Training - for 1) Adolescent Friendly Health Service hybrid training (1 day offline  + 2 days online) of ANM/LHV/MPW/other health workers @Rs.50000/dist. (3 days trg. 40 nos/batch) – Rs.7 L
2) 4 days hybrid training (1 day offline + 3 days online) of MOs in each of 14 districts @70000/ batch (40 Nos.) – Rs.9.8 L
3) Refresher Training of counsellors for 3 days (3 batches) Rs.2 lakhs / batch – 
Rs. 6 L 
4)  Refresher Training of core group district AH Nodal MOs and   District AH Co ordinator  for 2 days – Rs. 2 L
</t>
    </r>
    <r>
      <rPr>
        <b/>
        <sz val="11"/>
        <color theme="1"/>
        <rFont val="Times New Roman"/>
        <family val="1"/>
      </rPr>
      <t xml:space="preserve">OOC - 62.66 lakhs </t>
    </r>
    <r>
      <rPr>
        <sz val="11"/>
        <color theme="1"/>
        <rFont val="Times New Roman"/>
        <family val="1"/>
      </rPr>
      <t xml:space="preserve">
1) Operating expenses for AH/RKSK clinics: AH/RKSK centre Rs. 12000/centre for 109 centre - Rs.13.08 L
2) Mobility support to counsellors for conducting 8 outreach session / month for 12 months @Rs.400/session for 109 centre - Rs.41.86 L  
3) Establishment of One new AFHC at Alappuzha Rs.50000/- ,
 Re-establishing  the AFHC from Kalpetta to Vythiry in Wayanad – Rs.50000/-,
 restructuring 5 AFHCs in Pathanamthitta for Rs.2.50 lakhs ie total   Rs.3.50 L
4) Rs.1.40 lakhs for Bi-annual district level convergence workshop under RKSK. Rs 5000/district
5) As communication support to 94 dedicated AH counsellors @ Rs.250 /month for 12 months. ie 2.82 L ( 94* 250 *12 )  -  Rs.2.82 L
</t>
    </r>
    <r>
      <rPr>
        <b/>
        <sz val="11"/>
        <color theme="1"/>
        <rFont val="Times New Roman"/>
        <family val="1"/>
      </rPr>
      <t>IEC Printing - Rs.3.50 lakhs</t>
    </r>
    <r>
      <rPr>
        <sz val="11"/>
        <color theme="1"/>
        <rFont val="Times New Roman"/>
        <family val="1"/>
      </rPr>
      <t xml:space="preserve">
proposed for printing of brochures, small IEC cards, posters, registers @ Rs.25000/- per district
</t>
    </r>
  </si>
  <si>
    <r>
      <rPr>
        <b/>
        <sz val="11"/>
        <color theme="1"/>
        <rFont val="Times New Roman"/>
        <family val="1"/>
      </rPr>
      <t>Capacity Building -Training -   24.80 Lakhs</t>
    </r>
    <r>
      <rPr>
        <sz val="11"/>
        <color theme="1"/>
        <rFont val="Times New Roman"/>
        <family val="1"/>
      </rPr>
      <t xml:space="preserve">
Training - for 1) Adolescent Friendly Health Service hybrid training (1 day offline  + 2 days online) of ANM/LHV/MPW/other health workers @Rs.50000/dist. (3 days trg. 40 nos/batch) – Rs.7 L
2) 4 days hybrid training (1 day offline + 3 days online) of MOs in each of 14 districts @70000/ batch (40 Nos.) – Rs.9.8 L
3) Refresher Training of counsellors for 3 days (3 batches) Rs.2 lakhs / batch – 
Rs. 6 L 
4)  Refresher Training of core group district AH Nodal MOs and   District AH Co ordinator  for 2 days – Rs. 2 L
</t>
    </r>
    <r>
      <rPr>
        <b/>
        <sz val="11"/>
        <color theme="1"/>
        <rFont val="Times New Roman"/>
        <family val="1"/>
      </rPr>
      <t xml:space="preserve">OOC - 62.66 lakhs </t>
    </r>
    <r>
      <rPr>
        <sz val="11"/>
        <color theme="1"/>
        <rFont val="Times New Roman"/>
        <family val="1"/>
      </rPr>
      <t xml:space="preserve">
1) Operating expenses for AH/RKSK clinics: AH/RKSK centre Rs. 12000/centre for 109 centre - Rs.13.08 L
2) Mobility support to counsellors for conducting 8 outreach session / month for 12 months @Rs.400/session for 109 centre - Rs.41.86 L  
3) Establishment of One new AFHC at Alappuzha Rs.50000/- ,
 Re-establishing  the AFHC from Kalpetta to Vythiry in Wayanad – Rs.50000/-,
 restructuring 5 AFHCs in Pathanamthitta for Rs.2.50 lakhs ie total   Rs.3.50 L
4) Rs.1.40 lakhs for Bi-annual district level convergence workshop under RKSK. Rs 5000/district
5) As communication support to 94 dedicated AH counsellors @ Rs.250 /month for 12 months. ie 2.82 L ( 94* 250 *12 )  -  Rs.2.82 L
</t>
    </r>
    <r>
      <rPr>
        <b/>
        <sz val="11"/>
        <color theme="1"/>
        <rFont val="Times New Roman"/>
        <family val="1"/>
      </rPr>
      <t>IEC Printing - Rs.3.50 lakhs</t>
    </r>
    <r>
      <rPr>
        <sz val="11"/>
        <color theme="1"/>
        <rFont val="Times New Roman"/>
        <family val="1"/>
      </rPr>
      <t xml:space="preserve">
proposed for printing of brochures, small IEC cards, posters, registers @ Rs.25000/- per district
</t>
    </r>
  </si>
  <si>
    <r>
      <rPr>
        <b/>
        <sz val="11"/>
        <color rgb="FFFF0000"/>
        <rFont val="Times New Roman"/>
        <family val="1"/>
      </rPr>
      <t xml:space="preserve">Capacity Building - Training - 9.30 lakhs 
</t>
    </r>
    <r>
      <rPr>
        <sz val="11"/>
        <color rgb="FFFF0000"/>
        <rFont val="Times New Roman"/>
        <family val="1"/>
      </rPr>
      <t xml:space="preserve">1) WIFS training for teachers  in all districts  186 batch @ Rs 5000 per batch =Rs 9.3 L
</t>
    </r>
    <r>
      <rPr>
        <b/>
        <sz val="11"/>
        <color rgb="FFFF0000"/>
        <rFont val="Times New Roman"/>
        <family val="1"/>
      </rPr>
      <t xml:space="preserve">Drugs and supplies - Budget for Procurement done by States - Rs 182.37 lakhs 
</t>
    </r>
    <r>
      <rPr>
        <sz val="11"/>
        <color rgb="FFFF0000"/>
        <rFont val="Times New Roman"/>
        <family val="1"/>
      </rPr>
      <t xml:space="preserve">2)Procurement of 154552268 WIFS IFA BLUE tabs for 2972159 adolescents (10-19yr) @Rs 0.118 per tab= Rs 182.37 L
</t>
    </r>
    <r>
      <rPr>
        <sz val="11"/>
        <color theme="1"/>
        <rFont val="Times New Roman"/>
        <family val="1"/>
      </rPr>
      <t xml:space="preserve">
</t>
    </r>
    <r>
      <rPr>
        <sz val="11"/>
        <color rgb="FFFF0000"/>
        <rFont val="Times New Roman"/>
        <family val="1"/>
      </rPr>
      <t>Total Rs 191.67 L---Post NPCC revision</t>
    </r>
  </si>
  <si>
    <r>
      <rPr>
        <b/>
        <sz val="11"/>
        <color rgb="FFFF0000"/>
        <rFont val="Times New Roman"/>
        <family val="1"/>
      </rPr>
      <t xml:space="preserve">Capacity Building - Training - 9.30 lakhs 
</t>
    </r>
    <r>
      <rPr>
        <sz val="11"/>
        <color rgb="FFFF0000"/>
        <rFont val="Times New Roman"/>
        <family val="1"/>
      </rPr>
      <t xml:space="preserve">1) WIFS training for teachers  in all districts  186 batch @ Rs 5000 per batch =Rs 9.3 L
</t>
    </r>
    <r>
      <rPr>
        <b/>
        <sz val="11"/>
        <color rgb="FFFF0000"/>
        <rFont val="Times New Roman"/>
        <family val="1"/>
      </rPr>
      <t xml:space="preserve">Drugs and supplies - Budget for Procurement done by States - Rs 182.37 lakhs 
</t>
    </r>
    <r>
      <rPr>
        <sz val="11"/>
        <color rgb="FFFF0000"/>
        <rFont val="Times New Roman"/>
        <family val="1"/>
      </rPr>
      <t xml:space="preserve">2)Procurement of 154552268 WIFS IFA BLUE tabs for 2972159 adolescents (10-19yr) @Rs 0.118 per tab= Rs 182.37 L
</t>
    </r>
    <r>
      <rPr>
        <sz val="11"/>
        <color theme="1"/>
        <rFont val="Times New Roman"/>
        <family val="1"/>
      </rPr>
      <t xml:space="preserve">
</t>
    </r>
    <r>
      <rPr>
        <sz val="11"/>
        <color rgb="FFFF0000"/>
        <rFont val="Times New Roman"/>
        <family val="1"/>
      </rPr>
      <t>Total Rs 191.67 L---Post NPCC revision</t>
    </r>
  </si>
  <si>
    <r>
      <rPr>
        <b/>
        <sz val="11"/>
        <color theme="1"/>
        <rFont val="Times New Roman"/>
        <family val="1"/>
      </rPr>
      <t xml:space="preserve">Drugs and supplies - 200 Lakhs 
</t>
    </r>
    <r>
      <rPr>
        <sz val="11"/>
        <color theme="1"/>
        <rFont val="Times New Roman"/>
        <family val="1"/>
      </rPr>
      <t xml:space="preserve">Sanitary napkins for  adolescent girls
</t>
    </r>
    <r>
      <rPr>
        <sz val="11"/>
        <color rgb="FFFF0000"/>
        <rFont val="Times New Roman"/>
        <family val="1"/>
      </rPr>
      <t>For 83333 adolescent girls @120 napkins per year --Rs 2.00 per napkin-Post NPCC revision</t>
    </r>
  </si>
  <si>
    <r>
      <rPr>
        <b/>
        <sz val="11"/>
        <color theme="1"/>
        <rFont val="Times New Roman"/>
        <family val="1"/>
      </rPr>
      <t xml:space="preserve">Drugs and supplies - 200 Lakhs 
</t>
    </r>
    <r>
      <rPr>
        <sz val="11"/>
        <color theme="1"/>
        <rFont val="Times New Roman"/>
        <family val="1"/>
      </rPr>
      <t xml:space="preserve">Sanitary napkins for  adolescent girls
</t>
    </r>
    <r>
      <rPr>
        <sz val="11"/>
        <color rgb="FFFF0000"/>
        <rFont val="Times New Roman"/>
        <family val="1"/>
      </rPr>
      <t>For 83333 adolescent girls @120 napkins per year --Rs 2.00 per napkin-Post NPCC revision</t>
    </r>
  </si>
  <si>
    <r>
      <rPr>
        <b/>
        <sz val="11"/>
        <color theme="1"/>
        <rFont val="Times New Roman"/>
        <family val="1"/>
      </rPr>
      <t xml:space="preserve">Capacity Building - Training : Rs. 101.50  lakhs </t>
    </r>
    <r>
      <rPr>
        <sz val="11"/>
        <color theme="1"/>
        <rFont val="Times New Roman"/>
        <family val="1"/>
      </rPr>
      <t xml:space="preserve">
1) Training (6 days ) of New Peer Educator in all districts (BLOCK LEVEL)@70000/- for 145 batch -101.50 L
</t>
    </r>
    <r>
      <rPr>
        <b/>
        <sz val="11"/>
        <color theme="1"/>
        <rFont val="Times New Roman"/>
        <family val="1"/>
      </rPr>
      <t xml:space="preserve">ASHA Incentives :Rs.3.49 lakhs </t>
    </r>
    <r>
      <rPr>
        <sz val="11"/>
        <color theme="1"/>
        <rFont val="Times New Roman"/>
        <family val="1"/>
      </rPr>
      <t xml:space="preserve">
 Incentive for AH/RKSK Services - ASHA Incentive for mobilizing adolescents and community for AHWD. (Rs.200/- * 4 ASHAs * 4 AHWDs/year * 109)  - Rs.3.49 L
</t>
    </r>
    <r>
      <rPr>
        <b/>
        <sz val="11"/>
        <color theme="1"/>
        <rFont val="Times New Roman"/>
        <family val="1"/>
      </rPr>
      <t>OCC – Rs. 159.40 lakhs</t>
    </r>
    <r>
      <rPr>
        <sz val="11"/>
        <color theme="1"/>
        <rFont val="Times New Roman"/>
        <family val="1"/>
      </rPr>
      <t xml:space="preserve">
1) Organizing monthly Adolescent Friendly Club meetings at sub centre level Rs. 500* 109 selected blocks *5 sub centre*12 AFC meetings/FY – Rs.32.70 L
2) Community Intervention for AH Services - Incentives for Peer Educators Rs 50/month* 12 months*19300 PEs – Rs.115.80 L
3) Organizing Adolescent Health &amp; Wellness day Rs. 2500* 109 selected blocks *
4 AHWD/FY – Rs. 10.90 L
</t>
    </r>
    <r>
      <rPr>
        <b/>
        <sz val="11"/>
        <color theme="1"/>
        <rFont val="Times New Roman"/>
        <family val="1"/>
      </rPr>
      <t>IEC &amp; Printing : Rs.20.30 lakhs</t>
    </r>
    <r>
      <rPr>
        <sz val="11"/>
        <color theme="1"/>
        <rFont val="Times New Roman"/>
        <family val="1"/>
      </rPr>
      <t xml:space="preserve">
PE Kit and PE Diary @ Rs 350/PE kit &amp; diary * 5800  New PEs entering 8th STD. – Rs.20.30 L</t>
    </r>
  </si>
  <si>
    <r>
      <rPr>
        <b/>
        <sz val="11"/>
        <color theme="1"/>
        <rFont val="Times New Roman"/>
        <family val="1"/>
      </rPr>
      <t xml:space="preserve">Capacity Building - Training : Rs. 101.50  lakhs </t>
    </r>
    <r>
      <rPr>
        <sz val="11"/>
        <color theme="1"/>
        <rFont val="Times New Roman"/>
        <family val="1"/>
      </rPr>
      <t xml:space="preserve">
1) Training (6 days ) of New Peer Educator in all districts (BLOCK LEVEL)@70000/- for 145 batch -101.50 L
</t>
    </r>
    <r>
      <rPr>
        <b/>
        <sz val="11"/>
        <color theme="1"/>
        <rFont val="Times New Roman"/>
        <family val="1"/>
      </rPr>
      <t xml:space="preserve">ASHA Incentives :Rs.3.49 lakhs </t>
    </r>
    <r>
      <rPr>
        <sz val="11"/>
        <color theme="1"/>
        <rFont val="Times New Roman"/>
        <family val="1"/>
      </rPr>
      <t xml:space="preserve">
 Incentive for AH/RKSK Services - ASHA Incentive for mobilizing adolescents and community for AHWD. (Rs.200/- * 4 ASHAs * 4 AHWDs/year * 109)  - Rs.3.49 L
</t>
    </r>
    <r>
      <rPr>
        <b/>
        <sz val="11"/>
        <color theme="1"/>
        <rFont val="Times New Roman"/>
        <family val="1"/>
      </rPr>
      <t>OCC – Rs. 159.40 lakhs</t>
    </r>
    <r>
      <rPr>
        <sz val="11"/>
        <color theme="1"/>
        <rFont val="Times New Roman"/>
        <family val="1"/>
      </rPr>
      <t xml:space="preserve">
1) Organizing monthly Adolescent Friendly Club meetings at sub centre level Rs. 500* 109 selected blocks *5 sub centre*12 AFC meetings/FY – Rs.32.70 L
2) Community Intervention for AH Services - Incentives for Peer Educators Rs 50/month* 12 months*19300 PEs – Rs.115.80 L
3) Organizing Adolescent Health &amp; Wellness day Rs. 2500* 109 selected blocks *
4 AHWD/FY – Rs. 10.90 L
</t>
    </r>
    <r>
      <rPr>
        <b/>
        <sz val="11"/>
        <color theme="1"/>
        <rFont val="Times New Roman"/>
        <family val="1"/>
      </rPr>
      <t>IEC &amp; Printing : Rs.20.30 lakhs</t>
    </r>
    <r>
      <rPr>
        <sz val="11"/>
        <color theme="1"/>
        <rFont val="Times New Roman"/>
        <family val="1"/>
      </rPr>
      <t xml:space="preserve">
PE Kit and PE Diary @ Rs 350/PE kit &amp; diary * 5800  New PEs entering 8th STD. – Rs.20.30 L</t>
    </r>
  </si>
  <si>
    <r>
      <rPr>
        <b/>
        <sz val="11"/>
        <color theme="1"/>
        <rFont val="Times New Roman"/>
        <family val="1"/>
      </rPr>
      <t>Capacity Building - Training : Rs.150 lakhs</t>
    </r>
    <r>
      <rPr>
        <sz val="11"/>
        <color theme="1"/>
        <rFont val="Times New Roman"/>
        <family val="1"/>
      </rPr>
      <t xml:space="preserve">
1) SRG 2 days refresher training (STATE LEVEL). 1 batch, 70 nos. @200000/batch
 - Rs. 2 L 
2 ) DRG 2 days Training at District level @ 1 lakhs, 50 nos. / batch @ 1 lakh ie 1 L * 14 dist. – Rs. 14 L
3 ) HWA 3 days training at District level @ 1 lakhs, 50 nos. / batch @ 1 lakh , total 130 batch ie 1 L * 130 batch – Rs. 130 L
4) Pre Screening Trg. for teachers 4 lakhs - Rs. 4 L
</t>
    </r>
    <r>
      <rPr>
        <b/>
        <sz val="11"/>
        <color theme="1"/>
        <rFont val="Times New Roman"/>
        <family val="1"/>
      </rPr>
      <t>IEC &amp; Printing : Rs.51.22 lakhs</t>
    </r>
    <r>
      <rPr>
        <sz val="11"/>
        <color theme="1"/>
        <rFont val="Times New Roman"/>
        <family val="1"/>
      </rPr>
      <t xml:space="preserve">
1) Module reference copy for schools , No. of schools 6505/2 = 3252 schools , 1 module Rs. 300 * 4 set ie. 3252 * 300 * set of 4,  ie Rs.39.02 L 
2) IEC poster, 3252 schools * set of 15 @ Rs.25 = 3252 * 15 * 25 ie Rs. 12.20 L 
</t>
    </r>
    <r>
      <rPr>
        <b/>
        <sz val="11"/>
        <color theme="1"/>
        <rFont val="Times New Roman"/>
        <family val="1"/>
      </rPr>
      <t xml:space="preserve">OOC : 116.16 Lakhs
</t>
    </r>
    <r>
      <rPr>
        <sz val="11"/>
        <color theme="1"/>
        <rFont val="Times New Roman"/>
        <family val="1"/>
      </rPr>
      <t xml:space="preserve">3) Health corner boards at 3252 schools @ Rs. 700 ie 3252 * 700 ie Rs. 22.76 L
4) Merchandisc for HWA and HWM cap (for teachers in 3252 schools @ Rs 200 i.e Rs. 6.5 L
5) T-shirt for students (HWM) in 3252 schools 10 students @ Rs 250 ie Rs. 81.30 L
</t>
    </r>
    <r>
      <rPr>
        <sz val="11"/>
        <color rgb="FFFF9900"/>
        <rFont val="Times New Roman"/>
        <family val="1"/>
      </rPr>
      <t>6) Advocacy workshop under SHWP @Rs.40000/dist. Ie. Rs.5.60 L</t>
    </r>
    <r>
      <rPr>
        <sz val="11"/>
        <color theme="1"/>
        <rFont val="Times New Roman"/>
        <family val="1"/>
      </rPr>
      <t xml:space="preserve">
</t>
    </r>
  </si>
  <si>
    <r>
      <rPr>
        <b/>
        <sz val="11"/>
        <color theme="1"/>
        <rFont val="Times New Roman"/>
        <family val="1"/>
      </rPr>
      <t>Capacity Building - Training : Rs.150 lakhs</t>
    </r>
    <r>
      <rPr>
        <sz val="11"/>
        <color theme="1"/>
        <rFont val="Times New Roman"/>
        <family val="1"/>
      </rPr>
      <t xml:space="preserve">
1) SRG 2 days refresher training (STATE LEVEL). 1 batch, 70 nos. @200000/batch
 - Rs. 2 L 
2 ) DRG 2 days Training at District level @ 1 lakhs, 50 nos. / batch @ 1 lakh ie 1 L * 14 dist. – Rs. 14 L
3 ) HWA 3 days training at District level @ 1 lakhs, 50 nos. / batch @ 1 lakh , total 130 batch ie 1 L * 130 batch – Rs. 130 L
4) Pre Screening Trg. for teachers 4 lakhs - Rs. 4 L
</t>
    </r>
    <r>
      <rPr>
        <b/>
        <sz val="11"/>
        <color theme="1"/>
        <rFont val="Times New Roman"/>
        <family val="1"/>
      </rPr>
      <t>IEC &amp; Printing : Rs.167.38 lakhs</t>
    </r>
    <r>
      <rPr>
        <sz val="11"/>
        <color theme="1"/>
        <rFont val="Times New Roman"/>
        <family val="1"/>
      </rPr>
      <t xml:space="preserve">
1) Module reference copy for schools , No. of schools 6505/2 = 3252 schools , 1 module Rs. 300 * 4 set ie. 3252 * 300 * set of 4,  ie Rs.39.02 L 
2) IEC poster, 3252 schools * set of 15 @ Rs.25 = 3252 * 15 * 25 ie Rs. 12.20 L 
3) Health corner boards at 3252 schools @ Rs. 700 ie 3252 * 700 ie Rs. 22.76 L
4) Merchandisc for HWA and HWM cap (for teachers in 3252 schools @ Rs 200 i.e Rs. 6.5 L
5) T-shirt for students (HWM) in 3252 schools 10 students @ Rs 250 ie Rs. 81.30 L
6) Advocacy workshop under SHWP @Rs.40000/dist. Ie. Rs.5.60 L
</t>
    </r>
  </si>
  <si>
    <r>
      <rPr>
        <b/>
        <sz val="11"/>
        <color rgb="FF000000"/>
        <rFont val="Times New Roman"/>
        <family val="1"/>
      </rPr>
      <t xml:space="preserve">Capacity building including Training -Rs.1.53 lakhs </t>
    </r>
    <r>
      <rPr>
        <sz val="11"/>
        <color rgb="FF000000"/>
        <rFont val="Times New Roman"/>
        <family val="1"/>
      </rPr>
      <t xml:space="preserve">
Organizing 2 district level coordination and dissemination workshop for RKSK and AB_SHWP @Rs 5460/workshop – Rs.1.529 L
</t>
    </r>
    <r>
      <rPr>
        <b/>
        <sz val="11"/>
        <color rgb="FFFF0000"/>
        <rFont val="Times New Roman"/>
        <family val="1"/>
      </rPr>
      <t>OOC – Rs.3.15 lakhs</t>
    </r>
    <r>
      <rPr>
        <sz val="11"/>
        <color rgb="FFFF0000"/>
        <rFont val="Times New Roman"/>
        <family val="1"/>
      </rPr>
      <t xml:space="preserve">
Rewards and Recognition  for  good performing  RKSK Stakeholders  ( NFI equaling   Rs. 1500 each for 10 best AH Counselors (ie Rs.15000) and NFI equaling  Rs. 500 for  600 Best PEs   in State (Rs 3,00,000) ( total 15,000 + 3,00,000=3.15 L ) [ Norms will be finalized]</t>
    </r>
    <r>
      <rPr>
        <sz val="11"/>
        <color rgb="FF000000"/>
        <rFont val="Times New Roman"/>
        <family val="1"/>
      </rPr>
      <t xml:space="preserve">
</t>
    </r>
    <r>
      <rPr>
        <b/>
        <sz val="11"/>
        <color rgb="FF000000"/>
        <rFont val="Times New Roman"/>
        <family val="1"/>
      </rPr>
      <t>IEC &amp; Printing -56.66 lakhs</t>
    </r>
    <r>
      <rPr>
        <sz val="11"/>
        <color rgb="FF000000"/>
        <rFont val="Times New Roman"/>
        <family val="1"/>
      </rPr>
      <t xml:space="preserve">
a) For printing of AFHC forms for 109 AFHCs @ Rs.2000/AFHC ie Rs. 2.18 L
b) For printing of AFHS Training manuals for MO, ANM, Counsellors and training manual for PE training @Rs.200 / manual for all Dists. (160 nos. per dist.) - Rs.32000/- per district ie. Rs. 4.48 L
IEC - Mass Mid media Activities - 50 L (Detailed in IEC Annexure)
</t>
    </r>
    <r>
      <rPr>
        <b/>
        <sz val="11"/>
        <color rgb="FF000000"/>
        <rFont val="Times New Roman"/>
        <family val="1"/>
      </rPr>
      <t>Planning and M&amp;E :28.95 lakhs</t>
    </r>
    <r>
      <rPr>
        <sz val="11"/>
        <color rgb="FF000000"/>
        <rFont val="Times New Roman"/>
        <family val="1"/>
      </rPr>
      <t xml:space="preserve">
Rewards and Recognition  for  good performing  HWAs @ Rs. 500 worth NF incentive  for 15  best HWAs  in each of 186 blocks = Rs 13.95 L 
[ Norms will be finalized ]
Regional Review Meeting scheduled for 2025 - 2026 – Rs.15 L</t>
    </r>
    <r>
      <rPr>
        <sz val="11"/>
        <color rgb="FFFF00FF"/>
        <rFont val="Times New Roman"/>
        <family val="1"/>
      </rPr>
      <t xml:space="preserve">
</t>
    </r>
    <r>
      <rPr>
        <b/>
        <sz val="11"/>
        <color rgb="FFFF00FF"/>
        <rFont val="Times New Roman"/>
        <family val="1"/>
      </rPr>
      <t>Regional Review Meeting scheduled for 2024 - 2025 = 15 L (not approved in  2025-2026)</t>
    </r>
  </si>
  <si>
    <r>
      <rPr>
        <b/>
        <sz val="11"/>
        <color rgb="FF000000"/>
        <rFont val="Times New Roman"/>
        <family val="1"/>
      </rPr>
      <t xml:space="preserve">Capacity building including Training -Rs.1.53 lakhs </t>
    </r>
    <r>
      <rPr>
        <sz val="11"/>
        <color rgb="FF000000"/>
        <rFont val="Times New Roman"/>
        <family val="1"/>
      </rPr>
      <t xml:space="preserve">
Organizing 2 district level coordination and dissemination workshop for RKSK and AB_SHWP @Rs 5460/workshop – Rs.1.529 L
</t>
    </r>
    <r>
      <rPr>
        <b/>
        <sz val="11"/>
        <color rgb="FF000000"/>
        <rFont val="Times New Roman"/>
        <family val="1"/>
      </rPr>
      <t>OOC – Rs.3.15 lakhs</t>
    </r>
    <r>
      <rPr>
        <sz val="11"/>
        <color rgb="FF000000"/>
        <rFont val="Times New Roman"/>
        <family val="1"/>
      </rPr>
      <t xml:space="preserve">
Rewards and Recognition  for  good performing  RKSK Stakeholders  ( NFI equaling   Rs. 1500 each for 10 best AH Counselors (ie Rs.15000) and NFI equaling  Rs. 500 for  600 Best PEs   in State (Rs 3,00,000) ( total 15,000 + 3,00,000=3.15 L ) [ Norms will be finalized]
</t>
    </r>
    <r>
      <rPr>
        <b/>
        <sz val="11"/>
        <color rgb="FF000000"/>
        <rFont val="Times New Roman"/>
        <family val="1"/>
      </rPr>
      <t>IEC &amp; Printing -56.66 lakhs</t>
    </r>
    <r>
      <rPr>
        <sz val="11"/>
        <color rgb="FF000000"/>
        <rFont val="Times New Roman"/>
        <family val="1"/>
      </rPr>
      <t xml:space="preserve">
a) For printing of AFHC forms for 109 AFHCs @ Rs.2000/AFHC ie Rs. 2.18 L
b) For printing of AFHS Training manuals for MO, ANM, Counsellors and training manual for PE training @Rs.200 / manual for all Dists. (160 nos. per dist.) - Rs.32000/- per district ie. Rs. 4.48 L
IEC - Mass Mid media Activities - 50 L (Detailed in IEC Annexure)
</t>
    </r>
    <r>
      <rPr>
        <b/>
        <sz val="11"/>
        <color rgb="FF000000"/>
        <rFont val="Times New Roman"/>
        <family val="1"/>
      </rPr>
      <t>Planning and M&amp;E :13.95 lakhs</t>
    </r>
    <r>
      <rPr>
        <sz val="11"/>
        <color rgb="FF000000"/>
        <rFont val="Times New Roman"/>
        <family val="1"/>
      </rPr>
      <t xml:space="preserve">
Rewards and Recognition  for  good performing  HWAs @ Rs. 500 worth NF incentive  for 15  best HWAs  in each of 186 blocks = Rs 13.95 L 
[ Norms will be finalized ]</t>
    </r>
  </si>
  <si>
    <r>
      <rPr>
        <b/>
        <sz val="11"/>
        <color theme="1"/>
        <rFont val="Times New Roman"/>
        <family val="1"/>
      </rPr>
      <t>OOC – Rs.2.5 lakhs</t>
    </r>
    <r>
      <rPr>
        <sz val="11"/>
        <color theme="1"/>
        <rFont val="Times New Roman"/>
        <family val="1"/>
      </rPr>
      <t xml:space="preserve">
AH Mela @ selected two schools in each block in Wayanad (aspirational dist.) total 10 school@ 25000 ie.  Rs.2.5 L 
</t>
    </r>
  </si>
  <si>
    <r>
      <rPr>
        <b/>
        <sz val="11"/>
        <color theme="1"/>
        <rFont val="Times New Roman"/>
        <family val="1"/>
      </rPr>
      <t>OOC – Rs.2.5 lakhs</t>
    </r>
    <r>
      <rPr>
        <sz val="11"/>
        <color theme="1"/>
        <rFont val="Times New Roman"/>
        <family val="1"/>
      </rPr>
      <t xml:space="preserve">
AH Mela @ selected two schools in each block in Wayanad (aspirational dist.) total 10 school@ 25000 ie.  Rs.2.5 L 
</t>
    </r>
  </si>
  <si>
    <r>
      <rPr>
        <sz val="12"/>
        <color theme="1"/>
        <rFont val="Times New Roman"/>
        <family val="1"/>
      </rPr>
      <t xml:space="preserve">DBT/ASHA incentive /OOC-Compensation for Sterilisation -proposed for 15464 cases
</t>
    </r>
    <r>
      <rPr>
        <b/>
        <sz val="12"/>
        <color theme="1"/>
        <rFont val="Times New Roman"/>
        <family val="1"/>
      </rPr>
      <t>Training -Rs.15.40 lakhs</t>
    </r>
    <r>
      <rPr>
        <sz val="12"/>
        <color theme="1"/>
        <rFont val="Times New Roman"/>
        <family val="1"/>
      </rPr>
      <t xml:space="preserve"> for 14 districts @ Rs.110000/- for 12 days training</t>
    </r>
  </si>
  <si>
    <r>
      <rPr>
        <b/>
        <sz val="12"/>
        <color rgb="FF980000"/>
        <rFont val="Times New Roman"/>
        <family val="1"/>
      </rPr>
      <t>Equipment -  Total Rs.72 Lakh.Video Laproscope Set for Sterilisation at a unit cost of 12 lakh for selected hospitals - Revised as per Post NPCC Comments.</t>
    </r>
    <r>
      <rPr>
        <sz val="12"/>
        <color theme="1"/>
        <rFont val="Times New Roman"/>
        <family val="1"/>
      </rPr>
      <t xml:space="preserve">
DBT/ASHA incentive /OOC-Compensation for Sterilisation -proposed for 15464 cases
</t>
    </r>
    <r>
      <rPr>
        <b/>
        <sz val="12"/>
        <color theme="1"/>
        <rFont val="Times New Roman"/>
        <family val="1"/>
      </rPr>
      <t>Training -Rs.15.40 lakhs</t>
    </r>
    <r>
      <rPr>
        <sz val="12"/>
        <color theme="1"/>
        <rFont val="Times New Roman"/>
        <family val="1"/>
      </rPr>
      <t xml:space="preserve"> for 14 districts @ Rs.110000/- for 12 days training</t>
    </r>
  </si>
  <si>
    <t>DBT/ASHA incentive /OOC-Proposed for compensation for male strilisation -685 cases
NSV training -for 14 districts @ Rs.34500/- (5 days training)</t>
  </si>
  <si>
    <r>
      <rPr>
        <b/>
        <sz val="12"/>
        <color theme="1"/>
        <rFont val="Times New Roman"/>
        <family val="1"/>
      </rPr>
      <t xml:space="preserve">DBT : 10.32 Lakhs
</t>
    </r>
    <r>
      <rPr>
        <sz val="12"/>
        <color theme="1"/>
        <rFont val="Times New Roman"/>
        <family val="1"/>
      </rPr>
      <t xml:space="preserve">DBT-proposed for 22467 IUCD cases @ Rs.20/-, for 1838 PPIUCD and 105 PAIUCD cases @ Rs.300/-
</t>
    </r>
    <r>
      <rPr>
        <b/>
        <sz val="12"/>
        <color theme="1"/>
        <rFont val="Times New Roman"/>
        <family val="1"/>
      </rPr>
      <t xml:space="preserve">ASHA Incentive- Rs.2.915 lakhs </t>
    </r>
    <r>
      <rPr>
        <sz val="12"/>
        <color theme="1"/>
        <rFont val="Times New Roman"/>
        <family val="1"/>
      </rPr>
      <t xml:space="preserve">
ASHA incentives-for 1838 PPIUCD and 105 PAIUCD cases @ Rs.150/-
</t>
    </r>
    <r>
      <rPr>
        <b/>
        <sz val="12"/>
        <color theme="1"/>
        <rFont val="Times New Roman"/>
        <family val="1"/>
      </rPr>
      <t>Training -12 lakhs</t>
    </r>
    <r>
      <rPr>
        <sz val="12"/>
        <color theme="1"/>
        <rFont val="Times New Roman"/>
        <family val="1"/>
      </rPr>
      <t xml:space="preserve"> IUCD Training  District level (5days) 3 batch each district @ Rs.37500/-</t>
    </r>
  </si>
  <si>
    <r>
      <rPr>
        <b/>
        <sz val="12"/>
        <color theme="1"/>
        <rFont val="Times New Roman"/>
        <family val="1"/>
      </rPr>
      <t xml:space="preserve">DBT : 10.32 Lakhs
</t>
    </r>
    <r>
      <rPr>
        <sz val="12"/>
        <color theme="1"/>
        <rFont val="Times New Roman"/>
        <family val="1"/>
      </rPr>
      <t xml:space="preserve">DBT-proposed for 22467 IUCD cases @ Rs.20/-, for 1838 PPIUCD and 105 PAIUCD cases @ Rs.300/-
</t>
    </r>
    <r>
      <rPr>
        <b/>
        <sz val="12"/>
        <color theme="1"/>
        <rFont val="Times New Roman"/>
        <family val="1"/>
      </rPr>
      <t xml:space="preserve">ASHA Incentive- Rs.2.915 lakhs </t>
    </r>
    <r>
      <rPr>
        <sz val="12"/>
        <color theme="1"/>
        <rFont val="Times New Roman"/>
        <family val="1"/>
      </rPr>
      <t xml:space="preserve">
ASHA incentives-for 1838 PPIUCD and 105 PAIUCD cases @ Rs.150/-
</t>
    </r>
    <r>
      <rPr>
        <b/>
        <sz val="12"/>
        <color theme="1"/>
        <rFont val="Times New Roman"/>
        <family val="1"/>
      </rPr>
      <t>Training -12 lakhs</t>
    </r>
    <r>
      <rPr>
        <sz val="12"/>
        <color theme="1"/>
        <rFont val="Times New Roman"/>
        <family val="1"/>
      </rPr>
      <t xml:space="preserve"> IUCD Training  District level (5days) 3 batch each district @ Rs.37500/-</t>
    </r>
  </si>
  <si>
    <t>DBT -proposed for 1936 cases @ Rs.100/-
ASHA incentives-proposed for 1936 cases @ Rs.100/-</t>
  </si>
  <si>
    <t xml:space="preserve">DBT - 35 L </t>
  </si>
  <si>
    <r>
      <rPr>
        <b/>
        <sz val="12"/>
        <color theme="1"/>
        <rFont val="Times New Roman"/>
        <family val="1"/>
      </rPr>
      <t>DBT - 35L</t>
    </r>
    <r>
      <rPr>
        <sz val="12"/>
        <color theme="1"/>
        <rFont val="Times New Roman"/>
        <family val="1"/>
      </rPr>
      <t xml:space="preserve"> </t>
    </r>
  </si>
  <si>
    <r>
      <rPr>
        <b/>
        <sz val="12"/>
        <color theme="1"/>
        <rFont val="Times New Roman"/>
        <family val="1"/>
      </rPr>
      <t xml:space="preserve">Training - 4.05 L </t>
    </r>
    <r>
      <rPr>
        <sz val="12"/>
        <color theme="1"/>
        <rFont val="Times New Roman"/>
        <family val="1"/>
      </rPr>
      <t>for FPLMIS training @ Rs.28900/- for 14 districts</t>
    </r>
  </si>
  <si>
    <r>
      <rPr>
        <b/>
        <sz val="12"/>
        <color theme="1"/>
        <rFont val="Times New Roman"/>
        <family val="1"/>
      </rPr>
      <t>Training - 4.05 L</t>
    </r>
    <r>
      <rPr>
        <sz val="12"/>
        <color theme="1"/>
        <rFont val="Times New Roman"/>
        <family val="1"/>
      </rPr>
      <t xml:space="preserve"> for FPLMIS training @ Rs.28900/- for 14 districts</t>
    </r>
  </si>
  <si>
    <r>
      <rPr>
        <b/>
        <sz val="12"/>
        <color theme="1"/>
        <rFont val="Times New Roman"/>
        <family val="1"/>
      </rPr>
      <t>IEC - Rs. 39.50 L for State and Rs. 21.5 L</t>
    </r>
    <r>
      <rPr>
        <sz val="12"/>
        <color theme="1"/>
        <rFont val="Times New Roman"/>
        <family val="1"/>
      </rPr>
      <t xml:space="preserve"> for District Level Activities
</t>
    </r>
    <r>
      <rPr>
        <b/>
        <sz val="12"/>
        <color theme="1"/>
        <rFont val="Times New Roman"/>
        <family val="1"/>
      </rPr>
      <t>Planning and M&amp;E-Rs.1 lakh</t>
    </r>
    <r>
      <rPr>
        <sz val="12"/>
        <color theme="1"/>
        <rFont val="Times New Roman"/>
        <family val="1"/>
      </rPr>
      <t xml:space="preserve"> per district for organising world population day and vasectomy day  celebrations</t>
    </r>
  </si>
  <si>
    <r>
      <rPr>
        <b/>
        <sz val="12"/>
        <color theme="1"/>
        <rFont val="Times New Roman"/>
        <family val="1"/>
      </rPr>
      <t>IEC - Rs. 39.50 L for State and Rs. 21.5 L</t>
    </r>
    <r>
      <rPr>
        <sz val="12"/>
        <color theme="1"/>
        <rFont val="Times New Roman"/>
        <family val="1"/>
      </rPr>
      <t xml:space="preserve"> for District Level Activities
</t>
    </r>
    <r>
      <rPr>
        <b/>
        <sz val="12"/>
        <color theme="1"/>
        <rFont val="Times New Roman"/>
        <family val="1"/>
      </rPr>
      <t>Planning and M&amp;E-Rs.1 lakh</t>
    </r>
    <r>
      <rPr>
        <sz val="12"/>
        <color theme="1"/>
        <rFont val="Times New Roman"/>
        <family val="1"/>
      </rPr>
      <t xml:space="preserve"> per district for organising world population day and vasectomy day  celebrations</t>
    </r>
  </si>
  <si>
    <r>
      <rPr>
        <b/>
        <sz val="12"/>
        <color theme="1"/>
        <rFont val="Times New Roman"/>
        <family val="1"/>
      </rPr>
      <t>Drugs</t>
    </r>
    <r>
      <rPr>
        <sz val="12"/>
        <color theme="1"/>
        <rFont val="Times New Roman"/>
        <family val="1"/>
      </rPr>
      <t xml:space="preserve">-   Self care kit for 500 institutions 5 L @ 1000Rs per institution
</t>
    </r>
    <r>
      <rPr>
        <b/>
        <sz val="12"/>
        <color theme="1"/>
        <rFont val="Times New Roman"/>
        <family val="1"/>
      </rPr>
      <t xml:space="preserve">IEC &amp; printing - 100.53 lakhs  </t>
    </r>
    <r>
      <rPr>
        <sz val="12"/>
        <color theme="1"/>
        <rFont val="Times New Roman"/>
        <family val="1"/>
      </rPr>
      <t xml:space="preserve">
Rs.19 L for IEC (details annexed) Annexure 1
Rs. 5  L Any other IEC 
Rs.7.55 L for dissemination of FP manual
Rs. 10 L for printing of FP manual and guidelines
Rs.20 L for printing of IUCD cards
Rs. 38.98 L for District Level activities - 
</t>
    </r>
    <r>
      <rPr>
        <b/>
        <sz val="12"/>
        <color theme="1"/>
        <rFont val="Times New Roman"/>
        <family val="1"/>
      </rPr>
      <t xml:space="preserve">Planning &amp; M &amp; E Rs.1.50L
</t>
    </r>
    <r>
      <rPr>
        <sz val="12"/>
        <color theme="1"/>
        <rFont val="Times New Roman"/>
        <family val="1"/>
      </rPr>
      <t xml:space="preserve"> FP QAC meeting and FP review meeting</t>
    </r>
  </si>
  <si>
    <r>
      <rPr>
        <b/>
        <sz val="12"/>
        <color theme="1"/>
        <rFont val="Times New Roman"/>
        <family val="1"/>
      </rPr>
      <t>Drugs</t>
    </r>
    <r>
      <rPr>
        <sz val="12"/>
        <color theme="1"/>
        <rFont val="Times New Roman"/>
        <family val="1"/>
      </rPr>
      <t xml:space="preserve">-   Self care kit for 500 institutions 5 L @ 1000Rs per institution
</t>
    </r>
    <r>
      <rPr>
        <b/>
        <sz val="12"/>
        <color theme="1"/>
        <rFont val="Times New Roman"/>
        <family val="1"/>
      </rPr>
      <t xml:space="preserve">IEC &amp; printing - 100.53 lakhs  </t>
    </r>
    <r>
      <rPr>
        <sz val="12"/>
        <color theme="1"/>
        <rFont val="Times New Roman"/>
        <family val="1"/>
      </rPr>
      <t xml:space="preserve">
Rs.19 L for IEC (details annexed) Annexure 1
Rs. 5  L Any other IEC 
Rs.7.55 L for dissemination of FP manual
Rs. 10 L for printing of FP manual and guidelines
Rs.20 L for printing of IUCD cards
Rs. 38.98 L for District Level activities - 
</t>
    </r>
    <r>
      <rPr>
        <b/>
        <sz val="12"/>
        <color theme="1"/>
        <rFont val="Times New Roman"/>
        <family val="1"/>
      </rPr>
      <t xml:space="preserve">Planning &amp; M &amp; E Rs.1.50L
</t>
    </r>
    <r>
      <rPr>
        <sz val="12"/>
        <color theme="1"/>
        <rFont val="Times New Roman"/>
        <family val="1"/>
      </rPr>
      <t xml:space="preserve"> FP QAC meeting and FP review meeting</t>
    </r>
  </si>
  <si>
    <r>
      <rPr>
        <b/>
        <sz val="12"/>
        <color theme="1"/>
        <rFont val="Times New Roman"/>
        <family val="1"/>
      </rPr>
      <t xml:space="preserve">Equipments -152.03 lakhs </t>
    </r>
    <r>
      <rPr>
        <sz val="12"/>
        <color theme="1"/>
        <rFont val="Times New Roman"/>
        <family val="1"/>
      </rPr>
      <t xml:space="preserve">
A) Rs 149.68 Lakhs for FY 2024-25 and FY 2025-26 for procurement for 1700 hemoglobinometer test strips for 1174 RBSK Nurses @ Rs.15 per Hb testing strip. 
The budgeting done for 850 hemoglobinometer test strips @ unit cost Rs.15 for an RBSK Nurse.
Cost per Nurse = 850 x 15= 12,750/-
For 1174 RBSK Nurses 850 strip/yr @ Rs 15 per strip for 1 yr
1174 x 850 x 15= 1,49,68,500/-
C.2) Hemoglobinometer 10 % for replacement of available damaged Hemoglobinometer for FY 2024-25 (1174 RBSK nurses)
117 hemoglobinometer x Rs.2000 = 2,34,000/-
</t>
    </r>
    <r>
      <rPr>
        <b/>
        <sz val="12"/>
        <color theme="1"/>
        <rFont val="Times New Roman"/>
        <family val="1"/>
      </rPr>
      <t>Drugs - Rs.  1017.60  L</t>
    </r>
    <r>
      <rPr>
        <sz val="12"/>
        <color theme="1"/>
        <rFont val="Times New Roman"/>
        <family val="1"/>
      </rPr>
      <t xml:space="preserve"> - 
A) IFA syrups (with auto dispenser) for children (6-60months), Target beneficiaries 956606 - Rs. 2,48,71,756/-,  
B) IFA tablets (IFA WIFS Junior tablets- pink sugar coated) for children (5-10 yrs.) , Target beneficiaries 1062895 @ Rs.  Rs.1,71,89,137.94 /-, 
C) IFA tablets (IFA red tablets) for pregnant woman. Target beneficiaries 74624400 @ Rs. 2,61,18,540/-, 
D) IFA tablets (IFA red tablets) for Lactating Mother. Target beneficiaries 74624400 @ Rs. 2,61,18,540/-, 
E) Folic Acid Tablets (400 mcg) for Lactating Mothers. Target beneficiaries 37312200 @ Rs. 74,62,440/-
</t>
    </r>
    <r>
      <rPr>
        <b/>
        <sz val="12"/>
        <color theme="1"/>
        <rFont val="Times New Roman"/>
        <family val="1"/>
      </rPr>
      <t>Capacity Building Rs.28 L</t>
    </r>
    <r>
      <rPr>
        <sz val="12"/>
        <color theme="1"/>
        <rFont val="Times New Roman"/>
        <family val="1"/>
      </rPr>
      <t xml:space="preserve">
Rs.14 L for orientation activities on VIt A supplementation
Rs.14 L for orientation of front line workers and allied dept workers on AMB strategy
</t>
    </r>
    <r>
      <rPr>
        <b/>
        <sz val="12"/>
        <color theme="1"/>
        <rFont val="Times New Roman"/>
        <family val="1"/>
      </rPr>
      <t>ASHA incentives - Rs. 471.18 L</t>
    </r>
    <r>
      <rPr>
        <sz val="12"/>
        <color theme="1"/>
        <rFont val="Times New Roman"/>
        <family val="1"/>
      </rPr>
      <t xml:space="preserve">
Rs.157.06 L for NIPPI for mobilising WRA
Rs.314.12 L for NIPPI for mobilising Children (6-60 months)
</t>
    </r>
  </si>
  <si>
    <r>
      <rPr>
        <b/>
        <sz val="12"/>
        <color theme="1"/>
        <rFont val="Times New Roman"/>
        <family val="1"/>
      </rPr>
      <t xml:space="preserve">Equipments -149.68 lakhs </t>
    </r>
    <r>
      <rPr>
        <sz val="12"/>
        <color theme="1"/>
        <rFont val="Times New Roman"/>
        <family val="1"/>
      </rPr>
      <t xml:space="preserve">
A) Rs 149.68 Lakhs for FY 2024-25 and FY 2025-26 for procurement for 1700 hemoglobinometer test strips for 1174 RBSK Nurses @ Rs.15 per Hb testing strip. 
The budgeting done for 850 hemoglobinometer test strips @ unit cost Rs.15 for an RBSK Nurse.
Cost per Nurse = 850 x 15= 12,750/-
For 1174 RBSK Nurses 850 strip/yr @ Rs 15 per strip for 1 yr
1174 x 850 x 15= 1,49,68,500/-
</t>
    </r>
    <r>
      <rPr>
        <b/>
        <sz val="12"/>
        <color theme="1"/>
        <rFont val="Times New Roman"/>
        <family val="1"/>
      </rPr>
      <t>Drugs - Rs.  1017.60  L</t>
    </r>
    <r>
      <rPr>
        <sz val="12"/>
        <color theme="1"/>
        <rFont val="Times New Roman"/>
        <family val="1"/>
      </rPr>
      <t xml:space="preserve"> - 
A) IFA syrups (with auto dispenser) for children (6-60months), Target beneficiaries 956606 - Rs. 2,48,71,756/-,  
B) IFA tablets (IFA WIFS Junior tablets- pink sugar coated) for children (5-10 yrs.) , Target beneficiaries 1062895 @ Rs.  Rs.1,71,89,137.94 /-, 
C) IFA tablets (IFA red tablets) for pregnant woman. Target beneficiaries 74624400 @ Rs. 2,61,18,540/-, 
D) IFA tablets (IFA red tablets) for Lactating Mother. Target beneficiaries 74624400 @ Rs. 2,61,18,540/-, 
E) Folic Acid Tablets (400 mcg) for Lactating Mothers. Target beneficiaries 37312200 @ Rs. 74,62,440/-
</t>
    </r>
    <r>
      <rPr>
        <b/>
        <sz val="12"/>
        <color theme="1"/>
        <rFont val="Times New Roman"/>
        <family val="1"/>
      </rPr>
      <t>Capacity Building Rs.28 L</t>
    </r>
    <r>
      <rPr>
        <sz val="12"/>
        <color theme="1"/>
        <rFont val="Times New Roman"/>
        <family val="1"/>
      </rPr>
      <t xml:space="preserve">
Rs.14 L for orientation activities on VIt A supplementation
Rs.14 L for orientation of front line workers and allied dept workers on AMB strategy
</t>
    </r>
    <r>
      <rPr>
        <b/>
        <sz val="12"/>
        <color theme="1"/>
        <rFont val="Times New Roman"/>
        <family val="1"/>
      </rPr>
      <t>ASHA incentives - Rs. 471.18 L</t>
    </r>
    <r>
      <rPr>
        <sz val="12"/>
        <color theme="1"/>
        <rFont val="Times New Roman"/>
        <family val="1"/>
      </rPr>
      <t xml:space="preserve">
Rs.157.06 L for NIPPI for mobilising WRA
Rs.314.12 L for NIPPI for mobilising Children (6-60 months)
</t>
    </r>
  </si>
  <si>
    <r>
      <rPr>
        <sz val="12"/>
        <color rgb="FF000000"/>
        <rFont val="Times New Roman"/>
        <family val="1"/>
      </rPr>
      <t xml:space="preserve">2 rounds of NDD;
</t>
    </r>
    <r>
      <rPr>
        <b/>
        <sz val="12"/>
        <color rgb="FF000000"/>
        <rFont val="Times New Roman"/>
        <family val="1"/>
      </rPr>
      <t>Drugs - 223.56L</t>
    </r>
    <r>
      <rPr>
        <sz val="12"/>
        <color rgb="FF000000"/>
        <rFont val="Times New Roman"/>
        <family val="1"/>
      </rPr>
      <t xml:space="preserve"> - Procurement of drugs-All albendazole procurement;
</t>
    </r>
    <r>
      <rPr>
        <b/>
        <sz val="12"/>
        <color rgb="FF000000"/>
        <rFont val="Times New Roman"/>
        <family val="1"/>
      </rPr>
      <t>Training - 83.00 L</t>
    </r>
    <r>
      <rPr>
        <sz val="12"/>
        <color rgb="FF000000"/>
        <rFont val="Times New Roman"/>
        <family val="1"/>
      </rPr>
      <t xml:space="preserve"> - Rs. 83 Lakhs for orientation of 83000 participants  (Nodal teacher, field staff and Anganwadi workers) for NDD activities @ 5000/batch for 1660 batches (50 participants/batch)
</t>
    </r>
    <r>
      <rPr>
        <b/>
        <sz val="12"/>
        <color rgb="FF000000"/>
        <rFont val="Times New Roman"/>
        <family val="1"/>
      </rPr>
      <t>ASHA incentives - 52.35 L</t>
    </r>
    <r>
      <rPr>
        <sz val="12"/>
        <color rgb="FF000000"/>
        <rFont val="Times New Roman"/>
        <family val="1"/>
      </rPr>
      <t xml:space="preserve"> @ Rs.100/- for mobilisation of children for 26177 ASHAs;
</t>
    </r>
    <r>
      <rPr>
        <b/>
        <sz val="12"/>
        <color rgb="FF000000"/>
        <rFont val="Times New Roman"/>
        <family val="1"/>
      </rPr>
      <t xml:space="preserve">IEC </t>
    </r>
    <r>
      <rPr>
        <sz val="12"/>
        <color rgb="FF000000"/>
        <rFont val="Times New Roman"/>
        <family val="1"/>
      </rPr>
      <t xml:space="preserve">&amp; </t>
    </r>
    <r>
      <rPr>
        <b/>
        <sz val="12"/>
        <color rgb="FF000000"/>
        <rFont val="Times New Roman"/>
        <family val="1"/>
      </rPr>
      <t xml:space="preserve">Printing - IEC material and reporting format Rs.42 lakhs </t>
    </r>
    <r>
      <rPr>
        <sz val="12"/>
        <color rgb="FF000000"/>
        <rFont val="Times New Roman"/>
        <family val="1"/>
      </rPr>
      <t>- Rs 42 Lakhs for IEC and printing activities for NDD @ Rs 1.5 Lakh per district per round</t>
    </r>
  </si>
  <si>
    <r>
      <rPr>
        <sz val="12"/>
        <color rgb="FF000000"/>
        <rFont val="Times New Roman"/>
        <family val="1"/>
      </rPr>
      <t xml:space="preserve">2 rounds of NDD;
</t>
    </r>
    <r>
      <rPr>
        <b/>
        <sz val="12"/>
        <color rgb="FF000000"/>
        <rFont val="Times New Roman"/>
        <family val="1"/>
      </rPr>
      <t>Drugs - 223.56L</t>
    </r>
    <r>
      <rPr>
        <sz val="12"/>
        <color rgb="FF000000"/>
        <rFont val="Times New Roman"/>
        <family val="1"/>
      </rPr>
      <t xml:space="preserve"> - Procurement of drugs-All albendazole procurement;
</t>
    </r>
    <r>
      <rPr>
        <b/>
        <sz val="12"/>
        <color rgb="FF000000"/>
        <rFont val="Times New Roman"/>
        <family val="1"/>
      </rPr>
      <t>Training - 83.00 L</t>
    </r>
    <r>
      <rPr>
        <sz val="12"/>
        <color rgb="FF000000"/>
        <rFont val="Times New Roman"/>
        <family val="1"/>
      </rPr>
      <t xml:space="preserve"> - Rs. 83 Lakhs for orientation of 83000 participants  (Nodal teacher, field staff and Anganwadi workers) for NDD activities @ 5000/batch for 1660 batches (50 participants/batch)
</t>
    </r>
    <r>
      <rPr>
        <b/>
        <sz val="12"/>
        <color rgb="FF000000"/>
        <rFont val="Times New Roman"/>
        <family val="1"/>
      </rPr>
      <t>ASHA incentives - 52.35 L</t>
    </r>
    <r>
      <rPr>
        <sz val="12"/>
        <color rgb="FF000000"/>
        <rFont val="Times New Roman"/>
        <family val="1"/>
      </rPr>
      <t xml:space="preserve"> @ Rs.100/- for mobilisation of children for 26177 ASHAs;
</t>
    </r>
    <r>
      <rPr>
        <b/>
        <sz val="12"/>
        <color rgb="FF000000"/>
        <rFont val="Times New Roman"/>
        <family val="1"/>
      </rPr>
      <t xml:space="preserve">IEC </t>
    </r>
    <r>
      <rPr>
        <sz val="12"/>
        <color rgb="FF000000"/>
        <rFont val="Times New Roman"/>
        <family val="1"/>
      </rPr>
      <t xml:space="preserve">&amp; </t>
    </r>
    <r>
      <rPr>
        <b/>
        <sz val="12"/>
        <color rgb="FF000000"/>
        <rFont val="Times New Roman"/>
        <family val="1"/>
      </rPr>
      <t xml:space="preserve">Printing - IEC material and reporting format Rs.42 lakhs </t>
    </r>
    <r>
      <rPr>
        <sz val="12"/>
        <color rgb="FF000000"/>
        <rFont val="Times New Roman"/>
        <family val="1"/>
      </rPr>
      <t>- Rs 42 Lakhs for IEC and printing activities for NDD @ Rs 1.5 Lakh per district per round</t>
    </r>
  </si>
  <si>
    <r>
      <rPr>
        <sz val="12"/>
        <color theme="1"/>
        <rFont val="Times New Roman"/>
        <family val="1"/>
      </rPr>
      <t xml:space="preserve">
</t>
    </r>
    <r>
      <rPr>
        <b/>
        <sz val="12"/>
        <color theme="1"/>
        <rFont val="Times New Roman"/>
        <family val="1"/>
      </rPr>
      <t>ASHA incentives - 0.45 L</t>
    </r>
    <r>
      <rPr>
        <sz val="12"/>
        <color theme="1"/>
        <rFont val="Times New Roman"/>
        <family val="1"/>
      </rPr>
      <t xml:space="preserve">
Rs 0.45 Lakhs for ASHA incentives for referral of SAM cases to NRC and for follow up on discharge for 150 SAM cases @ Rs 300 per SAM case
</t>
    </r>
    <r>
      <rPr>
        <b/>
        <sz val="12"/>
        <color theme="1"/>
        <rFont val="Times New Roman"/>
        <family val="1"/>
      </rPr>
      <t>OOC - 8.00L</t>
    </r>
    <r>
      <rPr>
        <sz val="12"/>
        <color theme="1"/>
        <rFont val="Times New Roman"/>
        <family val="1"/>
      </rPr>
      <t xml:space="preserve">
Operating expenses for 4 NRCs - 3 at Palakkad and 1 at Wayand. 1.5 lakh for each NRC at Palakad and 3.5 lakh for NRC Wayanad.  Nutrition Rehabilitation Centers (NRC) are established in Health Facilities to provide appropriate and facility based case management to children with SAM for all under 5 children.</t>
    </r>
  </si>
  <si>
    <r>
      <rPr>
        <sz val="12"/>
        <color theme="1"/>
        <rFont val="Times New Roman"/>
        <family val="1"/>
      </rPr>
      <t xml:space="preserve">
</t>
    </r>
    <r>
      <rPr>
        <b/>
        <sz val="12"/>
        <color theme="1"/>
        <rFont val="Times New Roman"/>
        <family val="1"/>
      </rPr>
      <t>ASHA incentives - 0.45 L</t>
    </r>
    <r>
      <rPr>
        <sz val="12"/>
        <color theme="1"/>
        <rFont val="Times New Roman"/>
        <family val="1"/>
      </rPr>
      <t xml:space="preserve">
Rs 0.45 Lakhs for ASHA incentives for referral of SAM cases to NRC and for follow up on discharge for 150 SAM cases @ Rs 300 per SAM case
</t>
    </r>
    <r>
      <rPr>
        <b/>
        <sz val="12"/>
        <color theme="1"/>
        <rFont val="Times New Roman"/>
        <family val="1"/>
      </rPr>
      <t>OOC - 8.00L</t>
    </r>
    <r>
      <rPr>
        <sz val="12"/>
        <color theme="1"/>
        <rFont val="Times New Roman"/>
        <family val="1"/>
      </rPr>
      <t xml:space="preserve">
Operating expenses for 4 NRCs - 3 at Palakkad and 1 at Wayand. 1.5 lakh for each NRC at Palakad and 3.5 lakh for NRC Wayanad.  Nutrition Rehabilitation Centers (NRC) are established in Health Facilities to provide appropriate and facility based case management to children with SAM for all under 5 children.</t>
    </r>
  </si>
  <si>
    <t xml:space="preserve">procurement of 45000 Vit A bottles for 956606 children under 5 years @ Rs.108 per bottle of 100ml as per norms.
</t>
  </si>
  <si>
    <r>
      <rPr>
        <b/>
        <sz val="12"/>
        <color rgb="FF000000"/>
        <rFont val="Times New Roman"/>
        <family val="1"/>
      </rPr>
      <t xml:space="preserve">ASHA  Incentive - Rs. 104.70 lakhs </t>
    </r>
    <r>
      <rPr>
        <sz val="12"/>
        <color rgb="FF000000"/>
        <rFont val="Times New Roman"/>
        <family val="1"/>
      </rPr>
      <t xml:space="preserve">Quarterly incentive for ASHA for arranging meetings to facilitate MAA related activities in the field to promote Breastfeeding. Rs. 400 x 26177 ASHAs = 1,04,70,800/-
</t>
    </r>
    <r>
      <rPr>
        <b/>
        <sz val="12"/>
        <color rgb="FF000000"/>
        <rFont val="Times New Roman"/>
        <family val="1"/>
      </rPr>
      <t>IEC &amp; printing</t>
    </r>
    <r>
      <rPr>
        <sz val="12"/>
        <color rgb="FF000000"/>
        <rFont val="Times New Roman"/>
        <family val="1"/>
      </rPr>
      <t xml:space="preserve"> - Rs. 12 Lakhs for MAA IEC activities</t>
    </r>
  </si>
  <si>
    <r>
      <rPr>
        <b/>
        <sz val="12"/>
        <color rgb="FF000000"/>
        <rFont val="Times New Roman"/>
        <family val="1"/>
      </rPr>
      <t xml:space="preserve">ASHA  Incentive - Rs. 104.70 lakhs </t>
    </r>
    <r>
      <rPr>
        <sz val="12"/>
        <color rgb="FF000000"/>
        <rFont val="Times New Roman"/>
        <family val="1"/>
      </rPr>
      <t xml:space="preserve">Quarterly incentive for ASHA for arranging meetings to facilitate MAA related activities in the field to promote Breastfeeding. Rs. 400 x 26177 ASHAs = 1,04,70,800/-
</t>
    </r>
    <r>
      <rPr>
        <b/>
        <sz val="12"/>
        <color rgb="FF000000"/>
        <rFont val="Times New Roman"/>
        <family val="1"/>
      </rPr>
      <t>IEC &amp; printing</t>
    </r>
    <r>
      <rPr>
        <sz val="12"/>
        <color rgb="FF000000"/>
        <rFont val="Times New Roman"/>
        <family val="1"/>
      </rPr>
      <t xml:space="preserve"> - Rs. 12 Lakhs for MAA IEC activities</t>
    </r>
  </si>
  <si>
    <t>Diagnostics
1. Rs 9.96 Lakhs for operational cost for Consumables, stationary &amp; equipment maintenance for 4 functional CLMC @ Rs.2.49 Lakhs per CLMC
2. Rs 22.05 Lakhs for operational cost for LMUs for Consumables, stationary for 21 LMU @ Rs.1.05 per LMU</t>
  </si>
  <si>
    <r>
      <rPr>
        <b/>
        <sz val="12"/>
        <color theme="1"/>
        <rFont val="Times New Roman"/>
        <family val="1"/>
      </rPr>
      <t>Drugs &amp; Supplies Rs.82.73L</t>
    </r>
    <r>
      <rPr>
        <sz val="12"/>
        <color theme="1"/>
        <rFont val="Times New Roman"/>
        <family val="1"/>
      </rPr>
      <t xml:space="preserve"> - Procurement of ORS - 68.50 L and zinc - 14.22 L
</t>
    </r>
    <r>
      <rPr>
        <b/>
        <sz val="12"/>
        <color theme="1"/>
        <rFont val="Times New Roman"/>
        <family val="1"/>
      </rPr>
      <t>ASHA incentives - 26.17 L</t>
    </r>
    <r>
      <rPr>
        <sz val="12"/>
        <color theme="1"/>
        <rFont val="Times New Roman"/>
        <family val="1"/>
      </rPr>
      <t xml:space="preserve"> @ Rs.100/ASHA for IDCF campaign
</t>
    </r>
    <r>
      <rPr>
        <b/>
        <sz val="12"/>
        <color theme="1"/>
        <rFont val="Times New Roman"/>
        <family val="1"/>
      </rPr>
      <t>IEC &amp; Printing - 10.5 L</t>
    </r>
    <r>
      <rPr>
        <sz val="12"/>
        <color theme="1"/>
        <rFont val="Times New Roman"/>
        <family val="1"/>
      </rPr>
      <t xml:space="preserve"> - Printing of IEC material and monitoring format for IDCF @ Rs.75000/dist
</t>
    </r>
    <r>
      <rPr>
        <b/>
        <sz val="12"/>
        <color theme="1"/>
        <rFont val="Times New Roman"/>
        <family val="1"/>
      </rPr>
      <t>Planning &amp; M &amp;E - 1.05 lakh</t>
    </r>
    <r>
      <rPr>
        <sz val="12"/>
        <color theme="1"/>
        <rFont val="Times New Roman"/>
        <family val="1"/>
      </rPr>
      <t xml:space="preserve"> for state level one day orientation and state level activities</t>
    </r>
  </si>
  <si>
    <r>
      <rPr>
        <b/>
        <sz val="12"/>
        <color theme="1"/>
        <rFont val="Times New Roman"/>
        <family val="1"/>
      </rPr>
      <t>Drugs &amp; Supplies Rs.82.73 L</t>
    </r>
    <r>
      <rPr>
        <sz val="12"/>
        <color theme="1"/>
        <rFont val="Times New Roman"/>
        <family val="1"/>
      </rPr>
      <t xml:space="preserve"> - Procurement of ORS - 68.5 L and zinc - 14.22 L
</t>
    </r>
    <r>
      <rPr>
        <b/>
        <sz val="12"/>
        <color theme="1"/>
        <rFont val="Times New Roman"/>
        <family val="1"/>
      </rPr>
      <t>ASHA incentives - 26.17 L</t>
    </r>
    <r>
      <rPr>
        <sz val="12"/>
        <color theme="1"/>
        <rFont val="Times New Roman"/>
        <family val="1"/>
      </rPr>
      <t xml:space="preserve"> @ Rs.100/ASHA for IDCF campaign
</t>
    </r>
    <r>
      <rPr>
        <b/>
        <sz val="12"/>
        <color theme="1"/>
        <rFont val="Times New Roman"/>
        <family val="1"/>
      </rPr>
      <t>IEC &amp; Printing - 10.5 L -</t>
    </r>
    <r>
      <rPr>
        <sz val="12"/>
        <color theme="1"/>
        <rFont val="Times New Roman"/>
        <family val="1"/>
      </rPr>
      <t xml:space="preserve"> Printing of IEC material and monitoring format for IDCF @ Rs.75000/dist
</t>
    </r>
    <r>
      <rPr>
        <b/>
        <sz val="12"/>
        <color theme="1"/>
        <rFont val="Times New Roman"/>
        <family val="1"/>
      </rPr>
      <t>Planning &amp; M &amp;E - 1.05 lakh</t>
    </r>
    <r>
      <rPr>
        <sz val="12"/>
        <color theme="1"/>
        <rFont val="Times New Roman"/>
        <family val="1"/>
      </rPr>
      <t xml:space="preserve"> for state level one day orientation and state level activities</t>
    </r>
  </si>
  <si>
    <r>
      <rPr>
        <b/>
        <sz val="12"/>
        <color theme="1"/>
        <rFont val="Times New Roman"/>
        <family val="1"/>
      </rPr>
      <t>Diagnostics - Proposed amount-Rs.12,00000/- Lakhs</t>
    </r>
    <r>
      <rPr>
        <sz val="12"/>
        <color theme="1"/>
        <rFont val="Times New Roman"/>
        <family val="1"/>
      </rPr>
      <t xml:space="preserve">
To be distributed to ASHA workers in all 12 districts to analyze the iodine content of the salt consumed.
Amount to procure STK/District – Rs.1,00,000/-
Estimated rate of Per STK = Rs.25
So total number STK/District  to be procured = 4000nos
Total number of STK for the 12 District  = 4000x12=48000nos
ASHA INCENTIVES
Incentives to be distributed to ASHA workers for using STK as per norms.
3) ASHA incentive distribution split up details District wise:
ASHA incentive based on STK i.e,
@Rs.25/- per kit /</t>
    </r>
    <r>
      <rPr>
        <b/>
        <sz val="12"/>
        <color theme="1"/>
        <rFont val="Times New Roman"/>
        <family val="1"/>
      </rPr>
      <t xml:space="preserve"> ASHA . Proposed Rs.6 lakhs</t>
    </r>
    <r>
      <rPr>
        <sz val="12"/>
        <color theme="1"/>
        <rFont val="Times New Roman"/>
        <family val="1"/>
      </rPr>
      <t xml:space="preserve">
IEC
• </t>
    </r>
    <r>
      <rPr>
        <b/>
        <sz val="12"/>
        <color theme="1"/>
        <rFont val="Times New Roman"/>
        <family val="1"/>
      </rPr>
      <t>Health Education in 8 District @ 20000/District = Rs1,60,000/-</t>
    </r>
    <r>
      <rPr>
        <sz val="12"/>
        <color theme="1"/>
        <rFont val="Times New Roman"/>
        <family val="1"/>
      </rPr>
      <t xml:space="preserve">
• Global IDD Day and IEC Activities – Rs 6,40,000/-
SURVEILLANCE
</t>
    </r>
    <r>
      <rPr>
        <b/>
        <sz val="12"/>
        <color theme="1"/>
        <rFont val="Times New Roman"/>
        <family val="1"/>
      </rPr>
      <t xml:space="preserve">• IDD  Goitre Survey in 4 District as per the GOI guidelines @ Rsw.50000/District ( covering north, south,east and west direction of each district selected) – Rs.200000/- </t>
    </r>
  </si>
  <si>
    <r>
      <rPr>
        <b/>
        <sz val="12"/>
        <color theme="1"/>
        <rFont val="Times New Roman"/>
        <family val="1"/>
      </rPr>
      <t>Diagnostics - Proposed amount-Rs.12,00000/- Lakhs</t>
    </r>
    <r>
      <rPr>
        <sz val="12"/>
        <color theme="1"/>
        <rFont val="Times New Roman"/>
        <family val="1"/>
      </rPr>
      <t xml:space="preserve">
To be distributed to ASHA workers in all 12 districts to analyze the iodine content of the salt consumed.
Amount to procure STK/District – Rs.1,00,000/-
Estimated rate of Per STK = Rs.25
So total number STK/District  to be procured = 4000nos
Total number of STK for the 12 District  = 4000x12=48000nos
ASHA INCENTIVES
Incentives to be distributed to ASHA workers for using STK as per norms.
3) ASHA incentive distribution split up details District wise:
ASHA incentive based on STK i.e,
@Rs.25/- per kit /</t>
    </r>
    <r>
      <rPr>
        <b/>
        <sz val="12"/>
        <color theme="1"/>
        <rFont val="Times New Roman"/>
        <family val="1"/>
      </rPr>
      <t xml:space="preserve"> ASHA . Proposed Rs.6 lakhs</t>
    </r>
    <r>
      <rPr>
        <sz val="12"/>
        <color theme="1"/>
        <rFont val="Times New Roman"/>
        <family val="1"/>
      </rPr>
      <t xml:space="preserve">
IEC
• Health Education in 8 District @ 20000/District = Rs1,60,000/-
• Global IDD Day and IEC Activities – Rs 6,40,000/-
SURVEILLANCE
</t>
    </r>
    <r>
      <rPr>
        <b/>
        <sz val="12"/>
        <color theme="1"/>
        <rFont val="Times New Roman"/>
        <family val="1"/>
      </rPr>
      <t xml:space="preserve">• IDD  Goitre Survey in 4 District as per the GOI guidelines @ Rsw.50000/District ( covering north, south,east and west direction of each district selected) – Rs.200000/- </t>
    </r>
  </si>
  <si>
    <r>
      <rPr>
        <b/>
        <sz val="12"/>
        <color rgb="FF000000"/>
        <rFont val="Times New Roman"/>
        <family val="1"/>
      </rPr>
      <t xml:space="preserve">Training - 102.50 L        </t>
    </r>
    <r>
      <rPr>
        <sz val="12"/>
        <color rgb="FF000000"/>
        <rFont val="Times New Roman"/>
        <family val="1"/>
      </rPr>
      <t xml:space="preserve">
1) One day sensitization for Panchayath Raj Institutions -Training Rs. 0.25 per batch -DSUs -24 batch-Rs.6 L
2) One day Training for Government Medical Officers including Government Medical Colleges - Training Rs. 0.5 per batch -DSUs -56 batch-Rs.28L
3) Medical College Doctors (1 day)- Training Rs. 0.5 per batch -DSUs -8 batch-Rs.4L 
4) One Day training for Hospital Pharmacists/Nurses (1 day)- Training Rs. 0.50 per batch -DSUs -30batch-Rs.15L
5) One Day IHIP Training for Lab. Technicians  including Private Hospitals- Training Rs. 0.30 per batch -DSUs -32 batch -Rs.9.60L
6) Data Managers (1 days)- Training Rs. 0.50 per batch  SSU-1 batch-Rs. .50L
7) Data Entry Operators cum Accountant (1 day)-Training Rs. 0.30 per batch - SSU-1 batch-Rs..30L
8) Block Level Training for health team including HS/HI, JHI/JPHN, MLSP ,ASHA , MPWs, AWW &amp; Community volunteers Rs. 0.30 per batch, TOT Training – for orientation of ASHA &amp; MPWs, AWW &amp; Community volunteers at state level -DSUs -49 batch, SSU-3 batch-Rs.15.60L
9) One day IHIP training for private Hospital medical officers/ESI hospitals &amp; Medical College-Training Rs. 0.50 per batch -DSUs -47 batch-Rs.23.50L
</t>
    </r>
    <r>
      <rPr>
        <b/>
        <sz val="12"/>
        <color rgb="FF000000"/>
        <rFont val="Times New Roman"/>
        <family val="1"/>
      </rPr>
      <t>SRRE-35.50 L</t>
    </r>
    <r>
      <rPr>
        <sz val="12"/>
        <color rgb="FF000000"/>
        <rFont val="Times New Roman"/>
        <family val="1"/>
      </rPr>
      <t xml:space="preserve">
1) Support for designated District Public Health Laboratories under IDSP -  Recurring costs on account of consumables, kits, communication and miscellaneous expenses  -Rs.15.50L
2)Support for State Referral Lab Network under IDSP (Govt. Medical College laboratories)    -Rs.10L
</t>
    </r>
    <r>
      <rPr>
        <b/>
        <sz val="12"/>
        <color rgb="FF000000"/>
        <rFont val="Times New Roman"/>
        <family val="1"/>
      </rPr>
      <t xml:space="preserve">3)Study on Nipah -Rs.10L. 
P-(M&amp;E) ,Programme Management and Evaluation -Rs.63L   </t>
    </r>
    <r>
      <rPr>
        <sz val="12"/>
        <color rgb="FF000000"/>
        <rFont val="Times New Roman"/>
        <family val="1"/>
      </rPr>
      <t xml:space="preserve">     
1) For Border Meeting- to plan preventive and control measures for CDs occurring in places near the state borders-Rs.3L State level
2)Office expenses on telephone, Broadband Expenses &amp; Other Miscellaneous Expenditures.-Rs.60L
</t>
    </r>
    <r>
      <rPr>
        <b/>
        <sz val="12"/>
        <color rgb="FF000000"/>
        <rFont val="Times New Roman"/>
        <family val="1"/>
      </rPr>
      <t>IEC &amp; Printing-2.25L</t>
    </r>
  </si>
  <si>
    <r>
      <rPr>
        <b/>
        <sz val="12"/>
        <color rgb="FF000000"/>
        <rFont val="Times New Roman"/>
        <family val="1"/>
      </rPr>
      <t xml:space="preserve">Training - 102.50 L </t>
    </r>
    <r>
      <rPr>
        <sz val="12"/>
        <color rgb="FF000000"/>
        <rFont val="Times New Roman"/>
        <family val="1"/>
      </rPr>
      <t xml:space="preserve">       
1) One day sensitization for Panchayath Raj Institutions -Training Rs. 0.25 per batch -DSUs -24 batch-Rs.6 L
2) One day Training for Government Medical Officers including Government Medical Colleges - Training Rs. 0.5 per batch -DSUs -56 batch-Rs.28L
3) Medical College Doctors (1 day)- Training Rs. 0.5 per batch -DSUs -8 batch-Rs.4L 
4) One Day training for Hospital Pharmacists/Nurses (1 day)- Training Rs. 0.50 per batch -DSUs -30batch-Rs.15L
5) One Day IHIP Training for Lab. Technicians  including Private Hospitals- Training Rs. 0.30 per batch -DSUs -32 batch -Rs.9.60L
6) Data Managers (1 days)- Training Rs. 0.50 per batch  SSU-1 batch-Rs. .50L
7) Data Entry Operators cum Accountant (1 day)-Training Rs. 0.30 per batch - SSU-1 batch-Rs..30L
8) Block Level Training for health team including HS/HI, JHI/JPHN, MLSP ,ASHA , MPWs, AWW &amp; Community volunteers Rs. 0.30 per batch, TOT Training – for orientation of ASHA &amp; MPWs, AWW &amp; Community volunteers at state level -DSUs -49 batch, SSU-3 batch-Rs.15.60L
9) One day IHIP training for private Hospital medical officers/ESI hospitals &amp; Medical College-Training Rs. 0.50 per batch -DSUs -47 batch-Rs.23.50L
</t>
    </r>
    <r>
      <rPr>
        <b/>
        <sz val="12"/>
        <color rgb="FF000000"/>
        <rFont val="Times New Roman"/>
        <family val="1"/>
      </rPr>
      <t>SRRE-25.50 L</t>
    </r>
    <r>
      <rPr>
        <sz val="12"/>
        <color rgb="FF000000"/>
        <rFont val="Times New Roman"/>
        <family val="1"/>
      </rPr>
      <t xml:space="preserve">
1) Support for designated District Public Health Laboratories under IDSP -  Recurring costs on account of consumables, kits, communication and miscellaneous expenses  -Rs.15.50L
2)Support for State Referral Lab Network under IDSP (Govt. Medical College laboratories)    -Rs.10L
</t>
    </r>
    <r>
      <rPr>
        <b/>
        <sz val="12"/>
        <color rgb="FF000000"/>
        <rFont val="Times New Roman"/>
        <family val="1"/>
      </rPr>
      <t xml:space="preserve">P &amp;-(M&amp;E) ,Programme Management and Evaluation -Rs.63L </t>
    </r>
    <r>
      <rPr>
        <sz val="12"/>
        <color rgb="FF000000"/>
        <rFont val="Times New Roman"/>
        <family val="1"/>
      </rPr>
      <t xml:space="preserve">       
1) For Border Meeting- to plan preventive and control measures for CDs occurring in places near the state borders-Rs.3L state level
2)Office expenses on telephone, Broadband Expenses &amp; Other Miscellaneous Expenditures.-Rs.60L
</t>
    </r>
    <r>
      <rPr>
        <b/>
        <sz val="12"/>
        <color rgb="FF000000"/>
        <rFont val="Times New Roman"/>
        <family val="1"/>
      </rPr>
      <t>IEC &amp; Printing-2.25L</t>
    </r>
  </si>
  <si>
    <r>
      <rPr>
        <b/>
        <sz val="11"/>
        <color theme="1"/>
        <rFont val="&quot;Times New Roman&quot;, &quot;serif&quot;"/>
      </rPr>
      <t>Equipments- Rs. 26.91L</t>
    </r>
    <r>
      <rPr>
        <sz val="11"/>
        <color theme="1"/>
        <rFont val="&quot;Times New Roman&quot;, &quot;serif&quot;"/>
      </rPr>
      <t xml:space="preserve">
</t>
    </r>
    <r>
      <rPr>
        <b/>
        <sz val="11"/>
        <color theme="1"/>
        <rFont val="&quot;Times New Roman&quot;, &quot;serif&quot;"/>
      </rPr>
      <t>1) EQUIPMENT (Including Furniture, Excluding Computers) - Rs 18.66 L</t>
    </r>
    <r>
      <rPr>
        <sz val="11"/>
        <color theme="1"/>
        <rFont val="&quot;Times New Roman&quot;, &quot;serif&quot;"/>
      </rPr>
      <t xml:space="preserve">
 Procurement of Biomedical and other Equipment: NVBDCP – Logistic for Entomological lab Strengthening and others under MCVR – Rs. 18.66 L  a) Maintenance of Fogging machine b) Maintenance of Microscope for Lab
</t>
    </r>
    <r>
      <rPr>
        <b/>
        <sz val="11"/>
        <color theme="1"/>
        <rFont val="&quot;Times New Roman&quot;, &quot;serif&quot;"/>
      </rPr>
      <t xml:space="preserve">2) EQUIPMENT - Rs 8.25L </t>
    </r>
    <r>
      <rPr>
        <sz val="11"/>
        <color theme="1"/>
        <rFont val="&quot;Times New Roman&quot;, &quot;serif&quot;"/>
      </rPr>
      <t xml:space="preserve">- @ Rs 0.25 L for all 13 districts for the repair of laptop/desktop, other accessories, furniture etc except Kasaragod. Kasaragod district needs modification of insecticide store and computer accessories may be allotted Rs 5.00 L. In the PIP preparation insecticide store proposed for 5 districts but due to the limitation of fund the same was cancelled. NVBDCP clearly stated that each districts will maintain insecticide store properly. Kollam and Thrissur already used this fund from earlier. RoP and maintain. We are focusing to construct or maintain insecticide store through each year PIP.
</t>
    </r>
    <r>
      <rPr>
        <b/>
        <sz val="12"/>
        <color theme="1"/>
        <rFont val="&quot;Times New Roman&quot;, &quot;serif&quot;"/>
      </rPr>
      <t>DRUGS AND SUPPLIES- Rs.1.51 L</t>
    </r>
    <r>
      <rPr>
        <sz val="12"/>
        <color theme="1"/>
        <rFont val="&quot;Times New Roman&quot;, &quot;serif&quot;"/>
      </rPr>
      <t xml:space="preserve">
Central supplies (Kind grants) (To be provided by the PDs
Inj. Quinine (100 x Rs.25 =Rs. 0.025 L) and Inj. Artesunate(230 x Rs.240= Rs.0.575 L)
Total of Rs.0.60 Lakhs
</t>
    </r>
    <r>
      <rPr>
        <b/>
        <sz val="12"/>
        <color theme="1"/>
        <rFont val="&quot;Times New Roman&quot;, &quot;serif&quot;"/>
      </rPr>
      <t>Budget for Procurement done by States</t>
    </r>
    <r>
      <rPr>
        <sz val="12"/>
        <color theme="1"/>
        <rFont val="&quot;Times New Roman&quot;, &quot;serif&quot;"/>
      </rPr>
      <t xml:space="preserve">
Tab. Chloroquine-Rs.0.07L (A total of 500 malaria cases expected out of which 60% would be Pl vivax) and hence 3500 tabs needed @ Rs.2.0 and thus total Rs.0.07L may be needed.
Tab.Primaquine-7.5 mg- Rs.0.24 L (about 10560 tabs for Pv cases and 1440 tabs for Pf cases and thus total 12000 tabs needed) &amp; an amount of Rs.0.24 L @ Rs.2 x 12000 may be needed
ACT (SP) adult blister packs- Rs.0.6 L (240 packets may be needed and Rs.0.6 L @ Rs.250x240)
A grant total of Rs.0.91 L needed(January 2023 to August 2023, a total of 312 malaria cases reported out of which 150 are of Pf and 33 of Pv+Pf and hence ~50% of the cases are of Pf and more cases are expected)
</t>
    </r>
    <r>
      <rPr>
        <b/>
        <sz val="12"/>
        <color theme="1"/>
        <rFont val="&quot;Times New Roman&quot;, &quot;serif&quot;"/>
      </rPr>
      <t>DIAGNOSTICS (Consumables, PPP, Sample Transport)- Rs.17.25 Lakhs</t>
    </r>
    <r>
      <rPr>
        <sz val="12"/>
        <color theme="1"/>
        <rFont val="&quot;Times New Roman&quot;, &quot;serif&quot;"/>
      </rPr>
      <t xml:space="preserve">
For Malaria testing at hard to reach areas or where vulnerable population is present, utilization of rapid test kits (bivalent) is to be made available. Around 94,444 RDT kits @Rs. 18/- are to be procured for the year 2023-24 (500 ASHAs trained for doing RDT @ 100 Tests/ASHA &amp; thus total 50000 tests are needed; 44444 tests will be done in migrant sites). Kit for Simple PCR Analyser: @ Rs. 0.25 L.The amount needed is Rs.17.25 L.
</t>
    </r>
    <r>
      <rPr>
        <b/>
        <sz val="12"/>
        <color theme="1"/>
        <rFont val="&quot;Times New Roman&quot;, &quot;serif&quot;"/>
      </rPr>
      <t>TRAINING AND CAPACITY BUILDING- Rs.20.96 LAKHS</t>
    </r>
    <r>
      <rPr>
        <sz val="12"/>
        <color theme="1"/>
        <rFont val="&quot;Times New Roman&quot;, &quot;serif&quot;"/>
      </rPr>
      <t xml:space="preserve">
1) Training or capacity building for malaria elimination - Rs 9.80 L
28 batches of training of different categories of staff including field staff, Field supervisors, LTs and ASHAs will be trained on Malaria in @ Rs 0.35 L per batch. 2)Training or capacity building for malariaRoutine - Rs 11.16L Refreshment training for health staff and newly recruited MOs on malaria surveillance, detection, treatment and preventive measures- 55 batches and two days training at state level @0.20L/batch.
</t>
    </r>
    <r>
      <rPr>
        <b/>
        <sz val="12"/>
        <color theme="1"/>
        <rFont val="&quot;Times New Roman&quot;, &quot;serif&quot;"/>
      </rPr>
      <t>OTHERS INCLUDING OPERATING COSTS (OOC)- Rs.28.70 L</t>
    </r>
    <r>
      <rPr>
        <sz val="12"/>
        <color theme="1"/>
        <rFont val="&quot;Times New Roman&quot;, &quot;serif&quot;"/>
      </rPr>
      <t xml:space="preserve">
</t>
    </r>
    <r>
      <rPr>
        <b/>
        <sz val="12"/>
        <color theme="1"/>
        <rFont val="&quot;Times New Roman&quot;, &quot;serif&quot;"/>
      </rPr>
      <t>A total amount of Rs 6.80 Lakhs is proposed for the districts based on disease status, active foci, active residual foci and other high risk areas.</t>
    </r>
    <r>
      <rPr>
        <sz val="12"/>
        <color theme="1"/>
        <rFont val="&quot;Times New Roman&quot;, &quot;serif&quot;"/>
      </rPr>
      <t xml:space="preserve"> Since malaria is targeted for elimination, strengthening of malaria surveillance among high risk groups like tribal population, coastal areas, urban slums etc are needed for detection, control and prevention of resurgence of malaria. Special randomized survey can be conducted at the above vulnerable areas.
</t>
    </r>
    <r>
      <rPr>
        <b/>
        <sz val="12"/>
        <color theme="1"/>
        <rFont val="&quot;Times New Roman&quot;, &quot;serif&quot;"/>
      </rPr>
      <t>Operational cost for larviciding including Spray wages –Rs.5.40 L</t>
    </r>
    <r>
      <rPr>
        <sz val="12"/>
        <color theme="1"/>
        <rFont val="&quot;Times New Roman&quot;, &quot;serif&quot;"/>
      </rPr>
      <t xml:space="preserve">
 For control of Anopheles larval breeding, larvicides like temephos, or bio larvicides like Bti are to be sprayed in mosquito breeding sources.At active foci daily spray wages for 4 skilled and 4 unskilled labourers for continuous 4 days are proposed twice in a year.At each  active residual foci daily spray wages for 4 skilled and 4 unskilled labourers for continuous 4 days once in a year are proposed@ Rs.730 and Rs.675 respectively  as per GO No. 29/2021(Fin) dt.11.02.2021 , Total of Rs.5.40 L is needed.
</t>
    </r>
    <r>
      <rPr>
        <b/>
        <sz val="12"/>
        <color theme="1"/>
        <rFont val="&quot;Times New Roman&quot;, &quot;serif&quot;"/>
      </rPr>
      <t>Operational cost for IRS including Spray wages –Rs.16.5 L</t>
    </r>
    <r>
      <rPr>
        <sz val="12"/>
        <color theme="1"/>
        <rFont val="&quot;Times New Roman&quot;, &quot;serif&quot;"/>
      </rPr>
      <t xml:space="preserve">
For every new case reported, focal IRS would be done in and around 50 houses or 0.5 km radius. But, in active foci 2 rounds of IRS have to be done in a year. In active residual foci, 1 round IRS to be done.For 1 round IRS 1 skilled and 1 unskilled labourers are required for 3 days [ (1* Rs.730)*3 days + (1*Rs. 675)*3 days + Rs.285 as contingencies = Rs.4500]Cases for the last 1 year were taken and 10 percent surge is considered.
</t>
    </r>
    <r>
      <rPr>
        <b/>
        <sz val="12"/>
        <color theme="1"/>
        <rFont val="&quot;Times New Roman&quot;, &quot;serif&quot;"/>
      </rPr>
      <t>IEC &amp; PRINTING-  RS.14.33 LAKHS</t>
    </r>
    <r>
      <rPr>
        <sz val="12"/>
        <color theme="1"/>
        <rFont val="&quot;Times New Roman&quot;, &quot;serif&quot;"/>
      </rPr>
      <t xml:space="preserve">
</t>
    </r>
    <r>
      <rPr>
        <b/>
        <sz val="12"/>
        <color theme="1"/>
        <rFont val="&quot;Times New Roman&quot;, &quot;serif&quot;"/>
      </rPr>
      <t>a) IEC/BCC for Malaria - Rs.10.03 L</t>
    </r>
    <r>
      <rPr>
        <sz val="12"/>
        <color theme="1"/>
        <rFont val="&quot;Times New Roman&quot;, &quot;serif&quot;"/>
      </rPr>
      <t xml:space="preserve">
In the context of malaria elimination,public awareness especially the newly elected LSGD members need to be sensitized regarding the disease elimination activities.Awareness campaign for the students of high school/colleges,newly elected representatives and general public is planned at the state,district and sub district level,Funds also can be used for the observation of World malaria Day,World mosquito day programs,Making video spots/whatsapp poster making,FM radio gingles for mass awareness.
</t>
    </r>
    <r>
      <rPr>
        <b/>
        <sz val="12"/>
        <color theme="1"/>
        <rFont val="&quot;Times New Roman&quot;, &quot;serif&quot;"/>
      </rPr>
      <t>b) Printing of forms /registers for malaria - Rs 4.30 L</t>
    </r>
    <r>
      <rPr>
        <sz val="12"/>
        <color theme="1"/>
        <rFont val="&quot;Times New Roman&quot;, &quot;serif&quot;"/>
      </rPr>
      <t xml:space="preserve">
For the preparation of documents and registers in connection withmalaria elimination.
</t>
    </r>
    <r>
      <rPr>
        <b/>
        <sz val="12"/>
        <color theme="1"/>
        <rFont val="&quot;Times New Roman&quot;, &quot;serif&quot;"/>
      </rPr>
      <t>PLANNING &amp; M&amp;E- RS.53.70 LAKHS</t>
    </r>
    <r>
      <rPr>
        <sz val="12"/>
        <color theme="1"/>
        <rFont val="&quot;Times New Roman&quot;, &quot;serif&quot;"/>
      </rPr>
      <t xml:space="preserve">
</t>
    </r>
    <r>
      <rPr>
        <b/>
        <sz val="12"/>
        <color theme="1"/>
        <rFont val="&quot;Times New Roman&quot;, &quot;serif&quot;"/>
      </rPr>
      <t>1) Fund for STF/DTF on Malaria - Rs 2.20 L</t>
    </r>
    <r>
      <rPr>
        <sz val="12"/>
        <color theme="1"/>
        <rFont val="&quot;Times New Roman&quot;, &quot;serif&quot;"/>
      </rPr>
      <t xml:space="preserve">
In connection with elimination of Malaria,Filaria and Kala azar atleast 2 STF meeting/year is directed to conduct as per the guideline for Malaria Elimination @ Rs 0.50 L for one STF.Thus a total of Rs 1.00 L for STF. At the district level following the STF at least 2 DTF/year is planned @ Rs.0.05 L per DTF for all districts except Kollam and Palakkad.
</t>
    </r>
    <r>
      <rPr>
        <b/>
        <sz val="12"/>
        <color theme="1"/>
        <rFont val="&quot;Times New Roman&quot;, &quot;serif&quot;"/>
      </rPr>
      <t>2) Monitoring evaluation and Supervision -Rs 38 L.</t>
    </r>
    <r>
      <rPr>
        <sz val="12"/>
        <color theme="1"/>
        <rFont val="&quot;Times New Roman&quot;, &quot;serif&quot;"/>
      </rPr>
      <t xml:space="preserve">
The fund is proposed for the supervision and evaluation activities including mobility support,hiring of vehicle,monitoring the prevention,control and elimination activities for malaria at different levels.
</t>
    </r>
    <r>
      <rPr>
        <b/>
        <sz val="12"/>
        <color theme="1"/>
        <rFont val="&quot;Times New Roman&quot;, &quot;serif&quot;"/>
      </rPr>
      <t xml:space="preserve">3) Field evaluation, supportive supervision, entomological activities of VBDs, other operational costs of Zonal Entomological units-Rs.13.50L
SURVEILLANCE RESEARCH REVIEW (SRRE) - RS 10.00 L
Sub-national disease free certification for malaria (Alappuzha And Ernakulam districts)- 5L( asked 5L more for Alappuzha also).
</t>
    </r>
  </si>
  <si>
    <t xml:space="preserve">Equipments- Rs. 26.91L
1) EQUIPMENT (Including Furniture, Excluding Computers) - Rs 18.66 L
 Procurement of Biomedical and other Equipment: NVBDCP – Logistic for Entomological lab Strengthening and others under MCVR – Rs. 18.66 L  a) Maintenance of Fogging machine b) Maintenance of Microscope for Lab
2) EQUIPMENT - Rs 8.25L - @ Rs 0.25 L for all 13 districts for the repair of laptop/desktop, other accessories, furniture etc except Kasaragod. Kasaragod district needs modification of insecticide store and computer accessories may be allotted Rs 5.00 L. In the PIP preparation insecticide store proposed for 5 districts but due to the limitation of fund the same was cancelled. NVBDCP clearly stated that each districts will maintain insecticide store properly. Kollam and Thrissur already used this fund from earlier. RoP and maintain. We are focusing to construct or maintain insecticide store through each year PIP.
DRUGS AND SUPPLIES- Rs.1.51 L
Central supplies (Kind grants) (To be provided by the PDs
Inj. Quinine (100 x Rs.25 =Rs. 0.025 L) and Inj. Artesunate(230 x Rs.240= Rs.0.575 L)
Total of Rs.0.60 Lakhs
Budget for Procurement done by States
Tab. Chloroquine-Rs.0.07L (A total of 500 malaria cases expected out of which 60% would be Pl vivax) and hence 3500 tabs needed @ Rs.2.0 and thus total Rs.0.07L may be needed.
Tab.Primaquine-7.5 mg- Rs.0.24 L (about 10560 tabs for Pv cases and 1440 tabs for Pf cases and thus total 12000 tabs needed) &amp; an amount of Rs.0.24 L @ Rs.2 x 12000 may be needed
ACT (SP) adult blister packs- Rs.0.6 L (240 packets may be needed and Rs.0.6 L @ Rs.250x240)
A grant total of Rs.0.91 L needed(January 2023 to August 2023, a total of 312 malaria cases reported out of which 150 are of Pf and 33 of Pv+Pf and hence ~50% of the cases are of Pf and more cases are expected)
DIAGNOSTICS (Consumables, PPP, Sample Transport)- Rs.17.25 Lakhs
For Malaria testing at hard to reach areas or where vulnerable population is present, utilization of rapid test kits (bivalent) is to be made available. Around 94,444 RDT kits @Rs. 18/- are to be procured for the year 2023-24 (500 ASHAs trained for doing RDT @ 100 Tests/ASHA &amp; thus total 50000 tests are needed; 44444 tests will be done in migrant sites). Kit for Simple PCR Analyser: @ Rs. 0.25 L.The amount needed is Rs.17.25 L.
TRAINING AND CAPACITY BUILDING- Rs.20.96 LAKHS
1) Training or capacity building for malaria elimination - Rs 9.80 L
28 batches of training of different categories of staff including field staff, Field supervisors, LTs and ASHAs will be trained on Malaria in @ Rs 0.35 L per batch. 2)Training or capacity building for malariaRoutine - Rs 11.16L Refreshment training for health staff and newly recruited MOs on malaria surveillance, detection, treatment and preventive measures- 55 batches and two days training at state level @0.20L/batch.
OTHERS INCLUDING OPERATING COSTS (OOC)- Rs.28.70 L
A total amount of Rs 6.80 Lakhs is proposed for the districts based on disease status, active foci, active residual foci and other high risk areas. Since malaria is targeted for elimination, strengthening of malaria surveillance among high risk groups like tribal population, coastal areas, urban slums etc are needed for detection, control and prevention of resurgence of malaria. Special randomized survey can be conducted at the above vulnerable areas.
Operational cost for larviciding including Spray wages –Rs.5.40 L
 For control of Anopheles larval breeding, larvicides like temephos, or bio larvicides like Bti are to be sprayed in mosquito breeding sources.At active foci daily spray wages for 4 skilled and 4 unskilled labourers for continuous 4 days are proposed twice in a year.At each  active residual foci daily spray wages for 4 skilled and 4 unskilled labourers for continuous 4 days once in a year are proposed@ Rs.730 and Rs.675 respectively  as per GO No. 29/2021(Fin) dt.11.02.2021 , Total of Rs.5.40 L is needed.
Operational cost for IRS including Spray wages –Rs.16.5 L
For every new case reported, focal IRS would be done in and around 50 houses or 0.5 km radius. But, in active foci 2 rounds of IRS have to be done in a year. In active residual foci, 1 round IRS to be done.For 1 round IRS 1 skilled and 1 unskilled labourers are required for 3 days [ (1* Rs.730)*3 days + (1*Rs. 675)*3 days + Rs.285 as contingencies = Rs.4500]Cases for the last 1 year were taken and 10 percent surge is considered.
IEC &amp; PRINTING-  RS.14.33 LAKHS
a) IEC/BCC for Malaria - Rs.10.03 L
In the context of malaria elimination,public awareness especially the newly elected LSGD members need to be sensitized regarding the disease elimination activities.Awareness campaign for the students of high school/colleges,newly elected representatives and general public is planned at the state,district and sub district level,Funds also can be used for the observation of World malaria Day,World mosquito day programs,Making video spots/whatsapp poster making,FM radio gingles for mass awareness.
b) Printing of forms /registers for malaria - Rs 4.30 L
For the preparation of documents and registers in connection withmalaria elimination.
PLANNING &amp; M&amp;E- RS.53.70 LAKHS
1) Fund for STF/DTF on Malaria - Rs 2.20 L
In connection with elimination of Malaria,Filaria and Kala azar atleast 2 STF meeting/year is directed to conduct as per the guideline for Malaria Elimination @ Rs 0.50 L for one STF.Thus a total of Rs 1.00 L for STF. At the district level following the STF at least 2 DTF/year is planned @ Rs.0.05 L per DTF for all districts except Kollam and Palakkad.
2) Monitoring evaluation and Supervision -Rs 38 L.
The fund is proposed for the supervision and evaluation activities including mobility support,hiring of vehicle,monitoring the prevention,control and elimination activities for malaria at different levels.
3) Field evaluation, supportive supervision, entomological activities of VBDs, other operational costs of Zonal Entomological units-Rs.13.50L
</t>
  </si>
  <si>
    <r>
      <rPr>
        <b/>
        <sz val="12"/>
        <color theme="1"/>
        <rFont val="Times New Roman"/>
        <family val="1"/>
      </rPr>
      <t>Other Operational Cost (OOC)  - Rs. 6.45 L</t>
    </r>
    <r>
      <rPr>
        <sz val="12"/>
        <color theme="1"/>
        <rFont val="Times New Roman"/>
        <family val="1"/>
      </rPr>
      <t xml:space="preserve">
Kala-azar Case search/ Camp Approach: Mobility/POL/supervision/Entomology Study – Rs.6.45 L
Surveillance for early detection of cases. Even though our state is qualified for elimination of Kala Azar, sporadic cases are reported in some districts every year. The reported cases show local transmission and more in tribal population. To rule out least chances of local transmission, it is necessary to strengthen screening especially the area that covering the Western ghat. Since the majority of the places in or near the forest, a different level of screening is required.
Initial syndromic screening by HCWs(health workers, ASHAs, KIRTADS and tribal promoters) at field level and the suspected patients tested in the case detection camps with rk39 kits and if positive, referred to Med. Colleges for conformation and treatment.
An amount of Rs.15000/district may be used. Rs. 1000 for half day training to the health workers, ASHAs, KIRTADS and tribal promoters. Rs 500 for syndromic surveillance form printing. Rs. 2000 may be used for the transportation of the suspected cases to the camp. Rs. 1500 can be used for organization of medical camp at PHC level.Rs.1000/- as an incentive for surveillance (Rs.5/Houses). 
Total for 5000 for one High risk panchayat. Thusthree high risk panchayats in a district can be selected and conduct the above activities. For the elimination documentation per district ,Rs.30,000. So for a district Rs.45000.The remaining high risk activity shall be conducted with the state plan fund. The rK39 kits to be supplied from central. The positive case detected by the rK39 test need to be referred in tertiary level medical institutions for bone marrow analysis and complete treatment.
Summary: Training of HCWs,ASHAs, Tribal promoters etc- Rs. 1000
Syndromic surveillance form printing- Rs.500
Transportation                                      - Rs 1000
Medical camp                                       -  Rs.1500
Incentive for surveillance @ Rs.5/houses/panchayath( approximately around 200 nos) - 200*5= 1000   
So  for one High risk Panchayath , it is Rs.5000.
Three high risk panchayaths / district, so Rs. 5000*3 =15000, For elimination documentation- Rs. 30,000
Total for one district=    Rs.  45000, For state                   =Rs.15000
Grant total Rs.45000*14 + 15000=6.3 L +0.15L=6.45L
</t>
    </r>
    <r>
      <rPr>
        <b/>
        <sz val="12"/>
        <color theme="1"/>
        <rFont val="Times New Roman"/>
        <family val="1"/>
      </rPr>
      <t>Training &amp; Capacity Building - Rs.0.50L - to propose</t>
    </r>
    <r>
      <rPr>
        <sz val="12"/>
        <color theme="1"/>
        <rFont val="Times New Roman"/>
        <family val="1"/>
      </rPr>
      <t xml:space="preserve">
Elimination based training and capacity building for the Medical college and private sector doctors on elimination of Kala azar- Rs. 25,000/-Training medical officers - Rs.25,000/-Total= Rs.50,000/-</t>
    </r>
  </si>
  <si>
    <r>
      <rPr>
        <b/>
        <sz val="12"/>
        <color theme="1"/>
        <rFont val="Times New Roman"/>
        <family val="1"/>
      </rPr>
      <t>Other Operational Cost (OOC)  - Rs. 6.45 L</t>
    </r>
    <r>
      <rPr>
        <sz val="12"/>
        <color theme="1"/>
        <rFont val="Times New Roman"/>
        <family val="1"/>
      </rPr>
      <t xml:space="preserve">
Kala-azar Case search/ Camp Approach: Mobility/POL/supervision/Entomology Study – Rs.6.45 L
Surveillance for early detection of cases. Even though our state is qualified for elimination of Kala Azar, sporadic cases are reported in some districts every year. The reported cases show local transmission and more in tribal population. To rule out least chances of local transmission, it is necessary to strengthen screening especially the area that covering the Western ghat. Since the majority of the places in or near the forest, a different level of screening is required.
Initial syndromic screening by HCWs(health workers, ASHAs, KIRTADS and tribal promoters) at field level and the suspected patients tested in the case detection camps with rk39 kits and if positive, referred to Med. Colleges for conformation and treatment.
An amount of Rs.15000/district may be used. Rs. 1000 for half day training to the health workers, ASHAs, KIRTADS and tribal promoters. Rs 500 for syndromic surveillance form printing. Rs. 2000 may be used for the transportation of the suspected cases to the camp. Rs. 1500 can be used for organization of medical camp at PHC level.Rs.1000/- as an incentive for surveillance (Rs.5/Houses). 
Total for 5000 for one High risk panchayat. Thusthree high risk panchayats in a district can be selected and conduct the above activities. For the elimination documentation per district ,Rs.30,000. So for a district Rs.45000.The remaining high risk activity shall be conducted with the state plan fund. The rK39 kits to be supplied from central. The positive case detected by the rK39 test need to be referred in tertiary level medical institutions for bone marrow analysis and complete treatment.
Summary: Training of HCWs,ASHAs, Tribal promoters etc- Rs. 1000
Syndromic surveillance form printing- Rs.500
Transportation                                      - Rs 1000
Medical camp                                       -  Rs.1500
Incentive for surveillance @ Rs.5/houses/panchayath( approximately around 200 nos) - 200*5= 1000   
So  for one High risk Panchayath , it is Rs.5000.
Three high risk panchayaths / district, so Rs. 5000*3 =15000, For elimination documentation- Rs. 30,000
Total for one district=    Rs.  45000, For state                   =Rs.15000
Grant total Rs.45000*14 + 15000=6.3 L +0.15L=6.45L
</t>
    </r>
    <r>
      <rPr>
        <b/>
        <sz val="12"/>
        <color theme="1"/>
        <rFont val="Times New Roman"/>
        <family val="1"/>
      </rPr>
      <t>Training &amp; Capacity Building - Rs.0.50L - to propose</t>
    </r>
    <r>
      <rPr>
        <sz val="12"/>
        <color theme="1"/>
        <rFont val="Times New Roman"/>
        <family val="1"/>
      </rPr>
      <t xml:space="preserve">
Elimination based training and capacity building for the Medical college and private sector doctors on elimination of Kala azar- Rs. 25,000/-Training medical officers - Rs.25,000/-Total= Rs.50,000/-</t>
    </r>
  </si>
  <si>
    <r>
      <rPr>
        <b/>
        <sz val="12"/>
        <color theme="1"/>
        <rFont val="Times New Roman"/>
        <family val="1"/>
      </rPr>
      <t>DRUGS - Rs 5.44 L
GoI supply - Rs 0.44 L for JE IgM Kits
Technical Malathion - Rs 5.00 L (State)- changed
TRAINING AND CAPACITY BUILDING-Rs.3.10 Lakhs</t>
    </r>
    <r>
      <rPr>
        <sz val="12"/>
        <color theme="1"/>
        <rFont val="Times New Roman"/>
        <family val="1"/>
      </rPr>
      <t xml:space="preserve">
One batch of district level training for health supervisory staff and Major hospital Physicians, Pediatricians @ Rs 0.20/batch/district. Thus a total of 14 batches at district level and one batch at State level regarding surveillance, control and eco-epidemiological investigation of the case.
For the surveillance and reporting of AES cases, it is needed to conduct training specific for JE prevention and Management.
</t>
    </r>
    <r>
      <rPr>
        <b/>
        <sz val="12"/>
        <color theme="1"/>
        <rFont val="Times New Roman"/>
        <family val="1"/>
      </rPr>
      <t>OTHERS INCLUDING OPERATING COSTS (OOC)- Rs.2.25L</t>
    </r>
    <r>
      <rPr>
        <sz val="12"/>
        <color theme="1"/>
        <rFont val="Times New Roman"/>
        <family val="1"/>
      </rPr>
      <t xml:space="preserve">
Operational costs for fogging.
Per case Rs.4500/- can be used in which wages for fogging machine operator (Skilled labor) Rs.730 and helper Rs.675. balance amount may be used for purchase of other commodities like diesel and petrol. If any upraise in cases in any district, the fund can be redistributed from the fund earmarked in the state.
</t>
    </r>
    <r>
      <rPr>
        <b/>
        <sz val="12"/>
        <color theme="1"/>
        <rFont val="Times New Roman"/>
        <family val="1"/>
      </rPr>
      <t>IEC &amp; PRINTING- Rs.0.70 Lakhs</t>
    </r>
    <r>
      <rPr>
        <sz val="12"/>
        <color theme="1"/>
        <rFont val="Times New Roman"/>
        <family val="1"/>
      </rPr>
      <t xml:space="preserve">
IEC/BCC specific to JE in endemic areas for conducting awareness classes/meetings 
</t>
    </r>
    <r>
      <rPr>
        <b/>
        <sz val="12"/>
        <color theme="1"/>
        <rFont val="Times New Roman"/>
        <family val="1"/>
      </rPr>
      <t>Planning and M&amp;E- RS.2.45 LAKHS</t>
    </r>
    <r>
      <rPr>
        <sz val="12"/>
        <color theme="1"/>
        <rFont val="Times New Roman"/>
        <family val="1"/>
      </rPr>
      <t xml:space="preserve">
Funds proposed for program management activities like review meetings, POL charges, mobility support, monitoring visits, supervision etc
</t>
    </r>
    <r>
      <rPr>
        <b/>
        <sz val="12"/>
        <color theme="1"/>
        <rFont val="Times New Roman"/>
        <family val="1"/>
      </rPr>
      <t>Vaccine for JE-Xeno-Monitoring– Rs. 2L to be Given</t>
    </r>
    <r>
      <rPr>
        <sz val="12"/>
        <color theme="1"/>
        <rFont val="Times New Roman"/>
        <family val="1"/>
      </rPr>
      <t xml:space="preserve">
As the state has JE endemic districts and JE and AES cases are being reported from those districts it is very necessary to conduct xeno-monitoring in vector mosquitoes. The testing of mosquitoes will be done in the identified labs. Hence funds proposed for activities procurement of materials for sample collection and transportation, POL charges, mobility support, field visits etc</t>
    </r>
  </si>
  <si>
    <t>DRUGS - Rs 5.44 L
GoI supply - Rs 0.44 L for JE IgM Kits
Technical Malathion - Rs 5.00 L (State)- changed
TRAINING AND CAPACITY BUILDING-Rs.3.10 Lakhs
One batch of district level training for health supervisory staff and Major hospital Physicians, Pediatricians @ Rs 0.20/batch/district. Thus a total of 14 batches at district level and one batch at State level regarding surveillance, control and eco-epidemiological investigation of the case.
For the surveillance and reporting of AES cases, it is needed to conduct training specific for JE prevention and Management.
OTHERS INCLUDING OPERATING COSTS (OOC)- Rs.2.25L
Operational costs for fogging.
Per case Rs.4500/- can be used in which wages for fogging machine operator (Skilled labor) Rs.730 and helper Rs.675. balance amount may be used for purchase of other commodities like diesel and petrol. If any upraise in cases in any district, the fund can be redistributed from the fund earmarked in the state.
IEC &amp; PRINTING- Rs.0.70 Lakhs
IEC/BCC specific to JE in endemic areas for conducting awareness classes/meetings 
Planning and M&amp;E- RS.2.45 LAKHS
Funds proposed for program management activities like review meetings, POL charges, mobility support, monitoring visits, supervision etc
Vaccine for JE-Xeno-Monitoring– Rs. 2L to be Given
As the state has JE endemic districts and JE and AES cases are being reported from those districts it is very necessary to conduct xeno-monitoring in vector mosquitoes. The testing of mosquitoes will be done in the identified labs. Hence funds proposed for activities procurement of materials for sample collection and transportation, POL charges, mobility support, field visits etc</t>
  </si>
  <si>
    <r>
      <rPr>
        <b/>
        <sz val="12"/>
        <color rgb="FF000000"/>
        <rFont val="Times New Roman"/>
        <family val="1"/>
      </rPr>
      <t>DIAGNOSTICS AND SUPPLIES- Rs.25.20 L
DRUGS- Rs.103.48L
Temephos &amp; Bti- Rs 31L (State purchase) a)Temephos –Rs.16 L b) Bti – Rs. 15 L  
IgM ELISA Test kit 650 nos for DF(GoI supply)- Rs 72.48 L</t>
    </r>
    <r>
      <rPr>
        <sz val="12"/>
        <color rgb="FF000000"/>
        <rFont val="Times New Roman"/>
        <family val="1"/>
      </rPr>
      <t xml:space="preserve">
</t>
    </r>
    <r>
      <rPr>
        <b/>
        <sz val="12"/>
        <color rgb="FF000000"/>
        <rFont val="Times New Roman"/>
        <family val="1"/>
      </rPr>
      <t>Diagnostics and Supplies-Rs.25.20L</t>
    </r>
    <r>
      <rPr>
        <sz val="12"/>
        <color rgb="FF000000"/>
        <rFont val="Times New Roman"/>
        <family val="1"/>
      </rPr>
      <t xml:space="preserve">
a)Dengue NS1 antigen kit 200 nos - Rs 12.40 L (@ Rs. 6000/kit)
b)Pyrethrum extract 2% for space spray- Rs.12.80 L (@Rs.1298/litre- 986 litres)
</t>
    </r>
    <r>
      <rPr>
        <b/>
        <sz val="12"/>
        <color rgb="FF000000"/>
        <rFont val="Times New Roman"/>
        <family val="1"/>
      </rPr>
      <t>ASHA INCENTIVES- Rs. 18L</t>
    </r>
    <r>
      <rPr>
        <sz val="12"/>
        <color rgb="FF000000"/>
        <rFont val="Times New Roman"/>
        <family val="1"/>
      </rPr>
      <t xml:space="preserve">
Dengue &amp; Chikungunya: Vector Control, environmental management
</t>
    </r>
    <r>
      <rPr>
        <b/>
        <sz val="12"/>
        <color rgb="FF000000"/>
        <rFont val="Times New Roman"/>
        <family val="1"/>
      </rPr>
      <t>TRAINING AND CAPACITY BUILDING-Rs. 7.75 LAKHS</t>
    </r>
    <r>
      <rPr>
        <sz val="12"/>
        <color rgb="FF000000"/>
        <rFont val="Times New Roman"/>
        <family val="1"/>
      </rPr>
      <t xml:space="preserve">
District level/State level training about 37 batches @ Rs 0.20 L per batch of different categories of staff including doctors,field supervisors,field staff and ASHAs would be trained on dengue surveillance,management and prevention
</t>
    </r>
    <r>
      <rPr>
        <b/>
        <sz val="12"/>
        <color rgb="FF000000"/>
        <rFont val="Times New Roman"/>
        <family val="1"/>
      </rPr>
      <t>OTHERS INCLUDING OPERATING COSTS (OOC) - Rs 566.50 L</t>
    </r>
    <r>
      <rPr>
        <sz val="12"/>
        <color rgb="FF000000"/>
        <rFont val="Times New Roman"/>
        <family val="1"/>
      </rPr>
      <t xml:space="preserve">
1) DG&amp;CG: Vector Control,  environmental management &amp; fogging machine-Repair &amp; Maintenance - Rs 36.50 L
2) Mosquito net for Hospital bed &amp; Mosquito Proofing of Hospital -  Rs 9.00 L
</t>
    </r>
    <r>
      <rPr>
        <b/>
        <sz val="12"/>
        <color rgb="FF000000"/>
        <rFont val="Times New Roman"/>
        <family val="1"/>
      </rPr>
      <t>Funds for Urban High risk Ward level activities (NUHM) – Rs. 521L</t>
    </r>
    <r>
      <rPr>
        <sz val="12"/>
        <color rgb="FF000000"/>
        <rFont val="Times New Roman"/>
        <family val="1"/>
      </rPr>
      <t xml:space="preserve">
  I. Source reduction activities using volunteers@ Rs 5,000/ward (700 Wards)
 II. Wages for 800 contingent workers for 90 days @ Rs. 675/-
Total amount of Rs 521.00 L for program activities under NUHM head for the implementation of Source reduction activities at urban areas (fund for urban wards and wages for contingent workers).
</t>
    </r>
    <r>
      <rPr>
        <b/>
        <sz val="12"/>
        <color rgb="FF000000"/>
        <rFont val="Times New Roman"/>
        <family val="1"/>
      </rPr>
      <t>IEC &amp; PRINTING- Rs 17.95 L
IEC/BCC for Social mobilization (Dengue and Chikungunya) - 17.95 L</t>
    </r>
    <r>
      <rPr>
        <sz val="12"/>
        <color rgb="FF000000"/>
        <rFont val="Times New Roman"/>
        <family val="1"/>
      </rPr>
      <t xml:space="preserve">
The fund is proposed for the state level,district level and sub district level IEC activities including Anti-Dengue month and National Dengue day observance.District level sensitisation training for collegezoology students and make them to conduct study on pre-monsoon,monsoon and post-monsoon Aedes index and other aspects.The fund also proposed for National Dengue day observance.
</t>
    </r>
    <r>
      <rPr>
        <b/>
        <sz val="12"/>
        <color rgb="FF000000"/>
        <rFont val="Times New Roman"/>
        <family val="1"/>
      </rPr>
      <t>PLANNING &amp; M&amp;E- Rs 53.75 L</t>
    </r>
    <r>
      <rPr>
        <sz val="12"/>
        <color rgb="FF000000"/>
        <rFont val="Times New Roman"/>
        <family val="1"/>
      </rPr>
      <t xml:space="preserve">
Monitoring , Supervision &amp; Rapid Response-DG/CG - Rs 45.00 L
For program management activities like mobility support, sample transportation, review meetings,monitoring visits and supervision, Procurement of IT equipment, internet charges, data entry operator in PMU etc. A total of Rs.45.0 L @ Rs.3.0 L for 12 districts; Rs.2.0 L for 2remaining districts; Rs.5.0 L for state HQ
</t>
    </r>
    <r>
      <rPr>
        <b/>
        <sz val="12"/>
        <color rgb="FF000000"/>
        <rFont val="Times New Roman"/>
        <family val="1"/>
      </rPr>
      <t>Epidemic Preparedness&amp; Response -8.75 L</t>
    </r>
    <r>
      <rPr>
        <sz val="12"/>
        <color rgb="FF000000"/>
        <rFont val="Times New Roman"/>
        <family val="1"/>
      </rPr>
      <t xml:space="preserve">
Funds may be utilized for pre-monsoon cleaning campaigns, source reduction activities, coordination meetings, procurement of essentials, arranging mobile teams, breeding checkers only for outbreakperiods, hiring of vehicles at local level, any other activity related to the epidemic preparedness. A totalamount of Rs.8.75 L @ Rs.0.75L to 7 major districts and Rs.0.5L to remaining 7 districts.
</t>
    </r>
    <r>
      <rPr>
        <b/>
        <sz val="12"/>
        <color rgb="FF000000"/>
        <rFont val="Times New Roman"/>
        <family val="1"/>
      </rPr>
      <t>SURVEILLANCE, RESEARCH, REVIEW, EVALUATION… (SRRE)- Rs 41 L</t>
    </r>
    <r>
      <rPr>
        <sz val="12"/>
        <color rgb="FF000000"/>
        <rFont val="Times New Roman"/>
        <family val="1"/>
      </rPr>
      <t xml:space="preserve">
For Apex Referral Lab recurrent Rs 3.00 L for TVM.
Sentinel Surveillance Hospital - Rs 38.00 L
Total 38 SSH Labs-SSH are responsible to report every case to NVBDCP, then only timely activity can ensure</t>
    </r>
  </si>
  <si>
    <r>
      <rPr>
        <b/>
        <sz val="12"/>
        <color theme="1"/>
        <rFont val="Times New Roman"/>
        <family val="1"/>
      </rPr>
      <t>DIAGNOSTICS AND SUPPLIES- Rs.25.20 L
DRUGS- Rs.103.48L
Temephos &amp; Bti- Rs 31L (State purchase) a)Temephos –Rs.16 L b) Bti – Rs. 15 L  
IgM ELISA Test kit 650 nos for DF(GoI supply)- Rs 72.48 L</t>
    </r>
    <r>
      <rPr>
        <sz val="12"/>
        <color theme="1"/>
        <rFont val="Times New Roman"/>
        <family val="1"/>
      </rPr>
      <t xml:space="preserve">
</t>
    </r>
    <r>
      <rPr>
        <b/>
        <sz val="12"/>
        <color theme="1"/>
        <rFont val="Times New Roman"/>
        <family val="1"/>
      </rPr>
      <t>Diagnostics and Supplies-Rs.25.20L</t>
    </r>
    <r>
      <rPr>
        <sz val="12"/>
        <color theme="1"/>
        <rFont val="Times New Roman"/>
        <family val="1"/>
      </rPr>
      <t xml:space="preserve">
a)Dengue NS1 antigen kit 200 nos - Rs 12.40 L (@ Rs. 6000/kit)
b)Pyrethrum extract 2% for space spray- Rs.12.80 L (@Rs.1298/litre- 986 litres)
</t>
    </r>
    <r>
      <rPr>
        <b/>
        <sz val="12"/>
        <color theme="1"/>
        <rFont val="Times New Roman"/>
        <family val="1"/>
      </rPr>
      <t>ASHA INCENTIVES- Rs. 18L</t>
    </r>
    <r>
      <rPr>
        <sz val="12"/>
        <color theme="1"/>
        <rFont val="Times New Roman"/>
        <family val="1"/>
      </rPr>
      <t xml:space="preserve">
Dengue &amp; Chikungunya: Vector Control, environmental management
</t>
    </r>
    <r>
      <rPr>
        <b/>
        <sz val="12"/>
        <color theme="1"/>
        <rFont val="Times New Roman"/>
        <family val="1"/>
      </rPr>
      <t>TRAINING AND CAPACITY BUILDING-Rs. 7.75 LAKHS</t>
    </r>
    <r>
      <rPr>
        <sz val="12"/>
        <color theme="1"/>
        <rFont val="Times New Roman"/>
        <family val="1"/>
      </rPr>
      <t xml:space="preserve">
District level/State level training about 37 batches @ Rs 0.20 L per batch of different categories of staff including doctors,field supervisors,field staff and ASHAs would be trained on dengue surveillance,management and prevention
</t>
    </r>
    <r>
      <rPr>
        <b/>
        <sz val="12"/>
        <color theme="1"/>
        <rFont val="Times New Roman"/>
        <family val="1"/>
      </rPr>
      <t>OTHERS INCLUDING OPERATING COSTS (OOC) - Rs 566.50 L</t>
    </r>
    <r>
      <rPr>
        <sz val="12"/>
        <color theme="1"/>
        <rFont val="Times New Roman"/>
        <family val="1"/>
      </rPr>
      <t xml:space="preserve">
1) DG&amp;CG: Vector Control,  environmental management &amp; fogging machine-Repair &amp; Maintenance - Rs 36.50 L
2) Mosquito net for Hospital bed &amp; Mosquito Proofing of Hospital -  Rs 9.00 L
</t>
    </r>
    <r>
      <rPr>
        <b/>
        <sz val="12"/>
        <color theme="1"/>
        <rFont val="Times New Roman"/>
        <family val="1"/>
      </rPr>
      <t>Funds for Urban High risk Ward level activities (NUHM) – Rs. 521L</t>
    </r>
    <r>
      <rPr>
        <sz val="12"/>
        <color theme="1"/>
        <rFont val="Times New Roman"/>
        <family val="1"/>
      </rPr>
      <t xml:space="preserve">
  I. Source reduction activities using volunteers@ Rs 5,000/ward (700 Wards)
 II. Wages for 800 contingent workers for 90 days @ Rs. 675/-
Total amount of Rs 521.00 L for program activities under NUHM head for the implementation of Source reduction activities at urban areas (fund for urban wards and wages for contingent workers).
</t>
    </r>
    <r>
      <rPr>
        <b/>
        <sz val="12"/>
        <color theme="1"/>
        <rFont val="Times New Roman"/>
        <family val="1"/>
      </rPr>
      <t>IEC &amp; PRINTING- Rs 17.95 L
IEC/BCC for Social mobilization (Dengue and Chikungunya) - 17.95 L</t>
    </r>
    <r>
      <rPr>
        <sz val="12"/>
        <color theme="1"/>
        <rFont val="Times New Roman"/>
        <family val="1"/>
      </rPr>
      <t xml:space="preserve">
The fund is proposed for the state level,district level and sub district level IEC activities including Anti-Dengue month and National Dengue day observance.District level sensitisation training for collegezoology students and make them to conduct study on pre-monsoon,monsoon and post-monsoon Aedes index and other aspects.The fund also proposed for National Dengue day observance.
</t>
    </r>
    <r>
      <rPr>
        <b/>
        <sz val="12"/>
        <color theme="1"/>
        <rFont val="Times New Roman"/>
        <family val="1"/>
      </rPr>
      <t>PLANNING &amp; M&amp;E- Rs 53.75 L</t>
    </r>
    <r>
      <rPr>
        <sz val="12"/>
        <color theme="1"/>
        <rFont val="Times New Roman"/>
        <family val="1"/>
      </rPr>
      <t xml:space="preserve">
Monitoring , Supervision &amp; Rapid Response-DG/CG - Rs 45.00 L
For program management activities like mobility support, sample transportation, review meetings,monitoring visits and supervision, Procurement of IT equipment, internet charges, data entry operator in PMU etc. A total of Rs.45.0 L @ Rs.3.0 L for 12 districts; Rs.2.0 L for 2remaining districts; Rs.5.0 L for state HQ
</t>
    </r>
    <r>
      <rPr>
        <b/>
        <sz val="12"/>
        <color theme="1"/>
        <rFont val="Times New Roman"/>
        <family val="1"/>
      </rPr>
      <t>Epidemic Preparedness&amp; Response -8.75 L</t>
    </r>
    <r>
      <rPr>
        <sz val="12"/>
        <color theme="1"/>
        <rFont val="Times New Roman"/>
        <family val="1"/>
      </rPr>
      <t xml:space="preserve">
Funds may be utilized for pre-monsoon cleaning campaigns, source reduction activities, coordination meetings, procurement of essentials, arranging mobile teams, breeding checkers only for outbreakperiods, hiring of vehicles at local level, any other activity related to the epidemic preparedness. A total amount of Rs.8.75 L @ Rs.0.75L to 7 major districts and Rs.0.5L to remaining 7 districts.
</t>
    </r>
    <r>
      <rPr>
        <b/>
        <sz val="12"/>
        <color theme="1"/>
        <rFont val="Times New Roman"/>
        <family val="1"/>
      </rPr>
      <t>SURVEILLANCE, RESEARCH, REVIEW, EVALUATION… (SRRE)- Rs 41 L</t>
    </r>
    <r>
      <rPr>
        <sz val="12"/>
        <color theme="1"/>
        <rFont val="Times New Roman"/>
        <family val="1"/>
      </rPr>
      <t xml:space="preserve">
For Apex Referral Lab recurrent Rs 3.00 L for TVM.
Sentinel Surveillance Hospital - Rs 38.00 L
Total 38 SSH Labs-SSH are responsible to report every case to NVBDCP, then only timely activity can ensure</t>
    </r>
  </si>
  <si>
    <r>
      <rPr>
        <b/>
        <sz val="12"/>
        <color theme="1"/>
        <rFont val="Times New Roman"/>
        <family val="1"/>
      </rPr>
      <t>DRUGS AND SUPPLIES - 2.86 L
GoI supply-  Amount of Rs 2.86 L</t>
    </r>
    <r>
      <rPr>
        <sz val="12"/>
        <color theme="1"/>
        <rFont val="Times New Roman"/>
        <family val="1"/>
      </rPr>
      <t xml:space="preserve">
DECtabs ( 13 L tabs required) @ 0.22 paise -Rs. 2.86 L;
Albendazole 4.60 L tabs required (Donation by WHO).
</t>
    </r>
    <r>
      <rPr>
        <b/>
        <sz val="12"/>
        <color theme="1"/>
        <rFont val="Times New Roman"/>
        <family val="1"/>
      </rPr>
      <t xml:space="preserve">TRAINING AND CAPACITY BUILDING –9.60 L
Training / Capacity Building for Health staff &amp; MOS etc - Rs 5.60 L. </t>
    </r>
    <r>
      <rPr>
        <sz val="12"/>
        <color theme="1"/>
        <rFont val="Times New Roman"/>
        <family val="1"/>
      </rPr>
      <t xml:space="preserve">
28 batches of training @ Rs 0.20 L / batch.Training / Capacity Building -Drug Administrators for PKD  - Rs 4.00L
Two heath blocks under Palakkad district failed in Assessment survey .These 2 blocks moving for MDA activities. For the training capacity building of drug administrators and supervisors Rs 2 L is needed. Rs.2L at State level.
</t>
    </r>
    <r>
      <rPr>
        <b/>
        <sz val="12"/>
        <color theme="1"/>
        <rFont val="Times New Roman"/>
        <family val="1"/>
      </rPr>
      <t xml:space="preserve">OTHERS INCLUDING OPERATING COSTS (OOC) - Rs 62.40L
</t>
    </r>
    <r>
      <rPr>
        <sz val="12"/>
        <color theme="1"/>
        <rFont val="Times New Roman"/>
        <family val="1"/>
      </rPr>
      <t xml:space="preserve">1) Funds for Hydrocelectomy (@Rs. 750) - Rs 2.25 L
2)  Funds Morbidity management (@Rs. 500 - Rs 60.15 L
</t>
    </r>
    <r>
      <rPr>
        <b/>
        <sz val="12"/>
        <color theme="1"/>
        <rFont val="Times New Roman"/>
        <family val="1"/>
      </rPr>
      <t>IEC &amp; PRINTING- Rs 40.80 L
IEC/BCC for Social mobilization (LF) - Rs 36 L</t>
    </r>
    <r>
      <rPr>
        <sz val="12"/>
        <color theme="1"/>
        <rFont val="Times New Roman"/>
        <family val="1"/>
      </rPr>
      <t xml:space="preserve">
Specific IEC/BCC activities for ELF at State, District, PHC, Sub-centre and village level including VHSC/GKs for community mobilization efforts to realize the desired testing compliance regarding TAS, Home based Lymphodema management, Morbidity survey etc.
</t>
    </r>
    <r>
      <rPr>
        <b/>
        <sz val="12"/>
        <color theme="1"/>
        <rFont val="Times New Roman"/>
        <family val="1"/>
      </rPr>
      <t>PRINTING- Rs.4.80</t>
    </r>
    <r>
      <rPr>
        <sz val="12"/>
        <color theme="1"/>
        <rFont val="Times New Roman"/>
        <family val="1"/>
      </rPr>
      <t xml:space="preserve">
For printing of formats, registers and other documents for the smooth conduct of Disease Elimination activities an amount of Rs.4.80 lakhs is proposed which will be used for districts.
</t>
    </r>
    <r>
      <rPr>
        <b/>
        <sz val="12"/>
        <color theme="1"/>
        <rFont val="Times New Roman"/>
        <family val="1"/>
      </rPr>
      <t>PLANNING &amp; M&amp;E- Rs 27.75L</t>
    </r>
    <r>
      <rPr>
        <sz val="12"/>
        <color theme="1"/>
        <rFont val="Times New Roman"/>
        <family val="1"/>
      </rPr>
      <t xml:space="preserve">
1.MST Mobility-Rs.22.00L
2.Monitoring and supervision for MDA and TAS –5.75 L
MDA supervision in 2 blocks of Palakkad district @ Rs.1L/block – Rs. 2L Supervision of TAS-1 in 15 health blocks of Malappuram District – Rs. 3.75L @ Rs.25000/block
</t>
    </r>
    <r>
      <rPr>
        <b/>
        <sz val="12"/>
        <color theme="1"/>
        <rFont val="Times New Roman"/>
        <family val="1"/>
      </rPr>
      <t xml:space="preserve">SURVEILLANCE, RESEARCH, REVIEW, EVALUATION…. (SRRE)-Rs 58.45L 
Sub-national Disease Free Certification - SRRE – Rs.10.00L (Kottayam &amp; Kollam districts)
</t>
    </r>
    <r>
      <rPr>
        <sz val="12"/>
        <color theme="1"/>
        <rFont val="Times New Roman"/>
        <family val="1"/>
      </rPr>
      <t>a) MF survey in Non-endemic districts – Rs.1.65 L
b) Annual MF Survey- Rs.0.15 L
c) Verification and Validation for stoppage of MDA in LF endemic districts -ICT (immuno-chromatographic test- Survey -  Rs 33.90 L
d) Post MDA Surveillance- Rs.10.8L
6000/EU PKD &amp; MPM -New strategy is implementing. Other districts 60,000/EU
e)Pre -TAS survey(Additional MF Survey) - Rs 1.95 L 
Considering the geographic area, transportation &amp; road conditions a minimum amount of Rs.15000 may be needed for each health blocks. So @ 15000 for 13 health blocks totalling to Rs.1.95L</t>
    </r>
  </si>
  <si>
    <r>
      <rPr>
        <b/>
        <sz val="12"/>
        <color theme="1"/>
        <rFont val="Times New Roman"/>
        <family val="1"/>
      </rPr>
      <t>DRUGS AND SUPPLIES - 2.86 L
GoI supply-  Amount of Rs 2.86 L</t>
    </r>
    <r>
      <rPr>
        <sz val="12"/>
        <color theme="1"/>
        <rFont val="Times New Roman"/>
        <family val="1"/>
      </rPr>
      <t xml:space="preserve">
DECtabs ( 13 L tabs required) @ 0.22 paise -Rs. 2.86 L;
Albendazole 4.60 L tabs required (Donation by WHO).
</t>
    </r>
    <r>
      <rPr>
        <b/>
        <sz val="12"/>
        <color theme="1"/>
        <rFont val="Times New Roman"/>
        <family val="1"/>
      </rPr>
      <t xml:space="preserve">TRAINING AND CAPACITY BUILDING –9.60 L
Training / Capacity Building for Health staff &amp; MOS etc - Rs 5.60 L. </t>
    </r>
    <r>
      <rPr>
        <sz val="12"/>
        <color theme="1"/>
        <rFont val="Times New Roman"/>
        <family val="1"/>
      </rPr>
      <t xml:space="preserve">
28 batches of training @ Rs 0.20 L / batch.Training / Capacity Building -Drug Administrators for PKD  - Rs 4.00L
Two heath blocks under Palakkad district failed in Assessment survey .These 2 blocks moving for MDA activities. For the training capacity building of drug administrators and supervisors Rs 2 L is needed. Rs.2L at State level.
</t>
    </r>
    <r>
      <rPr>
        <b/>
        <sz val="12"/>
        <color theme="1"/>
        <rFont val="Times New Roman"/>
        <family val="1"/>
      </rPr>
      <t>OTHERS INCLUDING OPERATING COSTS (OOC) - Rs 62.40L</t>
    </r>
    <r>
      <rPr>
        <sz val="12"/>
        <color theme="1"/>
        <rFont val="Times New Roman"/>
        <family val="1"/>
      </rPr>
      <t xml:space="preserve">
1) Funds for Hydrocelectomy (@Rs. 750) - Rs 2.25 L
2)  Funds Morbidity management (@Rs. 500 - Rs 60.15 L
</t>
    </r>
    <r>
      <rPr>
        <b/>
        <sz val="12"/>
        <color theme="1"/>
        <rFont val="Times New Roman"/>
        <family val="1"/>
      </rPr>
      <t>IEC &amp; PRINTING- Rs 40.80 L
IEC/BCC for Social mobilization (LF) - Rs 36 L</t>
    </r>
    <r>
      <rPr>
        <sz val="12"/>
        <color theme="1"/>
        <rFont val="Times New Roman"/>
        <family val="1"/>
      </rPr>
      <t xml:space="preserve">
Specific IEC/BCC activities for ELF at State, District, PHC, Sub-centre and village level including VHSC/GKs for community mobilization efforts to realize the desired testing compliance regarding TAS, Home based Lymphodema management, Morbidity survey etc.
</t>
    </r>
    <r>
      <rPr>
        <b/>
        <sz val="12"/>
        <color theme="1"/>
        <rFont val="Times New Roman"/>
        <family val="1"/>
      </rPr>
      <t>PRINTING- Rs.4.80</t>
    </r>
    <r>
      <rPr>
        <sz val="12"/>
        <color theme="1"/>
        <rFont val="Times New Roman"/>
        <family val="1"/>
      </rPr>
      <t xml:space="preserve">
For printing of formats, registers and other documents for the smooth conduct of Disease Elimination activities an amount of Rs.4.80 lakhs is proposed which will be used for districts.
</t>
    </r>
    <r>
      <rPr>
        <b/>
        <sz val="12"/>
        <color theme="1"/>
        <rFont val="Times New Roman"/>
        <family val="1"/>
      </rPr>
      <t>PLANNING &amp; M&amp;E- Rs 27.75L</t>
    </r>
    <r>
      <rPr>
        <sz val="12"/>
        <color theme="1"/>
        <rFont val="Times New Roman"/>
        <family val="1"/>
      </rPr>
      <t xml:space="preserve">
1.MST Mobility-Rs.22.00L
2.Monitoring and supervision for MDA and TAS –5.75 L
MDA supervision in 2 blocks of Palakkad district @ Rs.1L/block – Rs. 2L Supervision of TAS-1 in 15 health blocks of Malappuram District – Rs. 3.75L @ Rs.25000/block
</t>
    </r>
    <r>
      <rPr>
        <b/>
        <sz val="12"/>
        <color theme="1"/>
        <rFont val="Times New Roman"/>
        <family val="1"/>
      </rPr>
      <t xml:space="preserve">SURVEILLANCE, RESEARCH, REVIEW, EVALUATION…. (SRRE)-Rs 46.80L </t>
    </r>
    <r>
      <rPr>
        <sz val="12"/>
        <color theme="1"/>
        <rFont val="Times New Roman"/>
        <family val="1"/>
      </rPr>
      <t xml:space="preserve">
a) Annual MF Survey- Rs.0.15 L
b) Verification and Validation for stoppage of MDA in LF endemic districts -ICT (immuno-chromatographic test- Survey -  Rs 33.90 L
c) Post MDA Surveillance- Rs.10.8L
6000/EU PKD &amp; MPM -New strategy is implementing. Other districts 60,000/EU
d)Pre -TAS survey(Additional MF Survey) - Rs 1.95 L 
Considering the geographic area, transportation &amp; road conditions a minimum amount of Rs.15000 may be needed for each health blocks. So @ 15000 for 13 health blocks totalling to Rs.1.95L</t>
    </r>
  </si>
  <si>
    <t>Diagnostics - 9.52 L
  Approved Rs 9.52 Lakhs @ Rs 68000/-per district for drugs required for management of reaction and printing.
  ASHA incentives - 890.78 L
  1. Approved an amount of Rs 886.22 L as incentive for search team (Rs 1000 per Volunteer) for each screening round/ village for LCDC
 2. Approved Rs 0.60 Lakhs as Incentive for ASHA/ AWW/ Volunteer/ etc for detection of Leprosy (Rs 250 for detection of an early case before onset of any visible deformity, Rs 200 for detection of new case with visible deformity in hands, feet or eye)
 3. Approved Rs 0.560 Lakhs for ASHA Incentive for Treatment completion of PB cases (@ Rs 400)
 4. Approved Rs 0.60 Lakhs for ASHA Incentive for Treatment completion of MB cases (@ Rs 600)
 5. Approved Rs 2.80 Lakhs for Any other ASHA incentives(Sensitisation) @ Rs 100 per ASHA
  OOC - 19.80 L
  Approved for Case Detection and Management in urban Areas</t>
  </si>
  <si>
    <t>DBT - 2.4 L
  Approved for 20 cases @ Rs 12000/ Patient
  Equipment - 4.40 L 
  1. Procurement of other equipment: NLEP- MCR
  Approved for Rs 3.20 Lakhs for MCR Chappals @ Rs 400 per unit
  2. Procurement of other equipment: NLEP- Aids/Appliance
  Approved for Rs 1.20 Lakhs for Self care kit @ Rs 150 per unit 
  OOC -15.4 L
  Approved for Early detection in camps, ulcer management, and prevention of deformity @ Rs 10000 per camp</t>
  </si>
  <si>
    <t>Training - 63.89 L
  I. Approved Rs 44.31 L for Orientation training-Training of ASHAS in connection with LCDC
  II. Approved Rs 19.58 Lakhs for orientation training to field level staff in connection with LCDC, District level Refresher Training of General health staff, including School health Nurse and Urban JPHNs- Rs 14 L for districts @ Rs 1 Lakh per district and Rs 5.58 L for training to DLO/ALO/NMS/MOs/Physiotherapists at CLTRI/RLTRI 
  OOC - 7.00 L
 Approved Rs 7 Lakhs for NGO activities under NLEP- St. Johns Health Services, Pirappancode, Trivandrum is performing RCS also. The NGO is already reg-istered in E- darpan portal. The unique Id- KL/2017/0165732
  IEC &amp; Printing - 37.93 L
  1. Approved Rs 10.92 Lakhs for Advocacy/ IEC (Rs 4000/block of urban area) in connection with LCDC.
  2. Approved Rs 13.293 Lakhs for Printing reporting formats Rs. 30/team in connection with LCDC 
  3. Approved Rs 13.72 Lakhs for District level IEC activities viz students’ awareness programme, Balamithra Programme, intersectoral sensitisation, ward level, panchayath level and block level campaigns@ Rs 98000 per district
  Planning &amp; M&amp;E - Rs 54.45 L
  1. Office operation &amp; Maintenance - State Cell@ Rs 0.75 Lakhs
  2. Office Equipment Maint. State @ Rs 0.50 Lakhs
  3.Office operation &amp; Maintenance, Consumables- District Cell - Rs 4.2 Lakhs @ Rs 0.30 L per district
  4. State Cell – Consumables @ Rs 0.50 Lakhs
  5. Mobility Support State cell including TA/ DA of NLEP staff @ Rs 2 Lakh
  6. Mobility Support District cell including TA/DA of NLEP staff@ Rs 21 Lakhs- 1.5 Lakh/district
  7. NLEP Review Meetings @ Rs 2 lakhs- 4 meetings @ Rs 0.50 L
 8. Approved an amount of Rs 8.88 L as POL, transport (field supervisors) for LCDC @ Rs 100/ supervisor
  9. Approved Rs 4.43 Lakhs for Logistics Rs.10/ team in connection with LCDC.
  10. Approved Rs 8.19 Lakhs for Supervision and monitoring @ Rs 3000 per block in connection with LCDC
  11. Approved Rs 2 Lakhs for conducting State level workshop in connection with LCDC</t>
  </si>
  <si>
    <r>
      <rPr>
        <b/>
        <u/>
        <sz val="12"/>
        <color theme="1"/>
        <rFont val="Times New Roman"/>
        <family val="1"/>
      </rPr>
      <t>DBT- 34.90 Lakhs</t>
    </r>
    <r>
      <rPr>
        <sz val="12"/>
        <color theme="1"/>
        <rFont val="Times New Roman"/>
        <family val="1"/>
      </rPr>
      <t xml:space="preserve"> - Treatment Supporter Honorarium (Rs.1000) - one-time payment on the update of the Outcome of Treatment for drug sensitive TB patien</t>
    </r>
    <r>
      <rPr>
        <sz val="12"/>
        <color rgb="FFFF0000"/>
        <rFont val="Times New Roman"/>
        <family val="1"/>
      </rPr>
      <t xml:space="preserve">ts
</t>
    </r>
    <r>
      <rPr>
        <b/>
        <u/>
        <sz val="12"/>
        <color rgb="FFFF0000"/>
        <rFont val="Times New Roman"/>
        <family val="1"/>
      </rPr>
      <t xml:space="preserve"> Infrastructure - Civil - Rs 360.60 lakhs</t>
    </r>
    <r>
      <rPr>
        <sz val="12"/>
        <color theme="1"/>
        <rFont val="Times New Roman"/>
        <family val="1"/>
      </rPr>
      <t xml:space="preserve"> - 
 *New Proposal- 160.60 Lakhs
 Rs. 32.00 lakhs for - NTEP State Drug Store for maintenance and clearing of leaking in the building etc.
 *Rs. 75.00 lakhs - District TB Centre Wayanad building Roof maintenance for clearing leakage etc.
* Rs.200 lakhs-Additional amount required for construction of new District TB centre Building in Pathanamthitta district
 *Rs. 53.60 Lakhs - Minor civil works/ repairing &amp; maintenance at STC, DOTs, DTC, TU &amp; DMC and X-ray facilities etc based on need basis and for minor civil works.
</t>
    </r>
    <r>
      <rPr>
        <u/>
        <sz val="12"/>
        <color theme="1"/>
        <rFont val="Times New Roman"/>
        <family val="1"/>
      </rPr>
      <t xml:space="preserve"> </t>
    </r>
    <r>
      <rPr>
        <b/>
        <u/>
        <sz val="12"/>
        <color theme="1"/>
        <rFont val="Times New Roman"/>
        <family val="1"/>
      </rPr>
      <t>Equipments - Rs. 270.40 Lakhs</t>
    </r>
    <r>
      <rPr>
        <u/>
        <sz val="12"/>
        <color theme="1"/>
        <rFont val="Times New Roman"/>
        <family val="1"/>
      </rPr>
      <t xml:space="preserve"> </t>
    </r>
    <r>
      <rPr>
        <sz val="12"/>
        <color theme="1"/>
        <rFont val="Times New Roman"/>
        <family val="1"/>
      </rPr>
      <t xml:space="preserve">- 
 *Rs. 150.00 lakhs for procurement of 3 Nos of Handheld Portable X-ray Machines for 3 Districts.
 * Rs. 120.40 lakhs for procurement of equipment for State &amp; District levels, SDS&lt; STDC, (DMC, X-ray and ECG, etc for NTEP), Maintenance / up gradation costs for Laboratory equipment’s DMC, X-ray and ECG, etc for NTEP , Procurement of office equipment and furniture for District levels. (Office Equipments)
 and Maintenance / up gradation costs for office equipment’s (Office Equipments) 
 </t>
    </r>
    <r>
      <rPr>
        <b/>
        <u/>
        <sz val="12"/>
        <color theme="1"/>
        <rFont val="Times New Roman"/>
        <family val="1"/>
      </rPr>
      <t>Drugs - Rs. 62.40 Lakhs</t>
    </r>
    <r>
      <rPr>
        <sz val="12"/>
        <color theme="1"/>
        <rFont val="Times New Roman"/>
        <family val="1"/>
      </rPr>
      <t xml:space="preserve"> - Procurement of First line drugs, Local Procurement of first line Anti TB drugs and Drug Transportation charges State &amp; District level etc
 </t>
    </r>
    <r>
      <rPr>
        <b/>
        <u/>
        <sz val="12"/>
        <color theme="1"/>
        <rFont val="Times New Roman"/>
        <family val="1"/>
      </rPr>
      <t xml:space="preserve">Diagnostics (Consumbales, PPP, Sample Transportation) - Rs. 159.20 Lakhs </t>
    </r>
    <r>
      <rPr>
        <sz val="12"/>
        <color theme="1"/>
        <rFont val="Times New Roman"/>
        <family val="1"/>
      </rPr>
      <t xml:space="preserve">- Patient Support &amp; Sample collection and Transport , Charges for transportation of samples for diagnosis, DST, follow-up &amp; Procurement of Lab consumables for DMCs, Procurement of Consumables for X-rays, ECG and etc.
 </t>
    </r>
    <r>
      <rPr>
        <b/>
        <u/>
        <sz val="12"/>
        <color theme="1"/>
        <rFont val="Times New Roman"/>
        <family val="1"/>
      </rPr>
      <t>Capacity building Incl. training - Rs. 111.70 Lakhs</t>
    </r>
    <r>
      <rPr>
        <sz val="12"/>
        <color theme="1"/>
        <rFont val="Times New Roman"/>
        <family val="1"/>
      </rPr>
      <t xml:space="preserve"> - 
* Rs.9.80 lakhs State HQ -  Training cost (including TA/DA &amp; other course materials) for officers / staff/ TB Champions and all State &amp; district staff at National level, State level and District level, and Community Engagement  Activities - Sensitization of TB survivors, sensitization of NGOs, PRIs meeting, TB survivor led activities, etc (</t>
    </r>
    <r>
      <rPr>
        <i/>
        <sz val="12"/>
        <color theme="1"/>
        <rFont val="Times New Roman"/>
        <family val="1"/>
      </rPr>
      <t xml:space="preserve">Separeate annexure for training proposed attached)
</t>
    </r>
    <r>
      <rPr>
        <sz val="12"/>
        <color theme="1"/>
        <rFont val="Times New Roman"/>
        <family val="1"/>
      </rPr>
      <t xml:space="preserve">* Rs. 101.90 lakhs District level - Training cost (including TA/DA &amp; other course materials) for officers / staff/ TB Champions and all State &amp; district staff at National level, State level and District level, and Community Engagement  Activities - Sensitization of TB survivors, sensitization of NGOs, PRIs meeting, TB survivor led activities, CME in Medical Colleges etc </t>
    </r>
    <r>
      <rPr>
        <i/>
        <sz val="12"/>
        <color theme="1"/>
        <rFont val="Times New Roman"/>
        <family val="1"/>
      </rPr>
      <t>(Separeate annexure for training proposed attached)</t>
    </r>
    <r>
      <rPr>
        <sz val="12"/>
        <color theme="1"/>
        <rFont val="Times New Roman"/>
        <family val="1"/>
      </rPr>
      <t xml:space="preserve">
 </t>
    </r>
    <r>
      <rPr>
        <b/>
        <u/>
        <sz val="12"/>
        <color theme="1"/>
        <rFont val="Times New Roman"/>
        <family val="1"/>
      </rPr>
      <t>Others including operating costs (OOC) - Rs. 47.20 Lakhs</t>
    </r>
    <r>
      <rPr>
        <sz val="12"/>
        <color theme="1"/>
        <rFont val="Times New Roman"/>
        <family val="1"/>
      </rPr>
      <t xml:space="preserve"> - 
*Rs. 15.70 lakhs - Incentives for Active Case Finding activities, Incentive to non-salaried person for injection prick, 
*Rs. 3.00 lakhs budget for Printing of Materials State level activities.
* Rs, 28.50 lakhs for Printing of Materials at District level activities. 
</t>
    </r>
    <r>
      <rPr>
        <b/>
        <u/>
        <sz val="12"/>
        <color theme="1"/>
        <rFont val="Times New Roman"/>
        <family val="1"/>
      </rPr>
      <t xml:space="preserve"> Planning &amp; M&amp;E - Rs. 220.60 Lakhs</t>
    </r>
    <r>
      <rPr>
        <sz val="12"/>
        <color theme="1"/>
        <rFont val="Times New Roman"/>
        <family val="1"/>
      </rPr>
      <t xml:space="preserve"> - 
* Rs. 74.90 lakhs - Supervision and Monitoring (State &amp; District Level) - TA/DA cost of all officer/ staff working in NTEP, review meetings, Medical College Sensitization meetings, Cost of internal evaluation, State Task Force Meetings etc.,
* Rs. 72.90 lakhs -  POL for existing vehicles under NTEP and mobility support for those field staff in lieu of  vehicles. Vehicle hiring cost for Districts where Govt vehicles are not available for supervision &amp; monitoring, Maintenance cost for District vehicles 
 (including four-wheeler &amp; two wheelers)
* Rs. 72.80 lakhs - Office operation includes office maintenance expenditure, stationary, communication etc for State &amp; District level. 
</t>
    </r>
    <r>
      <rPr>
        <b/>
        <u/>
        <sz val="12"/>
        <color theme="1"/>
        <rFont val="Times New Roman"/>
        <family val="1"/>
      </rPr>
      <t xml:space="preserve"> Surveillance, Research, Review, Evaluation (SRRE) - Rs.56.30 Lakhs </t>
    </r>
    <r>
      <rPr>
        <sz val="12"/>
        <color theme="1"/>
        <rFont val="Times New Roman"/>
        <family val="1"/>
      </rPr>
      <t>- 
 *Rs. 30.30 lakhs for Support State/ District level/TU/LSG TB Forums(Treatment Support Groups) functioning including meeting cost, travel support to community members attending meeting, State/Zonal Task force, OR and Other Medical Colleges related meetings etc.
 *Rs. 26.00 lakhs - Operational Research &amp; Studies and  consultancy/PG Thesis.</t>
    </r>
  </si>
  <si>
    <t>DBT- 57.30 Lakhs - Treatment Supporter Honorarium (Rs.1000) - one-time payment on the update of the Outcome of Treatment for drug sensitive TB patients
Infrastructure - Civil - Rs 58.80 lakhs - 
*Rs. 58.80 Lakhs - Minor civil works/ repairing &amp; maintenance at STC, DOTs, DTC, TU &amp; DMC and X-ray facilities etc  based on need basis and for minor civil works.
Equipments  - Rs. 280.80 Lakhs -  
*Rs. 150.00 lakhs for procurement of 3 Nos of Handheld Portable X-ray Machines for 3 Districts.
* Rs. 130.80 lakhs for procurement of equipment for State &amp; District levels, SDS&lt; STDC, (DMC, X-ray and ECG, etc for NTEP), Maintenance / up gradation costs for Laboratory equipment’s DMC, X-ray and ECG, etc for NTEP , Procurement of office equipment and furniture for District levels. (Office Equipments)
and Maintenance / up gradation costs for office equipment’s (Office Equipments) 
Drugs - Rs. 71.10 Lakhs - Procurement of First line drugs, Local Procurement of first line Anti TB drugs and Drug Transportation charges State &amp; District level etc
Diagnostics (Consumbales, PPP, Sample Transportation) - Rs. 175.70 Lakhs - Patient Support &amp; Sample collection and Transport , Charges for transportation of samples for diagnosis, DST, follow-up &amp; Procurement of Lab consumables for DMCs, Procurement of Consumables for X-rays, ECG and etc.
Capacity building Incl. training - Rs. 123.70 Lakhs -  Training cost (including TA/DA &amp; other course materials) for officers / staff/ TB Champions and all State &amp; district staff at National level, State level and District level, and Community Engagement
Activities - Sensitization of TB survivors, sensitization of NGOs, PRIs meeting, TB survivor led activities, etc
Others including operating costs (OOC) - Rs. 48.90 Lakhs -  Rs. 13.70 Lakhs - for Incentives for Active Case Finding activities, Incentive to non-salaried person for injection prick,
Rs. 31.80 Lakhs - for Printing of Materials at District level activities.
Rs. 3.40 Lakhs - for Printing of Materials at State level activities.
Planning &amp; M&amp;E - Rs. 233.30 Lakhs - Rs. 82.50 Lakhs - for Supervision and Monitoring (State &amp; District Level) - TA/DA cost of all officer/ staff working in NTEP, review meetings, Medical College Sensitization meetings, Cost of internal evaluation, State Task Force Meetings etc
Rs. 84.00 Lakhs - for POL for existing vehicles under NTEP and mobility support for those field staff in lieu of vehicles. Vehicle hiring cost for Districts where Govt vehicles are not available for supervision &amp; monitoring, Maintenance cost for District vehicles (including four-wheeler &amp; two wheelers).
Rs.  66.80  Lakhs - for Office operation includes office maintenance expenditure, stationary,  communication etc for State &amp; District level.
Surveillance, Research, Review, Evaluation (SRRE) - Rs.62.00 Lakhs -  
*Rs. 33.00 lakhs for Support State/ District level/TU/LSG TB Forums(Treatment Support Groups) functioning including meeting cost, travel support to community members attending meeting, etc.
*Rs. 29.00 lakhs - Research &amp; Studies and
consultancy/PG Thesis</t>
  </si>
  <si>
    <r>
      <rPr>
        <b/>
        <u/>
        <sz val="12"/>
        <color theme="1"/>
        <rFont val="Times New Roman"/>
        <family val="1"/>
      </rPr>
      <t>DBT - Rs. 690.50 Lakhs</t>
    </r>
    <r>
      <rPr>
        <sz val="12"/>
        <color theme="1"/>
        <rFont val="Times New Roman"/>
        <family val="1"/>
      </rPr>
      <t xml:space="preserve"> - Nutrition support to TB patient Rs. 500 per month till the treatment is completed, by DBT for DSTB Patients for 6 months &amp; Nutrition support to TB patient Rs. 500 per month till the treatment is completed, by DBT for DRTB Patients for 12 months.</t>
    </r>
  </si>
  <si>
    <t>DBT - Rs. 710.50 Lakhs - Nutrition support to TB patient Rs. 500 per month till the treatment is completed, by DBT for DSTB Patients for 6 months &amp; Nutrition support to TB patient Rs. 500 per month till the treatment is completed, by DBT for DRTB Patients for 12 months.</t>
  </si>
  <si>
    <r>
      <rPr>
        <b/>
        <u/>
        <sz val="12"/>
        <color rgb="FF000000"/>
        <rFont val="Times New Roman"/>
        <family val="1"/>
      </rPr>
      <t>DBT - Rs. 27.40 Lakhs</t>
    </r>
    <r>
      <rPr>
        <sz val="12"/>
        <color rgb="FF000000"/>
        <rFont val="Times New Roman"/>
        <family val="1"/>
      </rPr>
      <t xml:space="preserve"> - Private Provider Incentives- NTEP DBT Scheme @Rs. 500/- per notification and Rs. 500/- when treatment outcome declared &amp; Incentives for first informant (20% of Public notified case will be expected to be eligible for first informant incentive).
</t>
    </r>
    <r>
      <rPr>
        <b/>
        <u/>
        <sz val="12"/>
        <color rgb="FF000000"/>
        <rFont val="Times New Roman"/>
        <family val="1"/>
      </rPr>
      <t>Others including operating costs (OOC) - Rs. 80.00 Lakhs</t>
    </r>
    <r>
      <rPr>
        <sz val="12"/>
        <color rgb="FF000000"/>
        <rFont val="Times New Roman"/>
        <family val="1"/>
      </rPr>
      <t xml:space="preserve"> - Cost of existing NGO/ PP support schemes and new NGO/ PP support schemes at Dsitrict level proposed as per NTEP Public Private Partnership Guidance.</t>
    </r>
  </si>
  <si>
    <t>DBT - Rs. 31.40 Lakhs - Private Provider Incentives- NTEP DBT Scheme @Rs. 500/- per notification and Rs. 500/- when treatment outcome declared &amp; Incentives for first informant (20% of Public
notified case will be expected to be eligible for first informant incentive).
Others including operating costs (OOC) - Rs. 85.30 Lakhs - Cost of existing NGO/ PP support schemes and new NGO/ PP support schemes proposed as per NTEP Public Private Partnership Guidance.</t>
  </si>
  <si>
    <r>
      <rPr>
        <b/>
        <u/>
        <sz val="12"/>
        <color rgb="FF000000"/>
        <rFont val="Times New Roman"/>
        <family val="1"/>
      </rPr>
      <t>Drugs - 310.00 Lakhs</t>
    </r>
    <r>
      <rPr>
        <sz val="12"/>
        <color rgb="FF000000"/>
        <rFont val="Times New Roman"/>
        <family val="1"/>
      </rPr>
      <t xml:space="preserve"> - Treatment of LTBI - Local procurement of approved LTBI drugs. 
</t>
    </r>
    <r>
      <rPr>
        <b/>
        <u/>
        <sz val="12"/>
        <color rgb="FF000000"/>
        <rFont val="Times New Roman"/>
        <family val="1"/>
      </rPr>
      <t>Diagnostics (Consumbales, PPP, Sample Transportation) - Rs. 214.30 lakhs</t>
    </r>
    <r>
      <rPr>
        <sz val="12"/>
        <color rgb="FF000000"/>
        <rFont val="Times New Roman"/>
        <family val="1"/>
      </rPr>
      <t xml:space="preserve"> - 
 *Rs. 185.00 lakhs -  Diagnosis of LTBI - Procurement of Lab Materials and consumables for IGRA test.
 *Rs. 29.30 Lakhs - Screening, referral linkages and follow-up under Latent TB Infection Management ,Cost for screening of LTBI such as incentives, sample collection &amp; transport, Incentive to ASHAs etc.</t>
    </r>
  </si>
  <si>
    <t>Drugs - 390.00 Lakhs - Treatment of LTBI - Local procurement of approved LTBI drugs. 
Diagnostics (Consumbales, PPP, Sample Transportation) - Rs. 175.30 lakhs - 
*Rs. 140.00 lakhs - 
Diagnosis of LTBI - Procurement of Lab Materials and consumables for IGRA test.
*Rs. 35.30 Lakhs - Screening, referral linkages and follow-up under Latent TB Infection Management ,Cost for screening of LTBI such as incentives, sample collection &amp; transport, etc may be budgeted</t>
  </si>
  <si>
    <r>
      <rPr>
        <b/>
        <u/>
        <sz val="12"/>
        <color rgb="FF000000"/>
        <rFont val="Times New Roman"/>
        <family val="1"/>
      </rPr>
      <t>DBT - Rs. 22.10 Lakhs</t>
    </r>
    <r>
      <rPr>
        <sz val="12"/>
        <color rgb="FF000000"/>
        <rFont val="Times New Roman"/>
        <family val="1"/>
      </rPr>
      <t xml:space="preserve"> - Treatment Supporter Honorarium (Rs.5000), payment on the update of the Outcome of Treatment for drug resistant TB patients.
 </t>
    </r>
    <r>
      <rPr>
        <b/>
        <u/>
        <sz val="12"/>
        <color rgb="FF000000"/>
        <rFont val="Times New Roman"/>
        <family val="1"/>
      </rPr>
      <t>Infrastructure- Civil works (I&amp;C) - Rs. 62.70 Lakhs</t>
    </r>
    <r>
      <rPr>
        <sz val="12"/>
        <color rgb="FF000000"/>
        <rFont val="Times New Roman"/>
        <family val="1"/>
      </rPr>
      <t xml:space="preserve"> -
 * Rs. 33.00 lakhs for IRL Trivandrum, building maintenance, painting, compound maintenance, 
 * Rs. 29.70 lakhs for Minor civil works/ repairing &amp; maintenance of Nodal DRTB centres - TVM, KZK, TSR, CBNAAT,TRUNAAT sites, CDST labs on need basis.
</t>
    </r>
    <r>
      <rPr>
        <b/>
        <u/>
        <sz val="12"/>
        <color rgb="FF000000"/>
        <rFont val="Times New Roman"/>
        <family val="1"/>
      </rPr>
      <t xml:space="preserve"> Equipment - Rs. 154.20 Lakhs </t>
    </r>
    <r>
      <rPr>
        <sz val="12"/>
        <color rgb="FF000000"/>
        <rFont val="Times New Roman"/>
        <family val="1"/>
      </rPr>
      <t xml:space="preserve">- 
 *Rs. 11.50 lakhs - Procurement of lab and office equipment for State levels - (IRL Tvm - 9.50 lakhs, 2.00 lakhs for DR TB Centre, Tvm) , 
 *Rs. 95.40 Lakhs - Maintenance / up gradation costs for Laboratory equipment’s for DR TB Centre, IRL (IRL Tvm - 11.40 lakhs, Nodal DR TB Centre, Tvm - Rs. 1.50 lakhs, CMC for CBNAAT &amp; Trunaat Machines - Rs. 82.50 Lakhs.
 *Rs. 47.30 lakhs for Procurement of equipment for District levels (DR TB Centre, IRL, C&amp; DST Lab and Molecular Diagnostics), maintenance / up gradation costs for Laboratory equipment’s for DR TB Centre, IRL, C&amp;DST Lab and Molecular Diagnostics Equipment for NTEP
</t>
    </r>
    <r>
      <rPr>
        <b/>
        <u/>
        <sz val="12"/>
        <color rgb="FF000000"/>
        <rFont val="Times New Roman"/>
        <family val="1"/>
      </rPr>
      <t>Drugs - Rs. 63.90 Lakhs</t>
    </r>
    <r>
      <rPr>
        <sz val="12"/>
        <color rgb="FF000000"/>
        <rFont val="Times New Roman"/>
        <family val="1"/>
      </rPr>
      <t xml:space="preserve"> - Procurement of DRTB drugs, Local Procurement of second line drugs., and Delamind on need basis.
</t>
    </r>
    <r>
      <rPr>
        <b/>
        <u/>
        <sz val="12"/>
        <color rgb="FF000000"/>
        <rFont val="Times New Roman"/>
        <family val="1"/>
      </rPr>
      <t xml:space="preserve">Diagnostics (Consumbales, PPP, Sample Transportation) - Rs. 1742.00 Lakhs - </t>
    </r>
    <r>
      <rPr>
        <sz val="12"/>
        <color rgb="FF000000"/>
        <rFont val="Times New Roman"/>
        <family val="1"/>
      </rPr>
      <t xml:space="preserve">
 *Rs. 40.00 Lakhs for LPA Kits, MGIT Kits &amp; Xpert XDR Cartridges for the use in IRL &amp; C&amp;DST Lab kzk,, 
 *Rs. 1344.00 Lakhs for approximately 80000 Nos of CBNAAT MTB/RIF PCR Test Kit, 
 *Rs. 320.00 lakhs for approximatley 40000 Nos of TrueNat Micro PCR MTB Test Kit., 
 *Rs. 26.00 Lakhs for other Lab Consumbales &amp; Reagents for IRL. 
 * Rs. 12.00 lakhs for lab consumables and reagents for the use in the C&amp;DST lab kozhikode.
</t>
    </r>
    <r>
      <rPr>
        <b/>
        <u/>
        <sz val="12"/>
        <color rgb="FF000000"/>
        <rFont val="Times New Roman"/>
        <family val="1"/>
      </rPr>
      <t>Capacity building Incl. training - Rs. 11.10 Lakhs</t>
    </r>
    <r>
      <rPr>
        <sz val="12"/>
        <color rgb="FF000000"/>
        <rFont val="Times New Roman"/>
        <family val="1"/>
      </rPr>
      <t xml:space="preserve"> - Training for AIC, Cost for AIC related trainings dsitrict level.
</t>
    </r>
    <r>
      <rPr>
        <b/>
        <u/>
        <sz val="12"/>
        <color rgb="FF000000"/>
        <rFont val="Times New Roman"/>
        <family val="1"/>
      </rPr>
      <t>Surveillance, Research, Review, Evaluation (SRRE) - Rs 11.80 Lakhs</t>
    </r>
    <r>
      <rPr>
        <sz val="12"/>
        <color rgb="FF000000"/>
        <rFont val="Times New Roman"/>
        <family val="1"/>
      </rPr>
      <t xml:space="preserve"> - AIC Review Committee, Cost for Committee meeting &amp; etc.</t>
    </r>
  </si>
  <si>
    <t>DBT - Rs. 34.30 Lakhs - Treatment Supporter Honorarium (Rs.5000), payment on the update of the Outcome of Treatment for drug resistant TB patients.
Infrastructure- Civil works (I&amp;C) - Rs. 34.80 Lakhs -
 * Rs. 34.80 lakhs for Minor civil works/ repairing &amp; maintenance of IRL, Nodal DRTB centres - TVM, KZK, TSR, CBNAAT,TRUNAAT sites, CDST labs on need basis.
Equipment - Rs. 161.30 Lakhs - 
*Rs. 12.50 lakhs - Procurement of lab and office equipment for State levels - IRL Tvm - 10.50 lakhs, 2.00 lakhs for DR TB Centre, Tvm ,  
*Rs. 96.40 Lakhs - Maintenance / up gradation costs for Laboratory equipment’s for DR TB Centre, IRL  (IRL Tvm - 11.40 lakhs, Nodal DR TB Centre, Tvm - Rs. 1.50 lakhs, CMC for CBNAAT &amp; Trunaat Machines  - Rs. 82.50 Lakhs.
*Rs. 52.40 lakhs for Procurement of equipment for District levels (DR TB Centre, IRL, C&amp; DST Lab and Molecular Diagnostics), Maintenance / up gradation costs for Laboratory equipment’s for DR TB Centre, IRL, C&amp;DST Lab and Molecular Diagnostics Equipment for NTEP
Drugs - Rs. 75.30 Lakhs - Procurement of DRTB drugs, Local Procurement of second line drugs., and Delamind on need basis.
Diagnostics (Consumbales, PPP, Sample Transportation) - Rs. 2180.50 Lakhs - 
*Rs. 45.00 Lakhs for LPA Kits, MGIT Kits &amp; Xpert XDR Cartridges for the use in IRL &amp; C&amp;DST Lab kzk,, 
*Rs. 1782.80 Lakhs for approximately 100000 Nos of CBNAAT MTB/RIF PCR Test Kit, 
*Rs. 310.00 lakhs for approximatley 50000 Nos of  TrueNat Micro PCR MTB Test Kit., 
*Rs. 28 Lakhs for other Lab Consumbales &amp; Reagents for IRL. * Rs. 14.70 lakhs for lab consumables and reagents for the use in the C&amp;DST lab kozhikode.
Capacity building Incl. training - Rs. 15.20 Lakhs - Training for AIC, Cost for AIC related trainings.
 Surveillance, Research, Review, Evaluation (SRRE) - Rs 14.10 Lakhs - AIC Review Committee, Cost for Committee meeting &amp; etc.</t>
  </si>
  <si>
    <r>
      <rPr>
        <b/>
        <sz val="12"/>
        <color rgb="FF000000"/>
        <rFont val="Times New Roman"/>
        <family val="1"/>
      </rPr>
      <t>IEC &amp; Printing - 180.00 Lakhs</t>
    </r>
    <r>
      <rPr>
        <sz val="12"/>
        <color rgb="FF000000"/>
        <rFont val="Times New Roman"/>
        <family val="1"/>
      </rPr>
      <t xml:space="preserve">
</t>
    </r>
    <r>
      <rPr>
        <b/>
        <u/>
        <sz val="12"/>
        <color rgb="FF000000"/>
        <rFont val="Times New Roman"/>
        <family val="1"/>
      </rPr>
      <t>Rs. 40.00 Lakhs</t>
    </r>
    <r>
      <rPr>
        <u/>
        <sz val="12"/>
        <color rgb="FF000000"/>
        <rFont val="Times New Roman"/>
        <family val="1"/>
      </rPr>
      <t xml:space="preserve"> - State HQ</t>
    </r>
    <r>
      <rPr>
        <sz val="12"/>
        <color rgb="FF000000"/>
        <rFont val="Times New Roman"/>
        <family val="1"/>
      </rPr>
      <t xml:space="preserve"> budget for State level activities for ACSM including media briefings with journalists, orientation meetings with key groups (e.g., PRIs, SHGs), TB Mukth Panchayath level activities,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t>
    </r>
    <r>
      <rPr>
        <i/>
        <sz val="12"/>
        <color rgb="FF000000"/>
        <rFont val="Times New Roman"/>
        <family val="1"/>
      </rPr>
      <t>Separate State HQ ASCM activity wise annexure enclosed</t>
    </r>
    <r>
      <rPr>
        <sz val="12"/>
        <color rgb="FF000000"/>
        <rFont val="Times New Roman"/>
        <family val="1"/>
      </rPr>
      <t xml:space="preserve">)
</t>
    </r>
    <r>
      <rPr>
        <b/>
        <u/>
        <sz val="12"/>
        <color rgb="FF000000"/>
        <rFont val="Times New Roman"/>
        <family val="1"/>
      </rPr>
      <t>Rs. 140.00Lakhs</t>
    </r>
    <r>
      <rPr>
        <u/>
        <sz val="12"/>
        <color rgb="FF000000"/>
        <rFont val="Times New Roman"/>
        <family val="1"/>
      </rPr>
      <t xml:space="preserve">  - Dsitrict level</t>
    </r>
    <r>
      <rPr>
        <sz val="12"/>
        <color rgb="FF000000"/>
        <rFont val="Times New Roman"/>
        <family val="1"/>
      </rPr>
      <t xml:space="preserve"> budget for State level activities for ACSM including media briefings with journalists, orientation meetings with key groups (e.g., PRIs, SHGs), TB Mukth Panchayath level activities,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t>
    </r>
    <r>
      <rPr>
        <i/>
        <sz val="12"/>
        <color rgb="FF000000"/>
        <rFont val="Times New Roman"/>
        <family val="1"/>
      </rPr>
      <t>Separate District level ASCM activity wise annexure enclosed</t>
    </r>
    <r>
      <rPr>
        <sz val="12"/>
        <color rgb="FF000000"/>
        <rFont val="Times New Roman"/>
        <family val="1"/>
      </rPr>
      <t>)</t>
    </r>
  </si>
  <si>
    <r>
      <rPr>
        <b/>
        <sz val="12"/>
        <color rgb="FF000000"/>
        <rFont val="Times New Roman"/>
        <family val="1"/>
      </rPr>
      <t>IEC &amp; Printing - 180.00 Lakhs</t>
    </r>
    <r>
      <rPr>
        <sz val="12"/>
        <color rgb="FF000000"/>
        <rFont val="Times New Roman"/>
        <family val="1"/>
      </rPr>
      <t xml:space="preserve">
</t>
    </r>
    <r>
      <rPr>
        <b/>
        <u/>
        <sz val="12"/>
        <color rgb="FF000000"/>
        <rFont val="Times New Roman"/>
        <family val="1"/>
      </rPr>
      <t>Rs. 40.00Lakhs</t>
    </r>
    <r>
      <rPr>
        <u/>
        <sz val="12"/>
        <color rgb="FF000000"/>
        <rFont val="Times New Roman"/>
        <family val="1"/>
      </rPr>
      <t xml:space="preserve"> - State HQ</t>
    </r>
    <r>
      <rPr>
        <sz val="12"/>
        <color rgb="FF000000"/>
        <rFont val="Times New Roman"/>
        <family val="1"/>
      </rPr>
      <t xml:space="preserve"> budget for State level activities for ACSM including media briefings with journalists, orientation meetings with key groups (e.g., PRIs, SHGs), TB Mukth Panchayath level activities,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t>
    </r>
    <r>
      <rPr>
        <i/>
        <sz val="12"/>
        <color rgb="FF000000"/>
        <rFont val="Times New Roman"/>
        <family val="1"/>
      </rPr>
      <t>Separate State HQ ASCM activity wise annexure enclosed</t>
    </r>
    <r>
      <rPr>
        <sz val="12"/>
        <color rgb="FF000000"/>
        <rFont val="Times New Roman"/>
        <family val="1"/>
      </rPr>
      <t xml:space="preserve">)
</t>
    </r>
    <r>
      <rPr>
        <b/>
        <u/>
        <sz val="12"/>
        <color rgb="FF000000"/>
        <rFont val="Times New Roman"/>
        <family val="1"/>
      </rPr>
      <t>Rs. 140 Lakhs</t>
    </r>
    <r>
      <rPr>
        <u/>
        <sz val="12"/>
        <color rgb="FF000000"/>
        <rFont val="Times New Roman"/>
        <family val="1"/>
      </rPr>
      <t xml:space="preserve">  - Dsitrict level</t>
    </r>
    <r>
      <rPr>
        <sz val="12"/>
        <color rgb="FF000000"/>
        <rFont val="Times New Roman"/>
        <family val="1"/>
      </rPr>
      <t xml:space="preserve"> budget for State level activities for ACSM including media briefings with journalists, orientation meetings with key groups (e.g., PRIs, SHGs), TB Mukth Panchayath level activities,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t>
    </r>
    <r>
      <rPr>
        <i/>
        <sz val="12"/>
        <color rgb="FF000000"/>
        <rFont val="Times New Roman"/>
        <family val="1"/>
      </rPr>
      <t>Separate District level ASCM activity wise annexure enclosed</t>
    </r>
    <r>
      <rPr>
        <sz val="12"/>
        <color rgb="FF000000"/>
        <rFont val="Times New Roman"/>
        <family val="1"/>
      </rPr>
      <t>)</t>
    </r>
  </si>
  <si>
    <r>
      <rPr>
        <b/>
        <sz val="12"/>
        <color rgb="FF000000"/>
        <rFont val="Times New Roman"/>
        <family val="1"/>
      </rPr>
      <t>Drugs and Supplies Rs.36.08 lakhs</t>
    </r>
    <r>
      <rPr>
        <sz val="12"/>
        <color rgb="FF000000"/>
        <rFont val="Times New Roman"/>
        <family val="1"/>
      </rPr>
      <t xml:space="preserve">
a)Vaccination of HbsAg Screened Negative High Risk Group individuals (Approximately 36083 individuals to be vaccinated @ Rs 100/- for 3 doses)
•Rs 36,08,300/-  for FY 2024-25 
</t>
    </r>
    <r>
      <rPr>
        <b/>
        <sz val="12"/>
        <color rgb="FF000000"/>
        <rFont val="Times New Roman"/>
        <family val="1"/>
      </rPr>
      <t>Other Operating Costs Rs.41.40 lakhs</t>
    </r>
    <r>
      <rPr>
        <sz val="12"/>
        <color rgb="FF000000"/>
        <rFont val="Times New Roman"/>
        <family val="1"/>
      </rPr>
      <t xml:space="preserve">
</t>
    </r>
    <r>
      <rPr>
        <b/>
        <sz val="12"/>
        <color rgb="FF000000"/>
        <rFont val="Times New Roman"/>
        <family val="1"/>
      </rPr>
      <t>a)</t>
    </r>
    <r>
      <rPr>
        <sz val="12"/>
        <color rgb="FF000000"/>
        <rFont val="Times New Roman"/>
        <family val="1"/>
      </rPr>
      <t xml:space="preserve"> Incentives for Peer Supporters  - 29 TCs and 3 MTCs already approved. Proposing an amount of Rs 10000 per month per TC/MTC for 29TCs and 3 MTCs
• Rs 38,40,000/-  for FY 2024-25.
</t>
    </r>
    <r>
      <rPr>
        <b/>
        <sz val="12"/>
        <color rgb="FF000000"/>
        <rFont val="Times New Roman"/>
        <family val="1"/>
      </rPr>
      <t>b)</t>
    </r>
    <r>
      <rPr>
        <sz val="12"/>
        <color rgb="FF000000"/>
        <rFont val="Times New Roman"/>
        <family val="1"/>
      </rPr>
      <t xml:space="preserve">State Level Review Meetings, Office Expenses, Contingency Expenses, TA/DA for Supervision and Monitoring
• Rs 3,00,000/- for FY 2024-25
</t>
    </r>
    <r>
      <rPr>
        <b/>
        <sz val="12"/>
        <color rgb="FF000000"/>
        <rFont val="Times New Roman"/>
        <family val="1"/>
      </rPr>
      <t>IEC and Printing Rs 19 lakhs</t>
    </r>
    <r>
      <rPr>
        <sz val="12"/>
        <color rgb="FF000000"/>
        <rFont val="Times New Roman"/>
        <family val="1"/>
      </rPr>
      <t xml:space="preserve">
</t>
    </r>
    <r>
      <rPr>
        <b/>
        <sz val="12"/>
        <color rgb="FF000000"/>
        <rFont val="Times New Roman"/>
        <family val="1"/>
      </rPr>
      <t>a)</t>
    </r>
    <r>
      <rPr>
        <sz val="12"/>
        <color rgb="FF000000"/>
        <rFont val="Times New Roman"/>
        <family val="1"/>
      </rPr>
      <t xml:space="preserve">District Level – IEC activities at treatment centres, Screening only centres, Observance of World Hepatitis Day, involvement of NGOs etc – Rs 14,00,000 ( Rs 1,00,000 * 14  districts)
</t>
    </r>
    <r>
      <rPr>
        <b/>
        <sz val="12"/>
        <color rgb="FF000000"/>
        <rFont val="Times New Roman"/>
        <family val="1"/>
      </rPr>
      <t>b)</t>
    </r>
    <r>
      <rPr>
        <sz val="12"/>
        <color rgb="FF000000"/>
        <rFont val="Times New Roman"/>
        <family val="1"/>
      </rPr>
      <t xml:space="preserve">State level  IEC activities, World Hepatitis Day observation, mass campaigns through social media, radio, print, visual media, Printing of consent forms, Vaccination cards for HRGs – Rs 5,00,000/-
</t>
    </r>
  </si>
  <si>
    <r>
      <rPr>
        <b/>
        <sz val="12"/>
        <color rgb="FF000000"/>
        <rFont val="Times New Roman"/>
        <family val="1"/>
      </rPr>
      <t>Drugs and Supplies Rs.36.08 lakhs</t>
    </r>
    <r>
      <rPr>
        <sz val="12"/>
        <color rgb="FF000000"/>
        <rFont val="Times New Roman"/>
        <family val="1"/>
      </rPr>
      <t xml:space="preserve">
a)Vaccination of HbsAg Screened Negative High Risk Group individuals (Approximately 36083 individuals to be vaccinated @ Rs 100/- for 3 doses)
•Rs 36,08,300/-  for FY 2024-25 
</t>
    </r>
    <r>
      <rPr>
        <b/>
        <sz val="12"/>
        <color rgb="FF000000"/>
        <rFont val="Times New Roman"/>
        <family val="1"/>
      </rPr>
      <t>Other Operating Costs Rs.41.40 lakhs</t>
    </r>
    <r>
      <rPr>
        <sz val="12"/>
        <color rgb="FF000000"/>
        <rFont val="Times New Roman"/>
        <family val="1"/>
      </rPr>
      <t xml:space="preserve">
</t>
    </r>
    <r>
      <rPr>
        <b/>
        <sz val="12"/>
        <color rgb="FF000000"/>
        <rFont val="Times New Roman"/>
        <family val="1"/>
      </rPr>
      <t>a)</t>
    </r>
    <r>
      <rPr>
        <sz val="12"/>
        <color rgb="FF000000"/>
        <rFont val="Times New Roman"/>
        <family val="1"/>
      </rPr>
      <t xml:space="preserve"> Incentives for Peer Supporters  - 29 TCs and 3 MTCs already approved. Proposing an amount of Rs 10000 per month per TC/MTC for 29TCs and 3 MTCs
• Rs 38,40,000/-  for FY 2024-25.
</t>
    </r>
    <r>
      <rPr>
        <b/>
        <sz val="12"/>
        <color rgb="FF000000"/>
        <rFont val="Times New Roman"/>
        <family val="1"/>
      </rPr>
      <t>b)</t>
    </r>
    <r>
      <rPr>
        <sz val="12"/>
        <color rgb="FF000000"/>
        <rFont val="Times New Roman"/>
        <family val="1"/>
      </rPr>
      <t xml:space="preserve">State Level Review Meetings, Office Expenses, Contingency Expenses, TA/DA for Supervision and Monitoring, Non-recurring Expenditure - Computer or Laptop for CST Coordinator / Technical Officer
• Rs 3,00,000/- for FY 2024-25
</t>
    </r>
    <r>
      <rPr>
        <b/>
        <sz val="12"/>
        <color rgb="FF000000"/>
        <rFont val="Times New Roman"/>
        <family val="1"/>
      </rPr>
      <t>IEC and Printing Rs 19 lakhs</t>
    </r>
    <r>
      <rPr>
        <sz val="12"/>
        <color rgb="FF000000"/>
        <rFont val="Times New Roman"/>
        <family val="1"/>
      </rPr>
      <t xml:space="preserve">
</t>
    </r>
    <r>
      <rPr>
        <b/>
        <sz val="12"/>
        <color rgb="FF000000"/>
        <rFont val="Times New Roman"/>
        <family val="1"/>
      </rPr>
      <t>a)</t>
    </r>
    <r>
      <rPr>
        <sz val="12"/>
        <color rgb="FF000000"/>
        <rFont val="Times New Roman"/>
        <family val="1"/>
      </rPr>
      <t xml:space="preserve">District Level – IEC activities at treatment centres, Screening only centres, Observance of World Hepatitis Day, involvement of NGOs etc – Rs 14,00,000 ( Rs 1,00,000 * 14  districts)
</t>
    </r>
    <r>
      <rPr>
        <b/>
        <sz val="12"/>
        <color rgb="FF000000"/>
        <rFont val="Times New Roman"/>
        <family val="1"/>
      </rPr>
      <t>b)</t>
    </r>
    <r>
      <rPr>
        <sz val="12"/>
        <color rgb="FF000000"/>
        <rFont val="Times New Roman"/>
        <family val="1"/>
      </rPr>
      <t xml:space="preserve">State level  IEC activities, World Hepatitis Day observation, mass campaigns through social media, radio, print, visual media, Printing of consent forms, Vaccination cards for HRGs – Rs 5,00,000/-
</t>
    </r>
  </si>
  <si>
    <r>
      <rPr>
        <b/>
        <u/>
        <sz val="12"/>
        <color theme="1"/>
        <rFont val="Times New Roman"/>
        <family val="1"/>
      </rPr>
      <t xml:space="preserve">Diagnostics (Test kits and consumables) - Rs 256.97 Lakhs </t>
    </r>
    <r>
      <rPr>
        <sz val="12"/>
        <color theme="1"/>
        <rFont val="Times New Roman"/>
        <family val="1"/>
      </rPr>
      <t xml:space="preserve">at State Level
</t>
    </r>
    <r>
      <rPr>
        <b/>
        <u/>
        <sz val="12"/>
        <color theme="1"/>
        <rFont val="Times New Roman"/>
        <family val="1"/>
      </rPr>
      <t xml:space="preserve">Other Operating Cost-Rs. 2.40L
</t>
    </r>
    <r>
      <rPr>
        <sz val="12"/>
        <color theme="1"/>
        <rFont val="Times New Roman"/>
        <family val="1"/>
      </rPr>
      <t xml:space="preserve">Rs. 0.10L for each districts &amp; Rs. 1L at State Level-Sample transportation expenses
</t>
    </r>
    <r>
      <rPr>
        <b/>
        <u/>
        <sz val="12"/>
        <color theme="1"/>
        <rFont val="Times New Roman"/>
        <family val="1"/>
      </rPr>
      <t>Capacity Building and Training - Rs 5 Lakhs</t>
    </r>
    <r>
      <rPr>
        <sz val="12"/>
        <color theme="1"/>
        <rFont val="Times New Roman"/>
        <family val="1"/>
      </rPr>
      <t xml:space="preserve">
a)        Training for Lab Technicians – Modular Training for Lab Technicians of Treatment Centres and MTCs  
</t>
    </r>
    <r>
      <rPr>
        <b/>
        <u/>
        <sz val="12"/>
        <color theme="1"/>
        <rFont val="Times New Roman"/>
        <family val="1"/>
      </rPr>
      <t>IEC &amp; Printing - Rs 1 Lakh</t>
    </r>
    <r>
      <rPr>
        <sz val="12"/>
        <color theme="1"/>
        <rFont val="Times New Roman"/>
        <family val="1"/>
      </rPr>
      <t xml:space="preserve">
•        Rs 1,00,000/- proposed for printing of Treatment Cards and Information flyers related to Treatment Centres and MTCs Rs 1,00,000/- for FY 2024-25</t>
    </r>
  </si>
  <si>
    <r>
      <rPr>
        <b/>
        <sz val="12"/>
        <color theme="1"/>
        <rFont val="Times New Roman"/>
        <family val="1"/>
      </rPr>
      <t>Diagnostics (Test kits and consumables) - Rs 287.32 Lakhs at State Level
Other Operating Cost-Rs. 2.40L</t>
    </r>
    <r>
      <rPr>
        <sz val="12"/>
        <color theme="1"/>
        <rFont val="Times New Roman"/>
        <family val="1"/>
      </rPr>
      <t xml:space="preserve">
Rs. 0.10L for each districts &amp; Rs. 1L at State Level-Sample transportation expenses
</t>
    </r>
    <r>
      <rPr>
        <b/>
        <sz val="12"/>
        <color theme="1"/>
        <rFont val="Times New Roman"/>
        <family val="1"/>
      </rPr>
      <t>Capacity Building and Training - Rs 5 Lakhs</t>
    </r>
    <r>
      <rPr>
        <sz val="12"/>
        <color theme="1"/>
        <rFont val="Times New Roman"/>
        <family val="1"/>
      </rPr>
      <t xml:space="preserve">
a)        Training for Lab Technicians – Modular Training for Lab Technicians of Treatment Centres and MTCs 
</t>
    </r>
    <r>
      <rPr>
        <b/>
        <sz val="12"/>
        <color theme="1"/>
        <rFont val="Times New Roman"/>
        <family val="1"/>
      </rPr>
      <t>IEC &amp; Printing - Rs 1 Lakh</t>
    </r>
    <r>
      <rPr>
        <sz val="12"/>
        <color theme="1"/>
        <rFont val="Times New Roman"/>
        <family val="1"/>
      </rPr>
      <t xml:space="preserve">
•        Rs 1,00,000/- proposed for printing of Treatment Cards and Information flyers related to Treatment Centres and MTCs Rs 1,00,000/- for FY 2024-25</t>
    </r>
  </si>
  <si>
    <r>
      <rPr>
        <b/>
        <u/>
        <sz val="12"/>
        <color rgb="FF000000"/>
        <rFont val="Times New Roman"/>
        <family val="1"/>
      </rPr>
      <t>Drugs and Supplies - Rs 121.506 Lakhs</t>
    </r>
    <r>
      <rPr>
        <sz val="12"/>
        <color rgb="FF000000"/>
        <rFont val="Times New Roman"/>
        <family val="1"/>
      </rPr>
      <t xml:space="preserve">
a)        HBIG for newborns born to HbsAg Positive mothers - 627 Antenatal mothers (0.15%) are expected to be HbsAg positive among 418152 screened. Their newborn will require HBIG budgeted @ Rs 2000/- per baby
•        Rs 12,54,000/- for FY 2024-25
b)        Treatment of HBV - One-fifth of HbsAg Positive individuals are expected to need Treatment. A total of 2706 patients during 2024-25 and 3104 patients during 2025-26 will need treatment based on screening targets. Budgeted @Rs 2500 per patient per year
•        Rs 67,65,000/- for FY 2024-25 as Kind Grant
c)        Treatment of HCV - Half of Screened Positive individuals are expected to require treatment. 646  patients each will need treatment for HCV during 2024-25 and 2025-26. Budgeted @ Rs 5000 per patient
•        Rs 32,30,000/- for FY 2024-25 as Kind Grant
•        Rs 2,01,600/- for FY 2024-25 as Cash Grant for procurement of Ribavirin 200 mg needed for complicated cases of HCV. Around 60 patients will need Ribavirin and each patient will need 420 tablets during 1 course. Budgeted @ Rs 8 per tablet
d)        Management of HAV and HEV patients –  Amount of Rs 7,00,000 budgeted @ Rs 50000/-  per district for necessary investigations, sample transportation and supportive treatment
</t>
    </r>
    <r>
      <rPr>
        <b/>
        <u/>
        <sz val="12"/>
        <color rgb="FF000000"/>
        <rFont val="Times New Roman"/>
        <family val="1"/>
      </rPr>
      <t>Training &amp; Capacity Building at State Level - Rs 5.5 Lakhs</t>
    </r>
    <r>
      <rPr>
        <sz val="12"/>
        <color rgb="FF000000"/>
        <rFont val="Times New Roman"/>
        <family val="1"/>
      </rPr>
      <t xml:space="preserve">
a)     Rs. 4.5 Lakhs - 3 batches of training for Nodal Officers and Physicians  of Treatment Centre 
b)    Rs. 0.5 Lakh for 1 day training of Peer supporters  of the Treatment sites (MTC/TCs)
c)    Rs.0.5 Lakhs for 1 day training of Pharmacists of the Treatment sites (MTC/TCs) 
•        Rs 5,50,000/- for FY 2024-25
</t>
    </r>
    <r>
      <rPr>
        <b/>
        <u/>
        <sz val="12"/>
        <color rgb="FF000000"/>
        <rFont val="Times New Roman"/>
        <family val="1"/>
      </rPr>
      <t>Operational Expenses for Treatment Centres &amp; MTCs - Rs 23.5 Lakhs</t>
    </r>
    <r>
      <rPr>
        <sz val="12"/>
        <color rgb="FF000000"/>
        <rFont val="Times New Roman"/>
        <family val="1"/>
      </rPr>
      <t xml:space="preserve">
a)        29 TCs and 3 MTCs already approved. Budget proposed for 29 Treatment Centres and 3 MTCs @ Rs 3,00,000/- for MTCs and Rs 50,000/- per Treatment Centre
•        Rs 23,50,000/- for FY 2024-25
</t>
    </r>
  </si>
  <si>
    <r>
      <rPr>
        <b/>
        <u/>
        <sz val="12"/>
        <color theme="1"/>
        <rFont val="Times New Roman"/>
        <family val="1"/>
      </rPr>
      <t>Drugs and Supplies - Rs 131.456 Lakhs</t>
    </r>
    <r>
      <rPr>
        <sz val="12"/>
        <color theme="1"/>
        <rFont val="Times New Roman"/>
        <family val="1"/>
      </rPr>
      <t xml:space="preserve">
a)        HBIG for newborns born to HbsAg Positive mothers - 627 Antenatal mothers (0.15%) are expected to be HbsAg positive among 418152 screened. Their newborn will require HBIG budgeted @ Rs 2000/- per baby
•        Rs 12,54,000/- for FY 2025-26
b)        Treatment of HBV - One-fifth of HbsAg Positive individuals are expected to need Treatment. A total of 2706 patients during 2024-25 and 3104 patients during 2025-26 will need treatment based on screening targets. Budgeted @Rs 2500 per patient per year
•        Rs 77,60,000/- for FY 2025-26 as Kind Grant
c)        Treatment of HCV - Half of Screened Positive individuals are expected to require treatment. 646  patients each will need treatment for HCV during 2024-25 and 2025-26. Budgeted @ Rs 5000 per patient
•        Rs 32,30,000/-  for  FY 2025-26 as Kind Grant
•        Rs 2,01,600/- for  FY 2025-26 as Cash Grant for procurement of Ribavirin 200 mg needed for complicated cases of HCV. Around 60 patients will need Ribavirin and each patient will need 420 tablets during 1 course. Budgeted @ Rs 8 per tablet
d)        Management of HAV and HEV patients – Amount of Rs 7,00,000 budgeted @ Rs 50000/-  per district for necessary investigations, sample transportation and supportive treatment
</t>
    </r>
    <r>
      <rPr>
        <b/>
        <u/>
        <sz val="12"/>
        <color theme="1"/>
        <rFont val="Times New Roman"/>
        <family val="1"/>
      </rPr>
      <t>Training &amp; Capacity Building at State Level - Rs 5.5 Lakhs</t>
    </r>
    <r>
      <rPr>
        <sz val="12"/>
        <color theme="1"/>
        <rFont val="Times New Roman"/>
        <family val="1"/>
      </rPr>
      <t xml:space="preserve">
a)        Rs. 4.5 Lakhs - 3 batches of training for Nodal Officers and Physicians  of Treatment Centre 
b)          Rs. 0.5 Lakh for 1 day training of Peer supporters  of the Treatment sites (MTC/TCs)
c)        Rs.0.5 Lakhs for 1 day training of Pharmacists of the Treatment sites (MTC/TCs) 
•        Rs 5,50,000/- for FY 2025-26
</t>
    </r>
    <r>
      <rPr>
        <b/>
        <u/>
        <sz val="12"/>
        <color theme="1"/>
        <rFont val="Times New Roman"/>
        <family val="1"/>
      </rPr>
      <t>Operational Expenses for Treatment Centres &amp; MTCs - Rs 23.5 Lakhs</t>
    </r>
    <r>
      <rPr>
        <sz val="12"/>
        <color theme="1"/>
        <rFont val="Times New Roman"/>
        <family val="1"/>
      </rPr>
      <t xml:space="preserve">
a)        29 TCs and 3 MTCs already approved. Budget proposed for 29 Treatment Centres and 3 MTCs @ Rs 3,00,000/- for MTCs and Rs 50,000/- per Treatment Centre
•        Rs 23,50,000/- for FY 2025-26</t>
    </r>
  </si>
  <si>
    <r>
      <rPr>
        <b/>
        <sz val="12"/>
        <color theme="1"/>
        <rFont val="Times New Roman"/>
        <family val="1"/>
      </rPr>
      <t xml:space="preserve">Training :  Rs: 19 Lakhs </t>
    </r>
    <r>
      <rPr>
        <sz val="12"/>
        <color theme="1"/>
        <rFont val="Times New Roman"/>
        <family val="1"/>
      </rPr>
      <t xml:space="preserve">(Rs. 5 Lakhs for State level training &amp; Rs. 14 Lakhs for District level training) -  Training  for Medical Officers, Staff Nurse, ASHA ANM &amp; other Health care workers.
</t>
    </r>
    <r>
      <rPr>
        <b/>
        <sz val="12"/>
        <color theme="1"/>
        <rFont val="Times New Roman"/>
        <family val="1"/>
      </rPr>
      <t>IEC &amp; Printing : Rs.30 Lakhs.</t>
    </r>
    <r>
      <rPr>
        <sz val="12"/>
        <color theme="1"/>
        <rFont val="Times New Roman"/>
        <family val="1"/>
      </rPr>
      <t xml:space="preserve">
For IEC-  Rs.9 lakhs for State level activities &amp; Rs. 14 Lakhs for District Level activities :- Spots on FM - Posters , Digital posters, Social media campaign, Short Films for Community activities and dissemination.
Printing:- Rs. 7 Lakhs for District Level activities
</t>
    </r>
    <r>
      <rPr>
        <b/>
        <sz val="12"/>
        <color theme="1"/>
        <rFont val="Times New Roman"/>
        <family val="1"/>
      </rPr>
      <t>Planning &amp; M &amp; E - Rs.8 Lakhs</t>
    </r>
    <r>
      <rPr>
        <sz val="12"/>
        <color theme="1"/>
        <rFont val="Times New Roman"/>
        <family val="1"/>
      </rPr>
      <t xml:space="preserve"> 
Supervision and Monitoring activities Rs 1 Lakhs for state-level activities and 7 lakhs for district level)
</t>
    </r>
  </si>
  <si>
    <r>
      <rPr>
        <b/>
        <sz val="12"/>
        <color theme="1"/>
        <rFont val="Times New Roman"/>
        <family val="1"/>
      </rPr>
      <t xml:space="preserve">Training :  Rs: 19 Lakhs </t>
    </r>
    <r>
      <rPr>
        <sz val="12"/>
        <color theme="1"/>
        <rFont val="Times New Roman"/>
        <family val="1"/>
      </rPr>
      <t xml:space="preserve">(Rs. 5 Lakhs for State level training &amp; Rs. 14 Lakhs for District level training) -  Training  for Medical Officers, Staff Nurse, ASHA ANM &amp; other Health care workers.
</t>
    </r>
    <r>
      <rPr>
        <b/>
        <sz val="12"/>
        <color theme="1"/>
        <rFont val="Times New Roman"/>
        <family val="1"/>
      </rPr>
      <t>IEC &amp; Printing : Rs.30 Lakhs.</t>
    </r>
    <r>
      <rPr>
        <sz val="12"/>
        <color theme="1"/>
        <rFont val="Times New Roman"/>
        <family val="1"/>
      </rPr>
      <t xml:space="preserve">
For IEC-  Rs.9 lakhs for State level activities &amp; Rs. 14 Lakhs for District Level activities :- Spots on FM - Posters , Digital posters, Social media campaign, Short Films for Community activities and dissemination.
Printing:- Rs. 7 Lakhs for District Level activities
</t>
    </r>
    <r>
      <rPr>
        <b/>
        <sz val="12"/>
        <color theme="1"/>
        <rFont val="Times New Roman"/>
        <family val="1"/>
      </rPr>
      <t>Planning &amp; M &amp; E - Rs.8 Lakhs</t>
    </r>
    <r>
      <rPr>
        <sz val="12"/>
        <color theme="1"/>
        <rFont val="Times New Roman"/>
        <family val="1"/>
      </rPr>
      <t xml:space="preserve"> 
Supervision and Monitoring activities Rs 1 Lakhs for state-level activities and 7 lakhs for district level)
</t>
    </r>
  </si>
  <si>
    <r>
      <rPr>
        <b/>
        <sz val="12"/>
        <color rgb="FF000000"/>
        <rFont val="Times New Roman"/>
        <family val="1"/>
      </rPr>
      <t xml:space="preserve">a) Diagnostics- Rs.10 lakhs
</t>
    </r>
    <r>
      <rPr>
        <sz val="12"/>
        <color rgb="FF000000"/>
        <rFont val="Times New Roman"/>
        <family val="1"/>
      </rPr>
      <t xml:space="preserve">Diagnostics - Leptospirosis test kits - Rapid Kits, ELISA kits and PCR Test kits 
</t>
    </r>
    <r>
      <rPr>
        <b/>
        <sz val="12"/>
        <color rgb="FF000000"/>
        <rFont val="Times New Roman"/>
        <family val="1"/>
      </rPr>
      <t xml:space="preserve">b) Training &amp; Capacity building 8 Lakhs
</t>
    </r>
    <r>
      <rPr>
        <sz val="12"/>
        <color rgb="FF000000"/>
        <rFont val="Times New Roman"/>
        <family val="1"/>
      </rPr>
      <t xml:space="preserve">Endemic disease, High incidence and significant mortality due to leptospirosis necessitates continuous training of Medical Officers and field staff for Early Diagnosis, Initiation of therapy, referral and Critical care. Proposing a budget of Rs 50,000 per district and Rs 100,000 at </t>
    </r>
    <r>
      <rPr>
        <b/>
        <sz val="12"/>
        <color rgb="FF000000"/>
        <rFont val="Times New Roman"/>
        <family val="1"/>
      </rPr>
      <t>State level for ToT &amp; Training of Lab Technicians - Rs 8,00,000/</t>
    </r>
    <r>
      <rPr>
        <sz val="12"/>
        <color rgb="FF000000"/>
        <rFont val="Times New Roman"/>
        <family val="1"/>
      </rPr>
      <t xml:space="preserve">- for FY 2024-25
</t>
    </r>
    <r>
      <rPr>
        <b/>
        <sz val="12"/>
        <color rgb="FF000000"/>
        <rFont val="Times New Roman"/>
        <family val="1"/>
      </rPr>
      <t>c) Other Operating Costs 
- Rs 50,000/-</t>
    </r>
    <r>
      <rPr>
        <sz val="12"/>
        <color rgb="FF000000"/>
        <rFont val="Times New Roman"/>
        <family val="1"/>
      </rPr>
      <t xml:space="preserve"> proposed for State level contingency expenses - Rs 50,000/- for FY 2024-25
</t>
    </r>
    <r>
      <rPr>
        <b/>
        <sz val="12"/>
        <color rgb="FF000000"/>
        <rFont val="Times New Roman"/>
        <family val="1"/>
      </rPr>
      <t>d) IEC Activities - Rs 14 Lakhs
District Level -</t>
    </r>
    <r>
      <rPr>
        <sz val="12"/>
        <color rgb="FF000000"/>
        <rFont val="Times New Roman"/>
        <family val="1"/>
      </rPr>
      <t xml:space="preserve"> IEC activities to reduce chance of infection, Doxycycline prophylaxis and other preventive measures @ Rs 100000/- per district Rs 14,00,000/- for FY 2024-25
</t>
    </r>
    <r>
      <rPr>
        <b/>
        <sz val="12"/>
        <color rgb="FF000000"/>
        <rFont val="Times New Roman"/>
        <family val="1"/>
      </rPr>
      <t>e) Programme Management at State Level -
 Rs 1,00,000/</t>
    </r>
    <r>
      <rPr>
        <sz val="12"/>
        <color rgb="FF000000"/>
        <rFont val="Times New Roman"/>
        <family val="1"/>
      </rPr>
      <t xml:space="preserve">- proposed at State level for planning, monitoring &amp; Evaluation at State level
</t>
    </r>
  </si>
  <si>
    <r>
      <rPr>
        <b/>
        <sz val="12"/>
        <color rgb="FF000000"/>
        <rFont val="Times New Roman"/>
        <family val="1"/>
      </rPr>
      <t xml:space="preserve">a) Diagnostics- Rs.10 lakhs
</t>
    </r>
    <r>
      <rPr>
        <sz val="12"/>
        <color rgb="FF000000"/>
        <rFont val="Times New Roman"/>
        <family val="1"/>
      </rPr>
      <t xml:space="preserve">Diagnostics - Leptospirosis test kits - Rapid Kits, ELISA kits and PCR Test kits 
</t>
    </r>
    <r>
      <rPr>
        <b/>
        <sz val="12"/>
        <color rgb="FF000000"/>
        <rFont val="Times New Roman"/>
        <family val="1"/>
      </rPr>
      <t xml:space="preserve">b) Training &amp; Capacity building 8 Lakhs
</t>
    </r>
    <r>
      <rPr>
        <sz val="12"/>
        <color rgb="FF000000"/>
        <rFont val="Times New Roman"/>
        <family val="1"/>
      </rPr>
      <t xml:space="preserve">Endemic disease, High incidence and significant mortality due to leptospirosis necessitates continuous training of Medical Officers and field staff for Early Diagnosis, Initiation of therapy, referral and Critical care. Proposing a budget of Rs 50,000 per district and Rs 100,000 at </t>
    </r>
    <r>
      <rPr>
        <b/>
        <sz val="12"/>
        <color rgb="FF000000"/>
        <rFont val="Times New Roman"/>
        <family val="1"/>
      </rPr>
      <t>State level for ToT &amp; Training of Lab Technicians - Rs 8,00,000/</t>
    </r>
    <r>
      <rPr>
        <sz val="12"/>
        <color rgb="FF000000"/>
        <rFont val="Times New Roman"/>
        <family val="1"/>
      </rPr>
      <t xml:space="preserve">- for FY 2025-26
</t>
    </r>
    <r>
      <rPr>
        <b/>
        <sz val="12"/>
        <color rgb="FF000000"/>
        <rFont val="Times New Roman"/>
        <family val="1"/>
      </rPr>
      <t>c) Other Operating Costs 
- Rs 50,000/-</t>
    </r>
    <r>
      <rPr>
        <sz val="12"/>
        <color rgb="FF000000"/>
        <rFont val="Times New Roman"/>
        <family val="1"/>
      </rPr>
      <t xml:space="preserve"> proposed for State level contingency expenses - Rs 50,000/- for FY 2025-26
</t>
    </r>
    <r>
      <rPr>
        <b/>
        <sz val="12"/>
        <color rgb="FF000000"/>
        <rFont val="Times New Roman"/>
        <family val="1"/>
      </rPr>
      <t>d) IEC Activities - Rs 14 Lakhs
District Level -</t>
    </r>
    <r>
      <rPr>
        <sz val="12"/>
        <color rgb="FF000000"/>
        <rFont val="Times New Roman"/>
        <family val="1"/>
      </rPr>
      <t xml:space="preserve"> IEC activities to reduce chance of infection, Doxycycline prophylaxis and other preventive measures @ Rs 100000/- per district  Rs 14,00,000/-  for FY 2025-26
</t>
    </r>
    <r>
      <rPr>
        <b/>
        <sz val="12"/>
        <color rgb="FF000000"/>
        <rFont val="Times New Roman"/>
        <family val="1"/>
      </rPr>
      <t>e) Programme Management at State Level -
 Rs 1,00,000/</t>
    </r>
    <r>
      <rPr>
        <sz val="12"/>
        <color rgb="FF000000"/>
        <rFont val="Times New Roman"/>
        <family val="1"/>
      </rPr>
      <t xml:space="preserve">- proposed at State level for planning, monitoring &amp; Evaluation at State level
</t>
    </r>
  </si>
  <si>
    <t>Approved for 9300 cases@ Rs 2000 per case</t>
  </si>
  <si>
    <t>Approved for 2550 pair @ Rs 2000 per pair</t>
  </si>
  <si>
    <t>Infra - 200 L 
 Approved Grant-in-aid for construction of Eye Wards and Eye OTS at Palakkad &amp; Tirurangadi @ Rs.100L
 Equipment : 640 L 
 Approved at DH- Kollam, Kozhencherry, Mavelikkara, Palakkad, Vadakara,GH- Kottayam, Pala, Ernakulam, Thrissur, Kalpetta @ Rs.40L each
 Approved at THQH-Tiruvalla, Harippad, Cherthala, Vaikom, Nedumkandam, Kothamangalam, Ottapalam, Ponnani, Thirurangadi@ Rs 20 Lakhs
 Approved Rs 60 Lakhs @ Rs 1 Lakh per unit for 60 vision centers</t>
  </si>
  <si>
    <t>Infra - 100 L 
 Approved Grant-in-aid for construction of Eye Wards and Eye OTS at Tiruvalla@ Rs.100L
 Equipment : 440 L 
 Approved at Alappuzha, Manjeri, Kozhikkode, Kannur, Kanhangad, Peroorkada, Kasargod @ Rs.40L each
 Approved at THQH-Thrippunithara, Kuttipuram, Perambra, Koyilandi, Kuthuparamba, Iritty, Ferokke@ Rs 20 Lakhs
 Approved Rs 20 Lakhs @ Rs 1 Lakh per unit for 20 vision centers in PHC/ HWCs</t>
  </si>
  <si>
    <t>1. Capacity Building: 2 L
 Approved Rs 2 L for PMOA Training and for Training staff nurse
 2. IEC - 20 L : Approved for District Level Awareness and activities in connection with Eye donation fortnight, world sight day, world Glaucoma week: and 6L for state level activities
 3. Planning &amp; M &amp; E : 20 L : Fund for conducting camps,POL, TA/DA of District level staffs, Contingencies, monthly review meetings at District level and State level- POL, TA/DA for staffs, Contingencies, review meetings, Office Operation and miscellaneous
 4. OOC: Rs 30 Lakhs approved for Maintenance, POL &amp; Insurance of existing Mobile Ophthalmic unit @ Rs 2 Lakhs each</t>
  </si>
  <si>
    <r>
      <rPr>
        <sz val="12"/>
        <color rgb="FF000000"/>
        <rFont val="&quot;Times New Roman&quot;, serif"/>
      </rPr>
      <t>1.</t>
    </r>
    <r>
      <rPr>
        <b/>
        <sz val="12"/>
        <color rgb="FF000000"/>
        <rFont val="&quot;Times New Roman&quot;, serif"/>
      </rPr>
      <t xml:space="preserve">Equipment/Furniture : Rs. 1 L x 14 District s </t>
    </r>
    <r>
      <rPr>
        <sz val="12"/>
        <color rgb="FF000000"/>
        <rFont val="&quot;Times New Roman&quot;, serif"/>
      </rPr>
      <t xml:space="preserve">
</t>
    </r>
    <r>
      <rPr>
        <b/>
        <sz val="12"/>
        <color rgb="FF000000"/>
        <rFont val="&quot;Times New Roman&quot;, serif"/>
      </rPr>
      <t>2.Drugs - Psychotropic medicines @ Rs.10 L  x 14 District.</t>
    </r>
    <r>
      <rPr>
        <sz val="12"/>
        <color rgb="FF000000"/>
        <rFont val="&quot;Times New Roman&quot;, serif"/>
      </rPr>
      <t xml:space="preserve">
</t>
    </r>
    <r>
      <rPr>
        <b/>
        <sz val="12"/>
        <color rgb="FF000000"/>
        <rFont val="&quot;Times New Roman&quot;, serif"/>
      </rPr>
      <t>3.Training at State Rs.6 Lakhs and Rs.5.5 L x 14 District Training</t>
    </r>
    <r>
      <rPr>
        <sz val="12"/>
        <color rgb="FF000000"/>
        <rFont val="&quot;Times New Roman&quot;, serif"/>
      </rPr>
      <t xml:space="preserve"> of PHC Mos/ SN / Para medical workers under NMHP (Aswasam, ammamanasu, urban mental health) 
</t>
    </r>
    <r>
      <rPr>
        <b/>
        <sz val="12"/>
        <color rgb="FF000000"/>
        <rFont val="&quot;Times New Roman&quot;, serif"/>
      </rPr>
      <t>4.  ASHA Incetive Rs. 55.40 L</t>
    </r>
    <r>
      <rPr>
        <sz val="12"/>
        <color rgb="FF000000"/>
        <rFont val="&quot;Times New Roman&quot;, serif"/>
      </rPr>
      <t xml:space="preserve">
</t>
    </r>
    <r>
      <rPr>
        <b/>
        <sz val="12"/>
        <color rgb="FF000000"/>
        <rFont val="&quot;Times New Roman&quot;, serif"/>
      </rPr>
      <t xml:space="preserve">5.OOC - Rs.177.50 L </t>
    </r>
    <r>
      <rPr>
        <sz val="12"/>
        <color rgb="FF000000"/>
        <rFont val="&quot;Times New Roman&quot;, serif"/>
      </rPr>
      <t xml:space="preserve">for (a) implementation of sampoorna Manasika arogyam in 277 Grama Panchayats 
 b. Tribal Mental Health interventions tribal areas
 c. Mental Health Interventions in Coastal Areas 
 d. Workplace Intervention in institutions 
 e. Ambulatory services @ Rs.4 L per district.  Details Attached.
</t>
    </r>
    <r>
      <rPr>
        <b/>
        <sz val="12"/>
        <color rgb="FF000000"/>
        <rFont val="&quot;Times New Roman&quot;, serif"/>
      </rPr>
      <t>6. IEC : Rs.45 L</t>
    </r>
    <r>
      <rPr>
        <sz val="12"/>
        <color rgb="FF000000"/>
        <rFont val="&quot;Times New Roman&quot;, serif"/>
      </rPr>
      <t xml:space="preserve"> for IEC activities @ Rs.3 L per district &amp; State
</t>
    </r>
    <r>
      <rPr>
        <b/>
        <sz val="12"/>
        <color rgb="FF000000"/>
        <rFont val="&quot;Times New Roman&quot;, serif"/>
      </rPr>
      <t>7. Planning &amp; M &amp; E - 271 L</t>
    </r>
    <r>
      <rPr>
        <sz val="12"/>
        <color rgb="FF000000"/>
        <rFont val="&quot;Times New Roman&quot;, serif"/>
      </rPr>
      <t xml:space="preserve">
a. Rs.6 L x 31 day care centres financial support
b. DMHP vehicle hiring, operational expenses.   for misc /travel expenses.   operational expenses of the dist centre rs. 6 Lakhs x 14 district and Rs. 1 L at State Level.</t>
    </r>
  </si>
  <si>
    <r>
      <rPr>
        <b/>
        <sz val="12"/>
        <color rgb="FF000000"/>
        <rFont val="&quot;Times New Roman&quot;, serif"/>
      </rPr>
      <t xml:space="preserve">1.Equipment/Furniture : Rs. 1 L x 14 District s </t>
    </r>
    <r>
      <rPr>
        <sz val="12"/>
        <color rgb="FF000000"/>
        <rFont val="&quot;Times New Roman&quot;, serif"/>
      </rPr>
      <t xml:space="preserve">
</t>
    </r>
    <r>
      <rPr>
        <b/>
        <sz val="12"/>
        <color rgb="FF000000"/>
        <rFont val="&quot;Times New Roman&quot;, serif"/>
      </rPr>
      <t>2.Drugs - Psychotropic medicines @ Rs.10 L  x 14 District.
3.Training at State Rs.6 Lakhs and Rs.5.5 L x 14 District Trainin</t>
    </r>
    <r>
      <rPr>
        <sz val="12"/>
        <color rgb="FF000000"/>
        <rFont val="&quot;Times New Roman&quot;, serif"/>
      </rPr>
      <t xml:space="preserve">g of PHC Mos/ SN / Para medical workers under NMHP (Aswasam, ammamanasu, urban mental health) 
4.  </t>
    </r>
    <r>
      <rPr>
        <b/>
        <sz val="12"/>
        <color rgb="FF000000"/>
        <rFont val="&quot;Times New Roman&quot;, serif"/>
      </rPr>
      <t>ASHA Incetive Rs. 55.40 L</t>
    </r>
    <r>
      <rPr>
        <sz val="12"/>
        <color rgb="FF000000"/>
        <rFont val="&quot;Times New Roman&quot;, serif"/>
      </rPr>
      <t xml:space="preserve">
</t>
    </r>
    <r>
      <rPr>
        <b/>
        <sz val="12"/>
        <color rgb="FF000000"/>
        <rFont val="&quot;Times New Roman&quot;, serif"/>
      </rPr>
      <t xml:space="preserve"> 5.OOC - Rs.177.50 L</t>
    </r>
    <r>
      <rPr>
        <sz val="12"/>
        <color rgb="FF000000"/>
        <rFont val="&quot;Times New Roman&quot;, serif"/>
      </rPr>
      <t xml:space="preserve"> for (a) implementation of sampoorna Manasika arogyam in 277 Grama Panchayats 
 b. Tribal Mental Health interventions tribal areas
 c. Mental Health Interventions in Coastal Areas 
 d. Workplace Intervention in institutions 
 e. Ambulatory services @ Rs.4 L per district.  Details Attached.
</t>
    </r>
    <r>
      <rPr>
        <b/>
        <sz val="12"/>
        <color rgb="FF000000"/>
        <rFont val="&quot;Times New Roman&quot;, serif"/>
      </rPr>
      <t>6. IEC : Rs.45 L</t>
    </r>
    <r>
      <rPr>
        <sz val="12"/>
        <color rgb="FF000000"/>
        <rFont val="&quot;Times New Roman&quot;, serif"/>
      </rPr>
      <t xml:space="preserve"> for IEC activities @ Rs.3 L per district &amp; State                                          </t>
    </r>
    <r>
      <rPr>
        <b/>
        <sz val="12"/>
        <color rgb="FF000000"/>
        <rFont val="&quot;Times New Roman&quot;, serif"/>
      </rPr>
      <t xml:space="preserve">  7. Planning &amp; M &amp; E - 271 L</t>
    </r>
    <r>
      <rPr>
        <sz val="12"/>
        <color rgb="FF000000"/>
        <rFont val="&quot;Times New Roman&quot;, serif"/>
      </rPr>
      <t xml:space="preserve">
a. Rs.6 L x 31 day care centres financial support
b. DMHP vehicle hiring, operational expenses.   for misc /travel expenses.   operational expenses of the dist centre rs. 6 Lakhs x 14 district and Rs. 1 L at State Level.</t>
    </r>
  </si>
  <si>
    <r>
      <rPr>
        <b/>
        <sz val="12"/>
        <color rgb="FF000000"/>
        <rFont val="&quot;Times New Roman&quot;, serif"/>
      </rPr>
      <t>1. Infrastructure &amp; Civil Works  : Nedumangad - Total 80 L</t>
    </r>
    <r>
      <rPr>
        <sz val="12"/>
        <color rgb="FF000000"/>
        <rFont val="&quot;Times New Roman&quot;, serif"/>
      </rPr>
      <t xml:space="preserve"> : Rs 40 L  (50% Proposed Current Year)
2</t>
    </r>
    <r>
      <rPr>
        <b/>
        <sz val="12"/>
        <color rgb="FF000000"/>
        <rFont val="&quot;Times New Roman&quot;, serif"/>
      </rPr>
      <t xml:space="preserve"> Procurement of equipment for DH/ GH elderly clinics</t>
    </r>
    <r>
      <rPr>
        <sz val="12"/>
        <color rgb="FF000000"/>
        <rFont val="&quot;Times New Roman&quot;, serif"/>
      </rPr>
      <t xml:space="preserve"> - Rs. 7 Lakhs for Kollam,  and Rs, 7 Lakhs Malapuram.  and Rs. 2 Lakhs x 14 Districts
</t>
    </r>
    <r>
      <rPr>
        <b/>
        <sz val="12"/>
        <color rgb="FF000000"/>
        <rFont val="&quot;Times New Roman&quot;, serif"/>
      </rPr>
      <t xml:space="preserve">3.Geriatric Care at DH Drugs and Supplies -  : Rs. 10 L x 14 districts
4. Capacity building incl. training </t>
    </r>
    <r>
      <rPr>
        <sz val="12"/>
        <color rgb="FF000000"/>
        <rFont val="&quot;Times New Roman&quot;, serif"/>
      </rPr>
      <t>- Rs. 1 L x 14 District and State :Training of Doctors, Staff Nurse and Physiotherapists at Districts and state  
5</t>
    </r>
    <r>
      <rPr>
        <b/>
        <sz val="12"/>
        <color rgb="FF000000"/>
        <rFont val="&quot;Times New Roman&quot;, serif"/>
      </rPr>
      <t>.IEC &amp; Printing - Rs. 1 Lakh x 14 District</t>
    </r>
    <r>
      <rPr>
        <sz val="12"/>
        <color rgb="FF000000"/>
        <rFont val="&quot;Times New Roman&quot;, serif"/>
      </rPr>
      <t xml:space="preserve"> and State : Elderly care day observation. State &amp; District Level Elderly care day observation </t>
    </r>
  </si>
  <si>
    <r>
      <rPr>
        <b/>
        <sz val="12"/>
        <color rgb="FF000000"/>
        <rFont val="&quot;Times New Roman&quot;, serif"/>
      </rPr>
      <t>1. Infrastructure &amp; Civil Works - Rs. 40 Lakhs (Balance 50%)</t>
    </r>
    <r>
      <rPr>
        <sz val="12"/>
        <color rgb="FF000000"/>
        <rFont val="&quot;Times New Roman&quot;, serif"/>
      </rPr>
      <t xml:space="preserve">
</t>
    </r>
    <r>
      <rPr>
        <b/>
        <sz val="12"/>
        <color rgb="FF000000"/>
        <rFont val="&quot;Times New Roman&quot;, serif"/>
      </rPr>
      <t xml:space="preserve">2 Procurement of equipment for DH/ GH elderly clinics - </t>
    </r>
    <r>
      <rPr>
        <sz val="12"/>
        <color rgb="FF000000"/>
        <rFont val="&quot;Times New Roman&quot;, serif"/>
      </rPr>
      <t xml:space="preserve">Nedumangad Rs. 25 L,  and Rs. 1 Lakhs x 14 Districts
</t>
    </r>
    <r>
      <rPr>
        <b/>
        <sz val="12"/>
        <color rgb="FF000000"/>
        <rFont val="&quot;Times New Roman&quot;, serif"/>
      </rPr>
      <t xml:space="preserve">3.Geriatric Care at DH Drugs and Supplies -  : Rs. 10 L x 14 </t>
    </r>
    <r>
      <rPr>
        <sz val="12"/>
        <color rgb="FF000000"/>
        <rFont val="&quot;Times New Roman&quot;, serif"/>
      </rPr>
      <t xml:space="preserve">districts
</t>
    </r>
    <r>
      <rPr>
        <b/>
        <sz val="12"/>
        <color rgb="FF000000"/>
        <rFont val="&quot;Times New Roman&quot;, serif"/>
      </rPr>
      <t>4. Capacity building incl. training</t>
    </r>
    <r>
      <rPr>
        <sz val="12"/>
        <color rgb="FF000000"/>
        <rFont val="&quot;Times New Roman&quot;, serif"/>
      </rPr>
      <t xml:space="preserve"> - Rs. 1 L x 14 District and State :Training of Doctors, Staff Nurse and Physiotherapists at Districts and state 
 </t>
    </r>
    <r>
      <rPr>
        <b/>
        <sz val="12"/>
        <color rgb="FF000000"/>
        <rFont val="&quot;Times New Roman&quot;, serif"/>
      </rPr>
      <t xml:space="preserve">5.IEC &amp; Printing - Rs. 1 Lakh x 14 District and </t>
    </r>
    <r>
      <rPr>
        <sz val="12"/>
        <color rgb="FF000000"/>
        <rFont val="&quot;Times New Roman&quot;, serif"/>
      </rPr>
      <t xml:space="preserve">State : Elderly care day observation. State &amp; District Level Elderly care day observation </t>
    </r>
  </si>
  <si>
    <t xml:space="preserve">1. Others including operating costs(OOC) Medical Check up for Old Age Homes Rs. 0.10 L x 715 Old Age Homes Rs. 71.50 L
State specific Initiatives and Innovations :  Surveillance, Research, Review, Evaluation (SRRE)  : Study on assessing the burden of Psychosocial issues among elders in kerala.(2025-26)
</t>
  </si>
  <si>
    <r>
      <rPr>
        <sz val="12"/>
        <color rgb="FF000000"/>
        <rFont val="&quot;Times New Roman&quot;, serif"/>
      </rPr>
      <t xml:space="preserve">Others including operating costs(OOC) Medical Check up for Old Age Homes Rs. 0.10 L x 715 Old Age Homes </t>
    </r>
    <r>
      <rPr>
        <b/>
        <sz val="12"/>
        <color rgb="FF000000"/>
        <rFont val="&quot;Times New Roman&quot;, serif"/>
      </rPr>
      <t>Rs. 71.50 L</t>
    </r>
    <r>
      <rPr>
        <sz val="12"/>
        <color rgb="FF000000"/>
        <rFont val="&quot;Times New Roman&quot;, serif"/>
      </rPr>
      <t xml:space="preserve">
</t>
    </r>
    <r>
      <rPr>
        <b/>
        <sz val="12"/>
        <color rgb="FF000000"/>
        <rFont val="&quot;Times New Roman&quot;, serif"/>
      </rPr>
      <t>SRRE-</t>
    </r>
    <r>
      <rPr>
        <sz val="12"/>
        <color rgb="FF000000"/>
        <rFont val="&quot;Times New Roman&quot;, serif"/>
      </rPr>
      <t xml:space="preserve">Burden of Psychosocial Issues among Elders in Kerala-A cross sectional study- </t>
    </r>
    <r>
      <rPr>
        <b/>
        <sz val="12"/>
        <color rgb="FF000000"/>
        <rFont val="&quot;Times New Roman&quot;, serif"/>
      </rPr>
      <t>Rs.5 lakhs</t>
    </r>
  </si>
  <si>
    <r>
      <rPr>
        <sz val="12"/>
        <color rgb="FF000000"/>
        <rFont val="&quot;Times New Roman&quot;, serif"/>
      </rPr>
      <t xml:space="preserve">1. Capacity Building incl Training12.20 lakhs
</t>
    </r>
    <r>
      <rPr>
        <sz val="12"/>
        <color rgb="FF000000"/>
        <rFont val="&quot;Times New Roman&quot;, serif"/>
      </rPr>
      <t xml:space="preserve"> Rs. 0.8 L x 14 District -11.20 lakhs &amp; Rs. 1 L at Statel Level
</t>
    </r>
    <r>
      <rPr>
        <sz val="12"/>
        <color rgb="FF000000"/>
        <rFont val="&quot;Times New Roman&quot;, serif"/>
      </rPr>
      <t xml:space="preserve">2) IEC &amp;  Printing  = 23 L 
</t>
    </r>
    <r>
      <rPr>
        <sz val="12"/>
        <color rgb="FF000000"/>
        <rFont val="&quot;Times New Roman&quot;, serif"/>
      </rPr>
      <t xml:space="preserve">These activities include making Jingles, Videos, hoardings, newspaper advisories and mass media campaigns, No Tobacco Day observation, mobile IEC corner etc.  1.5 L / District -  14 * 1.5 = 21 L &amp; State – 2 L
</t>
    </r>
    <r>
      <rPr>
        <sz val="12"/>
        <color rgb="FF000000"/>
        <rFont val="&quot;Times New Roman&quot;, serif"/>
      </rPr>
      <t>3) Planning M&amp;E 27 lakhs</t>
    </r>
    <r>
      <rPr>
        <sz val="12"/>
        <color rgb="FF000000"/>
        <rFont val="&quot;Times New Roman&quot;, serif"/>
      </rPr>
      <t xml:space="preserve">
a.State Tobacco Control Cell (STCC): Misc./Office Expenses – 1L
b. Hiring of Operational Vehicle under NTCP – 5L
c. Monthly meeting with the hospital staff, Weekly FGD with the tobacco users. 0.25x 14=3.5L
d. Enforcement Squads 1X14=14 L 
e. District Tobacco Control Cell (DTCC): Misc./Office Expenses 0.25X14 = 3.5L</t>
    </r>
  </si>
  <si>
    <r>
      <rPr>
        <b/>
        <sz val="12"/>
        <color rgb="FF000000"/>
        <rFont val="&quot;Times New Roman&quot;, serif"/>
      </rPr>
      <t xml:space="preserve">1. Capacity Building incl Training12.20 lakhs
</t>
    </r>
    <r>
      <rPr>
        <b/>
        <sz val="12"/>
        <color rgb="FF000000"/>
        <rFont val="&quot;Times New Roman&quot;, serif"/>
      </rPr>
      <t xml:space="preserve"> Rs. 0.8 L x 14 District -11.20 lakhs &amp; Rs. 1 L at Statel Level
</t>
    </r>
    <r>
      <rPr>
        <b/>
        <sz val="12"/>
        <color rgb="FF000000"/>
        <rFont val="&quot;Times New Roman&quot;, serif"/>
      </rPr>
      <t xml:space="preserve">2) IEC &amp;  Printing  = 23 L 
</t>
    </r>
    <r>
      <rPr>
        <b/>
        <sz val="12"/>
        <color rgb="FF000000"/>
        <rFont val="&quot;Times New Roman&quot;, serif"/>
      </rPr>
      <t xml:space="preserve">These activities include making Jingles, Videos, hoardings, newspaper advisories and mass media campaigns, No Tobacco Day observation, mobile IEC corner etc.  1.5 L / District -  14 * 1.5 = 21 L &amp; State – 2 L
</t>
    </r>
    <r>
      <rPr>
        <b/>
        <sz val="12"/>
        <color rgb="FF000000"/>
        <rFont val="&quot;Times New Roman&quot;, serif"/>
      </rPr>
      <t>3) Planning M&amp;E 27 lakhs</t>
    </r>
    <r>
      <rPr>
        <b/>
        <sz val="12"/>
        <color rgb="FF000000"/>
        <rFont val="&quot;Times New Roman&quot;, serif"/>
      </rPr>
      <t xml:space="preserve">
a.State Tobacco Control Cell (STCC): Misc./Office Expenses – 1L
b. Hiring of Operational Vehicle under NTCP – 5L
c. Monthly meeting with the hospital staff, Weekly FGD with the tobacco users. 0.25x 14=3.5L
d. Enforcement Squads 1X14=14 L 
e. District Tobacco Control Cell (DTCC): Misc./Office Expenses 0.25X14 = 3.5L</t>
    </r>
  </si>
  <si>
    <r>
      <rPr>
        <sz val="12"/>
        <color rgb="FF000000"/>
        <rFont val="&quot;Times New Roman&quot;, serif"/>
      </rPr>
      <t>OOC Rs 48 lakhs</t>
    </r>
    <r>
      <rPr>
        <sz val="12"/>
        <color rgb="FF000000"/>
        <rFont val="&quot;Times New Roman&quot;, serif"/>
      </rPr>
      <t xml:space="preserve"> 
Activities include both indoor and outdoor activities like tobacco free school, school level task force formation &amp; meetings, awareness generation campaigns etc at  Schools &amp; Colleges 2L /district – 2 X 14= 28 L &amp; 20 L at State Level </t>
    </r>
  </si>
  <si>
    <t xml:space="preserve">Activities include both indoor and outdoor activities like tobacco free school, school level task force formation &amp; meetings, awareness generation campaigns etc at  Schools &amp; Colleges 2L /district – 2 X 14= 28 L &amp; 20 L at State Level </t>
  </si>
  <si>
    <r>
      <rPr>
        <sz val="12"/>
        <color rgb="FF000000"/>
        <rFont val="&quot;Times New Roman&quot;, serif"/>
      </rPr>
      <t xml:space="preserve">1. </t>
    </r>
    <r>
      <rPr>
        <b/>
        <sz val="12"/>
        <color rgb="FF000000"/>
        <rFont val="&quot;Times New Roman&quot;, serif"/>
      </rPr>
      <t>Equipment – 14 L</t>
    </r>
    <r>
      <rPr>
        <sz val="12"/>
        <color rgb="FF000000"/>
        <rFont val="&quot;Times New Roman&quot;, serif"/>
      </rPr>
      <t xml:space="preserve">
 For  Carbon monoxide breath analysers , minispirometers and other consumables for TCCs in districts , mobile units ,out  reach clinics &amp; camps at  HWCs etc  1L/district – 14 * 1 = 14 L
2. </t>
    </r>
    <r>
      <rPr>
        <b/>
        <sz val="12"/>
        <color rgb="FF000000"/>
        <rFont val="&quot;Times New Roman&quot;, serif"/>
      </rPr>
      <t>Drugs &amp; Supplies – 27 L</t>
    </r>
    <r>
      <rPr>
        <sz val="12"/>
        <color rgb="FF000000"/>
        <rFont val="&quot;Times New Roman&quot;, serif"/>
      </rPr>
      <t xml:space="preserve"> Procurement of Nicotine gums, lozenges, Buproprione, varnecline etc for  36 Tobacco cessation centers  0.75 L/ TCC-  27 L
3. </t>
    </r>
    <r>
      <rPr>
        <b/>
        <sz val="12"/>
        <color rgb="FF000000"/>
        <rFont val="&quot;Times New Roman&quot;, serif"/>
      </rPr>
      <t xml:space="preserve"> Capacity Building – 2.8 L</t>
    </r>
    <r>
      <rPr>
        <sz val="12"/>
        <color rgb="FF000000"/>
        <rFont val="&quot;Times New Roman&quot;, serif"/>
      </rPr>
      <t xml:space="preserve"> Training of Health care workers – medical officers , staff Nurses , MPW ,counsellors  on Tobacco cessation  1session / district – 20000/session 
20000*14 – 2.8 L</t>
    </r>
  </si>
  <si>
    <r>
      <rPr>
        <sz val="12"/>
        <color rgb="FF000000"/>
        <rFont val="&quot;Times New Roman&quot;, serif"/>
      </rPr>
      <t xml:space="preserve">1. </t>
    </r>
    <r>
      <rPr>
        <b/>
        <sz val="12"/>
        <color rgb="FF000000"/>
        <rFont val="&quot;Times New Roman&quot;, serif"/>
      </rPr>
      <t>Equipment – 14 L</t>
    </r>
    <r>
      <rPr>
        <sz val="12"/>
        <color rgb="FF000000"/>
        <rFont val="&quot;Times New Roman&quot;, serif"/>
      </rPr>
      <t xml:space="preserve">
 For  Carbon monoxide breath analysers , minispirometers and other consumables for TCCs in districts , mobile units ,out  reach clinics &amp; camps at  HWCs etc  1L/district – 14 * 1 = 14 L
2. </t>
    </r>
    <r>
      <rPr>
        <b/>
        <sz val="12"/>
        <color rgb="FF000000"/>
        <rFont val="&quot;Times New Roman&quot;, serif"/>
      </rPr>
      <t>Drugs &amp; Supplies</t>
    </r>
    <r>
      <rPr>
        <sz val="12"/>
        <color rgb="FF000000"/>
        <rFont val="&quot;Times New Roman&quot;, serif"/>
      </rPr>
      <t xml:space="preserve"> – </t>
    </r>
    <r>
      <rPr>
        <b/>
        <sz val="12"/>
        <color rgb="FF000000"/>
        <rFont val="&quot;Times New Roman&quot;, serif"/>
      </rPr>
      <t>27 L</t>
    </r>
    <r>
      <rPr>
        <sz val="12"/>
        <color rgb="FF000000"/>
        <rFont val="&quot;Times New Roman&quot;, serif"/>
      </rPr>
      <t xml:space="preserve"> Procurement of Nicotine gums, lozenges, Buproprione, varnecline etc for  36 Tobacco cessation centers  0.75 L/ TCC-  27 L
3. </t>
    </r>
    <r>
      <rPr>
        <b/>
        <sz val="12"/>
        <color rgb="FF000000"/>
        <rFont val="&quot;Times New Roman&quot;, serif"/>
      </rPr>
      <t xml:space="preserve"> Capacity Building – 2.8 L</t>
    </r>
    <r>
      <rPr>
        <sz val="12"/>
        <color rgb="FF000000"/>
        <rFont val="&quot;Times New Roman&quot;, serif"/>
      </rPr>
      <t xml:space="preserve"> Training of Health care workers – medical officers , staff Nurses , MPW ,counsellors  on Tobacco cessation  1session / district – 20000/session 
20000*14 – 2.8 L</t>
    </r>
  </si>
  <si>
    <t>1.Equipment Rs. 212.45 Lakhs
I. An amount of Rs 180 Lakhs is proposed for the procurement of consumables 
II. An amount of Rs 32.45 L is proposed for the procurement of 180 Professional Validated High Volume Electronic BP apparatus@ Rs 8000 per unit, 23 Biothesiometer @ Rs 35000, Procurement of Rs 10,00,000for one Uss machine with colourDoppler. 
2.Drugs and Supplies : Rs. 1080 Lakhs 36 GH/GH :Rs. 1080 Lakhs.  Details Attached
3.OCC – Rs. 35 Lakhs Patient referral  Proposing Rs 35 L @ Rs 2.50 Lakhs for each district for proving transportation facility for patients referred from secondary care hospitals to tertiary care hospitals. 
4.Planning &amp; M&amp;E  Rs. 14 L Coordination Meeting (1 L/each District NCD Clinic) Miscellaneous including Travel/POL/Stationary etc.</t>
  </si>
  <si>
    <t>1.Equipment Rs. 180 Lakhs
I. An amount of Rs 180 Lakhs is proposed for the procurement of consumables and equipment for sample transport.
2.Drugs and Supplies : Rs. 1188 Lakhs 36 GH/GH:  Rs. 1188 Lakhs.  10% increase on 2024-25.
3.OCC – Rs. 35 Lakhs Patient referral 
Proposing Rs 35 L @ Rs 2.50 Lakhs for each district for proving  transportation facility for patients referred from secondary care hospitals to tertiary care hospitals. 
4.Planning &amp; M&amp;E  Rs. 14 L Coordination Meeting (1 L/each District NCD Clinic) Miscellaneous including Travel/POL/Stationary etc.</t>
  </si>
  <si>
    <t>1.Drugs and Supplies : Rs. 870 Lakhs Drugs for 87 SDH Hospital.  Details Attached
2.OCC – Rs.56.75 L Operating expenses at 227CHC @ Rs.0.25 L    expenses (Mobility, Misc. &amp; Contingency)</t>
  </si>
  <si>
    <t>1.Drugs and Supplies : Rs. 870 Lakhs Drugs for 87 SDH Hospital.
2.OCC – Rs.56.75 L  Operating expenses at 227CHC @ Rs.0.25 L    expenses (Mobility, Misc. &amp; Contingency)</t>
  </si>
  <si>
    <t xml:space="preserve"> 1.Equipment  - Rs. 279Lakhs (2024-25)  
2.Drugs and Supplies : Rs. 210  Lakhs Details Attached
 3. Diagnostics – Rs. 51  L
Diagnostics  &amp;Consumables for CCU Unit</t>
  </si>
  <si>
    <r>
      <rPr>
        <sz val="12"/>
        <color rgb="FF000000"/>
        <rFont val="&quot;Times New Roman&quot;, serif"/>
      </rPr>
      <t>1.</t>
    </r>
    <r>
      <rPr>
        <b/>
        <sz val="12"/>
        <color rgb="FF000000"/>
        <rFont val="&quot;Times New Roman&quot;, serif"/>
      </rPr>
      <t xml:space="preserve"> Equipment  for CCU Rs. 120 L</t>
    </r>
    <r>
      <rPr>
        <sz val="12"/>
        <color rgb="FF000000"/>
        <rFont val="&quot;Times New Roman&quot;, serif"/>
      </rPr>
      <t>- Details attached
2</t>
    </r>
    <r>
      <rPr>
        <b/>
        <sz val="12"/>
        <color rgb="FF000000"/>
        <rFont val="&quot;Times New Roman&quot;, serif"/>
      </rPr>
      <t xml:space="preserve">. Drugs &amp; Supplies Rs. 120 L </t>
    </r>
    <r>
      <rPr>
        <sz val="12"/>
        <color rgb="FF000000"/>
        <rFont val="&quot;Times New Roman&quot;, serif"/>
      </rPr>
      <t xml:space="preserve">Details attached
</t>
    </r>
    <r>
      <rPr>
        <b/>
        <sz val="12"/>
        <color rgb="FF000000"/>
        <rFont val="&quot;Times New Roman&quot;, serif"/>
      </rPr>
      <t>3. Diagnostics  &amp; Comsumables  :  Rs. 51 L</t>
    </r>
  </si>
  <si>
    <t>1.Equipment - Rs. 154Lakhs for COPD,cancer care, pbs and NAFLD. Equipment.
2.Drugs and Supplies : Rs. 1375  Lakhs
Proposing medicines for COPD, Stroke&amp;Cancer Care. Details Attached
3. ASHA Incentive  - 
• Proposing Rs. 530 Lakhs: The state of Kerala is moving ahead with the population Based Screening programme in all 14 districts utilizing the service of ASHA volunteers. ASHA volunteers will be collecting the data of risk factor for NCDs using a CBAC form every household. Incentive of Rs 10 is earmarked for every household and Rs 50 is approved as incentive for following up the NCD patients. There are 26000 ASHAs in the state and every ASHA is in charge of 1000 population for one ward in the state. The target population is 1, 75,00,000/- which will be covered every year.
•ASHA Incentive for NCD followup activity: Rs. 158.65 Lakhs
The NCD patients will be followed up by the ASHA volunteers every month to increase the control rates which will be evaluated every 6 months.Rs 50/- will be paid to each ASHA for monitoring each patient
4.  Capacity Building Incl. Training :  Rs. 52 L
1. State level Training for District Nodal Officers: Proposing Rs3.70 Lakhs  for 2.5 days  for 28 Officers
2. Proposing Rs 6.30 L State level TOT for 42 district resource persons @ 3 per district for 2.5 days 
2 District Level Training 
Proposing Rs. 28 Lakhs for 2 day training for 200 MOs
Proposing Rs. 14 Lakhs for PBS Training (ANM, ASHA)
5. IEC &amp;Printing Rs. 91.15  Lakhs
Rs.70 L for IEC activities at State and district level &amp; Rs.21.15 L for printing of referral cards at PHC @ Rs.2500/card for 846 PHCs 
6.Planning 7 M &amp; E – 45 L. State- Rs 3L and &amp;District level – Rs 42 L @ Rs 3L Per district  for  Program Management Activities
7. Surveillance, Research, Review, Evaluation (SRRE)   :  Rs.20 L. Proposing for Development of population based stroke registry- KSSR Details attached.</t>
  </si>
  <si>
    <t xml:space="preserve">Other NPCDCS Components :
1. Equipment - 161 L - for COPD, cancer care, pbs a. Equipment- Videocolposcope for 14 GH, Broncoscopy Machine, HPV Catridges, Minispirometer, Non Invasive ventilator, NIV Mask
2. Drugs &amp; Supplies 1399 L–Proposing 900 L for COPD and 499 L for Stroke,  Cancer Care ( 5% increase on 2024-25)
3. Diagnostics &amp; Consumables –110 L - Cancer Care 
4. Capacity Building Incl. Training :  Rs. 52 L
1. State level Training for District Nodal Officers: Proposing Rs 3.70 Lakhs  for 2.5 days  for 28 Officers
2. Proposing Rs 6.30 L State level TOT for 42 district resource persons @ 3 per district for 2.5 days 
2 District Level Training 
Proposing Rs. 28 Lakhs for 2 day training for 200 MOs
Proposing Rs. 14 Lakhs for PBS Training (ANM, ASHA)
5. ASHA Incentive  - 
•        . Proposing Rs. 530 Lakhs: The state of Kerala is moving ahead with the population Based Screening programme in all 14 districts utilizing the service of ASHA volunteers. ASHA volunteers will be collecting the data of risk factor for NCDs using a CBAC form every household. Incentive of Rs 10 is earmarked for every household and Rs 50 is approved as incentive for following up the NCD patients. There are 26000 ASHAs in the state and every ASHA is in charge of 1000 population for one ward in the state. The target population is 1,75,00,000/- which will be covered every year.
•        ASHA Incentive for NCD followup activity: Rs. 158.65 Lakhs
The NCD patients will be followed up by the ASHA volunteers every month to increase the control rates which will be evaluated every 6 months.Rs 50/- will be paid to each ASHA for monitoring each patient
6. IEC &amp; Printing - 91.15L Rs.70 L for IEC activities at STate level and at Dist level Rs.21.15 L for printing of referral cards at PHC @ Rs.2500/card for 846 PHCs 
7. Planning 7 M &amp; E – 45 L  3 L/each   State &amp; District level  for  Program Management Activities
Surveillance, Research, Review, Evaluation (SRRE):  2.12 L The effectiveness of community based fitness training on the physical health of individuals(2025 -26)
</t>
  </si>
  <si>
    <t xml:space="preserve">Innovation under NCD
NCD Clinics at DH
1. Infrastructure  - Rs. 100 Lakhs
This is the summary of the proposal submitted from Department of Radiotherapy &amp; Oncology, General Hospital Pala, Kottayam for the materialisation of the project for setting up a Radiotherapy facility at the institution.
Rs. 50 lakhs Proposed current year,  Balance 50 % proposed 2025-26
2. NCD Clinics at SDH Equipment: 25 L 
Considering the rise in renal diseases among the diabetic population, it is proposed to setup early diagnosing facility for renal diseases in sub district hospitals. POC of creatine machines are proposed for Sub district level hospitals 0.50 L per unit(Details attached as annexure) in 3 districts subject to HTA
3Rs 40 Lakhs is proposed for population based PFT monitoring through AI. The cost of evaluating 1 person is Rs 260/- subject to HTA
4. Diagnostics – Rs. 155 L
Diagnostics &amp;Consumables, (Cancer Care).
A pilot programme for screening cervical cancerthrough HPV detection is proposed in Ernakulam district. Propsing only for catridges and the test will be done NTEP Programme subject to HTA
</t>
  </si>
  <si>
    <t xml:space="preserve">Innovation under NCD
NCD Clinics at DH
1. Infrastructure  - Rs. 50 Lakhs
This is the summary of the proposal submitted from Department of Radiotherapy &amp; Oncology, General Hospital Pala, Kottayam for the materialisation of the project for setting up a Radiotherapy facility at the institution.
Balance fund of Rs. 50 lakhs Proposed in 2025-26  
  </t>
  </si>
  <si>
    <t xml:space="preserve">Implementation of Haemodialysis Services : Rs 82.90 L
1.Equipment  - Rs. 31.90 L
Purchase of New Dialysis Machine for DH Idukki, and SDH Peravoor (Kannur)   Rs.31.90 Lakhs 
2.Drugs and Supplies :  Rs. 50 Lakhs 
Purchase of Nephrology Medicine for Haemodialysis Patients.
3. Diagnostics - 1 L  Dialyzer Reprocessing Unit SDH Nedungolam (Kollam) and GH Pathanamthitta </t>
  </si>
  <si>
    <t xml:space="preserve">Implementation of Haemodialysis Services: Rs. 81.90 L
1.Equipment  - 
Purchase of New Dialysis Machine for SDH Adimali (Idukki) Rs.31.90 L Lakhs 
2.Drugs and Supplies :  Rs. 50 Lakhs 
Purchase of Nephrology Medicine for Haemodialysis Patients.
</t>
  </si>
  <si>
    <t>1. Diagnostics - 990.45 L
Proposing for the procurement  of dialyzing fluids and other consumables.
2.Capacity Building Incl Training – Rs. 8 Lakhs
Fresh/ refresher trainings are essential for Patients and bystanders and Field Workers on  management of CAPD at community Level. Training for Nurse, medical officer, Nephrologist, ANM/ASHA, patients &amp; bystanders on peritoneal dialysis/Haemodialysis  Rs. 50,000/- x 14 District &amp; Rs. 1 Lakh at State Level
3.IEC &amp; Printing . Rs. 5.2 L
Health Education &amp; Publicity for National Programme for PMNDP (State and District Level) IEC &amp; Printing . (Haemodialysis and Peritoneal Dialysis)  Rs. 30,000/- x 14 District &amp; Rs. 1 Lakh at State Level.</t>
  </si>
  <si>
    <r>
      <rPr>
        <b/>
        <sz val="12"/>
        <color rgb="FF000000"/>
        <rFont val="&quot;Times New Roman&quot;, serif"/>
      </rPr>
      <t>1. Diagnostics - 990.45  L</t>
    </r>
    <r>
      <rPr>
        <b/>
        <sz val="12"/>
        <color rgb="FF000000"/>
        <rFont val="&quot;Times New Roman&quot;, serif"/>
      </rPr>
      <t xml:space="preserve">; Details Attached.
</t>
    </r>
    <r>
      <rPr>
        <b/>
        <sz val="12"/>
        <color rgb="FF000000"/>
        <rFont val="&quot;Times New Roman&quot;, serif"/>
      </rPr>
      <t>2.  Training - 8 L ;</t>
    </r>
    <r>
      <rPr>
        <b/>
        <sz val="12"/>
        <color rgb="FF000000"/>
        <rFont val="&quot;Times New Roman&quot;, serif"/>
      </rPr>
      <t xml:space="preserve"> 50000 per district and 1 L at state level</t>
    </r>
    <r>
      <rPr>
        <b/>
        <sz val="12"/>
        <color rgb="FF000000"/>
        <rFont val="&quot;Times New Roman&quot;, serif"/>
      </rPr>
      <t xml:space="preserve">
3.  IEC &amp; Printing - 5.20 L </t>
    </r>
    <r>
      <rPr>
        <b/>
        <sz val="12"/>
        <color rgb="FF000000"/>
        <rFont val="&quot;Times New Roman&quot;, serif"/>
      </rPr>
      <t>: 30000 per district, 1 L at state</t>
    </r>
  </si>
  <si>
    <r>
      <rPr>
        <sz val="12"/>
        <color rgb="FF000000"/>
        <rFont val="&quot;Times New Roman&quot;, serif"/>
      </rPr>
      <t xml:space="preserve">Infrastructure &amp; civil work 15 Lakhs
</t>
    </r>
    <r>
      <rPr>
        <sz val="12"/>
        <color rgb="FF000000"/>
        <rFont val="&quot;Times New Roman&quot;, serif"/>
      </rPr>
      <t xml:space="preserve">Retrofitting for Model Climate-Disaster Resilient healthcare facility Rs. 5 L x3 Institutions (TH Peerumed-Idukki,Model Climate resilient PHC -Kozhikode &amp; FHC Pozhuthana-Wayanad) 
</t>
    </r>
    <r>
      <rPr>
        <sz val="12"/>
        <color rgb="FF000000"/>
        <rFont val="&quot;Times New Roman&quot;, serif"/>
      </rPr>
      <t xml:space="preserve"> Equipments  : 2.52 Lakhs </t>
    </r>
    <r>
      <rPr>
        <sz val="12"/>
        <color rgb="FF000000"/>
        <rFont val="&quot;Times New Roman&quot;, serif"/>
      </rPr>
      <t>Recommended equipments for establishing heat stroke clinics at DH/SDH/CHC hospitals (Rs. 42000/- each Institutions (Kottayam/2 Institutions, Palakkad/ 2 Institution &amp; Kannur/ 2 Insitutions)</t>
    </r>
    <r>
      <rPr>
        <sz val="12"/>
        <color rgb="FF000000"/>
        <rFont val="&quot;Times New Roman&quot;, serif"/>
      </rPr>
      <t xml:space="preserve">  
Training &amp; capacity building  : 8 Lakhs
</t>
    </r>
    <r>
      <rPr>
        <sz val="12"/>
        <color rgb="FF000000"/>
        <rFont val="&quot;Times New Roman&quot;, serif"/>
      </rPr>
      <t xml:space="preserve"> Rs. 0.50 L x 14 District and Rs. 1 L at State Level for two batches.  
</t>
    </r>
    <r>
      <rPr>
        <sz val="12"/>
        <color rgb="FF000000"/>
        <rFont val="&quot;Times New Roman&quot;, serif"/>
      </rPr>
      <t xml:space="preserve">OOC 244.60 lakhs
</t>
    </r>
    <r>
      <rPr>
        <sz val="12"/>
        <color rgb="FF000000"/>
        <rFont val="&quot;Times New Roman&quot;, serif"/>
      </rPr>
      <t xml:space="preserve">a) Greening &amp; Climate Disaster Resilient HCF( Energy Auditing, LED replacement, Energy Efficient equipments, Rainwater Harvesting , Solarization etc) Rs. 40.60 Lakhs.5 institutions per district (3 PHC, 1CHC,1DH) @ Rs.2.90 lakhs per district.  
b)Solarisation Rs.204 lakhs for 11 institutions.
Details Note Attached. 
</t>
    </r>
    <r>
      <rPr>
        <sz val="12"/>
        <color rgb="FF000000"/>
        <rFont val="&quot;Times New Roman&quot;, serif"/>
      </rPr>
      <t xml:space="preserve">IEC &amp; Printiing Rs.12 L
</t>
    </r>
    <r>
      <rPr>
        <sz val="12"/>
        <color rgb="FF000000"/>
        <rFont val="&quot;Times New Roman&quot;, serif"/>
      </rPr>
      <t xml:space="preserve">Developing IEC materials related to climate-sensitive health issues, and observance of important days on environment and health 5 L at state level 1 and Rs.50000/- for districts
</t>
    </r>
    <r>
      <rPr>
        <sz val="12"/>
        <color rgb="FF000000"/>
        <rFont val="&quot;Times New Roman&quot;, serif"/>
      </rPr>
      <t xml:space="preserve">Planning &amp; M&amp; E 8 lakhs
</t>
    </r>
    <r>
      <rPr>
        <sz val="12"/>
        <color rgb="FF000000"/>
        <rFont val="&quot;Times New Roman&quot;, serif"/>
      </rPr>
      <t xml:space="preserve">Task force meetings, Sensitisation, and other monitoring components District Level 0.5 L x 14 District, State level 1 L  
</t>
    </r>
    <r>
      <rPr>
        <sz val="12"/>
        <color rgb="FF000000"/>
        <rFont val="&quot;Times New Roman&quot;, serif"/>
      </rPr>
      <t>SREE - 5.8L</t>
    </r>
    <r>
      <rPr>
        <sz val="12"/>
        <color rgb="FF000000"/>
        <rFont val="&quot;Times New Roman&quot;, serif"/>
      </rPr>
      <t xml:space="preserve"> 
a). Population-based vulnerability health assessment: For two districts (20000/district) Rs.40000/-
b). Documentation of Best practice of intervention on climate change and health: Two reports (20000 each) Rs.40000/-,
c) Baseline Carbon audit as a part of Race to Zero Campaign Rs 25000 training at each district, Rs 50000 training at state, 1L for analysis and documentation of carbon audit. 5 lakhs</t>
    </r>
  </si>
  <si>
    <r>
      <rPr>
        <sz val="12"/>
        <color rgb="FF000000"/>
        <rFont val="&quot;Times New Roman&quot;, serif"/>
      </rPr>
      <t xml:space="preserve">Infrastructure &amp; civil work 15 Lakhs
</t>
    </r>
    <r>
      <rPr>
        <sz val="12"/>
        <color rgb="FF000000"/>
        <rFont val="&quot;Times New Roman&quot;, serif"/>
      </rPr>
      <t xml:space="preserve">Retrofitting for Model Climate-Disaster Resilient healthcare facility Rs. 5 L x3 Institutions (Alappuzha,Wayanad, Kasargod) 
</t>
    </r>
    <r>
      <rPr>
        <sz val="12"/>
        <color rgb="FF000000"/>
        <rFont val="&quot;Times New Roman&quot;, serif"/>
      </rPr>
      <t xml:space="preserve">Equipments  : Rs. 2.52Lakhs Recommended equipments for establishing heat stroke clinics at DH/SDH/CHC hospitals (Rs. 42000/- each Institutions (Trivandrum/2Institutions, Kollam/ 2 Institution &amp; Alapuzha/ 2 Institutions)   
Training &amp; capacity building  : 8 Lakhs
</t>
    </r>
    <r>
      <rPr>
        <sz val="12"/>
        <color rgb="FF000000"/>
        <rFont val="&quot;Times New Roman&quot;, serif"/>
      </rPr>
      <t xml:space="preserve"> Rs. 0.50 L x 14 District and Rs. 1 L at State Level for two batches.  
</t>
    </r>
    <r>
      <rPr>
        <sz val="12"/>
        <color rgb="FF000000"/>
        <rFont val="&quot;Times New Roman&quot;, serif"/>
      </rPr>
      <t xml:space="preserve">OOC 262.60lakhs
</t>
    </r>
    <r>
      <rPr>
        <sz val="12"/>
        <color rgb="FF000000"/>
        <rFont val="&quot;Times New Roman&quot;, serif"/>
      </rPr>
      <t xml:space="preserve">a) Greening &amp; Climate Disaster Resilient HCF( Energy Auditing, LED replacement, Energy Efficient equipments, Rainwater Harvesting , Solarization etc) Rs. 40.60 Lakhs.5 institutions per district (3 PHC, 1CHC,1DH) @ Rs.2.90 lakhs per district.  
b)Solarisation Rs.222 lakhs for 14 institutions.
Details Note Attached. 
</t>
    </r>
    <r>
      <rPr>
        <sz val="12"/>
        <color rgb="FF000000"/>
        <rFont val="&quot;Times New Roman&quot;, serif"/>
      </rPr>
      <t xml:space="preserve">IEC &amp; Printiing Rs.12 L
</t>
    </r>
    <r>
      <rPr>
        <sz val="12"/>
        <color rgb="FF000000"/>
        <rFont val="&quot;Times New Roman&quot;, serif"/>
      </rPr>
      <t xml:space="preserve">Developing IEC materials related to climate-sensitive health issues, and observance of important days on environment and health 5 L at state level 1 and Rs.50000/- for districts
</t>
    </r>
    <r>
      <rPr>
        <sz val="12"/>
        <color rgb="FF000000"/>
        <rFont val="&quot;Times New Roman&quot;, serif"/>
      </rPr>
      <t xml:space="preserve">Planning &amp; M&amp; E 8 lakhs
</t>
    </r>
    <r>
      <rPr>
        <sz val="12"/>
        <color rgb="FF000000"/>
        <rFont val="&quot;Times New Roman&quot;, serif"/>
      </rPr>
      <t xml:space="preserve">Task force meetings, Sensitisation, and other monitoring components District Level 0.5 L x 14 District, State level 1 L  
</t>
    </r>
    <r>
      <rPr>
        <sz val="12"/>
        <color rgb="FF000000"/>
        <rFont val="&quot;Times New Roman&quot;, serif"/>
      </rPr>
      <t>SREE - 5.8L</t>
    </r>
    <r>
      <rPr>
        <sz val="12"/>
        <color rgb="FF000000"/>
        <rFont val="&quot;Times New Roman&quot;, serif"/>
      </rPr>
      <t xml:space="preserve"> 
a). Population-based vulnerability health assessment: For two districts (20000/district) Rs.40000/-
b). Documentation of Best practice of intervention on climate change and health: Two reports (20000 each) Rs.40000/-,
c) Baseline Carbon audit as a part of Race to Zero Campaign Rs 25000 training at each district, Rs 50000 training at state, 1L for analysis and documentation of carbon audit. 5 lakhs</t>
    </r>
  </si>
  <si>
    <t>1.  Infrastructure &amp; civil work - Retrofitting for Model Climate-Disaster Resilient healthcare facility Rs. 5 L x3 Districts (Idukki,Kozhikode &amp; Wayanad) 2. Training &amp; capacity building : Rs. 1 L x 14 District and Rs. 2 L at State Level. 3. OOC a) Greening &amp; Climate Disaster Resilient HCF( Energy Auditing, LED replacement, Rainwater Harvesting , Solarization unit cost) Rs. 406.40 Lakhs. Details Note Attached. 4. Developing IEC materials related to climate-sensitive health issues, and observance of important days on environment and health 10 L at state level 1 x 14 5. Planning &amp; M&amp; E Task force meetings, Sensitisation, and other monitoring components District Level 0.5 L x 14 District, State level 1 L 6. SREE - 5.8L a). Population-based vulnerability health assessment: For two districts (20000/district) b). Documentation of Best practice of intervention on climate change and health: Two reports ( 20000 each),c) Baseline Carbon audit as a part of Race to Zero Campaign Rs 25000 training at each district, Rs 50000 training at state, 1L for analysis and documentation of carbon audit.</t>
  </si>
  <si>
    <r>
      <rPr>
        <sz val="12"/>
        <color rgb="FF000000"/>
        <rFont val="&quot;Times New Roman&quot;, serif"/>
      </rPr>
      <t xml:space="preserve">1. Purchase of Dental Consumables as per the NEED of Institutions GH/DH/Selected Dental Units under Specialty Hospitals   Rs. 29 L Details attached. </t>
    </r>
    <r>
      <rPr>
        <sz val="12"/>
        <color rgb="FF000000"/>
        <rFont val="&quot;Times New Roman&quot;, serif"/>
      </rPr>
      <t xml:space="preserve">
</t>
    </r>
    <r>
      <rPr>
        <sz val="12"/>
        <color rgb="FF000000"/>
        <rFont val="&quot;Times New Roman&quot;, serif"/>
      </rPr>
      <t xml:space="preserve">2. IEC &amp; Printing Rs.101.75 Ls </t>
    </r>
    <r>
      <rPr>
        <sz val="12"/>
        <color rgb="FF000000"/>
        <rFont val="&quot;Times New Roman&quot;, serif"/>
      </rPr>
      <t xml:space="preserve">: POL for mobility support from the district HQ to camp site for vehicles. Expenses for camp organization, Honorarium for the participants, 200 Camps x 35000/- IEC/BCC Activities, Observance of WOHD in Districts (14 Districts) Rs. 2 L x 14 Districts and Rs. 3.75 L at State Level Observance of WOHD in State wise manner,
</t>
    </r>
    <r>
      <rPr>
        <sz val="12"/>
        <color rgb="FF000000"/>
        <rFont val="&quot;Times New Roman&quot;, serif"/>
      </rPr>
      <t xml:space="preserve">3. Planning &amp; M &amp; E : </t>
    </r>
    <r>
      <rPr>
        <sz val="12"/>
        <color rgb="FF000000"/>
        <rFont val="&quot;Times New Roman&quot;, serif"/>
      </rPr>
      <t xml:space="preserve"> Office and Stationery Expenses Mobility Support for Institutional Visits and inspections Rs. 0.75 L at State Level Programme Management Expenses</t>
    </r>
  </si>
  <si>
    <r>
      <rPr>
        <sz val="12"/>
        <color rgb="FF000000"/>
        <rFont val="&quot;Times New Roman&quot;, serif"/>
      </rPr>
      <t>1</t>
    </r>
    <r>
      <rPr>
        <b/>
        <sz val="12"/>
        <color rgb="FF000000"/>
        <rFont val="&quot;Times New Roman&quot;, serif"/>
      </rPr>
      <t xml:space="preserve">. Purchase of Dental Consumables as per the NEED of Institutions GH/DH/Selected Dental Units under Specialty Hospitals   Rs. 29 L Details attached. </t>
    </r>
    <r>
      <rPr>
        <sz val="12"/>
        <color rgb="FF000000"/>
        <rFont val="&quot;Times New Roman&quot;, serif"/>
      </rPr>
      <t xml:space="preserve">
</t>
    </r>
    <r>
      <rPr>
        <b/>
        <sz val="12"/>
        <color rgb="FF000000"/>
        <rFont val="&quot;Times New Roman&quot;, serif"/>
      </rPr>
      <t>2. IEC &amp; Printing Rs.101.75 Ls</t>
    </r>
    <r>
      <rPr>
        <sz val="12"/>
        <color rgb="FF000000"/>
        <rFont val="&quot;Times New Roman&quot;, serif"/>
      </rPr>
      <t xml:space="preserve"> : POL for mobility support from the district HQ to camp site for vehicles. Expenses for camp organization, Honorarium for the participants, 200 Camps x 35000/- IEC/BCC Activities, Observance of WOHD in Districts (14 Districts) Rs. 2.0 L x 14 Districts and Rs. 3.75 L at State Level Observance of WOHD in State wise manner,
</t>
    </r>
    <r>
      <rPr>
        <b/>
        <sz val="12"/>
        <color rgb="FF000000"/>
        <rFont val="&quot;Times New Roman&quot;, serif"/>
      </rPr>
      <t xml:space="preserve">3. Planning &amp; M &amp; E : </t>
    </r>
    <r>
      <rPr>
        <sz val="12"/>
        <color rgb="FF000000"/>
        <rFont val="&quot;Times New Roman&quot;, serif"/>
      </rPr>
      <t xml:space="preserve"> Office and Stationery Expenses Mobility Support for Institutional Visits and inspections Rs. 0.75 L at State Level Programme Management Expenses</t>
    </r>
  </si>
  <si>
    <r>
      <rPr>
        <b/>
        <sz val="12"/>
        <color rgb="FF000000"/>
        <rFont val="&quot;Times New Roman&quot;, serif"/>
      </rPr>
      <t xml:space="preserve">Diagnostics 107.60 lakhs
</t>
    </r>
    <r>
      <rPr>
        <b/>
        <sz val="12"/>
        <color rgb="FF000000"/>
        <rFont val="&quot;Times New Roman&quot;, serif"/>
      </rPr>
      <t>1. Purchase of Dental Consumables as per the NEED of  Institutions  (56 SDH x Rs 85000 = Rs. 47.60 L. &amp; 80  CHC/FHC x Rs 75000 = Rs. 60 L)</t>
    </r>
  </si>
  <si>
    <r>
      <rPr>
        <b/>
        <sz val="12"/>
        <color rgb="FF000000"/>
        <rFont val="&quot;Times New Roman&quot;, serif"/>
      </rPr>
      <t xml:space="preserve">Diagnostics 107.60 lakhs
</t>
    </r>
    <r>
      <rPr>
        <b/>
        <sz val="12"/>
        <color rgb="FF000000"/>
        <rFont val="&quot;Times New Roman&quot;, serif"/>
      </rPr>
      <t>1. Purchase of Dental Consumables as per the NEED of  Institutions  (56 SDH x Rs 85000 = Rs. 47.60 L. &amp; 80  CHC/FHC x Rs 75000 = Rs. 60 L)</t>
    </r>
  </si>
  <si>
    <r>
      <rPr>
        <b/>
        <sz val="12"/>
        <color rgb="FF000000"/>
        <rFont val="&quot;Times New Roman&quot;, serif"/>
      </rPr>
      <t xml:space="preserve">Equipments 14 lakhs
</t>
    </r>
    <r>
      <rPr>
        <sz val="12"/>
        <color rgb="FF000000"/>
        <rFont val="&quot;Times New Roman&quot;, serif"/>
      </rPr>
      <t xml:space="preserve">Physiotherapy Equipment Rs. 1 Lakh x 14 Districts  
</t>
    </r>
    <r>
      <rPr>
        <b/>
        <sz val="12"/>
        <color rgb="FF000000"/>
        <rFont val="&quot;Times New Roman&quot;, serif"/>
      </rPr>
      <t xml:space="preserve">Training and Capacity Building 28 lakhs
</t>
    </r>
    <r>
      <rPr>
        <sz val="12"/>
        <color rgb="FF000000"/>
        <rFont val="&quot;Times New Roman&quot;, serif"/>
      </rPr>
      <t xml:space="preserve">Rs.2 Lakh/each  
</t>
    </r>
    <r>
      <rPr>
        <b/>
        <sz val="12"/>
        <color rgb="FF000000"/>
        <rFont val="&quot;Times New Roman&quot;, serif"/>
      </rPr>
      <t xml:space="preserve">OOC 112 lakhs
</t>
    </r>
    <r>
      <rPr>
        <sz val="12"/>
        <color rgb="FF000000"/>
        <rFont val="&quot;Times New Roman&quot;, serif"/>
      </rPr>
      <t xml:space="preserve">Miscellaneous including Travel/ POL/ Stationary/ Communications/ Drugs etc. 8 L x 14 Districts
</t>
    </r>
    <r>
      <rPr>
        <b/>
        <sz val="12"/>
        <color rgb="FF000000"/>
        <rFont val="&quot;Times New Roman&quot;, serif"/>
      </rPr>
      <t xml:space="preserve"> </t>
    </r>
    <r>
      <rPr>
        <sz val="12"/>
        <color rgb="FF000000"/>
        <rFont val="&quot;Times New Roman&quot;, serif"/>
      </rPr>
      <t xml:space="preserve">
 </t>
    </r>
  </si>
  <si>
    <t xml:space="preserve">Equipments 14 lakhs
Physiotherapy Equipment Rs. 1 Lakh x 14 Districts  
Training and Capacity Building 28 lakhs
Rs.2 Lakh/each  
OOC 112 lakhs
Miscellaneous including Travel/ POL/ Stationary/ Communications/ Drugs etc. 8 L x 14 Districts
</t>
  </si>
  <si>
    <r>
      <rPr>
        <sz val="12"/>
        <color rgb="FF000000"/>
        <rFont val="&quot;Times New Roman&quot;, serif"/>
      </rPr>
      <t>1. Drugs &amp; Supplies -2 lakhs:</t>
    </r>
    <r>
      <rPr>
        <sz val="12"/>
        <color rgb="FF000000"/>
        <rFont val="&quot;Times New Roman&quot;, serif"/>
      </rPr>
      <t xml:space="preserve"> Rs.1 lakh each for purchase of medicine in two districts
2.</t>
    </r>
    <r>
      <rPr>
        <sz val="12"/>
        <color rgb="FF000000"/>
        <rFont val="&quot;Times New Roman&quot;, serif"/>
      </rPr>
      <t xml:space="preserve"> Diagnostics Rs.4 lakhs-</t>
    </r>
    <r>
      <rPr>
        <sz val="12"/>
        <color rgb="FF000000"/>
        <rFont val="&quot;Times New Roman&quot;, serif"/>
      </rPr>
      <t xml:space="preserve"> Ion Electrode, Laboratory Equipments  and Lab Reagents  Alapuzha and Palakkad Rs.2 Lakhs/each
</t>
    </r>
    <r>
      <rPr>
        <sz val="12"/>
        <color rgb="FF000000"/>
        <rFont val="&quot;Times New Roman&quot;, serif"/>
      </rPr>
      <t xml:space="preserve">3. IEC &amp; Printing -3 lakhs </t>
    </r>
    <r>
      <rPr>
        <sz val="12"/>
        <color rgb="FF000000"/>
        <rFont val="&quot;Times New Roman&quot;, serif"/>
      </rPr>
      <t xml:space="preserve"> Rs. 1.5 Lakhs x 2 Districts
</t>
    </r>
    <r>
      <rPr>
        <sz val="12"/>
        <color rgb="FF000000"/>
        <rFont val="&quot;Times New Roman&quot;, serif"/>
      </rPr>
      <t>4. Planning and M&amp;E-3.20 lakhs -</t>
    </r>
    <r>
      <rPr>
        <sz val="12"/>
        <color rgb="FF000000"/>
        <rFont val="&quot;Times New Roman&quot;, serif"/>
      </rPr>
      <t xml:space="preserve"> 1.6 L x 2 Dist. (Coordination meetingRs. 0.6 L &amp; Rs.1 L for travel cost</t>
    </r>
  </si>
  <si>
    <r>
      <rPr>
        <sz val="12"/>
        <color rgb="FF000000"/>
        <rFont val="&quot;Times New Roman&quot;, serif"/>
      </rPr>
      <t>1. Drugs &amp; Supplies -2 lakhs:</t>
    </r>
    <r>
      <rPr>
        <sz val="12"/>
        <color rgb="FF000000"/>
        <rFont val="&quot;Times New Roman&quot;, serif"/>
      </rPr>
      <t xml:space="preserve"> Rs.1 lakh each for purchase of medicine in two districts
2.</t>
    </r>
    <r>
      <rPr>
        <sz val="12"/>
        <color rgb="FF000000"/>
        <rFont val="&quot;Times New Roman&quot;, serif"/>
      </rPr>
      <t xml:space="preserve"> Diagnostics Rs.4 lakhs-</t>
    </r>
    <r>
      <rPr>
        <sz val="12"/>
        <color rgb="FF000000"/>
        <rFont val="&quot;Times New Roman&quot;, serif"/>
      </rPr>
      <t xml:space="preserve"> Ion Electrode, Laboratory Equipments  and Lab Reagents  Alapuzha and Palakkad Rs.2 Lakhs/each
</t>
    </r>
    <r>
      <rPr>
        <sz val="12"/>
        <color rgb="FF000000"/>
        <rFont val="&quot;Times New Roman&quot;, serif"/>
      </rPr>
      <t xml:space="preserve">3. IEC &amp; Printing -3 lakhs </t>
    </r>
    <r>
      <rPr>
        <sz val="12"/>
        <color rgb="FF000000"/>
        <rFont val="&quot;Times New Roman&quot;, serif"/>
      </rPr>
      <t xml:space="preserve"> Rs. 1.5 Lakhs x 2 Districts
</t>
    </r>
    <r>
      <rPr>
        <sz val="12"/>
        <color rgb="FF000000"/>
        <rFont val="&quot;Times New Roman&quot;, serif"/>
      </rPr>
      <t>4. Planning and M&amp;E-3.20 lakhs -</t>
    </r>
    <r>
      <rPr>
        <sz val="12"/>
        <color rgb="FF000000"/>
        <rFont val="&quot;Times New Roman&quot;, serif"/>
      </rPr>
      <t xml:space="preserve"> 1.6 L x 2 Dist. (Coordination meetingRs. 0.6 L &amp; Rs.1 L for travel cost</t>
    </r>
  </si>
  <si>
    <t>Equipments: Rs 41.50 L
  Approved under NPPCD for supplying audiology equipments
 1.To procure 10 tympanometers 
 @ 3.75 lakhs per unit- Total 37.50 lakhs
 2. 4 lakh for procuring 4 Puretone 
 Audiometer @ Rs.1 lakh per unit
 Capacity buliding: Rs 12.45 L
 1. Approved an amount of Rs 9.60 Lakhs for training 500 MOs 
 20 batches @ Rs 48000 per batch
 2. Refresher training to NPPCD staff for Rs 2.85 L</t>
  </si>
  <si>
    <t>Capacity buliding: Rs 17.71 L 
 1. Approved Rs 10.41 L to conduct Level 5 Training for CDPO, Anganwadi Supervisors, PHN &amp; MPW Supervisors at an amount of Rs 29750/ batch Total no of batches : 35 
 2. Approved Rs 7.30 Lakhs for training Anganwadi workers (Level 6) for 20 Batches @ Rs 36500/batch.</t>
  </si>
  <si>
    <t>Approved Rs 15 Lakhs for state level activities and Rs 21 Lakhs for district level activities @ Rs 1.5 Lakhs per district for the Telecast of awareness videos and audio messages through television, FM channels, Theatre Campaign, printing of Hoardings etc. Observance of world hearing day and deafness day. Special awareness programmes at tribal and coastal areas.</t>
  </si>
  <si>
    <t>1. Infrastructure : 60 Lakhs SDH Chalakkudy Burns Unit Balance 50% proposed for the current year. 
 2. Equipment Rs.10.38 L Eranakulam Burns Unit Details attached 
 3. Training Rs. 15 lakhs (1 Lakhs/each State and District.)
 4.IEC/Printing activities Rs. 50000 Lakh/each per district and 1 lak per state
 5. Planning &amp; M&amp;E : Rs. 1 Lakh</t>
  </si>
  <si>
    <t>1. .Training Rs. 15 Lakhs@ Rs 1 L per district and 1 L for State .
 2.IEC/Printing activities under Burns and Injuries Rs. 50000/each District and Rs.1 lakh for state 
 3. Planning &amp; M&amp;E State Level Rs. 1 Lakh</t>
  </si>
  <si>
    <t>1. Capacity building incl. training Rs.1 L x 14 Districts and 1 L for State.
 2. IEC &amp; Printing Rs. 50000 x 14 Districts and 1 lakh for State 
 3. M&amp; E - State @ 1 lakh per year.</t>
  </si>
  <si>
    <r>
      <rPr>
        <b/>
        <sz val="12"/>
        <color theme="1"/>
        <rFont val="Calibri"/>
        <family val="2"/>
      </rPr>
      <t xml:space="preserve">National Programme for Palliative Care (NPPC)
</t>
    </r>
    <r>
      <rPr>
        <sz val="12"/>
        <color theme="1"/>
        <rFont val="Calibri"/>
        <family val="2"/>
      </rPr>
      <t xml:space="preserve">Surveillance, Research, Review, Evaluation (SRRE): Rs 15 L(2024-25)
Based on Post NPCC recommendation, Rs 15 Lakhs is shidted from Palnning M&amp; E to Surveillance, Research, Review, Evaluation (SRRE):
Quality assurance 
Kerala state is having 1084 primary palliative care units and 213secondary palliative care units, and 16 tertiary care palliative care units. Kerala State has prepared an action plan for implanting the revised palliative care policy. One of the main thrust of the action plan is to improve the quality of the services offered at different level. Quality indicators to be checked at various level for improving the quality is also prepared as part of the action plan. This programme is to be rolled out through out of the state in 2024-25.For this resource persons need to be form and trained at state level and district level. Training needed to be given to the staff of all palliative care units. Self assessment, peer assessment, districts and state level assessment is to be conducted. So proposing the amount need for palliative care quality improvement programme as part of ROP 
1.        Amount for state level workshop- Rs. 1 L
2.        Amount for district level workshop- Rs.50,000 x 14 district = 7 L 
3.        Amount for District level and State Level Assessment – Rs. 5 L
4.        Printing and other expense- Rs. 2 L
</t>
    </r>
  </si>
  <si>
    <r>
      <rPr>
        <b/>
        <sz val="12"/>
        <color rgb="FF000000"/>
        <rFont val="Times New Roman"/>
        <family val="1"/>
      </rPr>
      <t>National Programme for Palliative Care (NPPC)</t>
    </r>
    <r>
      <rPr>
        <sz val="12"/>
        <color rgb="FF000000"/>
        <rFont val="Times New Roman"/>
        <family val="1"/>
      </rPr>
      <t xml:space="preserve">
Surveillance, Research, Review, Evaluation (SRRE): Rs 6.2 L (2025-26)
Evaluation of Kerala State Palliative care programme in secondary and in specialty healthcare settings - Mixed method approach.  Rs. 6.2 Lakhs</t>
    </r>
  </si>
  <si>
    <r>
      <rPr>
        <sz val="12"/>
        <color theme="1"/>
        <rFont val="Times New Roman"/>
        <family val="1"/>
      </rPr>
      <t xml:space="preserve">
</t>
    </r>
    <r>
      <rPr>
        <b/>
        <sz val="12"/>
        <color theme="1"/>
        <rFont val="Times New Roman"/>
        <family val="1"/>
      </rPr>
      <t>Capacity building  Rs.20 lakhs</t>
    </r>
    <r>
      <rPr>
        <sz val="12"/>
        <color theme="1"/>
        <rFont val="Times New Roman"/>
        <family val="1"/>
      </rPr>
      <t xml:space="preserve">
Training of Staff for Ayushman Bharat Health &amp; Wellness Center (H&amp;WC):   20L (20L - 4 Batches for  384 staff @ 5L each)
4 Batches for  384 staff @ 5L /Batch ( Two days duration )
186 Medical Officers, 180 Staff Nurses,18 NUHM Co ordinators
Training  on comprehensive primary health care, the 12 
Packages ( Maternity, Newborn, Child Health, Adolescent, NCD,CD, Oral Health, ENT, Palliative care , Teleconsultation, Dental Care Ophhtalmology)
</t>
    </r>
    <r>
      <rPr>
        <b/>
        <sz val="12"/>
        <color theme="1"/>
        <rFont val="Times New Roman"/>
        <family val="1"/>
      </rPr>
      <t>IEC &amp; Printing- Rs.86.70 lakhs</t>
    </r>
    <r>
      <rPr>
        <sz val="12"/>
        <color theme="1"/>
        <rFont val="Times New Roman"/>
        <family val="1"/>
      </rPr>
      <t xml:space="preserve">
IEC- 75000/UPHC  &amp; Printing : 76.50 lakhs   
Printing of 200 MAS handbook @ 50 /UPHC-Rs.10.20 lakhs</t>
    </r>
  </si>
  <si>
    <r>
      <rPr>
        <sz val="12"/>
        <color theme="1"/>
        <rFont val="Times New Roman"/>
        <family val="1"/>
      </rPr>
      <t xml:space="preserve">
</t>
    </r>
    <r>
      <rPr>
        <b/>
        <sz val="12"/>
        <color theme="1"/>
        <rFont val="Times New Roman"/>
        <family val="1"/>
      </rPr>
      <t>Capacity building  Rs.20 lakhs</t>
    </r>
    <r>
      <rPr>
        <sz val="12"/>
        <color theme="1"/>
        <rFont val="Times New Roman"/>
        <family val="1"/>
      </rPr>
      <t xml:space="preserve">
Training of Staff for Ayushman Bharat Health &amp; Wellness Center (H&amp;WC):   20L (20L - 4 Batches for  384 staff @ 5L each)
4 Batches for  384 staff @ 5L /Batch ( Two days duration )
186 Medical Officers, 180 Staff Nurses,18 NUHM Co ordinators
Training  on comprehensive primary health care, the 12 
Packages ( Maternity, Newborn, Child Health, Adolescent, NCD,CD, Oral Health, ENT, Palliative care , Teleconsultation, Dental Care Ophhtalmology)
</t>
    </r>
    <r>
      <rPr>
        <b/>
        <sz val="12"/>
        <color theme="1"/>
        <rFont val="Times New Roman"/>
        <family val="1"/>
      </rPr>
      <t>OOC- Rs.12.24 lakhs</t>
    </r>
    <r>
      <rPr>
        <sz val="12"/>
        <color theme="1"/>
        <rFont val="Times New Roman"/>
        <family val="1"/>
      </rPr>
      <t xml:space="preserve">
Community based service delivery by AB-H&amp;WCs:  @ 1000/month /UPHC (102*12*1000)
</t>
    </r>
    <r>
      <rPr>
        <b/>
        <sz val="12"/>
        <color theme="1"/>
        <rFont val="Times New Roman"/>
        <family val="1"/>
      </rPr>
      <t>IEC &amp; Printing</t>
    </r>
    <r>
      <rPr>
        <sz val="12"/>
        <color theme="1"/>
        <rFont val="Times New Roman"/>
        <family val="1"/>
      </rPr>
      <t>- Rs.86.70 lakhs
IEC- 75000/UPHC  &amp; Printing : 76.50 lakhs   
Printing of 200 MAS handbook @ 50 /UPHC-Rs.10.20 lakhs</t>
    </r>
  </si>
  <si>
    <t xml:space="preserve">Training for MAS @ 1000 for 1423 existing MAS </t>
  </si>
  <si>
    <t>Training for MAS @ 1000 for 1423 existing MAS and 87 new MAS -1510 MAS</t>
  </si>
  <si>
    <t>UHNDs /month/465ANM @ Rs. 250.00(13.95L)   
Mobility support for 465ANM@ Rs. 500/- (27.90)</t>
  </si>
  <si>
    <r>
      <rPr>
        <b/>
        <sz val="12"/>
        <color rgb="FF000000"/>
        <rFont val="Times New Roman"/>
        <family val="1"/>
      </rPr>
      <t>Training @ 2.6 L</t>
    </r>
    <r>
      <rPr>
        <sz val="12"/>
        <color rgb="FF000000"/>
        <rFont val="Times New Roman"/>
        <family val="1"/>
      </rPr>
      <t xml:space="preserve">
</t>
    </r>
    <r>
      <rPr>
        <b/>
        <sz val="12"/>
        <color rgb="FF000000"/>
        <rFont val="Times New Roman"/>
        <family val="1"/>
      </rPr>
      <t>OOC-102 lakhs</t>
    </r>
    <r>
      <rPr>
        <sz val="12"/>
        <color rgb="FF000000"/>
        <rFont val="Times New Roman"/>
        <family val="1"/>
      </rPr>
      <t xml:space="preserve">
Quality Assurance Assessments (State &amp; National):@ 1 L per UPHC
</t>
    </r>
    <r>
      <rPr>
        <b/>
        <sz val="12"/>
        <color rgb="FF000000"/>
        <rFont val="Times New Roman"/>
        <family val="1"/>
      </rPr>
      <t>Planning and M&amp;E</t>
    </r>
    <r>
      <rPr>
        <sz val="12"/>
        <color rgb="FF000000"/>
        <rFont val="Times New Roman"/>
        <family val="1"/>
      </rPr>
      <t xml:space="preserve"> -4.80 lakhs -4 regional meetings @ 1.2 L</t>
    </r>
  </si>
  <si>
    <r>
      <rPr>
        <b/>
        <sz val="12"/>
        <color rgb="FF000000"/>
        <rFont val="Times New Roman"/>
        <family val="1"/>
      </rPr>
      <t>Training @ 2.6 L</t>
    </r>
    <r>
      <rPr>
        <sz val="12"/>
        <color rgb="FF000000"/>
        <rFont val="Times New Roman"/>
        <family val="1"/>
      </rPr>
      <t xml:space="preserve">
</t>
    </r>
    <r>
      <rPr>
        <b/>
        <sz val="12"/>
        <color rgb="FF000000"/>
        <rFont val="Times New Roman"/>
        <family val="1"/>
      </rPr>
      <t>OOC-102</t>
    </r>
    <r>
      <rPr>
        <sz val="12"/>
        <color rgb="FF000000"/>
        <rFont val="Times New Roman"/>
        <family val="1"/>
      </rPr>
      <t xml:space="preserve"> lakhsQuality Assurance Assessments (State &amp; National):@ 1 L per UPHC
</t>
    </r>
    <r>
      <rPr>
        <b/>
        <sz val="12"/>
        <color rgb="FF000000"/>
        <rFont val="Times New Roman"/>
        <family val="1"/>
      </rPr>
      <t xml:space="preserve">Planning and M&amp;E </t>
    </r>
    <r>
      <rPr>
        <sz val="12"/>
        <color rgb="FF000000"/>
        <rFont val="Times New Roman"/>
        <family val="1"/>
      </rPr>
      <t xml:space="preserve">-4.80 lakhs -4 regional meetings @ 1.2 L
</t>
    </r>
  </si>
  <si>
    <r>
      <rPr>
        <sz val="12"/>
        <color rgb="FF1F1F1F"/>
        <rFont val="Times New Roman"/>
        <family val="1"/>
      </rPr>
      <t xml:space="preserve"> </t>
    </r>
    <r>
      <rPr>
        <b/>
        <sz val="12"/>
        <color rgb="FF1F1F1F"/>
        <rFont val="Times New Roman"/>
        <family val="1"/>
      </rPr>
      <t xml:space="preserve">OOC-Rs.128.44 lakhs
</t>
    </r>
    <r>
      <rPr>
        <sz val="12"/>
        <color rgb="FF1F1F1F"/>
        <rFont val="Times New Roman"/>
        <family val="1"/>
      </rPr>
      <t xml:space="preserve">Kayakalp Assessments  Rs 500 for 102 UPHC for internal assessment Rs 5000 for peer assessment and  Rs  8000 for   external assessment. Gap filling for  Kayakalp Assessments @ Rs.1 lakh per UPHC 102L,  Rs.10000 for EQAS /UPHC
</t>
    </r>
    <r>
      <rPr>
        <b/>
        <sz val="12"/>
        <color rgb="FF1F1F1F"/>
        <rFont val="Times New Roman"/>
        <family val="1"/>
      </rPr>
      <t xml:space="preserve">Planning and M&amp;E -23.50 lakhs
</t>
    </r>
    <r>
      <rPr>
        <sz val="12"/>
        <color rgb="FF1F1F1F"/>
        <rFont val="Times New Roman"/>
        <family val="1"/>
      </rPr>
      <t xml:space="preserve">Kayakalp Awards 23.5L , (2 lakh for Winner each in 3 clusters,  1st and 2nd runner up each in 3 clusters @  Rs. 1.5 L and 1 Lakh. 10 lakhs for Commendation price for 20 UPHCs @ .5 Lakhs ) </t>
    </r>
  </si>
  <si>
    <r>
      <rPr>
        <sz val="12"/>
        <color rgb="FF1F1F1F"/>
        <rFont val="Times New Roman"/>
        <family val="1"/>
      </rPr>
      <t xml:space="preserve"> </t>
    </r>
    <r>
      <rPr>
        <b/>
        <sz val="12"/>
        <color rgb="FF1F1F1F"/>
        <rFont val="Times New Roman"/>
        <family val="1"/>
      </rPr>
      <t xml:space="preserve">OOC-Rs.128.44 lakhs
</t>
    </r>
    <r>
      <rPr>
        <sz val="12"/>
        <color rgb="FF1F1F1F"/>
        <rFont val="Times New Roman"/>
        <family val="1"/>
      </rPr>
      <t xml:space="preserve">Kayakalp Assessments  Rs 500 for 102 UPHC for internal assessment Rs 5000 for peer assessment and  Rs  8000 for   external assessment. Gap filling for Kayakalp Assessments @ Rs.1 lakh per UPHC 102L,  Rs.10000 for EQAS /UPHC
</t>
    </r>
    <r>
      <rPr>
        <b/>
        <sz val="12"/>
        <color rgb="FF1F1F1F"/>
        <rFont val="Times New Roman"/>
        <family val="1"/>
      </rPr>
      <t xml:space="preserve">Planning and M&amp;E -23.50 lakhs
</t>
    </r>
    <r>
      <rPr>
        <sz val="12"/>
        <color rgb="FF1F1F1F"/>
        <rFont val="Times New Roman"/>
        <family val="1"/>
      </rPr>
      <t xml:space="preserve">Kayakalp Awards 23.5L , (2 lakh for Winner each in 3 clusters,  1st and 2nd runner up each in 3 clusters @  Rs. 1.5 L and 1 Lakh. 10 lakhs for Commendation price for 20 UPHCs @ .5 Lakhs ) </t>
    </r>
  </si>
  <si>
    <t>Salary of all SD  and PM Staff with 8% increment</t>
  </si>
  <si>
    <r>
      <rPr>
        <sz val="12"/>
        <color rgb="FF000000"/>
        <rFont val="Times New Roman"/>
        <family val="1"/>
      </rPr>
      <t>Planning &amp; M&amp;E  Mobility support for  for DPMU  @ Rs. 40000/- per month for 14  districts   =</t>
    </r>
    <r>
      <rPr>
        <b/>
        <sz val="12"/>
        <color rgb="FF000000"/>
        <rFont val="Times New Roman"/>
        <family val="1"/>
      </rPr>
      <t xml:space="preserve"> 67.2 L</t>
    </r>
    <r>
      <rPr>
        <sz val="12"/>
        <color rgb="FF000000"/>
        <rFont val="Times New Roman"/>
        <family val="1"/>
      </rPr>
      <t xml:space="preserve">
Administrative expenses (including Review meetings, workshops,  etc.)Rs. 10000/- per month for 14 district Units</t>
    </r>
    <r>
      <rPr>
        <b/>
        <sz val="12"/>
        <color rgb="FF000000"/>
        <rFont val="Times New Roman"/>
        <family val="1"/>
      </rPr>
      <t xml:space="preserve"> 16.8L</t>
    </r>
    <r>
      <rPr>
        <sz val="12"/>
        <color rgb="FF000000"/>
        <rFont val="Times New Roman"/>
        <family val="1"/>
      </rPr>
      <t xml:space="preserve">
State: Mobility 50000/month  and 10000/month Admn Cost-</t>
    </r>
    <r>
      <rPr>
        <b/>
        <sz val="12"/>
        <color rgb="FF000000"/>
        <rFont val="Times New Roman"/>
        <family val="1"/>
      </rPr>
      <t xml:space="preserve"> Rs.7.20 lkhs</t>
    </r>
  </si>
  <si>
    <r>
      <rPr>
        <sz val="12"/>
        <color rgb="FF000000"/>
        <rFont val="Times New Roman"/>
        <family val="1"/>
      </rPr>
      <t xml:space="preserve">Planning &amp; M&amp;E  Mobility support for  for DPMU  @ Rs. 40000/- per month for 14  districts   </t>
    </r>
    <r>
      <rPr>
        <b/>
        <sz val="12"/>
        <color rgb="FF000000"/>
        <rFont val="Times New Roman"/>
        <family val="1"/>
      </rPr>
      <t>= 67.2 L</t>
    </r>
    <r>
      <rPr>
        <sz val="12"/>
        <color rgb="FF000000"/>
        <rFont val="Times New Roman"/>
        <family val="1"/>
      </rPr>
      <t xml:space="preserve">
Administrative expenses (including Review meetings, workshops,  etc.)Rs. 10000/- per month for 14 district Units</t>
    </r>
    <r>
      <rPr>
        <b/>
        <sz val="12"/>
        <color rgb="FF000000"/>
        <rFont val="Times New Roman"/>
        <family val="1"/>
      </rPr>
      <t xml:space="preserve"> 16.8L</t>
    </r>
    <r>
      <rPr>
        <sz val="12"/>
        <color rgb="FF000000"/>
        <rFont val="Times New Roman"/>
        <family val="1"/>
      </rPr>
      <t xml:space="preserve">
State: Mobility 55000/month  and 10000/month Admn Cost-</t>
    </r>
    <r>
      <rPr>
        <b/>
        <sz val="12"/>
        <color rgb="FF000000"/>
        <rFont val="Times New Roman"/>
        <family val="1"/>
      </rPr>
      <t>7.80 lkhs</t>
    </r>
  </si>
  <si>
    <t>1.75 L Lakhs for 92 own building   10 Rented Building   @ 1 L    Untied grants to 2UCHCs  @ 2.5 L Untied grants to MAS  @Rs.5000/- per 1423 MAS</t>
  </si>
  <si>
    <r>
      <rPr>
        <sz val="12"/>
        <color theme="1"/>
        <rFont val="Times New Roman"/>
        <family val="1"/>
      </rPr>
      <t xml:space="preserve">1.75 L Lakhs for 92 own building   10 Rented Building   @ 1 L    Untied grants to 2UCHCs </t>
    </r>
    <r>
      <rPr>
        <sz val="12"/>
        <color theme="1"/>
        <rFont val="Times New Roman"/>
        <family val="1"/>
      </rPr>
      <t xml:space="preserve"> @ 2.5 L </t>
    </r>
    <r>
      <rPr>
        <sz val="12"/>
        <color theme="1"/>
        <rFont val="Times New Roman"/>
        <family val="1"/>
      </rPr>
      <t xml:space="preserve">Untied grants to MAS  </t>
    </r>
    <r>
      <rPr>
        <sz val="12"/>
        <color theme="1"/>
        <rFont val="Times New Roman"/>
        <family val="1"/>
      </rPr>
      <t>@</t>
    </r>
    <r>
      <rPr>
        <sz val="12"/>
        <color theme="1"/>
        <rFont val="Times New Roman"/>
        <family val="1"/>
      </rPr>
      <t>Rs.5000/- per 1510 MAS</t>
    </r>
  </si>
  <si>
    <r>
      <rPr>
        <b/>
        <sz val="12"/>
        <color theme="1"/>
        <rFont val="Times New Roman"/>
        <family val="1"/>
      </rPr>
      <t xml:space="preserve">2024-25:   </t>
    </r>
    <r>
      <rPr>
        <sz val="12"/>
        <color theme="1"/>
        <rFont val="Times New Roman"/>
        <family val="1"/>
      </rPr>
      <t xml:space="preserve"> 
</t>
    </r>
    <r>
      <rPr>
        <b/>
        <sz val="12"/>
        <color theme="1"/>
        <rFont val="Times New Roman"/>
        <family val="1"/>
      </rPr>
      <t>Capacity building including Training:179.60 Lakhs</t>
    </r>
    <r>
      <rPr>
        <sz val="12"/>
        <color theme="1"/>
        <rFont val="Times New Roman"/>
        <family val="1"/>
      </rPr>
      <t xml:space="preserve"> 
Refresher Training on clinical services/Review meeting- 54 batches of 100 MLSP (5415 MLSP)/Quarter@0.55L/batch : 118.8L +  Subcentre Team Building Training for expanded package of services in 152 revenue Blocks in Kerala- 152 Batches of Subcentre team@0.4L/batch:60.80 lkhs                                                                                                                                                                                      </t>
    </r>
    <r>
      <rPr>
        <b/>
        <sz val="12"/>
        <color theme="1"/>
        <rFont val="Times New Roman"/>
        <family val="1"/>
      </rPr>
      <t>ASHA incentive</t>
    </r>
    <r>
      <rPr>
        <sz val="12"/>
        <color theme="1"/>
        <rFont val="Times New Roman"/>
        <family val="1"/>
      </rPr>
      <t xml:space="preserve"> @Rs.1000/month for 26177 ASHA = </t>
    </r>
    <r>
      <rPr>
        <b/>
        <sz val="12"/>
        <color theme="1"/>
        <rFont val="Times New Roman"/>
        <family val="1"/>
      </rPr>
      <t xml:space="preserve"> 3141.24 Lakhs</t>
    </r>
    <r>
      <rPr>
        <sz val="12"/>
        <color theme="1"/>
        <rFont val="Times New Roman"/>
        <family val="1"/>
      </rPr>
      <t xml:space="preserve">                                                                                                                                              
                                                                                                                                                                            </t>
    </r>
  </si>
  <si>
    <r>
      <rPr>
        <sz val="12"/>
        <color rgb="FF000000"/>
        <rFont val="Times New Roman"/>
        <family val="1"/>
      </rPr>
      <t>2025-26:  Capacity building including Training</t>
    </r>
    <r>
      <rPr>
        <b/>
        <sz val="12"/>
        <color rgb="FF000000"/>
        <rFont val="Times New Roman"/>
        <family val="1"/>
      </rPr>
      <t xml:space="preserve">: 179.6 Lakhs </t>
    </r>
    <r>
      <rPr>
        <sz val="12"/>
        <color rgb="FF000000"/>
        <rFont val="Times New Roman"/>
        <family val="1"/>
      </rPr>
      <t xml:space="preserve"> Refresher Training/Review meeting- 54 batches of 100 MLSP (5415 MLSP)/Quarter@.55L/batch : 118.8L + Refresher Subcentre Team Building Training:(152 revenue Block) 152 Batches of Subcentre Team@0.4L/batch:60.80 L 
A</t>
    </r>
    <r>
      <rPr>
        <b/>
        <sz val="12"/>
        <color rgb="FF000000"/>
        <rFont val="Times New Roman"/>
        <family val="1"/>
      </rPr>
      <t>SHA incentive</t>
    </r>
    <r>
      <rPr>
        <sz val="12"/>
        <color rgb="FF000000"/>
        <rFont val="Times New Roman"/>
        <family val="1"/>
      </rPr>
      <t xml:space="preserve"> @Rs.1000/month for 26177 ASHA =  3141.24 Lakhs   </t>
    </r>
  </si>
  <si>
    <r>
      <rPr>
        <b/>
        <sz val="12"/>
        <color theme="1"/>
        <rFont val="Times New Roman"/>
        <family val="1"/>
      </rPr>
      <t xml:space="preserve">Capacity Building incl Training : Rs.187.98 lakhs
</t>
    </r>
    <r>
      <rPr>
        <sz val="12"/>
        <color theme="1"/>
        <rFont val="Times New Roman"/>
        <family val="1"/>
      </rPr>
      <t xml:space="preserve">Wellness Session in 5415 SHC-HWC and 851 PHC-HWC @ Rs.250/- per month : Rs.187.98 lakhs
</t>
    </r>
    <r>
      <rPr>
        <b/>
        <sz val="12"/>
        <color theme="1"/>
        <rFont val="Times New Roman"/>
        <family val="1"/>
      </rPr>
      <t xml:space="preserve">
Planning &amp; M &amp; E:28.65 Lakhs</t>
    </r>
    <r>
      <rPr>
        <sz val="12"/>
        <color theme="1"/>
        <rFont val="Times New Roman"/>
        <family val="1"/>
      </rPr>
      <t xml:space="preserve"> 
Review meeting and Refresher Training on Wellness activities for Medical Officers and other staff of PHCs and UPHCs - 14 batches at 1 batch per district@0.6L/batch: 8.4 L  +     Review meeting and Refresher Training to MLSPs from 5415 SC-HWCs on Wellness activities - 27 batches of 200 MLSPs annually @0.75L/batch: 20.25 L
</t>
    </r>
  </si>
  <si>
    <r>
      <rPr>
        <b/>
        <sz val="12"/>
        <color theme="1"/>
        <rFont val="Times New Roman"/>
        <family val="1"/>
      </rPr>
      <t xml:space="preserve">Capacity Building incl Training : Rs.187.98 lakhs
</t>
    </r>
    <r>
      <rPr>
        <sz val="12"/>
        <color theme="1"/>
        <rFont val="Times New Roman"/>
        <family val="1"/>
      </rPr>
      <t>Wellness Session in 5415 SHC-HWC and 851 PHC-HWC @ Rs.250/- per month : Rs.187.98 lakhs</t>
    </r>
    <r>
      <rPr>
        <b/>
        <sz val="12"/>
        <color theme="1"/>
        <rFont val="Times New Roman"/>
        <family val="1"/>
      </rPr>
      <t xml:space="preserve">
Planning &amp; M &amp; E:28.65 Lakhs</t>
    </r>
    <r>
      <rPr>
        <sz val="12"/>
        <color theme="1"/>
        <rFont val="Times New Roman"/>
        <family val="1"/>
      </rPr>
      <t xml:space="preserve"> 
Review meeting and Refresher Training on Wellness activities for Medical Officers and other staff of PHCs and UPHCs - 14 batches at 1 batch per district@0.6L/batch: 8.4 L  +                                                                                                                                                                             Review meeting and Refresher Training to MLSPs from 5415 SC-HWCs on Wellness activities - 27 batches of 200 MLSPs annually @0.75L/batch: 20.25 L</t>
    </r>
  </si>
  <si>
    <r>
      <rPr>
        <sz val="12"/>
        <color rgb="FF000000"/>
        <rFont val="Times New Roman"/>
        <family val="1"/>
      </rPr>
      <t xml:space="preserve">Rs.100/MLSP*12 months*(1000 MLSPs) = </t>
    </r>
    <r>
      <rPr>
        <b/>
        <sz val="12"/>
        <color rgb="FF000000"/>
        <rFont val="Times New Roman"/>
        <family val="1"/>
      </rPr>
      <t>12 Lakhs</t>
    </r>
  </si>
  <si>
    <r>
      <rPr>
        <sz val="12"/>
        <color rgb="FF000000"/>
        <rFont val="Times New Roman"/>
        <family val="1"/>
      </rPr>
      <t xml:space="preserve">Rs.100/MLSP*12 months*(1000 MLSPs) = </t>
    </r>
    <r>
      <rPr>
        <b/>
        <sz val="12"/>
        <color rgb="FF000000"/>
        <rFont val="Times New Roman"/>
        <family val="1"/>
      </rPr>
      <t>12 Lakhs</t>
    </r>
  </si>
  <si>
    <r>
      <rPr>
        <b/>
        <sz val="12"/>
        <color rgb="FF000000"/>
        <rFont val="Times New Roman"/>
        <family val="1"/>
      </rPr>
      <t>Drugs - Rs.597 L</t>
    </r>
    <r>
      <rPr>
        <sz val="12"/>
        <color rgb="FF000000"/>
        <rFont val="Times New Roman"/>
        <family val="1"/>
      </rPr>
      <t xml:space="preserve"> - Drugs for Hemoglobinopathies 
Printing - 2 L - Printing customised book for one patient identified - proposed for 4000 books @ Rs.50/-.
</t>
    </r>
    <r>
      <rPr>
        <b/>
        <sz val="12"/>
        <color rgb="FF000000"/>
        <rFont val="Times New Roman"/>
        <family val="1"/>
      </rPr>
      <t xml:space="preserve">Diagnostics - 6.20 L </t>
    </r>
    <r>
      <rPr>
        <sz val="12"/>
        <color rgb="FF000000"/>
        <rFont val="Times New Roman"/>
        <family val="1"/>
      </rPr>
      <t xml:space="preserve">- To do case to case basis Genetic Counseling, Genetic testing, Carrier testing and prenatal diagnosis for female family members of heamophilics who possess high probability of being a carrier on pedigree analysis
</t>
    </r>
    <r>
      <rPr>
        <b/>
        <sz val="12"/>
        <color rgb="FF000000"/>
        <rFont val="Times New Roman"/>
        <family val="1"/>
      </rPr>
      <t>Planning &amp; M &amp; E -  5 lakh</t>
    </r>
    <r>
      <rPr>
        <sz val="12"/>
        <color rgb="FF000000"/>
        <rFont val="Times New Roman"/>
        <family val="1"/>
      </rPr>
      <t xml:space="preserve"> for state level monitoring activities</t>
    </r>
  </si>
  <si>
    <r>
      <rPr>
        <b/>
        <sz val="12"/>
        <color rgb="FF000000"/>
        <rFont val="Times New Roman"/>
        <family val="1"/>
      </rPr>
      <t>Drugs - Rs.597 L</t>
    </r>
    <r>
      <rPr>
        <sz val="12"/>
        <color rgb="FF000000"/>
        <rFont val="Times New Roman"/>
        <family val="1"/>
      </rPr>
      <t xml:space="preserve"> - Drugs for Hemoglobinopathies 
Printing - 2 L - Printing customised book for one patient identified - proposed for 4000 books @ Rs.50/-.
</t>
    </r>
    <r>
      <rPr>
        <b/>
        <sz val="12"/>
        <color rgb="FF000000"/>
        <rFont val="Times New Roman"/>
        <family val="1"/>
      </rPr>
      <t xml:space="preserve">Diagnostics - 6.20 L </t>
    </r>
    <r>
      <rPr>
        <sz val="12"/>
        <color rgb="FF000000"/>
        <rFont val="Times New Roman"/>
        <family val="1"/>
      </rPr>
      <t xml:space="preserve">- To do case to case basis Genetic Counseling, Genetic testing, Carrier testing and prenatal diagnosis for female family members of heamophilics who possess high probability of being a carrier on pedigree analysis
</t>
    </r>
    <r>
      <rPr>
        <b/>
        <sz val="12"/>
        <color rgb="FF000000"/>
        <rFont val="Times New Roman"/>
        <family val="1"/>
      </rPr>
      <t>Planning &amp; M &amp; E -  5 lakh</t>
    </r>
    <r>
      <rPr>
        <sz val="12"/>
        <color rgb="FF000000"/>
        <rFont val="Times New Roman"/>
        <family val="1"/>
      </rPr>
      <t xml:space="preserve"> for state level monitoring activities</t>
    </r>
  </si>
  <si>
    <r>
      <rPr>
        <b/>
        <sz val="12"/>
        <color rgb="FF000000"/>
        <rFont val="Times New Roman"/>
        <family val="1"/>
      </rPr>
      <t>Drugs and supplies - Rs. 60 lakh</t>
    </r>
    <r>
      <rPr>
        <sz val="12"/>
        <color rgb="FF000000"/>
        <rFont val="Times New Roman"/>
        <family val="1"/>
      </rPr>
      <t xml:space="preserve"> for nutrition kit. 
</t>
    </r>
    <r>
      <rPr>
        <b/>
        <sz val="12"/>
        <color rgb="FF000000"/>
        <rFont val="Times New Roman"/>
        <family val="1"/>
      </rPr>
      <t>Diagnostics - Rs. 2 cr</t>
    </r>
    <r>
      <rPr>
        <sz val="12"/>
        <color rgb="FF000000"/>
        <rFont val="Times New Roman"/>
        <family val="1"/>
      </rPr>
      <t xml:space="preserve"> for testing Kit. 
</t>
    </r>
    <r>
      <rPr>
        <b/>
        <sz val="12"/>
        <color rgb="FF000000"/>
        <rFont val="Times New Roman"/>
        <family val="1"/>
      </rPr>
      <t>Capacity building incl. training - Rs. 1.66 lakh   1</t>
    </r>
    <r>
      <rPr>
        <sz val="12"/>
        <color rgb="FF000000"/>
        <rFont val="Times New Roman"/>
        <family val="1"/>
      </rPr>
      <t xml:space="preserve">) Rs. 14250/- for district level sentization training ( Inter-departmental) for BDO, BMO, WCD, Tribal, education for one batch for maximum 30 participants, 2) Rs. 152250/- for Block level training for maximum 50 participants for 7 batch training.
</t>
    </r>
    <r>
      <rPr>
        <b/>
        <sz val="12"/>
        <color rgb="FF000000"/>
        <rFont val="Times New Roman"/>
        <family val="1"/>
      </rPr>
      <t xml:space="preserve"> OOC - Nil</t>
    </r>
    <r>
      <rPr>
        <sz val="12"/>
        <color rgb="FF000000"/>
        <rFont val="Times New Roman"/>
        <family val="1"/>
      </rPr>
      <t xml:space="preserve">
</t>
    </r>
    <r>
      <rPr>
        <b/>
        <sz val="12"/>
        <color rgb="FF000000"/>
        <rFont val="Times New Roman"/>
        <family val="1"/>
      </rPr>
      <t>IEC &amp; Printing - Rs. 1</t>
    </r>
    <r>
      <rPr>
        <sz val="12"/>
        <color rgb="FF000000"/>
        <rFont val="Times New Roman"/>
        <family val="1"/>
      </rPr>
      <t xml:space="preserve"> lakh for printing of ID card</t>
    </r>
  </si>
  <si>
    <r>
      <rPr>
        <b/>
        <sz val="12"/>
        <color rgb="FF000000"/>
        <rFont val="Times New Roman"/>
        <family val="1"/>
      </rPr>
      <t>Drugs and supplies - Rs. 60 lakh</t>
    </r>
    <r>
      <rPr>
        <sz val="12"/>
        <color rgb="FF000000"/>
        <rFont val="Times New Roman"/>
        <family val="1"/>
      </rPr>
      <t xml:space="preserve"> for nutrition kit. 
</t>
    </r>
    <r>
      <rPr>
        <b/>
        <sz val="12"/>
        <color rgb="FF000000"/>
        <rFont val="Times New Roman"/>
        <family val="1"/>
      </rPr>
      <t>Diagnostics - Rs. 2 cr</t>
    </r>
    <r>
      <rPr>
        <sz val="12"/>
        <color rgb="FF000000"/>
        <rFont val="Times New Roman"/>
        <family val="1"/>
      </rPr>
      <t xml:space="preserve"> for testing Kit. 
</t>
    </r>
    <r>
      <rPr>
        <b/>
        <sz val="12"/>
        <color rgb="FF000000"/>
        <rFont val="Times New Roman"/>
        <family val="1"/>
      </rPr>
      <t>Capacity building incl. training - Rs. 1.66 lakh   1</t>
    </r>
    <r>
      <rPr>
        <sz val="12"/>
        <color rgb="FF000000"/>
        <rFont val="Times New Roman"/>
        <family val="1"/>
      </rPr>
      <t xml:space="preserve">) Rs. 14250/- for district level sentization training ( Inter-departmental) for BDO, BMO, WCD, Tribal, education for one batch for maximum 30 participants, 2) Rs. 152250/- for Block level training for maximum 50 participants for 7 batch training.
</t>
    </r>
    <r>
      <rPr>
        <b/>
        <sz val="12"/>
        <color rgb="FF000000"/>
        <rFont val="Times New Roman"/>
        <family val="1"/>
      </rPr>
      <t xml:space="preserve"> OOC - Nil</t>
    </r>
    <r>
      <rPr>
        <sz val="12"/>
        <color rgb="FF000000"/>
        <rFont val="Times New Roman"/>
        <family val="1"/>
      </rPr>
      <t xml:space="preserve">
</t>
    </r>
    <r>
      <rPr>
        <b/>
        <sz val="12"/>
        <color rgb="FF000000"/>
        <rFont val="Times New Roman"/>
        <family val="1"/>
      </rPr>
      <t>IEC &amp; Printing - Rs. 1</t>
    </r>
    <r>
      <rPr>
        <sz val="12"/>
        <color rgb="FF000000"/>
        <rFont val="Times New Roman"/>
        <family val="1"/>
      </rPr>
      <t xml:space="preserve"> lakh for printing of ID card</t>
    </r>
  </si>
  <si>
    <r>
      <rPr>
        <b/>
        <sz val="12"/>
        <color rgb="FF980000"/>
        <rFont val="Times New Roman"/>
        <family val="1"/>
      </rPr>
      <t>Equipments - Rs.223.40L</t>
    </r>
    <r>
      <rPr>
        <sz val="12"/>
        <color rgb="FF980000"/>
        <rFont val="Times New Roman"/>
        <family val="1"/>
      </rPr>
      <t xml:space="preserve"> for new BSU and strengthening  existing blood banks/Storage Units
</t>
    </r>
    <r>
      <rPr>
        <sz val="12"/>
        <color theme="1"/>
        <rFont val="Times New Roman"/>
        <family val="1"/>
      </rPr>
      <t xml:space="preserve">
</t>
    </r>
    <r>
      <rPr>
        <b/>
        <sz val="12"/>
        <color theme="1"/>
        <rFont val="Times New Roman"/>
        <family val="1"/>
      </rPr>
      <t xml:space="preserve">OOC- 17.00 L </t>
    </r>
    <r>
      <rPr>
        <sz val="12"/>
        <color theme="1"/>
        <rFont val="Times New Roman"/>
        <family val="1"/>
      </rPr>
      <t xml:space="preserve">- Proposed operational expenses 12 DDCCs @ 100000, 2  MCH Hemophilia treatment center @ 100000 and 2 HTCs @ 150000. </t>
    </r>
  </si>
  <si>
    <r>
      <rPr>
        <b/>
        <sz val="12"/>
        <color rgb="FF980000"/>
        <rFont val="Times New Roman"/>
        <family val="1"/>
      </rPr>
      <t xml:space="preserve">Equipments - Rs.40L </t>
    </r>
    <r>
      <rPr>
        <sz val="12"/>
        <color rgb="FF980000"/>
        <rFont val="Times New Roman"/>
        <family val="1"/>
      </rPr>
      <t xml:space="preserve">for strengthening  existing blood banks/Storage Units  </t>
    </r>
    <r>
      <rPr>
        <sz val="12"/>
        <color rgb="FF000000"/>
        <rFont val="Times New Roman"/>
        <family val="1"/>
      </rPr>
      <t xml:space="preserve">                  OOC- 17.00 L - Proposed </t>
    </r>
    <r>
      <rPr>
        <b/>
        <sz val="12"/>
        <color rgb="FF000000"/>
        <rFont val="Times New Roman"/>
        <family val="1"/>
      </rPr>
      <t>operational expenses</t>
    </r>
    <r>
      <rPr>
        <sz val="12"/>
        <color rgb="FF000000"/>
        <rFont val="Times New Roman"/>
        <family val="1"/>
      </rPr>
      <t xml:space="preserve"> 12 DDCCs @ 100000, 2  MCH Hemophilia treatment center @ 100000 and 2 HTCs @ 150000. 
</t>
    </r>
  </si>
  <si>
    <r>
      <rPr>
        <b/>
        <sz val="12"/>
        <color theme="1"/>
        <rFont val="Times New Roman"/>
        <family val="1"/>
      </rPr>
      <t xml:space="preserve">IEC activities - Rs.4.80 L </t>
    </r>
    <r>
      <rPr>
        <sz val="12"/>
        <color theme="1"/>
        <rFont val="Times New Roman"/>
        <family val="1"/>
      </rPr>
      <t xml:space="preserve">
Rs.2.75 L for Blood services and Rs.2.05 L for blood disorders</t>
    </r>
  </si>
  <si>
    <r>
      <rPr>
        <b/>
        <sz val="12"/>
        <color theme="1"/>
        <rFont val="Times New Roman"/>
        <family val="1"/>
      </rPr>
      <t xml:space="preserve">IEC activities - Rs.4.80 L </t>
    </r>
    <r>
      <rPr>
        <sz val="12"/>
        <color theme="1"/>
        <rFont val="Times New Roman"/>
        <family val="1"/>
      </rPr>
      <t xml:space="preserve">
Rs.2.75 L for Blood services and Rs.2.05 L for blood disorders</t>
    </r>
  </si>
  <si>
    <r>
      <rPr>
        <sz val="12"/>
        <color rgb="FF000000"/>
        <rFont val="Times New Roman"/>
        <family val="1"/>
      </rPr>
      <t xml:space="preserve">
</t>
    </r>
    <r>
      <rPr>
        <b/>
        <sz val="12"/>
        <color rgb="FF000000"/>
        <rFont val="Times New Roman"/>
        <family val="1"/>
      </rPr>
      <t>Capacity building including Training</t>
    </r>
    <r>
      <rPr>
        <sz val="12"/>
        <color rgb="FF000000"/>
        <rFont val="Times New Roman"/>
        <family val="1"/>
      </rPr>
      <t xml:space="preserve"> 
Induction Training
Induction training to ASHA@Rs. 74750 per batch /I batch per district   - 10.46 L
Printing and development/ design of composite training module for  Induction training to ASHA -   3 L 
ASHA state specific new 10 module training @Rs.1533 per ASHA for 26177 ASHAs Rs.401.29L 
10th module design &amp; development – 8.75 L 
Total for 10th Module  – 410.04 L
4th module training to Hamlet ASHAs @Rs. 99750*18 batches – 17.95 L + Module printing and development 3L 
Total Hamlet ASHA 4 Module Training  - 20.95 LAKHS
1290 ASHAs in 14 district  - monthly training to one ASHA from one PHC Rs. 300 per ASHA -  Rs. 46.44 L
 Refresher Computer training to ASHA @ Rs. 250 per ASHA Rs.65.44 L
Training to ASHA District Coordinators s Rs. 1.0 L 
 Documentation of ASHA Programme Rs. 4 L 
Hamlet ASHA Programme documentation - 3 L
Total for Capacity building including Training – Rs. </t>
    </r>
    <r>
      <rPr>
        <b/>
        <sz val="12"/>
        <color rgb="FF000000"/>
        <rFont val="Times New Roman"/>
        <family val="1"/>
      </rPr>
      <t>564.33 lakhs</t>
    </r>
    <r>
      <rPr>
        <sz val="12"/>
        <color rgb="FF000000"/>
        <rFont val="Times New Roman"/>
        <family val="1"/>
      </rPr>
      <t xml:space="preserve">
</t>
    </r>
    <r>
      <rPr>
        <b/>
        <sz val="12"/>
        <color rgb="FF000000"/>
        <rFont val="Times New Roman"/>
        <family val="1"/>
      </rPr>
      <t>ASHA incentives</t>
    </r>
    <r>
      <rPr>
        <sz val="12"/>
        <color rgb="FF000000"/>
        <rFont val="Times New Roman"/>
        <family val="1"/>
      </rPr>
      <t xml:space="preserve">
ASHA Fixed incentives   to ASHA @ Rs. 2000 per month for 26177 ASHAs Rs. 6282.48 L
 Social Security Insurance package  
 PMJJBY for 13750 ASHAs @ Rs. 436 per ASHA – 59.95L
 PMSBY PMJJBY for 15050 ASHAs @ Rs. 20  per ASHA – 3.01 L
PMSYM   for 9041  ASHAs @ Rs. 200*12 months per ASHA – 216.98 L
        Total  - 279.94
Incentive for palliative care @ Rs.100/month for 26177 ASHAs Rs. 314.12  L
Incentive for monthly review meeting @ Rs.100/month for 26177 ASHAs Rs. 314.12  L
</t>
    </r>
    <r>
      <rPr>
        <b/>
        <sz val="12"/>
        <color rgb="FF000000"/>
        <rFont val="Times New Roman"/>
        <family val="1"/>
      </rPr>
      <t>Total ASHA incentives – 7190.66 LAKHS</t>
    </r>
    <r>
      <rPr>
        <sz val="12"/>
        <color rgb="FF000000"/>
        <rFont val="Times New Roman"/>
        <family val="1"/>
      </rPr>
      <t xml:space="preserve">
</t>
    </r>
    <r>
      <rPr>
        <b/>
        <sz val="12"/>
        <color rgb="FF000000"/>
        <rFont val="Times New Roman"/>
        <family val="1"/>
      </rPr>
      <t>Other Operating Cost</t>
    </r>
    <r>
      <rPr>
        <sz val="12"/>
        <color rgb="FF000000"/>
        <rFont val="Times New Roman"/>
        <family val="1"/>
      </rPr>
      <t xml:space="preserve">
Rs.500 per month to 238 wards of the ward health facilitation centre in 14 districts ( Rs.500*238 wards*12 months) - Rs.14.28 L
Cash Incentive to ASHA's who are willing to leave or Opt to leave @Rs. 20000 per ASHA for 50 ASHAs - Rs.10 L 
ASHA insurance in association with Oriental insurance Company Rs. 32.72 L 
Mobile allowance to 26177 ASHA @ Rs. 200 per month – 628.25 L 
ASHA Certification-ASHA of Thrissur and Wayanad districts-2421. Course fee @ Rs.762/-Rs.18.45 lakhs and , Rs.5000/- per 2421 ASHA -Rs.121.05 lakhs.Total for ASHA certification Rs.139.50 lakhs
</t>
    </r>
    <r>
      <rPr>
        <b/>
        <sz val="12"/>
        <color rgb="FF000000"/>
        <rFont val="Times New Roman"/>
        <family val="1"/>
      </rPr>
      <t>Total for Other Operating Cost – 824.75 lakhs</t>
    </r>
    <r>
      <rPr>
        <sz val="12"/>
        <color rgb="FF000000"/>
        <rFont val="Times New Roman"/>
        <family val="1"/>
      </rPr>
      <t xml:space="preserve">
</t>
    </r>
    <r>
      <rPr>
        <b/>
        <sz val="12"/>
        <color rgb="FF000000"/>
        <rFont val="Times New Roman"/>
        <family val="1"/>
      </rPr>
      <t xml:space="preserve">IEC and Printing Rs.139.287 lakhs </t>
    </r>
    <r>
      <rPr>
        <sz val="12"/>
        <color rgb="FF000000"/>
        <rFont val="Times New Roman"/>
        <family val="1"/>
      </rPr>
      <t xml:space="preserve">
IEC/BCC Activities- Rs. 66 lakhs
Printing – 73.287 L  ( Details Given as Annexure I) </t>
    </r>
  </si>
  <si>
    <r>
      <rPr>
        <b/>
        <sz val="12"/>
        <color theme="1"/>
        <rFont val="Times New Roman"/>
        <family val="1"/>
      </rPr>
      <t xml:space="preserve">Drugs &amp; Supplies Drugs 261.77 L : </t>
    </r>
    <r>
      <rPr>
        <sz val="12"/>
        <color theme="1"/>
        <rFont val="Times New Roman"/>
        <family val="1"/>
      </rPr>
      <t xml:space="preserve">
Proposed for ASHA drug kits @ Rs.1000/- for 26177 ASHAs. 
</t>
    </r>
    <r>
      <rPr>
        <b/>
        <sz val="12"/>
        <color theme="1"/>
        <rFont val="Times New Roman"/>
        <family val="1"/>
      </rPr>
      <t xml:space="preserve">Capacity building including Training </t>
    </r>
    <r>
      <rPr>
        <sz val="12"/>
        <color theme="1"/>
        <rFont val="Times New Roman"/>
        <family val="1"/>
      </rPr>
      <t xml:space="preserve">
Fourteen batches of Induction training to ASHA @Rs.74750 per batch Rs.10.46L ASHA 
state specific new 10 module training @Rs.1533 per ASHA for 26177 ASHAs Rs.401.29L 
4th module training to Hamlet ASHAs @Rs. 99750*18 batches (18 batches@99750-Rs.17.95 L 
1290 ASHAs in 14 district - monthly training to one ASHA from one PHC Rs. 46.44 L 
Refresher Computer training to ASHA Rs.65.44 L @ Rs. 250 per ASHA 
Training to ASHA District Coordinators s Rs. 1 L &amp; Documentation of ASHA Programme Rs. 3 L
 </t>
    </r>
    <r>
      <rPr>
        <b/>
        <sz val="12"/>
        <color theme="1"/>
        <rFont val="Times New Roman"/>
        <family val="1"/>
      </rPr>
      <t xml:space="preserve">Total for Capacity building including Training – 545.58 lks 
</t>
    </r>
    <r>
      <rPr>
        <sz val="12"/>
        <color theme="1"/>
        <rFont val="Times New Roman"/>
        <family val="1"/>
      </rPr>
      <t xml:space="preserve">
</t>
    </r>
    <r>
      <rPr>
        <b/>
        <sz val="12"/>
        <color theme="1"/>
        <rFont val="Times New Roman"/>
        <family val="1"/>
      </rPr>
      <t xml:space="preserve">ASHA Incentive Rs.7190.67 lakhs </t>
    </r>
    <r>
      <rPr>
        <sz val="12"/>
        <color theme="1"/>
        <rFont val="Times New Roman"/>
        <family val="1"/>
      </rPr>
      <t xml:space="preserve">
ASHA incentives - Rs.6282.48 lakhs Fixed Incentives to ASHA @ Rs. 2000 per month for 26177 ASHAs 
Social Security Insurance package under PMJJBY, PMSBY, PMSYM to ASHAs for Rs.279.944 L 
Incentive for palliative care @ Rs.100/month and monthly review meeting for Rs. 628.248 L
 </t>
    </r>
    <r>
      <rPr>
        <b/>
        <sz val="12"/>
        <color theme="1"/>
        <rFont val="Times New Roman"/>
        <family val="1"/>
      </rPr>
      <t xml:space="preserve">Total for ASHA incentives – 7190.67 lakhs 
Other Operating Cost 848.28 lakhs
</t>
    </r>
    <r>
      <rPr>
        <sz val="12"/>
        <color theme="1"/>
        <rFont val="Times New Roman"/>
        <family val="1"/>
      </rPr>
      <t xml:space="preserve">Rs.500 per month to 238 wards of the ward health facilitation centre in 14 districts ( Rs.500*238 wards*12 months) for Rs.14.28 lakhs. 
Cash Incentive to ASHA's who are willing to leave or Opt to leave @Rs. 20000 per ASHA for 50 ASHAs for Rs.10 L 
ASHA insurance in association with Oriental insurance Company Rs. 32.72 L
 ID card to all ASHA Rs.26.18L ( 2025-26) 
 Mobile allowance to ASHA @ Rs. 628.25L
ASHA Certification-ASHA of Ernakulam and Pathanamthitta districts-2375. Course fee @ Rs.762/-Rs.18.10 lakhs and , Rs.5000/- per 2375ASHA -Rs.118.75lakhs.Total for ASHA certification Rs.136.85lakhs
ASHA Sammelan - @ Rs.2 lakhs for 14 districts, Rs.10 lakhs at State totalling Rs.38 lakhs
</t>
    </r>
    <r>
      <rPr>
        <b/>
        <sz val="12"/>
        <color theme="1"/>
        <rFont val="Times New Roman"/>
        <family val="1"/>
      </rPr>
      <t xml:space="preserve"> Total for Other Operating Cost – 886.27 lakhs</t>
    </r>
    <r>
      <rPr>
        <sz val="12"/>
        <color theme="1"/>
        <rFont val="Times New Roman"/>
        <family val="1"/>
      </rPr>
      <t xml:space="preserve">
</t>
    </r>
    <r>
      <rPr>
        <b/>
        <sz val="12"/>
        <color theme="1"/>
        <rFont val="Times New Roman"/>
        <family val="1"/>
      </rPr>
      <t xml:space="preserve">IEC and Printing Rs.144.29 lakhs </t>
    </r>
    <r>
      <rPr>
        <sz val="12"/>
        <color theme="1"/>
        <rFont val="Times New Roman"/>
        <family val="1"/>
      </rPr>
      <t xml:space="preserve">
IEC/BCC Activities- Rs. 66 lakhs
Printing – 78.2956 L  ( Details Given as Annexure I)</t>
    </r>
  </si>
  <si>
    <r>
      <rPr>
        <b/>
        <sz val="12"/>
        <color theme="1"/>
        <rFont val="Times New Roman"/>
        <family val="1"/>
      </rPr>
      <t>ASHA incentives: Rs.141.38 lakhs</t>
    </r>
    <r>
      <rPr>
        <sz val="12"/>
        <color theme="1"/>
        <rFont val="Times New Roman"/>
        <family val="1"/>
      </rPr>
      <t xml:space="preserve">
1.Incentive proposed for 15 existing migrant link workers in Ernakulam &amp;Idukki districts @ Rs. 2500 per month and 10 new Link workers in Malappuram district district @ 2500 per month; 3 Lakh for training and review meeting. Total : 10.50Lakhs 
2.Incentive to ASHA for ABHA ID creation. Estimated @ 50 ID per ASHA -50*26177*10=Rs.130.88 lakhs
</t>
    </r>
    <r>
      <rPr>
        <b/>
        <sz val="12"/>
        <color theme="1"/>
        <rFont val="Times New Roman"/>
        <family val="1"/>
      </rPr>
      <t>Other Operating Cost 334.26 lakhs</t>
    </r>
    <r>
      <rPr>
        <sz val="12"/>
        <color theme="1"/>
        <rFont val="Times New Roman"/>
        <family val="1"/>
      </rPr>
      <t xml:space="preserve">
1. Aardrakeralam puraskarams Rs. 279.52 lakhs  
2. Social audit in Family Health Centres for 50 FHCs @ Rs. 50000 per FHC , Training 5Lakhs. Total Rs. 30 L 
3. Community Action for Health 2024-25- Team training @ Rs. 1000 per LSG for 1034 LSG . Total 10.34 lakhs. 
4.Incentive proposed for 15 existing Trangender link workers in Trivandrum, Ernakulam , Thrissur &amp; Calicut districts districts @ Rs. 5000 per month and 4 new Link workers in Malappuram &amp; Kottayam district district @ 5000 per month; 3 Lakh for training, module printing and review meeting. Total :14.4 Lakhs 
</t>
    </r>
    <r>
      <rPr>
        <b/>
        <sz val="12"/>
        <color theme="1"/>
        <rFont val="Times New Roman"/>
        <family val="1"/>
      </rPr>
      <t xml:space="preserve">Total for Other Operating Cost – 334.26 Lakhs </t>
    </r>
    <r>
      <rPr>
        <sz val="12"/>
        <color theme="1"/>
        <rFont val="Times New Roman"/>
        <family val="1"/>
      </rPr>
      <t xml:space="preserve">
</t>
    </r>
    <r>
      <rPr>
        <b/>
        <sz val="12"/>
        <color theme="1"/>
        <rFont val="Times New Roman"/>
        <family val="1"/>
      </rPr>
      <t xml:space="preserve">IEC </t>
    </r>
    <r>
      <rPr>
        <sz val="12"/>
        <color theme="1"/>
        <rFont val="Times New Roman"/>
        <family val="1"/>
      </rPr>
      <t>-</t>
    </r>
    <r>
      <rPr>
        <b/>
        <sz val="12"/>
        <color theme="1"/>
        <rFont val="Times New Roman"/>
        <family val="1"/>
      </rPr>
      <t xml:space="preserve">247.89 lakhs
</t>
    </r>
    <r>
      <rPr>
        <sz val="12"/>
        <color theme="1"/>
        <rFont val="Times New Roman"/>
        <family val="1"/>
      </rPr>
      <t xml:space="preserve"> Rs. 191.01 L for State Level IEC Activities and Rs. 56.88 for District Level IEC Activities </t>
    </r>
  </si>
  <si>
    <r>
      <rPr>
        <b/>
        <sz val="12"/>
        <color theme="1"/>
        <rFont val="Times New Roman"/>
        <family val="1"/>
      </rPr>
      <t xml:space="preserve">ASHA incentives: 142.13 lakhs 
</t>
    </r>
    <r>
      <rPr>
        <sz val="12"/>
        <color theme="1"/>
        <rFont val="Times New Roman"/>
        <family val="1"/>
      </rPr>
      <t xml:space="preserve">1.Incentive proposed for 25 existing migrant link workers in Ernakulam , Idukki &amp; Malappuram districts @ Rs. 2750 per month and 3 Lakh for training and review meeting. Total : 11.25 Lakhs 
2.Incentive to ASHA for ABHA ID creation. Estimated @ 50 ID per ASHA -50*26177*10=Rs.130.88 lakhs
</t>
    </r>
    <r>
      <rPr>
        <b/>
        <sz val="12"/>
        <color theme="1"/>
        <rFont val="Times New Roman"/>
        <family val="1"/>
      </rPr>
      <t xml:space="preserve">Other Operating Cost
</t>
    </r>
    <r>
      <rPr>
        <sz val="12"/>
        <color theme="1"/>
        <rFont val="Times New Roman"/>
        <family val="1"/>
      </rPr>
      <t xml:space="preserve">1. Aardrakeralam puraskarams Rs. 280.00 lakhs
2.Social audit in Family Health Centres for 50FHCs @ Rs. 50000 per FHC , Training 5Lakhs. Total Rs. 30L 
3.Community Action for Health 2024-25- Team training @ Rs. 1000 per LSG for 1034 LSG . Total 10.34 lakhs
4.Incentive proposed for 19 existing Trangender link workers in Trivandrum,Kottayam, Ernakulam , Thrissur, Malappuram  &amp; Calicut districts districts @ Rs. 5250 per month and 3 Lakh for training, module printing and review meeting. Total :14.97 Lakhs 
</t>
    </r>
    <r>
      <rPr>
        <b/>
        <sz val="12"/>
        <color theme="1"/>
        <rFont val="Times New Roman"/>
        <family val="1"/>
      </rPr>
      <t xml:space="preserve">Total for Other Operating Cost – 335.31Lakhs </t>
    </r>
    <r>
      <rPr>
        <sz val="12"/>
        <color theme="1"/>
        <rFont val="Times New Roman"/>
        <family val="1"/>
      </rPr>
      <t xml:space="preserve">
</t>
    </r>
    <r>
      <rPr>
        <b/>
        <sz val="12"/>
        <color theme="1"/>
        <rFont val="Times New Roman"/>
        <family val="1"/>
      </rPr>
      <t>IEC</t>
    </r>
    <r>
      <rPr>
        <sz val="12"/>
        <color theme="1"/>
        <rFont val="Times New Roman"/>
        <family val="1"/>
      </rPr>
      <t xml:space="preserve"> </t>
    </r>
    <r>
      <rPr>
        <b/>
        <sz val="12"/>
        <color theme="1"/>
        <rFont val="Times New Roman"/>
        <family val="1"/>
      </rPr>
      <t>- 247.89 lakhs</t>
    </r>
    <r>
      <rPr>
        <sz val="12"/>
        <color theme="1"/>
        <rFont val="Times New Roman"/>
        <family val="1"/>
      </rPr>
      <t xml:space="preserve"> 
Rs. 191.01 L for State Level IEC Activities and Rs. 56.88 for District Level IEC Activities </t>
    </r>
  </si>
  <si>
    <r>
      <rPr>
        <b/>
        <sz val="11"/>
        <color rgb="FF000000"/>
        <rFont val="Times New Roman"/>
        <family val="1"/>
      </rPr>
      <t xml:space="preserve">Amount Proposed 24-25 (Rs. In lakhs): Rs. 2780 L
</t>
    </r>
    <r>
      <rPr>
        <b/>
        <i/>
        <sz val="11"/>
        <color rgb="FF000000"/>
        <rFont val="Times New Roman"/>
        <family val="1"/>
      </rPr>
      <t>•Ongoing works – Rs 1724.40 L</t>
    </r>
    <r>
      <rPr>
        <b/>
        <sz val="11"/>
        <color rgb="FF000000"/>
        <rFont val="Times New Roman"/>
        <family val="1"/>
      </rPr>
      <t xml:space="preserve">
1.        GH Adoor( TC - 1300 L) – 520 L
2.        G H Muvattupuzha( TC- 640 L) –256 L
3.        DH Nilambur( TC- 900 L) -360 L
4.        DH Aluva( TC- 473 L) -378.40 L
5.        GH </t>
    </r>
    <r>
      <rPr>
        <b/>
        <i/>
        <sz val="11"/>
        <color rgb="FF000000"/>
        <rFont val="Times New Roman"/>
        <family val="1"/>
      </rPr>
      <t xml:space="preserve">Irinjalakkuda( TC- 300 L) – 210 L
</t>
    </r>
    <r>
      <rPr>
        <b/>
        <sz val="11"/>
        <color rgb="FF000000"/>
        <rFont val="Times New Roman"/>
        <family val="1"/>
      </rPr>
      <t>•         New Works – Rs. 567 L
1. GH Alapuzha(TC-92.63 L)-28 L
2. GHKanjirapally(TC-616 L) -187 L
3. DH Wadakancheri (TC-70 L)-40.8 L
4. DH Nilambur(TC-89.64 L)- 27.2L
5. DH Perinathalmanna(TC-209.9 L)- 63.74 L
6. DH Manthavady (TC-34.71 L)-20 L
7. TATA Hospital Kasargod (TC-405 L)-200L</t>
    </r>
  </si>
  <si>
    <r>
      <rPr>
        <b/>
        <sz val="12"/>
        <color theme="1"/>
        <rFont val="Times New Roman"/>
        <family val="1"/>
      </rPr>
      <t>Amount proposed 25-26 (Rs. In lakhs) : Rs.861L</t>
    </r>
    <r>
      <rPr>
        <sz val="12"/>
        <color theme="1"/>
        <rFont val="Times New Roman"/>
        <family val="1"/>
      </rPr>
      <t xml:space="preserve">
</t>
    </r>
    <r>
      <rPr>
        <b/>
        <i/>
        <sz val="12"/>
        <color theme="1"/>
        <rFont val="Times New Roman"/>
        <family val="1"/>
      </rPr>
      <t>•Ongoing works – Rs.861 L</t>
    </r>
    <r>
      <rPr>
        <sz val="12"/>
        <color theme="1"/>
        <rFont val="Times New Roman"/>
        <family val="1"/>
      </rPr>
      <t xml:space="preserve">
1. GH Alapuzha(TC-92.63 L)-56 L
2. GHKanjirapally(TC-616 L) -374 L
3. DH Wadakancheri (TC-70 L)-29 L
4. DH Nilambur(TC-89.64 L)- 54 L
5. DH Perinathalmanna(TC-209.9 L)- 127 L
6. DH Manthavady (TC-34.71 L)-15 L
7. TATA Hospital Kasargod (TC-405 L)-205L
</t>
    </r>
  </si>
  <si>
    <r>
      <rPr>
        <sz val="11"/>
        <color rgb="FF000000"/>
        <rFont val="Times New Roman"/>
        <family val="1"/>
      </rPr>
      <t xml:space="preserve">Amount proposed in 24-25 (Rs. In lakhs): Rs 822 L
•        </t>
    </r>
    <r>
      <rPr>
        <b/>
        <sz val="11"/>
        <color rgb="FF000000"/>
        <rFont val="Times New Roman"/>
        <family val="1"/>
      </rPr>
      <t xml:space="preserve"> Ongoing works – Rs 740 L</t>
    </r>
    <r>
      <rPr>
        <sz val="11"/>
        <color rgb="FF000000"/>
        <rFont val="Times New Roman"/>
        <family val="1"/>
      </rPr>
      <t xml:space="preserve">
TH Santhivila (TC -800L) – 320 L
THQH Sasthamkotta (TC -600 L) – 420 L
•         </t>
    </r>
    <r>
      <rPr>
        <b/>
        <sz val="11"/>
        <color rgb="FF000000"/>
        <rFont val="Times New Roman"/>
        <family val="1"/>
      </rPr>
      <t>New works – Rs 42.2 L</t>
    </r>
    <r>
      <rPr>
        <sz val="11"/>
        <color rgb="FF000000"/>
        <rFont val="Times New Roman"/>
        <family val="1"/>
      </rPr>
      <t xml:space="preserve">
1. THQH Pazhyangadi(TC-211L)- 42.2 L</t>
    </r>
  </si>
  <si>
    <r>
      <rPr>
        <b/>
        <sz val="13"/>
        <color theme="1"/>
        <rFont val="Times New Roman"/>
        <family val="1"/>
      </rPr>
      <t>Amount proposed 25-26 (Rs. In lakhs): Rs.392.73 L</t>
    </r>
    <r>
      <rPr>
        <sz val="13"/>
        <color theme="1"/>
        <rFont val="Times New Roman"/>
        <family val="1"/>
      </rPr>
      <t xml:space="preserve">
</t>
    </r>
    <r>
      <rPr>
        <b/>
        <i/>
        <sz val="13"/>
        <color theme="1"/>
        <rFont val="Times New Roman"/>
        <family val="1"/>
      </rPr>
      <t>•Ongoing works – 84.4 L</t>
    </r>
    <r>
      <rPr>
        <sz val="13"/>
        <color theme="1"/>
        <rFont val="Times New Roman"/>
        <family val="1"/>
      </rPr>
      <t xml:space="preserve">
1. THQH Pazhyangadi(TC-211L)- 84.4 L</t>
    </r>
    <r>
      <rPr>
        <b/>
        <i/>
        <sz val="13"/>
        <color theme="1"/>
        <rFont val="Times New Roman"/>
        <family val="1"/>
      </rPr>
      <t xml:space="preserve">      
 New works – Rs 228.33 L</t>
    </r>
    <r>
      <rPr>
        <sz val="13"/>
        <color theme="1"/>
        <rFont val="Times New Roman"/>
        <family val="1"/>
      </rPr>
      <t xml:space="preserve">
1. THQH Chalakudy (TC-289.8 L)- 87.93 L
2. THQH Thaliparamba(TC-462.7 L)-140.4 L</t>
    </r>
  </si>
  <si>
    <r>
      <rPr>
        <b/>
        <sz val="11"/>
        <color rgb="FF000000"/>
        <rFont val="Times New Roman"/>
        <family val="1"/>
      </rPr>
      <t>Amount Proposed 24-25 (Rs. In lakhs): Rs 851.80 L</t>
    </r>
    <r>
      <rPr>
        <sz val="11"/>
        <color rgb="FF000000"/>
        <rFont val="Times New Roman"/>
        <family val="1"/>
      </rPr>
      <t xml:space="preserve">
</t>
    </r>
    <r>
      <rPr>
        <b/>
        <i/>
        <sz val="11"/>
        <color rgb="FF000000"/>
        <rFont val="Times New Roman"/>
        <family val="1"/>
      </rPr>
      <t>·         Ongoing works – Rs 737.80 L</t>
    </r>
    <r>
      <rPr>
        <sz val="11"/>
        <color rgb="FF000000"/>
        <rFont val="Times New Roman"/>
        <family val="1"/>
      </rPr>
      <t xml:space="preserve">
1.        CHC Vallana (TC -200) – 140 L 
2.        CHC Porunnanore (TC -380) –266 L
3.        CHC Manjeswa</t>
    </r>
    <r>
      <rPr>
        <b/>
        <i/>
        <sz val="11"/>
        <color rgb="FF000000"/>
        <rFont val="Times New Roman"/>
        <family val="1"/>
      </rPr>
      <t xml:space="preserve">r (TC -474) –331.80
·        </t>
    </r>
    <r>
      <rPr>
        <sz val="11"/>
        <color rgb="FF000000"/>
        <rFont val="Times New Roman"/>
        <family val="1"/>
      </rPr>
      <t xml:space="preserve"> </t>
    </r>
    <r>
      <rPr>
        <b/>
        <sz val="11"/>
        <color rgb="FF000000"/>
        <rFont val="Times New Roman"/>
        <family val="1"/>
      </rPr>
      <t>New works – Rs 64 L</t>
    </r>
    <r>
      <rPr>
        <sz val="11"/>
        <color rgb="FF000000"/>
        <rFont val="Times New Roman"/>
        <family val="1"/>
      </rPr>
      <t xml:space="preserve">
1.CHC Kulathupuzha(TC-211L)-64 L
</t>
    </r>
  </si>
  <si>
    <r>
      <rPr>
        <b/>
        <sz val="11"/>
        <color theme="1"/>
        <rFont val="Times New Roman"/>
        <family val="1"/>
      </rPr>
      <t>Amount proposed 25-26 (Rs. In lakhs): Rs 128 L</t>
    </r>
    <r>
      <rPr>
        <sz val="11"/>
        <color theme="1"/>
        <rFont val="Times New Roman"/>
        <family val="1"/>
      </rPr>
      <t xml:space="preserve">
•         Ongoing works – Rs.128 L
1. CHC Kulathupuzha(TC-211L)-128 L
•         New Works – 0.00</t>
    </r>
  </si>
  <si>
    <r>
      <rPr>
        <b/>
        <sz val="11"/>
        <color rgb="FF000000"/>
        <rFont val="Times New Roman"/>
        <family val="1"/>
      </rPr>
      <t>Amount Proposed 24-25 (Rs. In lakhs): Rs.1502.80 L</t>
    </r>
    <r>
      <rPr>
        <sz val="11"/>
        <color rgb="FF000000"/>
        <rFont val="Times New Roman"/>
        <family val="1"/>
      </rPr>
      <t xml:space="preserve">
</t>
    </r>
    <r>
      <rPr>
        <b/>
        <i/>
        <sz val="11"/>
        <color rgb="FF000000"/>
        <rFont val="Times New Roman"/>
        <family val="1"/>
      </rPr>
      <t>•Ongoing works –Rs1401.40 L</t>
    </r>
    <r>
      <rPr>
        <sz val="11"/>
        <color rgb="FF000000"/>
        <rFont val="Times New Roman"/>
        <family val="1"/>
      </rPr>
      <t xml:space="preserve">
14 Nos. of Day care PHC( TC  @ Rs. 143 L) -PHC Aaryankavu,PHCKadammanitta,PHCPallickal,FHCOthera,FHCKarunapuram,FHCKokayyar,FHCKunissery,FHCKumaranellor, PHC Kottappuaram, FHC Perumannaklari, FHC Alipparamba, PHC Chuloor, FHC Ayanchery, PHC Pakkom– Rs.1401.40 L
</t>
    </r>
    <r>
      <rPr>
        <b/>
        <i/>
        <sz val="11"/>
        <color rgb="FF000000"/>
        <rFont val="Times New Roman"/>
        <family val="1"/>
      </rPr>
      <t>•New works – Rs 97.4 L</t>
    </r>
    <r>
      <rPr>
        <sz val="11"/>
        <color rgb="FF000000"/>
        <rFont val="Times New Roman"/>
        <family val="1"/>
      </rPr>
      <t xml:space="preserve">
1. PHC Edamalakudi (TC-169.67 L)-51.4 L
2. PHC Manakadu(TC-46 L)-46 L
</t>
    </r>
  </si>
  <si>
    <r>
      <rPr>
        <b/>
        <sz val="11"/>
        <color theme="1"/>
        <rFont val="Times New Roman"/>
        <family val="1"/>
      </rPr>
      <t>Amount proposed 25-26 (Rs. In lakhs): Rs. 102.8L</t>
    </r>
    <r>
      <rPr>
        <sz val="11"/>
        <color theme="1"/>
        <rFont val="Times New Roman"/>
        <family val="1"/>
      </rPr>
      <t xml:space="preserve">
•</t>
    </r>
    <r>
      <rPr>
        <b/>
        <i/>
        <sz val="11"/>
        <color theme="1"/>
        <rFont val="Times New Roman"/>
        <family val="1"/>
      </rPr>
      <t>Ongoing works – Rs.102.8 L</t>
    </r>
    <r>
      <rPr>
        <sz val="11"/>
        <color theme="1"/>
        <rFont val="Times New Roman"/>
        <family val="1"/>
      </rPr>
      <t xml:space="preserve">
PHC Edamalakudi (TC-169.67 L)-102.8 L.
</t>
    </r>
    <r>
      <rPr>
        <b/>
        <i/>
        <sz val="11"/>
        <color theme="1"/>
        <rFont val="Times New Roman"/>
        <family val="1"/>
      </rPr>
      <t>•New works – 0.00</t>
    </r>
    <r>
      <rPr>
        <sz val="11"/>
        <color theme="1"/>
        <rFont val="Times New Roman"/>
        <family val="1"/>
      </rPr>
      <t xml:space="preserve">
</t>
    </r>
  </si>
  <si>
    <r>
      <rPr>
        <sz val="11"/>
        <color rgb="FF980000"/>
        <rFont val="Times New Roman"/>
        <family val="1"/>
      </rPr>
      <t xml:space="preserve">Equipment -  approved for ,Total Rs.462.41 Lakhsfor Selected Hospitals as per IPHS Standards 
</t>
    </r>
    <r>
      <rPr>
        <b/>
        <sz val="11"/>
        <color rgb="FF000000"/>
        <rFont val="Times New Roman"/>
        <family val="1"/>
      </rPr>
      <t>Amount Proposed 24-25 for infrastructure(Rs. In lakhs) : Rs. 407 L</t>
    </r>
    <r>
      <rPr>
        <sz val="11"/>
        <color rgb="FF000000"/>
        <rFont val="Times New Roman"/>
        <family val="1"/>
      </rPr>
      <t xml:space="preserve">
•</t>
    </r>
    <r>
      <rPr>
        <b/>
        <i/>
        <sz val="11"/>
        <color rgb="FF000000"/>
        <rFont val="Times New Roman"/>
        <family val="1"/>
      </rPr>
      <t>Ongoing works – Rs 147 L</t>
    </r>
    <r>
      <rPr>
        <sz val="11"/>
        <color rgb="FF000000"/>
        <rFont val="Times New Roman"/>
        <family val="1"/>
      </rPr>
      <t xml:space="preserve">
1.        District Vaccine Store Alappuzha  (TC – 210 L) – 1</t>
    </r>
    <r>
      <rPr>
        <b/>
        <i/>
        <sz val="11"/>
        <color rgb="FF000000"/>
        <rFont val="Times New Roman"/>
        <family val="1"/>
      </rPr>
      <t>47 L
   .    New works – R</t>
    </r>
    <r>
      <rPr>
        <b/>
        <sz val="11"/>
        <color rgb="FF000000"/>
        <rFont val="Times New Roman"/>
        <family val="1"/>
      </rPr>
      <t>s.200 L</t>
    </r>
    <r>
      <rPr>
        <sz val="11"/>
        <color rgb="FF000000"/>
        <rFont val="Times New Roman"/>
        <family val="1"/>
      </rPr>
      <t xml:space="preserve">
1.Ware House at Kollam (TC – 470.37 L)- 100 L
2.Ware House at Kozhikkode (TC–470.37 L)-100 L
</t>
    </r>
  </si>
  <si>
    <r>
      <rPr>
        <sz val="11"/>
        <color rgb="FF980000"/>
        <rFont val="Times New Roman"/>
        <family val="1"/>
      </rPr>
      <t xml:space="preserve">Equipment approved for  Total Rs.503.58 Lakhs for Selected Hospitals as per IPHS Standards </t>
    </r>
    <r>
      <rPr>
        <sz val="11"/>
        <color theme="1"/>
        <rFont val="Times New Roman"/>
        <family val="1"/>
      </rPr>
      <t xml:space="preserve">
</t>
    </r>
    <r>
      <rPr>
        <b/>
        <sz val="13"/>
        <color theme="1"/>
        <rFont val="Times New Roman"/>
        <family val="1"/>
      </rPr>
      <t>Amount proposed 25-26 for infrastructure(Rs. In lakhs) : Rs.496 L</t>
    </r>
    <r>
      <rPr>
        <sz val="13"/>
        <color theme="1"/>
        <rFont val="Times New Roman"/>
        <family val="1"/>
      </rPr>
      <t xml:space="preserve">
•</t>
    </r>
    <r>
      <rPr>
        <b/>
        <i/>
        <sz val="13"/>
        <color theme="1"/>
        <rFont val="Times New Roman"/>
        <family val="1"/>
      </rPr>
      <t>Ongoing works – Rs. 426 L</t>
    </r>
    <r>
      <rPr>
        <sz val="13"/>
        <color theme="1"/>
        <rFont val="Times New Roman"/>
        <family val="1"/>
      </rPr>
      <t xml:space="preserve">
1.Ware House at Kollam (TC – 470.37 L)- 213 L
2.Ware House at Kozhikkode (TC–470.37 L)-213 L</t>
    </r>
    <r>
      <rPr>
        <b/>
        <i/>
        <sz val="13"/>
        <color theme="1"/>
        <rFont val="Times New Roman"/>
        <family val="1"/>
      </rPr>
      <t xml:space="preserve">
•         New works</t>
    </r>
    <r>
      <rPr>
        <sz val="13"/>
        <color theme="1"/>
        <rFont val="Times New Roman"/>
        <family val="1"/>
      </rPr>
      <t xml:space="preserve"> –Rs. 70 L
1.FW Store Wayanad (TC -236L)-70 L
</t>
    </r>
  </si>
  <si>
    <t>Proposed for 14 ALS ambulance @ Rs.2.45 lakhs per month</t>
  </si>
  <si>
    <t>proposed for 315 BLS @ Rs.1,37,388/- per month</t>
  </si>
  <si>
    <r>
      <rPr>
        <sz val="12"/>
        <rFont val="Calibri"/>
        <family val="2"/>
      </rPr>
      <t xml:space="preserve">DBT – Nil
 Infrastructure – Nil
 Equipment (including furniture,Excluding computers) – Rs.133.50 L  External Quality Assurance of all labs should be done regularly to ensure quality of the results.
 EQAS for Labs (Bio Chemistry &amp; Hematology MOU for EQAS from national level EQASapproved laboratories like CMC Vellore or AIIMS, Delhi etc.) 44 DH/GH/W&amp;C-Rs.20,000/-, 87 TH-Rs.20,000/-,227 CHC - Rs.10,000/-, 846 PHC-Rs.10,000/-
 Drugs &amp; Supplies – Nil
 Diagnostics (Consumables,PPP,Sample Transport) – Nil
 Capacity Building incl.training – Rs.192.105 L
 State Level Trainings 
1.NQAS State Level Two Batch Internal Assessor Training @ Rs.1.66L- 3.32 L 
 2.NQAS Service Provider Training for 7 Regional Districts {3.25*7} - 22.75L 
3.Kayakalp External Assessors Training Master Training on Swachh Bharat Abhiyan- Rs.1.50L
District Level Trainings 
</t>
    </r>
    <r>
      <rPr>
        <u/>
        <sz val="12"/>
        <color rgb="FF1155CC"/>
        <rFont val="Calibri"/>
        <family val="2"/>
      </rPr>
      <t>1.Rs</t>
    </r>
    <r>
      <rPr>
        <sz val="12"/>
        <rFont val="Calibri"/>
        <family val="2"/>
      </rPr>
      <t xml:space="preserve">.23.24 L NQAS district level training shall be given to the staffs of the targeted institutions. (at the rate of Rs.1,66,000/- per District - {83000*2 days}) 
2.Awareness cum internal Assessors Workshop - 7.56L (Rs.54000/- for each District ). 
 3.Facility Level Training on Swachh Bharat Abhiyan 44 DH - 20,000/- 314 SDH/CHC - 15,000/- 846 PHC - 6,000/- 5415 HWC- 500/- 
 Others including operating costs (OOC) – Rs.1685.73 L 
 State Level Activities 
1.State mentoring Visit - 6L 
2.Quality Assurance Certification ,Recertification (National, State and Surveillance) - Rs. 825.13L 
National Assessment- NQAS Rs.490.5L DH/SDH - (2.10L*30 hosp)- 63L CHC (1.46 *15 hosp) - 21.90L PHC (1.20 *210 hosp)- 252L HWC(0.96 *160 hosp) - 153.6L 
MusQan DH/SDH -3 Departments- (Paediatric OPD,Paediatric Ward,SNCU/NBSU)- 1.19 L*20 hosp =23.80L 
State Assessment including Surveillance - NQAS - Rs.301.83L DH/SDH-.895L * 35 hosp=31.32L CHC - .63L*48 hosp = 30.24L PHC - .43L*409 hosp =175.87L HWC- .28L* 230 hosp - 64.40L 
MusQan DH/SDH -3 Departments- (Paediatric OPD,Paediatric Ward,SNCU/NBSU)- .30L*30 hosp= 9L 
3.Incentivization for Quality for Quality Accredited Institutions - Rs.784.60L
  NQAS Incentives - 669.60L (DH/SDH/CHC - 10000/- per bed,PHC-2L,UPHC - 2L,HWC - 18000*7 Packages= 1.26L) (DH -5,SDH – 4,CHC – 9,PHC -109,UPHC – 39,HWC – 50) LaQshya Incentives - 70L (MCH - 6L,DH-3L,SDH-2L for each department) (LaQshya Incentivization -DH 7,MCH – 2,TH-1) MusQan Incentives - 45L (19 hospitals) 
4) District Level Activities 1. 5L each for districts -Quality District Level Assesments and Mentoring Visit 3.5 lakhs ( Total 70L Including vehicle for field visit in Districts)
</t>
    </r>
    <r>
      <rPr>
        <b/>
        <sz val="12"/>
        <rFont val="Calibri"/>
        <family val="2"/>
      </rPr>
      <t xml:space="preserve"> IEC &amp; Printing – Rs.14L</t>
    </r>
    <r>
      <rPr>
        <sz val="12"/>
        <rFont val="Calibri"/>
        <family val="2"/>
      </rPr>
      <t xml:space="preserve">
 District Level Activities 
 A total of 14 L @ Rs.1L per district 
 Signage’s- Approach road, departmental, directional and any other relevant facility level signage’s for Quality Assurance or printing of Quality improvement IECs boards in hospital at DH/SDH.
 </t>
    </r>
    <r>
      <rPr>
        <b/>
        <sz val="12"/>
        <rFont val="Calibri"/>
        <family val="2"/>
      </rPr>
      <t>Planning &amp; M&amp;E – Rs.12.26L</t>
    </r>
    <r>
      <rPr>
        <sz val="12"/>
        <rFont val="Calibri"/>
        <family val="2"/>
      </rPr>
      <t xml:space="preserve">
 State Level Activities - Rs.1.2L 
(SQAC Operational Cost - Rs.72,000/- Quality Review meeting at State - Rs.48000/-(Rs.12,000/-*4 meetings)                                       District Level Assessments Total Rs.11.06 L 
 a. Rs.24,000/- per district   towards expenses for conducting 
 District Quality Assurance Committee  Meetings as per guidelines and other  Quality Review Meetings(2000/month)
 b. Rs.55,000/-- towards meeting  Contingency &amp; Misc expenses  including expenses incurred for District
 Level Quality Assessments.</t>
    </r>
  </si>
  <si>
    <t>DBT – Nil
 Infrastructure – Nil
 Equipment (including furniture,Excluding computers) – Rs.133.50 L  External Quality Assurance of all labs should be done regularly to ensure quality of the results.
 EQAS for Labs (Bio Chemistry &amp; Hematology MOU for EQAS from national level EQASapproved laboratories like CMC Vellore or AIIMS, Delhi etc.) 44 DH/GH/W&amp;C-Rs.20,000/-, 87 TH-Rs.20,000/-,227 CHC - Rs.10,000/-, 846 PHC-Rs.10,000/-
 Drugs &amp; Supplies – Nil
 Diagnostics (Consumables,PPP,Sample Transport) – Nil
 Capacity Building incl.training – Rs.192.105 L
 State Level Trainings 
1.NQAS State Level Two Batch Internal Assessor Training @ Rs.1.66L- 3.32 L 
 2.NQAS Service Provider Training for 7 Regional Districts {3.25*7} - 22.75L 
3.Kayakalp External Assessors Training Master Training on Swachh Bharat Abhiyan- Rs.1.50L
District Level Trainings 
1.Rs.23.24 L NQAS district level training shall be given to the staffs of the targeted institutions. (at the rate of Rs.1,66,000/- per District - {83000*2 days}) 
2.Awareness cum internal Assessors Workshop - 7.56L (Rs.54000/- for each District ). 
 3.Facility Level Training on Swachh Bharat Abhiyan 44 DH - 20,000/- 314 SDH/CHC - 15,000/- 846 PHC - 6,000/- 5415 HWC- 500/- 
 Others including operating costs (OOC) – Total 2294.83L (Rs.1685.73 L+609.1L for bedsheets )      State Level Activities 
1. 7 colour  Bedsheets Total number of Sanctioned Beds in DH,W&amp;C &amp; TH Hospitals is 22523 Sets –Rs.609.1L    (ie Rs386.3*15,7,661 no of sheets)    
2.State mentoring Visit - 6L 
3.Quality Assurance Certification ,Recertification (National, State and Surveillance) - Rs. 825.13L 
National Assessment- NQAS Rs.490.5L DH/SDH - (2.10L*30 hosp)- 63L CHC (1.46 *15 hosp) - 21.90L PHC (1.20 *210 hosp)- 252L HWC(0.96 *160 hosp) - 153.6L 
MusQan DH/SDH -3 Departments- (Paediatric OPD,Paediatric Ward,SNCU/NBSU)- 1.19 L*20 hosp =23.80L 
State Assessment including Surveillance - NQAS - Rs.301.83L DH/SDH-.895L * 35 hosp=31.32L CHC - .63L*48 hosp = 30.24L PHC - .43L*409 hosp =175.87L HWC- .28L* 230 hosp - 64.40L 
MusQan DH/SDH -3 Departments- (Paediatric OPD,Paediatric Ward,SNCU/NBSU)- .30L*30 hosp= 9L 
4.Incentivization for Quality for Quality Accredited Institutions - Rs.784.60L
  NQAS Incentives - 669.60L (DH/SDH/CHC - 10000/- per bed,PHC-2L,UPHC - 2L,HWC - 18000*7 Packages= 1.26L) (DH -5,SDH – 4,CHC – 9,PHC -109,UPHC – 39,HWC – 50) LaQshya Incentives - 70L (MCH - 6L,DH-3L,SDH-2L for each department) (LaQshya Incentivization -DH 7,MCH – 2,TH-1) MusQan Incentives - 45L (19 hospitals) 
5) District Level Activities 1. 5L each for districts -Quality District Level Assesments and Mentoring Visit 3.5 lakhs ( Total 70L Including vehicle for field visit in Districts)
 IEC &amp; Printing – Rs.14L
 District Level Activities 
 A total of 14 L @ Rs.1L per district 
 Signage’s- Approach road, departmental, directional and any other relevant facility level signage’s for Quality Assurance or printing of Quality improvement IECs boards in hospital at DH/SDH.
 Planning &amp; M&amp;E – Rs.12.26L
 State Level Activities - Rs.1.2L 
(SQAC Operational Cost - Rs.72,000/- Quality Review meeting at State - Rs.48000/-(Rs.12,000/-*4 meetings)                                       District Level Assessments Total Rs.11.06 L 
 a. Rs.24,000/- per district   towards expenses for conducting 
 District Quality Assurance Committee  Meetings as per guidelines and other  Quality Review Meetings(2000/month)
 b. Rs.55,000/-- towards meeting  Contingency &amp; Misc expenses  including expenses incurred for District
 Level Quality Assessments.</t>
  </si>
  <si>
    <r>
      <rPr>
        <b/>
        <sz val="12"/>
        <color theme="1"/>
        <rFont val="Times New Roman"/>
        <family val="1"/>
      </rPr>
      <t>Diagnostics  Rs.306.40L</t>
    </r>
    <r>
      <rPr>
        <sz val="12"/>
        <color theme="1"/>
        <rFont val="Times New Roman"/>
        <family val="1"/>
      </rPr>
      <t xml:space="preserve">
District Level Activities  
1. Total Rs.306.4 L proposed for Support for the implementation of activities related to hospital cleanliness and infection control (Kayakalp) and traversing the gaps identified during internal /peer/district assessment. Consumables related to implementation of infection control practices in hospital/ hospital laboratory including cost of  water/environmental swab/sample testing, autoclave bags, indicator strips etc
131 DH &amp;TH - @ Rs 1L per hospital- Rs.131 lakhs
227 CHC – @ Rs.40,000/- Rs.90.80lakhs, 846 FHC- @ Rs.10,000/- Rs.84.60 lakhs-</t>
    </r>
    <r>
      <rPr>
        <b/>
        <sz val="12"/>
        <color theme="1"/>
        <rFont val="Times New Roman"/>
        <family val="1"/>
      </rPr>
      <t>Total Rs.306.40 lakhs</t>
    </r>
    <r>
      <rPr>
        <sz val="12"/>
        <color theme="1"/>
        <rFont val="Times New Roman"/>
        <family val="1"/>
      </rPr>
      <t xml:space="preserve">
Capacity building incl.training – Nil
</t>
    </r>
    <r>
      <rPr>
        <b/>
        <sz val="12"/>
        <color theme="1"/>
        <rFont val="Times New Roman"/>
        <family val="1"/>
      </rPr>
      <t>Others including operating costs (OOC) –Rs.2134.02L</t>
    </r>
    <r>
      <rPr>
        <sz val="12"/>
        <color theme="1"/>
        <rFont val="Times New Roman"/>
        <family val="1"/>
      </rPr>
      <t xml:space="preserve">
State Level Activities 
1. Total 72.50 L Kayakalp State External Assessment - DH 25000/- (30),SDH 25000/-(100),PHC 15000/-(140),HWC 15000/- (100)                   
2.Total 312.90L for Kayakalp Award - Award Money for Best DH Rs.50L, Runner Up DH Hospital Rs.20L
Commendation Award DH Rs.3Lx25=75L, Award Money for Best SDH Rs.15L, Runner Up SDH Rs.10L, Commendation Award SDH Rs.1Lx50=50L, Award For Best PHC for each District Rs.2Lx14=28L ,  Commendation Award PHC.0.50x28=14L,   Best HWC 1L *14=14L, 1st Runner Up HWC - .50L*14=7L,  2nd Runner UP HWC .35*14=4.90L  Commendation HWC - .25*40=10L,   Best Ecofriendly DH 10L , Best Ecofriendly SDH/CHC- 5L
3. Liquid Waste Treatment System -Rs.858L   
2DHx198L=396L
2THx132L=264L
1W&amp;Cx198L=198L
 4.Contingencies -Rs.20L 
 District Level Activities  
1.Expenses for Kayakalp Peer Assessment of institutions -Total Rs.148.27 L - 44 DH Level Peer Assessment -Rs.25,000/- each  ,314 SDH/CHC Hospital Peer Assessment Rs.13,000/- each ,846 PHC Peer Assessment - Rs.5000/- ,HWC Peer Assessment -5000/-each  for 1083  (as per target can reduce to functional,now we have taken 20% of 5415)  
2.BIOMEDICAL WASTE MANAGEMENT- Total 315.90L Support for the implementation of Kayakalp particularly in relation BMW management and transversing the gaps observed in ther doain during IA/Peer assessments.
Includes purchase of colour coded bins, puncture proof box, colour coded bags, payment to biomedical waste treatment facility etc. IEC/SOPs/consumables related to BMW management, laundry/ power laundry, STP/ETP 
44 DH-Rs.60,000/- ,87SDH-Rs.60,000/-,227CHC –Rs.30,000/-,846PHC-Rs.20,000/- per institution                                                                                                                                      3.Pest Control- Rs.189.45 L Support for the implementation of Kayakalp and 
transversing the gaps observed. Pest control has to be undertaken and done regularly at the institutions level. For implementing PEST CONTROL MEASURES in 44 DH – Rs.50,000/- ,87 TH – Rs.30,000/-,227 CHC – Rs.25,000/-,846 PHC –Rs.10,000/- per hospital                                                                                                          4.Support for NQAS/KASH/MusQan Implementation for the gap closure in targeted institutions - Total Rs.210 L
At Rs.15L for each District for identified target institutions on priority basis 
5.Total 7L Contingency- District Level Award function and  District Assessment Pest Control Biomedical Rs.50,000/- for each District
</t>
    </r>
    <r>
      <rPr>
        <b/>
        <sz val="12"/>
        <color theme="1"/>
        <rFont val="Times New Roman"/>
        <family val="1"/>
      </rPr>
      <t>IEC &amp; Printing – Rs.109.10L</t>
    </r>
    <r>
      <rPr>
        <sz val="12"/>
        <color theme="1"/>
        <rFont val="Times New Roman"/>
        <family val="1"/>
      </rPr>
      <t xml:space="preserve">
District Level Activities                                                                                                                                                                                      1.(Printing of SOPs necessary for Implementation of NQAS, Kayakalp, LaQshya, MusQan) – Total 109.85 L
44 DH/GH/W&amp;C- Rs.25,000/- (Each Institutions),87 TH - Rs.25,000/- ,227 CHC - Rs.15,000/- ,846PHC -HWC under this PHC the SOP printing amount shall be given by this PHC - Rs.5,000/-(3000+2000)</t>
    </r>
  </si>
  <si>
    <r>
      <rPr>
        <b/>
        <sz val="12"/>
        <color theme="1"/>
        <rFont val="Times New Roman"/>
        <family val="1"/>
      </rPr>
      <t>Diagnostics  Rs.306.40L</t>
    </r>
    <r>
      <rPr>
        <sz val="12"/>
        <color theme="1"/>
        <rFont val="Times New Roman"/>
        <family val="1"/>
      </rPr>
      <t xml:space="preserve">
District Level Activities  
1. Total Rs.306.4 L proposed for Support for the implementation of activities related to hospital cleanliness and infection control (Kayakalp) and traversing the gaps identified during internal /peer/district assessment. Consumables related to implementation of infection control practices in hospital/ hospital laboratory including cost of  water/environmental swab/sample testing, autoclave bags, indicator strips etc
131 DH &amp;TH - @ Rs 1L per hospital- Rs.131 lakhs
227 CHC – @ Rs.40,000/- Rs.90.80lakhs, 846 FHC- @ Rs.10,000/- Rs.84.60 lakhs-</t>
    </r>
    <r>
      <rPr>
        <b/>
        <sz val="12"/>
        <color theme="1"/>
        <rFont val="Times New Roman"/>
        <family val="1"/>
      </rPr>
      <t>Total Rs.306.40 lakhs</t>
    </r>
    <r>
      <rPr>
        <sz val="12"/>
        <color theme="1"/>
        <rFont val="Times New Roman"/>
        <family val="1"/>
      </rPr>
      <t xml:space="preserve">
Capacity building incl.training – Nil
</t>
    </r>
    <r>
      <rPr>
        <b/>
        <sz val="12"/>
        <color theme="1"/>
        <rFont val="Times New Roman"/>
        <family val="1"/>
      </rPr>
      <t>Others including operating costs (OOC) –Rs.2134.02L</t>
    </r>
    <r>
      <rPr>
        <sz val="12"/>
        <color theme="1"/>
        <rFont val="Times New Roman"/>
        <family val="1"/>
      </rPr>
      <t xml:space="preserve">
State Level Activities 
1. Total 72.50 L Kayakalp State External Assessment - DH 25000/- (30),SDH 25000/-(100),PHC 15000/-(140),HWC 15000/- (100)                   
2.Total 312.90L for Kayakalp Award - Award Money for Best DH Rs.50L, Runner Up DH Hospital Rs.20L
Commendation Award DH Rs.3Lx25=75L, Award Money for Best SDH Rs.15L, Runner Up SDH Rs.10L, Commendation Award SDH Rs.1Lx50=50L, Award For Best PHC for each District Rs.2Lx14=28L ,  Commendation Award PHC.0.50x28=14L,   Best HWC 1L *14=14L, 1st Runner Up HWC - .50L*14=7L,  2nd Runner UP HWC .35*14=4.90L  Commendation HWC - .25*40=10L,   Best Ecofriendly DH 10L , Best Ecofriendly SDH/CHC- 5L
3. Liquid Waste Treatment System -Rs.858L   
2DHx198L=396L
2THx132L=264L
1W&amp;Cx198L=198L
 4.Contingencies -Rs.20L 
 District Level Activities  
1.Expenses for Kayakalp Peer Assessment of institutions -Total Rs.148.27 L - 44 DH Level Peer Assessment -Rs.25,000/- each  ,314 SDH/CHC Hospital Peer Assessment Rs.13,000/- each ,846 PHC Peer Assessment - Rs.5000/- ,HWC Peer Assessment -5000/-each  for 1083  (as per target can reduce to functional,now we have taken 20% of 5415)  
2.BIOMEDICAL WASTE MANAGEMENT- Total 315.90L Support for the implementation of Kayakalp particularly in relation BMW management and transversing the gaps observed in ther doain during IA/Peer assessments.
Includes purchase of colour coded bins, puncture proof box, colour coded bags, payment to biomedical waste treatment facility etc. IEC/SOPs/consumables related to BMW management, laundry/ power laundry, STP/ETP 
44 DH-Rs.60,000/- ,87SDH-Rs.60,000/-,227CHC –Rs.30,000/-,846PHC-Rs.20,000/- per institution                                                                                                                                      3.Pest Control- Rs.189.45 L Support for the implementation of Kayakalp and 
transversing the gaps observed. Pest control has to be undertaken and done regularly at the institutions level. For implementing PEST CONTROL MEASURES in 44 DH – Rs.50,000/- ,87 TH – Rs.30,000/-,227 CHC – Rs.25,000/-,846 PHC –Rs.10,000/- per hospital                                                                                                          4.Support for NQAS/KASH/MusQan Implementation for the gap closure in targeted institutions - Total Rs.210 L
At Rs.15L for each District for identified target institutions on priority basis 
5.Total 7L Contingency- District Level Award function and  District Assessment Pest Control Biomedical Rs.50,000/- for each District
</t>
    </r>
    <r>
      <rPr>
        <b/>
        <sz val="12"/>
        <color theme="1"/>
        <rFont val="Times New Roman"/>
        <family val="1"/>
      </rPr>
      <t>IEC &amp; Printing – Rs.109.10L</t>
    </r>
    <r>
      <rPr>
        <sz val="12"/>
        <color theme="1"/>
        <rFont val="Times New Roman"/>
        <family val="1"/>
      </rPr>
      <t xml:space="preserve">
District Level Activities                                                                                                                                                                                      1.(Printing of SOPs necessary for Implementation of NQAS, Kayakalp, LaQshya, MusQan) – Total 109.85 L
44 DH/GH/W&amp;C- Rs.25,000/- (Each Institutions),87 TH - Rs.25,000/- ,227 CHC - Rs.15,000/- ,846PHC -HWC under this PHC the SOP printing amount shall be given by this PHC - Rs.5,000/-(3000+2000)</t>
    </r>
  </si>
  <si>
    <r>
      <rPr>
        <sz val="12"/>
        <color theme="1"/>
        <rFont val="Times New Roman"/>
        <family val="1"/>
      </rPr>
      <t xml:space="preserve">Swacch Swasth Sarvatra – Training in water sanitation and hygiene (WASH).Infection control,Sanitation and Hygiene,Waste Management System.
</t>
    </r>
    <r>
      <rPr>
        <b/>
        <sz val="12"/>
        <color theme="1"/>
        <rFont val="Times New Roman"/>
        <family val="1"/>
      </rPr>
      <t>Capacity building -16L</t>
    </r>
    <r>
      <rPr>
        <sz val="12"/>
        <color theme="1"/>
        <rFont val="Times New Roman"/>
        <family val="1"/>
      </rPr>
      <t xml:space="preserve">
State Level  -  Capacity Building Swacch Swasth Sarvatra(SSS) – 2 L                                                                                                                                   District Level  - Capacity Building Swacch Swasth-14L</t>
    </r>
  </si>
  <si>
    <r>
      <rPr>
        <sz val="12"/>
        <color theme="1"/>
        <rFont val="Times New Roman"/>
        <family val="1"/>
      </rPr>
      <t xml:space="preserve">Swacch Swasth Sarvatra – Training in water sanitation and hygiene (WASH).Infection control,Sanitation and Hygiene,Waste Management System.
</t>
    </r>
    <r>
      <rPr>
        <b/>
        <sz val="12"/>
        <color theme="1"/>
        <rFont val="Times New Roman"/>
        <family val="1"/>
      </rPr>
      <t>Capacity building -16L</t>
    </r>
    <r>
      <rPr>
        <sz val="12"/>
        <color theme="1"/>
        <rFont val="Times New Roman"/>
        <family val="1"/>
      </rPr>
      <t xml:space="preserve">
State Level  -  Capacity Building Swacch Swasth Sarvatra(SSS) – 2 L                                                                                                                                   District Level  - Capacity Building Swacch Swasth-14L</t>
    </r>
  </si>
  <si>
    <r>
      <rPr>
        <b/>
        <sz val="12"/>
        <color theme="1"/>
        <rFont val="Calibri"/>
        <family val="2"/>
      </rPr>
      <t>OOC-Rs.154.44 L</t>
    </r>
    <r>
      <rPr>
        <sz val="12"/>
        <color theme="1"/>
        <rFont val="Calibri"/>
        <family val="2"/>
      </rPr>
      <t xml:space="preserve"> - 39 seats at DISHA 1056 Call centre Rs.3.96 L per seat (This includes ECD call centre also)</t>
    </r>
  </si>
  <si>
    <r>
      <rPr>
        <b/>
        <sz val="12"/>
        <color theme="1"/>
        <rFont val="Calibri"/>
        <family val="2"/>
      </rPr>
      <t>Rs.154.44 L</t>
    </r>
    <r>
      <rPr>
        <sz val="12"/>
        <color theme="1"/>
        <rFont val="Calibri"/>
        <family val="2"/>
      </rPr>
      <t xml:space="preserve"> - 39 seats at DISHA 1056 Call centre Rs.3.96 L per seat (This includes ECD call centre also)</t>
    </r>
  </si>
  <si>
    <r>
      <rPr>
        <b/>
        <sz val="12"/>
        <color theme="1"/>
        <rFont val="Times New Roman"/>
        <family val="1"/>
      </rPr>
      <t xml:space="preserve">Drugs 3995 lakhs
</t>
    </r>
    <r>
      <rPr>
        <sz val="12"/>
        <color theme="1"/>
        <rFont val="Times New Roman"/>
        <family val="1"/>
      </rPr>
      <t xml:space="preserve">Rs.12.60 cr mental health drugs, 3.70 cr for ncd drugs, Rs 23 Crores proposed for ERIG and ARV procurement under NRCP under for free Drugs Services Initiative
Proposing Rs 65 L for Anti Snake Venom (Freeze Dried) Polyvalent INJ 10ml Vial  </t>
    </r>
  </si>
  <si>
    <r>
      <rPr>
        <b/>
        <sz val="12"/>
        <color theme="1"/>
        <rFont val="Times New Roman"/>
        <family val="1"/>
      </rPr>
      <t xml:space="preserve">Drugs 3995lakhs
</t>
    </r>
    <r>
      <rPr>
        <sz val="12"/>
        <color theme="1"/>
        <rFont val="Times New Roman"/>
        <family val="1"/>
      </rPr>
      <t xml:space="preserve">Rs.12.60 cr mental health drugs, 3.70 cr for ncd drugs, Rs 23 Crores proposed for ERIG and ARV procurement under NRCP under for free Drugs Services Initiative
Proposing Rs 65 L for Anti Snake Venom (Freeze Dried) Polyvalent INJ 10ml Vial 
</t>
    </r>
  </si>
  <si>
    <t>1) Rs.861 L for new born screening - Inborn error of metabolism @ Rs.350/- for 246000 cases</t>
  </si>
  <si>
    <t>1) Rs.991.95 L for new born screening - Inborn error of metabolism @ Rs.350/- for 283417 cases</t>
  </si>
  <si>
    <t xml:space="preserve">Proposed for 30 MMU under NHM </t>
  </si>
  <si>
    <r>
      <rPr>
        <b/>
        <sz val="12"/>
        <color theme="1"/>
        <rFont val="Times New Roman"/>
        <family val="1"/>
      </rPr>
      <t>Training Rs.28.56 lakhs</t>
    </r>
    <r>
      <rPr>
        <sz val="12"/>
        <color theme="1"/>
        <rFont val="Times New Roman"/>
        <family val="1"/>
      </rPr>
      <t xml:space="preserve">
Learning Management System - 28.56 L - LMS monitoring platform customization, Server hire charge, Server maintenance and management charge, Fee for setting up of courses
</t>
    </r>
    <r>
      <rPr>
        <b/>
        <sz val="12"/>
        <color theme="1"/>
        <rFont val="Times New Roman"/>
        <family val="1"/>
      </rPr>
      <t>OOC-103.85 lakhs</t>
    </r>
    <r>
      <rPr>
        <sz val="12"/>
        <color theme="1"/>
        <rFont val="Times New Roman"/>
        <family val="1"/>
      </rPr>
      <t xml:space="preserve">
1.15 L for ASHA Software
2. Project proposal for Palliative Grid Home Care System in Kerala.  Rs.36lakhs approved in SPIP 2023-24. Balance amount of Rs.32.34 lakhs proposed
3.Rs.10 L for Monitoring and Evaluation - Developing of Application Patient feedback system
4.Rs.8.85 L for DDFS software AMC
5.Rs.10.00 L for procurement of  Desktop computers/laptop etc,
6.Rs.6.1 L for procurement of bulk SMS
7.Rs.4.54 L for AMC for servers/UPS/Copier
8.Rs.9.52 L for leased line internet connection in Hqrs office
9.Rs.7.50 L for mathrudwani mobile app and voice messages</t>
    </r>
  </si>
  <si>
    <r>
      <rPr>
        <b/>
        <sz val="12"/>
        <color rgb="FF000000"/>
        <rFont val="Times New Roman"/>
        <family val="1"/>
      </rPr>
      <t>Training Rs.31.56 lakhs</t>
    </r>
    <r>
      <rPr>
        <sz val="12"/>
        <color rgb="FF000000"/>
        <rFont val="Times New Roman"/>
        <family val="1"/>
      </rPr>
      <t xml:space="preserve">
Learning Management System - 31.56L - LMS monitoring platform customization, Server hire charge, Server maintenance and management charge, Fee for setting up of courses8 L for ASHA Software 
OOC Rs.46.51 lakhs
Rs.8.85 L for DDFS software AMC
Rs.10.00 L for procurement of 5 Desktop computers/laptop, 
Rs.6.1 L for procurement of bulk SMS
Rs.4.54 L for AMC for servers/UPS/Copier
Rs.9.52 L for leased line internet connection in Hqrs office
Rs.7.50 L for mathrudwani mobile app and voice messages</t>
    </r>
  </si>
  <si>
    <t xml:space="preserve">BMEMP program - Second Phase started , Agency changed , Third Year contract value Rs.33.77 crores
Penalty amount from agency is expecting and hence Rs.27.00Cr only proposed.As per the new policy, new equipments will be added to the inventory and rates revised.  </t>
  </si>
  <si>
    <t>BMEMP program - Second Phase started. FourthYear estimated contract value is Rs.34.17 cores. Considering the penalty amount, Rs.29.70 crores proposed
As per the new policy, new equipments will be added to the inventory and rates revised.</t>
  </si>
  <si>
    <t>Detailed Annexure Attached</t>
  </si>
  <si>
    <r>
      <rPr>
        <b/>
        <sz val="12"/>
        <color theme="1"/>
        <rFont val="Times New Roman"/>
        <family val="1"/>
      </rPr>
      <t>OOC - 670.74 L</t>
    </r>
    <r>
      <rPr>
        <sz val="12"/>
        <color theme="1"/>
        <rFont val="Times New Roman"/>
        <family val="1"/>
      </rPr>
      <t xml:space="preserve">
</t>
    </r>
    <r>
      <rPr>
        <b/>
        <sz val="12"/>
        <color theme="1"/>
        <rFont val="Times New Roman"/>
        <family val="1"/>
      </rPr>
      <t>1.Rs.195.5 L for addl allowance to Medical Officers</t>
    </r>
    <r>
      <rPr>
        <sz val="12"/>
        <color theme="1"/>
        <rFont val="Times New Roman"/>
        <family val="1"/>
      </rPr>
      <t xml:space="preserve">
</t>
    </r>
    <r>
      <rPr>
        <b/>
        <sz val="12"/>
        <color theme="1"/>
        <rFont val="Times New Roman"/>
        <family val="1"/>
      </rPr>
      <t>2.Rs.416 L for health insurance for NHM staff</t>
    </r>
    <r>
      <rPr>
        <sz val="12"/>
        <color theme="1"/>
        <rFont val="Times New Roman"/>
        <family val="1"/>
      </rPr>
      <t xml:space="preserve">
</t>
    </r>
    <r>
      <rPr>
        <b/>
        <sz val="12"/>
        <color theme="1"/>
        <rFont val="Times New Roman"/>
        <family val="1"/>
      </rPr>
      <t>3.Incentive under NVHCP - Total 56,32,630/-</t>
    </r>
    <r>
      <rPr>
        <sz val="12"/>
        <color theme="1"/>
        <rFont val="Times New Roman"/>
        <family val="1"/>
      </rPr>
      <t xml:space="preserve">
 a)Incentives for Medical Officers – 
Rs 13,53,000/- for Rx of 2706 HBV patients @ Rs 500 per patient
Rs 1,29,200 for Rx of 646 HCV patients @ Rs 200 per patient
b)Incentives for Lab Technicians
Rs 14,31,685/- for HBV Screening, confirmatory and follow up testing  of 286337 persons @ Rs 5/person
Rs 25,91,125/- for HCV Screening, confirmatory and follow up testing of 518225 persons @ Rs 5/person
c)Incentives for Pharmacists
Rs 1,08,240/- for dispensation and counseling to 2706 HBV patients @ Rs 40 per patient
Rs 19,380/- for dispensation and counseling to 646 HCV patients @ Rs 30 per patient
</t>
    </r>
    <r>
      <rPr>
        <b/>
        <sz val="12"/>
        <color theme="1"/>
        <rFont val="Times New Roman"/>
        <family val="1"/>
      </rPr>
      <t xml:space="preserve"> 4.Rs2.91 L under provider incentive for PPIUCD and PAIUCD</t>
    </r>
  </si>
  <si>
    <r>
      <rPr>
        <b/>
        <sz val="12"/>
        <color theme="1"/>
        <rFont val="Times New Roman"/>
        <family val="1"/>
      </rPr>
      <t>OOC - 712.74 L
1.Rs.195.5 L for addl allowance to Medical Officers</t>
    </r>
    <r>
      <rPr>
        <sz val="12"/>
        <color theme="1"/>
        <rFont val="Times New Roman"/>
        <family val="1"/>
      </rPr>
      <t xml:space="preserve">
</t>
    </r>
    <r>
      <rPr>
        <b/>
        <sz val="12"/>
        <color theme="1"/>
        <rFont val="Times New Roman"/>
        <family val="1"/>
      </rPr>
      <t>2.Rs.458L for health insurance for NHM staff</t>
    </r>
    <r>
      <rPr>
        <sz val="12"/>
        <color theme="1"/>
        <rFont val="Times New Roman"/>
        <family val="1"/>
      </rPr>
      <t xml:space="preserve">
</t>
    </r>
    <r>
      <rPr>
        <b/>
        <sz val="12"/>
        <color theme="1"/>
        <rFont val="Times New Roman"/>
        <family val="1"/>
      </rPr>
      <t>3.Incentive under NVHCP - Total 56,32,630/-</t>
    </r>
    <r>
      <rPr>
        <sz val="12"/>
        <color theme="1"/>
        <rFont val="Times New Roman"/>
        <family val="1"/>
      </rPr>
      <t xml:space="preserve">
 a)Incentives for Medical Officers – 
Rs 13,53,000/- for Rx of 2706 HBV patients @ Rs 500 per patient
Rs 1,29,200 for Rx of 646 HCV patients @ Rs 200 per patient
b)Incentives for Lab Technicians
Rs 14,31,685/- for HBV Screening, confirmatory and follow up testing  of 286337 persons @ Rs 5/person
Rs 25,91,125/- for HCV Screening, confirmatory and follow up testing of 518225 persons @ Rs 5/person
c)Incentives for Pharmacists
Rs 1,08,240/- for dispensation and counseling to 2706 HBV patients @ Rs 40 per patient
Rs 19,380/- for dispensation and counseling to 646 HCV patients @ Rs 30 per patient   
</t>
    </r>
    <r>
      <rPr>
        <b/>
        <sz val="12"/>
        <color theme="1"/>
        <rFont val="Times New Roman"/>
        <family val="1"/>
      </rPr>
      <t>4.Rs2.91 L under provider incentive for PPIUCD and PAIUCD</t>
    </r>
  </si>
  <si>
    <r>
      <rPr>
        <b/>
        <sz val="12"/>
        <color theme="1"/>
        <rFont val="Times New Roman"/>
        <family val="1"/>
      </rPr>
      <t xml:space="preserve">Capacity Building and Training Rs.195.27 lakhs
</t>
    </r>
    <r>
      <rPr>
        <sz val="12"/>
        <color theme="1"/>
        <rFont val="Times New Roman"/>
        <family val="1"/>
      </rPr>
      <t>1.GH Tvm - 51.14 L - Academic ambience, Library and learning resources , Procurement of instruments,  Registration/renewal fees for accreditation 
2.MHC Tvm - 7 L  - Library and learning resources,CME in Psychiatry, Expenses for conducting IEC &amp; Scientific Committee
3.GH Ernakulam - 10.10 L 
4.DH Palakkad - 15 L  
5.GH Kozhikode - 70.36 L - Stipend for accredited seats Rs. 51,36,000/ - [ DNB Medicines Rs.53000*2*12 + Rs.54000*2*12 = Rs. 2568000  and for Diploma Ophthalmology Rs.53000*2*12 + Rs.54000*2*12 = Rs. 2568000] 
6.MHC Kozhikode - 34.63 L
7.DH Kannur - 7.04 L - Library and learning resources, Academic activities</t>
    </r>
  </si>
  <si>
    <r>
      <rPr>
        <b/>
        <sz val="12"/>
        <color rgb="FF000000"/>
        <rFont val="Times New Roman"/>
        <family val="1"/>
      </rPr>
      <t xml:space="preserve">Capacity Building and Training Rs.189.15lakhs
</t>
    </r>
    <r>
      <rPr>
        <sz val="12"/>
        <color rgb="FF000000"/>
        <rFont val="Times New Roman"/>
        <family val="1"/>
      </rPr>
      <t>1.GH Tvm - 51.25 L - Academic ambience, Library and learning resources , Procurement of instruments, Research Grants &amp; Registration/renewal fees for accreditation 
2.MHC Tvm - 6 L -  Library and learning resources ,CME in Psychiatry, Expenses for conducting IEC &amp; Scientific Committee
3.GH Ernakulam - 18.47 L 
4.DH Palakkad - 15 L
5.MHC Kozhikode - 9.33 L - Academic ambience, CME fund, books,  Procurement of instruments
6.GH Kozhikode - 83.56 L - Stipend for accredited seats Rs. 64,56,000/ -(  DNB Medicine for 1st year Rs.53000*2*12 +  2nd year Rs.54000*2*12 + 3rd year Rs.55000*2*12 = Rs. 38,88,000  and for Diploma Ophthalmology 1st year  Rs.53000*2*12 + 2nd year Rs.54000*2*12  = Rs. 2568000 ) 
7DH kannur - 5.54 L - Academic activities, renewal fee, purchase of books and equipment</t>
    </r>
  </si>
  <si>
    <t>Training Rs.86.25 lakhs 
1.State skill lab Tvm - 23.25L  
2.Kottayam - 18L 
3.Ernakulam - 18 L
4.Wayanad - 6L  
5.Palakkad - 3L 
6.Kozhikode - 18 L
Infrastructure - Amount Proposed 24-25 (Rs. In lakhs) : Rs. 306 L
•         Ongoing works – Rs 133 L
1.        Training Centre Chevayur (TC – 190 L) - 133 L 
•  New works – Rs 173 L
1. Training Centre Alapuzha (Rs 155L)- 31 L
2. Skill lab Malappuram (TC-333 L)- 66.6 L
3. Training Centre Wayanad (TC-179 L)-35.8 L
4. Training Centre Kannur(TC-197 L)-39.4 L</t>
  </si>
  <si>
    <t>State skill lab Tvm - 38.94 L - for the procurement of manikins &amp; training
 Kottayam - 24L -  training 
Ernakulam - 25.54L - infrastructure, procurement of manikins &amp; training 
Kozhikode - 8.79 L
Wayanad 16 lks, Palakkad 16 lakhs
Infrastructure - Amount proposed 25-26 (Rs. In lakhs) : Rs. 345.6 L
•         Ongoing works – Rs 345.6 L
1. Training Centre Alapuzha (Rs 155L)- 31 L
2. Skill lab Malappuram (TC-333 L)- 66.6 L
3. Training Centre Wayanad (TC-179 L)-35.8 L
4. Training Centre Kannur(TC-197 L)-39.4 L</t>
  </si>
  <si>
    <t>Operational cost for SHSRC</t>
  </si>
  <si>
    <r>
      <rPr>
        <b/>
        <sz val="12"/>
        <color theme="1"/>
        <rFont val="Times New Roman"/>
        <family val="1"/>
      </rPr>
      <t>Training Rs.27.80 lakhs</t>
    </r>
    <r>
      <rPr>
        <sz val="12"/>
        <color theme="1"/>
        <rFont val="Times New Roman"/>
        <family val="1"/>
      </rPr>
      <t xml:space="preserve">
4 training cum review meeting for Monitoring &amp; Evaluation @unit cost of 50000/- ie, 2 Lakh at State Level
 Training for data handling at state level @unit cost of 20000/- for excel VBA, Access-SQL for 20 participants under </t>
    </r>
    <r>
      <rPr>
        <b/>
        <sz val="12"/>
        <color theme="1"/>
        <rFont val="Times New Roman"/>
        <family val="1"/>
      </rPr>
      <t>Monitoring &amp; Evaluation  ie, 4  Lakh at State Level</t>
    </r>
    <r>
      <rPr>
        <sz val="12"/>
        <color theme="1"/>
        <rFont val="Times New Roman"/>
        <family val="1"/>
      </rPr>
      <t xml:space="preserve">
4 training cum review meeting for each district for Monitoring &amp; Evaluation @unit cost of 20000/- ie, 11.2 Lakh for all districts (14 district)
</t>
    </r>
    <r>
      <rPr>
        <b/>
        <sz val="12"/>
        <color theme="1"/>
        <rFont val="Times New Roman"/>
        <family val="1"/>
      </rPr>
      <t>IEC-3 L-Development of State Communication strategy</t>
    </r>
    <r>
      <rPr>
        <sz val="12"/>
        <color theme="1"/>
        <rFont val="Times New Roman"/>
        <family val="1"/>
      </rPr>
      <t xml:space="preserve">
Planning and M&amp;E-PMU Trainings, DAP, Audit fees, mobility support, other overhead expenses
State review mission on alternate months (4 district) @unit cost 4 Lakh for each district ie,</t>
    </r>
    <r>
      <rPr>
        <b/>
        <sz val="12"/>
        <color theme="1"/>
        <rFont val="Times New Roman"/>
        <family val="1"/>
      </rPr>
      <t xml:space="preserve"> Rs/- 16 Lakh </t>
    </r>
    <r>
      <rPr>
        <sz val="12"/>
        <color theme="1"/>
        <rFont val="Times New Roman"/>
        <family val="1"/>
      </rPr>
      <t>- Under Monitoring &amp; Evaluation
District  review mission  on quarterly at district level @unit cost 20000/- bimonthly for each district ie, 1.2 Lakh for each district ie, 5.60 Lakh for 14 district - Under Monitoring &amp; Evaluation</t>
    </r>
  </si>
  <si>
    <r>
      <rPr>
        <b/>
        <sz val="12"/>
        <color theme="1"/>
        <rFont val="Times New Roman"/>
        <family val="1"/>
      </rPr>
      <t>Training Rs.27.80 lakhs</t>
    </r>
    <r>
      <rPr>
        <sz val="12"/>
        <color theme="1"/>
        <rFont val="Times New Roman"/>
        <family val="1"/>
      </rPr>
      <t xml:space="preserve">
4 training cum review meeting for Monitoring &amp; Evaluation @unit cost of 50000/- ie, 2 Lakh at State Level
 Training for data handling at state level @unit cost of 20000/- for excel VBA, Access-SQL for 20 participants under Monitoring &amp; Evaluation  ie, 4  Lakh at State Level
4 training cum review meeting for each district for Monitoring &amp; Evaluation @unit cost of 20000/- ie,</t>
    </r>
    <r>
      <rPr>
        <b/>
        <sz val="12"/>
        <color theme="1"/>
        <rFont val="Times New Roman"/>
        <family val="1"/>
      </rPr>
      <t xml:space="preserve"> 11.2 Lakh</t>
    </r>
    <r>
      <rPr>
        <sz val="12"/>
        <color theme="1"/>
        <rFont val="Times New Roman"/>
        <family val="1"/>
      </rPr>
      <t xml:space="preserve"> for all districts (14 district)
</t>
    </r>
    <r>
      <rPr>
        <b/>
        <sz val="12"/>
        <color theme="1"/>
        <rFont val="Times New Roman"/>
        <family val="1"/>
      </rPr>
      <t>IEC-3 L</t>
    </r>
    <r>
      <rPr>
        <sz val="12"/>
        <color theme="1"/>
        <rFont val="Times New Roman"/>
        <family val="1"/>
      </rPr>
      <t>-Development of State Communication strategy
Planning and M&amp;E-PMU Trainings, DAP, Audit fees, mobility support, other overhead expenses
State review mission on alternate months (4 district) @unit cost 4 Lakh for each district ie, Rs/- 16 Lakh - Under Monitoring &amp; Evaluation
District  review mission  on quarterly at district level @unit cost 20000/- bimonthly for each district ie, 1.2 Lakh for each district ie,</t>
    </r>
    <r>
      <rPr>
        <b/>
        <sz val="12"/>
        <color theme="1"/>
        <rFont val="Times New Roman"/>
        <family val="1"/>
      </rPr>
      <t xml:space="preserve"> 5.60 Lakh for 14 district - Under Monitoring &amp; Evaluation</t>
    </r>
  </si>
  <si>
    <r>
      <rPr>
        <b/>
        <sz val="12"/>
        <color rgb="FF000000"/>
        <rFont val="Times New Roman"/>
        <family val="1"/>
      </rPr>
      <t>Planning and M&amp;E Rs.38.10 lakhs</t>
    </r>
    <r>
      <rPr>
        <sz val="12"/>
        <color rgb="FF000000"/>
        <rFont val="Times New Roman"/>
        <family val="1"/>
      </rPr>
      <t xml:space="preserve">
State level training:2 lakhs for 2 Training for HMIS/RCH @unit cost 2 Lakhs for District Statisticians &amp; JC MIS,MCH,DPHN, 
Rs.1 lakh for State officials 2 Mid term review for HMIS/RCH @unit cost 50000/- for ,District statisticians &amp; JC MIS ,MCH,DPHN,Block representatives,
State officials Meeting for private facility officials @unit cost 50000 /-
District level training 10 HMIS / RCH training cum review meeting @ unit cost 10000/- at District level Rs.1400000/-
2 HMIS / RCH training cum review meeting per health Block @ unit cost 10000/- Rs.18.60lakhs
</t>
    </r>
    <r>
      <rPr>
        <b/>
        <sz val="12"/>
        <color rgb="FF000000"/>
        <rFont val="Times New Roman"/>
        <family val="1"/>
      </rPr>
      <t>IEC &amp; Printing Rs.24.03 lakhs</t>
    </r>
    <r>
      <rPr>
        <sz val="12"/>
        <color rgb="FF000000"/>
        <rFont val="Times New Roman"/>
        <family val="1"/>
      </rPr>
      <t xml:space="preserve">
Rs. 1 lakh is proposed for printing HMIS factsheet which should be printed quarterly (4 Quarters) at the cost of Rs. 25000/-. at state level.
Rs. 23.03 lakhs has been proposed for printing HMIS formats ie new HMIS data reporting formats both Monthly and Infrastructure data as well as HMIS New Data elements /Indicators definitions for all public health institutions in each districts.
</t>
    </r>
    <r>
      <rPr>
        <b/>
        <sz val="12"/>
        <color rgb="FF000000"/>
        <rFont val="Times New Roman"/>
        <family val="1"/>
      </rPr>
      <t xml:space="preserve"> SRRE -32.25 lakhs</t>
    </r>
    <r>
      <rPr>
        <sz val="12"/>
        <color rgb="FF000000"/>
        <rFont val="Times New Roman"/>
        <family val="1"/>
      </rPr>
      <t xml:space="preserve">
E Health Annual Charges of UPHC  (85*.35)+ State Hub 2.5 L</t>
    </r>
  </si>
  <si>
    <r>
      <rPr>
        <b/>
        <sz val="12"/>
        <color rgb="FF000000"/>
        <rFont val="Times New Roman"/>
        <family val="1"/>
      </rPr>
      <t>Planning and M&amp;E Rs.38.10 lakhs</t>
    </r>
    <r>
      <rPr>
        <sz val="12"/>
        <color rgb="FF000000"/>
        <rFont val="Times New Roman"/>
        <family val="1"/>
      </rPr>
      <t xml:space="preserve">
State level training:2 lakhs for 2 Training for HMIS/RCH @unit cost 2 Lakhs for District Statisticians &amp; JC MIS,MCH,DPHN, 
Rs.1 lakh for State officials 2 Mid term review for HMIS/RCH @unit cost 50000/- for ,District statisticians &amp; JC MIS ,MCH,DPHN,Block representatives,
State officials Meeting for private facility officials @unit cost 50000 /-
District level training 10 HMIS / RCH training cum review meeting @ unit cost 10000/- at District level Rs.1400000/-
2 HMIS / RCH training cum review meeting per health Block @ unit cost 10000/- Rs.18.60lakhs
</t>
    </r>
    <r>
      <rPr>
        <b/>
        <sz val="12"/>
        <color rgb="FF000000"/>
        <rFont val="Times New Roman"/>
        <family val="1"/>
      </rPr>
      <t>IEC &amp; Printing Rs.24.03 lakhs</t>
    </r>
    <r>
      <rPr>
        <sz val="12"/>
        <color rgb="FF000000"/>
        <rFont val="Times New Roman"/>
        <family val="1"/>
      </rPr>
      <t xml:space="preserve">
Rs. 1 lakh is proposed for printing HMIS factsheet which should be printed quarterly (4 Quarters) at the cost of Rs. 25000/-. at state level.
Rs. 23.03 lakhs has been proposed for printing HMIS formats ie new HMIS data reporting formats both Monthly and Infrastructure data as well as HMIS New Data elements /Indicators definitions for all public health institutions in each districts.
</t>
    </r>
    <r>
      <rPr>
        <b/>
        <sz val="12"/>
        <color rgb="FF000000"/>
        <rFont val="Times New Roman"/>
        <family val="1"/>
      </rPr>
      <t xml:space="preserve"> SRRE -32.25 lakhs</t>
    </r>
    <r>
      <rPr>
        <sz val="12"/>
        <color rgb="FF000000"/>
        <rFont val="Times New Roman"/>
        <family val="1"/>
      </rPr>
      <t xml:space="preserve">
E Health Annual Charges of UPHC  ( 85*.35)+ State Hub 2.5 L</t>
    </r>
  </si>
  <si>
    <r>
      <rPr>
        <b/>
        <sz val="12"/>
        <color theme="1"/>
        <rFont val="Times New Roman"/>
        <family val="1"/>
      </rPr>
      <t xml:space="preserve">Capacity Buidling Rs.7.40 lakhs
</t>
    </r>
    <r>
      <rPr>
        <sz val="12"/>
        <color theme="1"/>
        <rFont val="Times New Roman"/>
        <family val="1"/>
      </rPr>
      <t>1. Proposing for Training  - for Specialist doctors, MOs, Staff Nurse, MLSP, Palliative care staffs, ASHA workers, RBSK Nurses, UPHC Staffs, JPHN, JHI, Medical College. Training Expenses per batch (participants - 50,Full day) - Rs. 1,30,000/- per batch.For 3 batches -Rs. 3,90,000/-</t>
    </r>
    <r>
      <rPr>
        <b/>
        <sz val="12"/>
        <color theme="1"/>
        <rFont val="Times New Roman"/>
        <family val="1"/>
      </rPr>
      <t xml:space="preserve">
</t>
    </r>
    <r>
      <rPr>
        <sz val="12"/>
        <color theme="1"/>
        <rFont val="Times New Roman"/>
        <family val="1"/>
      </rPr>
      <t xml:space="preserve">Content Amount (Rs.1,30,000/-)
(Stationery (Rs. 150*50-7500/-), Food (Rs. 450*50-Rs. 22,500), Travel Expenses (TA/DA for participants- Rs. 2000*50- Rs. 1,00,000)
2. District level Training 
14  batch @ Rs.25000/- -3,50,000/- 
((Stationery (Rs. 100*50-5000/-), Food (Rs. 350*50-Rs. 17,500), Misc -2500)
</t>
    </r>
    <r>
      <rPr>
        <b/>
        <sz val="12"/>
        <color theme="1"/>
        <rFont val="Times New Roman"/>
        <family val="1"/>
      </rPr>
      <t xml:space="preserve">OOC-Rs.868.25 lakhs
</t>
    </r>
    <r>
      <rPr>
        <sz val="12"/>
        <color theme="1"/>
        <rFont val="Times New Roman"/>
        <family val="1"/>
      </rPr>
      <t xml:space="preserve">1) Proposing Remuneration for Doctors- Rs. 815.05 Lakhs 
Speciality doctor  64, number of calls 30 @ Rs.100/- 313  days -Rs.600.96 lakhs    
MBBS doctor- 36, number of calls 38 @ Rs.50/- 313  days -Rs.214.09 lakhs 
II) Rs.53.20 lakhs for Establishment of Telemedicine units at district level. Total 147 units.proposed for 76 units @ Rs.70000/- for 2024-25
</t>
    </r>
    <r>
      <rPr>
        <b/>
        <sz val="12"/>
        <color theme="1"/>
        <rFont val="Times New Roman"/>
        <family val="1"/>
      </rPr>
      <t>Planning &amp; M&amp;E Rs.2 lakhs</t>
    </r>
    <r>
      <rPr>
        <sz val="12"/>
        <color theme="1"/>
        <rFont val="Times New Roman"/>
        <family val="1"/>
      </rPr>
      <t xml:space="preserve">
1. State review meeting Rs.1,30,000/- 
2.Quarterly review at district level @5000/- per district -Rs.70,000/-</t>
    </r>
  </si>
  <si>
    <r>
      <rPr>
        <b/>
        <sz val="12"/>
        <color theme="1"/>
        <rFont val="Times New Roman"/>
        <family val="1"/>
      </rPr>
      <t xml:space="preserve">OOC-Rs.864.75 lakhs
</t>
    </r>
    <r>
      <rPr>
        <sz val="12"/>
        <color theme="1"/>
        <rFont val="Times New Roman"/>
        <family val="1"/>
      </rPr>
      <t xml:space="preserve">1) Proposing Remuneration for Doctors- Rs. 815.05 Lakhs 
Speciality doctor  64, number of calls 30 @ Rs.100/- 313  days -Rs.600.96 lakhs    
MBBS doctor- 36, number of calls 38 @ Rs.50/- 313  days -Rs.214.09 lakhs 
II) Rs.49.70 lakhs for Establishment of Telemedicine units at district level. Total 147 units.proposed for 71 units @ Rs.70000/- 2025-26
</t>
    </r>
    <r>
      <rPr>
        <b/>
        <sz val="12"/>
        <color theme="1"/>
        <rFont val="Times New Roman"/>
        <family val="1"/>
      </rPr>
      <t>Planning &amp; M&amp;E Rs.2 lakhs</t>
    </r>
    <r>
      <rPr>
        <sz val="12"/>
        <color theme="1"/>
        <rFont val="Times New Roman"/>
        <family val="1"/>
      </rPr>
      <t xml:space="preserve">
1. State review meeting Rs.1,30,000/- 
2.Quarterly review at district level @5000/- per district -70,000/-</t>
    </r>
  </si>
  <si>
    <r>
      <rPr>
        <b/>
        <sz val="12"/>
        <color theme="1"/>
        <rFont val="Times New Roman"/>
        <family val="1"/>
      </rPr>
      <t xml:space="preserve">SRRE Rs.29.50 lakhs </t>
    </r>
    <r>
      <rPr>
        <sz val="12"/>
        <color theme="1"/>
        <rFont val="Times New Roman"/>
        <family val="1"/>
      </rPr>
      <t xml:space="preserve">
1.Rs.26 L for continuing education for 1000 ASHAs @ RS. 2600 per ASHA . 
2.Healthcare needs of Transgender Individuals undergoing Gender Affirming Surgery in Kerala @ Rs.3.5 L</t>
    </r>
  </si>
  <si>
    <r>
      <rPr>
        <b/>
        <sz val="12"/>
        <color rgb="FF000000"/>
        <rFont val="Times New Roman"/>
        <family val="1"/>
      </rPr>
      <t>SRRE Rs.38lakhs</t>
    </r>
    <r>
      <rPr>
        <sz val="12"/>
        <color rgb="FF000000"/>
        <rFont val="Times New Roman"/>
        <family val="1"/>
      </rPr>
      <t xml:space="preserve">
Rs.38L for continuing education for 1000 ASHAs including exam fees (Course fees 2300+exam fees 1500)
</t>
    </r>
  </si>
  <si>
    <r>
      <rPr>
        <b/>
        <sz val="12"/>
        <color theme="1"/>
        <rFont val="Calibri, sans-serif"/>
      </rPr>
      <t>Untied Funds Rs3262.60</t>
    </r>
    <r>
      <rPr>
        <sz val="12"/>
        <color theme="1"/>
        <rFont val="Calibri, sans-serif"/>
      </rPr>
      <t xml:space="preserve">
 Rs.90 lakhs for36DH/GH @ Rs.250000/-, Rs.87 lakhs for 87 SDH @ Rs.1,00,000/- , Rs.169.50 lakhs for 226 CHC @ Rs.75000/-, Rs.425.50 lakhs for 851 PHC @ Rs.50000/- , Rs.541.50lakhs for 5415 subcentre @ Rs.10000/-, Rs.1949.10 lakhs for 19491 VHSC @ Rs.10000/-</t>
    </r>
  </si>
  <si>
    <r>
      <rPr>
        <b/>
        <sz val="12"/>
        <color theme="1"/>
        <rFont val="Calibri, sans-serif"/>
      </rPr>
      <t>Untied Funds Rs.3317.60</t>
    </r>
    <r>
      <rPr>
        <sz val="12"/>
        <color theme="1"/>
        <rFont val="Calibri, sans-serif"/>
      </rPr>
      <t xml:space="preserve">
 Rs.90 lakhs for36DH/GH @ Rs.250000/-, Rs.87 lakhs for 87 SDH @ Rs.1,00,000/- , Rs.169.50 lakhs for 226 CHC @ Rs.75000/-, Rs.425.50 lakhs for 851 PHC @ Rs.50000/- , Rs.541.50lakhs for 5415 subcentre @ Rs.10000/-, Rs.1949.10 lakhs for 19491 VHSC @ Rs.10000/-, Rs.55 lakhs for 22 Other Sepcailaity Hospitals @ Rs.250000</t>
    </r>
  </si>
  <si>
    <t xml:space="preserve">  </t>
  </si>
  <si>
    <r>
      <rPr>
        <b/>
        <sz val="12"/>
        <color rgb="FF000000"/>
        <rFont val="Times New Roman"/>
        <family val="1"/>
      </rPr>
      <t xml:space="preserve">Training Rs.8.19 lakhs
</t>
    </r>
    <r>
      <rPr>
        <sz val="12"/>
        <color rgb="FF000000"/>
        <rFont val="Times New Roman"/>
        <family val="1"/>
      </rPr>
      <t xml:space="preserve">1. Approved Rs 5.4515 L for state level training and Rs 2.738 L @ Rs 19560 per district for training
</t>
    </r>
    <r>
      <rPr>
        <b/>
        <sz val="12"/>
        <color rgb="FF000000"/>
        <rFont val="Times New Roman"/>
        <family val="1"/>
      </rPr>
      <t xml:space="preserve">Planning and M&amp;E Rs.16 lakhs
</t>
    </r>
    <r>
      <rPr>
        <sz val="12"/>
        <color rgb="FF000000"/>
        <rFont val="Times New Roman"/>
        <family val="1"/>
      </rPr>
      <t>1.Approved Rs 8 L- Rs 1 L for State level and Rs 7 L@ Rs 0.50 L) for distrcit level Meeting Costs/Office expenses/contingency
2. Approved Rs 8 L- Rs 1 L for State level and Rs 7 L@ Rs 0.50 L) for distrcit level  Surveillance &amp; Monitoring</t>
    </r>
  </si>
  <si>
    <r>
      <rPr>
        <b/>
        <sz val="12"/>
        <color rgb="FF000000"/>
        <rFont val="Times New Roman"/>
        <family val="1"/>
      </rPr>
      <t xml:space="preserve">Training Rs.8.19 lakhs
</t>
    </r>
    <r>
      <rPr>
        <sz val="12"/>
        <color rgb="FF000000"/>
        <rFont val="Times New Roman"/>
        <family val="1"/>
      </rPr>
      <t xml:space="preserve">1. Approved Rs 5.4515 L for state level training and Rs 2.738 L @ Rs 19560 per district for training
</t>
    </r>
    <r>
      <rPr>
        <b/>
        <sz val="12"/>
        <color rgb="FF000000"/>
        <rFont val="Times New Roman"/>
        <family val="1"/>
      </rPr>
      <t xml:space="preserve">Planning and M&amp;E Rs.16 lakhs
</t>
    </r>
    <r>
      <rPr>
        <sz val="12"/>
        <color rgb="FF000000"/>
        <rFont val="Times New Roman"/>
        <family val="1"/>
      </rPr>
      <t>1.Approved Rs 8 L- Rs 1 L for State level and Rs 7 L@ Rs 0.50 L) for distrcit level Meeting Costs/Office expenses/contingency
2. Approved Rs 8 L- Rs 1 L for State level and Rs 7 L@ Rs 0.50 L) for distrcit level  Surveillance &amp; Monitoring</t>
    </r>
  </si>
  <si>
    <r>
      <t>Central supplies (Kind grants)</t>
    </r>
    <r>
      <rPr>
        <sz val="11"/>
        <color theme="1"/>
        <rFont val="Calibri"/>
        <family val="2"/>
      </rPr>
      <t xml:space="preserve"> (To be provided by the PDs)</t>
    </r>
  </si>
  <si>
    <r>
      <rPr>
        <b/>
        <sz val="11"/>
        <color theme="1"/>
        <rFont val="Calibri"/>
        <family val="2"/>
      </rPr>
      <t>Equipments</t>
    </r>
    <r>
      <rPr>
        <sz val="11"/>
        <color theme="1"/>
        <rFont val="Calibri"/>
        <family val="2"/>
      </rPr>
      <t xml:space="preserve">
MVA/EVA for comprehensive abortion care @ Rs.1000/-
</t>
    </r>
    <r>
      <rPr>
        <b/>
        <sz val="11"/>
        <color theme="1"/>
        <rFont val="Calibri"/>
        <family val="2"/>
      </rPr>
      <t xml:space="preserve">Training
</t>
    </r>
    <r>
      <rPr>
        <sz val="11"/>
        <color theme="1"/>
        <rFont val="Calibri"/>
        <family val="2"/>
      </rPr>
      <t>MMA training -5 participants in one batch @ Rs 32000/-, MVA/MMA training for Gynaecologist - 40 participants in one batch @ Rs 50000/-</t>
    </r>
  </si>
  <si>
    <r>
      <rPr>
        <b/>
        <sz val="11"/>
        <color theme="1"/>
        <rFont val="Calibri"/>
        <family val="2"/>
      </rPr>
      <t xml:space="preserve">2024-25
</t>
    </r>
    <r>
      <rPr>
        <sz val="11"/>
        <color theme="1"/>
        <rFont val="Calibri"/>
        <family val="2"/>
      </rPr>
      <t xml:space="preserve">1Equipments
Color coded hand ties for mother and child identification for 8 LaQshya targeted facilities  (18016 delivery x2noxRs.10 = 3.60L)
2.Capacity building incl. training s for district level 
LaQshya training @ Rs 0.75 L /Districts 
2.Operational Cost for District level activities 
Rs 1 lakh for gap closure identified during internal/District assessment.
Rs.2 lakhs for National/state assessment as per NQAS operational guidelines
</t>
    </r>
    <r>
      <rPr>
        <b/>
        <sz val="11"/>
        <color theme="1"/>
        <rFont val="Calibri"/>
        <family val="2"/>
      </rPr>
      <t>2025-26</t>
    </r>
    <r>
      <rPr>
        <sz val="11"/>
        <color theme="1"/>
        <rFont val="Calibri"/>
        <family val="2"/>
      </rPr>
      <t xml:space="preserve">
1Equipments
Color coded hand ties for mother and child identification for 8 LaQshya targeted facilities  (19740 delivery x2noxRs.10 = 3.95L)
2.Capacity building incl. training s for district level 
LaQshya training @ Rs 1L /District 
2.Operational Cost for District level activities 
Rs 1 lakh for gap closure identified during internal/District assessment.
Rs.2 lakhs for National/state assessment as per NQAS operational guidelines</t>
    </r>
  </si>
  <si>
    <r>
      <t xml:space="preserve">IEC &amp; PRINTING- 3.65L (Activity breakup details attached)
OOC: 6 RCH camps @ 15000/-= 0.9L
</t>
    </r>
    <r>
      <rPr>
        <b/>
        <sz val="11"/>
        <color theme="1"/>
        <rFont val="Calibri"/>
        <family val="2"/>
      </rPr>
      <t>2025-26</t>
    </r>
    <r>
      <rPr>
        <sz val="11"/>
        <color theme="1"/>
        <rFont val="Calibri"/>
        <family val="2"/>
      </rPr>
      <t xml:space="preserve">
Training -One batch RTI/STI training for MO @ Rs.50000/- </t>
    </r>
  </si>
  <si>
    <r>
      <rPr>
        <b/>
        <sz val="11"/>
        <color theme="1"/>
        <rFont val="Calibri"/>
        <family val="2"/>
      </rPr>
      <t xml:space="preserve">OOC- Tribal camps </t>
    </r>
    <r>
      <rPr>
        <sz val="11"/>
        <color theme="1"/>
        <rFont val="Calibri"/>
        <family val="2"/>
      </rPr>
      <t xml:space="preserve">
Specialist camps-6@15000/-, Health Class-20@1500/-</t>
    </r>
  </si>
  <si>
    <r>
      <rPr>
        <b/>
        <sz val="11"/>
        <color theme="1"/>
        <rFont val="Calibri"/>
        <family val="2"/>
      </rPr>
      <t>Drugs and Diagnostics</t>
    </r>
    <r>
      <rPr>
        <sz val="11"/>
        <color theme="1"/>
        <rFont val="Calibri"/>
        <family val="2"/>
      </rPr>
      <t>: Total estimated delivery is 18273. it is assumed 15% sick and 2741 cases budgeted for drugs and diagnostics @ Rs.200/- each</t>
    </r>
  </si>
  <si>
    <r>
      <rPr>
        <b/>
        <sz val="11"/>
        <color theme="1"/>
        <rFont val="Calibri"/>
        <family val="2"/>
      </rPr>
      <t xml:space="preserve">OOC </t>
    </r>
    <r>
      <rPr>
        <sz val="11"/>
        <color theme="1"/>
        <rFont val="Calibri"/>
        <family val="2"/>
      </rPr>
      <t xml:space="preserve">: 2741 cases budgeted for transport @ Rs.500/- </t>
    </r>
  </si>
  <si>
    <r>
      <rPr>
        <b/>
        <sz val="11"/>
        <color theme="1"/>
        <rFont val="Calibri"/>
        <family val="2"/>
      </rPr>
      <t>Capacity Building</t>
    </r>
    <r>
      <rPr>
        <sz val="11"/>
        <color theme="1"/>
        <rFont val="Calibri"/>
        <family val="2"/>
      </rPr>
      <t xml:space="preserve"> -Training - for 1) 4 days hybrid (1 day + 3 days online) training of MOs @Rs 70000/ batch (40 Nos.) - Rs 0.70 L
  2) AFHS 3 hybrid (1 day + 2 days online) training of ANM/LHV/MPW/other healthworkers @Rs. 50000/ batch (40 Nos.) - Rs 0.50 L
</t>
    </r>
    <r>
      <rPr>
        <b/>
        <sz val="11"/>
        <color theme="1"/>
        <rFont val="Calibri"/>
        <family val="2"/>
      </rPr>
      <t xml:space="preserve"> OOC</t>
    </r>
    <r>
      <rPr>
        <sz val="11"/>
        <color theme="1"/>
        <rFont val="Calibri"/>
        <family val="2"/>
      </rPr>
      <t xml:space="preserve"> 
- 1) Operating expenses for AH/RKSK clinics: AH/RKSK centre Rs. 12000/centre * no of AFHCs (TVM-4 AFHC ) - 0.48 L
 2) Mobility support to counsellors for conducting 8 outreach session / month for 12 months @Rs.400/session. (Tvm 4 counsellors) - 1.53 L
3) As communication support to 94 GOI AH counsellors @ Rs.250 /month for 12 months. ie 2.82 L ( 4 * 250 *12 ) 
4) Bi-annual district level convergence workshop under RKSK - Rs 5000/batch ie 5000*2 = Rs 0.100 L
</t>
    </r>
    <r>
      <rPr>
        <b/>
        <sz val="11"/>
        <color theme="1"/>
        <rFont val="Calibri"/>
        <family val="2"/>
      </rPr>
      <t xml:space="preserve">IEC &amp; Printing </t>
    </r>
    <r>
      <rPr>
        <sz val="11"/>
        <color theme="1"/>
        <rFont val="Calibri"/>
        <family val="2"/>
      </rPr>
      <t>: For printing of various IEC materials for use in the AFHCs and by counsellors -Rs 0.25 L (Printing of brochures, small IEC cards, posters, registers etc)</t>
    </r>
  </si>
  <si>
    <r>
      <rPr>
        <b/>
        <sz val="11"/>
        <color theme="1"/>
        <rFont val="Calibri"/>
        <family val="2"/>
      </rPr>
      <t xml:space="preserve">Capacity building incl. training </t>
    </r>
    <r>
      <rPr>
        <sz val="11"/>
        <color theme="1"/>
        <rFont val="Calibri"/>
        <family val="2"/>
      </rPr>
      <t xml:space="preserve">
WIFS trainings (block level) , 1 batch (40 nos.)@Rs.5000/) * No. of health blocks (TVM - 19) ie 19 * 5000 = Rs 0.95 L</t>
    </r>
  </si>
  <si>
    <r>
      <rPr>
        <b/>
        <sz val="11"/>
        <color theme="1"/>
        <rFont val="Calibri"/>
        <family val="2"/>
      </rPr>
      <t xml:space="preserve">Capacity Building - Training </t>
    </r>
    <r>
      <rPr>
        <sz val="11"/>
        <color theme="1"/>
        <rFont val="Calibri"/>
        <family val="2"/>
      </rPr>
      <t xml:space="preserve">: 1) Training (6 days ) of New Peer Educator (BLOCK LELVEL). (TVM-200 (5 Batch) @78500/batch ie 70000 *5 =Rs 3.50 L
 ASHA Incentives : Incentive for AH/RKSK Services - ASHA Incentive for mobilizing adolescents and community for AHWD . (Rs.200/- * 4 ASHAs * 4 AHWDs/year * No. of blocks) -Rs 0.13 L 
</t>
    </r>
    <r>
      <rPr>
        <b/>
        <sz val="11"/>
        <color theme="1"/>
        <rFont val="Calibri"/>
        <family val="2"/>
      </rPr>
      <t xml:space="preserve"> OOC</t>
    </r>
    <r>
      <rPr>
        <sz val="11"/>
        <color theme="1"/>
        <rFont val="Calibri"/>
        <family val="2"/>
      </rPr>
      <t xml:space="preserve"> - 1) Organising monthly Adolescent Friendly Club meetings at subcentre level Rs. 500* no of blocks*5 subcentre*12 AFC meetings/FY ( TVM-4) -Rs 1.20 L
 2)(Community Intervention for AH Services) Incentives for Peer Educators Rs 50/month* 12 months*no of PEs (TVM -800) -Rs 4.80 L
 3) Organizing Adolescent Health &amp; Wellness day Rs. 2500* No. of selected blocks*4 AHWD/FY( TVM -4) - Rs 0.40
</t>
    </r>
    <r>
      <rPr>
        <b/>
        <sz val="11"/>
        <color theme="1"/>
        <rFont val="Calibri"/>
        <family val="2"/>
      </rPr>
      <t xml:space="preserve"> IEC &amp; Printing </t>
    </r>
    <r>
      <rPr>
        <sz val="11"/>
        <color theme="1"/>
        <rFont val="Calibri"/>
        <family val="2"/>
      </rPr>
      <t>: PE Kit and PE Diary @ Rs 350/PE kit &amp; diary * no of New Peers entering 8th STD. (TVM-200) &amp; PRINTING -0.7 = Rs 0.70 L</t>
    </r>
  </si>
  <si>
    <r>
      <t xml:space="preserve">DRG 2 days Training at Dsitrict level @ Rs 1 Lakh, Duration = 2 days, Batch size = 50 nos, approved amount Rs 1.00 L
</t>
    </r>
    <r>
      <rPr>
        <b/>
        <sz val="11"/>
        <color theme="1"/>
        <rFont val="Calibri"/>
        <family val="2"/>
      </rPr>
      <t>OOC</t>
    </r>
    <r>
      <rPr>
        <sz val="11"/>
        <color theme="1"/>
        <rFont val="Calibri"/>
        <family val="2"/>
      </rPr>
      <t xml:space="preserve">
SHWP Worshop in each 14 districts @ Rs 40,000/ Dist</t>
    </r>
  </si>
  <si>
    <r>
      <rPr>
        <b/>
        <sz val="11"/>
        <color theme="1"/>
        <rFont val="Calibri"/>
        <family val="2"/>
      </rPr>
      <t>DBT-</t>
    </r>
    <r>
      <rPr>
        <sz val="11"/>
        <color theme="1"/>
        <rFont val="Calibri"/>
        <family val="2"/>
      </rPr>
      <t xml:space="preserve">Female Public   BPL/SC/ST Sterilization 610cases@  Rs 1000 per case .
APL  sterilization 1831 cases @ Rs. 650 per case 
</t>
    </r>
    <r>
      <rPr>
        <b/>
        <sz val="11"/>
        <color theme="1"/>
        <rFont val="Calibri"/>
        <family val="2"/>
      </rPr>
      <t>Training</t>
    </r>
    <r>
      <rPr>
        <sz val="11"/>
        <color theme="1"/>
        <rFont val="Calibri"/>
        <family val="2"/>
      </rPr>
      <t>- Rs 110000 for Laproscopic sterilization(12 days training for 3 participants)</t>
    </r>
  </si>
  <si>
    <r>
      <rPr>
        <b/>
        <sz val="11"/>
        <color theme="1"/>
        <rFont val="Calibri"/>
        <family val="2"/>
      </rPr>
      <t>1.DBT</t>
    </r>
    <r>
      <rPr>
        <sz val="11"/>
        <color theme="1"/>
        <rFont val="Calibri"/>
        <family val="2"/>
      </rPr>
      <t xml:space="preserve">
a. Internal IUCD insertion 1308 cases @ Rs 20/beneficiary
b.PPIUCD insertion 69 cases @ Rs 300/beneficiary
c.PAIUCD insertion 21 cases @ Rs 300/beneficiary
</t>
    </r>
    <r>
      <rPr>
        <b/>
        <sz val="11"/>
        <color theme="1"/>
        <rFont val="Calibri"/>
        <family val="2"/>
      </rPr>
      <t>2. Training</t>
    </r>
    <r>
      <rPr>
        <sz val="11"/>
        <color theme="1"/>
        <rFont val="Calibri"/>
        <family val="2"/>
      </rPr>
      <t xml:space="preserve">- IUCD training for Medical officers 3 batches @Rs 37500/batch (5 days training with 10 participants)
</t>
    </r>
    <r>
      <rPr>
        <b/>
        <sz val="11"/>
        <color theme="1"/>
        <rFont val="Calibri"/>
        <family val="2"/>
      </rPr>
      <t>3.ASHA Incentive</t>
    </r>
    <r>
      <rPr>
        <sz val="11"/>
        <color theme="1"/>
        <rFont val="Calibri"/>
        <family val="2"/>
      </rPr>
      <t xml:space="preserve">
a.PPIUCD insertion 69 cases @ Rs 150/beneficiary
c.PAIUCD insertion 21 cases @ Rs 150/beneficiary</t>
    </r>
  </si>
  <si>
    <r>
      <rPr>
        <b/>
        <sz val="11"/>
        <color theme="1"/>
        <rFont val="Calibri"/>
        <family val="2"/>
      </rPr>
      <t xml:space="preserve">Others including operating costs(OOC)  Rs.3.6 Lakhs  </t>
    </r>
    <r>
      <rPr>
        <sz val="11"/>
        <color theme="1"/>
        <rFont val="Calibri"/>
        <family val="2"/>
      </rPr>
      <t xml:space="preserve"> 
Incentives for Peer Educators under NVHCP  Rs 10,000/- per month (We already have 1 MTC at Govt.MCH Thiruvananthapuram &amp; 2 TC at GH Thiruvananthapuram &amp; THQH Chirayinkeezhu)                                                                                                                                                                                                                                                                                                                                                                                                                                                
         </t>
    </r>
  </si>
  <si>
    <r>
      <rPr>
        <b/>
        <sz val="11"/>
        <color theme="1"/>
        <rFont val="Calibri"/>
        <family val="2"/>
      </rPr>
      <t xml:space="preserve">Drugs and supplies
Management of HAV and HEV patients – budgeted @ Rs 50000/-  per district for necessary investigations, sample transportation and supportive treatment
Others including operating costs(OOC) Rs. 4 Lakhs </t>
    </r>
    <r>
      <rPr>
        <sz val="11"/>
        <color theme="1"/>
        <rFont val="Calibri"/>
        <family val="2"/>
      </rPr>
      <t xml:space="preserve">- Rs. 3 Lakhs  for  MTC( Govt.MCH Thiruvananthapuram) &amp; Rs: 0.5 Lakhs each for TCs (GH Thiruvananthapuram &amp; THQH Chirayinkeezhu)  - Meeting Costs/Office expenses/Contingency/Management of Hep A &amp; E as Cash Grant  </t>
    </r>
  </si>
  <si>
    <r>
      <rPr>
        <b/>
        <sz val="11"/>
        <color theme="1"/>
        <rFont val="Calibri"/>
        <family val="2"/>
      </rPr>
      <t xml:space="preserve">Training :  Rs. 1 Lakhs </t>
    </r>
    <r>
      <rPr>
        <sz val="11"/>
        <color theme="1"/>
        <rFont val="Calibri"/>
        <family val="2"/>
      </rPr>
      <t xml:space="preserve">per training Medical Officers, Staff Nurse, ASHA ANM &amp; other Health care workers. 
</t>
    </r>
    <r>
      <rPr>
        <b/>
        <sz val="11"/>
        <color theme="1"/>
        <rFont val="Calibri"/>
        <family val="2"/>
      </rPr>
      <t>IEC &amp; Printing Rs.1.50 lakhs</t>
    </r>
    <r>
      <rPr>
        <sz val="11"/>
        <color theme="1"/>
        <rFont val="Calibri"/>
        <family val="2"/>
      </rPr>
      <t xml:space="preserve">
</t>
    </r>
    <r>
      <rPr>
        <b/>
        <sz val="11"/>
        <color theme="1"/>
        <rFont val="Calibri"/>
        <family val="2"/>
      </rPr>
      <t>Planning &amp; M &amp; E - Rs.05 Lakhs</t>
    </r>
    <r>
      <rPr>
        <sz val="11"/>
        <color theme="1"/>
        <rFont val="Calibri"/>
        <family val="2"/>
      </rPr>
      <t xml:space="preserve">
Supervision and Monitoring activities </t>
    </r>
  </si>
  <si>
    <r>
      <rPr>
        <b/>
        <sz val="11"/>
        <color theme="1"/>
        <rFont val="Calibri"/>
        <family val="2"/>
      </rPr>
      <t>Capacity Building incl Training – 0.8 L</t>
    </r>
    <r>
      <rPr>
        <sz val="11"/>
        <color theme="1"/>
        <rFont val="Calibri"/>
        <family val="2"/>
      </rPr>
      <t xml:space="preserve">
 1. Orientation of stake holder organizations like, police department, excise department, food safety department, education department etc
 2 session at district – 20000/session = 40000
 Training of health professionals Includes, doctors, staff nurse, MPWs, ASHAS etC. 2sessions at district – 20000/session= 40000
 </t>
    </r>
    <r>
      <rPr>
        <b/>
        <sz val="11"/>
        <color theme="1"/>
        <rFont val="Calibri"/>
        <family val="2"/>
      </rPr>
      <t xml:space="preserve">IEC and Printing : Rs.1.5 lakhs
</t>
    </r>
    <r>
      <rPr>
        <sz val="11"/>
        <color theme="1"/>
        <rFont val="Calibri"/>
        <family val="2"/>
      </rPr>
      <t xml:space="preserve">Activities include making Jingles, Videos, hoardings, newspaper advisories and mass media campaigns, No Tobacco Day observation, special Enforcement drives, mobile IEC corner etc.  </t>
    </r>
    <r>
      <rPr>
        <b/>
        <sz val="11"/>
        <color theme="1"/>
        <rFont val="Calibri"/>
        <family val="2"/>
      </rPr>
      <t xml:space="preserve">
  Planning and M&amp;E</t>
    </r>
    <r>
      <rPr>
        <sz val="11"/>
        <color theme="1"/>
        <rFont val="Calibri"/>
        <family val="2"/>
      </rPr>
      <t xml:space="preserve">
• Monthly meeting with the hospital staff, Weekly FGD with the tobacco users. 0.25L
 • Enforcement Squads 1L/District
 • District Tobacco Control Cell (DTCC): Misc./Office Expenses 0.25L</t>
    </r>
  </si>
  <si>
    <r>
      <rPr>
        <b/>
        <sz val="11"/>
        <color theme="1"/>
        <rFont val="Calibri"/>
        <family val="2"/>
      </rPr>
      <t>Capacity Buidling 15.40 lakhs</t>
    </r>
    <r>
      <rPr>
        <sz val="11"/>
        <color theme="1"/>
        <rFont val="Calibri"/>
        <family val="2"/>
      </rPr>
      <t xml:space="preserve">
Rs.11 lakhs for 5 batch @0.55  lakhs per batch of 100, on a quarterly basis for refresher training of MLSPs
Rs. 4.4 lakhs @0.40 lakhs per batch for 11 batches for SHC-HWC  team building training. 
</t>
    </r>
    <r>
      <rPr>
        <b/>
        <sz val="11"/>
        <color theme="1"/>
        <rFont val="Calibri"/>
        <family val="2"/>
      </rPr>
      <t>ASHA Incentives</t>
    </r>
    <r>
      <rPr>
        <sz val="11"/>
        <color theme="1"/>
        <rFont val="Calibri"/>
        <family val="2"/>
      </rPr>
      <t xml:space="preserve"> Rs.307.56 lakhs @ Rs.1000/- per month for 2563 ASHA for expanded package of services 
</t>
    </r>
    <r>
      <rPr>
        <b/>
        <sz val="11"/>
        <color theme="1"/>
        <rFont val="Calibri"/>
        <family val="2"/>
      </rPr>
      <t>IEC &amp; PRINTING- 1L</t>
    </r>
    <r>
      <rPr>
        <sz val="11"/>
        <color theme="1"/>
        <rFont val="Calibri"/>
        <family val="2"/>
      </rPr>
      <t xml:space="preserve"> 
Designing, Printing and installation of posters, banners in all District &amp; Thaluk level Hospitals and HWCs regarding eSanjeevani.  </t>
    </r>
  </si>
  <si>
    <r>
      <t xml:space="preserve"> </t>
    </r>
    <r>
      <rPr>
        <b/>
        <sz val="11"/>
        <color theme="1"/>
        <rFont val="Calibri"/>
        <family val="2"/>
      </rPr>
      <t>Capacity building incl. training  - 44.39 L</t>
    </r>
    <r>
      <rPr>
        <sz val="11"/>
        <color theme="1"/>
        <rFont val="Calibri"/>
        <family val="2"/>
      </rPr>
      <t xml:space="preserve">
Induction training to ASHA@Rs. 74750 per batch of 30 ASHA for Rs. 74750, 
ASHA 10th Module training @ Rs. 1533 per one ASHA for 2563 ASHA  39.29 L
Supplementary training to ASHA - One ASHA from one institution per month @ Rs. 300 per ASHA for 121 ASHA's - 4. 35 L.
</t>
    </r>
    <r>
      <rPr>
        <b/>
        <sz val="11"/>
        <color theme="1"/>
        <rFont val="Calibri"/>
        <family val="2"/>
      </rPr>
      <t xml:space="preserve">ASHA incentives – 660.68 L </t>
    </r>
    <r>
      <rPr>
        <sz val="11"/>
        <color theme="1"/>
        <rFont val="Calibri"/>
        <family val="2"/>
      </rPr>
      <t xml:space="preserve">
ASHA fixed incentive @Rs. 2000 per month for 2563 ASHAs Rs. 615.12 L 
Incentive for monthly review meeting @Rs.100 per month for 2563 ASHAs Rs. 30.75 L
Social Security Insurance packages for ASHA - PMJJBY @ Rs.436 for 1350 ASHA of  Rs. 5.88 L , PMSBY @Rs. 20 for 1142 ASHA Rs. 22 L,  PMSYM @Rs.100 per month for 724 ASHAs Rs. 8.68 L . Total 14.78 L
</t>
    </r>
    <r>
      <rPr>
        <b/>
        <sz val="11"/>
        <color theme="1"/>
        <rFont val="Calibri"/>
        <family val="2"/>
      </rPr>
      <t>OOC  - 62.71 L</t>
    </r>
    <r>
      <rPr>
        <sz val="11"/>
        <color theme="1"/>
        <rFont val="Calibri"/>
        <family val="2"/>
      </rPr>
      <t xml:space="preserve">
 On going expenses for Ward Health Facilitation Centres @Rs. 500 per month per ward 20 wards Rs.1.2 L            
Mobile allowance to ASHA @Rs. 200 per month for Rs. 61. 51 L .
IEC &amp; PRINTING- 5.563L (Activity breakup details attached)                                                                                                               </t>
    </r>
    <r>
      <rPr>
        <b/>
        <sz val="11"/>
        <color theme="1"/>
        <rFont val="Calibri"/>
        <family val="2"/>
      </rPr>
      <t>2025-26</t>
    </r>
    <r>
      <rPr>
        <sz val="11"/>
        <color theme="1"/>
        <rFont val="Calibri"/>
        <family val="2"/>
      </rPr>
      <t xml:space="preserve">  District ASHA Sammelan @ Rs. 2 L                                                                                                                 </t>
    </r>
  </si>
  <si>
    <r>
      <rPr>
        <b/>
        <sz val="11"/>
        <color theme="1"/>
        <rFont val="Calibri"/>
        <family val="2"/>
      </rPr>
      <t xml:space="preserve">
ASHA Incentive</t>
    </r>
    <r>
      <rPr>
        <sz val="11"/>
        <color theme="1"/>
        <rFont val="Calibri"/>
        <family val="2"/>
      </rPr>
      <t xml:space="preserve"> 
Incentive to ASHA for ABHA ID creation @ Rs. 10 for 50 ABHA ID for 2563 one ASHA @ Rs. 12.82 L
</t>
    </r>
    <r>
      <rPr>
        <b/>
        <sz val="11"/>
        <color theme="1"/>
        <rFont val="Calibri"/>
        <family val="2"/>
      </rPr>
      <t>OOC</t>
    </r>
    <r>
      <rPr>
        <sz val="11"/>
        <color theme="1"/>
        <rFont val="Calibri"/>
        <family val="2"/>
      </rPr>
      <t xml:space="preserve">
Incentive for TG Link Workers @ Rs. 5000 per month @ Rs. 1.80 L 
IEC &amp; PRINTING- 9L (Activity breakup details attached)                                                                                 2025-26 OOC - Incentive for  TG Link worker @ Rs.5250 per month </t>
    </r>
  </si>
  <si>
    <r>
      <rPr>
        <b/>
        <sz val="11"/>
        <color theme="1"/>
        <rFont val="Calibri"/>
        <family val="2"/>
      </rPr>
      <t>OOC-Rs.154.44 L</t>
    </r>
    <r>
      <rPr>
        <sz val="11"/>
        <color theme="1"/>
        <rFont val="Calibri"/>
        <family val="2"/>
      </rPr>
      <t xml:space="preserve"> - 39 seats at DISHA 1056 Call centre Rs.3.96 L per seat (This includes ECD call centre also)</t>
    </r>
  </si>
  <si>
    <r>
      <rPr>
        <b/>
        <sz val="11"/>
        <color theme="1"/>
        <rFont val="Calibri"/>
        <family val="2"/>
      </rPr>
      <t>"FY 2024-2025</t>
    </r>
    <r>
      <rPr>
        <sz val="11"/>
        <color theme="1"/>
        <rFont val="Calibri"/>
        <family val="2"/>
      </rPr>
      <t xml:space="preserve">
GH Tvm - 51.14 L - Academic ambience, Library and learning resources , Procurement of instruments, Registration/renewal fees for accreditation 
MHC Tvm - 7 L  - Library and learning resources,CME in Psychiatry, Expenses for conducting IEC &amp; Scientific Committee
</t>
    </r>
    <r>
      <rPr>
        <b/>
        <sz val="11"/>
        <color theme="1"/>
        <rFont val="Calibri"/>
        <family val="2"/>
      </rPr>
      <t>FY 2025-2026</t>
    </r>
    <r>
      <rPr>
        <sz val="11"/>
        <color theme="1"/>
        <rFont val="Calibri"/>
        <family val="2"/>
      </rPr>
      <t xml:space="preserve">
GH Tvm - 51.25 L - Academic ambience, Library and learning resources , Procurement of instruments, Research Grants &amp; Registration/renewal fees for accreditation 
MHC Tvm - 6 L -  Library and learning resources ,CME in Psychiatry, Expenses for conducting IEC &amp; Scientific Committee"
</t>
    </r>
  </si>
  <si>
    <r>
      <rPr>
        <b/>
        <sz val="11"/>
        <color theme="1"/>
        <rFont val="Calibri"/>
        <family val="2"/>
      </rPr>
      <t>FY 2024-2025</t>
    </r>
    <r>
      <rPr>
        <sz val="11"/>
        <color theme="1"/>
        <rFont val="Calibri"/>
        <family val="2"/>
      </rPr>
      <t xml:space="preserve">
State skill lab Tvm - 23.25 L(Training of Medical Officers and Nursing Officers in maternal health related skills and procurement of mannequines/equipments except Laptop
</t>
    </r>
    <r>
      <rPr>
        <b/>
        <sz val="11"/>
        <color theme="1"/>
        <rFont val="Calibri"/>
        <family val="2"/>
      </rPr>
      <t>FY 2025-2026</t>
    </r>
    <r>
      <rPr>
        <sz val="11"/>
        <color theme="1"/>
        <rFont val="Calibri"/>
        <family val="2"/>
      </rPr>
      <t xml:space="preserve">
 State skill lab Tvm - 24.30 L(Training of Medical Officers and Nursing Officers in maternal health related skills and procurement of mannequines/equipments except Laptop)
</t>
    </r>
  </si>
  <si>
    <r>
      <rPr>
        <b/>
        <sz val="11"/>
        <color theme="1"/>
        <rFont val="Calibri"/>
        <family val="2"/>
      </rPr>
      <t>Training</t>
    </r>
    <r>
      <rPr>
        <sz val="11"/>
        <color theme="1"/>
        <rFont val="Calibri"/>
        <family val="2"/>
      </rPr>
      <t xml:space="preserve">
6 training cum review meeting for each district for Monitoring &amp; Evaluation @unit cost of 20000/- Planning and M&amp;E-
1. PMU Trainings, DAP, Audit fees, mobility support, other overhead expenses
2.District level review meeting on national programmes based on key deliverables @unit cost 20000/- per quarter ie, Rs 80000/- for each district
District  review mission  on alternate months at district level @unit cost 20000/- bimonthly for each district ie, 1.2 Lakh for each district
</t>
    </r>
    <r>
      <rPr>
        <b/>
        <sz val="11"/>
        <color theme="1"/>
        <rFont val="Calibri"/>
        <family val="2"/>
      </rPr>
      <t xml:space="preserve">The District to ensure that the budget approved under this head should not be utilised for construction/renovation/repair activities, engaging HR and purchasing vehicles.  </t>
    </r>
  </si>
  <si>
    <r>
      <rPr>
        <b/>
        <sz val="11"/>
        <color theme="1"/>
        <rFont val="Calibri"/>
        <family val="2"/>
      </rPr>
      <t xml:space="preserve">OOC- Untied Funds </t>
    </r>
    <r>
      <rPr>
        <sz val="11"/>
        <color theme="1"/>
        <rFont val="Calibri"/>
        <family val="2"/>
      </rPr>
      <t xml:space="preserve">
4DH/GH @ Rs.250000/- 
8 SDH @ Rs.1,00,000/-  
21CHC @ Rs.75000/- 
72PHC @ Rs.50000/-
487  subcentre @ Rs.10000/- 
1546 VHSC @ Rs.10000/-</t>
    </r>
  </si>
  <si>
    <t>KOLLAM</t>
  </si>
  <si>
    <t>1)DBT -Rs.70.33 lakhs (R- 7986 xRs.700 + U-2385 xRs.600 + H-24*Rs 500)
2) Asha incentive - Rs.57.46 lakhs (Rural@Rs 600 &amp; Urban@Rs 400 )
3) Planning &amp; M&amp; E - Rs.2.81lakhs (For Administrative exp- @4% of DBT given)</t>
  </si>
  <si>
    <t xml:space="preserve">1)Free Drugs &amp; consumables -Rs 99.73 lakhs for PW( 5296 ND @ Rs 350 &amp; 5075 C sections @ Rs 1600) accessing Govt health facilities for delivery
2) Diagnostics -Rs 20.74lakhs@ Rs 200/beneficiary for 10371 PW 
  3) Other Operating Cost(Blood transfusion &amp; Diet) - a.Diet - Rs. 51.41 lakhs @ Rs 100 for 5296 ND for 3 days(5296*100*3)  and 5075 C sections for 7 days (5075*100*7)                                                                                                                                                                         
b.Blood Transfusion - Rs. 3.11lakhs @ Rs 300/PW for blood transfusion of 10% of total deliveries in govt.health facilities (10% of 10371 =1037)        </t>
  </si>
  <si>
    <t xml:space="preserve"> Capacity building training : -  CDR training approved @ Rs.50000 per district.                                                                                                           
Asha Incentives :- Rs.50 per under 5 Child death @ community level /Non-FRU level/ pvt facilities for 129 under 5 deaths - 129 cases * 50 =  6450/                                                                                                                                  
OOC :- 1. ANM Honorarium (FBIR) - Rs. 100 per Under 5 Child Deaths @ Community level/ Non-FRU level/ private facilities for 129 Under 5 Deaths -129 cases * 100 = 12,900/- , 2. Medical Officer Honorarium (Verbal Autopsy) by team of 2 MOs -  Rs. 500 per Under 5 Child Deaths @ Community level/ Non- FRU level/ private facilities for 129 Under 5 Deaths -129 cases * 500 = 64,500/-, 3. Transport of parents @ Rs.100 per case to attend DM level meeting for 72 deceased children -72  children * 100 = 7200/-, 4. DM level meeting @ Rs. 5000 per District (per annum) 5000 * 1 = 5000/-                                                                                                                                                                                                                                                                                     </t>
  </si>
  <si>
    <t xml:space="preserve">Equipment :-    Rs. 393553 lakh is recommended for essential equipment as per gap analysis. 
Drugs &amp; Supplies :-                                                                                                                                         
Diagnostics :-  Approval is to purchase Consumables for functioning DEIC. @ Rs. 100000/-                                                                                                                                         
 Capacity building training : -                                                                                                                    
OOC :-   1. Operational expenses for Rs.20000 per month for Kollam DEIC - Total amount  = Rs. 2,40,000/-, 2. Referral Support for Secondary/ Tertiary – Rs. 134.81/- Lakhs 
IEC &amp; PRINTING- Printing cost for DEIC – Rs. 1 lakhs </t>
  </si>
  <si>
    <t>Capacity building training : - 1. NSSK Training for Medical Officers - 2 batch NSSK training Rs. 34400 x 2 = Rs.68800/-., 2. NSSK Training for Staff Nurses - 2 batch NSSK training Rs. 34400 x 2 = Rs.68800/-, 3. Trainings for Family participatory care (KMC) - Rs 50000 per district to get a  team of trained doctors and Nurses at SNCUs. Rs.50000 x 1 = Rs.50,000/- , 4. Rs. 1 lakh is approved for two batches of Musqan District level Sensitization Training @ 100000 per district, 5. MUSQAN: Health Institution level activities – 8 lakh approved for selected 4 institutions. Unit price of  1 each for gap filling &amp; Equipments approved for these 4 institutions.                                                                                                         
OOC :- 1. 3 Functional SNCUs = Rs. 300000x 3 SNCU = Rs.9,00,000/-  , 2. NBCC– approved @ Rs.10,000 for 9 delivery points Rs. 10000x9 Delivery point = 90,000/- , 3. Family participatory care (KMC) -Rs. 75000 x 3 SNCUs = 2,25,000/-, 4.  Operating expenses for  2 NBSU – Rs. 100000x 2  NBSU=2,00,000/-                                                                                                                                                                                                                                                                                   
IEC &amp; PRINTING- Rs 1 lakh * 3 SNCU = 3,00,000/-</t>
  </si>
  <si>
    <t xml:space="preserve">                                                                                                                                                                                                                                                                           
Capacity building training : -  1.  Rs. 1.0 Lakhs for District level sensitization for Medical Officers, Staff nurses, JPHNs, PHNs etc,  2.  Rs. 0.50 Lakhs for One day Training  for Paediatricians and medical Officers of 40 participants on new Pneumonia management guidelines Rs 150000 * 1 = 150000/-, 3. Training of ASHAs- 70 batch x Rs.3000 = Rs. 2,10,000/-                                                                                                                                                                                                                                                                                       Planning &amp; M &amp; E : - Rs. 20000  for Supportive Supervision of SAANS Program.  
IEC &amp; PRINTING-  1. 1 Lakh per District for  District Level Launch of SAANS Campaign, 2. Rs. 2 lakh for per district for district level  IEC /BCC Activities of SAANS Campaign., 3. Rs. 20000 for printing of SAANS Guidelines.
</t>
  </si>
  <si>
    <t xml:space="preserve">Capacity building training : - Rs. 1 lakh per batch for district level  ToT/ training on F-IMNCI.
Asha Incentives :- 
 OOC :- Operational Cost Pediatric HDUs – Rs. 1.5 lakhs - Rs. 1.5 Lakhs as Operational Cost of 1 HDUs @ Rs. 1.5 Lakh per Unit. 
</t>
  </si>
  <si>
    <t xml:space="preserve"> Planning &amp; M &amp; E : -   District Level Review Meeting of Program including RBSK and CH @ Rs. 1.75 lakhs per District 
IEC &amp; PRINTING- Rs. 3.19 lakh for Child health IEC activities
 </t>
  </si>
  <si>
    <r>
      <rPr>
        <b/>
        <sz val="11"/>
        <rFont val="Calibri"/>
        <family val="2"/>
      </rPr>
      <t>Equipments</t>
    </r>
    <r>
      <rPr>
        <sz val="11"/>
        <rFont val="Calibri"/>
        <family val="2"/>
      </rPr>
      <t xml:space="preserve">
MVA/EVA for comprehensive abortion care @ Rs.1000/-
</t>
    </r>
    <r>
      <rPr>
        <b/>
        <sz val="11"/>
        <rFont val="Calibri"/>
        <family val="2"/>
      </rPr>
      <t xml:space="preserve">Training
</t>
    </r>
    <r>
      <rPr>
        <sz val="11"/>
        <rFont val="Calibri"/>
        <family val="2"/>
      </rPr>
      <t>MMA training -5 participants in one batch @ Rs 32000/-, MVA/MMA training for Gynaecologist - 40 participants in one batch @ Rs 50000/-</t>
    </r>
  </si>
  <si>
    <r>
      <rPr>
        <b/>
        <sz val="11"/>
        <rFont val="Calibri"/>
        <family val="2"/>
      </rPr>
      <t>DBT-</t>
    </r>
    <r>
      <rPr>
        <sz val="11"/>
        <rFont val="Calibri"/>
        <family val="2"/>
      </rPr>
      <t xml:space="preserve">Female Public   BPL/SC/ST Sterilization 391 cases@  Rs 1000 per case .
APL  sterilization 1174 cases @ Rs. 650 per case 
</t>
    </r>
    <r>
      <rPr>
        <b/>
        <sz val="11"/>
        <rFont val="Calibri"/>
        <family val="2"/>
      </rPr>
      <t>Training</t>
    </r>
    <r>
      <rPr>
        <sz val="11"/>
        <rFont val="Calibri"/>
        <family val="2"/>
      </rPr>
      <t>- Rs 110000 for Laproscopic sterilization(12 days training for 3 participants)</t>
    </r>
  </si>
  <si>
    <r>
      <t xml:space="preserve">
</t>
    </r>
    <r>
      <rPr>
        <b/>
        <sz val="11"/>
        <rFont val="Calibri"/>
        <family val="2"/>
      </rPr>
      <t>1.DBT</t>
    </r>
    <r>
      <rPr>
        <sz val="11"/>
        <rFont val="Calibri"/>
        <family val="2"/>
      </rPr>
      <t xml:space="preserve">
a. Internal IUCD insertion 1688 cases @ Rs 20/beneficiary
b.PPIUCD insertion 96 cases @ Rs 300/beneficiary
c.PAIUCD insertion 22 cases @ Rs 300/beneficiary
</t>
    </r>
    <r>
      <rPr>
        <b/>
        <sz val="11"/>
        <rFont val="Calibri"/>
        <family val="2"/>
      </rPr>
      <t>2. Training</t>
    </r>
    <r>
      <rPr>
        <sz val="11"/>
        <rFont val="Calibri"/>
        <family val="2"/>
      </rPr>
      <t xml:space="preserve">- IUCD training for Medical officers 3 batches @Rs 37500/batch (5 days training with 10 participants)
</t>
    </r>
    <r>
      <rPr>
        <b/>
        <sz val="11"/>
        <rFont val="Calibri"/>
        <family val="2"/>
      </rPr>
      <t>3.ASHA Incentive</t>
    </r>
    <r>
      <rPr>
        <sz val="11"/>
        <rFont val="Calibri"/>
        <family val="2"/>
      </rPr>
      <t xml:space="preserve">
a.PPIUCD insertion 96 cases @ Rs 150/beneficiary
c.PAIUCD insertion 22 cases @ Rs 150/beneficiary
</t>
    </r>
  </si>
  <si>
    <t>1.75 L Lakhs for own buildong   Rented Building   @ 1 L    Untied grants to UCHCs  Untied grants to MAS  @Rs.5000/- per MAS 70 for 24-25 and 75 for 25-26</t>
  </si>
  <si>
    <r>
      <rPr>
        <b/>
        <sz val="11"/>
        <rFont val="Calibri"/>
        <family val="2"/>
      </rPr>
      <t>Capacity Buidling 13.20 lakhs</t>
    </r>
    <r>
      <rPr>
        <sz val="11"/>
        <rFont val="Calibri"/>
        <family val="2"/>
      </rPr>
      <t xml:space="preserve">
Rs.8.8 lakhs for 4 batch @0.55  lakhs per batch of 100, on a quarterly basis for refresher training of MLSPs
Rs. 4.4 lakhs @0.40 lakhs per batch for 11 batches for SHC-HWC  team building training. 
</t>
    </r>
    <r>
      <rPr>
        <b/>
        <sz val="11"/>
        <rFont val="Calibri"/>
        <family val="2"/>
      </rPr>
      <t>ASHA Incentives</t>
    </r>
    <r>
      <rPr>
        <sz val="11"/>
        <rFont val="Calibri"/>
        <family val="2"/>
      </rPr>
      <t xml:space="preserve"> Rs.234.12 lakhs @ Rs.1000/- per month for 1951 ASHA for expanded package of services 
</t>
    </r>
    <r>
      <rPr>
        <b/>
        <sz val="11"/>
        <rFont val="Calibri"/>
        <family val="2"/>
      </rPr>
      <t>IEC &amp; PRINTING- 1L</t>
    </r>
    <r>
      <rPr>
        <sz val="11"/>
        <rFont val="Calibri"/>
        <family val="2"/>
      </rPr>
      <t xml:space="preserve"> 
Designing, Printing and installation of posters, banners in all District &amp; Thaluk level Hospitals and HWCs regarding eSanjeevani.  </t>
    </r>
  </si>
  <si>
    <r>
      <rPr>
        <b/>
        <sz val="11"/>
        <rFont val="Calibri"/>
        <family val="2"/>
      </rPr>
      <t>Capacity building incl. training  - 33. 82 L</t>
    </r>
    <r>
      <rPr>
        <sz val="11"/>
        <rFont val="Calibri"/>
        <family val="2"/>
      </rPr>
      <t xml:space="preserve">
Induction training to ASHA@Rs. 74750 per batch of 30 ASHA for Rs. 74 L
ASHA 10th Module training @ Rs. 1533 per one ASHA for 1951 ASHA  29.90 L
Supplementary training to ASHA - One ASHA from one institution per month @ Rs. 300 per ASHA for 88 ASHA's -  3.16  L.
Capacity building incl. training  - 33. 8 L
Induction training to ASHA@Rs. 74750 per batch of 30 ASHA for Rs. 74 L
ASHA 10th Module training @ Rs. 1533 per one ASHA for 1951 ASHA  29.90 L
Supplementary training to ASHA - One ASHA from one institution per month @ Rs. 300 per ASHA for 88 ASHA's -  3.16  L.
</t>
    </r>
    <r>
      <rPr>
        <b/>
        <sz val="11"/>
        <rFont val="Calibri"/>
        <family val="2"/>
      </rPr>
      <t>ASHA incentives – 505.79 L</t>
    </r>
    <r>
      <rPr>
        <sz val="11"/>
        <rFont val="Calibri"/>
        <family val="2"/>
      </rPr>
      <t xml:space="preserve"> 
ASHA fixed incentive @Rs. 2000 per month for 1951 ASHAs Rs. 468.24  L 
Incentive for monthly review meeting @Rs.100 per month for 1951 ASHAs Rs. 23.41  L
Social Security Insurance packages for ASHA - PMJJBY @ Rs.436 for 1120 ASHA of  Rs. 4.88  L , PMSBY @Rs. 20 for 1258  ASHA Rs .025  L,  PMSYM @Rs.100 per month for 750 ASHAs Rs. 9.0  L . Total 14.34  L.
</t>
    </r>
    <r>
      <rPr>
        <b/>
        <sz val="11"/>
        <rFont val="Calibri"/>
        <family val="2"/>
      </rPr>
      <t>OOC  - 47.96  L</t>
    </r>
    <r>
      <rPr>
        <sz val="11"/>
        <rFont val="Calibri"/>
        <family val="2"/>
      </rPr>
      <t xml:space="preserve">
 On going expenses for Ward Health Facilitation Centres @Rs. 500 per month per ward 19 wards Rs.1.14 L             
Mobile allowance to ASHA @Rs. 200 per month for Rs. 46.82 L .
IEC &amp; PRINTING- 4.451L (Activity breakup details attached)                                                      </t>
    </r>
    <r>
      <rPr>
        <b/>
        <sz val="11"/>
        <rFont val="Calibri"/>
        <family val="2"/>
      </rPr>
      <t>2025-26</t>
    </r>
    <r>
      <rPr>
        <sz val="11"/>
        <rFont val="Calibri"/>
        <family val="2"/>
      </rPr>
      <t xml:space="preserve"> Distrit ASHA SAmmelan  Rs. 2 L 
</t>
    </r>
  </si>
  <si>
    <r>
      <rPr>
        <b/>
        <sz val="11"/>
        <rFont val="Calibri"/>
        <family val="2"/>
      </rPr>
      <t>Training</t>
    </r>
    <r>
      <rPr>
        <sz val="11"/>
        <rFont val="Calibri"/>
        <family val="2"/>
      </rPr>
      <t xml:space="preserve">
6 training cum review meeting for each district for Monitoring &amp; Evaluation @unit cost of 20000/- Planning and M&amp;E-
1. PMU Trainings, DAP, Audit fees, mobility support, other overhead expenses
2.District level review meeting on national programmes based on key deliverables @unit cost 20000/- per quarter ie, Rs 80000/- for each district
District  review mission  on alternate months at district level @unit cost 20000/- bimonthly for each district ie, 1.2 Lakh for each district
</t>
    </r>
    <r>
      <rPr>
        <b/>
        <sz val="11"/>
        <rFont val="Calibri"/>
        <family val="2"/>
      </rPr>
      <t xml:space="preserve">The District to ensure that the budget approved under this head should not be utilised for construction/renovation/repair activities, engaging HR and purchasing vehicles.  </t>
    </r>
  </si>
  <si>
    <r>
      <rPr>
        <b/>
        <sz val="11"/>
        <rFont val="Calibri"/>
        <family val="2"/>
      </rPr>
      <t xml:space="preserve">OOC- Untied Funds </t>
    </r>
    <r>
      <rPr>
        <sz val="11"/>
        <rFont val="Calibri"/>
        <family val="2"/>
      </rPr>
      <t xml:space="preserve">
1DH/GH @ Rs.250000/- 
9 SDH @ Rs.1,00,000/-  
16CHC @ Rs.75000/- 
58PHC @ Rs.50000/-
421  subcentre @ Rs.10000/- 
1421 VHSC @ Rs.10000/-</t>
    </r>
  </si>
  <si>
    <t xml:space="preserve"> UHNDs /month/ANM @ Rs. 250.00     Mobility support for ANM@ Rs. 500/- 
</t>
  </si>
  <si>
    <t>PATHANAMTHITTA</t>
  </si>
  <si>
    <t>FY 2024-2025
 i)Capacity building
Training of Specialist doctors, MOs, Staff Nurse, MLSP, Palliative care staffs, ASHA workers, RBSK Nurses, UPHC Staffs, JPHN, JHI, Medical College staff @Rs 0.25 lakhs per batch. 
Stationery – 100*50=5000
Food - 350*50= 17,500 
Miscellaneous -2500 
Total expenses for one batch 25,000/-
ii) )Other operating cost : .
a) Remuneration for Doctors
Speciality doctor 4, number of calls 30 @ Rs.100/- 313 days 
b). For establishment of 5 Telemedicine units @Rs. 70,000 per unit. Total Rs.3.5 Lac
Unit cost : Rs, 70,000/- 
1. Laptop - Rs. 40,000/- 
2. Headset / Webcam (If needed) - Rs. 3000/- 
3. Net connectivity - Rs. 1000 per month - Total Rs. 12,000/- per year 
4. Multifunction printer scanner -Rs. 15,000/-
 iii) Planning &amp; M&amp;E Rs 0.05 lakhs for district review meeting.
Stationery - 500 
Food -350*12= 4,200 
Miscellaneous - 300 300 
Total expenses for one batch is 5,000/-
FY 2025-2026
i) Other operating cost : .
a) Remuneration for Doctors
Speciality doctor 4, number of calls 30 @ Rs.100/- 313 days 
b). For establishment of 5 Telemedicine units @Rs. 70,000 per unit. Total Rs.3.5 Lac
Unit cost : Rs, 70,000/- 
1. Laptop - Rs. 40,000/- 
2. Headset / Webcam (If needed) - Rs. 3000/- 
3. Net connectivity - Rs. 1000 per month - Total Rs. 12,000/- per year 
4. Multifunction printer scanner -Rs. 15,000/-
 iii) Planning &amp; M&amp;E Rs 0.05 lakhs for district review meeting.
Stationery - 500 
Food -350*12= 4,200 
Miscellaneous - 300 300 
Total expenses for one batch is 5,000/-</t>
  </si>
  <si>
    <r>
      <rPr>
        <b/>
        <sz val="10"/>
        <rFont val="Calibri"/>
        <family val="2"/>
      </rPr>
      <t>Equipments</t>
    </r>
    <r>
      <rPr>
        <sz val="10"/>
        <rFont val="Calibri"/>
        <family val="2"/>
      </rPr>
      <t xml:space="preserve">
MVA/EVA for comprehensive abortion care @ Rs.1000/-
</t>
    </r>
    <r>
      <rPr>
        <b/>
        <sz val="10"/>
        <rFont val="Calibri"/>
        <family val="2"/>
      </rPr>
      <t xml:space="preserve">Training
</t>
    </r>
    <r>
      <rPr>
        <sz val="10"/>
        <rFont val="Calibri"/>
        <family val="2"/>
      </rPr>
      <t>MMA training -5 participants in one batch @ Rs 32000/-, MVA/MMA training for Gynaecologist - 40 participants in one batch @ Rs 50000/-</t>
    </r>
  </si>
  <si>
    <r>
      <rPr>
        <b/>
        <sz val="10"/>
        <rFont val="Calibri"/>
        <family val="2"/>
      </rPr>
      <t>OOC- Tribal camp</t>
    </r>
    <r>
      <rPr>
        <sz val="10"/>
        <rFont val="Calibri"/>
        <family val="2"/>
      </rPr>
      <t xml:space="preserve">
Single MO Camps -12@ Rs.3000/-, Specialist camps-12@15000/-</t>
    </r>
  </si>
  <si>
    <r>
      <rPr>
        <b/>
        <sz val="10"/>
        <rFont val="Calibri"/>
        <family val="2"/>
      </rPr>
      <t>Drugs and Diagnostics</t>
    </r>
    <r>
      <rPr>
        <sz val="10"/>
        <rFont val="Calibri"/>
        <family val="2"/>
      </rPr>
      <t>: Total estimated delivery is 3961. it is assumed 15% sick and 594 cases budgeted for drugs and diagnostics @ Rs.200/- each</t>
    </r>
  </si>
  <si>
    <r>
      <rPr>
        <b/>
        <sz val="10"/>
        <rFont val="Calibri"/>
        <family val="2"/>
      </rPr>
      <t xml:space="preserve">OOC </t>
    </r>
    <r>
      <rPr>
        <sz val="10"/>
        <rFont val="Calibri"/>
        <family val="2"/>
      </rPr>
      <t xml:space="preserve">: 594 cases budgeted for transport @ Rs.500/- </t>
    </r>
  </si>
  <si>
    <r>
      <rPr>
        <b/>
        <sz val="10"/>
        <rFont val="Calibri"/>
        <family val="2"/>
      </rPr>
      <t>Capacity Building -Training</t>
    </r>
    <r>
      <rPr>
        <sz val="10"/>
        <rFont val="Calibri"/>
        <family val="2"/>
      </rPr>
      <t xml:space="preserve"> - for 1) 4 days hybrid (1 day + 3 days online) training of MOs @Rs 70000/ batch (40 Nos.) - Rs 0.70 L
  2) AFHS 3 hybrid (1 day + 2 days online) training of ANM/LHV/MPW/other healthworkers @Rs. 50000/ batch (40 Nos.) - Rs 0.50 L
</t>
    </r>
    <r>
      <rPr>
        <b/>
        <sz val="10"/>
        <rFont val="Calibri"/>
        <family val="2"/>
      </rPr>
      <t xml:space="preserve"> OOC</t>
    </r>
    <r>
      <rPr>
        <sz val="10"/>
        <rFont val="Calibri"/>
        <family val="2"/>
      </rPr>
      <t xml:space="preserve"> - 1) Operating expenses for AH/RKSK clinics: AH/RKSK centre Rs. 12000/centre * no of AFHCs (PTA-10 AFHC ) - 1.20 L
 2) Mobility support to counsellors for conducting 8 outreach session / month for 12 months @Rs.400/session. (PTA-10 counsellors) - 3.84 L
 3) Restructing of 5 AFHCs @ 50,000 x5 - Rs 2.5 L
4) Bi-annual district level convergence workshop under RKSK - Rs 5000/batch ie 5000*2 = Rs 0.100
5) As communication support to 94 GOI AH counsellors @ Rs.250 /month for 12 months. ie 2.82 L ( 7 * 250 *12 ) - .21 L
</t>
    </r>
    <r>
      <rPr>
        <b/>
        <sz val="10"/>
        <rFont val="Calibri"/>
        <family val="2"/>
      </rPr>
      <t xml:space="preserve"> IEC &amp; Printin</t>
    </r>
    <r>
      <rPr>
        <sz val="10"/>
        <rFont val="Calibri"/>
        <family val="2"/>
      </rPr>
      <t xml:space="preserve">g : For printing of various IEC materials for use in the AFHCs and by counsellors -Rs 0.25 L
</t>
    </r>
  </si>
  <si>
    <r>
      <rPr>
        <b/>
        <sz val="10"/>
        <rFont val="Calibri"/>
        <family val="2"/>
      </rPr>
      <t>Capacity building incl. training</t>
    </r>
    <r>
      <rPr>
        <sz val="10"/>
        <rFont val="Calibri"/>
        <family val="2"/>
      </rPr>
      <t xml:space="preserve">
 WIFS trainings (block level) , 1 batch (40 nos. ) @Rs.5000/) * No. of health blocks (PTA-10) - Rs 0.50 L</t>
    </r>
  </si>
  <si>
    <r>
      <rPr>
        <b/>
        <sz val="10"/>
        <rFont val="Calibri"/>
        <family val="2"/>
      </rPr>
      <t>Capacity Building - Training</t>
    </r>
    <r>
      <rPr>
        <sz val="10"/>
        <rFont val="Calibri"/>
        <family val="2"/>
      </rPr>
      <t xml:space="preserve"> : 1) Training (6 days ) of New Peer Educator (BLOCK LELVEL). (PTA-400 (10 Batch) @70000/batch -Rs 7.00L
</t>
    </r>
    <r>
      <rPr>
        <b/>
        <sz val="10"/>
        <rFont val="Calibri"/>
        <family val="2"/>
      </rPr>
      <t xml:space="preserve"> ASHA Incentives</t>
    </r>
    <r>
      <rPr>
        <sz val="10"/>
        <rFont val="Calibri"/>
        <family val="2"/>
      </rPr>
      <t xml:space="preserve"> : Incentive for AH/RKSK Services - ASHA Incentive for mobilizing adolescents and community for AHWD . (Rs.200/- * 4 ASHAs * 4 AHWDs/year * No. of blocks) -0.32 L
</t>
    </r>
    <r>
      <rPr>
        <b/>
        <sz val="10"/>
        <rFont val="Calibri"/>
        <family val="2"/>
      </rPr>
      <t xml:space="preserve"> OOC</t>
    </r>
    <r>
      <rPr>
        <sz val="10"/>
        <rFont val="Calibri"/>
        <family val="2"/>
      </rPr>
      <t xml:space="preserve"> - 1) Organising monthly Adolescent Friendly Club meetings at subcentre level Rs. 500* no of blocks*5 subcentre*12 AFC meetings/FY ( PTA-10) -3.00 L
 2)(Community Intervention for AH Services) Incentives for Peer Educators Rs 50/month* 12 months*no of PEs (PTA -1600) -9.60 L
 3) Organizing Adolescent Health &amp; Wellness day Rs. 2500* No. of selected blocks*4 AHWD/FY( PTA -10) - 1.00
</t>
    </r>
    <r>
      <rPr>
        <b/>
        <sz val="10"/>
        <rFont val="Calibri"/>
        <family val="2"/>
      </rPr>
      <t xml:space="preserve"> IEC &amp; Printing</t>
    </r>
    <r>
      <rPr>
        <sz val="10"/>
        <rFont val="Calibri"/>
        <family val="2"/>
      </rPr>
      <t xml:space="preserve"> : PE Kit and PE Diary @ Rs 350/PE kit &amp; diary * no of New Peers entering 8th STD. (PTA-400) -1.40 L</t>
    </r>
  </si>
  <si>
    <r>
      <rPr>
        <b/>
        <sz val="10"/>
        <rFont val="Calibri"/>
        <family val="2"/>
      </rPr>
      <t xml:space="preserve"> Capacity building including Training</t>
    </r>
    <r>
      <rPr>
        <sz val="10"/>
        <rFont val="Calibri"/>
        <family val="2"/>
      </rPr>
      <t xml:space="preserve"> -Organising 2 district level coordination and dissemination workshop for RKSK and AB_SHWP @Rs 5460/workshop ie 5460*2 = 0.109 L 
</t>
    </r>
    <r>
      <rPr>
        <b/>
        <sz val="10"/>
        <rFont val="Calibri"/>
        <family val="2"/>
      </rPr>
      <t xml:space="preserve"> IEC &amp; Printing </t>
    </r>
    <r>
      <rPr>
        <sz val="10"/>
        <rFont val="Calibri"/>
        <family val="2"/>
      </rPr>
      <t xml:space="preserve">
 For printing of AFHC forms for AFHCs @2000/AFHCs (PTA-10) 
 For printing of AFHS Training manuals for MO, ANM Counsellors and Training manuals for PE training @ Rs 200 / manual for all Dist (160 nos/Dist) - Rs 0.32 L
AH- IEC &amp; PRINTING -1.475L Activity Breakup is attached</t>
    </r>
  </si>
  <si>
    <r>
      <rPr>
        <b/>
        <sz val="10"/>
        <rFont val="Calibri"/>
        <family val="2"/>
      </rPr>
      <t>DBT-</t>
    </r>
    <r>
      <rPr>
        <sz val="10"/>
        <rFont val="Calibri"/>
        <family val="2"/>
      </rPr>
      <t xml:space="preserve">Female Public   BPL/SC/ST Sterilization 150 cases@  Rs 1000 per case .
APL  sterilization 450 cases @ Rs. 650 per case 
</t>
    </r>
    <r>
      <rPr>
        <b/>
        <sz val="10"/>
        <rFont val="Calibri"/>
        <family val="2"/>
      </rPr>
      <t>Training</t>
    </r>
    <r>
      <rPr>
        <sz val="10"/>
        <rFont val="Calibri"/>
        <family val="2"/>
      </rPr>
      <t>- Rs 110000 for Laproscopic sterilization(12 days training for 3 participants)</t>
    </r>
  </si>
  <si>
    <r>
      <t xml:space="preserve">
</t>
    </r>
    <r>
      <rPr>
        <b/>
        <sz val="10"/>
        <rFont val="Calibri"/>
        <family val="2"/>
      </rPr>
      <t>1.DBT</t>
    </r>
    <r>
      <rPr>
        <sz val="10"/>
        <rFont val="Calibri"/>
        <family val="2"/>
      </rPr>
      <t xml:space="preserve">
a. Internal IUCD insertion 479 cases @ Rs 20/beneficiary
b.PPIUCD insertion 116 cases @ Rs 300/beneficiary
c.PAIUCD insertion 2 cases @ Rs 300/beneficiary
</t>
    </r>
    <r>
      <rPr>
        <b/>
        <sz val="10"/>
        <rFont val="Calibri"/>
        <family val="2"/>
      </rPr>
      <t>2. Training</t>
    </r>
    <r>
      <rPr>
        <sz val="10"/>
        <rFont val="Calibri"/>
        <family val="2"/>
      </rPr>
      <t xml:space="preserve">- IUCD training for Medical officers 1 batches @Rs 37500/batch (5 days training with 10 participants)
</t>
    </r>
    <r>
      <rPr>
        <b/>
        <sz val="10"/>
        <rFont val="Calibri"/>
        <family val="2"/>
      </rPr>
      <t>3.ASHA Incentive</t>
    </r>
    <r>
      <rPr>
        <sz val="10"/>
        <rFont val="Calibri"/>
        <family val="2"/>
      </rPr>
      <t xml:space="preserve">
a.PPIUCD insertion 116 cases @ Rs 150/beneficiary
c.PAIUCD insertion 2 cases @ Rs 150/beneficiary
</t>
    </r>
  </si>
  <si>
    <r>
      <rPr>
        <b/>
        <sz val="10"/>
        <rFont val="Calibri"/>
        <family val="2"/>
      </rPr>
      <t xml:space="preserve">Others including operating costs(OOC)  Rs.2.4 Lakhs </t>
    </r>
    <r>
      <rPr>
        <sz val="10"/>
        <rFont val="Calibri"/>
        <family val="2"/>
      </rPr>
      <t xml:space="preserve">  Incentives for Peer Educators under NVHCP  Rs 10,000/- per month (We already have  2 TCs at General Hospital Adoor &amp; General Hospital, Pathanamthitta)   
                </t>
    </r>
  </si>
  <si>
    <r>
      <rPr>
        <b/>
        <u/>
        <sz val="10"/>
        <rFont val="Calibri"/>
        <family val="2"/>
      </rPr>
      <t>Drugs and supplies</t>
    </r>
    <r>
      <rPr>
        <b/>
        <sz val="10"/>
        <rFont val="Calibri"/>
        <family val="2"/>
      </rPr>
      <t xml:space="preserve">
Management of HAV and HEV patients – budgeted @ Rs 50000/-  per district for necessary investigations, sample transportation and supportive treatment.
Others including operating costs(OOC) Rs. 1 Lakhs -Rs: 0.5 Lakhs</t>
    </r>
    <r>
      <rPr>
        <sz val="10"/>
        <rFont val="Calibri"/>
        <family val="2"/>
      </rPr>
      <t xml:space="preserve"> each for TCs (General Hospital Adoor &amp; General Hospital, Pathanamthitta) - Meeting Costs/Office expenses/Contingency/Management of Hep A &amp; E as Cash Grant </t>
    </r>
  </si>
  <si>
    <r>
      <rPr>
        <b/>
        <sz val="10"/>
        <rFont val="Calibri"/>
        <family val="2"/>
      </rPr>
      <t xml:space="preserve">Training :  Rs. 1 Lakhs </t>
    </r>
    <r>
      <rPr>
        <sz val="10"/>
        <rFont val="Calibri"/>
        <family val="2"/>
      </rPr>
      <t xml:space="preserve">per training Medical Officers, Staff Nurse, ASHA ANM &amp; other Health care workers. 
IEC &amp; Printing Rs.1.50 lakhs
</t>
    </r>
    <r>
      <rPr>
        <b/>
        <sz val="10"/>
        <rFont val="Calibri"/>
        <family val="2"/>
      </rPr>
      <t>Planning &amp; M &amp; E - Rs.05 Lakhs</t>
    </r>
    <r>
      <rPr>
        <sz val="10"/>
        <rFont val="Calibri"/>
        <family val="2"/>
      </rPr>
      <t xml:space="preserve">
Supervision and Monitoring activities </t>
    </r>
  </si>
  <si>
    <r>
      <rPr>
        <b/>
        <sz val="10"/>
        <rFont val="Calibri"/>
        <family val="2"/>
      </rPr>
      <t>Capacity Building incl Training – 0.8 L</t>
    </r>
    <r>
      <rPr>
        <sz val="10"/>
        <rFont val="Calibri"/>
        <family val="2"/>
      </rPr>
      <t xml:space="preserve">
 1. Orientation of stake holder organizations like, police department, excise department, food safety department, education department etc
 2 session at district – 20000/session = 40000
 Training of health professionals Includes, doctors, staff nurse, MPWs, ASHAS etC. 2sessions at district – 20000/session= 40000
 </t>
    </r>
    <r>
      <rPr>
        <b/>
        <sz val="10"/>
        <rFont val="Calibri"/>
        <family val="2"/>
      </rPr>
      <t xml:space="preserve">IEC and Printing : Rs.1.5 lakhs
</t>
    </r>
    <r>
      <rPr>
        <sz val="10"/>
        <rFont val="Calibri"/>
        <family val="2"/>
      </rPr>
      <t xml:space="preserve">Activities include making Jingles, Videos, hoardings, newspaper advisories and mass media campaigns, No Tobacco Day observation, special Enforcement drives, mobile IEC corner etc.  </t>
    </r>
    <r>
      <rPr>
        <b/>
        <sz val="10"/>
        <rFont val="Calibri"/>
        <family val="2"/>
      </rPr>
      <t xml:space="preserve">
  Planning and M&amp;E</t>
    </r>
    <r>
      <rPr>
        <sz val="10"/>
        <rFont val="Calibri"/>
        <family val="2"/>
      </rPr>
      <t xml:space="preserve">
• Monthly meeting with the hospital staff, Weekly FGD with the tobacco users. 0.25L
 • Enforcement Squads 1L/District
 • District Tobacco Control Cell (DTCC): Misc./Office Expenses 0.25L</t>
    </r>
  </si>
  <si>
    <r>
      <rPr>
        <b/>
        <sz val="10"/>
        <rFont val="Calibri"/>
        <family val="2"/>
      </rPr>
      <t>Capacity Buidling 9.80lakhs</t>
    </r>
    <r>
      <rPr>
        <sz val="10"/>
        <rFont val="Calibri"/>
        <family val="2"/>
      </rPr>
      <t xml:space="preserve">
Rs.6.60lakhs for 3 batch @0.55  lakhs per batch of 100, on a quarterly basis for refresher training of MLSPs
Rs. 3.20 lakhs @0.40 lakhs per batch for 8 batches for SHC-HWC  team building training. 
</t>
    </r>
    <r>
      <rPr>
        <b/>
        <sz val="10"/>
        <rFont val="Calibri"/>
        <family val="2"/>
      </rPr>
      <t>ASHA Incentives</t>
    </r>
    <r>
      <rPr>
        <sz val="10"/>
        <rFont val="Calibri"/>
        <family val="2"/>
      </rPr>
      <t xml:space="preserve"> Rs.130.92lakhs @ Rs.1000/- per month for 1091 ASHA for expanded package of services 
</t>
    </r>
    <r>
      <rPr>
        <b/>
        <sz val="10"/>
        <rFont val="Calibri"/>
        <family val="2"/>
      </rPr>
      <t>IEC &amp; PRINTING- 1L</t>
    </r>
    <r>
      <rPr>
        <sz val="10"/>
        <rFont val="Calibri"/>
        <family val="2"/>
      </rPr>
      <t xml:space="preserve"> 
Designing, Printing and installation of posters, banners in all District &amp; Thaluk level Hospitals and HWCs regarding eSanjeevani.  </t>
    </r>
  </si>
  <si>
    <r>
      <t xml:space="preserve">     </t>
    </r>
    <r>
      <rPr>
        <b/>
        <sz val="10"/>
        <rFont val="Calibri"/>
        <family val="2"/>
      </rPr>
      <t>Capacity building incl. training  - 19.74  L</t>
    </r>
    <r>
      <rPr>
        <sz val="10"/>
        <rFont val="Calibri"/>
        <family val="2"/>
      </rPr>
      <t xml:space="preserve">
Induction training to ASHA@Rs. 74750 per batch of 30 ASHA for Rs. . 74 L
ASHA 10th Module training @ Rs. 1533 per one ASHA for 1091 ASHA  16.72  L
Supplementary training to ASHA - One ASHA from one institution per month @ Rs. 300 per ASHA for 63 ASHA's -  2.26  L.
</t>
    </r>
    <r>
      <rPr>
        <b/>
        <sz val="10"/>
        <rFont val="Calibri"/>
        <family val="2"/>
      </rPr>
      <t xml:space="preserve">ASHA incentives – 282.37 L </t>
    </r>
    <r>
      <rPr>
        <sz val="10"/>
        <rFont val="Calibri"/>
        <family val="2"/>
      </rPr>
      <t xml:space="preserve">
ASHA fixed incentive @Rs. 2000 per month for 1091 ASHAs Rs. 261.84  L 
Incentive for monthly review meeting @Rs.100 per month for 1091 ASHAs Rs. 13.09  L
Social Security Insurance packages for ASHA - PMJJBY @ Rs.436 for 520 ASHA of  Rs. 2.26   L , PMSBY @Rs. 20 for 637  ASHA Rs ..012 L,  PMSYM @Rs.100 per month for 420 ASHAs Rs. 5.04   L . Total 7.31  L.
</t>
    </r>
    <r>
      <rPr>
        <b/>
        <sz val="10"/>
        <rFont val="Calibri"/>
        <family val="2"/>
      </rPr>
      <t>OOC  - 27.20  L</t>
    </r>
    <r>
      <rPr>
        <sz val="10"/>
        <rFont val="Calibri"/>
        <family val="2"/>
      </rPr>
      <t xml:space="preserve">
 On going expenses for Ward Helath Facilitation Centres @Rs. 500 per month per ward  17 wards Rs.1.02 L             
Mobile allowance to ASHA @Rs. 200 per month for Rs. 26.18  L .
IEC &amp; PRINTING- 3.611L (Activity breakup details attached)                                                    2025-26 Distrit ASHA Sammelan  Rs. 2 L                                                     </t>
    </r>
  </si>
  <si>
    <r>
      <rPr>
        <b/>
        <sz val="10"/>
        <rFont val="Calibri"/>
        <family val="2"/>
      </rPr>
      <t>Training</t>
    </r>
    <r>
      <rPr>
        <sz val="10"/>
        <rFont val="Calibri"/>
        <family val="2"/>
      </rPr>
      <t xml:space="preserve">
6 training cum review meeting for each district for Monitoring &amp; Evaluation @unit cost of 20000/- Planning and M&amp;E-
1. PMU Trainings, DAP, Audit fees, mobility support, other overhead expenses
2.District level review meeting on national programmes based on key deliverables @unit cost 20000/- per quarter ie, Rs 80000/- for each district
District  review mission  on alternate months at district level @unit cost 20000/- bimonthly for each district ie, 1.2 Lakh for each district
</t>
    </r>
    <r>
      <rPr>
        <b/>
        <sz val="10"/>
        <rFont val="Calibri"/>
        <family val="2"/>
      </rPr>
      <t xml:space="preserve">The District to ensure that the budget approved under this head should not be utilised for construction/renovation/repair activities, engaging HR and purchasing vehicles.  </t>
    </r>
  </si>
  <si>
    <r>
      <rPr>
        <b/>
        <sz val="10"/>
        <rFont val="Calibri"/>
        <family val="2"/>
      </rPr>
      <t xml:space="preserve">OOC- Untied Funds </t>
    </r>
    <r>
      <rPr>
        <sz val="10"/>
        <rFont val="Calibri"/>
        <family val="2"/>
      </rPr>
      <t xml:space="preserve">
3 DH/GH @ Rs.250000/- 
4 SDH @ Rs.1,00,000/-  
12 CHC @ Rs.75000/- 
43 PHC @ Rs.50000/-
261subcentre @ Rs.10000/- 
920 VHSC @ Rs.10000/-</t>
    </r>
  </si>
  <si>
    <t>ALAPPUZHA</t>
  </si>
  <si>
    <t xml:space="preserve"> UHNDs /month/ANM @ Rs. 250.00  for 23ANMs.   Mobility support for ANM@ Rs. 500/-  for 23 ANMs</t>
  </si>
  <si>
    <r>
      <rPr>
        <b/>
        <sz val="11"/>
        <rFont val="Calibri"/>
        <family val="2"/>
      </rPr>
      <t>OOC- Tribal camps</t>
    </r>
    <r>
      <rPr>
        <sz val="11"/>
        <rFont val="Calibri"/>
        <family val="2"/>
      </rPr>
      <t xml:space="preserve">
Single MO Camps -6@ Rs.3000/-, Specialist camps-2@15000/-</t>
    </r>
  </si>
  <si>
    <r>
      <rPr>
        <b/>
        <sz val="11"/>
        <rFont val="Calibri"/>
        <family val="2"/>
      </rPr>
      <t>Drugs and Diagnostics</t>
    </r>
    <r>
      <rPr>
        <sz val="11"/>
        <rFont val="Calibri"/>
        <family val="2"/>
      </rPr>
      <t>: Total estimated delivery is 7250. it is assumed 15% sick and 1088 cases budgeted for drugs and diagnostics @ Rs.200/- each</t>
    </r>
  </si>
  <si>
    <r>
      <rPr>
        <b/>
        <sz val="11"/>
        <rFont val="Calibri"/>
        <family val="2"/>
      </rPr>
      <t xml:space="preserve">OOC </t>
    </r>
    <r>
      <rPr>
        <sz val="11"/>
        <rFont val="Calibri"/>
        <family val="2"/>
      </rPr>
      <t xml:space="preserve">: 1088cases budgeted for transport @ Rs.500/- </t>
    </r>
  </si>
  <si>
    <r>
      <rPr>
        <b/>
        <sz val="11"/>
        <rFont val="Calibri"/>
        <family val="2"/>
      </rPr>
      <t>Capacity Building -Training</t>
    </r>
    <r>
      <rPr>
        <sz val="11"/>
        <rFont val="Calibri"/>
        <family val="2"/>
      </rPr>
      <t xml:space="preserve"> - for 1) 4 days hybrid (1 day + 3 days online) training of MOs @Rs 70000/ batch (40 Nos.) - Rs 0.70 L
  2) AFHS 3 hybrid (1 day + 2 days online) training of ANM/LHV/MPW/other healthworkers @Rs. 50000/ batch (40 Nos.) - Rs 0.50 L
 </t>
    </r>
    <r>
      <rPr>
        <b/>
        <sz val="11"/>
        <rFont val="Calibri"/>
        <family val="2"/>
      </rPr>
      <t>OOC</t>
    </r>
    <r>
      <rPr>
        <sz val="11"/>
        <rFont val="Calibri"/>
        <family val="2"/>
      </rPr>
      <t xml:space="preserve"> - 1) Operating expenses for AH/RKSK clinics: AH/RKSK centre Rs. 12000/centre * no of AFHCs (ALP-7 AFHC ) - 0.84 L
 2) Mobility support to counsellors for conducting 8 outreach session / month for 12 months @Rs.400/session. (ALP 7 counsellors) - 2.69 L
3) As communication support to 94 GOI AH counsellors @ Rs.250 /month for 12 months. ie 2.82 L ( 5 * 250 *12 ) - .15 L
4) Bi-annual district level convergence workshop under RKSK - Rs 5000/batch ie 5000*2 = Rs 0.100 L
 </t>
    </r>
    <r>
      <rPr>
        <b/>
        <sz val="11"/>
        <rFont val="Calibri"/>
        <family val="2"/>
      </rPr>
      <t>IEC &amp; Printing</t>
    </r>
    <r>
      <rPr>
        <sz val="11"/>
        <rFont val="Calibri"/>
        <family val="2"/>
      </rPr>
      <t xml:space="preserve"> : For printing of various IEC materials for use in the AFHCs and by counsellors -Rs 0.25 L
</t>
    </r>
  </si>
  <si>
    <r>
      <rPr>
        <b/>
        <sz val="11"/>
        <rFont val="Calibri"/>
        <family val="2"/>
      </rPr>
      <t>Capacity Building - Training</t>
    </r>
    <r>
      <rPr>
        <sz val="11"/>
        <rFont val="Calibri"/>
        <family val="2"/>
      </rPr>
      <t xml:space="preserve"> : 1)Training (6 days ) of New Peer Educator in all districts (BLOCK LELVEL). (ALP-400 (10 Batch) @70000/batch Rs 7.0 L
 OOC -1) Organising monthly Adolescent Friendly Club meetings at subcentre level Rs. 500* no of blocks*5 subcentre*12 AFC meetings/FY ( ALP-7) -2.10 L
 2) Community Intervention for AH Services) Incentives for Peer Educators Rs 50/month* 12 months*no of PEs (ALP -1600) -10.80 L
 3) Organizing Adolescent Health &amp; Wellness day Rs. 2500* No. of selected blocks*4 AHWD/FY( ALP -7) - 0.70
</t>
    </r>
    <r>
      <rPr>
        <b/>
        <sz val="11"/>
        <rFont val="Calibri"/>
        <family val="2"/>
      </rPr>
      <t xml:space="preserve"> IEC &amp; Printing</t>
    </r>
    <r>
      <rPr>
        <sz val="11"/>
        <rFont val="Calibri"/>
        <family val="2"/>
      </rPr>
      <t xml:space="preserve"> : PE Kit and PE Diary @ Rs 350/PE kit &amp; diary * no of New Peers entering 8th STD. (ALP-400) -1.40 L</t>
    </r>
  </si>
  <si>
    <r>
      <rPr>
        <b/>
        <sz val="11"/>
        <rFont val="Calibri"/>
        <family val="2"/>
      </rPr>
      <t xml:space="preserve"> Capacity building including Training</t>
    </r>
    <r>
      <rPr>
        <sz val="11"/>
        <rFont val="Calibri"/>
        <family val="2"/>
      </rPr>
      <t xml:space="preserve"> -Organising 2 district level coordination and dissemination workshop for RKSK and AB_SHWP @Rs 5460/workshop ie 5460*2 = 0.109 L 
</t>
    </r>
    <r>
      <rPr>
        <b/>
        <sz val="11"/>
        <rFont val="Calibri"/>
        <family val="2"/>
      </rPr>
      <t xml:space="preserve"> IEC &amp; Printing</t>
    </r>
    <r>
      <rPr>
        <sz val="11"/>
        <rFont val="Calibri"/>
        <family val="2"/>
      </rPr>
      <t xml:space="preserve"> 
 For printing of AFHC forms for AFHCs @2000/AFHCs (ALP-7) 
 For printing of AFHS Training manuals for MO, ANM Counsellors and Training manuals for PE training @ Rs 200 / manual for all Dist (160 nos/Dist) - Rs 0.32 L
AH- IEC &amp; PRINTING -1.5L Activity Breakup is attached herewith </t>
    </r>
  </si>
  <si>
    <r>
      <rPr>
        <b/>
        <sz val="11"/>
        <rFont val="Calibri"/>
        <family val="2"/>
      </rPr>
      <t>DBT-</t>
    </r>
    <r>
      <rPr>
        <sz val="11"/>
        <rFont val="Calibri"/>
        <family val="2"/>
      </rPr>
      <t xml:space="preserve">Female Public   BPL/SC/ST Sterilization 169 cases@  Rs 1000 per case .
APL  sterilization 508 cases @ Rs. 650 per case 
</t>
    </r>
    <r>
      <rPr>
        <b/>
        <sz val="11"/>
        <rFont val="Calibri"/>
        <family val="2"/>
      </rPr>
      <t>Training</t>
    </r>
    <r>
      <rPr>
        <sz val="11"/>
        <rFont val="Calibri"/>
        <family val="2"/>
      </rPr>
      <t>- Rs 110000 for Laproscopic sterilization(12 days training for 3 participants)</t>
    </r>
  </si>
  <si>
    <r>
      <t xml:space="preserve">
</t>
    </r>
    <r>
      <rPr>
        <b/>
        <sz val="11"/>
        <rFont val="Calibri"/>
        <family val="2"/>
      </rPr>
      <t>1.DBT</t>
    </r>
    <r>
      <rPr>
        <sz val="11"/>
        <rFont val="Calibri"/>
        <family val="2"/>
      </rPr>
      <t xml:space="preserve">
a. Internal IUCD insertion 1214 cases @ Rs 20/beneficiary
b.PPIUCD insertion 235 cases @ Rs 300/beneficiary
c.PAIUCD insertion 4 cases @ Rs 300/beneficiary
</t>
    </r>
    <r>
      <rPr>
        <b/>
        <sz val="11"/>
        <rFont val="Calibri"/>
        <family val="2"/>
      </rPr>
      <t>2. Training</t>
    </r>
    <r>
      <rPr>
        <sz val="11"/>
        <rFont val="Calibri"/>
        <family val="2"/>
      </rPr>
      <t xml:space="preserve">- IUCD training for Medical officers 2 batches @Rs 37500/batch (5 days training with 10 participants)
</t>
    </r>
    <r>
      <rPr>
        <b/>
        <sz val="11"/>
        <rFont val="Calibri"/>
        <family val="2"/>
      </rPr>
      <t>3.ASHA Incentive</t>
    </r>
    <r>
      <rPr>
        <sz val="11"/>
        <rFont val="Calibri"/>
        <family val="2"/>
      </rPr>
      <t xml:space="preserve">
a.PPIUCD insertion 235 cases @ Rs 150/beneficiary
c.PAIUCD insertion 4  cases @ Rs 150/beneficiary
</t>
    </r>
  </si>
  <si>
    <t xml:space="preserve">Others including operating costs(OOC)  Rs.2.4 Lakhs   Incentives for Peer Educators under NVHCP  Rs 10,000/- per month (We already have 2 TCs at Govt Medical College Alappuzha &amp; General Hospital Alappuzha) 
                </t>
  </si>
  <si>
    <r>
      <rPr>
        <b/>
        <sz val="11"/>
        <rFont val="Calibri"/>
        <family val="2"/>
      </rPr>
      <t xml:space="preserve">Training :  Rs. 1 Lakhs </t>
    </r>
    <r>
      <rPr>
        <sz val="11"/>
        <rFont val="Calibri"/>
        <family val="2"/>
      </rPr>
      <t xml:space="preserve">per training Medical Officers, Staff Nurse, ASHA ANM &amp; other Health care workers. 
IEC &amp; Printing Rs.1.50 lakhs
</t>
    </r>
    <r>
      <rPr>
        <b/>
        <sz val="11"/>
        <rFont val="Calibri"/>
        <family val="2"/>
      </rPr>
      <t>Planning &amp; M &amp; E - Rs.05 Lakhs</t>
    </r>
    <r>
      <rPr>
        <sz val="11"/>
        <rFont val="Calibri"/>
        <family val="2"/>
      </rPr>
      <t xml:space="preserve">
Supervision and Monitoring activities </t>
    </r>
  </si>
  <si>
    <r>
      <rPr>
        <b/>
        <sz val="11"/>
        <rFont val="Calibri"/>
        <family val="2"/>
      </rPr>
      <t>Capacity Building incl Training – 0.8 L</t>
    </r>
    <r>
      <rPr>
        <sz val="11"/>
        <rFont val="Calibri"/>
        <family val="2"/>
      </rPr>
      <t xml:space="preserve">
 1. Orientation of stake holder organizations like, police department, excise department, food safety department, education department etc
 2 session at district – 20000/session = 40000
 Training of health professionals Includes, doctors, staff nurse, MPWs, ASHAS etC. 2sessions at district – 20000/session= 40000
 </t>
    </r>
    <r>
      <rPr>
        <b/>
        <sz val="11"/>
        <rFont val="Calibri"/>
        <family val="2"/>
      </rPr>
      <t xml:space="preserve">IEC and Printing : Rs.1.5 lakhs
</t>
    </r>
    <r>
      <rPr>
        <sz val="11"/>
        <rFont val="Calibri"/>
        <family val="2"/>
      </rPr>
      <t xml:space="preserve">Activities include making Jingles, Videos, hoardings, newspaper advisories and mass media campaigns, No Tobacco Day observation, special Enforcement drives, mobile IEC corner etc.  </t>
    </r>
    <r>
      <rPr>
        <b/>
        <sz val="11"/>
        <rFont val="Calibri"/>
        <family val="2"/>
      </rPr>
      <t xml:space="preserve">
  Planning and M&amp;E</t>
    </r>
    <r>
      <rPr>
        <sz val="11"/>
        <rFont val="Calibri"/>
        <family val="2"/>
      </rPr>
      <t xml:space="preserve">
• Monthly meeting with the hospital staff, Weekly FGD with the tobacco users. 0.25L
 • Enforcement Squads 1L/District
 • District Tobacco Control Cell (DTCC): Misc./Office Expenses 0.25L</t>
    </r>
  </si>
  <si>
    <r>
      <rPr>
        <b/>
        <sz val="11"/>
        <rFont val="Calibri"/>
        <family val="2"/>
      </rPr>
      <t>Capacity Buidling 13.60 lakhs</t>
    </r>
    <r>
      <rPr>
        <sz val="11"/>
        <rFont val="Calibri"/>
        <family val="2"/>
      </rPr>
      <t xml:space="preserve">
Rs.8.80 lakhs for 4 batch @0.55  lakhs per batch of 100, on a quarterly basis for refresher training of MLSPs
Rs. 4.8 lakhs @0.40 lakhs per batch for 12 batches for SHC-HWC  team building training. 
</t>
    </r>
    <r>
      <rPr>
        <b/>
        <sz val="11"/>
        <rFont val="Calibri"/>
        <family val="2"/>
      </rPr>
      <t>ASHA Incentives</t>
    </r>
    <r>
      <rPr>
        <sz val="11"/>
        <rFont val="Calibri"/>
        <family val="2"/>
      </rPr>
      <t xml:space="preserve"> Rs.234.84lakhs @ Rs.1000/- per month for 1957 ASHA for expanded package of services 
</t>
    </r>
    <r>
      <rPr>
        <b/>
        <sz val="11"/>
        <rFont val="Calibri"/>
        <family val="2"/>
      </rPr>
      <t>IEC &amp; PRINTING- 1L</t>
    </r>
    <r>
      <rPr>
        <sz val="11"/>
        <rFont val="Calibri"/>
        <family val="2"/>
      </rPr>
      <t xml:space="preserve"> 
Designing, Printing and installation of posters, banners in all District &amp; Thaluk level Hospitals and HWCs regarding eSanjeevani.  </t>
    </r>
  </si>
  <si>
    <r>
      <rPr>
        <b/>
        <sz val="11"/>
        <rFont val="Calibri"/>
        <family val="2"/>
      </rPr>
      <t>Capacity building incl. training  - 33.92 L</t>
    </r>
    <r>
      <rPr>
        <sz val="11"/>
        <rFont val="Calibri"/>
        <family val="2"/>
      </rPr>
      <t xml:space="preserve">
Induction training to ASHA@Rs. 74750 per batch of 30 ASHA for Rs. .747 L
ASHA 10th Module training @ Rs. 1533 per one ASHA for 1957 ASHA  30.00  L
Supplementary training to ASHA - One ASHA from one institution per month @ Rs. 300 per ASHA for 88 ASHA's -  3.16  L.
</t>
    </r>
    <r>
      <rPr>
        <b/>
        <sz val="11"/>
        <rFont val="Calibri"/>
        <family val="2"/>
      </rPr>
      <t xml:space="preserve">ASHA incentives – 501.78  L </t>
    </r>
    <r>
      <rPr>
        <sz val="11"/>
        <rFont val="Calibri"/>
        <family val="2"/>
      </rPr>
      <t xml:space="preserve">
ASHA fixed incentive @Rs. 2000 per month for 1957 ASHAs  Rs. 469.68  L 
Incentive for monthly review meeting @Rs.100 per month for 1951 ASHAs Rs. 23.48  L
Social Security Insurance packages for ASHA - PMJJBY @ Rs.436 for 620 ASHA of  Rs. 2.70  L , PMSBY @Rs. 20 for 765  ASHA Rs . 015  L,  PMSYM @Rs.100 per month for 450 ASHAs Rs. 5.76  L . Total  8.475  L.
</t>
    </r>
    <r>
      <rPr>
        <b/>
        <sz val="11"/>
        <rFont val="Calibri"/>
        <family val="2"/>
      </rPr>
      <t>OOC  - 47.75 L</t>
    </r>
    <r>
      <rPr>
        <sz val="11"/>
        <rFont val="Calibri"/>
        <family val="2"/>
      </rPr>
      <t xml:space="preserve">
 On going expenses for Ward Health Facilitation Centres @Rs. 500 per month per ward  13 wards Rs..078  L         
   Mobile allowance to ASHA @Rs. 200 per month for Rs. 46.96 L .
IEC &amp; PRINTING- 4.457L (Activity breakup details attached)                                                          </t>
    </r>
    <r>
      <rPr>
        <b/>
        <sz val="11"/>
        <rFont val="Calibri"/>
        <family val="2"/>
      </rPr>
      <t>2025-26</t>
    </r>
    <r>
      <rPr>
        <sz val="11"/>
        <rFont val="Calibri"/>
        <family val="2"/>
      </rPr>
      <t xml:space="preserve"> Distrit ASHA SAmmelan  Rs. 2 L</t>
    </r>
  </si>
  <si>
    <r>
      <rPr>
        <b/>
        <sz val="11"/>
        <rFont val="Calibri"/>
        <family val="2"/>
      </rPr>
      <t xml:space="preserve">OOC- Untied Funds </t>
    </r>
    <r>
      <rPr>
        <sz val="11"/>
        <rFont val="Calibri"/>
        <family val="2"/>
      </rPr>
      <t xml:space="preserve">
3 DH/GH @ Rs.250000/- 
6 SDH @ Rs.1,00,000/-  
16 CHC @ Rs.75000/- 
61 PHC @ Rs.50000/-
366 subcentre @ Rs.10000/- 
1384 VHSC @ Rs.10000/-</t>
    </r>
  </si>
  <si>
    <r>
      <rPr>
        <u/>
        <sz val="11"/>
        <rFont val="Calibri"/>
        <family val="2"/>
      </rPr>
      <t>Drugs and supplies</t>
    </r>
    <r>
      <rPr>
        <sz val="11"/>
        <rFont val="Calibri"/>
        <family val="2"/>
      </rPr>
      <t xml:space="preserve">
Management of HAV and HEV patients – budgeted @ Rs 50000/-  per district for necessary investigations, sample transportation and supportive treatment.
Others including operating costs(OOC) Rs. 1 Lakhs - Rs: 0.5 Lakhs each for TCs  (Govt Medical College Alappuzha and General Hospital Alappuzha )  - Meeting Costs/Office expenses/Contingency/Management of Hep A &amp; E as Cash Grant</t>
    </r>
  </si>
  <si>
    <t xml:space="preserve">Equipment :- 
Drugs &amp; Supplies :- 
Diagnostics :- 
Capacity building training : - Rs. 1 lakh per batch for district level  ToT/ training on F-IMNCI.
Asha Incentives :- 
 OOC :- Operational Cost Pediatric HDUs – Rs. 3.0 Lakhs as Operational Cost of 2 HDUs 
@ Rs. 1.5 Lakh per Unit - 1.5 lakh * 2 HDU = 3,00,000/- </t>
  </si>
  <si>
    <t xml:space="preserve">Capacity building training : -  1.  Rs. 1.0 Lakhs for District level sensitization for Medical Officers, Staff nurses, JPHNs, PHNs etc,  2.  Rs. 0.50 Lakhs for One day Training  for Paediatricians and medical Officers of 40 participants on new Pneumonia management guidelines Rs 150000 * 1 = 150000/-, 3. Training of ASHAs- 70 batch x Rs.3000 = Rs. 2,10,000/-
Asha Incentives :-                                                                                                                                  
OOC :-                                                                                                                                                                                                                                                                                             Planning &amp; M &amp; E : - Rs. 20000  for Supportive Supervision of SAANS Program.  
IEC &amp; PRINTING-  1. 1 Lakh per District for  District Level Launch of SAANS Campaign, 2. Rs. 2 lakh for per district for district level  IEC /BCC Activities of SAANS Campaign., 3. Rs. 20000 for printing of SAANS Guidelines.
</t>
  </si>
  <si>
    <t xml:space="preserve"> Capacity building training : - 1. NSSK Training for Medical Officers - 2 batch NSSK training Rs. 34400 x 2 = Rs.68800/-., 2. NSSK Training for Staff Nurses - 2 batch NSSK training Rs. 34400 x 2 = Rs.68800/-, 3. Trainings for Family participatory care (KMC) - Rs 50000 per district to get a  team of trained doctors and Nurses at SNCUs. Rs.50000 x 1 = Rs.50,000/- , 4. Rs. 1 lakh is approved for two batches of Musqan District level Sensitization Training @ 100000 per district, 5. MUSQAN: Health Institution level activities – 4 lakh approved for selected 2 institutions. Unit price of  1 each for gap filling &amp; Equipments approved for these 2 institutions.                                                                                                         
Asha Incentives :-                                                                                                                                  
OOC :- 1. 2 Functional SNCUs = Rs. 300000x 2 SNCU = Rs.6,00,000/-, 2. NBCC– approved @ Rs.10,000 for 8 delivery points Rs. 10000x8 Delivery point = 80,000/- , 3. Family participatory care (KMC) -Rs. 75000 x 2 SNCUs = 1,50,000/- , 4. Mother new-born Care Unit– Rs. 260000 for  Alappuzha MCH - Rs. 260000 x 1 MNCU = 2,60,000/-, 6.  Operating expenses for  4 NBSU – Rs. 4 lakhs.                                                                                                                                                                                                                                                                                    Planning &amp; M &amp; E : -   
IEC &amp; PRINTING- Rs 1 lakh per unit for 2 SNCUs</t>
  </si>
  <si>
    <t xml:space="preserve">
Capacity building training : - One day District  Level TOT training for selected 10 participants
 in each districts @ Rs.11000/-
Asha Incentives :- Incentive for HBNC, HBYC, &amp; SNCU discharge babies –Rs. 58.71 lakhs </t>
  </si>
  <si>
    <t xml:space="preserve">                                                                                                                                   
Capacity building training : -  CDR training approved @ Rs.50000 per district.                                                                                                           
Asha Incentives :- Rs.50 per under 5 Child death @ community level /Non-FRU level/ pvt facilities for 129 under 5 deaths - 129 cases * 50 =  6450/                                                                                                                                  
OOC :- 1. ANM Honorarium (FBIR) - Rs. 100 per Under 5 Child Deaths @ Community level/ Non-FRU level/ private facilities for 129 Under 5 Deaths -129 cases * 100 = 12,900/- , 2. Medical Officer Honorarium (Verbal Autopsy) by team of 2 MOs -  Rs. 500 per Under 5 Child Deaths @ Community level/ Non- FRU level/ private facilities for 129 Under 5 Deaths -129 cases * 500 = 64,500/-, 3. Transport of parents @ Rs.100 per case to attend DM level meeting for 72 deceased children -72  children * 100 = 7200/-, 4. DM level meeting @ Rs. 5000 per District (per annum) 5000 * 1 = 5000/-                                                                                                                                                                                                                                                                                       
</t>
  </si>
  <si>
    <t xml:space="preserve">Equipment :- Rs.425840  lakh is recommended for essential equipment as per gap analysis.
Diagnostics :- Approval is to purchase Consumables for functioning 
DEIC. @ Rs. 100000/-
OOC :- 1. Operational expenses for Rs.20000 per month for Allapuzha DEIC.  Total amount  = Rs. 2,40,000/-, 
2. Referral Support for Secondary/ Tertiary – Rs. 140.42/- Lakhs  
IEC &amp; PRINTING- Printing cost for DEIC – Rs. 1 lakhs </t>
  </si>
  <si>
    <t>Equipment :-   Repair equipment for 78 existing nurses - Unit cost - Rs.2000/-                                                                                                                                                     
Capacity building training : -1.  RBSK Refresher training @ Rs. 50000/- per batch for 3 batches. 2. One-day orientation for MO / other staff Delivery points (RBSK training) -2 Batch training per district @ ₹21000 per batch, 3.Half-day RBSK refresher training @ Rs. 2500 x 12 = 30000/-
OOC :- 1.   Mobility support for RBSK Mobile health team - Incentive for RBSK nurse – Rs.1000*78*12 = Rs.9,36,000/- and 1 vehicles for MHT – Rs.48000*1*12 = Rs. 5,76,000 /- , 2. 83 connections @ Rs.300 per month = 83*300*12 =  2,98,800.                                                                                                                                                                                                                                                     Planning &amp; M &amp; E : -  One yearly meeting at the district level involving line departments like WCD, LSGD, ICPS, ORC, Childline, BRC/ Education dept. etc @ 50000 per district. 
IEC &amp; PRINTING- 0.195 L for Printing of RBSK cards and registers and Diary @ Rs.250/- for 78 RBSK nurses
Total - 19,500/-</t>
  </si>
  <si>
    <t>KOTTAYAM</t>
  </si>
  <si>
    <t>Central supplies (Kind grants) (To be provided by the PDs)</t>
  </si>
  <si>
    <t>1.75 L Lakhs for own buildong   Rented Building   @ 1 L    Untied grants to UCHCs  Untied grants to MAS  @Rs.5000/- per MAS 42 and 45 for 24-25 and 25-26 res.</t>
  </si>
  <si>
    <t>Others including operating costs(OOC) Rs.2.4 Lakhs Incentives for Peer Educators under NVHCP Rs 10,000/- per month (We already have 1 MTC at Govt Medical College Kottayam &amp; 1 TC at General Hospital Kottayam)</t>
  </si>
  <si>
    <t xml:space="preserve">Capacity building training : -  1.  Rs. 1.0 Lakhs for District level sensitization for Medical Officers, Staff nurses, JPHNs, PHNs etc,  2.  Rs. 0.50 Lakhs for One day Training  for Paediatricians and medical Officers of 40 participants on new Pneumonia management guidelines Rs 150000 * 1 = 150000/-, 3. Training of ASHAs- 55 batch x Rs.3000 = Rs. 1,65,000/-                                                                                                                                                                                                                                                                                                                                                                                               
Planning &amp; M &amp; E : - Rs. 20000  for Supportive Supervision of SAANS Program.  
IEC &amp; PRINTING-  1. 1 Lakh per District for  District Level Launch of SAANS Campaign, 2. Rs. 2 lakh for per district for district level  IEC /BCC Activities of SAANS Campaign., 3. Rs. 20000 for printing of SAANS Guidelines.
</t>
  </si>
  <si>
    <t xml:space="preserve">Capacity building training : -  CDR training approved @ Rs.50000 per district.                                                                                                           
Asha Incentives :- Rs.50 per under 5 Child death @ community level /Non-FRU level/ pvt facilities for 129 under 5 deaths - 129 cases * 50 =  6450/                                                                                                                                  
OOC :- 1. ANM Honorarium (FBIR) - Rs. 100 per Under 5 Child Deaths @ Community level/ Non-FRU level/ private facilities for 129 Under 5 Deaths -129 cases * 100 = 12,900/- , 2. Medical Officer Honorarium (Verbal Autopsy) by team of 2 MOs -  Rs. 500 per Under 5 Child Deaths @ Community level/ Non- FRU level/ private facilities for 129 Under 5 Deaths -129 cases * 500 = 64,500/-, 3. Transport of parents @ Rs.100 per case to attend DM level meeting for 72 deceased children -72  children * 100 = 7200/-, 4. DM level meeting @ Rs. 5000 per District (per annum) 5000 * 1 = 5000/-                                                                                                                                                                                                                                                                                     </t>
  </si>
  <si>
    <t xml:space="preserve">Capacity building training : - One day District  Level TOT training for selected 10 participants
 in each districts @ Rs.11000/-
Asha Incentives :- Incentive for HBNC, HBYC, &amp; SNCU discharge babies – Rs. Rs. 45.81 lakhs </t>
  </si>
  <si>
    <t xml:space="preserve">Equipment :- Rs. 147149 lakh is recommended for essential equipment as per gap analysis.
Diagnostics :- Approval is to purchase Consumables for functioning 
DEIC. @ Rs. 100000/-
OOC :- 1. Operational expenses for Rs.10000 per month for Kottayam DEIC. Total amount  = Rs. 1,20,000/-, 
2. Referral Support for Secondary/ Tertiary – Rs. 140.42/- Lakhs  
Planning &amp; M &amp; E : - 
IEC &amp; PRINTING- Printing cost for DEIC – Rs. 1 lakhs </t>
  </si>
  <si>
    <t>IDUKKI</t>
  </si>
  <si>
    <t>1.75 L Lakhs for own buildong   Rented Building   @ 1 L    Untied grants to UCHCs  Untied grants to MAS  @Rs.5000/- per MAS</t>
  </si>
  <si>
    <t>73.1 – DBT – Rs. 1.84 Lakhs:- Treatment Supporter Honorarium (Rs.1000) - one-time payment on the update of the Outcome of Treatment for drug sensitive TB patients, will be release through Nikshay DBT Mode directly to the beneficiaries.
73.2 - Infrastructure - Civil - Rs 3.00 lakhs – Rs. 3.00 lakhs for minor civil works/ repairing &amp; maintenance required at  DTC, TU &amp; DMC and X-ray facilities etc based on need basis and for minor civil works., 
73.3 - Equipments - Rs. 8.40 Lakhs -  Rs. 2.50 lakhs Procurement of equipment for District levels. (DMC, X-ray and ECG, etc for NTEP) Procurement of Sleeves and drug boxes - Rs. 2.40 lakhs for Maintenance / up gradation costs for Laboratory equipment’s DMC, X-ray and ECG, etc for NTEP  - Rs. 2.00 lakhs for Procurement of office equipment and furniture for District levels. (Office Equipments)  - Rs. 1.50 lakhs for Maintenance / up gradation costs for office equipment’s (Office Equipments)
73.4 - Drugs - Rs. 2.20 Lakhs - Procurement of First line drugs, Local Procurement of first line Anti TB  drugs on need basis and Drug Transportation charges etc
73.5 - Diagnostics (Consumables, PPP, Sample Transportation) - Rs. 11.00 Lakhs - Rs. 5.00 lakhs Patient Support &amp; Sample collection and Transport , Charges for transportation of samples for diagnosis, DST, follow-up &amp; Rs. 6.00 lakhs for Procurement of Lab consumables for DMCs, Procurement of Consumables for X-rays, ECG and etc.
73.6 - Capacity building Incl. training - Rs. 6.50 Lakhs -   Rs. 3.30 lakhs for training cost (including TA/DA &amp; other course materials) for officers / staff/ TB Champions and all district staff at National level, State level and District level, Rs. 2.20 lakhs Cost for conducting CME Training in Medical Colleges, Rs. 1.00 lakhs Community Engagement Activities - Sensitization of TB survivors, sensitization of NGOs, PRIs meeting, TB survivor led activities, etc
73.8 - Others including operating costs (OOC) - Rs. 3.00 Lakhs  - Rs. 1.40 lakhs Incentives for Active Case Finding/Akshaya Keralam Campaign/TB Elimination house to house visit , Rs 10/ for every household visit &amp; Rs 500/ for every new cases identified -the unit cost shall preferably be budgeted as per household or per person screened.,  Rs. 0.25 lakhs Incentive to non-salaried person for injection prick,  Rs. 1.35 lakhs Budget for Printing of Materials..
73.10 - Planning &amp; M&amp;E - Rs. 8.00 Lakhs  - Rs. 3.10 lakhs Supervision and Monitoring (District Level) - TA/DA cost of all officer/ staff working in NTEP, review meetings, Cost of internal evaluation etc.,  -Rs.2.80 lakhs for POL for existing vehicles under NTEP and mobility support for those field staff in lieu of vehicles.Vehicle hiring cost for Districts where Govt vehicles are not available for supervision &amp; monitoring. Rs. 2.10 lakhs Office operation includes office maintenance expenditure, stationary, communication etc.  
73.11 - Surveillance, Research, Review, Evaluation (SRRE) - Rs. 0.50 Lakhs  - Support for State &amp; District level/TU/LSG TB Forums(Treatment Support Groups) functioning including meeting cost, travel support to community members attending meeting, etc.</t>
  </si>
  <si>
    <t>Capacity building incl. training - 1. Orientation activities on vitamin A supplementation and Anaemia Mukta Bharat Programme/ VIVA Kerala - Rs.100000 per district., 2. One day Orientation of frontline workers (ASHA/ANM) and allied department workers (Teachers/AWW) on  VIVA Kerala/ Anaemia Mukt Bharat - Rs.100000 per district.
ASHA Incentive - 1. National Iron Plus Incentive for Mobilizing WRA (non pregnant &amp; non lactating women  20-49 years) approved at Rs 50  for ASHA for one month -1042 Asha * 50 * 12 = 625200/- , 2. National Iron Plus Incentive for Mobilizing  children  and / or ensuring compliance and reporting (6-59 months) - approved @ Rs 100 for ASHA for one month -1042 Asha * 100 *12 = 1250400/-</t>
  </si>
  <si>
    <t xml:space="preserve">    Planning &amp; M &amp; E : -   District Level Review Meeting of Program including RBSK and CH @ Rs. 1.75 lakhs per District 
IEC &amp; PRINTING- Rs. 3.96 lakh for Child health IEC activities. </t>
  </si>
  <si>
    <t>Capacity building training : - Rs. 1 lakh per batch for district level  ToT/ training on F-IMNCI.
 OOC :- Operational Cost Pediatric HDUs – Rs. 1.5 Lakhs as Operational Cost of 1 HDUs @ Rs. 1.5 Lakh per Unit.</t>
  </si>
  <si>
    <t xml:space="preserve">                                                                                                                                      
Capacity building training : -  1.  Rs. 1.0 Lakhs for District level sensitization for Medical Officers, Staff nurses, JPHNs, PHNs etc,  2.  Rs. 0.50 Lakhs for One day Training  for Paediatricians and medical Officers of 40 participants on new Pneumonia management guidelines Rs 150000 * 1 = 150000/-, 3. Training of ASHAs- 40 batch x Rs.3000 = Rs. 1,20,000/-                                                                                                                                                                                                                                                                                                                                                                                                Planning &amp; M &amp; E : - Rs. 20000  for Supportive Supervision of SAANS Program.  
IEC &amp; PRINTING-  1. 1 Lakh per District for  District Level Launch of SAANS Campaign, 2. Rs. 2 lakh for per district for district level  IEC /BCC Activities of SAANS Campaign., 3. Rs. 20000 for printing of SAANS Guidelines.
</t>
  </si>
  <si>
    <t xml:space="preserve">                                                                                                                                    
Capacity building training : -  CDR training approved @ Rs.50000 per district.                                                                                                           
Asha Incentives :- Rs.50 per under 5 Child death @ community level /Non-FRU level/ pvt facilities for 127 under 5 deaths - 127 cases * 50 =  6350/                                                                                                                                  
OOC :- 1. ANM Honorarium (FBIR) - Rs. 100 per Under 5 Child Deaths @ Community level/ Non-FRU level/ private facilities for 127 Under 5 Deaths -127 cases * 100 = 12,700/- , 2. Medical Officer Honorarium (Verbal Autopsy) by team of 2 MOs -  Rs. 500 per Under 5 Child Deaths @ Community level/ Non- FRU level/ private facilities for 127 Under 5 Deaths -127 cases * 500 = 63,500/-, 3. Transport of parents @ Rs.100 per case to attend DM level meeting for 72 deceased children -72  children * 100 = 7200/-, 4. DM level meeting @ Rs. 5000 per District (per annum) 5000 * 1 = 5000/-                                                                                                                                                                                                                                                                                      </t>
  </si>
  <si>
    <t xml:space="preserve">                                                                                                                                
 Capacity building training : - 1. NSSK Training for Medical Officers - 2 batch NSSK training Rs. 34400 x 2 = Rs.68800/-., 2. NSSK Training for Staff Nurses - 2 batch NSSK training Rs. 34400 x 2 = Rs.68800/-, 3. Trainings for Family participatory care (KMC) - Rs 50000 per district to get a  team of trained doctors and Nurses at SNCUs. Rs.50000 x 1 = Rs.50,000/- , 4. Rs. 1 lakh is approved for two batches of Musqan District level Sensitization Training @ 100000 per district, 5. MUSQAN: Health Institution level activities – 2 lakh approved for selected 1 institution. Unit price of  1 each for gap filling &amp; Equipments approved for this 1 institution..                                                                                                                                                                                                                                
OOC :- 1. NBCC– approved @ Rs.10,000 for 4 delivery points Rs. 10000x4 Delivery point = 40,000/- , 2.  Operating expenses for  4NBSU – Rs. 4 lakhs.                                                                                                                                                                                                                                                                                  </t>
  </si>
  <si>
    <t xml:space="preserve">Capacity building training : - One day District  Level TOT training for selected 10 participants
 in each districts @ Rs.11000/-
Asha Incentives :- Incentive for HBNC, HBYC, &amp; SNCU discharge babies – Rs. 31.26 lakhs </t>
  </si>
  <si>
    <t xml:space="preserve">Equipment :- Rs. 1384904 lakh is recommended for essential equipment as per gap analysis. 
Diagnostics :- Approval is to purchase Consumables for functioning 
DEIC. @ Rs. 100000/-
OOC :- 1. Operational expenses for Rs.10000 per month for Idukki DEIC. Total amount  = Rs. 1,20,000/-, 
2. Referral Support for Secondary/ Tertiary – Rs. 77.23/- Lakhs 
IEC &amp; PRINTING- Printing cost for DEIC – Rs. 1 lakhs </t>
  </si>
  <si>
    <t>Equipment :-   Repair equipment for 55 existing nurses - Unit cost - Rs.2000/-                                                                                                                                                         
Capacity building training : -1.  RBSK Refresher training @ Rs. 50000/- per batch for 3 batches. 2. One-day orientation for MO / other staff Delivery points (RBSK training) -2 Batch training per district @ ₹21000 per batch, 3. Half-day RBSK refresher training @ Rs. 2500 x 7 = 17500/-                                                                                                            
OOC :- 1. Mobility support for the RBSK Mobile health team -  Incentive for RBSK nurse – Rs.1000*55*12 = Rs.6,60,000/- and 2 vehicles for MHT – Rs.48000*2*12 = Rs. 11,52,000 /- , 58 connections @ Rs.300 per month = 58*300*12 =  2,08,800                                                                                                                                                                                                                                                     Planning &amp; M &amp; E : -  One yearly meeting at the district level involving line departments like WCD, LSGD, ICPS, ORC, Childline, BRC/ Education dept. etc @ 50000 per district. 
IEC &amp; PRINTING- 0.1375 L for Printing of RBSK cards and registers and Diary @ Rs.250/- for 55 RBSK nurses -Total - 13,750/-</t>
  </si>
  <si>
    <t>ERNAKULAM</t>
  </si>
  <si>
    <t>FY 2024-2025
 i)Capacity building
Training of Specialist doctors, MOs, Staff Nurse, MLSP, Palliative care staffs, ASHA workers, RBSK Nurses, UPHC Staffs, JPHN, JHI, Medical College staff @Rs 0.25 lakhs per batch. 
ii) )Other operating cost : .
a) Remuneration for Doctors
Speciality doctor 2, number of calls 30 @ Rs.100/- 313 days 
b). For establishment of 5 Telemedicine units @Rs. 70,000 per unit. Total Rs.3.5 Lac
Unit cost : Rs, 70,000/- 
iii) IEC/BCC activities
Rs. 1 Lac for Designing, Printing and installation of posters, banners in all District &amp; Thaluk level Hospitals and HWCs regarding eSanjeevani.
 iii) Planning &amp; M&amp;E Rs 0.05 lakhs for district review meeting.
FY 2025-2026
i) Other operating cost : .
a) Remuneration for Doctors
Speciality doctor 2, number of calls 30 @ Rs.100/- 313 days 
b). For establishment of 5 Telemedicine units @Rs. 70,000 per unit. Total Rs.3.5 Lac
Unit cost : Rs, 70,000/- 
ii) IEC/BCC activities
Rs. 1 Lac for Designing, Printing and installation of posters, banners in all District &amp; Thaluk level Hospitals and HWCs regarding eSanjeevani.
 iii) Planning &amp; M&amp;E Rs 0.05 lakhs for district review meeting.</t>
  </si>
  <si>
    <t xml:space="preserve">Capacity building training : - Rs. 1 lakh per batch for district level  ToT/ training on F-IMNCI.
 OOC :- Operational Cost Pediatric HDUs – Rs. 3.0 Lakhs as Operational Cost of 2 HDUs @ Rs. 1.5 Lakh per Unit. 
1.5 lakh * 2 HDU = 3,00,000/- . </t>
  </si>
  <si>
    <t xml:space="preserve">Capacity building training : -  1.  Rs. 1.0 Lakhs for District level sensitization for Medical Officers, Staff nurses, JPHNs, PHNs etc,  2.  Rs. 0.50 Lakhs for One day Training  for Paediatricians and medical Officers of 40 participants on new Pneumonia management guidelines Rs 150000 * 1 = 150000/-, 3. Training of ASHAs- 80 batch x Rs.3000 = Rs. 2,40,000/-                                                                                                                                                                                                                                                                                                                                                                                        Planning &amp; M &amp; E : - Rs. 20000  for Supportive Supervision of SAANS Program.  
IEC &amp; PRINTING-  1. 1 Lakh per District for  District Level Launch of SAANS Campaign, 2. Rs. 2 lakh for per district for district level  IEC /BCC Activities of SAANS Campaign., 3. Rs. 20000 for printing of SAANS Guidelines.
</t>
  </si>
  <si>
    <t xml:space="preserve">            
Capacity building training : -  CDR training approved @ Rs.50000 per district.                                                                                                           
Asha Incentives :- Rs.50 per under 5 Child death @ community level /Non-FRU level/ pvt facilities for 129 under 5 deaths - 129 cases * 50 =  6450/                                                                                                                                  
OOC :- 1. ANM Honorarium (FBIR) - Rs. 100 per Under 5 Child Deaths @ Community level/ Non-FRU level/ private facilities for 129 Under 5 Deaths -129 cases * 100 = 12,900/- , 2. Medical Officer Honorarium (Verbal Autopsy) by team of 2 MOs -  Rs. 500 per Under 5 Child Deaths @ Community level/ Non- FRU level/ private facilities for 129 Under 5 Deaths -129 cases * 500 = 64,500/-, 3. Transport of parents @ Rs.100 per case to attend DM level meeting for 72 deceased children -72  children * 100 = 7200/-, 4. DM level meeting @ Rs. 5000 per District (per annum) 5000 * 1 = 5000/-                                                                                                                                                                                                                                                                                     </t>
  </si>
  <si>
    <t>1)DBT Rs.53.02 lakhs ( R-6020  xRs.700 + U-1798 xRs.600 + H-18*Rs 500)
2) Asha incentive - Rs.43.31 lakhs (Rural@Rs 600 &amp; Urban@Rs 400 )
3)  Planning &amp; M&amp; E - Rs.2.12 lakhs (For Administrative exp- @4% of DBT given)</t>
  </si>
  <si>
    <t xml:space="preserve">1)Free Drugs &amp; consumables -Rs 81 lakhs for PW( 3529ND @ Rs 350 &amp; 4289 C sections @ Rs 1600) accessing Govt health facilities for delivery
2) Diagnostics -Rs 15.63 lakhs@ Rs 200/beneficiary for 7818 PW 
  3) Other Operating Cost(Blood transfusion &amp; Diet) - a.Diet - Rs. 40.61 lakhs @ Rs 100 for 3529ND for 3 days(3529*100*3)  and 4289 C sections for 7 days (4289*100*7)                                                                                                                                                                         
b.Blood Transfusion - Rs. 2.34lakhs @ Rs 300/PW for blood transfusion of 10% of total deliveries in govt.health facilities (10% of 7818= 782)     </t>
  </si>
  <si>
    <t>Capacity building training : - One day District  Level TOT training for selected 10 participants
 in each districts @ Rs.11000/-
Asha Incentives :- Incentive for HBNC, HBYC, &amp; SNCU discharge babies – Rs. Rs. 71.25 lakhs</t>
  </si>
  <si>
    <t>Capacity building training : - 1. NSSK Training for Medical Officers - 2 batch NSSK training Rs. 34400 x 2 = Rs.68800/-., 2. NSSK Training for Staff Nurses - 2 batch NSSK training Rs. 34400 x 2 = Rs.68800/-, 3. Trainings for Family participatory care (KMC) - Rs 50000 per district to get a  team of trained doctors and Nurses at SNCUs. Rs.50000 x 1 = Rs.50,000/- , 4. Rs. 1 lakh is approved for two batches of Musqan District level Sensitization Training @ 100000 per district, 5. MUSQAN: Health Institution level activities – 4 lakh approved for selected 2 institutions. Unit price of  1 each for gap filling &amp; Equipments approved for these 2 institutions.                                                                                                                                                                                                                                         
OOC :- 1. 2 Functional SNCUs = Rs. 300000x 2 SNCU = Rs.6,00,000/-, 2. NBCC– approved @ Rs.10,000 for 9 delivery points Rs. 10000x 9 Delivery point = 90,000/- , 3. Family participatory care (KMC) -Rs. 75000 x 2 SNCUs = 1,50,000/- ,  4.  Operating expenses for  7 NBSU – Rs. 7 lakhs.                                                                                                                                                                                                                                                                                      
IEC &amp; PRINTING- Rs 1 lakh per unit for 2 SNCUs</t>
  </si>
  <si>
    <t xml:space="preserve">   Planning &amp; M &amp; E : -   District Level Review Meeting of Program including RBSK and CH @ Rs. 1.75 lakhs per District 
IEC &amp; PRINTING- Rs. 3.33 lakh for Child health IEC activities. </t>
  </si>
  <si>
    <t>Training Rs.1.50 lakhs
Equipments Rs.1.37Lakhs
OOC Rs. 2.48 lakhs
IEC &amp; Printing Rs.1.05 lakhs
Planning and M&amp;E Rs.7.60 lakh
SRRE Rs. 5Lakhs</t>
  </si>
  <si>
    <t>THRISSUR</t>
  </si>
  <si>
    <t>FY 2024-2025
 i)Capacity building
Training of Specialist doctors, MOs, Staff Nurse, MLSP, Palliative care staffs, ASHA workers, RBSK Nurses, UPHC Staffs, JPHN, JHI, Medical College staff @Rs 0.25 lakhs per batch. 
ii) )Other operating cost : .
a) Remuneration for Doctors
Speciality doctor 3, number of calls 30 @ Rs.100/- 313 days 
b). For establishment of 5 Telemedicine units @Rs. 70,000 per unit. Total Rs.3.5 Lac
Unit cost : Rs, 70,000/- 
 iii) Planning &amp; M&amp;E Rs 0.05 lakhs for district review meeting.
FY 2025-2026
i) Other operating cost : .
a) Remuneration for Doctors
Speciality doctor 3, number of calls 30 @ Rs.100/- 313 days 
b). For establishment of 5 Telemedicine units @Rs. 70,000 per unit. Total Rs.3.5 Lac
Unit cost : Rs, 70,000/- 
 iii) Planning &amp; M&amp;E Rs 0.05 lakhs for district review meeting.</t>
  </si>
  <si>
    <t xml:space="preserve">1. Training Rs. 1 Lakhs/District.
Trauma Care- IEC &amp; PRINTING -0.50L </t>
  </si>
  <si>
    <t xml:space="preserve">1. Training Rs. 1 Lakhs/District.
Burn Units- IEC &amp; PRINTING -0.50L </t>
  </si>
  <si>
    <t>Capacity building incl. training
 Training for Medical Officers @ CHCs, PHCs &amp; FHCs
 Duration - 2 days; Batch Size: 25 MOs
 Approved amount per batch: Rs 48,000 per batch
2025-26
Capacity building: Rs 0.96 L 
 1. Approved Rs 0. 595 L for one day Training for CDPO, Anganwadi Supervisors, PHN &amp; MPW Supervisors (Level 5) for 2 batches @ Rs 29750/ batch. No of participants per batch: 30
 2. Approved Rs 0.365 L for half day training Anganwadi workers (Level 6) for 1 Batches @ Rs 36500/batch. No of participants per batch: 60</t>
  </si>
  <si>
    <t>1)DBT-Rs.80.66 lakhs ( R- 9164 xRs.700 + U-2737 xRs.600 + H-17*Rs 500)
2) Asha incentive - Rs.65.94 lakhs (Rural@Rs 600 &amp; Urban@Rs 400 ) 
3)  Planning &amp; M&amp; E - Rs.3.22 lakhs (For Administrative exp- @4% of DBT given)</t>
  </si>
  <si>
    <t>PALAKKAD</t>
  </si>
  <si>
    <t xml:space="preserve">FY 2024-2025
 i)Capacity building
Training of Specialist doctors, MOs, Staff Nurse, MLSP, Palliative care staffs, ASHA workers, RBSK Nurses, UPHC Staffs, JPHN, JHI, Medical College staff @Rs 0.25 lakhs per batch. 
ii) )Other operating cost : .
a) Remuneration for Doctors
Speciality doctor 4, number of calls 30 @ Rs.100/- 313 days 
b). For establishment of 5 Telemedicine units @Rs. 70,000 per unit. Total Rs.3.5 Lac
Unit cost : Rs, 70,000/- 
 iii) Planning &amp; M&amp;E Rs 0.05 lakhs for district review meeting.
FY 2025-2026
i) Other operating cost : .
a) Remuneration for Doctors
Speciality doctor 4, number of calls 30 @ Rs.100/- 313 days 
b). For establishment of 5 Telemedicine units @Rs. 70,000 per unit. Total Rs.3.5 Lac
Unit cost : Rs, 70,000/- 
 iii) Planning &amp; M&amp;E Rs 0.05 lakhs for district review meeting.
</t>
  </si>
  <si>
    <t>MALAPPURAM</t>
  </si>
  <si>
    <t xml:space="preserve">FY 2024-2025
 i)Capacity building
Training of Specialist doctors, MOs, Staff Nurse, MLSP, Palliative care staffs, ASHA workers, RBSK Nurses, UPHC Staffs, JPHN, JHI, Medical College staff @Rs 0.25 lakhs per batch. 
ii) )Other operating cost : .
a) Remuneration for Doctors
Speciality doctor 4, number of calls 30 @ Rs.100/- 313 days 
b). For establishment of 5 Telemedicine units @Rs. 70,000 per unit. Total Rs.3.5 Lac
Unit cost : Rs, 70,000/- 
 iii) Planning &amp; M&amp;E Rs 0.05 lakhs for district review meeting.
FY 2025-2026
i) Other operating cost : .
a) Remuneration for Doctors
Speciality doctor 4, number of calls 30 @ Rs.100/- 313 days 
b). For establishment of 5 Telemedicine units @Rs. 70,000 per unit. Total Rs.3.5 Lac
Unit cost : Rs, 70,000/- 
 iii) Planning &amp; M&amp;E Rs 0.05 lakhs for district review meeting.
</t>
  </si>
  <si>
    <r>
      <t>Central supplies (Kind grants)</t>
    </r>
    <r>
      <rPr>
        <sz val="11"/>
        <rFont val="Calibri"/>
        <family val="2"/>
      </rPr>
      <t xml:space="preserve"> (To be provided by the PDs)</t>
    </r>
  </si>
  <si>
    <r>
      <rPr>
        <b/>
        <sz val="11"/>
        <rFont val="Calibri"/>
        <family val="2"/>
      </rPr>
      <t xml:space="preserve">OOC- Tribal camps </t>
    </r>
    <r>
      <rPr>
        <sz val="11"/>
        <rFont val="Calibri"/>
        <family val="2"/>
      </rPr>
      <t xml:space="preserve">
Specialist camps-5@15000/-</t>
    </r>
  </si>
  <si>
    <r>
      <rPr>
        <b/>
        <sz val="11"/>
        <rFont val="Calibri"/>
        <family val="2"/>
      </rPr>
      <t>Drugs and Diagnostics</t>
    </r>
    <r>
      <rPr>
        <sz val="11"/>
        <rFont val="Calibri"/>
        <family val="2"/>
      </rPr>
      <t>: Total estimated delivery is 17236. it is assumed 15% sick and 2586 cases budgeted for drugs and diagnostics @ Rs.200/- each</t>
    </r>
  </si>
  <si>
    <r>
      <rPr>
        <b/>
        <sz val="11"/>
        <rFont val="Calibri"/>
        <family val="2"/>
      </rPr>
      <t xml:space="preserve">OOC </t>
    </r>
    <r>
      <rPr>
        <sz val="11"/>
        <rFont val="Calibri"/>
        <family val="2"/>
      </rPr>
      <t xml:space="preserve">: 2586 cases budgeted for transport @ Rs.500/- </t>
    </r>
  </si>
  <si>
    <r>
      <rPr>
        <b/>
        <sz val="11"/>
        <rFont val="Calibri"/>
        <family val="2"/>
      </rPr>
      <t>Capacity Building -Training</t>
    </r>
    <r>
      <rPr>
        <sz val="11"/>
        <rFont val="Calibri"/>
        <family val="2"/>
      </rPr>
      <t xml:space="preserve"> - for 1) 4 days hybrid (1 day + 3 days online) training of MOs @Rs 70000/ batch (40 Nos.) - Rs 0.70 L
  2) AFHS 3 hybrid (1 day + 2 days online) training of ANM/LHV/MPW/other healthworkers @Rs. 50000/ batch (40 Nos.) - Rs 0.50 L
</t>
    </r>
    <r>
      <rPr>
        <b/>
        <sz val="11"/>
        <rFont val="Calibri"/>
        <family val="2"/>
      </rPr>
      <t xml:space="preserve"> OOC</t>
    </r>
    <r>
      <rPr>
        <sz val="11"/>
        <rFont val="Calibri"/>
        <family val="2"/>
      </rPr>
      <t xml:space="preserve"> - 1) Operating expenses for AH/RKSK clinics: AH/RKSK centre Rs. 12000/centre * no of AFHCs (MLPM-15 AFHC ) - 1.80 L
 2) Mobility support to counsellors for conducting 8 outreach session / month for 12 months @Rs.400/session. (MLPM-15 counsellors) - 5.76 L
3) As communication support to 94 GOI AH counsellors @ Rs.250 /month for 12 months. ie 2.82 L ( 13 * 250 *12 ) - .39 L
4) Bi-annual district level convergence workshop under RKSK - Rs 5000/batch ie 5000*2 = Rs 0.100 L
</t>
    </r>
    <r>
      <rPr>
        <b/>
        <sz val="11"/>
        <rFont val="Calibri"/>
        <family val="2"/>
      </rPr>
      <t xml:space="preserve"> IEC &amp; Printing</t>
    </r>
    <r>
      <rPr>
        <sz val="11"/>
        <rFont val="Calibri"/>
        <family val="2"/>
      </rPr>
      <t xml:space="preserve"> : For printing of various IEC materials for use in the AFHCs and by counsellors -Rs 0.25 L
</t>
    </r>
  </si>
  <si>
    <r>
      <rPr>
        <b/>
        <sz val="11"/>
        <rFont val="Calibri"/>
        <family val="2"/>
      </rPr>
      <t>Capacity Building - Training</t>
    </r>
    <r>
      <rPr>
        <sz val="11"/>
        <rFont val="Calibri"/>
        <family val="2"/>
      </rPr>
      <t xml:space="preserve"> : 1) 2) Training (6 days ) of New Peer Educator in all districts (BLOCK LELVEL). (MLP-1000 ( 25 Batch) @70000/- Rs 17.50 L
 </t>
    </r>
    <r>
      <rPr>
        <b/>
        <sz val="11"/>
        <rFont val="Calibri"/>
        <family val="2"/>
      </rPr>
      <t>ASHA Incentives</t>
    </r>
    <r>
      <rPr>
        <sz val="11"/>
        <rFont val="Calibri"/>
        <family val="2"/>
      </rPr>
      <t xml:space="preserve"> : Incentive for AH/RKSK Services - ASHA Incentive for mobilizing adolescents and community for AHWD . (Rs.200/- * 4 ASHAs * 4 AHWDs/year * No. of blocks) - 0.48 L
</t>
    </r>
    <r>
      <rPr>
        <b/>
        <sz val="11"/>
        <rFont val="Calibri"/>
        <family val="2"/>
      </rPr>
      <t xml:space="preserve"> OOC</t>
    </r>
    <r>
      <rPr>
        <sz val="11"/>
        <rFont val="Calibri"/>
        <family val="2"/>
      </rPr>
      <t xml:space="preserve"> - 1) Organising monthly Adolescent Friendly Club meetings at subcentre level Rs. 500* no of blocks*5 subcentre*12 AFC meetings/FY ( MLP-15) - 4.50 L
 2)(Community Intervention for AH Services) Incentives for Peer Educators Rs 50/month* 12 months*no of PEs (MLP-3400) - 20.40 L
 3) Organizing Adolescent Health &amp; Wellness day Rs. 2500* No. of selected blocks*4 AHWD/FY( MLP -15) - 1.50 L
</t>
    </r>
    <r>
      <rPr>
        <b/>
        <sz val="11"/>
        <rFont val="Calibri"/>
        <family val="2"/>
      </rPr>
      <t xml:space="preserve"> IEC &amp; Printing</t>
    </r>
    <r>
      <rPr>
        <sz val="11"/>
        <rFont val="Calibri"/>
        <family val="2"/>
      </rPr>
      <t xml:space="preserve"> : PE Kit and PE Diary @ Rs 350/PE kit &amp; diary * no of New Peers entering 8th STD. (MLP-1000) - 3.5 L</t>
    </r>
  </si>
  <si>
    <r>
      <rPr>
        <b/>
        <sz val="11"/>
        <rFont val="Calibri"/>
        <family val="2"/>
      </rPr>
      <t xml:space="preserve"> Capacity building including Training</t>
    </r>
    <r>
      <rPr>
        <sz val="11"/>
        <rFont val="Calibri"/>
        <family val="2"/>
      </rPr>
      <t xml:space="preserve"> -Organising 2 district level coordination and dissemination workshop for RKSK and AB_SHWP @Rs 5460/workshop ie 5460*2 = 0.109 L 
</t>
    </r>
    <r>
      <rPr>
        <b/>
        <sz val="11"/>
        <rFont val="Calibri"/>
        <family val="2"/>
      </rPr>
      <t xml:space="preserve"> IEC &amp; Printing</t>
    </r>
    <r>
      <rPr>
        <sz val="11"/>
        <rFont val="Calibri"/>
        <family val="2"/>
      </rPr>
      <t xml:space="preserve"> 
 For printing of AFHC forms for AFHCs @2000/AFHCs(MLPM-15) Rs .30 L
 For printing of AFHS Training manuals for MO, ANM Counsellors and Training manuals for PE training @ Rs 200 / manual for all Dist (160 nos/Dist) - Rs 0.32 L
AH- IEC &amp; PRINTING -1.15L Activity Breakup is attached herewith </t>
    </r>
  </si>
  <si>
    <r>
      <rPr>
        <b/>
        <sz val="11"/>
        <rFont val="Calibri"/>
        <family val="2"/>
      </rPr>
      <t>DBT-</t>
    </r>
    <r>
      <rPr>
        <sz val="11"/>
        <rFont val="Calibri"/>
        <family val="2"/>
      </rPr>
      <t xml:space="preserve">Female Public   BPL/SC/ST Sterilization 417 cases@  Rs 1000 per case .
APL  sterilization 1251 cases @ Rs. 650 per case 
</t>
    </r>
    <r>
      <rPr>
        <b/>
        <sz val="11"/>
        <rFont val="Calibri"/>
        <family val="2"/>
      </rPr>
      <t>Training</t>
    </r>
    <r>
      <rPr>
        <sz val="11"/>
        <rFont val="Calibri"/>
        <family val="2"/>
      </rPr>
      <t>- Rs 110000 for Laproscopic sterilization(12 days training for 3 participants)</t>
    </r>
  </si>
  <si>
    <r>
      <t xml:space="preserve">
</t>
    </r>
    <r>
      <rPr>
        <b/>
        <sz val="11"/>
        <rFont val="Calibri"/>
        <family val="2"/>
      </rPr>
      <t>1.DBT</t>
    </r>
    <r>
      <rPr>
        <sz val="11"/>
        <rFont val="Calibri"/>
        <family val="2"/>
      </rPr>
      <t xml:space="preserve">
a. Internal IUCD insertion 3090 cases @ Rs 20/beneficiary
b.PPIUCD insertion 212 cases @ Rs 300/beneficiary
</t>
    </r>
    <r>
      <rPr>
        <b/>
        <sz val="11"/>
        <rFont val="Calibri"/>
        <family val="2"/>
      </rPr>
      <t>2. Training</t>
    </r>
    <r>
      <rPr>
        <sz val="11"/>
        <rFont val="Calibri"/>
        <family val="2"/>
      </rPr>
      <t xml:space="preserve">- IUCD training for Medical officers 3 batches @Rs 37500/batch (5 days training with 10 participants)
</t>
    </r>
    <r>
      <rPr>
        <b/>
        <sz val="11"/>
        <rFont val="Calibri"/>
        <family val="2"/>
      </rPr>
      <t>3.ASHA Incentive</t>
    </r>
    <r>
      <rPr>
        <sz val="11"/>
        <rFont val="Calibri"/>
        <family val="2"/>
      </rPr>
      <t xml:space="preserve">
a.PPIUCD insertion 212 cases @ Rs 150/beneficiary
</t>
    </r>
  </si>
  <si>
    <r>
      <rPr>
        <b/>
        <u/>
        <sz val="11"/>
        <rFont val="Calibri"/>
        <family val="2"/>
      </rPr>
      <t>Drugs and supplies</t>
    </r>
    <r>
      <rPr>
        <sz val="11"/>
        <rFont val="Calibri"/>
        <family val="2"/>
      </rPr>
      <t xml:space="preserve">
Management of HAV and HEV patients – budgeted @ Rs 50000/-  per district for necessary investigations, sample transportation and supportive treatment.
</t>
    </r>
    <r>
      <rPr>
        <b/>
        <sz val="11"/>
        <rFont val="Calibri"/>
        <family val="2"/>
      </rPr>
      <t>Others including operating costs(OOC) Rs. 1.5 Lakhs</t>
    </r>
    <r>
      <rPr>
        <sz val="11"/>
        <rFont val="Calibri"/>
        <family val="2"/>
      </rPr>
      <t xml:space="preserve"> - </t>
    </r>
    <r>
      <rPr>
        <b/>
        <sz val="11"/>
        <rFont val="Calibri"/>
        <family val="2"/>
      </rPr>
      <t>Rs: 0.5 Lakh</t>
    </r>
    <r>
      <rPr>
        <sz val="11"/>
        <rFont val="Calibri"/>
        <family val="2"/>
      </rPr>
      <t xml:space="preserve"> each for TCs (District Hospital Perinthalmanna, District Hospital Tirur, &amp; Govt Medical College Manjery Malappuram)  - Meeting Costs/Office expenses/Contingency/Management of Hep A &amp; E as Cash Grant</t>
    </r>
  </si>
  <si>
    <r>
      <rPr>
        <b/>
        <sz val="11"/>
        <rFont val="Calibri"/>
        <family val="2"/>
      </rPr>
      <t xml:space="preserve">Training :  Rs. 1 Lakhs </t>
    </r>
    <r>
      <rPr>
        <sz val="11"/>
        <rFont val="Calibri"/>
        <family val="2"/>
      </rPr>
      <t xml:space="preserve">per training Medical Officers, Staff Nurse, ASHA ANM &amp; other Health care workers. 
</t>
    </r>
    <r>
      <rPr>
        <b/>
        <sz val="11"/>
        <rFont val="Calibri"/>
        <family val="2"/>
      </rPr>
      <t>IEC &amp; Printing Rs.1.50 lakhs</t>
    </r>
    <r>
      <rPr>
        <sz val="11"/>
        <rFont val="Calibri"/>
        <family val="2"/>
      </rPr>
      <t xml:space="preserve">
</t>
    </r>
    <r>
      <rPr>
        <b/>
        <sz val="11"/>
        <rFont val="Calibri"/>
        <family val="2"/>
      </rPr>
      <t>Planning &amp; M &amp; E - Rs.05 Lakhs</t>
    </r>
    <r>
      <rPr>
        <sz val="11"/>
        <rFont val="Calibri"/>
        <family val="2"/>
      </rPr>
      <t xml:space="preserve">
Supervision and Monitoring activities </t>
    </r>
  </si>
  <si>
    <r>
      <rPr>
        <b/>
        <sz val="11"/>
        <rFont val="Calibri"/>
        <family val="2"/>
      </rPr>
      <t>Capacity Buidling 19.20 lakhs</t>
    </r>
    <r>
      <rPr>
        <sz val="11"/>
        <rFont val="Calibri"/>
        <family val="2"/>
      </rPr>
      <t xml:space="preserve">
Rs.13.2 lakhs for 6 batch @0.55  lakhs per batch of 100, on a quarterly basis for refresher training of MLSPs
Rs. 6 lakhs @0.40 lakhs per batch for 15 batches for SHC-HWC  team building training. 
</t>
    </r>
    <r>
      <rPr>
        <b/>
        <sz val="11"/>
        <rFont val="Calibri"/>
        <family val="2"/>
      </rPr>
      <t>ASHA Incentives</t>
    </r>
    <r>
      <rPr>
        <sz val="11"/>
        <rFont val="Calibri"/>
        <family val="2"/>
      </rPr>
      <t xml:space="preserve"> Rs.379.78 lakhs @ Rs.1000/- per month for 3165 ASHA for expanded package of services 
</t>
    </r>
    <r>
      <rPr>
        <b/>
        <sz val="11"/>
        <rFont val="Calibri"/>
        <family val="2"/>
      </rPr>
      <t>IEC &amp; PRINTING- 1L</t>
    </r>
    <r>
      <rPr>
        <sz val="11"/>
        <rFont val="Calibri"/>
        <family val="2"/>
      </rPr>
      <t xml:space="preserve"> 
Designing, Printing and installation of posters, banners in all District &amp; Thaluk level Hospitals and HWCs regarding eSanjeevani.  </t>
    </r>
  </si>
  <si>
    <r>
      <t xml:space="preserve">Capacity building incl. training  - 53.91 L
Induction training to ASHA@Rs. 74750 per batch of 30 ASHA for Rs. 0.74 L
ASHA 10th Module training @ Rs. 1533 per one ASHA for 3165 ASHA  48.51 L
Supplementary training to ASHA - One ASHA from one institution per month @ Rs. 300 per ASHA for 129ASHA's -  4.64  L.
ASHA incentives – 823.31 L 
ASHA fixed incentive @Rs. 2000 per month for 3165 ASHAs Rs. 759.60  L 
Incentive for monthly review meeting @Rs.100 per month for 3165 ASHAs  Rs. 37.98 L
Social Security Insurance packages for ASHA - PMJJBY @ Rs.436 for 2744 ASHA of  Rs. 11.96 L , PMSBY @Rs. 20 for 2855 ASHA Rs . 5.71  L,  PMSYM @Rs.100 per month for 1100 ASHAs Rs. 13.2  L . Total  30.87 L.
OOC  76.92 L
 On going expenses for Ward Health Facilitation Centres @Rs. 500 per month per ward 16 wards Rs.0.96 L          
Mobile allowance to ASHA @Rs. 200 per month for Rs. 75.96 L .
IEC &amp; PRINTING- 6.665L (Activity breakup details attached)                                                       </t>
    </r>
    <r>
      <rPr>
        <b/>
        <sz val="11"/>
        <rFont val="Calibri"/>
        <family val="2"/>
      </rPr>
      <t>2025-26</t>
    </r>
    <r>
      <rPr>
        <sz val="11"/>
        <rFont val="Calibri"/>
        <family val="2"/>
      </rPr>
      <t xml:space="preserve"> Distrit ASHA Sammelan  Rs. 2 L</t>
    </r>
  </si>
  <si>
    <r>
      <rPr>
        <b/>
        <sz val="11"/>
        <rFont val="Calibri"/>
        <family val="2"/>
      </rPr>
      <t xml:space="preserve">OOC- Untied Funds </t>
    </r>
    <r>
      <rPr>
        <sz val="11"/>
        <rFont val="Calibri"/>
        <family val="2"/>
      </rPr>
      <t xml:space="preserve">
3 DH/GH @ Rs.250000/- 
7 SDH @ Rs.1,00,000/-  
21 CHC @ Rs.75000/- 
84 PHC @ Rs.50000/-
589 subcentre @ Rs.10000/- 
2258 VHSC @ Rs.10000/-</t>
    </r>
  </si>
  <si>
    <t xml:space="preserve">Others including operating costs(OOC) Rs.3.6 Lakhs Incentives for Peer Educators under NVHCP Rs 10,000/- per month (We already have 3 TCs at District Hospital Perinthalmanna, District Hospital Tirur, Govt Medical College Manjery Malappuram)  
</t>
  </si>
  <si>
    <t>KOZHIKODE</t>
  </si>
  <si>
    <r>
      <rPr>
        <b/>
        <sz val="11"/>
        <rFont val="Calibri"/>
        <family val="2"/>
      </rPr>
      <t xml:space="preserve">OOC- Tribal camps </t>
    </r>
    <r>
      <rPr>
        <sz val="11"/>
        <rFont val="Calibri"/>
        <family val="2"/>
      </rPr>
      <t xml:space="preserve">
Single MO Camps -6@ Rs.3000/-, Specialist camps-3@15000/-, Health Class-6@1500/-, Health Club-4@10000/-, TMMU -5@Rs.3000/-</t>
    </r>
  </si>
  <si>
    <r>
      <rPr>
        <b/>
        <sz val="11"/>
        <rFont val="Calibri"/>
        <family val="2"/>
      </rPr>
      <t>Drugs and Diagnostics</t>
    </r>
    <r>
      <rPr>
        <sz val="11"/>
        <rFont val="Calibri"/>
        <family val="2"/>
      </rPr>
      <t>: Total estimated delivery is 15589. it is assumed 15% sick and 2338 cases budgeted for drugs and diagnostics @ Rs.200/- each</t>
    </r>
  </si>
  <si>
    <r>
      <rPr>
        <b/>
        <sz val="11"/>
        <rFont val="Calibri"/>
        <family val="2"/>
      </rPr>
      <t xml:space="preserve">OOC </t>
    </r>
    <r>
      <rPr>
        <sz val="11"/>
        <rFont val="Calibri"/>
        <family val="2"/>
      </rPr>
      <t xml:space="preserve">: 2338 cases budgeted for transport @ Rs.500/- </t>
    </r>
  </si>
  <si>
    <r>
      <rPr>
        <b/>
        <sz val="11"/>
        <rFont val="Calibri"/>
        <family val="2"/>
      </rPr>
      <t>Capacity Building -Training</t>
    </r>
    <r>
      <rPr>
        <sz val="11"/>
        <rFont val="Calibri"/>
        <family val="2"/>
      </rPr>
      <t xml:space="preserve"> - for 1) 4 days hybrid (1 day + 3 days online) training of MOs @Rs 70000/ batch (40 Nos.) - Rs 0.70 L
  2) AFHS 3 hybrid (1 day + 2 days online) training of ANM/LHV/MPW/other healthworkers @Rs. 50000/ batch (40 Nos.) - Rs 0.50 L
</t>
    </r>
    <r>
      <rPr>
        <b/>
        <sz val="11"/>
        <rFont val="Calibri"/>
        <family val="2"/>
      </rPr>
      <t xml:space="preserve"> OOC</t>
    </r>
    <r>
      <rPr>
        <sz val="11"/>
        <rFont val="Calibri"/>
        <family val="2"/>
      </rPr>
      <t xml:space="preserve"> - 1) Operating expenses for AH/RKSK clinics: AH/RKSK centre Rs. 12000/centre * no of AFHCs (KKD-5 AFHC ) - 0.60 L
 2) Mobility support to counsellors for conducting 8 outreach session / month for 12 months @Rs.400/session. (KKD-5 counsellors) - 1.92 L
3) As communication support to 94 GOI AH counsellors @ Rs.250 /month for 12 months. ie 2.82 L ( 5 * 250 *12 ) - .15 L
4) Bi-annual district level convergence workshop under RKSK - Rs 5000/batch ie 5000*2 = Rs 0.100 L
</t>
    </r>
    <r>
      <rPr>
        <b/>
        <sz val="11"/>
        <rFont val="Calibri"/>
        <family val="2"/>
      </rPr>
      <t xml:space="preserve"> IEC &amp; Printing</t>
    </r>
    <r>
      <rPr>
        <sz val="11"/>
        <rFont val="Calibri"/>
        <family val="2"/>
      </rPr>
      <t xml:space="preserve"> : For printing of various IEC materials for use in the AFHCs and by counsellors -Rs 0.25 L
</t>
    </r>
  </si>
  <si>
    <r>
      <rPr>
        <b/>
        <sz val="11"/>
        <rFont val="Calibri"/>
        <family val="2"/>
      </rPr>
      <t>Capacity Building - Training</t>
    </r>
    <r>
      <rPr>
        <sz val="11"/>
        <rFont val="Calibri"/>
        <family val="2"/>
      </rPr>
      <t xml:space="preserve"> : 1) Training (6 days ) of New Peer Educator in all districts (BLOCK LELVEL). (KKD-200 (5 Batch) @ 70000/-
</t>
    </r>
    <r>
      <rPr>
        <b/>
        <sz val="11"/>
        <rFont val="Calibri"/>
        <family val="2"/>
      </rPr>
      <t xml:space="preserve"> ASHA Incentives</t>
    </r>
    <r>
      <rPr>
        <sz val="11"/>
        <rFont val="Calibri"/>
        <family val="2"/>
      </rPr>
      <t xml:space="preserve"> : Incentive for AH/RKSK Services - ASHA Incentive for mobilizing adolescents and community for AHWD . (Rs.200/- * 4 ASHAs * 4 AHWDs/year * No. of blocks) - 0.16 L
</t>
    </r>
    <r>
      <rPr>
        <b/>
        <sz val="11"/>
        <rFont val="Calibri"/>
        <family val="2"/>
      </rPr>
      <t xml:space="preserve"> OOC</t>
    </r>
    <r>
      <rPr>
        <sz val="11"/>
        <rFont val="Calibri"/>
        <family val="2"/>
      </rPr>
      <t xml:space="preserve"> - 1) Organising monthly Adolescent Friendly Club meetings at subcentre level Rs. 500* no of blocks*5 subcentre*12 AFC meetings/FY ( KKD-5) - 1.5 L
 2)(Community Intervention for AH Services) Incentives for Peer Educators Rs 50/month* 12 months*no of PEs (KKD-800) -4.8 L
 3) Organizing Adolescent Health &amp; Wellness day Rs. 2500* No. of selected blocks*4 AHWD/FY(KKD -5) - 0.5 L
 </t>
    </r>
    <r>
      <rPr>
        <b/>
        <sz val="11"/>
        <rFont val="Calibri"/>
        <family val="2"/>
      </rPr>
      <t>IEC &amp; Printing</t>
    </r>
    <r>
      <rPr>
        <sz val="11"/>
        <rFont val="Calibri"/>
        <family val="2"/>
      </rPr>
      <t xml:space="preserve"> : PE Kit and PE Diary @ Rs 350/PE kit &amp; diary * no of New Peers entering 8th STD. (KKD-200) - 0.70 L</t>
    </r>
  </si>
  <si>
    <r>
      <rPr>
        <b/>
        <sz val="11"/>
        <rFont val="Calibri"/>
        <family val="2"/>
      </rPr>
      <t xml:space="preserve"> Capacity building including Training</t>
    </r>
    <r>
      <rPr>
        <sz val="11"/>
        <rFont val="Calibri"/>
        <family val="2"/>
      </rPr>
      <t xml:space="preserve"> -Organising 2 district level coordination and dissemination workshop for RKSK and AB_SHWP @Rs 5460/workshop ie 5460*2 = 0.109 L 
</t>
    </r>
    <r>
      <rPr>
        <b/>
        <sz val="11"/>
        <rFont val="Calibri"/>
        <family val="2"/>
      </rPr>
      <t xml:space="preserve"> IEC &amp; Printing </t>
    </r>
    <r>
      <rPr>
        <sz val="11"/>
        <rFont val="Calibri"/>
        <family val="2"/>
      </rPr>
      <t xml:space="preserve">
 For printing of AFHC forms for AFHCs @2000/AFHCs(KKD-5) Rs .10 L
 For printing of AFHS Training manuals for MO, ANM Counsellors and Training manuals for PE training @ Rs 200 / manual for all Dist (160 nos/Dist) - Rs 0.32 L
AH- IEC &amp; PRINTING -1.8L Activity Breakup is attached herewith </t>
    </r>
  </si>
  <si>
    <r>
      <rPr>
        <b/>
        <sz val="11"/>
        <rFont val="Calibri"/>
        <family val="2"/>
      </rPr>
      <t>DBT-</t>
    </r>
    <r>
      <rPr>
        <sz val="11"/>
        <rFont val="Calibri"/>
        <family val="2"/>
      </rPr>
      <t xml:space="preserve">Female Public   BPL/SC/ST Sterilization 417 cases@  Rs 1000 per case .
APL  sterilization 1252 cases @ Rs. 650 per case 
</t>
    </r>
    <r>
      <rPr>
        <b/>
        <sz val="11"/>
        <rFont val="Calibri"/>
        <family val="2"/>
      </rPr>
      <t>Training</t>
    </r>
    <r>
      <rPr>
        <sz val="11"/>
        <rFont val="Calibri"/>
        <family val="2"/>
      </rPr>
      <t>- Rs 110000 for Laproscopic sterilization(12 days training for 3 participants)</t>
    </r>
  </si>
  <si>
    <r>
      <t xml:space="preserve">
</t>
    </r>
    <r>
      <rPr>
        <b/>
        <sz val="11"/>
        <rFont val="Calibri"/>
        <family val="2"/>
      </rPr>
      <t>1.DBT</t>
    </r>
    <r>
      <rPr>
        <sz val="11"/>
        <rFont val="Calibri"/>
        <family val="2"/>
      </rPr>
      <t xml:space="preserve">
a. Internal IUCD insertion 2005 cases @ Rs 20/beneficiary
b.PPIUCD insertion 426 cases @ Rs 300/beneficiary
c.PAIUCD insertion 32 cases @ Rs 300/beneficiary
</t>
    </r>
    <r>
      <rPr>
        <b/>
        <sz val="11"/>
        <rFont val="Calibri"/>
        <family val="2"/>
      </rPr>
      <t>2. Training</t>
    </r>
    <r>
      <rPr>
        <sz val="11"/>
        <rFont val="Calibri"/>
        <family val="2"/>
      </rPr>
      <t xml:space="preserve">- IUCD training for Medical officers 3 batches @Rs 37500/batch (5 days training with 10 participants)
</t>
    </r>
    <r>
      <rPr>
        <b/>
        <sz val="11"/>
        <rFont val="Calibri"/>
        <family val="2"/>
      </rPr>
      <t>3.ASHA Incentive</t>
    </r>
    <r>
      <rPr>
        <sz val="11"/>
        <rFont val="Calibri"/>
        <family val="2"/>
      </rPr>
      <t xml:space="preserve">
a.PPIUCD insertion 426 cases @ Rs 150/beneficiary
c.PAIUCD insertion 32  cases @ Rs 150/beneficiary
</t>
    </r>
  </si>
  <si>
    <r>
      <rPr>
        <b/>
        <sz val="11"/>
        <rFont val="Calibri"/>
        <family val="2"/>
      </rPr>
      <t xml:space="preserve">Others including operating costs(OOC) Rs.2.4 Lakhs </t>
    </r>
    <r>
      <rPr>
        <sz val="11"/>
        <rFont val="Calibri"/>
        <family val="2"/>
      </rPr>
      <t xml:space="preserve">Incentives for Peer Educators under NVHCP Rs 10,000/- per month (We already have 1 MTC at Govt Medical College Kozhikode &amp; 1 TC at General Hospital Kozhikode)  
Prevention </t>
    </r>
  </si>
  <si>
    <r>
      <rPr>
        <sz val="11"/>
        <rFont val="Calibri"/>
        <family val="2"/>
      </rPr>
      <t xml:space="preserve">
</t>
    </r>
    <r>
      <rPr>
        <b/>
        <sz val="11"/>
        <rFont val="Calibri"/>
        <family val="2"/>
      </rPr>
      <t>Rs 10,000/- for Sample Transportation</t>
    </r>
  </si>
  <si>
    <r>
      <rPr>
        <b/>
        <u/>
        <sz val="11"/>
        <rFont val="Calibri"/>
        <family val="2"/>
      </rPr>
      <t>Drugs and supplies</t>
    </r>
    <r>
      <rPr>
        <sz val="11"/>
        <rFont val="Calibri"/>
        <family val="2"/>
      </rPr>
      <t xml:space="preserve">
Management of HAV and HEV patients – budgeted @ Rs 50000/-  per district for necessary investigations, sample transportation and supportive treatment.
</t>
    </r>
    <r>
      <rPr>
        <b/>
        <sz val="11"/>
        <rFont val="Calibri"/>
        <family val="2"/>
      </rPr>
      <t xml:space="preserve">Others including operating costs(OOC) Rs. 3.5 Lakhs - </t>
    </r>
    <r>
      <rPr>
        <sz val="11"/>
        <rFont val="Calibri"/>
        <family val="2"/>
      </rPr>
      <t>Rs. 3 Lakhs  for MTC( Govt Medical College Kozhikode ) &amp; Rs: 0.5 Lakhs for TC ( General Hospital Kozhikode)  - Meeting Costs/Office expenses/Contingency/Management of Hep A &amp; E as Cash Grant</t>
    </r>
  </si>
  <si>
    <r>
      <rPr>
        <b/>
        <sz val="11"/>
        <rFont val="Calibri"/>
        <family val="2"/>
      </rPr>
      <t xml:space="preserve">Training :  Rs. 1 Lakhs </t>
    </r>
    <r>
      <rPr>
        <sz val="11"/>
        <rFont val="Calibri"/>
        <family val="2"/>
      </rPr>
      <t xml:space="preserve">per training Medical Officers, Staff Nurse, ASHA ANM &amp; other Health care workers. 
IEC &amp; Printing Rs.1.50 lakhs
</t>
    </r>
    <r>
      <rPr>
        <b/>
        <sz val="11"/>
        <rFont val="Calibri"/>
        <family val="2"/>
      </rPr>
      <t>Planning &amp; M &amp; E - Rs.05 Lakhs</t>
    </r>
    <r>
      <rPr>
        <sz val="11"/>
        <rFont val="Calibri"/>
        <family val="2"/>
      </rPr>
      <t xml:space="preserve">
Supervision and Monitoring activities </t>
    </r>
  </si>
  <si>
    <r>
      <rPr>
        <b/>
        <sz val="11"/>
        <rFont val="Calibri"/>
        <family val="2"/>
      </rPr>
      <t>Capacity Buidling 13.60 lakhs</t>
    </r>
    <r>
      <rPr>
        <sz val="11"/>
        <rFont val="Calibri"/>
        <family val="2"/>
      </rPr>
      <t xml:space="preserve">
Rs.8.8lakhs for 4 batch @0.55  lakhs per batch of 100, on a quarterly basis for refresher training of MLSPs
Rs. 4.8 lakhs @0.40 lakhs per batch for 12 batches for SHC-HWC  team building training. 
</t>
    </r>
    <r>
      <rPr>
        <b/>
        <sz val="11"/>
        <rFont val="Calibri"/>
        <family val="2"/>
      </rPr>
      <t>ASHA Incentives</t>
    </r>
    <r>
      <rPr>
        <sz val="11"/>
        <rFont val="Calibri"/>
        <family val="2"/>
      </rPr>
      <t xml:space="preserve"> Rs.244.2 lakhs @ Rs.1000/- per month for 2035 ASHA for expanded package of services 
</t>
    </r>
    <r>
      <rPr>
        <b/>
        <sz val="11"/>
        <rFont val="Calibri"/>
        <family val="2"/>
      </rPr>
      <t>IEC &amp; PRINTING- 1L</t>
    </r>
    <r>
      <rPr>
        <sz val="11"/>
        <rFont val="Calibri"/>
        <family val="2"/>
      </rPr>
      <t xml:space="preserve"> 
Designing, Printing and installation of posters, banners in all District &amp; Thaluk level Hospitals and HWCs regarding eSanjeevani.  </t>
    </r>
  </si>
  <si>
    <r>
      <rPr>
        <b/>
        <sz val="11"/>
        <rFont val="Calibri"/>
        <family val="2"/>
      </rPr>
      <t xml:space="preserve">OOC- Untied Funds </t>
    </r>
    <r>
      <rPr>
        <sz val="11"/>
        <rFont val="Calibri"/>
        <family val="2"/>
      </rPr>
      <t xml:space="preserve">
2 DH/GH @ Rs.250000/- 
6 SDH @ Rs.1,00,000/-  
16 CHC @ Rs.75000/- 
64 PHC @ Rs.50000/-
401 subcentre @ Rs.10000/- 
1566 VHSC @ Rs.10000/-</t>
    </r>
  </si>
  <si>
    <t>FY 2024-2025
 i)Capacity building
Training of Specialist doctors, MOs, Staff Nurse, MLSP, Palliative care staffs, ASHA workers, RBSK Nurses, UPHC Staffs, JPHN, JHI, Medical College staff @Rs 0.25 lakhs per batch. 
Total expenses for one batch 25,000/-
ii) )Other operating cost : .
a) Remuneration for Doctors
Speciality doctor 2, number of calls 30 @ Rs.100/- 313 days 
b). For establishment of 5 Telemedicine units @Rs. 70,000 per unit. Total Rs.3.5 Lac
Unit cost : Rs, 70,000/- 
 iii) Planning &amp; M&amp;E Rs 0.05 lakhs for district review meeting.
FY 2025-2026
i) Other operating cost : .
a) Remuneration for Doctors
Speciality doctor 2, number of calls 30 @ Rs.100/- 313 days 
b). For establishment of 5 Telemedicine units @Rs. 70,000 per unit. Total Rs.3.5 Lac
Unit cost : Rs, 70,000/- 
4. Multifunction printer scanner -Rs. 15,000/-
 iii) Planning &amp; M&amp;E Rs 0.05 lakhs for district review meeting.</t>
  </si>
  <si>
    <t>Planning &amp; M&amp;E  Mobility support for  for DPMU  @ Rs. 40000/- per month   = 5.4 L
Administrative expenses (including Review meetings, workshops,  etc.)Rs. 10000/- per month for 14 district Units</t>
  </si>
  <si>
    <t>Capacity building incl Training - 5.092 L
 1. Approved Rs 4.092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- 3.1276 L
 Planning &amp; M &amp; E - 3.7162 L
 1.Office operation &amp; Maintenance, Consumables- District Cell @ Rs 0.30 Lakhs
 2. Mobility Support District cell including TA/DA of NLEP staff@ Rs 1.5 Lakh/district
 3. Approved an amount of Rs 0.817 L as POL, transport (field supervisors) for LCDC @ Rs 100/ supervisor
 4. Approved Rs 0.4092 Lakhs for Logistics Rs.10/ team in connection with LCDC.
 5. Approved Rs 0.69 Lakhs for Supervision and monitoring @ Rs 3000 per block in connection with LCDC</t>
  </si>
  <si>
    <t xml:space="preserve">                                                                                                                                        
 Capacity building training : - 1. NSSK Training for Medical Officers - 2 batch NSSK training Rs. 34400 x 2 = Rs.68800/-., 2. NSSK Training for Staff Nurses - 2 batch NSSK training Rs. 34400 x 2 = Rs.68800/-, 3. Trainings for Family participatory care (KMC) - Rs 50000 per district to get a  team of trained doctors and Nurses at SNCUs. Rs.50000 x 1 = Rs.50,000/- , 4. Rs. 1 lakh is approved for two batches of Musqan District level Sensitization Training @ 100000 per district, 5. MUSQAN: Health Institution level activities – 6 lakh approved for selected 3 institutions.                                                                                           
OOC :- 1. 2 Functional SNCUs = Rs. 300000x 1 SNCU = Rs.6,00,000/-, 2. NBCC– approved @ Rs.10,000 for 8 delivery points Rs. 10000x8Delivery point = 80,000/- , 3. Family participatory care (KMC) -Rs. 75000 x 2 SNCUs = 1,50,000/- ,4. Operating expenses for Mother new-born Care Unit– Rs. 260000 for  IMCH KKD. Rs. 260000 x 1 MNCU = 2,60,000/- , 5.   Operating expenses for  5 NBSU – Rs. 5 lakhs.                                                                                                                                                                                                                                                                                    Planning &amp; M &amp; E : -   
IEC &amp; PRINTING- Rs 1 lakh per unit for 2 SNCUs</t>
  </si>
  <si>
    <t xml:space="preserve">Capacity building training : - One day District  Level TOT training for selected 10 participants
 in each districts @ Rs.11000/-
Asha Incentives :- Incentive for HBNC, HBYC, &amp; SNCU discharge babies – Rs. 61.05 lakhs </t>
  </si>
  <si>
    <t>WAYANAD</t>
  </si>
  <si>
    <t>KANNUR</t>
  </si>
  <si>
    <t>KASARGOD</t>
  </si>
  <si>
    <t>FY 2024-2025
 i)Capacity building
Training of Specialist doctors, MOs, Staff Nurse, MLSP, Palliative care staffs, ASHA workers, RBSK Nurses, UPHC Staffs, JPHN, JHI, Medical College staff @Rs 0.25 lakhs per batch. 
ii) )Other operating cost : .
a) Remuneration for Doctors
Speciality doctor 4, number of calls 30 @ Rs.100/- 313 days
MBBS doctor 1, number of calls 38@ Rs.50/- for 313 days 
b). For establishment of 5 Telemedicine units @Rs. 70,000 per unit. Total Rs.3.5 Lac
Unit cost : Rs, 70,000/- 
 iii) Planning &amp; M&amp;E Rs 0.05 lakhs for district review meeting.
FY 2025-2026
i) Other operating cost : .
a) Remuneration for Doctors
Speciality doctor 4, number of calls 30 @ Rs.100/- 313 days 
b). For establishment of 5 Telemedicine units @Rs. 70,000 per unit. Total Rs.3.5 Lac
Unit cost : Rs, 70,000/- 
 iii) Planning &amp; M&amp;E Rs 0.05 lakhs for district review meeting.</t>
  </si>
  <si>
    <t xml:space="preserve">Diagnostics -Consumables and stationaries for proposed 1 LMU  @ Rs.105000 as recurring cost. Rs.105000 x 1 = 105000 /-
</t>
  </si>
  <si>
    <t>Details in Annexure 4 Human Resource for Health</t>
  </si>
  <si>
    <r>
      <rPr>
        <b/>
        <sz val="11"/>
        <rFont val="Calibri"/>
        <family val="2"/>
      </rPr>
      <t xml:space="preserve">OOC- Tribal camps </t>
    </r>
    <r>
      <rPr>
        <sz val="11"/>
        <rFont val="Calibri"/>
        <family val="2"/>
      </rPr>
      <t xml:space="preserve">
Single MO Camps -35@ Rs.3000/-, Specialist camps-2@15000/-, Health Class-6@1500/-, Health Club-6@10000/-, TMMU -40@Rs.3000/-</t>
    </r>
  </si>
  <si>
    <r>
      <rPr>
        <b/>
        <sz val="11"/>
        <rFont val="Calibri"/>
        <family val="2"/>
      </rPr>
      <t>Drugs and Diagnostics</t>
    </r>
    <r>
      <rPr>
        <sz val="11"/>
        <rFont val="Calibri"/>
        <family val="2"/>
      </rPr>
      <t>: Total estimated delivery is 3947. it is assumed 15% sick and 592 cases budgeted for drugs and diagnostics @ Rs.200/- each</t>
    </r>
  </si>
  <si>
    <r>
      <rPr>
        <b/>
        <sz val="11"/>
        <rFont val="Calibri"/>
        <family val="2"/>
      </rPr>
      <t xml:space="preserve">OOC </t>
    </r>
    <r>
      <rPr>
        <sz val="11"/>
        <rFont val="Calibri"/>
        <family val="2"/>
      </rPr>
      <t xml:space="preserve">: 592 cases budgeted for transport @ Rs.500/- </t>
    </r>
  </si>
  <si>
    <r>
      <rPr>
        <b/>
        <sz val="11"/>
        <rFont val="Calibri"/>
        <family val="2"/>
      </rPr>
      <t>Capacity Building -Training</t>
    </r>
    <r>
      <rPr>
        <sz val="11"/>
        <rFont val="Calibri"/>
        <family val="2"/>
      </rPr>
      <t xml:space="preserve"> - for 1) 4 days hybrid (1 day + 3 days online) training of MOs @Rs 70000/ batch (40 Nos.) - Rs 0.70 L
  2) AFHS 3 hybrid (1 day + 2 days online) training of ANM/LHV/MPW/other healthworkers @Rs. 50000/ batch (40 Nos.) - Rs 0.50 L
</t>
    </r>
    <r>
      <rPr>
        <b/>
        <sz val="11"/>
        <rFont val="Calibri"/>
        <family val="2"/>
      </rPr>
      <t xml:space="preserve"> OOC </t>
    </r>
    <r>
      <rPr>
        <sz val="11"/>
        <rFont val="Calibri"/>
        <family val="2"/>
      </rPr>
      <t xml:space="preserve">- 1) Operating expenses for AH/RKSK clinics: AH/RKSK centre Rs. 12000/centre * no of AFHCs (KKD-5 AFHC ) - 0.60 L
 2) Mobility support to counsellors for conducting 8 outreach session / month for 12 months @Rs.400/session. (KKD-5 counsellors) - 1.92 L
 3) Under civil work proposed to shift AFHC to Vythiri from GH Kalpetta Rs .05 L
4) As communication support to 94 GOI AH counsellors @ Rs.250 /month for 12 months. ie 2.82 L ( 5 * 250 *12 ) - .15 L
5) Bi-annual district level convergence workshop under RKSK - Rs 5000/batch ie 5000*2 = Rs 0.100 L
</t>
    </r>
    <r>
      <rPr>
        <b/>
        <sz val="11"/>
        <rFont val="Calibri"/>
        <family val="2"/>
      </rPr>
      <t xml:space="preserve"> IEC &amp; Printing</t>
    </r>
    <r>
      <rPr>
        <sz val="11"/>
        <rFont val="Calibri"/>
        <family val="2"/>
      </rPr>
      <t xml:space="preserve"> : For printing of various IEC materials for use in the AFHCs and by counsellors -Rs 0.25 L
</t>
    </r>
  </si>
  <si>
    <r>
      <rPr>
        <b/>
        <sz val="11"/>
        <rFont val="Calibri"/>
        <family val="2"/>
      </rPr>
      <t>Capacity Building - Training</t>
    </r>
    <r>
      <rPr>
        <sz val="11"/>
        <rFont val="Calibri"/>
        <family val="2"/>
      </rPr>
      <t xml:space="preserve"> : 1) Training (6 days ) of New Peer Educator in all districts (BLOCK LELVEL). (WYD-600 (15 Batch) @ 70000/-
</t>
    </r>
    <r>
      <rPr>
        <b/>
        <sz val="11"/>
        <rFont val="Calibri"/>
        <family val="2"/>
      </rPr>
      <t xml:space="preserve"> ASHA Incentives</t>
    </r>
    <r>
      <rPr>
        <sz val="11"/>
        <rFont val="Calibri"/>
        <family val="2"/>
      </rPr>
      <t xml:space="preserve"> : Incentive for AH/RKSK Services - ASHA Incentive for mobilizing adolescents and community for AHWD . (Rs.200/- * 4 ASHAs * 4 AHWDs/year * No. of blocks) -.0.16 L
</t>
    </r>
    <r>
      <rPr>
        <b/>
        <sz val="11"/>
        <rFont val="Calibri"/>
        <family val="2"/>
      </rPr>
      <t xml:space="preserve"> OCC</t>
    </r>
    <r>
      <rPr>
        <sz val="11"/>
        <rFont val="Calibri"/>
        <family val="2"/>
      </rPr>
      <t xml:space="preserve"> - 1) Organising monthly Adolescent Friendly Club meetings at subcentre level Rs. 500* no of blocks*5 subcentre*12 AFC meetings/FY ( WYD-5) -1.50 L
 2)(Community Intervention for AH Services) Incentives for Peer Educators Rs 50/month* 12 months*no of PEs (WYD -1600) - 9.6 L
 3) Organizing Adolescent Health &amp; Wellness day Rs. 2500* No. of selected blocks*4 AHWD/FY( WYD -5) - 0.50 L
</t>
    </r>
    <r>
      <rPr>
        <b/>
        <sz val="11"/>
        <rFont val="Calibri"/>
        <family val="2"/>
      </rPr>
      <t xml:space="preserve"> IEC &amp; Printing</t>
    </r>
    <r>
      <rPr>
        <sz val="11"/>
        <rFont val="Calibri"/>
        <family val="2"/>
      </rPr>
      <t xml:space="preserve"> : PE Kit and PE Diary @ Rs 500/PE kit &amp; diary * no of New Peers entering 8th STD. (WYD-600)</t>
    </r>
  </si>
  <si>
    <r>
      <rPr>
        <b/>
        <sz val="11"/>
        <rFont val="Calibri"/>
        <family val="2"/>
      </rPr>
      <t xml:space="preserve"> Capacity building including Training</t>
    </r>
    <r>
      <rPr>
        <sz val="11"/>
        <rFont val="Calibri"/>
        <family val="2"/>
      </rPr>
      <t xml:space="preserve"> -Organising 2 district level coordination and dissemination workshop for RKSK and AB_SHWP @Rs 5460/workshop ie 5460*2 = 0.109 L 
</t>
    </r>
    <r>
      <rPr>
        <b/>
        <sz val="11"/>
        <rFont val="Calibri"/>
        <family val="2"/>
      </rPr>
      <t xml:space="preserve"> IEC &amp; Printing </t>
    </r>
    <r>
      <rPr>
        <sz val="11"/>
        <rFont val="Calibri"/>
        <family val="2"/>
      </rPr>
      <t xml:space="preserve">
 For printing of AFHC forms for AFHCs @2000/AFHCs(WYD-5) Rs .10 L
 For printing of AFHS Training manuals for MO, ANM Counsellors and Training manuals for PE training @ Rs 200 / manual for all Dist (160 nos/Dist) - Rs 0.32 L
AH- IEC &amp; PRINTING -1.75L Activity Breakup is attached herewith </t>
    </r>
  </si>
  <si>
    <r>
      <rPr>
        <b/>
        <sz val="11"/>
        <rFont val="Calibri"/>
        <family val="2"/>
      </rPr>
      <t>OOC</t>
    </r>
    <r>
      <rPr>
        <sz val="11"/>
        <rFont val="Calibri"/>
        <family val="2"/>
      </rPr>
      <t xml:space="preserve"> – Rs.2.5 lakhs
AH Mela @ selected two schools in each block in Wayanad (aspirational dist.) total 10 school@ 25000 ie.  Rs.2.5 L </t>
    </r>
  </si>
  <si>
    <r>
      <rPr>
        <b/>
        <sz val="11"/>
        <rFont val="Calibri"/>
        <family val="2"/>
      </rPr>
      <t>DBT-</t>
    </r>
    <r>
      <rPr>
        <sz val="11"/>
        <rFont val="Calibri"/>
        <family val="2"/>
      </rPr>
      <t xml:space="preserve">Female Public   BPL/SC/ST Sterilization 106 cases@  Rs 1000 per case .
APL  sterilization 319 cases @ Rs. 650 per case 
</t>
    </r>
    <r>
      <rPr>
        <b/>
        <sz val="11"/>
        <rFont val="Calibri"/>
        <family val="2"/>
      </rPr>
      <t>Training</t>
    </r>
    <r>
      <rPr>
        <sz val="11"/>
        <rFont val="Calibri"/>
        <family val="2"/>
      </rPr>
      <t>- Rs 110000 for Laproscopic sterilization(12 days training for 3 participants)</t>
    </r>
  </si>
  <si>
    <r>
      <t xml:space="preserve">
</t>
    </r>
    <r>
      <rPr>
        <b/>
        <sz val="11"/>
        <rFont val="Calibri"/>
        <family val="2"/>
      </rPr>
      <t>1.DBT</t>
    </r>
    <r>
      <rPr>
        <sz val="11"/>
        <rFont val="Calibri"/>
        <family val="2"/>
      </rPr>
      <t xml:space="preserve">
a. Internal IUCD insertion 1022 cases @ Rs 20/beneficiary
b.PPIUCD insertion 217 cases @ Rs 300/beneficiary
c.PAIUCD insertion 12 cases @ Rs 300/beneficiary
</t>
    </r>
    <r>
      <rPr>
        <b/>
        <sz val="11"/>
        <rFont val="Calibri"/>
        <family val="2"/>
      </rPr>
      <t>2. Training</t>
    </r>
    <r>
      <rPr>
        <sz val="11"/>
        <rFont val="Calibri"/>
        <family val="2"/>
      </rPr>
      <t xml:space="preserve">- IUCD training for Medical officers 1 batches @Rs 37500/batch (5 days training with 10 participants)
</t>
    </r>
    <r>
      <rPr>
        <b/>
        <sz val="11"/>
        <rFont val="Calibri"/>
        <family val="2"/>
      </rPr>
      <t>3.ASHA Incentive</t>
    </r>
    <r>
      <rPr>
        <sz val="11"/>
        <rFont val="Calibri"/>
        <family val="2"/>
      </rPr>
      <t xml:space="preserve">
a.PPIUCD insertion 217cases @ Rs 150/beneficiary
c.PAIUCD insertion 12  cases @ Rs 150/beneficiary
</t>
    </r>
  </si>
  <si>
    <r>
      <rPr>
        <b/>
        <sz val="11"/>
        <rFont val="Calibri"/>
        <family val="2"/>
      </rPr>
      <t>Others including operating costs(OOC) Rs.2.4 Lakhs</t>
    </r>
    <r>
      <rPr>
        <sz val="11"/>
        <rFont val="Calibri"/>
        <family val="2"/>
      </rPr>
      <t xml:space="preserve">  Incentives for Peer Educators under NVHCP Rs 10,000/- per month (We already have 2 TCs at General Hospital Kalpetta &amp; THQH Sulthanbathery, Wayanad)  
NVHCP- IEC &amp; PRINTING -1L Activity Breakup will be shared from State BCC wing</t>
    </r>
  </si>
  <si>
    <r>
      <t xml:space="preserve">
</t>
    </r>
    <r>
      <rPr>
        <b/>
        <u/>
        <sz val="11"/>
        <rFont val="Calibri"/>
        <family val="2"/>
      </rPr>
      <t>Drugs and supplies</t>
    </r>
    <r>
      <rPr>
        <sz val="11"/>
        <rFont val="Calibri"/>
        <family val="2"/>
      </rPr>
      <t xml:space="preserve">
Management of HAV and HEV patients – budgeted @ Rs 50000/-  per district for necessary investigations, sample transportation and supportive treatment.
</t>
    </r>
    <r>
      <rPr>
        <b/>
        <sz val="11"/>
        <rFont val="Calibri"/>
        <family val="2"/>
      </rPr>
      <t xml:space="preserve">Others including operating costs(OOC) Rs. 1 Lakhs - Rs: 0.5 Lakhs </t>
    </r>
    <r>
      <rPr>
        <sz val="11"/>
        <rFont val="Calibri"/>
        <family val="2"/>
      </rPr>
      <t>each for TCs (General Hospital Kalpetta &amp; THQH Sulthanbathery, Wayanad) - Meeting Costs/Office expenses/Contingency/Management of Hep A &amp; E as Cash Grant</t>
    </r>
  </si>
  <si>
    <r>
      <rPr>
        <b/>
        <sz val="11"/>
        <rFont val="Calibri"/>
        <family val="2"/>
      </rPr>
      <t xml:space="preserve">Training :  Rs. 1 Lakhs </t>
    </r>
    <r>
      <rPr>
        <sz val="11"/>
        <rFont val="Calibri"/>
        <family val="2"/>
      </rPr>
      <t xml:space="preserve">per training Medical Officers, Staff Nurse, ASHA ANM &amp; other Health care workers. 
IEC &amp; Printing Rs.1.50 lakhs
</t>
    </r>
    <r>
      <rPr>
        <b/>
        <sz val="11"/>
        <rFont val="Calibri"/>
        <family val="2"/>
      </rPr>
      <t>Planning &amp; M &amp; E - Rs.05 Lakhs</t>
    </r>
    <r>
      <rPr>
        <sz val="11"/>
        <rFont val="Calibri"/>
        <family val="2"/>
      </rPr>
      <t xml:space="preserve">
Supervision and Monitoring activities </t>
    </r>
  </si>
  <si>
    <r>
      <rPr>
        <b/>
        <sz val="11"/>
        <rFont val="Calibri"/>
        <family val="2"/>
      </rPr>
      <t>Capacity Buidling 6 lakhs</t>
    </r>
    <r>
      <rPr>
        <sz val="11"/>
        <rFont val="Calibri"/>
        <family val="2"/>
      </rPr>
      <t xml:space="preserve">
Rs.4.4 lakhs for 2 batch @0.55  lakhs per batch of 100, on a quarterly basis for refresher training of MLSPs
Rs. 1.6 lakhs @0.40 lakhs per batch for 4 batches for SHC-HWC  team building training. 
</t>
    </r>
    <r>
      <rPr>
        <b/>
        <sz val="11"/>
        <rFont val="Calibri"/>
        <family val="2"/>
      </rPr>
      <t>ASHA Incentives</t>
    </r>
    <r>
      <rPr>
        <sz val="11"/>
        <rFont val="Calibri"/>
        <family val="2"/>
      </rPr>
      <t xml:space="preserve"> Rs.110.64 lakhs @ Rs.1000/- per month for 922 ASHA for expanded package of services 
</t>
    </r>
    <r>
      <rPr>
        <b/>
        <sz val="11"/>
        <rFont val="Calibri"/>
        <family val="2"/>
      </rPr>
      <t>IEC &amp; PRINTING- 1L</t>
    </r>
    <r>
      <rPr>
        <sz val="11"/>
        <rFont val="Calibri"/>
        <family val="2"/>
      </rPr>
      <t xml:space="preserve"> 
Designing, Printing and installation of posters, banners in all District &amp; Thaluk level Hospitals and HWCs regarding eSanjeevani.  </t>
    </r>
  </si>
  <si>
    <r>
      <t xml:space="preserve">Capacity building incl. training  - 16.21  L
Induction training to ASHA@Rs. 74750 per batch of 30 ASHA for Rs. 0.74 L
ASHA 10th Module training @ Rs. 1533 per one ASHA for 922 ASHA  14.13  L
Supplementary training to ASHA - One ASHA from one institution per month @ Rs. 300 per ASHA for 37ASHA's -  1.33  L.
ASHA incentives – 240.58 L 
ASHA fixed incentive @Rs. 2000 per month for 922ASHAs Rs. 221.28  L 
Incentive for monthly review meeting @Rs.100 per month for 922 ASHAs  Rs. 11.06 L
Social Security Insurance packages for ASHA - PMJJBY @ Rs.436 for 496 ASHA of  Rs. 2.16L , PMSBY @Rs. 20 for 588 ASHA Rs . 1.17  L,  PMSYM @Rs.100 per month for  496 ASHAs Rs.5.92  L . Total  9.25  L.
OOC  23.21  L
 Ongoing expenses for Ward Health Facilitation Centres @Rs. 500 per month per ward 23 wards Rs..1.08 L          
Mobile allowance to 922 ASHA @Rs. 200 per month for Rs. 22.12 L
IEC &amp; PRINTING- 3.922L (Activity breakup details attached)                                                                  </t>
    </r>
    <r>
      <rPr>
        <b/>
        <sz val="11"/>
        <rFont val="Calibri"/>
        <family val="2"/>
      </rPr>
      <t>2025-26</t>
    </r>
    <r>
      <rPr>
        <sz val="11"/>
        <rFont val="Calibri"/>
        <family val="2"/>
      </rPr>
      <t xml:space="preserve"> Distrit ASHA Sammelan  Rs. 2 L
</t>
    </r>
  </si>
  <si>
    <r>
      <rPr>
        <b/>
        <sz val="11"/>
        <rFont val="Calibri"/>
        <family val="2"/>
      </rPr>
      <t>Training</t>
    </r>
    <r>
      <rPr>
        <sz val="11"/>
        <rFont val="Calibri"/>
        <family val="2"/>
      </rPr>
      <t xml:space="preserve">
6 training cum review meeting for each district for Monitoring &amp; Evaluation @unit cost of 20000/- Planning and M&amp;E-
1. PMU Trainings, DAP, Audit fees, mobility support, other overhead expenses
2.District level review meeting on national programmes based on key deliverables @unit cost 20000/- per quarter ie, Rs 80000/- for each district
District  review mission  on alternate months at district level @unit cost 20000/- bimonthly for each district ie, 1.2 Lakh for each district
</t>
    </r>
    <r>
      <rPr>
        <b/>
        <sz val="11"/>
        <rFont val="Calibri"/>
        <family val="2"/>
      </rPr>
      <t>The District to ensure that the budget approved under this head should not be utilised for construction/renovation/repair activities, engaging HR and purchasing vehicles.</t>
    </r>
    <r>
      <rPr>
        <sz val="11"/>
        <rFont val="Calibri"/>
        <family val="2"/>
      </rPr>
      <t xml:space="preserve">  </t>
    </r>
  </si>
  <si>
    <r>
      <rPr>
        <b/>
        <sz val="11"/>
        <rFont val="Calibri"/>
        <family val="2"/>
      </rPr>
      <t xml:space="preserve">OOC- Untied Funds </t>
    </r>
    <r>
      <rPr>
        <sz val="11"/>
        <rFont val="Calibri"/>
        <family val="2"/>
      </rPr>
      <t xml:space="preserve">
2 DH/GH @ Rs.250000/- 
2 SDH @ Rs.1,00,000/-  
9 CHC @ Rs.75000/- 
23 PHC @ Rs.50000/-
200 subcentre @ Rs.10000/- 
512 VHSC @ Rs.10000/-</t>
    </r>
  </si>
  <si>
    <r>
      <rPr>
        <b/>
        <sz val="11"/>
        <rFont val="Calibri"/>
        <family val="2"/>
      </rPr>
      <t xml:space="preserve">OOC- Tribal camps </t>
    </r>
    <r>
      <rPr>
        <sz val="11"/>
        <rFont val="Calibri"/>
        <family val="2"/>
      </rPr>
      <t xml:space="preserve">
 Specialist camps-6@15000/-</t>
    </r>
  </si>
  <si>
    <r>
      <rPr>
        <b/>
        <sz val="11"/>
        <rFont val="Calibri"/>
        <family val="2"/>
      </rPr>
      <t>Drugs and Diagnostics</t>
    </r>
    <r>
      <rPr>
        <sz val="11"/>
        <rFont val="Calibri"/>
        <family val="2"/>
      </rPr>
      <t>: Total estimated delivery is 8878. it is assumed 15% sick and 1332 cases budgeted for drugs and diagnostics @ Rs.200/- each</t>
    </r>
  </si>
  <si>
    <r>
      <rPr>
        <b/>
        <sz val="11"/>
        <rFont val="Calibri"/>
        <family val="2"/>
      </rPr>
      <t xml:space="preserve">OOC </t>
    </r>
    <r>
      <rPr>
        <sz val="11"/>
        <rFont val="Calibri"/>
        <family val="2"/>
      </rPr>
      <t xml:space="preserve">: 1332 cases budgeted for transport @ Rs.500/- </t>
    </r>
  </si>
  <si>
    <r>
      <rPr>
        <b/>
        <sz val="11"/>
        <rFont val="Calibri"/>
        <family val="2"/>
      </rPr>
      <t>Capacity Building -Training</t>
    </r>
    <r>
      <rPr>
        <sz val="11"/>
        <rFont val="Calibri"/>
        <family val="2"/>
      </rPr>
      <t xml:space="preserve"> - for 1) 4 days hybrid (1 day + 3 days online) training of MOs @Rs 70000/ batch (40 Nos.) - Rs 0.70 L
  2) AFHS 3 hybrid (1 day + 2 days online) training of ANM/LHV/MPW/other healthworkers @Rs. 50000/ batch (40 Nos.) - Rs 0.50 L
</t>
    </r>
    <r>
      <rPr>
        <b/>
        <sz val="11"/>
        <rFont val="Calibri"/>
        <family val="2"/>
      </rPr>
      <t xml:space="preserve"> OOC</t>
    </r>
    <r>
      <rPr>
        <sz val="11"/>
        <rFont val="Calibri"/>
        <family val="2"/>
      </rPr>
      <t xml:space="preserve"> - 1) Operating expenses for AH/RKSK clinics: AH/RKSK centre Rs. 12000/centre * no of AFHCs (KNR-12 AFHC ) - 1.44 L
 2) Mobility support to counsellors for conducting 8 outreach session / month for 12 months @Rs.400/session. (KNR 5 counsellors) - 1.92 L
3) As communication support to 94 GOI AH counsellors @ Rs.250 /month for 12 months. ie 2.82 L ( 5 * 250 *12 ) - .15 L
4) Bi-annual district level convergence workshop under RKSK - Rs 5000/batch ie 5000*2 = Rs 0.100 L
</t>
    </r>
    <r>
      <rPr>
        <b/>
        <sz val="11"/>
        <rFont val="Calibri"/>
        <family val="2"/>
      </rPr>
      <t>IEC &amp; Printing</t>
    </r>
    <r>
      <rPr>
        <sz val="11"/>
        <rFont val="Calibri"/>
        <family val="2"/>
      </rPr>
      <t xml:space="preserve">
1) For printing of various IEC materials for use in the AFHCs and by counsellors -Rs 0.25 L
</t>
    </r>
  </si>
  <si>
    <r>
      <rPr>
        <b/>
        <sz val="11"/>
        <rFont val="Calibri"/>
        <family val="2"/>
      </rPr>
      <t>Capacity Building - Training</t>
    </r>
    <r>
      <rPr>
        <sz val="11"/>
        <rFont val="Calibri"/>
        <family val="2"/>
      </rPr>
      <t xml:space="preserve"> : 1) 6 days training of Master Trainers of Peer Educators (1 batch -40 Nos.) @ Rs.200000/batch. - 2 L
 2) Training (6 days ) of New Peer Educator in all districts (BLOCK LELVEL). (KNR-200 (5 Batch) @ 78500 - 78500 * 5 batch = 3.93 L
</t>
    </r>
    <r>
      <rPr>
        <b/>
        <sz val="11"/>
        <rFont val="Calibri"/>
        <family val="2"/>
      </rPr>
      <t xml:space="preserve"> ASHA Incentives</t>
    </r>
    <r>
      <rPr>
        <sz val="11"/>
        <rFont val="Calibri"/>
        <family val="2"/>
      </rPr>
      <t xml:space="preserve"> : Incentive for AH/RKSK Services - ASHA Incentive for mobilizing adolescents and community for AHWD . (Rs.200/- * 4 ASHAs * 4 AHWDs/year * No. of blocks) - 0.38 L
</t>
    </r>
    <r>
      <rPr>
        <b/>
        <sz val="11"/>
        <rFont val="Calibri"/>
        <family val="2"/>
      </rPr>
      <t xml:space="preserve"> OCC</t>
    </r>
    <r>
      <rPr>
        <sz val="11"/>
        <rFont val="Calibri"/>
        <family val="2"/>
      </rPr>
      <t xml:space="preserve"> - 1) Organising monthly Adolescent Friendly Club meetings at subcentre level Rs. 500* no of blocks*5 subcentre*12 AFC meetings/FY ( KNR-12) - 3.60 L
 2)(Community Intervention for AH Services) Incentives for Peer Educators Rs 50/month* 12 months*no of PEs (KNR -800) - 4.80 L
 3) Organizing Adolescent Health &amp; Wellness day Rs. 2500* No. of selected blocks*4 AHWD/FY( KNR -12) - 1.20 L
</t>
    </r>
    <r>
      <rPr>
        <b/>
        <sz val="11"/>
        <rFont val="Calibri"/>
        <family val="2"/>
      </rPr>
      <t xml:space="preserve"> IEC &amp; Printing</t>
    </r>
    <r>
      <rPr>
        <sz val="11"/>
        <rFont val="Calibri"/>
        <family val="2"/>
      </rPr>
      <t xml:space="preserve"> : PE Kit and PE Diary @ Rs 350/PE kit &amp; diary * no of New Peers entering 8th STD. (KNR-200) - 0.70 L
 Plannning &amp; M&amp;E - Rewards annd recognition of good performing PEs @ 1 L/dist. - 1 L</t>
    </r>
  </si>
  <si>
    <r>
      <rPr>
        <b/>
        <sz val="11"/>
        <rFont val="Calibri"/>
        <family val="2"/>
      </rPr>
      <t xml:space="preserve"> Capacity building including Training</t>
    </r>
    <r>
      <rPr>
        <sz val="11"/>
        <rFont val="Calibri"/>
        <family val="2"/>
      </rPr>
      <t xml:space="preserve"> -Organising 2 district level coordination and dissemination workshop for RKSK and AB_SHWP @Rs 5460/workshop ie 5460*2 = 0.109 L 
</t>
    </r>
    <r>
      <rPr>
        <b/>
        <sz val="11"/>
        <rFont val="Calibri"/>
        <family val="2"/>
      </rPr>
      <t xml:space="preserve"> IEC &amp; Printing</t>
    </r>
    <r>
      <rPr>
        <sz val="11"/>
        <rFont val="Calibri"/>
        <family val="2"/>
      </rPr>
      <t xml:space="preserve"> 
 For printing of AFHC forms for AFHCs @2000/AFHCs(WYD-12) Rs .24 L
 For printing of AFHS Training manuals for MO, ANM Counsellors and Training manuals for PE training @ Rs 200 / manual for all Dist (160 nos/Dist) - Rs 0.32 L
AH- IEC &amp; PRINTING -1.85L Activity Breakup attached</t>
    </r>
  </si>
  <si>
    <r>
      <rPr>
        <b/>
        <sz val="11"/>
        <rFont val="Calibri"/>
        <family val="2"/>
      </rPr>
      <t>DBT-</t>
    </r>
    <r>
      <rPr>
        <sz val="11"/>
        <rFont val="Calibri"/>
        <family val="2"/>
      </rPr>
      <t xml:space="preserve">Female Public   BPL/SC/ST Sterilization 248 cases@  Rs 1000 per case .
APL  sterilization 744cases @ Rs. 650 per case 
</t>
    </r>
    <r>
      <rPr>
        <b/>
        <sz val="11"/>
        <rFont val="Calibri"/>
        <family val="2"/>
      </rPr>
      <t>Training</t>
    </r>
    <r>
      <rPr>
        <sz val="11"/>
        <rFont val="Calibri"/>
        <family val="2"/>
      </rPr>
      <t>- Rs 110000 for Laproscopic sterilization(12 days training for 3 participants)</t>
    </r>
  </si>
  <si>
    <r>
      <t xml:space="preserve">
</t>
    </r>
    <r>
      <rPr>
        <b/>
        <sz val="11"/>
        <rFont val="Calibri"/>
        <family val="2"/>
      </rPr>
      <t>1.DBT</t>
    </r>
    <r>
      <rPr>
        <sz val="11"/>
        <rFont val="Calibri"/>
        <family val="2"/>
      </rPr>
      <t xml:space="preserve">
a. Internal IUCD insertion 2039 cases @ Rs 20/beneficiary
b.PPIUCD insertion 86 cases @ Rs 300/beneficiary
</t>
    </r>
    <r>
      <rPr>
        <b/>
        <sz val="11"/>
        <rFont val="Calibri"/>
        <family val="2"/>
      </rPr>
      <t>2. Training</t>
    </r>
    <r>
      <rPr>
        <sz val="11"/>
        <rFont val="Calibri"/>
        <family val="2"/>
      </rPr>
      <t xml:space="preserve">- IUCD training for Medical officers 3 batches @Rs 37500/batch (5 days training with 10 participants)
</t>
    </r>
    <r>
      <rPr>
        <b/>
        <sz val="11"/>
        <rFont val="Calibri"/>
        <family val="2"/>
      </rPr>
      <t>3.ASHA Incentive</t>
    </r>
    <r>
      <rPr>
        <sz val="11"/>
        <rFont val="Calibri"/>
        <family val="2"/>
      </rPr>
      <t xml:space="preserve">
a.PPIUCD insertion 86 cases @ Rs 150/beneficiary
</t>
    </r>
  </si>
  <si>
    <r>
      <rPr>
        <b/>
        <sz val="11"/>
        <rFont val="Calibri"/>
        <family val="2"/>
      </rPr>
      <t>Others including operating costs(OOC) Rs.2.4 Lakhs</t>
    </r>
    <r>
      <rPr>
        <sz val="11"/>
        <rFont val="Calibri"/>
        <family val="2"/>
      </rPr>
      <t xml:space="preserve">   Incentives for Peer Educators under NVHCP Rs 10,000/- per month (We already have 2 TCs at District Hospital Kannur, Government Medical College Kannur) 
Prevention </t>
    </r>
  </si>
  <si>
    <r>
      <rPr>
        <b/>
        <u/>
        <sz val="11"/>
        <rFont val="Calibri"/>
        <family val="2"/>
      </rPr>
      <t>Drugs and supplies</t>
    </r>
    <r>
      <rPr>
        <sz val="11"/>
        <rFont val="Calibri"/>
        <family val="2"/>
      </rPr>
      <t xml:space="preserve">
Management of HAV and HEV patients – budgeted @ Rs 50000/-  per district for necessary investigations, sample transportation and supportive treatment.
</t>
    </r>
    <r>
      <rPr>
        <b/>
        <sz val="11"/>
        <rFont val="Calibri"/>
        <family val="2"/>
      </rPr>
      <t>Others including operating costs(OOC) Rs. 1 Lakhs</t>
    </r>
    <r>
      <rPr>
        <sz val="11"/>
        <rFont val="Calibri"/>
        <family val="2"/>
      </rPr>
      <t xml:space="preserve"> - Rs:0.5 Lakh each for TCs (District Hospital Kannur &amp; Government Medical College Kannur)  - Meeting Costs/Office expenses/Contingency/Management of Hep A &amp; E as Cash Grant</t>
    </r>
  </si>
  <si>
    <r>
      <rPr>
        <b/>
        <sz val="11"/>
        <rFont val="Calibri"/>
        <family val="2"/>
      </rPr>
      <t>Capacity Buidling 13.20 lakhs</t>
    </r>
    <r>
      <rPr>
        <sz val="11"/>
        <rFont val="Calibri"/>
        <family val="2"/>
      </rPr>
      <t xml:space="preserve">
Rs.8.8 lakhs for 4 batch @0.55  lakhs per batch of 100, on a quarterly basis for refresher training of MLSPs
Rs. 4.4 lakhs @0.40 lakhs per batch for 11 batches for SHC-HWC  team building training. 
</t>
    </r>
    <r>
      <rPr>
        <b/>
        <sz val="11"/>
        <rFont val="Calibri"/>
        <family val="2"/>
      </rPr>
      <t>ASHA Incentives</t>
    </r>
    <r>
      <rPr>
        <sz val="11"/>
        <rFont val="Calibri"/>
        <family val="2"/>
      </rPr>
      <t xml:space="preserve"> Rs.234.96 lakhs @ Rs.1000/- per month for 1958 ASHA for expanded package of services 
</t>
    </r>
    <r>
      <rPr>
        <b/>
        <sz val="11"/>
        <rFont val="Calibri"/>
        <family val="2"/>
      </rPr>
      <t>IEC &amp; PRINTING- 1L</t>
    </r>
    <r>
      <rPr>
        <sz val="11"/>
        <rFont val="Calibri"/>
        <family val="2"/>
      </rPr>
      <t xml:space="preserve"> 
Designing, Printing and installation of posters, banners in all District &amp; Thaluk level Hospitals and HWCs regarding eSanjeevani.  </t>
    </r>
  </si>
  <si>
    <r>
      <t xml:space="preserve"> Capacity building incl. training  - 34.68  L
Induction training to ASHA@Rs. 74750 per batch of 30 ASHA for Rs. 0.74 L
ASHA 10th Module training @ Rs. 1533 per one ASHA for 1952 ASHA  30.01  L
Supplementary training to ASHA - One ASHA from one institution per month @ Rs. 300 per ASHA for 109ASHA's -  3.92  L.
ASHA incentives – 504.86 L 
ASHA fixed incentive @Rs. 2000 per month for 1952 ASHAs Rs. 469.92  L 
Incentive for monthly review meeting @Rs.100 per month for  1952  ASHAs  Rs. 23.49
Social Security Insurance packages for ASHA - PMJJBY @ Rs.436 for 690 ASHA of  Rs. 3.00 L  , PMSBY @Rs. 20 for 787 ASHA Rs . 1.57  L,  PMSYM @Rs.100 per month for  690 ASHAs Rs. 8.28  L . Total  12.85  L.
OOC  48.37  L
 Ongoing expenses for Ward Health Facilitation Centres @Rs. 500 per month per ward 18 wards Rs..1.38 L          
Mobile allowance to 922 ASHA @Rs. 200 per month for Rs. 46.99 L
IEC &amp; PRINTING- 4.458L (Activity breakup details attached)                                                             </t>
    </r>
    <r>
      <rPr>
        <b/>
        <sz val="11"/>
        <rFont val="Calibri"/>
        <family val="2"/>
      </rPr>
      <t>2025-26</t>
    </r>
    <r>
      <rPr>
        <sz val="11"/>
        <rFont val="Calibri"/>
        <family val="2"/>
      </rPr>
      <t xml:space="preserve"> Distrit ASHA Sammelan  Rs. 2 L
</t>
    </r>
  </si>
  <si>
    <r>
      <rPr>
        <b/>
        <sz val="11"/>
        <rFont val="Calibri"/>
        <family val="2"/>
      </rPr>
      <t>FY 2024-2025</t>
    </r>
    <r>
      <rPr>
        <sz val="11"/>
        <rFont val="Calibri"/>
        <family val="2"/>
      </rPr>
      <t xml:space="preserve">
DH Kannur - 7.04 L - Library and learning resources, Academic activities
</t>
    </r>
    <r>
      <rPr>
        <b/>
        <sz val="11"/>
        <rFont val="Calibri"/>
        <family val="2"/>
      </rPr>
      <t>FY 2025-2026</t>
    </r>
    <r>
      <rPr>
        <sz val="11"/>
        <rFont val="Calibri"/>
        <family val="2"/>
      </rPr>
      <t xml:space="preserve">
DH kannur - 5.54 L - Academic activities, renewal fee, purchase of books and equipment</t>
    </r>
  </si>
  <si>
    <r>
      <rPr>
        <b/>
        <sz val="11"/>
        <rFont val="Calibri"/>
        <family val="2"/>
      </rPr>
      <t xml:space="preserve">OOC- Untied Funds </t>
    </r>
    <r>
      <rPr>
        <sz val="11"/>
        <rFont val="Calibri"/>
        <family val="2"/>
      </rPr>
      <t xml:space="preserve">
3 DH/GH @ Rs.250000/- 
10 SDH @ Rs.1,00,000/-  
10 CHC @ Rs.75000/- 
80 PHC @ Rs.50000/-
416 subcentre @ Rs.10000/- 
1545 VHSC @ Rs.10000/-</t>
    </r>
  </si>
  <si>
    <r>
      <rPr>
        <b/>
        <sz val="11"/>
        <rFont val="Calibri"/>
        <family val="2"/>
      </rPr>
      <t xml:space="preserve">OOC- Tribal camps </t>
    </r>
    <r>
      <rPr>
        <sz val="11"/>
        <rFont val="Calibri"/>
        <family val="2"/>
      </rPr>
      <t xml:space="preserve">
Single MO Camps -1@ Rs.3000/-, Specialist camps-5@15000/-, Health Class-3@1500/-, Health Club-1@10000/-</t>
    </r>
  </si>
  <si>
    <r>
      <rPr>
        <b/>
        <sz val="11"/>
        <rFont val="Calibri"/>
        <family val="2"/>
      </rPr>
      <t>Drugs and Diagnostics</t>
    </r>
    <r>
      <rPr>
        <sz val="11"/>
        <rFont val="Calibri"/>
        <family val="2"/>
      </rPr>
      <t>: Total estimated delivery is 4009. it is assumed 15% sick and 601 cases budgeted for drugs and diagnostics @ Rs.200/- each</t>
    </r>
  </si>
  <si>
    <r>
      <rPr>
        <b/>
        <sz val="11"/>
        <rFont val="Calibri"/>
        <family val="2"/>
      </rPr>
      <t xml:space="preserve">OOC </t>
    </r>
    <r>
      <rPr>
        <sz val="11"/>
        <rFont val="Calibri"/>
        <family val="2"/>
      </rPr>
      <t xml:space="preserve">: 601 cases budgeted for transport @ Rs.500/- </t>
    </r>
  </si>
  <si>
    <r>
      <rPr>
        <b/>
        <sz val="11"/>
        <rFont val="Calibri"/>
        <family val="2"/>
      </rPr>
      <t>Capacity Building -Training</t>
    </r>
    <r>
      <rPr>
        <sz val="11"/>
        <rFont val="Calibri"/>
        <family val="2"/>
      </rPr>
      <t xml:space="preserve"> - for 1) 4 days hybrid (1 day + 3 days online) training of MOs @Rs 70000/ batch (40 Nos.) - Rs 0.70 L
  2) AFHS 3 hybrid (1 day + 2 days online) training of ANM/LHV/MPW/other healthworkers @Rs. 50000/ batch (40 Nos.) - Rs 0.50 L
</t>
    </r>
    <r>
      <rPr>
        <b/>
        <sz val="11"/>
        <rFont val="Calibri"/>
        <family val="2"/>
      </rPr>
      <t xml:space="preserve"> OOC</t>
    </r>
    <r>
      <rPr>
        <sz val="11"/>
        <rFont val="Calibri"/>
        <family val="2"/>
      </rPr>
      <t xml:space="preserve"> - 1) Operating expenses for AH/RKSK clinics: AH/RKSK centre Rs. 12000/centre * no of AFHCs (KSD -9 AFHC )- 1.08 L 
 2) Mobility support to counsellors for conducting 8 outreach session / month for 12 months @Rs.400/session. (KSD 9 counsellors) -3.45 L
3) As communication support to 94 GOI AH counsellors @ Rs.250 /month for 12 months. ie 2.82 L ( 9 * 250 *12 ) - .27 L
4) Bi-annual district level convergence workshop under RKSK - Rs 5000/batch ie 5000*2 = Rs 0.100 L
</t>
    </r>
    <r>
      <rPr>
        <b/>
        <sz val="11"/>
        <rFont val="Calibri"/>
        <family val="2"/>
      </rPr>
      <t xml:space="preserve"> IEC &amp; Printing</t>
    </r>
    <r>
      <rPr>
        <sz val="11"/>
        <rFont val="Calibri"/>
        <family val="2"/>
      </rPr>
      <t xml:space="preserve">
 1) For printing of various IEC materials for use in the AFHCs and by counsellors -Rs 0.25 L
</t>
    </r>
  </si>
  <si>
    <r>
      <rPr>
        <b/>
        <sz val="11"/>
        <rFont val="Calibri"/>
        <family val="2"/>
      </rPr>
      <t>Capacity Building - Training</t>
    </r>
    <r>
      <rPr>
        <sz val="11"/>
        <rFont val="Calibri"/>
        <family val="2"/>
      </rPr>
      <t xml:space="preserve"> : 1) Training (6 days ) of New Peer Educator in all districts (BLOCK LELVEL). (KSD-600 (15 Batch) &amp; 70000/-
 ASHA Incentives : Incentive for AH/RKSK Services - ASHA Incentive for mobilizing adolescents and community for AHWD . (Rs.200/- * 4 ASHAs * 4 AHWDs/year * No. of blocks) - 0.29 L
</t>
    </r>
    <r>
      <rPr>
        <b/>
        <sz val="11"/>
        <rFont val="Calibri"/>
        <family val="2"/>
      </rPr>
      <t xml:space="preserve"> OCC</t>
    </r>
    <r>
      <rPr>
        <sz val="11"/>
        <rFont val="Calibri"/>
        <family val="2"/>
      </rPr>
      <t xml:space="preserve"> - 1) Organising monthly Adolescent Friendly Club meetings at subcentre level Rs. 500* no of blocks*5 subcentre*12 AFC meetings/FY ( KSD-9) -2.70 L
 2)(Community Intervention for AH Services) Incentives for Peer Educators Rs 50/month* 12 months*no of PEs (KSD -2100) - 12.60 L
 3) Organizing Adolescent Health &amp; Wellness day Rs. 2500* No. of selected blocks*4 AHWD/FY( KSD -9) - 0.90
</t>
    </r>
    <r>
      <rPr>
        <b/>
        <sz val="11"/>
        <rFont val="Calibri"/>
        <family val="2"/>
      </rPr>
      <t xml:space="preserve"> IEC &amp; Printing</t>
    </r>
    <r>
      <rPr>
        <sz val="11"/>
        <rFont val="Calibri"/>
        <family val="2"/>
      </rPr>
      <t xml:space="preserve"> : PE Kit and PE Diary @ Rs 450/PE kit &amp; diary * no of New Peers entering 8th STD. (KSD -600) - 2.10 L</t>
    </r>
  </si>
  <si>
    <r>
      <t xml:space="preserve"> </t>
    </r>
    <r>
      <rPr>
        <b/>
        <sz val="11"/>
        <rFont val="Calibri"/>
        <family val="2"/>
      </rPr>
      <t>Capacity building including Training</t>
    </r>
    <r>
      <rPr>
        <sz val="11"/>
        <rFont val="Calibri"/>
        <family val="2"/>
      </rPr>
      <t xml:space="preserve"> -Organising 2 district level coordination and dissemination workshop for RKSK and AB_SHWP @Rs 5460/workshop ie 5460*2 = 0.109 L 
 I</t>
    </r>
    <r>
      <rPr>
        <b/>
        <sz val="11"/>
        <rFont val="Calibri"/>
        <family val="2"/>
      </rPr>
      <t xml:space="preserve">EC &amp; Printing </t>
    </r>
    <r>
      <rPr>
        <sz val="11"/>
        <rFont val="Calibri"/>
        <family val="2"/>
      </rPr>
      <t xml:space="preserve">
 For printing of AFHC forms for AFHCs @2000/AFHCs(KSD-9) Rs .18 L
 For printing of AFHS Training manuals for MO, ANM Counsellors and Training manuals for PE training @ Rs 200 / manual for all Dist (160 nos/Dist) - Rs 0.32 L
AH- IEC &amp; PRINTING -2.5L Activity Breakup is attached herewith</t>
    </r>
  </si>
  <si>
    <r>
      <rPr>
        <b/>
        <sz val="11"/>
        <rFont val="Calibri"/>
        <family val="2"/>
      </rPr>
      <t>DBT-</t>
    </r>
    <r>
      <rPr>
        <sz val="11"/>
        <rFont val="Calibri"/>
        <family val="2"/>
      </rPr>
      <t xml:space="preserve">Female Public   BPL/SC/ST Sterilization 69 cases@  Rs 1000 per case .
APL  sterilization 208 cases @ Rs. 650 per case 
</t>
    </r>
    <r>
      <rPr>
        <b/>
        <sz val="11"/>
        <rFont val="Calibri"/>
        <family val="2"/>
      </rPr>
      <t>Training</t>
    </r>
    <r>
      <rPr>
        <sz val="11"/>
        <rFont val="Calibri"/>
        <family val="2"/>
      </rPr>
      <t>- Rs 110000 for Laproscopic sterilization(12 days training for 3 participants)</t>
    </r>
  </si>
  <si>
    <r>
      <t xml:space="preserve">
</t>
    </r>
    <r>
      <rPr>
        <b/>
        <sz val="11"/>
        <rFont val="Calibri"/>
        <family val="2"/>
      </rPr>
      <t>1.DBT</t>
    </r>
    <r>
      <rPr>
        <sz val="11"/>
        <rFont val="Calibri"/>
        <family val="2"/>
      </rPr>
      <t xml:space="preserve">
a. Internal IUCD insertion 1561 cases @ Rs 20/beneficiary
b.PPIUCD insertion 37 cases @ Rs 300/beneficiary
</t>
    </r>
    <r>
      <rPr>
        <b/>
        <sz val="11"/>
        <rFont val="Calibri"/>
        <family val="2"/>
      </rPr>
      <t>2. Training</t>
    </r>
    <r>
      <rPr>
        <sz val="11"/>
        <rFont val="Calibri"/>
        <family val="2"/>
      </rPr>
      <t xml:space="preserve">- IUCD training for Medical officers 1 batches @Rs 37500/batch (5 days training with 10 participants)
</t>
    </r>
    <r>
      <rPr>
        <b/>
        <sz val="11"/>
        <rFont val="Calibri"/>
        <family val="2"/>
      </rPr>
      <t>3.ASHA Incentive</t>
    </r>
    <r>
      <rPr>
        <sz val="11"/>
        <rFont val="Calibri"/>
        <family val="2"/>
      </rPr>
      <t xml:space="preserve">
a.PPIUCD insertion 37 cases @ Rs 150/beneficiary
</t>
    </r>
  </si>
  <si>
    <r>
      <rPr>
        <b/>
        <sz val="11"/>
        <rFont val="Calibri"/>
        <family val="2"/>
      </rPr>
      <t xml:space="preserve">Others including operating costs(OOC) Rs.1.2 Lakhs  </t>
    </r>
    <r>
      <rPr>
        <sz val="11"/>
        <rFont val="Calibri"/>
        <family val="2"/>
      </rPr>
      <t xml:space="preserve">Incentives for Peer Educators under NVHCP Rs 10,000/- per month (We already have 1 TCs at General Hospital Kasargod) 
Prevetion </t>
    </r>
  </si>
  <si>
    <r>
      <rPr>
        <b/>
        <sz val="11"/>
        <rFont val="Calibri"/>
        <family val="2"/>
      </rPr>
      <t xml:space="preserve">Others including operating costs(OOC) Rs. 0.5 Lakhs - Rs: 0.5 Lakhs </t>
    </r>
    <r>
      <rPr>
        <sz val="11"/>
        <rFont val="Calibri"/>
        <family val="2"/>
      </rPr>
      <t>each for TCs (General Hospital Kasargod) - Meeting Costs/Office expenses/Contingency/Management of Hep A &amp; E as Cash Grant</t>
    </r>
  </si>
  <si>
    <r>
      <rPr>
        <b/>
        <sz val="11"/>
        <rFont val="Calibri"/>
        <family val="2"/>
      </rPr>
      <t>Capacity Buidling 6.80 lakhs</t>
    </r>
    <r>
      <rPr>
        <sz val="11"/>
        <rFont val="Calibri"/>
        <family val="2"/>
      </rPr>
      <t xml:space="preserve">
Rs.4.4 lakhs for 2 batch @0.55  lakhs per batch of 100, on a quarterly basis for refresher training of MLSPs
Rs. 2.4 lakhs @0.40 lakhs per batch for 6 batches for SHC-HWC  team building training. 
</t>
    </r>
    <r>
      <rPr>
        <b/>
        <sz val="11"/>
        <rFont val="Calibri"/>
        <family val="2"/>
      </rPr>
      <t>ASHA Incentives</t>
    </r>
    <r>
      <rPr>
        <sz val="11"/>
        <rFont val="Calibri"/>
        <family val="2"/>
      </rPr>
      <t xml:space="preserve"> Rs.111.24 lakhs @ Rs.1000/- per month for 927 ASHA for expanded package of services 
</t>
    </r>
    <r>
      <rPr>
        <b/>
        <sz val="11"/>
        <rFont val="Calibri"/>
        <family val="2"/>
      </rPr>
      <t>IEC &amp; PRINTING- 1L</t>
    </r>
    <r>
      <rPr>
        <sz val="11"/>
        <rFont val="Calibri"/>
        <family val="2"/>
      </rPr>
      <t xml:space="preserve"> 
Designing, Printing and installation of posters, banners in all District &amp; Thaluk level Hospitals and HWCs regarding eSanjeevani.  </t>
    </r>
  </si>
  <si>
    <r>
      <rPr>
        <b/>
        <sz val="11"/>
        <rFont val="Calibri"/>
        <family val="2"/>
      </rPr>
      <t>Training</t>
    </r>
    <r>
      <rPr>
        <sz val="11"/>
        <rFont val="Calibri"/>
        <family val="2"/>
      </rPr>
      <t xml:space="preserve">
6 training cum review meeting for each district for Monitoring &amp; Evaluation @unit cost of 20000/- Planning and M&amp;E-
1. PMU Trainings, DAP, Audit fees, mobility support, other overhead expenses
2.District level review meeting on national programmes based on key deliverables @unit cost 20000/- per quarter ie, Rs 80000/- for each district
District  review mission  on alternate months at district level @unit cost 20000/- bimonthly for each district ie, 1.2 Lakh for each district
</t>
    </r>
    <r>
      <rPr>
        <b/>
        <sz val="11"/>
        <rFont val="Calibri"/>
        <family val="2"/>
      </rPr>
      <t>The District to ensure that the budget approved under this head should not be utilised for construction/renovation/repair activities, engaging HR and purchasing vehicles</t>
    </r>
    <r>
      <rPr>
        <sz val="11"/>
        <rFont val="Calibri"/>
        <family val="2"/>
      </rPr>
      <t xml:space="preserve">.  </t>
    </r>
  </si>
  <si>
    <r>
      <rPr>
        <b/>
        <sz val="11"/>
        <rFont val="Calibri"/>
        <family val="2"/>
      </rPr>
      <t xml:space="preserve">OOC- Untied Funds </t>
    </r>
    <r>
      <rPr>
        <sz val="11"/>
        <rFont val="Calibri"/>
        <family val="2"/>
      </rPr>
      <t xml:space="preserve">
2 DH/GH @ Rs.250000/- 
5 SDH @ Rs.1,00,000/-  
6 CHC @ Rs.75000/- 
40 PHC @ Rs.50000/-
247 subcentre @ Rs.10000/- 
777 VHSC @ Rs.10000/-</t>
    </r>
  </si>
  <si>
    <r>
      <rPr>
        <b/>
        <sz val="11"/>
        <rFont val="Calibri"/>
        <family val="2"/>
      </rPr>
      <t>OOC- Tribal camps</t>
    </r>
    <r>
      <rPr>
        <sz val="11"/>
        <rFont val="Calibri"/>
        <family val="2"/>
      </rPr>
      <t xml:space="preserve">
Single MO Camps -4@ Rs.3000/-, Specialist camps-5@15000/-, Health Class-4@1500/-, Health Club-5@10000/-, TMMU -4@Rs.3000/-</t>
    </r>
  </si>
  <si>
    <r>
      <rPr>
        <b/>
        <sz val="11"/>
        <rFont val="Calibri"/>
        <family val="2"/>
      </rPr>
      <t>Drugs and Diagnostics</t>
    </r>
    <r>
      <rPr>
        <sz val="11"/>
        <rFont val="Calibri"/>
        <family val="2"/>
      </rPr>
      <t>: Total estimated delivery is 10371. it is assumed 15% sick and 1556 cases budgeted for drugs and diagnostics @ Rs.200/- each</t>
    </r>
  </si>
  <si>
    <r>
      <rPr>
        <b/>
        <sz val="11"/>
        <rFont val="Calibri"/>
        <family val="2"/>
      </rPr>
      <t xml:space="preserve">OOC </t>
    </r>
    <r>
      <rPr>
        <sz val="11"/>
        <rFont val="Calibri"/>
        <family val="2"/>
      </rPr>
      <t xml:space="preserve">: 1556 cases budgeted for transport @ Rs.500/- </t>
    </r>
  </si>
  <si>
    <r>
      <rPr>
        <b/>
        <sz val="11"/>
        <rFont val="Calibri"/>
        <family val="2"/>
      </rPr>
      <t>Capacity Building -Training</t>
    </r>
    <r>
      <rPr>
        <sz val="11"/>
        <rFont val="Calibri"/>
        <family val="2"/>
      </rPr>
      <t xml:space="preserve"> - for 1) 4 days hybrid (1 day + 3 days online) training of MOs @Rs 70000/ batch (40 Nos.) - Rs 0.70 L
  2) AFHS 3 hybrid (1 day + 2 days online) training of ANM/LHV/MPW/other healthworkers @Rs. 50000/ batch (40 Nos.) - Rs 0.50 L
</t>
    </r>
    <r>
      <rPr>
        <b/>
        <sz val="11"/>
        <rFont val="Calibri"/>
        <family val="2"/>
      </rPr>
      <t xml:space="preserve"> OOC</t>
    </r>
    <r>
      <rPr>
        <sz val="11"/>
        <rFont val="Calibri"/>
        <family val="2"/>
      </rPr>
      <t xml:space="preserve"> - 1) Operating expenses for AH/RKSK clinics: AH/RKSK centre Rs. 12000/centre * no of AFHCs (KLM-5 AFHC ) - 0.60 L
 2) Mobility support to counsellors for conducting 8 outreach session / month for 12 months @Rs.400/session. (KLM 5 counsellors) - 1.92 L
3) As communication support to 94 GOI AH counsellors @ Rs.250 /month for 12 months. ie 2.82 L ( 5 * 250 *12 ) - .15 L
4) Bi-annual district level convergence workshop under RKSK - Rs 5000/batch ie 5000*2 = Rs 0.100 L
</t>
    </r>
    <r>
      <rPr>
        <b/>
        <sz val="11"/>
        <rFont val="Calibri"/>
        <family val="2"/>
      </rPr>
      <t xml:space="preserve"> IEC &amp; Printing</t>
    </r>
    <r>
      <rPr>
        <sz val="11"/>
        <rFont val="Calibri"/>
        <family val="2"/>
      </rPr>
      <t xml:space="preserve"> : For printing of various IEC materials for use in the AFHCs and by counsellors -Rs 0.25 L
</t>
    </r>
  </si>
  <si>
    <r>
      <rPr>
        <b/>
        <sz val="11"/>
        <rFont val="Calibri"/>
        <family val="2"/>
      </rPr>
      <t>Capacity building incl. training</t>
    </r>
    <r>
      <rPr>
        <sz val="11"/>
        <rFont val="Calibri"/>
        <family val="2"/>
      </rPr>
      <t xml:space="preserve">
WIFS trainings (block level) , 1 batch (40 nos. ) @Rs.5000/) * No. of health blocks (KLM-16)</t>
    </r>
  </si>
  <si>
    <r>
      <rPr>
        <b/>
        <sz val="11"/>
        <rFont val="Calibri"/>
        <family val="2"/>
      </rPr>
      <t>Capacity Building - Training</t>
    </r>
    <r>
      <rPr>
        <sz val="11"/>
        <rFont val="Calibri"/>
        <family val="2"/>
      </rPr>
      <t xml:space="preserve"> : 1) Training (6 days ) of New Peer Educator (BLOCK LELVEL). (KLM-200 (5 Batch) @70000/batch
 ASHA Incentives : Incentive for AH/RKSK Services - ASHA Incentive for mobilizing adolescents and community for AHWD . (Rs.200/- * 4 ASHAs * 4 AHWDs/year * No. of blocks) -0.16 L
</t>
    </r>
    <r>
      <rPr>
        <b/>
        <sz val="11"/>
        <rFont val="Calibri"/>
        <family val="2"/>
      </rPr>
      <t xml:space="preserve"> OOC</t>
    </r>
    <r>
      <rPr>
        <sz val="11"/>
        <rFont val="Calibri"/>
        <family val="2"/>
      </rPr>
      <t xml:space="preserve"> - 1) Organising monthly Adolescent Friendly Club meetings at subcentre level Rs. 500* no of blocks*5 subcentre*12 AFC meetings/FY ( KLM-5) -1.50 L
 2)(Community Intervention for AH Services) Incentives for Peer Educators Rs 50/month* 12 months*no of PEs (KLM -800) -4.80 L
 3) Organizing Adolescent Health &amp; Wellness day Rs. 2500* No. of selected blocks*4 AHWD/FY( KLM -5) - 0.50
</t>
    </r>
    <r>
      <rPr>
        <b/>
        <sz val="11"/>
        <rFont val="Calibri"/>
        <family val="2"/>
      </rPr>
      <t xml:space="preserve"> IEC &amp; Printing</t>
    </r>
    <r>
      <rPr>
        <sz val="11"/>
        <rFont val="Calibri"/>
        <family val="2"/>
      </rPr>
      <t xml:space="preserve"> : PE Kit and PE Diary @ Rs 350/PE kit &amp; diary * no of New Peers entering 8th STD. (KLM-200) -0.70 L</t>
    </r>
  </si>
  <si>
    <r>
      <rPr>
        <b/>
        <sz val="11"/>
        <rFont val="Calibri"/>
        <family val="2"/>
      </rPr>
      <t xml:space="preserve"> Capacity building including Training</t>
    </r>
    <r>
      <rPr>
        <sz val="11"/>
        <rFont val="Calibri"/>
        <family val="2"/>
      </rPr>
      <t xml:space="preserve"> -Organising 2 district level coordination and dissemination workshop for RKSK and AB_SHWP @Rs 5460/workshop ie 5460*2 = 0.109 L 
 IEC &amp; Printing 
 For printing of AFHC forms for AFHCs @2000/AFHCs (KLM-5) 
 For printing of AFHS Training manuals for MO, ANM Counsellors and Training manuals for PE training @ Rs 200 / manual for all Dist (160 nos/Dist)
AH- IEC  -1.7L Activity Breakup is attached herewith </t>
    </r>
  </si>
  <si>
    <r>
      <rPr>
        <b/>
        <sz val="11"/>
        <rFont val="Calibri"/>
        <family val="2"/>
      </rPr>
      <t xml:space="preserve">
Others including operating costs(OOC)  Rs.3.6 Lakhs  </t>
    </r>
    <r>
      <rPr>
        <sz val="11"/>
        <rFont val="Calibri"/>
        <family val="2"/>
      </rPr>
      <t xml:space="preserve"> Incentives for Peer Educators under NVHCP  Rs 10,000/- per month (We already have 3 TCs at  District Hospital Kollam, THQH Punalur, Kollam &amp; Govt Medical College Kollam)                                                                                                                                                                                                                                                                                                                                                                                                                                                
                </t>
    </r>
  </si>
  <si>
    <r>
      <rPr>
        <b/>
        <u/>
        <sz val="11"/>
        <rFont val="Calibri"/>
        <family val="2"/>
      </rPr>
      <t>Drugs and supplies</t>
    </r>
    <r>
      <rPr>
        <b/>
        <sz val="11"/>
        <rFont val="Calibri"/>
        <family val="2"/>
      </rPr>
      <t xml:space="preserve">
Management of HAV and HEV patients – budgeted @ Rs 50000/-  per district for necessary investigations, sample transportation and supportive treatment.
Others including operating costs(OOC) Rs. 1.5 Lakhs -</t>
    </r>
    <r>
      <rPr>
        <sz val="11"/>
        <rFont val="Calibri"/>
        <family val="2"/>
      </rPr>
      <t xml:space="preserve"> </t>
    </r>
    <r>
      <rPr>
        <b/>
        <sz val="11"/>
        <rFont val="Calibri"/>
        <family val="2"/>
      </rPr>
      <t xml:space="preserve"> Rs: 0.5 </t>
    </r>
    <r>
      <rPr>
        <sz val="11"/>
        <rFont val="Calibri"/>
        <family val="2"/>
      </rPr>
      <t xml:space="preserve">Lakh each for TCs (District Hospital Kollam, THQH Punalur, Kollam &amp; Govt Medical College Kollam)  - Meeting Costs/Office expenses/Contingency/Management of Hep A &amp; E as  Cash Grant  </t>
    </r>
  </si>
  <si>
    <r>
      <t xml:space="preserve">IEC &amp; PRINTING- 1.73 L (Activity breakup details attached) </t>
    </r>
    <r>
      <rPr>
        <b/>
        <sz val="11"/>
        <rFont val="Calibri"/>
        <family val="2"/>
      </rPr>
      <t>Planning and M&amp;E</t>
    </r>
    <r>
      <rPr>
        <sz val="11"/>
        <rFont val="Calibri"/>
        <family val="2"/>
      </rPr>
      <t xml:space="preserve">
10 HMIS / RCH training cum review meeting @ unit cost 10000/- at District level 
2 HMIS / RCH training cum review meeting per health Block @ unit cost 10000/- -16 blocks 
SRRE  Rs. 35000/-  internet annual user fee for ( 4UPHCs implemented ehealth)</t>
    </r>
  </si>
  <si>
    <r>
      <rPr>
        <b/>
        <sz val="11"/>
        <rFont val="Calibri"/>
        <family val="2"/>
      </rPr>
      <t xml:space="preserve">OOC- Tribal camps </t>
    </r>
    <r>
      <rPr>
        <sz val="11"/>
        <rFont val="Calibri"/>
        <family val="2"/>
      </rPr>
      <t xml:space="preserve">
Single MO Camps -1@ Rs.3000/-, Specialist camps-2@15000/-, Health Class-2@1500/-, Health Club-2@10000/-, TMMU -1@Rs.3000/-</t>
    </r>
  </si>
  <si>
    <r>
      <rPr>
        <b/>
        <sz val="11"/>
        <rFont val="Calibri"/>
        <family val="2"/>
      </rPr>
      <t>Drugs and Diagnostics</t>
    </r>
    <r>
      <rPr>
        <sz val="11"/>
        <rFont val="Calibri"/>
        <family val="2"/>
      </rPr>
      <t>: Total estimated delivery is 8109. it is assumed 15% sick and 1216 cases budgeted for drugs and diagnostics @ Rs.200/- each</t>
    </r>
  </si>
  <si>
    <r>
      <rPr>
        <b/>
        <sz val="11"/>
        <rFont val="Calibri"/>
        <family val="2"/>
      </rPr>
      <t xml:space="preserve">OOC </t>
    </r>
    <r>
      <rPr>
        <sz val="11"/>
        <rFont val="Calibri"/>
        <family val="2"/>
      </rPr>
      <t xml:space="preserve">: 1216 cases budgeted for transport @ Rs.500/- </t>
    </r>
  </si>
  <si>
    <r>
      <rPr>
        <b/>
        <sz val="11"/>
        <rFont val="Calibri"/>
        <family val="2"/>
      </rPr>
      <t>Capacity Building -Training</t>
    </r>
    <r>
      <rPr>
        <sz val="11"/>
        <rFont val="Calibri"/>
        <family val="2"/>
      </rPr>
      <t xml:space="preserve"> - for 1) 4 days hybrid (1 day + 3 days online) training of MOs @Rs 70000/ batch (40 Nos.) - Rs 0.70 L
  2) AFHS 3 hybrid (1 day + 2 days online) training of ANM/LHV/MPW/other healthworkers @Rs. 50000/ batch (40 Nos.) - Rs 0.50 L
</t>
    </r>
    <r>
      <rPr>
        <b/>
        <sz val="11"/>
        <rFont val="Calibri"/>
        <family val="2"/>
      </rPr>
      <t xml:space="preserve"> OOC</t>
    </r>
    <r>
      <rPr>
        <sz val="11"/>
        <rFont val="Calibri"/>
        <family val="2"/>
      </rPr>
      <t xml:space="preserve"> - 1) Operating expenses for AH/RKSK clinics: AH/RKSK centre Rs. 12000/centre * no of AFHCs (KTM-4 AFHC ) - 0.48 L
 2) Mobility support to counsellors for conducting 8 outreach session / month for 12 months @Rs.400/session. (KTM-4 counsellors) - 1.54 L
3) As communication support to 94 GOI AH counsellors @ Rs.250 /month for 12 months. ie 2.82 L ( 4 * 250 *12 ) - .12 L
4) Bi-annual district level convergence workshop under RKSK - Rs 5000/batch ie 5000*2 = Rs 0.100 L
</t>
    </r>
    <r>
      <rPr>
        <b/>
        <sz val="11"/>
        <rFont val="Calibri"/>
        <family val="2"/>
      </rPr>
      <t xml:space="preserve"> IEC &amp; Printing</t>
    </r>
    <r>
      <rPr>
        <sz val="11"/>
        <rFont val="Calibri"/>
        <family val="2"/>
      </rPr>
      <t xml:space="preserve"> : For printing of various IEC materials for use in the AFHCs and by counsellors -Rs 0.25 L
</t>
    </r>
  </si>
  <si>
    <r>
      <rPr>
        <b/>
        <sz val="11"/>
        <rFont val="Calibri"/>
        <family val="2"/>
      </rPr>
      <t>Capacity Building - Training</t>
    </r>
    <r>
      <rPr>
        <sz val="11"/>
        <rFont val="Calibri"/>
        <family val="2"/>
      </rPr>
      <t xml:space="preserve"> : 1) Training (6 days ) of New Peer Educator in all districts (BLOCK LELVEL). (KTM-200 (5 Batch) @70000/-
 ASHA Incentives : Incentive for AH/RKSK Services - ASHA Incentive for mobilizing adolescents and community for AHWD . (Rs.200/- * 4 ASHAs * 4 AHWDs/year * No. of blocks) - 0.13 L
</t>
    </r>
    <r>
      <rPr>
        <b/>
        <sz val="11"/>
        <rFont val="Calibri"/>
        <family val="2"/>
      </rPr>
      <t xml:space="preserve"> OOC</t>
    </r>
    <r>
      <rPr>
        <sz val="11"/>
        <rFont val="Calibri"/>
        <family val="2"/>
      </rPr>
      <t xml:space="preserve"> - 1) Organising monthly Adolescent Friendly Club meetings at subcentre level Rs. 500* no of blocks*5 subcentre*12 AFC meetings/FY ( KTM-4) -1.20 L
 2)Community Intervention for AH Services) Incentives for Peer Educators Rs 50/month* 12 months*no of PEs (KTM -800) -4.80 L
 3) Organizing Adolescent Health &amp; Wellness day Rs. 2500* No. of selected blocks*4 AHWD/FY( KTM -4) - 0.40
</t>
    </r>
    <r>
      <rPr>
        <b/>
        <sz val="11"/>
        <rFont val="Calibri"/>
        <family val="2"/>
      </rPr>
      <t xml:space="preserve"> IEC &amp; Printing</t>
    </r>
    <r>
      <rPr>
        <sz val="11"/>
        <rFont val="Calibri"/>
        <family val="2"/>
      </rPr>
      <t xml:space="preserve"> : PE Kit and PE Diary @ Rs 350/PE kit &amp; diary * no of New Peers entering 8th STD. (KTM-200) -0.70 L</t>
    </r>
  </si>
  <si>
    <r>
      <rPr>
        <b/>
        <sz val="11"/>
        <rFont val="Calibri"/>
        <family val="2"/>
      </rPr>
      <t xml:space="preserve"> Capacity building including Training</t>
    </r>
    <r>
      <rPr>
        <sz val="11"/>
        <rFont val="Calibri"/>
        <family val="2"/>
      </rPr>
      <t xml:space="preserve"> -Organising 2 district level coordination and dissemination workshop for RKSK and AB_SHWP @Rs 5460/workshop ie 5460*2 = 0.109 L 
</t>
    </r>
    <r>
      <rPr>
        <b/>
        <sz val="11"/>
        <rFont val="Calibri"/>
        <family val="2"/>
      </rPr>
      <t xml:space="preserve"> IEC &amp; Printing </t>
    </r>
    <r>
      <rPr>
        <sz val="11"/>
        <rFont val="Calibri"/>
        <family val="2"/>
      </rPr>
      <t xml:space="preserve">
 For printing of AFHC forms for AFHCs @2000/AFHCs (KTM-4) Rs .08 L
 For printing of AFHS Training manuals for MO, ANM Counsellors and Training manuals for PE training @ Rs 200 / manual for all Dist (160 nos/Dist) - Rs 0.32 L
AH- IEC &amp; PRINTING -1.75L Activity Breakup is attached herewith</t>
    </r>
  </si>
  <si>
    <r>
      <rPr>
        <b/>
        <sz val="11"/>
        <rFont val="Calibri"/>
        <family val="2"/>
      </rPr>
      <t>DBT-</t>
    </r>
    <r>
      <rPr>
        <sz val="11"/>
        <rFont val="Calibri"/>
        <family val="2"/>
      </rPr>
      <t xml:space="preserve">Female Public   BPL/SC/ST Sterilization 298 cases@  Rs 1000 per case .
APL  sterilization 893 cases @ Rs. 650 per case 
</t>
    </r>
    <r>
      <rPr>
        <b/>
        <sz val="11"/>
        <rFont val="Calibri"/>
        <family val="2"/>
      </rPr>
      <t>Training</t>
    </r>
    <r>
      <rPr>
        <sz val="11"/>
        <rFont val="Calibri"/>
        <family val="2"/>
      </rPr>
      <t>- Rs 110000 for Laproscopic sterilization(12 days training for 3 participants)</t>
    </r>
  </si>
  <si>
    <r>
      <t xml:space="preserve">
</t>
    </r>
    <r>
      <rPr>
        <b/>
        <sz val="11"/>
        <rFont val="Calibri"/>
        <family val="2"/>
      </rPr>
      <t>1.DBT</t>
    </r>
    <r>
      <rPr>
        <sz val="11"/>
        <rFont val="Calibri"/>
        <family val="2"/>
      </rPr>
      <t xml:space="preserve">
a. Internal IUCD insertion 1678 cases @ Rs 20/beneficiary
b.PPIUCD insertion 101 cases @ Rs 300/beneficiary
c.PAIUCD insertion 1 cases @ Rs 300/beneficiary
</t>
    </r>
    <r>
      <rPr>
        <b/>
        <sz val="11"/>
        <rFont val="Calibri"/>
        <family val="2"/>
      </rPr>
      <t>2. Training</t>
    </r>
    <r>
      <rPr>
        <sz val="11"/>
        <rFont val="Calibri"/>
        <family val="2"/>
      </rPr>
      <t xml:space="preserve">- IUCD training for Medical officers 2 batches @Rs 37500/batch (5 days training with 10 participants)
</t>
    </r>
    <r>
      <rPr>
        <b/>
        <sz val="11"/>
        <rFont val="Calibri"/>
        <family val="2"/>
      </rPr>
      <t>3.ASHA Incentive</t>
    </r>
    <r>
      <rPr>
        <sz val="11"/>
        <rFont val="Calibri"/>
        <family val="2"/>
      </rPr>
      <t xml:space="preserve">
a.PPIUCD insertion 101 cases @ Rs 150/beneficiary
c.PAIUCD insertion 1  cases @ Rs 150/beneficiary</t>
    </r>
  </si>
  <si>
    <r>
      <rPr>
        <b/>
        <u/>
        <sz val="11"/>
        <rFont val="Calibri"/>
        <family val="2"/>
      </rPr>
      <t>Drugs and supplies</t>
    </r>
    <r>
      <rPr>
        <b/>
        <sz val="11"/>
        <rFont val="Calibri"/>
        <family val="2"/>
      </rPr>
      <t xml:space="preserve">
Management of HAV and HEV patients – budgeted @ Rs 50000/-  per district for necessary investigations, sample transportation and supportive treatment.
Others including operating costs(OOC) Rs. 1 Lakhs -</t>
    </r>
    <r>
      <rPr>
        <sz val="11"/>
        <rFont val="Calibri"/>
        <family val="2"/>
      </rPr>
      <t xml:space="preserve"> </t>
    </r>
    <r>
      <rPr>
        <b/>
        <sz val="11"/>
        <rFont val="Calibri"/>
        <family val="2"/>
      </rPr>
      <t>Rs. 0.5 Lakhs</t>
    </r>
    <r>
      <rPr>
        <sz val="11"/>
        <rFont val="Calibri"/>
        <family val="2"/>
      </rPr>
      <t xml:space="preserve">  each for 2 TCs ( Govt Medical College Kottayam  &amp; General Hospital Kottayam)  - Meeting Costs/Office expenses/Contingency/Management of Hep A &amp; E as Cash Grant</t>
    </r>
  </si>
  <si>
    <r>
      <rPr>
        <b/>
        <sz val="11"/>
        <rFont val="Calibri"/>
        <family val="2"/>
      </rPr>
      <t xml:space="preserve">Training :  Rs. 1 Lakhs </t>
    </r>
    <r>
      <rPr>
        <sz val="11"/>
        <rFont val="Calibri"/>
        <family val="2"/>
      </rPr>
      <t xml:space="preserve">per training Medical Officers, Staff Nurse, ASHA ANM &amp; other Health care workers. 
</t>
    </r>
    <r>
      <rPr>
        <b/>
        <sz val="11"/>
        <rFont val="Calibri"/>
        <family val="2"/>
      </rPr>
      <t>IEC &amp; Printing Rs.1.50 lakhs</t>
    </r>
    <r>
      <rPr>
        <sz val="11"/>
        <rFont val="Calibri"/>
        <family val="2"/>
      </rPr>
      <t xml:space="preserve">
</t>
    </r>
    <r>
      <rPr>
        <b/>
        <sz val="11"/>
        <rFont val="Calibri"/>
        <family val="2"/>
      </rPr>
      <t>Planning &amp; M &amp; E - Rs.05 Lakhs</t>
    </r>
    <r>
      <rPr>
        <sz val="11"/>
        <rFont val="Calibri"/>
        <family val="2"/>
      </rPr>
      <t xml:space="preserve">
Supervision and Monitoring activities </t>
    </r>
  </si>
  <si>
    <r>
      <rPr>
        <b/>
        <sz val="11"/>
        <rFont val="Calibri"/>
        <family val="2"/>
      </rPr>
      <t>Capacity Buidling 11 lakhs</t>
    </r>
    <r>
      <rPr>
        <sz val="11"/>
        <rFont val="Calibri"/>
        <family val="2"/>
      </rPr>
      <t xml:space="preserve">
Rs.6.60 lakhs for 3 batch @0.55  lakhs per batch of 100, on a quarterly basis for refresher training of MLSPs
Rs. 4.4 lakhs @0.40 lakhs per batch for 11 batches for SHC-HWC  team building training. 
</t>
    </r>
    <r>
      <rPr>
        <b/>
        <sz val="11"/>
        <rFont val="Calibri"/>
        <family val="2"/>
      </rPr>
      <t>ASHA Incentives</t>
    </r>
    <r>
      <rPr>
        <sz val="11"/>
        <rFont val="Calibri"/>
        <family val="2"/>
      </rPr>
      <t xml:space="preserve"> Rs.183.24 lakhs @ Rs.1000/- per month for 1527 ASHA for expanded package of services 
</t>
    </r>
    <r>
      <rPr>
        <b/>
        <sz val="11"/>
        <rFont val="Calibri"/>
        <family val="2"/>
      </rPr>
      <t>IEC &amp; PRINTING- 1L</t>
    </r>
    <r>
      <rPr>
        <sz val="11"/>
        <rFont val="Calibri"/>
        <family val="2"/>
      </rPr>
      <t xml:space="preserve"> 
Designing, Printing and installation of posters, banners in all District &amp; Thaluk level Hospitals and HWCs regarding eSanjeevani.  </t>
    </r>
  </si>
  <si>
    <r>
      <t xml:space="preserve">    </t>
    </r>
    <r>
      <rPr>
        <b/>
        <sz val="11"/>
        <rFont val="Calibri"/>
        <family val="2"/>
      </rPr>
      <t xml:space="preserve"> Capacity building incl. training  - 27.25 L</t>
    </r>
    <r>
      <rPr>
        <sz val="11"/>
        <rFont val="Calibri"/>
        <family val="2"/>
      </rPr>
      <t xml:space="preserve">
Induction training to ASHA@Rs. 74750 per batch of 30 ASHA for Rs. .747 L
ASHA 10th Module training @ Rs. 1533 per one ASHA for 1527 ASHA  23.40  L
Supplementary  training to ASHA - One ASHA from one institution per month @ Rs. 300 per ASHA for 86 ASHA's -  3.09  L.
</t>
    </r>
    <r>
      <rPr>
        <b/>
        <sz val="11"/>
        <rFont val="Calibri"/>
        <family val="2"/>
      </rPr>
      <t xml:space="preserve">ASHA incentives – 395.88  L </t>
    </r>
    <r>
      <rPr>
        <sz val="11"/>
        <rFont val="Calibri"/>
        <family val="2"/>
      </rPr>
      <t xml:space="preserve">
ASHA fixed incentive @Rs. 2000 per month for 1527 ASHAs  Rs. 366.48  L 
Incentive for monthly review meeting @Rs.100 per month for 1527 ASHAs  Rs.  18.32  L 
Social Security Insurance packages for ASHA - PMJJBY @ Rs.436 for 590 ASHA of  Rs. 2.5  L , PMSBY @Rs. 20 for 859  ASHA Rs . 17  L,  PMSYM @Rs.100 per month for 694 ASHAs Rs. 8.32  L . Total  10.84  L.
</t>
    </r>
    <r>
      <rPr>
        <b/>
        <sz val="11"/>
        <rFont val="Calibri"/>
        <family val="2"/>
      </rPr>
      <t>OOC  - 37.43 L</t>
    </r>
    <r>
      <rPr>
        <sz val="11"/>
        <rFont val="Calibri"/>
        <family val="2"/>
      </rPr>
      <t xml:space="preserve">
 On going expenses for Ward Health Facilitation Centres @Rs. 500 per month per ward  13 wards Rs..78  L         
Mobile allowance to ASHA @Rs. 200 per month for Rs. 36.64 L .
IEC &amp; PRINTING- 3.77L (Activity breakup details attached)                                                                      </t>
    </r>
    <r>
      <rPr>
        <b/>
        <sz val="11"/>
        <rFont val="Calibri"/>
        <family val="2"/>
      </rPr>
      <t>2025-26</t>
    </r>
    <r>
      <rPr>
        <sz val="11"/>
        <rFont val="Calibri"/>
        <family val="2"/>
      </rPr>
      <t xml:space="preserve"> Distrit ASHA SAmmelan  Rs. 2 L</t>
    </r>
  </si>
  <si>
    <r>
      <t xml:space="preserve"> </t>
    </r>
    <r>
      <rPr>
        <b/>
        <sz val="11"/>
        <rFont val="Calibri"/>
        <family val="2"/>
      </rPr>
      <t>ASHA Incentive</t>
    </r>
    <r>
      <rPr>
        <sz val="11"/>
        <rFont val="Calibri"/>
        <family val="2"/>
      </rPr>
      <t xml:space="preserve"> 
Incentive to ASHA for ABHA ID creation @ Rs. 10 for 50 ABHA ID for 1527  one ASHA @ Rs. 7.64 L                </t>
    </r>
    <r>
      <rPr>
        <b/>
        <sz val="11"/>
        <rFont val="Calibri"/>
        <family val="2"/>
      </rPr>
      <t>OCC</t>
    </r>
    <r>
      <rPr>
        <sz val="11"/>
        <rFont val="Calibri"/>
        <family val="2"/>
      </rPr>
      <t xml:space="preserve">
Incentive for TG Link Workers @ Rs. 5000 per month @ Rs. 1.20 L &amp;  for 2025-26 Incentive for TG Link Workers @ Rs. 5250 per month
IEC &amp; PRINTING- 1L (Activity breakup details attached)   </t>
    </r>
  </si>
  <si>
    <r>
      <rPr>
        <b/>
        <sz val="11"/>
        <rFont val="Calibri"/>
        <family val="2"/>
      </rPr>
      <t xml:space="preserve">OOC- Untied Funds </t>
    </r>
    <r>
      <rPr>
        <sz val="11"/>
        <rFont val="Calibri"/>
        <family val="2"/>
      </rPr>
      <t xml:space="preserve">
4 DH/GH @ Rs.250000/- 
3 SDH @ Rs.1,00,000/-  
20 CHC @ Rs.75000/- 
55 PHC @ Rs.50000/-
333 subcentre @ Rs.10000/- 
1344 VHSC @ Rs.10000/-</t>
    </r>
  </si>
  <si>
    <r>
      <rPr>
        <b/>
        <sz val="11"/>
        <rFont val="Calibri"/>
        <family val="2"/>
      </rPr>
      <t xml:space="preserve">OOC- Tribal camps </t>
    </r>
    <r>
      <rPr>
        <sz val="11"/>
        <rFont val="Calibri"/>
        <family val="2"/>
      </rPr>
      <t xml:space="preserve">
Single MO Camps -10@ Rs.3000/-, Specialist camps-6@15000/-, Health Class-5@1500/-, Health Club-3@10000/-, TMMU -20@Rs.3000/-</t>
    </r>
  </si>
  <si>
    <r>
      <rPr>
        <b/>
        <sz val="11"/>
        <rFont val="Calibri"/>
        <family val="2"/>
      </rPr>
      <t>Drugs and Diagnostics</t>
    </r>
    <r>
      <rPr>
        <sz val="11"/>
        <rFont val="Calibri"/>
        <family val="2"/>
      </rPr>
      <t>: Total estimated delivery is 3592. it is assumed 15% sick and 539 cases budgeted for drugs and diagnostics @ Rs.200/- each</t>
    </r>
  </si>
  <si>
    <r>
      <rPr>
        <b/>
        <sz val="11"/>
        <rFont val="Calibri"/>
        <family val="2"/>
      </rPr>
      <t xml:space="preserve">OOC </t>
    </r>
    <r>
      <rPr>
        <sz val="11"/>
        <rFont val="Calibri"/>
        <family val="2"/>
      </rPr>
      <t xml:space="preserve">: 539 cases budgeted for transport @ Rs.500/- </t>
    </r>
  </si>
  <si>
    <r>
      <rPr>
        <b/>
        <sz val="11"/>
        <rFont val="Calibri"/>
        <family val="2"/>
      </rPr>
      <t>Capacity Building -Training</t>
    </r>
    <r>
      <rPr>
        <sz val="11"/>
        <rFont val="Calibri"/>
        <family val="2"/>
      </rPr>
      <t xml:space="preserve"> - for 1) 4 days hybrid (1 day + 3 days online) training of MOs @Rs 70000/ batch (40 Nos.) - Rs 0.70 L
  2) AFHS 3 hybrid (1 day + 2 days online) training of ANM/LHV/MPW/other healthworkers @Rs. 50000/ batch (40 Nos.) - Rs 0.50 L
</t>
    </r>
    <r>
      <rPr>
        <b/>
        <sz val="11"/>
        <rFont val="Calibri"/>
        <family val="2"/>
      </rPr>
      <t xml:space="preserve"> OOC</t>
    </r>
    <r>
      <rPr>
        <sz val="11"/>
        <rFont val="Calibri"/>
        <family val="2"/>
      </rPr>
      <t xml:space="preserve"> - 1) Operating expenses for AH/RKSK clinics: AH/RKSK centre Rs. 12000/centre * no of AFHCs (IDK-8 AFHC ) - 0.96 L
 2) Mobility support to counsellors for conducting 8 outreach session / month for 12 months @Rs.400/session. (IDK-8 counsellors) - 3.07 L
3) As communication support to 94 GOI AH counsellors @ Rs.250 /month for 12 months. ie 2.82 L ( 8 * 250 *12 ) - .24 L
4) Bi-annual district level convergence workshop under RKSK - Rs 5000/batch ie 5000*2 = Rs 0.100 L
</t>
    </r>
    <r>
      <rPr>
        <b/>
        <sz val="11"/>
        <rFont val="Calibri"/>
        <family val="2"/>
      </rPr>
      <t xml:space="preserve"> IEC &amp; Printing</t>
    </r>
    <r>
      <rPr>
        <sz val="11"/>
        <rFont val="Calibri"/>
        <family val="2"/>
      </rPr>
      <t xml:space="preserve"> : For printing of various IEC materials for use in the AFHCs and by counsellors -Rs 0.25 L
</t>
    </r>
  </si>
  <si>
    <r>
      <rPr>
        <b/>
        <sz val="11"/>
        <rFont val="Calibri"/>
        <family val="2"/>
      </rPr>
      <t>Capacity Building - Training</t>
    </r>
    <r>
      <rPr>
        <sz val="11"/>
        <rFont val="Calibri"/>
        <family val="2"/>
      </rPr>
      <t xml:space="preserve"> : 1) Training (6 days ) of New Peer Educator in all districts (BLOCK LELVEL). (IDK-400 (10 Batch) @70000/-
 ASHA Incentives : Incentive for AH/RKSK Services - ASHA Incentive for mobilizing adolescents and community for AHWD . (Rs.200/- * 4 ASHAs * 4 AHWDs/year * No. of blocks) - 0.26 L
</t>
    </r>
    <r>
      <rPr>
        <b/>
        <sz val="11"/>
        <rFont val="Calibri"/>
        <family val="2"/>
      </rPr>
      <t xml:space="preserve"> OCC </t>
    </r>
    <r>
      <rPr>
        <sz val="11"/>
        <rFont val="Calibri"/>
        <family val="2"/>
      </rPr>
      <t xml:space="preserve">- 1) Organising monthly Adolescent Friendly Club meetings at subcentre level Rs. 500* no of blocks*5 subcentre*12 AFC meetings/FY ( IDK-8) -2.40 L
 2)(Community Intervention for AH Services) Incentives for Peer Educators Rs 50/month* 12 months*no of PEs (IDK -1200) - 7.20 L
 3) Organizing Adolescent Health &amp; Wellness day Rs. 2500* No. of selected blocks*4 AHWD/FY(IDK -8) - 0.80 L
</t>
    </r>
    <r>
      <rPr>
        <b/>
        <sz val="11"/>
        <rFont val="Calibri"/>
        <family val="2"/>
      </rPr>
      <t xml:space="preserve"> IEC &amp; Printing</t>
    </r>
    <r>
      <rPr>
        <sz val="11"/>
        <rFont val="Calibri"/>
        <family val="2"/>
      </rPr>
      <t xml:space="preserve"> : PE Kit and PE Diary @ Rs 350/PE kit &amp; diary * no of New Peers entering 8th STD. (IDK -400) -1.40 L</t>
    </r>
  </si>
  <si>
    <r>
      <rPr>
        <b/>
        <sz val="11"/>
        <rFont val="Calibri"/>
        <family val="2"/>
      </rPr>
      <t xml:space="preserve"> Capacity building including Training</t>
    </r>
    <r>
      <rPr>
        <sz val="11"/>
        <rFont val="Calibri"/>
        <family val="2"/>
      </rPr>
      <t xml:space="preserve"> -Organising 2 district level coordination and dissemination workshop for RKSK and AB_SHWP @Rs 5460/workshop ie 5460*2 = 0.109 L 
</t>
    </r>
    <r>
      <rPr>
        <b/>
        <sz val="11"/>
        <rFont val="Calibri"/>
        <family val="2"/>
      </rPr>
      <t xml:space="preserve"> IEC &amp; Printing</t>
    </r>
    <r>
      <rPr>
        <sz val="11"/>
        <rFont val="Calibri"/>
        <family val="2"/>
      </rPr>
      <t xml:space="preserve"> 
 For printing of AFHC forms for AFHCs @2000/AFHCs (IDK-8) Rs .16 L
 For printing of AFHS Training manuals for MO, ANM Counsellors and Training manuals for PE training @ Rs 200 / manual for all Dist (160 nos/Dist) - Rs 0.32 L
AH- IEC &amp; PRINTING -2.35L Activity Breakup is attached herewith </t>
    </r>
  </si>
  <si>
    <r>
      <rPr>
        <b/>
        <sz val="11"/>
        <rFont val="Calibri"/>
        <family val="2"/>
      </rPr>
      <t>DBT-</t>
    </r>
    <r>
      <rPr>
        <sz val="11"/>
        <rFont val="Calibri"/>
        <family val="2"/>
      </rPr>
      <t xml:space="preserve">Female Public   BPL/SC/ST Sterilization 122 cases@  Rs 1000 per case .
APL  sterilization 366 cases @ Rs. 650 per case 
</t>
    </r>
    <r>
      <rPr>
        <b/>
        <sz val="11"/>
        <rFont val="Calibri"/>
        <family val="2"/>
      </rPr>
      <t>Training</t>
    </r>
    <r>
      <rPr>
        <sz val="11"/>
        <rFont val="Calibri"/>
        <family val="2"/>
      </rPr>
      <t>- Rs 110000 for Laproscopic sterilization(12 days training for 3 participants)</t>
    </r>
  </si>
  <si>
    <r>
      <t xml:space="preserve">
</t>
    </r>
    <r>
      <rPr>
        <b/>
        <sz val="11"/>
        <rFont val="Calibri"/>
        <family val="2"/>
      </rPr>
      <t>1.DBT</t>
    </r>
    <r>
      <rPr>
        <sz val="11"/>
        <rFont val="Calibri"/>
        <family val="2"/>
      </rPr>
      <t xml:space="preserve">
a. Internal IUCD insertion 904 cases @ Rs 20/beneficiary
b.PPIUCD insertion 7 cases @ Rs 300/beneficiary
</t>
    </r>
    <r>
      <rPr>
        <b/>
        <sz val="11"/>
        <rFont val="Calibri"/>
        <family val="2"/>
      </rPr>
      <t>2. Training</t>
    </r>
    <r>
      <rPr>
        <sz val="11"/>
        <rFont val="Calibri"/>
        <family val="2"/>
      </rPr>
      <t xml:space="preserve">- IUCD training for Medical officers 1 batches @Rs 37500/batch (5 days training with 10 participants)
</t>
    </r>
    <r>
      <rPr>
        <b/>
        <sz val="11"/>
        <rFont val="Calibri"/>
        <family val="2"/>
      </rPr>
      <t>3.ASHA Incentive</t>
    </r>
    <r>
      <rPr>
        <sz val="11"/>
        <rFont val="Calibri"/>
        <family val="2"/>
      </rPr>
      <t xml:space="preserve">
a.PPIUCD insertion 7cases @ Rs 150/beneficiary
</t>
    </r>
  </si>
  <si>
    <r>
      <rPr>
        <b/>
        <sz val="11"/>
        <rFont val="Calibri"/>
        <family val="2"/>
      </rPr>
      <t>Others including operating costs(OOC) Rs.3.6 Lakhs</t>
    </r>
    <r>
      <rPr>
        <sz val="11"/>
        <rFont val="Calibri"/>
        <family val="2"/>
      </rPr>
      <t xml:space="preserve"> Incentives for Peer Educators under NVHCP Rs 10,000/- per month (We already have 3 TCs at District Hospital Thodupuzha, General Hospital, Adimaly &amp;Govt Medical College Idukki)   
</t>
    </r>
  </si>
  <si>
    <r>
      <rPr>
        <b/>
        <u/>
        <sz val="11"/>
        <rFont val="Calibri"/>
        <family val="2"/>
      </rPr>
      <t>Drugs and supplies</t>
    </r>
    <r>
      <rPr>
        <sz val="11"/>
        <rFont val="Calibri"/>
        <family val="2"/>
      </rPr>
      <t xml:space="preserve">
Management of HAV and HEV patients – budgeted @ Rs 50000/-  per district for necessary investigations, sample transportation and supportive treatment.
</t>
    </r>
    <r>
      <rPr>
        <b/>
        <sz val="11"/>
        <rFont val="Calibri"/>
        <family val="2"/>
      </rPr>
      <t>Others including operating costs(OOC) Rs. 1.5 Lakhs -</t>
    </r>
    <r>
      <rPr>
        <sz val="11"/>
        <rFont val="Calibri"/>
        <family val="2"/>
      </rPr>
      <t xml:space="preserve"> Rs: 0.5 Lakh each for TCs District Hospital Thodupuzha, General Hospital, Adimaly &amp;Govt Medical College Idukki)  - Meeting Costs/Office expenses/Contingency/Management of Hep A &amp; E as Cash Grant</t>
    </r>
  </si>
  <si>
    <r>
      <rPr>
        <b/>
        <sz val="11"/>
        <rFont val="Calibri"/>
        <family val="2"/>
      </rPr>
      <t xml:space="preserve">Training :  Rs. 1 Lakhs </t>
    </r>
    <r>
      <rPr>
        <sz val="11"/>
        <rFont val="Calibri"/>
        <family val="2"/>
      </rPr>
      <t xml:space="preserve">per training Medical Officers, Staff Nurse, ASHA ANM &amp; other Health care workers. 
</t>
    </r>
    <r>
      <rPr>
        <b/>
        <sz val="11"/>
        <rFont val="Calibri"/>
        <family val="2"/>
      </rPr>
      <t xml:space="preserve">
IEC &amp; Printing Rs.1.50 lakhs</t>
    </r>
    <r>
      <rPr>
        <sz val="11"/>
        <rFont val="Calibri"/>
        <family val="2"/>
      </rPr>
      <t xml:space="preserve">
</t>
    </r>
    <r>
      <rPr>
        <b/>
        <sz val="11"/>
        <rFont val="Calibri"/>
        <family val="2"/>
      </rPr>
      <t>Planning &amp; M &amp; E - Rs.05 Lakhs</t>
    </r>
    <r>
      <rPr>
        <sz val="11"/>
        <rFont val="Calibri"/>
        <family val="2"/>
      </rPr>
      <t xml:space="preserve">
Supervision and Monitoring activities </t>
    </r>
  </si>
  <si>
    <r>
      <rPr>
        <b/>
        <sz val="11"/>
        <rFont val="Calibri"/>
        <family val="2"/>
      </rPr>
      <t>Capacity Buidling 9.80 lakhs</t>
    </r>
    <r>
      <rPr>
        <sz val="11"/>
        <rFont val="Calibri"/>
        <family val="2"/>
      </rPr>
      <t xml:space="preserve">
Rs.6.6 lakhs for 3 batch @0.55  lakhs per batch of 100, on a quarterly basis for refresher training of MLSPs
Rs. 3.2 lakhs @0.40 lakhs per batch for 8 batches for SHC-HWC  team building training. 
</t>
    </r>
    <r>
      <rPr>
        <b/>
        <sz val="11"/>
        <rFont val="Calibri"/>
        <family val="2"/>
      </rPr>
      <t>ASHA Incentives</t>
    </r>
    <r>
      <rPr>
        <sz val="11"/>
        <rFont val="Calibri"/>
        <family val="2"/>
      </rPr>
      <t xml:space="preserve"> Rs.125.04lakhs @ Rs.1000/- per month for 1042 ASHA for expanded package of services 
</t>
    </r>
    <r>
      <rPr>
        <b/>
        <sz val="11"/>
        <rFont val="Calibri"/>
        <family val="2"/>
      </rPr>
      <t>IEC &amp; PRINTING- 1L</t>
    </r>
    <r>
      <rPr>
        <sz val="11"/>
        <rFont val="Calibri"/>
        <family val="2"/>
      </rPr>
      <t xml:space="preserve"> 
Designing, Printing and installation of posters, banners in all District &amp; Thaluk level Hospitals and HWCs regarding eSanjeevani.  </t>
    </r>
  </si>
  <si>
    <r>
      <rPr>
        <b/>
        <sz val="11"/>
        <rFont val="Calibri"/>
        <family val="2"/>
      </rPr>
      <t>Capacity building incl. training  - 18.89 L</t>
    </r>
    <r>
      <rPr>
        <sz val="11"/>
        <rFont val="Calibri"/>
        <family val="2"/>
      </rPr>
      <t xml:space="preserve">
Induction training to ASHA@Rs. 74750 per batch of 30 ASHA for Rs. .747 L
ASHA 10th Module training @ Rs. 1533 per one ASHA for 1042 ASHA  15.97  L
Supplementary training to ASHA - One ASHA from one institution per month @ Rs. 300 per ASHA for 60 ASHA's -  2.16  L.
</t>
    </r>
    <r>
      <rPr>
        <b/>
        <sz val="11"/>
        <rFont val="Calibri"/>
        <family val="2"/>
      </rPr>
      <t xml:space="preserve">ASHA incentives – 269.93 L </t>
    </r>
    <r>
      <rPr>
        <sz val="11"/>
        <rFont val="Calibri"/>
        <family val="2"/>
      </rPr>
      <t xml:space="preserve">
ASHA fixed incentive @Rs. 2000 per month for 1042 ASHAs  Rs. 250.0  L 
Incentive for monthly review meeting @Rs.100 per month for 1042 ASHAs  Rs.  12.50  L 
Social Security Insurance packages for ASHA - PMJJBY @ Rs.436 for 540 ASHA of  Rs. 2.35  L , PMSBY @Rs. 20 for 379  ASHA Rs . .075  L,  PMSYM @Rs.100 per month for 410 ASHAs Rs. 4.92  L . Total  7.28  L.
</t>
    </r>
    <r>
      <rPr>
        <b/>
        <sz val="11"/>
        <rFont val="Calibri"/>
        <family val="2"/>
      </rPr>
      <t>OOC  - 26.09  L</t>
    </r>
    <r>
      <rPr>
        <sz val="11"/>
        <rFont val="Calibri"/>
        <family val="2"/>
      </rPr>
      <t xml:space="preserve">
 On going expenses for Ward Health Facilitation Centres @Rs. 500 per month per ward  18 wards Rs.1.08  L         
Mobile allowance to ASHA @Rs. 200 per month for Rs. 25.00 L .
IEC &amp; PRINTING- 3.042L (Activity breakup details attached)                                                                              2025-26 Distrit ASHA Sammelan  Rs. 2 L                                                                       </t>
    </r>
  </si>
  <si>
    <r>
      <t xml:space="preserve"> ASHA Incentive 
Incentive to ASHA for ABHA ID creation @ Rs. 10 for 50 ABHA ID for 1042  one ASHA @ Rs. 6.11 L
Incentive for 3 Migrant  Link Workers @ Rs. 2500 per month @ Rs. .90  L  &amp; for 2025-26 the incentive for Migrant LWs is Rs. 2750
IEC &amp; PRINTING- 2.50L (Activity breakup details attached)                                                                                </t>
    </r>
    <r>
      <rPr>
        <b/>
        <sz val="11"/>
        <rFont val="Calibri"/>
        <family val="2"/>
      </rPr>
      <t xml:space="preserve">2025-26 </t>
    </r>
    <r>
      <rPr>
        <sz val="11"/>
        <rFont val="Calibri"/>
        <family val="2"/>
      </rPr>
      <t>Distrit ASHA Sammelan  Rs. 2 L</t>
    </r>
  </si>
  <si>
    <r>
      <rPr>
        <b/>
        <sz val="11"/>
        <rFont val="Calibri"/>
        <family val="2"/>
      </rPr>
      <t xml:space="preserve">OOC- Untied Funds </t>
    </r>
    <r>
      <rPr>
        <sz val="11"/>
        <rFont val="Calibri"/>
        <family val="2"/>
      </rPr>
      <t xml:space="preserve">
2 DH/GH @ Rs.250000/- 
4 SDH @ Rs.1,00,000/-  
13CHC @ Rs.75000/- 
41 PHC @ Rs.50000/-
309 subcentre @ Rs.10000/- 
861 VHSC @ Rs.10000/-</t>
    </r>
  </si>
  <si>
    <r>
      <rPr>
        <b/>
        <sz val="11"/>
        <rFont val="Calibri"/>
        <family val="2"/>
      </rPr>
      <t xml:space="preserve">OOC- Tribal camps </t>
    </r>
    <r>
      <rPr>
        <sz val="11"/>
        <rFont val="Calibri"/>
        <family val="2"/>
      </rPr>
      <t xml:space="preserve">
Single MO Camps -10@ Rs.3000/-, Specialist camps-7@15000/-, Health Class-5@1500/-, Health Club-4@10000/-, TMMU -20@Rs.3000/-</t>
    </r>
  </si>
  <si>
    <r>
      <rPr>
        <b/>
        <sz val="11"/>
        <rFont val="Calibri"/>
        <family val="2"/>
      </rPr>
      <t>Drugs and Diagnostics</t>
    </r>
    <r>
      <rPr>
        <sz val="11"/>
        <rFont val="Calibri"/>
        <family val="2"/>
      </rPr>
      <t>: Total estimated delivery is 7818. it is assumed 15% sick and 1173 cases budgeted for drugs and diagnostics @ Rs.200/- each</t>
    </r>
  </si>
  <si>
    <r>
      <rPr>
        <b/>
        <sz val="11"/>
        <rFont val="Calibri"/>
        <family val="2"/>
      </rPr>
      <t xml:space="preserve">OOC </t>
    </r>
    <r>
      <rPr>
        <sz val="11"/>
        <rFont val="Calibri"/>
        <family val="2"/>
      </rPr>
      <t xml:space="preserve">: 1173 cases budgeted for transport @ Rs.500/- </t>
    </r>
  </si>
  <si>
    <r>
      <rPr>
        <b/>
        <sz val="11"/>
        <rFont val="Calibri"/>
        <family val="2"/>
      </rPr>
      <t>Capacity Building -Training</t>
    </r>
    <r>
      <rPr>
        <sz val="11"/>
        <rFont val="Calibri"/>
        <family val="2"/>
      </rPr>
      <t xml:space="preserve"> - for 1) 4 days hybrid (1 day + 3 days online) training of MOs @Rs 70000/ batch (40 Nos.) - Rs 0.70 L
  2) AFHS 3 hybrid (1 day + 2 days online) training of ANM/LHV/MPW/other healthworkers @Rs. 50000/ batch (40 Nos.) - Rs 0.50 L
</t>
    </r>
    <r>
      <rPr>
        <b/>
        <sz val="11"/>
        <rFont val="Calibri"/>
        <family val="2"/>
      </rPr>
      <t xml:space="preserve"> OOC</t>
    </r>
    <r>
      <rPr>
        <sz val="11"/>
        <rFont val="Calibri"/>
        <family val="2"/>
      </rPr>
      <t xml:space="preserve"> - 1) Operating expenses for AH/RKSK clinics: AH/RKSK centre Rs. 12000/centre * no of AFHCs (EKM-5 AFHC ) - 0.60 L
 2) Mobility support to counsellors for conducting 8 outreach session / month for 12 months @Rs.400/session. (EKM-5 counsellors) - 1.92 L
3) As communication support to 94 GOI AH counsellors @ Rs.250 /month for 12 months. ie 2.82 L ( 5 * 250 *12 ) - .15 L
4) Bi-annual district level convergence workshop under RKSK - Rs 5000/batch ie 5000*2 = Rs 0.100 L
 IEC &amp; Printing : For printing of various IEC materials for use in the AFHCs and by counsellors -Rs 0.25 L</t>
    </r>
  </si>
  <si>
    <r>
      <rPr>
        <b/>
        <sz val="11"/>
        <rFont val="Calibri"/>
        <family val="2"/>
      </rPr>
      <t>Capacity Building - Training</t>
    </r>
    <r>
      <rPr>
        <sz val="11"/>
        <rFont val="Calibri"/>
        <family val="2"/>
      </rPr>
      <t xml:space="preserve"> : 1) Training (6 days ) of New Peer Educator in all districts (BLOCK LELVEL). (EKM-200 (5 Batch) @ 70000/-
 ASHA Incentives : Incentive for AH/RKSK Services - ASHA Incentive for mobilizing adolescents and community for AHWD . (Rs.200/- * 4 ASHAs * 4 AHWDs/year * No. of blocks) - 0.16 L
</t>
    </r>
    <r>
      <rPr>
        <b/>
        <sz val="11"/>
        <rFont val="Calibri"/>
        <family val="2"/>
      </rPr>
      <t xml:space="preserve"> OOC</t>
    </r>
    <r>
      <rPr>
        <sz val="11"/>
        <rFont val="Calibri"/>
        <family val="2"/>
      </rPr>
      <t xml:space="preserve"> - 1) Organising monthly Adolescent Friendly Club meetings at subcentre level Rs. 500* no of blocks*5 subcentre*12 AFC meetings/FY ( EKM-5) - 1.5 L
 2)(Community Intervention for AH Services) Incentives for Peer Educators Rs 50/month* 12 months*no of PEs (EKM -800) -4.8 L
 3) Organizing Adolescent Health &amp; Wellness day Rs. 2500* No. of selected blocks*4 AHWD/FY( EKM -5) - 0.50 L
</t>
    </r>
    <r>
      <rPr>
        <b/>
        <sz val="11"/>
        <rFont val="Calibri"/>
        <family val="2"/>
      </rPr>
      <t xml:space="preserve"> IEC &amp; Printing</t>
    </r>
    <r>
      <rPr>
        <sz val="11"/>
        <rFont val="Calibri"/>
        <family val="2"/>
      </rPr>
      <t xml:space="preserve"> : PE Kit and PE Diary @ Rs 350/PE kit &amp; diary * no of New Peers entering 8th STD. (EKM-200) - 0.70 L</t>
    </r>
  </si>
  <si>
    <r>
      <rPr>
        <b/>
        <sz val="11"/>
        <rFont val="Calibri"/>
        <family val="2"/>
      </rPr>
      <t xml:space="preserve"> Capacity building including Training</t>
    </r>
    <r>
      <rPr>
        <sz val="11"/>
        <rFont val="Calibri"/>
        <family val="2"/>
      </rPr>
      <t xml:space="preserve"> -Organising 2 district level coordination and dissemination workshop for RKSK and AB_SHWP @Rs 5460/workshop ie 5460*2 = 0.109 L 
</t>
    </r>
    <r>
      <rPr>
        <b/>
        <sz val="11"/>
        <rFont val="Calibri"/>
        <family val="2"/>
      </rPr>
      <t xml:space="preserve"> IEC &amp; Printing</t>
    </r>
    <r>
      <rPr>
        <sz val="11"/>
        <rFont val="Calibri"/>
        <family val="2"/>
      </rPr>
      <t xml:space="preserve"> 
 For printing of AFHC forms for AFHCs @2000/AFHCs(EKM-5) Rs .10 L
 For printing of AFHS Training manuals for MO, ANM Counsellors and Training manuals for PE training @ Rs 200 / manual for all Dist (160 nos/Dist) - Rs 0.32 L
AH- IEC &amp; PRINTING -2.9L Activity Breakup is attached herewith </t>
    </r>
  </si>
  <si>
    <r>
      <rPr>
        <b/>
        <sz val="11"/>
        <rFont val="Calibri"/>
        <family val="2"/>
      </rPr>
      <t>DBT-</t>
    </r>
    <r>
      <rPr>
        <sz val="11"/>
        <rFont val="Calibri"/>
        <family val="2"/>
      </rPr>
      <t xml:space="preserve">Female Public   BPL/SC/ST Sterilization 201 cases@  Rs 1000 per case .
APL  sterilization 603 cases @ Rs. 650 per case 
</t>
    </r>
    <r>
      <rPr>
        <b/>
        <sz val="11"/>
        <rFont val="Calibri"/>
        <family val="2"/>
      </rPr>
      <t>Training</t>
    </r>
    <r>
      <rPr>
        <sz val="11"/>
        <rFont val="Calibri"/>
        <family val="2"/>
      </rPr>
      <t>- Rs 110000 for Laproscopic sterilization(12 days training for 3 participants)</t>
    </r>
  </si>
  <si>
    <r>
      <rPr>
        <b/>
        <sz val="11"/>
        <rFont val="Calibri"/>
        <family val="2"/>
      </rPr>
      <t>1.DBT</t>
    </r>
    <r>
      <rPr>
        <sz val="11"/>
        <rFont val="Calibri"/>
        <family val="2"/>
      </rPr>
      <t xml:space="preserve">
a. Internal IUCD insertion 1238 cases @ Rs 20/beneficiary
b.PPIUCD insertion 76 cases @ Rs 300/beneficiary
c.PAIUCD insertion 4 cases @ Rs 300/beneficiary
</t>
    </r>
    <r>
      <rPr>
        <b/>
        <sz val="11"/>
        <rFont val="Calibri"/>
        <family val="2"/>
      </rPr>
      <t>2. Training</t>
    </r>
    <r>
      <rPr>
        <sz val="11"/>
        <rFont val="Calibri"/>
        <family val="2"/>
      </rPr>
      <t xml:space="preserve">- IUCD training for Medical officers 3 batches @Rs 37500/batch (5 days training with 10 participants)
</t>
    </r>
    <r>
      <rPr>
        <b/>
        <sz val="11"/>
        <rFont val="Calibri"/>
        <family val="2"/>
      </rPr>
      <t>3.ASHA Incentive</t>
    </r>
    <r>
      <rPr>
        <sz val="11"/>
        <rFont val="Calibri"/>
        <family val="2"/>
      </rPr>
      <t xml:space="preserve">
a.PPIUCD insertion 76 cases @ Rs 150/beneficiary
c.PAIUCD insertion 4  cases @ Rs 150/beneficiary</t>
    </r>
  </si>
  <si>
    <r>
      <rPr>
        <b/>
        <sz val="11"/>
        <rFont val="Calibri"/>
        <family val="2"/>
      </rPr>
      <t xml:space="preserve">Others including operating costs(OOC) Rs.3.6 Lakhs </t>
    </r>
    <r>
      <rPr>
        <sz val="11"/>
        <rFont val="Calibri"/>
        <family val="2"/>
      </rPr>
      <t xml:space="preserve"> Incentives for Peer Educators under NVHCP Rs 10,000/- per month (We already have 3 TCs at General Hospital Muvattupuzha, General Hospital Ernakulam &amp; Govt Medical College Ernakulam)   </t>
    </r>
  </si>
  <si>
    <r>
      <rPr>
        <b/>
        <u/>
        <sz val="11"/>
        <rFont val="Calibri"/>
        <family val="2"/>
      </rPr>
      <t>Drugs and supplies</t>
    </r>
    <r>
      <rPr>
        <u/>
        <sz val="11"/>
        <rFont val="Calibri"/>
        <family val="2"/>
      </rPr>
      <t xml:space="preserve">
</t>
    </r>
    <r>
      <rPr>
        <sz val="11"/>
        <rFont val="Calibri"/>
        <family val="2"/>
      </rPr>
      <t>Management of HAV and HEV patients – budgeted @ Rs 50000/-  per district for necessary investigations, sample transportation and supportive treatment.</t>
    </r>
    <r>
      <rPr>
        <b/>
        <sz val="11"/>
        <rFont val="Calibri"/>
        <family val="2"/>
      </rPr>
      <t xml:space="preserve">
Others including operating costs(OOC) Rs. 1.5 Lakhs - Rs: 0.5 Lakh each for TCs General Hospital Muvattupuzha, General Hospital Ernakulam &amp; Govt Medical College Ernakulam)  - Meeting Costs/Office expenses/Contingency/Management of Hep A &amp; E as Cash Grant</t>
    </r>
  </si>
  <si>
    <r>
      <rPr>
        <b/>
        <sz val="11"/>
        <rFont val="Calibri"/>
        <family val="2"/>
      </rPr>
      <t xml:space="preserve">Training :  Rs. 1 Lakhs </t>
    </r>
    <r>
      <rPr>
        <sz val="11"/>
        <rFont val="Calibri"/>
        <family val="2"/>
      </rPr>
      <t xml:space="preserve">per training Medical Officers, Staff Nurse, ASHA ANM &amp; other Health care workers. 
</t>
    </r>
    <r>
      <rPr>
        <b/>
        <sz val="11"/>
        <rFont val="Calibri"/>
        <family val="2"/>
      </rPr>
      <t>IEC &amp; Printing Rs.1.50 lakhs
Planning &amp; M &amp; E - Rs.05 Lakhs</t>
    </r>
    <r>
      <rPr>
        <sz val="11"/>
        <rFont val="Calibri"/>
        <family val="2"/>
      </rPr>
      <t xml:space="preserve">
Supervision and Monitoring activities 
</t>
    </r>
  </si>
  <si>
    <r>
      <rPr>
        <b/>
        <sz val="11"/>
        <rFont val="Calibri"/>
        <family val="2"/>
      </rPr>
      <t>Capacity Buidling 14.40 lakhs</t>
    </r>
    <r>
      <rPr>
        <sz val="11"/>
        <rFont val="Calibri"/>
        <family val="2"/>
      </rPr>
      <t xml:space="preserve">
Rs.8.8 lakhs for 4 batch @0.55  lakhs per batch of 100, on a quarterly basis for refresher training of MLSPs
Rs. 5.60 lakhs @0.40 lakhs per batch for 14 batches for SHC-HWC  team building training. 
</t>
    </r>
    <r>
      <rPr>
        <b/>
        <sz val="11"/>
        <rFont val="Calibri"/>
        <family val="2"/>
      </rPr>
      <t>ASHA Incentives</t>
    </r>
    <r>
      <rPr>
        <sz val="11"/>
        <rFont val="Calibri"/>
        <family val="2"/>
      </rPr>
      <t xml:space="preserve"> Rs.285 lakhs @ Rs.1000/- per month for 2375 ASHA for expanded package of services 
</t>
    </r>
    <r>
      <rPr>
        <b/>
        <sz val="11"/>
        <rFont val="Calibri"/>
        <family val="2"/>
      </rPr>
      <t>IEC &amp; PRINTING- 1L</t>
    </r>
    <r>
      <rPr>
        <sz val="11"/>
        <rFont val="Calibri"/>
        <family val="2"/>
      </rPr>
      <t xml:space="preserve"> 
Designing, Printing and installation of posters, banners in all District &amp; Thaluk level Hospitals and HWCs regarding eSanjeevani.  </t>
    </r>
  </si>
  <si>
    <r>
      <rPr>
        <b/>
        <sz val="11"/>
        <rFont val="Calibri"/>
        <family val="2"/>
      </rPr>
      <t>Capacity building incl. training  - 41.73 L</t>
    </r>
    <r>
      <rPr>
        <sz val="11"/>
        <rFont val="Calibri"/>
        <family val="2"/>
      </rPr>
      <t xml:space="preserve">
Induction training to ASHA@Rs. 74750 per batch of 30 ASHA for Rs. 0.74 L
ASHA 10th Module training @ Rs. 1533 per one ASHA for 2375 ASHA  36.40 L
Supplementary training to ASHA - One ASHA from one institution per month @ Rs. 300 per ASHA for 127 ASHA's -  4.57  L.
</t>
    </r>
    <r>
      <rPr>
        <b/>
        <sz val="11"/>
        <rFont val="Calibri"/>
        <family val="2"/>
      </rPr>
      <t>ASHA incentives – 612.5  L</t>
    </r>
    <r>
      <rPr>
        <sz val="11"/>
        <rFont val="Calibri"/>
        <family val="2"/>
      </rPr>
      <t xml:space="preserve"> 
ASHA fixed incentive @Rs. 2000 per month for 2375 ASHAs Rs. 570  L 
Incentive for monthly review meeting @Rs.100 per month for 2375 ASHAs  Rs. 28.50 L
Social Security Insurance packages for ASHA - PMJJBY @ Rs.436 for 1268 ASHA of  Rs. 5.52 L , PMSBY @Rs. 20 for 966  ASHA Rs 0.193  L,  PMSYM @Rs.100 per month for 690 ASHAs Rs. 8.28  L . Total 13.99 L.
</t>
    </r>
    <r>
      <rPr>
        <b/>
        <sz val="11"/>
        <rFont val="Calibri"/>
        <family val="2"/>
      </rPr>
      <t>OOC  - 58.08  L</t>
    </r>
    <r>
      <rPr>
        <sz val="11"/>
        <rFont val="Calibri"/>
        <family val="2"/>
      </rPr>
      <t xml:space="preserve">
 On going expenses for Ward Helath Facilitation Centres @Rs. 500 per month per ward 18 wards Rs.1.08 L          
Mobile allowance to ASHA @Rs. 200 per month for Rs. 57.00 L.  .
IEC &amp; PRINTING- 5.375L (Activity breakup details attached)                                                     </t>
    </r>
    <r>
      <rPr>
        <b/>
        <sz val="11"/>
        <rFont val="Calibri"/>
        <family val="2"/>
      </rPr>
      <t>2025-26</t>
    </r>
    <r>
      <rPr>
        <sz val="11"/>
        <rFont val="Calibri"/>
        <family val="2"/>
      </rPr>
      <t xml:space="preserve"> Distrit ASHA Sammelan  Rs. 2 L
</t>
    </r>
  </si>
  <si>
    <r>
      <t xml:space="preserve">ASHA Incentive – 15.48 L
Incentive to ASHA for ABHA ID creation @ Rs. 10 for 50 ABHA ID for 2375  one ASHA @ Rs. 11.87 L
Incentive for Migrant  Link Workers @ Rs. 2500 per month @ Rs. 3.60 L for 2025-26 the incentive for Migrant LWs is Rs. 2750
OOC-3.60 L 
Incentive for TG Link Workers @ Rs. 5000 per month @ Rs. 3.60 L &amp;  for </t>
    </r>
    <r>
      <rPr>
        <b/>
        <sz val="11"/>
        <rFont val="Calibri"/>
        <family val="2"/>
      </rPr>
      <t xml:space="preserve">2025-26 </t>
    </r>
    <r>
      <rPr>
        <sz val="11"/>
        <rFont val="Calibri"/>
        <family val="2"/>
      </rPr>
      <t xml:space="preserve">Incentive for TG Link Workers @ Rs. 5250 per month
IEC &amp; PRINTING- 2.95 L(Activity breakup details attached) </t>
    </r>
  </si>
  <si>
    <r>
      <rPr>
        <b/>
        <sz val="11"/>
        <rFont val="Calibri"/>
        <family val="2"/>
      </rPr>
      <t xml:space="preserve">OOC- Untied Funds </t>
    </r>
    <r>
      <rPr>
        <sz val="11"/>
        <rFont val="Calibri"/>
        <family val="2"/>
      </rPr>
      <t xml:space="preserve">
3 DH/GH @ Rs.250000/- 
11 SDH @ Rs.1,00,000/-  
23 CHC @ Rs.75000/- 
75 PHC @ Rs.50000/-
410 subcentre @ Rs.10000/- 
1833 VHSC @ Rs.10000/-</t>
    </r>
  </si>
  <si>
    <r>
      <rPr>
        <b/>
        <sz val="11"/>
        <color theme="1"/>
        <rFont val="Calibri"/>
        <family val="2"/>
      </rPr>
      <t xml:space="preserve">OOC- Tribal camps </t>
    </r>
    <r>
      <rPr>
        <sz val="11"/>
        <color theme="1"/>
        <rFont val="Calibri"/>
        <family val="2"/>
      </rPr>
      <t xml:space="preserve">
Single MO Camps -6@ Rs.3000/-, Specialist camps-4@15000/-, Health Class-6@1500/-, Health Club-6@10000/-, TMMU -6@Rs.3000/-</t>
    </r>
  </si>
  <si>
    <r>
      <rPr>
        <b/>
        <sz val="11"/>
        <color rgb="FF000000"/>
        <rFont val="Calibri"/>
        <family val="2"/>
      </rPr>
      <t>Drugs and Diagnostics</t>
    </r>
    <r>
      <rPr>
        <sz val="11"/>
        <color rgb="FF000000"/>
        <rFont val="Calibri"/>
        <family val="2"/>
      </rPr>
      <t>: Total estimated delivery is 11902. it is assumed 15% sick and 1785 cases budgeted for drugs and diagnostics @ Rs.200/- each</t>
    </r>
  </si>
  <si>
    <r>
      <rPr>
        <b/>
        <sz val="11"/>
        <color rgb="FF000000"/>
        <rFont val="Calibri"/>
        <family val="2"/>
      </rPr>
      <t xml:space="preserve">OOC </t>
    </r>
    <r>
      <rPr>
        <sz val="11"/>
        <color rgb="FF000000"/>
        <rFont val="Calibri"/>
        <family val="2"/>
      </rPr>
      <t xml:space="preserve">: 1785 cases budgeted for transport @ Rs.500/- </t>
    </r>
  </si>
  <si>
    <r>
      <rPr>
        <b/>
        <sz val="11"/>
        <color theme="1"/>
        <rFont val="Calibri"/>
        <family val="2"/>
      </rPr>
      <t>Capacity Building -Training</t>
    </r>
    <r>
      <rPr>
        <sz val="11"/>
        <color theme="1"/>
        <rFont val="Calibri"/>
        <family val="2"/>
      </rPr>
      <t xml:space="preserve"> - for 1) 4 days hybrid (1 day + 3 days online) training of MOs @Rs 70000/ batch (40 Nos.) - Rs 0.70 L
  2) AFHS 3 hybrid (1 day + 2 days online) training of ANM/LHV/MPW/other healthworkers @Rs. 50000/ batch (40 Nos.) - Rs 0.50 L
</t>
    </r>
    <r>
      <rPr>
        <b/>
        <sz val="11"/>
        <color theme="1"/>
        <rFont val="Calibri"/>
        <family val="2"/>
      </rPr>
      <t xml:space="preserve"> OOC</t>
    </r>
    <r>
      <rPr>
        <sz val="11"/>
        <color theme="1"/>
        <rFont val="Calibri"/>
        <family val="2"/>
      </rPr>
      <t xml:space="preserve"> - 1) Operating expenses for AH/RKSK clinics: AH/RKSK centre Rs. 12000/centre * no of AFHCs (TSR-5 AFHC ) - 0.60 L
 2) Mobility support to counsellors for conducting 8 outreach session / month for 12 months @Rs.400/session. (TSR-5 counsellors) - 1.92 L
3) As communication support to 94 GOI AH counsellors @ Rs.250 /month for 12 months. ie 2.82 L ( 5 * 250 *12 ) - .15 L
4) Bi-annual district level convergence workshop under RKSK - Rs 5000/batch ie 5000*2 = Rs 0.100 L
</t>
    </r>
    <r>
      <rPr>
        <b/>
        <sz val="11"/>
        <color theme="1"/>
        <rFont val="Calibri"/>
        <family val="2"/>
      </rPr>
      <t xml:space="preserve"> IEC &amp; Printing</t>
    </r>
    <r>
      <rPr>
        <sz val="11"/>
        <color theme="1"/>
        <rFont val="Calibri"/>
        <family val="2"/>
      </rPr>
      <t xml:space="preserve"> : For printing of various IEC materials for use in the AFHCs and by counsellors -Rs 0.25 L
</t>
    </r>
  </si>
  <si>
    <r>
      <rPr>
        <b/>
        <sz val="11"/>
        <color theme="1"/>
        <rFont val="Calibri"/>
        <family val="2"/>
      </rPr>
      <t>Capacity Building - Training</t>
    </r>
    <r>
      <rPr>
        <sz val="11"/>
        <color theme="1"/>
        <rFont val="Calibri"/>
        <family val="2"/>
      </rPr>
      <t xml:space="preserve"> : 1) Training (6 days ) of New Peer Educator in all districts (BLOCK LELVEL). (TSR-200 (5 Batch) @ 70000/-
 ASHA Incentives : Incentive for AH/RKSK Services - ASHA Incentive for mobilizing adolescents and community for AHWD . (Rs.200/- * 4 ASHAs * 4 AHWDs/year * No. of blocks) - 0.16 L
</t>
    </r>
    <r>
      <rPr>
        <b/>
        <sz val="11"/>
        <color theme="1"/>
        <rFont val="Calibri"/>
        <family val="2"/>
      </rPr>
      <t xml:space="preserve"> OOC</t>
    </r>
    <r>
      <rPr>
        <sz val="11"/>
        <color theme="1"/>
        <rFont val="Calibri"/>
        <family val="2"/>
      </rPr>
      <t xml:space="preserve"> - 1) Organising monthly Adolescent Friendly Club meetings at subcentre level Rs. 500* no of blocks*5 subcentre*12 AFC meetings/FY ( TSR-5) - 1.5 L
 2)(Community Intervention for AH Services) Incentives for Peer Educators Rs 50/month* 12 months*no of PEs (TSR-800) -4.8 L
 3) Organizing Adolescent Health &amp; Wellness day Rs. 2500* No. of selected blocks*4 AHWD/FY(TSR -5) - 0.5 L
</t>
    </r>
    <r>
      <rPr>
        <b/>
        <sz val="11"/>
        <color theme="1"/>
        <rFont val="Calibri"/>
        <family val="2"/>
      </rPr>
      <t xml:space="preserve"> IEC &amp; Printing</t>
    </r>
    <r>
      <rPr>
        <sz val="11"/>
        <color theme="1"/>
        <rFont val="Calibri"/>
        <family val="2"/>
      </rPr>
      <t xml:space="preserve"> : PE Kit and PE Diary @ Rs 350/PE kit &amp; diary * no of New Peers entering 8th STD. (TSR-200) - 0.70 L</t>
    </r>
  </si>
  <si>
    <r>
      <rPr>
        <b/>
        <sz val="11"/>
        <color theme="1"/>
        <rFont val="Calibri"/>
        <family val="2"/>
      </rPr>
      <t xml:space="preserve"> Capacity building including Training</t>
    </r>
    <r>
      <rPr>
        <sz val="11"/>
        <color theme="1"/>
        <rFont val="Calibri"/>
        <family val="2"/>
      </rPr>
      <t xml:space="preserve"> -Organising 2 district level coordination and dissemination workshop for RKSK and AB_SHWP @Rs 5460/workshop ie 5460*2 = 0.109 L 
</t>
    </r>
    <r>
      <rPr>
        <b/>
        <sz val="11"/>
        <color theme="1"/>
        <rFont val="Calibri"/>
        <family val="2"/>
      </rPr>
      <t xml:space="preserve"> IEC &amp; Printing</t>
    </r>
    <r>
      <rPr>
        <sz val="11"/>
        <color theme="1"/>
        <rFont val="Calibri"/>
        <family val="2"/>
      </rPr>
      <t xml:space="preserve"> 
 For printing of AFHC forms for AFHCs @2000/AFHCs(TSR-5) Rs .10 L
 For printing of AFHS Training manuals for MO, ANM Counsellors and Training manuals for PE training @ Rs 200 / manual for all Dist (160 nos/Dist) - Rs 0.32 L
AH- IEC &amp; PRINTING -1.82L Activity Breakup is attached herewith </t>
    </r>
  </si>
  <si>
    <r>
      <rPr>
        <b/>
        <sz val="11"/>
        <color theme="1"/>
        <rFont val="Calibri"/>
        <family val="2"/>
      </rPr>
      <t>DBT-</t>
    </r>
    <r>
      <rPr>
        <sz val="11"/>
        <color theme="1"/>
        <rFont val="Calibri"/>
        <family val="2"/>
      </rPr>
      <t xml:space="preserve">Female Public   BPL/SC/ST Sterilization 341 cases@  Rs 1000 per case .
APL  sterilization 1022 cases @ Rs. 650 per case 
</t>
    </r>
    <r>
      <rPr>
        <b/>
        <sz val="11"/>
        <color theme="1"/>
        <rFont val="Calibri"/>
        <family val="2"/>
      </rPr>
      <t>Training</t>
    </r>
    <r>
      <rPr>
        <sz val="11"/>
        <color theme="1"/>
        <rFont val="Calibri"/>
        <family val="2"/>
      </rPr>
      <t>- Rs 110000 for Laproscopic sterilization(12 days training for 3 participants)</t>
    </r>
  </si>
  <si>
    <r>
      <t xml:space="preserve">
</t>
    </r>
    <r>
      <rPr>
        <b/>
        <sz val="11"/>
        <color theme="1"/>
        <rFont val="Calibri"/>
        <family val="2"/>
      </rPr>
      <t>1.DBT</t>
    </r>
    <r>
      <rPr>
        <sz val="11"/>
        <color theme="1"/>
        <rFont val="Calibri"/>
        <family val="2"/>
      </rPr>
      <t xml:space="preserve">
a. Internal IUCD insertion 2092 cases @ Rs 20/beneficiary
b.PPIUCD insertion 82 cases @ Rs 300/beneficiary
c.PAIUCD insertion 3 cases @ Rs 300/beneficiary
</t>
    </r>
    <r>
      <rPr>
        <b/>
        <sz val="11"/>
        <color theme="1"/>
        <rFont val="Calibri"/>
        <family val="2"/>
      </rPr>
      <t>2. Training</t>
    </r>
    <r>
      <rPr>
        <sz val="11"/>
        <color theme="1"/>
        <rFont val="Calibri"/>
        <family val="2"/>
      </rPr>
      <t xml:space="preserve">- IUCD training for Medical officers 3 batches @Rs 37500/batch (5 days training with 10 participants)
</t>
    </r>
    <r>
      <rPr>
        <b/>
        <sz val="11"/>
        <color theme="1"/>
        <rFont val="Calibri"/>
        <family val="2"/>
      </rPr>
      <t>3.ASHA Incentive</t>
    </r>
    <r>
      <rPr>
        <sz val="11"/>
        <color theme="1"/>
        <rFont val="Calibri"/>
        <family val="2"/>
      </rPr>
      <t xml:space="preserve">
a.PPIUCD insertion 82 cases @ Rs 150/beneficiary
c.PAIUCD insertion 3  cases @ Rs 150/beneficiary
</t>
    </r>
  </si>
  <si>
    <r>
      <rPr>
        <b/>
        <sz val="11"/>
        <color rgb="FF0000FF"/>
        <rFont val="Calibri"/>
        <family val="2"/>
      </rPr>
      <t xml:space="preserve">Others including operating costs(OOC) Rs.2.4 Lakhs </t>
    </r>
    <r>
      <rPr>
        <sz val="11"/>
        <color rgb="FF000000"/>
        <rFont val="Calibri"/>
        <family val="2"/>
      </rPr>
      <t xml:space="preserve">Incentives for Peer Educators under NVHCP Rs 10,000/- per month (We already have 1 MTC at Govt Medical College Thrissur &amp; 1 TC at General Hospital Thrissur) 
</t>
    </r>
  </si>
  <si>
    <r>
      <rPr>
        <b/>
        <u/>
        <sz val="11"/>
        <color rgb="FF0000FF"/>
        <rFont val="Calibri"/>
        <family val="2"/>
      </rPr>
      <t>Drugs and supplies</t>
    </r>
    <r>
      <rPr>
        <sz val="11"/>
        <color rgb="FF000000"/>
        <rFont val="Calibri"/>
        <family val="2"/>
      </rPr>
      <t xml:space="preserve">
Management of HAV and HEV patients – budgeted @ Rs 50000/-  per district for necessary investigations, sample transportation and supportive treatment.
</t>
    </r>
    <r>
      <rPr>
        <b/>
        <sz val="11"/>
        <color rgb="FF0000FF"/>
        <rFont val="Calibri"/>
        <family val="2"/>
      </rPr>
      <t xml:space="preserve">Others including operating costs(OOC) Rs. 3.5 Lakhs </t>
    </r>
    <r>
      <rPr>
        <sz val="11"/>
        <color rgb="FF000000"/>
        <rFont val="Calibri"/>
        <family val="2"/>
      </rPr>
      <t xml:space="preserve">- </t>
    </r>
    <r>
      <rPr>
        <b/>
        <sz val="11"/>
        <color rgb="FFFF00FF"/>
        <rFont val="Calibri"/>
        <family val="2"/>
      </rPr>
      <t>Rs. 3 Lakhs</t>
    </r>
    <r>
      <rPr>
        <sz val="11"/>
        <color rgb="FFFF00FF"/>
        <rFont val="Calibri"/>
        <family val="2"/>
      </rPr>
      <t xml:space="preserve"> </t>
    </r>
    <r>
      <rPr>
        <sz val="11"/>
        <color rgb="FF000000"/>
        <rFont val="Calibri"/>
        <family val="2"/>
      </rPr>
      <t xml:space="preserve"> for MTC( Govt Medical College Thrissur ) &amp;</t>
    </r>
    <r>
      <rPr>
        <b/>
        <sz val="11"/>
        <color rgb="FFFF00FF"/>
        <rFont val="Calibri"/>
        <family val="2"/>
      </rPr>
      <t xml:space="preserve"> Rs: 0.5 Lakhs</t>
    </r>
    <r>
      <rPr>
        <sz val="11"/>
        <color rgb="FF000000"/>
        <rFont val="Calibri"/>
        <family val="2"/>
      </rPr>
      <t xml:space="preserve"> for TC (General Hospital Thrissur)  - Meeting Costs/Office expenses/Contingency/Management of Hep A &amp; E as Cash Grant</t>
    </r>
  </si>
  <si>
    <r>
      <rPr>
        <b/>
        <sz val="11"/>
        <color rgb="FFFF00FF"/>
        <rFont val="Calibri"/>
        <family val="2"/>
      </rPr>
      <t>Training :  Rs. 1 Lakhs</t>
    </r>
    <r>
      <rPr>
        <b/>
        <sz val="11"/>
        <color theme="1"/>
        <rFont val="Calibri"/>
        <family val="2"/>
      </rPr>
      <t xml:space="preserve"> </t>
    </r>
    <r>
      <rPr>
        <sz val="11"/>
        <color theme="1"/>
        <rFont val="Calibri"/>
        <family val="2"/>
      </rPr>
      <t xml:space="preserve">per training Medical Officers, Staff Nurse, ASHA ANM &amp; other Health care workers. 
</t>
    </r>
    <r>
      <rPr>
        <b/>
        <sz val="11"/>
        <color theme="1"/>
        <rFont val="Calibri"/>
        <family val="2"/>
      </rPr>
      <t>IEC &amp; Printing Rs.1.50 lakhs</t>
    </r>
    <r>
      <rPr>
        <sz val="11"/>
        <color theme="1"/>
        <rFont val="Calibri"/>
        <family val="2"/>
      </rPr>
      <t xml:space="preserve">
</t>
    </r>
    <r>
      <rPr>
        <b/>
        <sz val="11"/>
        <color rgb="FF0000FF"/>
        <rFont val="Calibri"/>
        <family val="2"/>
      </rPr>
      <t>Planning &amp; M &amp; E - Rs.05 Lakhs</t>
    </r>
    <r>
      <rPr>
        <sz val="11"/>
        <color theme="1"/>
        <rFont val="Calibri"/>
        <family val="2"/>
      </rPr>
      <t xml:space="preserve">
Supervision and Monitoring activities </t>
    </r>
  </si>
  <si>
    <r>
      <rPr>
        <b/>
        <sz val="11"/>
        <color rgb="FF000000"/>
        <rFont val="Calibri"/>
        <family val="2"/>
      </rPr>
      <t>Capacity Building incl Training – 0.8 L</t>
    </r>
    <r>
      <rPr>
        <sz val="11"/>
        <color rgb="FF000000"/>
        <rFont val="Calibri"/>
        <family val="2"/>
      </rPr>
      <t xml:space="preserve">
 1. Orientation of stake holder organizations like, police department, excise department, food safety department, education department etc
 2 session at district – 20000/session = 40000
 Training of health professionals Includes, doctors, staff nurse, MPWs, ASHAS etC. 2sessions at district – 20000/session= 40000
 </t>
    </r>
    <r>
      <rPr>
        <b/>
        <sz val="11"/>
        <color rgb="FF000000"/>
        <rFont val="Calibri"/>
        <family val="2"/>
      </rPr>
      <t xml:space="preserve">IEC and Printing : Rs.1.5 lakhs
</t>
    </r>
    <r>
      <rPr>
        <sz val="11"/>
        <color rgb="FF000000"/>
        <rFont val="Calibri"/>
        <family val="2"/>
      </rPr>
      <t xml:space="preserve">Activities include making Jingles, Videos, hoardings, newspaper advisories and mass media campaigns, No Tobacco Day observation, special Enforcement drives, mobile IEC corner etc.  </t>
    </r>
    <r>
      <rPr>
        <b/>
        <sz val="11"/>
        <color rgb="FF000000"/>
        <rFont val="Calibri"/>
        <family val="2"/>
      </rPr>
      <t xml:space="preserve">
  Planning and M&amp;E</t>
    </r>
    <r>
      <rPr>
        <sz val="11"/>
        <color rgb="FF000000"/>
        <rFont val="Calibri"/>
        <family val="2"/>
      </rPr>
      <t xml:space="preserve">
• Monthly meeting with the hospital staff, Weekly FGD with the tobacco users. 0.25L
 • Enforcement Squads 1L/District
 • District Tobacco Control Cell (DTCC): Misc./Office Expenses 0.25L</t>
    </r>
  </si>
  <si>
    <r>
      <t xml:space="preserve">1.75 L Lakhs for own buildong   Rented Building   @ 1 L    Untied grants to UCHCs </t>
    </r>
    <r>
      <rPr>
        <sz val="11"/>
        <color rgb="FFFF0000"/>
        <rFont val="Calibri"/>
        <family val="2"/>
      </rPr>
      <t xml:space="preserve"> </t>
    </r>
    <r>
      <rPr>
        <sz val="11"/>
        <color rgb="FF000000"/>
        <rFont val="Calibri"/>
        <family val="2"/>
      </rPr>
      <t xml:space="preserve">Untied grants to MAS  </t>
    </r>
    <r>
      <rPr>
        <sz val="11"/>
        <color rgb="FFFF0000"/>
        <rFont val="Calibri"/>
        <family val="2"/>
      </rPr>
      <t>@</t>
    </r>
    <r>
      <rPr>
        <sz val="11"/>
        <color rgb="FF000000"/>
        <rFont val="Calibri"/>
        <family val="2"/>
      </rPr>
      <t>Rs.5000/- per MAS</t>
    </r>
  </si>
  <si>
    <r>
      <rPr>
        <b/>
        <sz val="11"/>
        <color theme="1"/>
        <rFont val="Calibri"/>
        <family val="2"/>
      </rPr>
      <t>Capacity Buidling 17.40 lakhs</t>
    </r>
    <r>
      <rPr>
        <sz val="11"/>
        <color theme="1"/>
        <rFont val="Calibri"/>
        <family val="2"/>
      </rPr>
      <t xml:space="preserve">
Rs.11 lakhs for 5 batch @0.55  lakhs per batch of 100, on a quarterly basis for refresher training of MLSPs
Rs. 6.4 lakhs @0.40 lakhs per batch for 16 batches for SHC-HWC  team building training. 
</t>
    </r>
    <r>
      <rPr>
        <b/>
        <sz val="11"/>
        <color theme="1"/>
        <rFont val="Calibri"/>
        <family val="2"/>
      </rPr>
      <t>ASHA Incentives</t>
    </r>
    <r>
      <rPr>
        <sz val="11"/>
        <color theme="1"/>
        <rFont val="Calibri"/>
        <family val="2"/>
      </rPr>
      <t xml:space="preserve"> Rs.279.48 lakhs @ Rs.1000/- per month for 23.29 ASHA for expanded package of services 
</t>
    </r>
    <r>
      <rPr>
        <b/>
        <sz val="11"/>
        <color theme="1"/>
        <rFont val="Calibri"/>
        <family val="2"/>
      </rPr>
      <t>IEC &amp; PRINTING- 1L</t>
    </r>
    <r>
      <rPr>
        <sz val="11"/>
        <color theme="1"/>
        <rFont val="Calibri"/>
        <family val="2"/>
      </rPr>
      <t xml:space="preserve"> 
Designing, Printing and installation of posters, banners in all District &amp; Thaluk level Hospitals and HWCs regarding eSanjeevani.  </t>
    </r>
  </si>
  <si>
    <r>
      <rPr>
        <b/>
        <sz val="11"/>
        <color theme="1"/>
        <rFont val="Calibri"/>
        <family val="2"/>
      </rPr>
      <t xml:space="preserve">OOC- Untied Funds </t>
    </r>
    <r>
      <rPr>
        <sz val="11"/>
        <color theme="1"/>
        <rFont val="Calibri"/>
        <family val="2"/>
      </rPr>
      <t xml:space="preserve">
3 DH/GH @ Rs.250000/- 
6 SDH @ Rs.1,00,000/-  
24 CHC @ Rs.75000/- 
79 PHC @ Rs.50000/-
471 subcentre @ Rs.10000/- 
1794 VHSC @ Rs.10000/-</t>
    </r>
  </si>
  <si>
    <r>
      <rPr>
        <b/>
        <sz val="11"/>
        <rFont val="Calibri"/>
        <family val="2"/>
      </rPr>
      <t xml:space="preserve">OOC- Tribal camps </t>
    </r>
    <r>
      <rPr>
        <sz val="11"/>
        <rFont val="Calibri"/>
        <family val="2"/>
      </rPr>
      <t xml:space="preserve">
Single MO Camps -10@ Rs.3000/-, Specialist camps-8@15000/-, Health Class-8@1500/-, Health Club-3@10000/-, TMMU -10@Rs.3000/-</t>
    </r>
  </si>
  <si>
    <r>
      <rPr>
        <b/>
        <sz val="11"/>
        <rFont val="Calibri"/>
        <family val="2"/>
      </rPr>
      <t>Drugs and Diagnostics</t>
    </r>
    <r>
      <rPr>
        <sz val="11"/>
        <rFont val="Calibri"/>
        <family val="2"/>
      </rPr>
      <t>: Total estimated delivery is 7215. it is assumed 15% sick and 1082 cases budgeted for drugs and diagnostics @ Rs.200/- each</t>
    </r>
  </si>
  <si>
    <r>
      <rPr>
        <b/>
        <sz val="11"/>
        <rFont val="Calibri"/>
        <family val="2"/>
      </rPr>
      <t xml:space="preserve">OOC </t>
    </r>
    <r>
      <rPr>
        <sz val="11"/>
        <rFont val="Calibri"/>
        <family val="2"/>
      </rPr>
      <t xml:space="preserve">: 1082 cases budgeted for transport @ Rs.500/- </t>
    </r>
  </si>
  <si>
    <r>
      <rPr>
        <b/>
        <sz val="11"/>
        <rFont val="Calibri"/>
        <family val="2"/>
      </rPr>
      <t xml:space="preserve">Capacity Building -Training </t>
    </r>
    <r>
      <rPr>
        <sz val="11"/>
        <rFont val="Calibri"/>
        <family val="2"/>
      </rPr>
      <t xml:space="preserve">- for 1) 4 days hybrid (1 day + 3 days online) training of MOs @Rs 70000/ batch (40 Nos.) - Rs 0.70 L
  2) AFHS 3 hybrid (1 day + 2 days online) training of ANM/LHV/MPW/other healthworkers @Rs. 50000/ batch (40 Nos.) - Rs 0.50 L
</t>
    </r>
    <r>
      <rPr>
        <b/>
        <sz val="11"/>
        <rFont val="Calibri"/>
        <family val="2"/>
      </rPr>
      <t xml:space="preserve"> OOC</t>
    </r>
    <r>
      <rPr>
        <sz val="11"/>
        <rFont val="Calibri"/>
        <family val="2"/>
      </rPr>
      <t xml:space="preserve"> - 1) Operating expenses for AH/RKSK clinics: AH/RKSK centre Rs. 12000/centre * no of AFHCs (PKD-15 AFHC ) - 1.80 L
 2) Mobility support to counsellors for conducting 8 outreach session / month for 12 months @Rs.400/session. (PKD-15 counsellors) - 5.76 L
3) As communication support to 94 GOI AH counsellors @ Rs.250 /month for 12 months. ie 2.82 L ( 14 * 250 *12 ) - .42 L
4) Bi-annual district level convergence workshop under RKSK - Rs 5000/batch ie 5000*2 = Rs 0.100 L
 </t>
    </r>
    <r>
      <rPr>
        <b/>
        <sz val="11"/>
        <rFont val="Calibri"/>
        <family val="2"/>
      </rPr>
      <t>IEC &amp; Printing</t>
    </r>
    <r>
      <rPr>
        <sz val="11"/>
        <rFont val="Calibri"/>
        <family val="2"/>
      </rPr>
      <t xml:space="preserve"> : For printing of various IEC materials for use in the AFHCs and by counsellors -Rs 0.25 L
</t>
    </r>
  </si>
  <si>
    <r>
      <rPr>
        <b/>
        <sz val="11"/>
        <rFont val="Calibri"/>
        <family val="2"/>
      </rPr>
      <t>Capacity Building - Training</t>
    </r>
    <r>
      <rPr>
        <sz val="11"/>
        <rFont val="Calibri"/>
        <family val="2"/>
      </rPr>
      <t xml:space="preserve"> : 1) Training (6 days ) of New Peer Educator in all districts (BLOCK LELVEL). (PKD-1000 ( 25 Batch) @ 70000/- Rs 17.50 L
 ASHA Incentives : Incentive for AH/RKSK Services - ASHA Incentive for mobilizing adolescents and community for AHWD . (Rs.200/- * 4 ASHAs * 4 AHWDs/year * No. of blocks) -0.48 L
</t>
    </r>
    <r>
      <rPr>
        <b/>
        <sz val="11"/>
        <rFont val="Calibri"/>
        <family val="2"/>
      </rPr>
      <t xml:space="preserve"> OOC</t>
    </r>
    <r>
      <rPr>
        <sz val="11"/>
        <rFont val="Calibri"/>
        <family val="2"/>
      </rPr>
      <t xml:space="preserve"> - 1) Organising monthly Adolescent Friendly Club meetings at subcentre level Rs. 500* no of blocks*5 subcentre*12 AFC meetings/FY ( PKD-15) -4.50 L
 2)(Community Intervention for AH Services) Incentives for Peer Educators Rs 50/month* 12 months*no of PEs (PKD-2000) - 12 L
 3) Organizing Adolescent Health &amp; Wellness day Rs. 2500* No. of selected blocks*4 AHWD/FY( PKD -15) -1.50 L
</t>
    </r>
    <r>
      <rPr>
        <b/>
        <sz val="11"/>
        <rFont val="Calibri"/>
        <family val="2"/>
      </rPr>
      <t xml:space="preserve"> IEC &amp; Printing</t>
    </r>
    <r>
      <rPr>
        <sz val="11"/>
        <rFont val="Calibri"/>
        <family val="2"/>
      </rPr>
      <t xml:space="preserve"> : PE Kit and PE Diary @ Rs 350/PE kit &amp; diary * no of New Peers entering 8th STD. (PKD-1000) - 3.50 L</t>
    </r>
  </si>
  <si>
    <r>
      <rPr>
        <b/>
        <sz val="11"/>
        <rFont val="Calibri"/>
        <family val="2"/>
      </rPr>
      <t xml:space="preserve"> Capacity building including Trainin</t>
    </r>
    <r>
      <rPr>
        <sz val="11"/>
        <rFont val="Calibri"/>
        <family val="2"/>
      </rPr>
      <t xml:space="preserve">g -Organising 2 district level coordination and dissemination workshop for RKSK and AB_SHWP @Rs 5460/workshop ie 5460*2 = 0.109 L 
</t>
    </r>
    <r>
      <rPr>
        <b/>
        <sz val="11"/>
        <rFont val="Calibri"/>
        <family val="2"/>
      </rPr>
      <t xml:space="preserve"> IEC &amp; Printing </t>
    </r>
    <r>
      <rPr>
        <sz val="11"/>
        <rFont val="Calibri"/>
        <family val="2"/>
      </rPr>
      <t xml:space="preserve">
 For printing of AFHC forms for AFHCs @2000/AFHCs(PKD-15) Rs .30 L
 For printing of AFHS Training manuals for MO, ANM Counsellors and Training manuals for PE training @ Rs 200 / manual for all Dist (160 nos/Dist) - Rs 0.32 L
AH- IEC &amp; PRINTING -1.70L Activity Breakup is attached herewith </t>
    </r>
  </si>
  <si>
    <r>
      <rPr>
        <b/>
        <sz val="11"/>
        <rFont val="Calibri"/>
        <family val="2"/>
      </rPr>
      <t>DBT-</t>
    </r>
    <r>
      <rPr>
        <sz val="11"/>
        <rFont val="Calibri"/>
        <family val="2"/>
      </rPr>
      <t xml:space="preserve">Female Public   BPL/SC/ST Sterilization 326 cases@  Rs 1000 per case .
APL  sterilization 978 cases @ Rs. 650 per case 
</t>
    </r>
    <r>
      <rPr>
        <b/>
        <sz val="11"/>
        <rFont val="Calibri"/>
        <family val="2"/>
      </rPr>
      <t>Training</t>
    </r>
    <r>
      <rPr>
        <sz val="11"/>
        <rFont val="Calibri"/>
        <family val="2"/>
      </rPr>
      <t>- Rs 110000 for Laproscopic sterilization(12 days training for 3 participants)</t>
    </r>
  </si>
  <si>
    <r>
      <t xml:space="preserve">
</t>
    </r>
    <r>
      <rPr>
        <b/>
        <sz val="11"/>
        <rFont val="Calibri"/>
        <family val="2"/>
      </rPr>
      <t>1.DBT</t>
    </r>
    <r>
      <rPr>
        <sz val="11"/>
        <rFont val="Calibri"/>
        <family val="2"/>
      </rPr>
      <t xml:space="preserve">
a. Internal IUCD insertion 2149 cases @ Rs 20/beneficiary
b.PPIUCD insertion 78 cases @ Rs 300/beneficiary
c.PAIUCD insertion 4 cases @ Rs 300/beneficiary
</t>
    </r>
    <r>
      <rPr>
        <b/>
        <sz val="11"/>
        <rFont val="Calibri"/>
        <family val="2"/>
      </rPr>
      <t>2. Training</t>
    </r>
    <r>
      <rPr>
        <sz val="11"/>
        <rFont val="Calibri"/>
        <family val="2"/>
      </rPr>
      <t xml:space="preserve">- IUCD training for Medical officers 3 batches @Rs 37500/batch (5 days training with 10 participants)
</t>
    </r>
    <r>
      <rPr>
        <b/>
        <sz val="11"/>
        <rFont val="Calibri"/>
        <family val="2"/>
      </rPr>
      <t>3.ASHA Incentive</t>
    </r>
    <r>
      <rPr>
        <sz val="11"/>
        <rFont val="Calibri"/>
        <family val="2"/>
      </rPr>
      <t xml:space="preserve">
a.PPIUCD insertion 78 cases @ Rs 150/beneficiary
c.PAIUCD insertion 4  cases @ Rs 150/beneficiary
</t>
    </r>
  </si>
  <si>
    <r>
      <rPr>
        <b/>
        <sz val="11"/>
        <rFont val="Calibri"/>
        <family val="2"/>
      </rPr>
      <t xml:space="preserve">Others including operating costs(OOC) Rs.2.4 Lakhs </t>
    </r>
    <r>
      <rPr>
        <sz val="11"/>
        <rFont val="Calibri"/>
        <family val="2"/>
      </rPr>
      <t xml:space="preserve"> Incentives for Peer Educators under NVHCP Rs 10,000/- per month (We already have 2 TCs at District Hospital Palakkad &amp; Govt Medical College Palakkad)
</t>
    </r>
  </si>
  <si>
    <r>
      <rPr>
        <b/>
        <u/>
        <sz val="11"/>
        <rFont val="Calibri"/>
        <family val="2"/>
      </rPr>
      <t>Drugs and supplies</t>
    </r>
    <r>
      <rPr>
        <sz val="11"/>
        <rFont val="Calibri"/>
        <family val="2"/>
      </rPr>
      <t xml:space="preserve">
Management of HAV and HEV patients – budgeted @ Rs 50000/-  per district for necessary investigations, sample transportation and supportive treatment.
</t>
    </r>
    <r>
      <rPr>
        <b/>
        <sz val="11"/>
        <rFont val="Calibri"/>
        <family val="2"/>
      </rPr>
      <t xml:space="preserve">Others including operating costs(OOC) Rs. 1 Lakhs - </t>
    </r>
    <r>
      <rPr>
        <sz val="11"/>
        <rFont val="Calibri"/>
        <family val="2"/>
      </rPr>
      <t>Rs: 0.5 Lakh each for TCs (District Hospital Palakkad &amp; Govt Medical College Palakkad)  - Meeting Costs/Office expenses/Contingency/Management of Hep A &amp; E as Cash Grant</t>
    </r>
  </si>
  <si>
    <r>
      <rPr>
        <b/>
        <sz val="11"/>
        <rFont val="Calibri"/>
        <family val="2"/>
      </rPr>
      <t>Capacity Buidling 16.20 lakhs</t>
    </r>
    <r>
      <rPr>
        <sz val="11"/>
        <rFont val="Calibri"/>
        <family val="2"/>
      </rPr>
      <t xml:space="preserve">
Rs.11 lakhs for 5 batch @0.55  lakhs per batch of 100, on a quarterly basis for refresher training of MLSPs
Rs. 5.20 lakhs @0.40 lakhs per batch for 13 batches for SHC-HWC  team building training. 
</t>
    </r>
    <r>
      <rPr>
        <b/>
        <sz val="11"/>
        <rFont val="Calibri"/>
        <family val="2"/>
      </rPr>
      <t>ASHA Incentives</t>
    </r>
    <r>
      <rPr>
        <sz val="11"/>
        <rFont val="Calibri"/>
        <family val="2"/>
      </rPr>
      <t xml:space="preserve"> Rs.280.20 lakhs @ Rs.1000/- per month for 2335 ASHA for expanded package of services 
</t>
    </r>
    <r>
      <rPr>
        <b/>
        <sz val="11"/>
        <rFont val="Calibri"/>
        <family val="2"/>
      </rPr>
      <t>IEC &amp; PRINTING- 1L</t>
    </r>
    <r>
      <rPr>
        <sz val="11"/>
        <rFont val="Calibri"/>
        <family val="2"/>
      </rPr>
      <t xml:space="preserve"> 
Designing, Printing and installation of posters, banners in all District &amp; Thaluk level Hospitals and HWCs regarding eSanjeevani.  </t>
    </r>
  </si>
  <si>
    <r>
      <rPr>
        <b/>
        <sz val="11"/>
        <rFont val="Calibri"/>
        <family val="2"/>
      </rPr>
      <t xml:space="preserve">OOC- Untied Funds </t>
    </r>
    <r>
      <rPr>
        <sz val="11"/>
        <rFont val="Calibri"/>
        <family val="2"/>
      </rPr>
      <t xml:space="preserve">
1 DH/GH @ Rs.250000/- 
6 SDH @ Rs.1,00,000/-  
19 CHC @ Rs.75000/- 
76 PHC @ Rs.50000/-
504 subcentre @ Rs.10000/- 
1730 VHSC @ Rs.10000/-</t>
    </r>
  </si>
  <si>
    <t>Rs. 1 lakhs for IEC
Rs.50000/- for Training fund 
for enhancing the awareness of DISHA programme across the district</t>
  </si>
  <si>
    <t xml:space="preserve">OOC 
To conduct maternal death audit @ Rs 1321/month (Rs.1321*12=15852, for POL and refreshments)
Planning and M&amp;E 
MDNMSR - Rs 30000/- (2500/meeting*12 meeting ) </t>
  </si>
  <si>
    <r>
      <t xml:space="preserve">
</t>
    </r>
    <r>
      <rPr>
        <b/>
        <sz val="11"/>
        <color theme="1"/>
        <rFont val="Calibri"/>
        <family val="2"/>
      </rPr>
      <t xml:space="preserve"> Capacity building including Training</t>
    </r>
    <r>
      <rPr>
        <sz val="11"/>
        <color theme="1"/>
        <rFont val="Calibri"/>
        <family val="2"/>
      </rPr>
      <t xml:space="preserve"> -Organising 2 district level coordination and dissemination workshop for RKSK and AB_SHWP @Rs 5460/workshop ie 5460*2 = 0.109 L 
 IEC &amp; Printing 
 For printing of AFHC forms for AFHCs @2000/AFHCs (TVM-4) 
 For printing of AFHS Training manuals for MO, ANM Counsellors and Training manuals for PE training @ Rs 200 / manual for all Dist (160 nos/Dist)
AH- IEC &amp; PRINTING -1.75L Activity Breakup is attached</t>
    </r>
  </si>
  <si>
    <t xml:space="preserve">IEC &amp; PRINTING- 0.5L (Activity breakup details attached)
Asha Incentive - ASHA incentive under MAA programme @ Rs 100 per ASHA for quarterly mother's meeting : Rs 400 * 2563 ASHAs = 10,25,200/-                                                                                                                   </t>
  </si>
  <si>
    <t>Diagnostics - A) Consumables, stationaries &amp; equipment maintenance for 
1 CLMC @ Rs.249000 as recurring cost. Rs.249000 x 1 CLMC (SAT) = Rs. 2,49,000/- 
B) Consumables and stationaries for proposed 1 LMU @ Rs.105000 as recurring cost. Rs.105000 x 1 = Rs.1,05,000/-</t>
  </si>
  <si>
    <t>73.1 – DBT – Rs. 2.61 Lakhs:- Treatment Supporter Honorarium (Rs.1000) 
73.2 - Infrastructure - Civil - Rs 2.50 lakhs 
73.3 - Equipments - Rs. 8.40 Lakhs -  
73.4 - Drugs - Rs. 2.90 Lakhs - 
73.5 - Diagnostics - Rs. 12.00 Lakhs - 
73.6 - Capacity building Incl. training - Rs. 8.50 Lakhs 
73.8 - Others including operating costs (OOC) - Rs. 3.45 Lakhs
73.10 - Planning &amp; M&amp;E - Rs. 18 Lakhs  - 
73.11 - Surveillance, Research, Review, Evaluation (SRRE) - Rs. 0.85 Lakhs  - Support for State &amp; District level/TU/LSG TB Forums(Treatment Support Groups) functioning including meeting cost, travel support to community members attending meeting, etc.</t>
  </si>
  <si>
    <t>Kayakalp Assessments Rs 500 for UPHC for internal assessment Rs 5000 for peer assessment and  Rs  8000 for  for external assessment                                      Kayakalp Assessments 1L, Rs.10000 for EQAS</t>
  </si>
  <si>
    <r>
      <rPr>
        <b/>
        <sz val="11"/>
        <color theme="1"/>
        <rFont val="Calibri"/>
        <family val="2"/>
      </rPr>
      <t xml:space="preserve">a.Equipment 
</t>
    </r>
    <r>
      <rPr>
        <sz val="11"/>
        <color theme="1"/>
        <rFont val="Calibri"/>
        <family val="2"/>
      </rPr>
      <t xml:space="preserve">A total of Rs.11.90 L allotted for External Quality Assurance of LABS 
EQAS Priority should be given to the targeted institutions for NQAS.
</t>
    </r>
    <r>
      <rPr>
        <b/>
        <sz val="11"/>
        <color theme="1"/>
        <rFont val="Calibri"/>
        <family val="2"/>
      </rPr>
      <t>b .Capacity building including training-</t>
    </r>
    <r>
      <rPr>
        <sz val="11"/>
        <color theme="1"/>
        <rFont val="Calibri"/>
        <family val="2"/>
      </rPr>
      <t xml:space="preserve">Rs.14.40 L 
</t>
    </r>
    <r>
      <rPr>
        <b/>
        <sz val="11"/>
        <color theme="1"/>
        <rFont val="Calibri"/>
        <family val="2"/>
      </rPr>
      <t>b.1. NQAS District Level Training -</t>
    </r>
    <r>
      <rPr>
        <sz val="11"/>
        <color theme="1"/>
        <rFont val="Calibri"/>
        <family val="2"/>
      </rPr>
      <t xml:space="preserve">An amount of Rs.1.66 Lakhs  for NQAS district level training 
</t>
    </r>
    <r>
      <rPr>
        <b/>
        <sz val="11"/>
        <color theme="1"/>
        <rFont val="Calibri"/>
        <family val="2"/>
      </rPr>
      <t>b.2 Kayakalp refresher training</t>
    </r>
    <r>
      <rPr>
        <sz val="11"/>
        <color theme="1"/>
        <rFont val="Calibri"/>
        <family val="2"/>
      </rPr>
      <t xml:space="preserve">   -A total of 12.74 L  for 
</t>
    </r>
    <r>
      <rPr>
        <b/>
        <sz val="11"/>
        <color theme="1"/>
        <rFont val="Calibri"/>
        <family val="2"/>
      </rPr>
      <t>b.2.1 District Level Trainings under Kayakalp</t>
    </r>
    <r>
      <rPr>
        <sz val="11"/>
        <color theme="1"/>
        <rFont val="Calibri"/>
        <family val="2"/>
      </rPr>
      <t xml:space="preserve"> Rs.54,000/- for District Level refresher trainings/ Internal Assessor workshop under Kayakalp.
</t>
    </r>
    <r>
      <rPr>
        <b/>
        <sz val="11"/>
        <color theme="1"/>
        <rFont val="Calibri"/>
        <family val="2"/>
      </rPr>
      <t>b.2.2 Facility Level Kayakalp Training on "Swachh Bharat Abhiyan</t>
    </r>
    <r>
      <rPr>
        <sz val="11"/>
        <color theme="1"/>
        <rFont val="Calibri"/>
        <family val="2"/>
      </rPr>
      <t xml:space="preserve">“- Rs. 12.20L.  
</t>
    </r>
    <r>
      <rPr>
        <b/>
        <sz val="11"/>
        <color theme="1"/>
        <rFont val="Calibri"/>
        <family val="2"/>
      </rPr>
      <t xml:space="preserve">c. OOC  Total of Rs.32.08L allotted
</t>
    </r>
    <r>
      <rPr>
        <sz val="11"/>
        <color theme="1"/>
        <rFont val="Calibri"/>
        <family val="2"/>
      </rPr>
      <t xml:space="preserve">c.1 Rs.5 L for  District  Level Assessment &amp; Mentoring Visit including Vehicle for field visit in Districts for Quality Program.
c.2 Rs.27.08 lakhs for assessments (National/state/NQAS, MusQan)  (1 DH, 1SDH, 1 CHC, 10 PHC, 10 SC)
</t>
    </r>
    <r>
      <rPr>
        <b/>
        <sz val="11"/>
        <color theme="1"/>
        <rFont val="Calibri"/>
        <family val="2"/>
      </rPr>
      <t xml:space="preserve">d. IEC/BCC
</t>
    </r>
    <r>
      <rPr>
        <sz val="11"/>
        <color theme="1"/>
        <rFont val="Calibri"/>
        <family val="2"/>
      </rPr>
      <t xml:space="preserve">Rs.1 L   is allotted for IEC &amp; Printing for providing                                                    Signage’s-Districts can prioritize the needy institutions based on gap analysis. Not exceeding maximum of Rs.50,000/- per institution. 
</t>
    </r>
    <r>
      <rPr>
        <b/>
        <sz val="11"/>
        <color theme="1"/>
        <rFont val="Calibri"/>
        <family val="2"/>
      </rPr>
      <t>e.Planning &amp; M&amp;E</t>
    </r>
    <r>
      <rPr>
        <sz val="11"/>
        <color theme="1"/>
        <rFont val="Calibri"/>
        <family val="2"/>
      </rPr>
      <t xml:space="preserve">.Rs.0.79L                                                                                </t>
    </r>
  </si>
  <si>
    <r>
      <t xml:space="preserve">Diagnostics: Rs.28.90 L 
Consumables related to implementation of infection control practices in hospital/ hospital laboratory including cost of water testing /environmental swab/sample testing, autoclave bags, indicator strips etc.
 Priority should be given to the targeted institutions for NQAS.
</t>
    </r>
    <r>
      <rPr>
        <b/>
        <sz val="11"/>
        <color theme="1"/>
        <rFont val="Calibri"/>
        <family val="2"/>
      </rPr>
      <t xml:space="preserve">OOC-75.15 lakhs
</t>
    </r>
    <r>
      <rPr>
        <sz val="11"/>
        <color theme="1"/>
        <rFont val="Calibri"/>
        <family val="2"/>
      </rPr>
      <t xml:space="preserve">1 Expenses for Kayakalp Peer Assessment of institutions - Rs.13.55 L.  
2 BIOMEDICAL WASTE MANAGEMENT-  28.60L  Support for the implementation of Kayakalp                                            
3 Pest Control- Rs.17.50L 
4 Support for NQAS/KASH/MusQan Implementation for the gap closure in targeted institutions  Rs.15L for District for identified target institutions on priority basis. 
5. Rs.0.50 L for District Level Award function and District Assessment.
</t>
    </r>
    <r>
      <rPr>
        <b/>
        <sz val="11"/>
        <color theme="1"/>
        <rFont val="Calibri"/>
        <family val="2"/>
      </rPr>
      <t>IEC/BCC</t>
    </r>
    <r>
      <rPr>
        <sz val="11"/>
        <color theme="1"/>
        <rFont val="Calibri"/>
        <family val="2"/>
      </rPr>
      <t xml:space="preserve"> (Printing of SOPs necessary for Implementation of NQAS, Kayakalp, LaQshya, MusQan) – Total 10.10 L.
The SOP printing amount for the HWC-SCs under PHC  shall be given by the PHC. Out of Rs.5,000/-, Rs.3,000/- for PHC and Rs.2000/- for HWC-SC) </t>
    </r>
  </si>
  <si>
    <r>
      <rPr>
        <b/>
        <sz val="11"/>
        <color theme="1"/>
        <rFont val="Calibri"/>
        <family val="2"/>
      </rPr>
      <t>IEC &amp; PRINTING</t>
    </r>
    <r>
      <rPr>
        <sz val="11"/>
        <color theme="1"/>
        <rFont val="Calibri"/>
        <family val="2"/>
      </rPr>
      <t xml:space="preserve">- 2.11L (Activity breakup details attached)
</t>
    </r>
    <r>
      <rPr>
        <b/>
        <sz val="11"/>
        <color theme="1"/>
        <rFont val="Calibri"/>
        <family val="2"/>
      </rPr>
      <t>Planning and M&amp;E</t>
    </r>
    <r>
      <rPr>
        <sz val="11"/>
        <color theme="1"/>
        <rFont val="Calibri"/>
        <family val="2"/>
      </rPr>
      <t xml:space="preserve">
1. 10 HMIS / RCH training cum review meeting @ unit cost 10000/- at District level
2 HMIS / RCH training cum review meeting per health Block @ unit cost 10000/--19 blocks 
SRRE  Rs. 35000/-  internet annual user fee for ( 16 UPHCs implemented ehealth)</t>
    </r>
  </si>
  <si>
    <r>
      <rPr>
        <b/>
        <sz val="11"/>
        <color theme="1"/>
        <rFont val="Calibri"/>
        <family val="2"/>
      </rPr>
      <t>FY 2024-2025</t>
    </r>
    <r>
      <rPr>
        <sz val="11"/>
        <color theme="1"/>
        <rFont val="Calibri"/>
        <family val="2"/>
      </rPr>
      <t xml:space="preserve">
 i)Capacity building
Training of Specialist doctors, MOs, Staff Nurse, MLSP, Palliative care staffs, ASHA workers, RBSK Nurses, UPHC Staffs, JPHN, JHI, Medical College staff @Rs 0.25 lakhs per batch. 
ii) )Other operating cost : .
a) Remuneration for Doctors for state hub
Speciality doctor 21, number of calls 30 @ Rs.100/- 313 days
MBBS doctor 35, number of calls 38@ Rs.50/- for 313 days
b). For establishment of 5 Telemedicine units @Rs. 70,000 per unit. Total Rs.3.5 Lac
 iii) Planning &amp; M&amp;E Rs 0.05 lakhs for district review meeting.
</t>
    </r>
    <r>
      <rPr>
        <b/>
        <sz val="11"/>
        <color theme="1"/>
        <rFont val="Calibri"/>
        <family val="2"/>
      </rPr>
      <t>FY 2025-2026</t>
    </r>
    <r>
      <rPr>
        <sz val="11"/>
        <color theme="1"/>
        <rFont val="Calibri"/>
        <family val="2"/>
      </rPr>
      <t xml:space="preserve">
Other operating cost : .
a). For establishment of 5 Telemedicine units @Rs. 70,000 per unit. 
 iii) Planning &amp; M&amp;E Rs 0.05 lakhs for district review meeting.</t>
    </r>
  </si>
</sst>
</file>

<file path=xl/styles.xml><?xml version="1.0" encoding="utf-8"?>
<styleSheet xmlns="http://schemas.openxmlformats.org/spreadsheetml/2006/main">
  <numFmts count="10">
    <numFmt numFmtId="43" formatCode="_(* #,##0.00_);_(* \(#,##0.00\);_(* &quot;-&quot;??_);_(@_)"/>
    <numFmt numFmtId="164" formatCode="_ * #,##0.00_ ;_ * \-#,##0.00_ ;_ * &quot;-&quot;??_ ;_ @_ "/>
    <numFmt numFmtId="165" formatCode="_ * #,##0.00_ ;_ * \-#,##0.00_ ;_ * &quot;-&quot;??.0_ ;_ @_ "/>
    <numFmt numFmtId="166" formatCode="0.0000"/>
    <numFmt numFmtId="167" formatCode="0.000"/>
    <numFmt numFmtId="168" formatCode="_ * #,##0.00_ ;_ * \-#,##0.00_ ;_ * \-??_ ;_ @_ "/>
    <numFmt numFmtId="169" formatCode="0.0"/>
    <numFmt numFmtId="170" formatCode="_ * #,##0.0000_ ;_ * \-#,##0.0000_ ;_ * &quot;-&quot;??.00_ ;_ @_ "/>
    <numFmt numFmtId="171" formatCode="_ * #,##0.000_ ;_ * \-#,##0.000_ ;_ * &quot;-&quot;??.0_ ;_ @_ "/>
    <numFmt numFmtId="172" formatCode="0.00000"/>
  </numFmts>
  <fonts count="121">
    <font>
      <sz val="11"/>
      <color theme="1"/>
      <name val="Calibri"/>
      <scheme val="minor"/>
    </font>
    <font>
      <b/>
      <sz val="11"/>
      <color theme="1"/>
      <name val="Calibri"/>
      <family val="2"/>
    </font>
    <font>
      <sz val="11"/>
      <color theme="1"/>
      <name val="Calibri"/>
      <family val="2"/>
    </font>
    <font>
      <sz val="11"/>
      <name val="Calibri"/>
      <family val="2"/>
    </font>
    <font>
      <b/>
      <sz val="11"/>
      <color theme="1"/>
      <name val="Times New Roman"/>
      <family val="1"/>
    </font>
    <font>
      <sz val="10"/>
      <color theme="1"/>
      <name val="Calibri"/>
      <family val="2"/>
    </font>
    <font>
      <sz val="12"/>
      <color theme="1"/>
      <name val="Times New Roman"/>
      <family val="1"/>
    </font>
    <font>
      <sz val="11"/>
      <color rgb="FF000000"/>
      <name val="Calibri"/>
      <family val="2"/>
    </font>
    <font>
      <b/>
      <sz val="11"/>
      <color rgb="FF000000"/>
      <name val="Calibri"/>
      <family val="2"/>
    </font>
    <font>
      <sz val="12"/>
      <color rgb="FF000000"/>
      <name val="Times New Roman"/>
      <family val="1"/>
    </font>
    <font>
      <sz val="11"/>
      <color rgb="FF000000"/>
      <name val="Calibri"/>
      <family val="2"/>
    </font>
    <font>
      <sz val="11"/>
      <color theme="1"/>
      <name val="Times New Roman"/>
      <family val="1"/>
    </font>
    <font>
      <sz val="12"/>
      <color theme="1"/>
      <name val="Calibri"/>
      <family val="2"/>
    </font>
    <font>
      <sz val="14"/>
      <color theme="1"/>
      <name val="Times New Roman"/>
      <family val="1"/>
    </font>
    <font>
      <b/>
      <sz val="13"/>
      <color rgb="FFFF0000"/>
      <name val="Calibri"/>
      <family val="2"/>
    </font>
    <font>
      <b/>
      <sz val="13"/>
      <color rgb="FF0000FF"/>
      <name val="Calibri"/>
      <family val="2"/>
    </font>
    <font>
      <sz val="12"/>
      <color rgb="FF000000"/>
      <name val="Calibri"/>
      <family val="2"/>
    </font>
    <font>
      <b/>
      <sz val="11"/>
      <color rgb="FF000000"/>
      <name val="&quot;Times New Roman&quot;"/>
    </font>
    <font>
      <b/>
      <sz val="11"/>
      <color rgb="FF000000"/>
      <name val="&quot;Times New Roman&quot;"/>
    </font>
    <font>
      <sz val="12"/>
      <color rgb="FF000000"/>
      <name val="&quot;Times New Roman&quot;"/>
    </font>
    <font>
      <sz val="11"/>
      <color rgb="FF000000"/>
      <name val="&quot;Times New Roman&quot;"/>
    </font>
    <font>
      <sz val="13"/>
      <color rgb="FF000000"/>
      <name val="&quot;Times New Roman&quot;"/>
    </font>
    <font>
      <b/>
      <sz val="12"/>
      <color rgb="FF000000"/>
      <name val="&quot;Times New Roman&quot;"/>
    </font>
    <font>
      <b/>
      <sz val="12"/>
      <color theme="1"/>
      <name val="Calibri"/>
      <family val="2"/>
    </font>
    <font>
      <b/>
      <sz val="12"/>
      <color rgb="FF000000"/>
      <name val="Calibri"/>
      <family val="2"/>
    </font>
    <font>
      <b/>
      <sz val="12"/>
      <color rgb="FFFF0000"/>
      <name val="Calibri"/>
      <family val="2"/>
    </font>
    <font>
      <b/>
      <sz val="14"/>
      <color theme="1"/>
      <name val="Times New Roman"/>
      <family val="1"/>
    </font>
    <font>
      <sz val="14"/>
      <color rgb="FFFF0000"/>
      <name val="Times New Roman"/>
      <family val="1"/>
    </font>
    <font>
      <b/>
      <sz val="13"/>
      <color theme="1"/>
      <name val="Times New Roman"/>
      <family val="1"/>
    </font>
    <font>
      <b/>
      <sz val="10"/>
      <color theme="1"/>
      <name val="Times New Roman"/>
      <family val="1"/>
    </font>
    <font>
      <b/>
      <sz val="11"/>
      <color rgb="FF000000"/>
      <name val="Times New Roman"/>
      <family val="1"/>
    </font>
    <font>
      <b/>
      <sz val="10"/>
      <color rgb="FF000000"/>
      <name val="Times New Roman"/>
      <family val="1"/>
    </font>
    <font>
      <b/>
      <sz val="11"/>
      <color rgb="FF0000FF"/>
      <name val="Times New Roman"/>
      <family val="1"/>
    </font>
    <font>
      <b/>
      <sz val="11"/>
      <color rgb="FFFF00FF"/>
      <name val="Times New Roman"/>
      <family val="1"/>
    </font>
    <font>
      <b/>
      <sz val="12"/>
      <color rgb="FF000000"/>
      <name val="Times New Roman"/>
      <family val="1"/>
    </font>
    <font>
      <b/>
      <sz val="13"/>
      <color rgb="FFFF00FF"/>
      <name val="Times New Roman"/>
      <family val="1"/>
    </font>
    <font>
      <b/>
      <sz val="13"/>
      <color rgb="FFFF0000"/>
      <name val="Times New Roman"/>
      <family val="1"/>
    </font>
    <font>
      <b/>
      <sz val="13"/>
      <color rgb="FF0000FF"/>
      <name val="Times New Roman"/>
      <family val="1"/>
    </font>
    <font>
      <sz val="11"/>
      <color rgb="FF000000"/>
      <name val="Times New Roman"/>
      <family val="1"/>
    </font>
    <font>
      <sz val="10"/>
      <color rgb="FF000000"/>
      <name val="Times New Roman"/>
      <family val="1"/>
    </font>
    <font>
      <b/>
      <sz val="11"/>
      <color rgb="FFFF0000"/>
      <name val="Times New Roman"/>
      <family val="1"/>
    </font>
    <font>
      <b/>
      <sz val="12"/>
      <color rgb="FF0000FF"/>
      <name val="Times New Roman"/>
      <family val="1"/>
    </font>
    <font>
      <b/>
      <sz val="12"/>
      <color rgb="FFFF00FF"/>
      <name val="Times New Roman"/>
      <family val="1"/>
    </font>
    <font>
      <b/>
      <sz val="12"/>
      <color theme="1"/>
      <name val="Times New Roman"/>
      <family val="1"/>
    </font>
    <font>
      <sz val="11"/>
      <color rgb="FF000000"/>
      <name val="&quot;Times New Roman&quot;"/>
    </font>
    <font>
      <sz val="11"/>
      <color theme="1"/>
      <name val="Times New Roman"/>
      <family val="1"/>
    </font>
    <font>
      <b/>
      <u/>
      <sz val="11"/>
      <color rgb="FF000000"/>
      <name val="Calibri"/>
      <family val="2"/>
    </font>
    <font>
      <b/>
      <u/>
      <sz val="11"/>
      <color rgb="FF000000"/>
      <name val="Calibri"/>
      <family val="2"/>
    </font>
    <font>
      <sz val="13"/>
      <color theme="1"/>
      <name val="Times New Roman"/>
      <family val="1"/>
    </font>
    <font>
      <sz val="11"/>
      <color rgb="FFFF0000"/>
      <name val="Times New Roman"/>
      <family val="1"/>
    </font>
    <font>
      <sz val="9"/>
      <color rgb="FF1F1F1F"/>
      <name val="Times New Roman"/>
      <family val="1"/>
    </font>
    <font>
      <b/>
      <sz val="13"/>
      <color rgb="FF000000"/>
      <name val="Times New Roman"/>
      <family val="1"/>
    </font>
    <font>
      <sz val="11"/>
      <color rgb="FF980000"/>
      <name val="Times New Roman"/>
      <family val="1"/>
    </font>
    <font>
      <sz val="12"/>
      <color rgb="FF000000"/>
      <name val="&quot;Calibri Light&quot;"/>
    </font>
    <font>
      <sz val="9"/>
      <color rgb="FF1155CC"/>
      <name val="&quot;Google Sans Mono&quot;"/>
    </font>
    <font>
      <sz val="13"/>
      <color rgb="FF980000"/>
      <name val="Times New Roman"/>
      <family val="1"/>
    </font>
    <font>
      <sz val="11"/>
      <color rgb="FF000000"/>
      <name val="Arial"/>
      <family val="2"/>
    </font>
    <font>
      <sz val="12"/>
      <color rgb="FF000000"/>
      <name val="Arial"/>
      <family val="2"/>
    </font>
    <font>
      <sz val="11"/>
      <color rgb="FF1F1F1F"/>
      <name val="&quot;Google Sans&quot;"/>
    </font>
    <font>
      <b/>
      <sz val="13"/>
      <color rgb="FF000000"/>
      <name val="&quot;Times New Roman&quot;"/>
    </font>
    <font>
      <sz val="12"/>
      <color rgb="FF1F1F1F"/>
      <name val="Times New Roman"/>
      <family val="1"/>
    </font>
    <font>
      <sz val="12"/>
      <color theme="1"/>
      <name val="Calibri"/>
      <family val="2"/>
      <scheme val="minor"/>
    </font>
    <font>
      <sz val="11"/>
      <color rgb="FFFF00FF"/>
      <name val="Times New Roman"/>
      <family val="1"/>
    </font>
    <font>
      <sz val="12"/>
      <color rgb="FFFF0000"/>
      <name val="Calibri"/>
      <family val="2"/>
    </font>
    <font>
      <b/>
      <sz val="14"/>
      <color theme="1"/>
      <name val="&quot;Times New Roman&quot;"/>
    </font>
    <font>
      <sz val="12"/>
      <color rgb="FFFF0000"/>
      <name val="Times New Roman"/>
      <family val="1"/>
    </font>
    <font>
      <u/>
      <sz val="12"/>
      <color rgb="FF0000FF"/>
      <name val="Calibri"/>
      <family val="2"/>
    </font>
    <font>
      <sz val="12"/>
      <color rgb="FF4F81BD"/>
      <name val="&quot;Times New Roman&quot;"/>
    </font>
    <font>
      <sz val="12"/>
      <color theme="1"/>
      <name val="&quot;Times New Roman&quot;"/>
    </font>
    <font>
      <b/>
      <sz val="11"/>
      <color theme="1"/>
      <name val="Calibri"/>
      <family val="2"/>
      <scheme val="minor"/>
    </font>
    <font>
      <sz val="11"/>
      <color rgb="FF000000"/>
      <name val="Calibri, sans-serif"/>
    </font>
    <font>
      <b/>
      <sz val="12"/>
      <color rgb="FF000000"/>
      <name val="&quot;Times New Roman&quot;, serif"/>
    </font>
    <font>
      <sz val="12"/>
      <color rgb="FFFF00FF"/>
      <name val="Times New Roman"/>
      <family val="1"/>
    </font>
    <font>
      <u/>
      <sz val="12"/>
      <color rgb="FF000000"/>
      <name val="Times New Roman"/>
      <family val="1"/>
    </font>
    <font>
      <sz val="12"/>
      <color rgb="FF000000"/>
      <name val="&quot;Times New Roman&quot;, serif"/>
    </font>
    <font>
      <sz val="11"/>
      <color rgb="FF980000"/>
      <name val="Calibri, sans-serif"/>
    </font>
    <font>
      <b/>
      <sz val="11"/>
      <color rgb="FF980000"/>
      <name val="Times New Roman"/>
      <family val="1"/>
    </font>
    <font>
      <sz val="11"/>
      <color rgb="FFE06666"/>
      <name val="Times New Roman"/>
      <family val="1"/>
    </font>
    <font>
      <b/>
      <sz val="11"/>
      <color rgb="FFE06666"/>
      <name val="Times New Roman"/>
      <family val="1"/>
    </font>
    <font>
      <sz val="11"/>
      <color rgb="FF38761D"/>
      <name val="Times New Roman"/>
      <family val="1"/>
    </font>
    <font>
      <sz val="11"/>
      <color rgb="FFFF9900"/>
      <name val="Times New Roman"/>
      <family val="1"/>
    </font>
    <font>
      <b/>
      <sz val="15"/>
      <color theme="1"/>
      <name val="Times New Roman"/>
      <family val="1"/>
    </font>
    <font>
      <sz val="12"/>
      <color rgb="FF0000FF"/>
      <name val="Times New Roman"/>
      <family val="1"/>
    </font>
    <font>
      <b/>
      <sz val="12"/>
      <color rgb="FFFF0000"/>
      <name val="Times New Roman"/>
      <family val="1"/>
    </font>
    <font>
      <b/>
      <i/>
      <sz val="11"/>
      <color rgb="FF000000"/>
      <name val="Times New Roman"/>
      <family val="1"/>
    </font>
    <font>
      <b/>
      <i/>
      <sz val="12"/>
      <color theme="1"/>
      <name val="Times New Roman"/>
      <family val="1"/>
    </font>
    <font>
      <b/>
      <i/>
      <sz val="13"/>
      <color theme="1"/>
      <name val="Times New Roman"/>
      <family val="1"/>
    </font>
    <font>
      <b/>
      <i/>
      <sz val="11"/>
      <color theme="1"/>
      <name val="Times New Roman"/>
      <family val="1"/>
    </font>
    <font>
      <b/>
      <sz val="12"/>
      <color rgb="FF1F1F1F"/>
      <name val="Times New Roman"/>
      <family val="1"/>
    </font>
    <font>
      <sz val="12"/>
      <color rgb="FF980000"/>
      <name val="Times New Roman"/>
      <family val="1"/>
    </font>
    <font>
      <b/>
      <sz val="12"/>
      <color rgb="FF980000"/>
      <name val="Times New Roman"/>
      <family val="1"/>
    </font>
    <font>
      <b/>
      <sz val="11"/>
      <color theme="1"/>
      <name val="&quot;Times New Roman&quot;, &quot;serif&quot;"/>
    </font>
    <font>
      <sz val="11"/>
      <color theme="1"/>
      <name val="&quot;Times New Roman&quot;, &quot;serif&quot;"/>
    </font>
    <font>
      <b/>
      <sz val="12"/>
      <color theme="1"/>
      <name val="&quot;Times New Roman&quot;, &quot;serif&quot;"/>
    </font>
    <font>
      <sz val="12"/>
      <color theme="1"/>
      <name val="&quot;Times New Roman&quot;, &quot;serif&quot;"/>
    </font>
    <font>
      <b/>
      <u/>
      <sz val="12"/>
      <color theme="1"/>
      <name val="Times New Roman"/>
      <family val="1"/>
    </font>
    <font>
      <b/>
      <u/>
      <sz val="12"/>
      <color rgb="FFFF0000"/>
      <name val="Times New Roman"/>
      <family val="1"/>
    </font>
    <font>
      <u/>
      <sz val="12"/>
      <color theme="1"/>
      <name val="Times New Roman"/>
      <family val="1"/>
    </font>
    <font>
      <i/>
      <sz val="12"/>
      <color theme="1"/>
      <name val="Times New Roman"/>
      <family val="1"/>
    </font>
    <font>
      <b/>
      <u/>
      <sz val="12"/>
      <color rgb="FF000000"/>
      <name val="Times New Roman"/>
      <family val="1"/>
    </font>
    <font>
      <i/>
      <sz val="12"/>
      <color rgb="FF000000"/>
      <name val="Times New Roman"/>
      <family val="1"/>
    </font>
    <font>
      <sz val="12"/>
      <name val="Calibri"/>
      <family val="2"/>
    </font>
    <font>
      <u/>
      <sz val="12"/>
      <color rgb="FF1155CC"/>
      <name val="Calibri"/>
      <family val="2"/>
    </font>
    <font>
      <b/>
      <sz val="12"/>
      <name val="Calibri"/>
      <family val="2"/>
    </font>
    <font>
      <b/>
      <sz val="12"/>
      <color theme="1"/>
      <name val="Calibri, sans-serif"/>
    </font>
    <font>
      <sz val="12"/>
      <color theme="1"/>
      <name val="Calibri, sans-serif"/>
    </font>
    <font>
      <sz val="10"/>
      <color rgb="FF000000"/>
      <name val="Arial"/>
      <family val="2"/>
    </font>
    <font>
      <b/>
      <sz val="16"/>
      <color theme="1"/>
      <name val="Calibri"/>
      <family val="2"/>
    </font>
    <font>
      <b/>
      <sz val="11"/>
      <color rgb="FFFF00FF"/>
      <name val="Calibri"/>
      <family val="2"/>
    </font>
    <font>
      <b/>
      <sz val="11"/>
      <color rgb="FFFF0000"/>
      <name val="Calibri"/>
      <family val="2"/>
    </font>
    <font>
      <b/>
      <sz val="11"/>
      <color rgb="FF0000FF"/>
      <name val="Calibri"/>
      <family val="2"/>
    </font>
    <font>
      <b/>
      <sz val="11"/>
      <name val="Calibri"/>
      <family val="2"/>
    </font>
    <font>
      <sz val="10"/>
      <name val="Calibri"/>
      <family val="2"/>
    </font>
    <font>
      <b/>
      <sz val="10"/>
      <name val="Calibri"/>
      <family val="2"/>
    </font>
    <font>
      <b/>
      <u/>
      <sz val="10"/>
      <name val="Calibri"/>
      <family val="2"/>
    </font>
    <font>
      <u/>
      <sz val="11"/>
      <name val="Calibri"/>
      <family val="2"/>
    </font>
    <font>
      <b/>
      <sz val="16"/>
      <name val="Calibri"/>
      <family val="2"/>
    </font>
    <font>
      <b/>
      <u/>
      <sz val="11"/>
      <name val="Calibri"/>
      <family val="2"/>
    </font>
    <font>
      <b/>
      <u/>
      <sz val="11"/>
      <color rgb="FF0000FF"/>
      <name val="Calibri"/>
      <family val="2"/>
    </font>
    <font>
      <sz val="11"/>
      <color rgb="FFFF00FF"/>
      <name val="Calibri"/>
      <family val="2"/>
    </font>
    <font>
      <sz val="11"/>
      <color rgb="FFFF0000"/>
      <name val="Calibri"/>
      <family val="2"/>
    </font>
  </fonts>
  <fills count="24">
    <fill>
      <patternFill patternType="none"/>
    </fill>
    <fill>
      <patternFill patternType="gray125"/>
    </fill>
    <fill>
      <patternFill patternType="solid">
        <fgColor rgb="FFFFFF00"/>
        <bgColor rgb="FFFFFF00"/>
      </patternFill>
    </fill>
    <fill>
      <patternFill patternType="solid">
        <fgColor rgb="FFFFC000"/>
        <bgColor rgb="FFFFC000"/>
      </patternFill>
    </fill>
    <fill>
      <patternFill patternType="solid">
        <fgColor rgb="FF92D050"/>
        <bgColor rgb="FF92D050"/>
      </patternFill>
    </fill>
    <fill>
      <patternFill patternType="solid">
        <fgColor rgb="FFFF9900"/>
        <bgColor rgb="FFFF9900"/>
      </patternFill>
    </fill>
    <fill>
      <patternFill patternType="solid">
        <fgColor rgb="FFFF00FF"/>
        <bgColor rgb="FFFF00FF"/>
      </patternFill>
    </fill>
    <fill>
      <patternFill patternType="solid">
        <fgColor rgb="FFFFFFFF"/>
        <bgColor rgb="FFFFFFFF"/>
      </patternFill>
    </fill>
    <fill>
      <patternFill patternType="solid">
        <fgColor theme="0"/>
        <bgColor theme="0"/>
      </patternFill>
    </fill>
    <fill>
      <patternFill patternType="solid">
        <fgColor rgb="FF00FFFF"/>
        <bgColor rgb="FF00FFFF"/>
      </patternFill>
    </fill>
    <fill>
      <patternFill patternType="solid">
        <fgColor rgb="FFFF0000"/>
        <bgColor rgb="FFFF0000"/>
      </patternFill>
    </fill>
    <fill>
      <patternFill patternType="solid">
        <fgColor rgb="FFFFD966"/>
        <bgColor rgb="FFFFD966"/>
      </patternFill>
    </fill>
    <fill>
      <patternFill patternType="solid">
        <fgColor rgb="FFF4CCCC"/>
        <bgColor rgb="FFF4CCCC"/>
      </patternFill>
    </fill>
    <fill>
      <patternFill patternType="solid">
        <fgColor rgb="FFFFE599"/>
        <bgColor rgb="FFFFE599"/>
      </patternFill>
    </fill>
    <fill>
      <patternFill patternType="solid">
        <fgColor rgb="FFB6DDE8"/>
        <bgColor rgb="FFB6DDE8"/>
      </patternFill>
    </fill>
    <fill>
      <patternFill patternType="solid">
        <fgColor rgb="FF00FF00"/>
        <bgColor rgb="FF00FF00"/>
      </patternFill>
    </fill>
    <fill>
      <patternFill patternType="solid">
        <fgColor rgb="FFFCE5CD"/>
        <bgColor rgb="FFFCE5CD"/>
      </patternFill>
    </fill>
    <fill>
      <patternFill patternType="solid">
        <fgColor rgb="FFB6D7A8"/>
        <bgColor rgb="FFB6D7A8"/>
      </patternFill>
    </fill>
    <fill>
      <patternFill patternType="solid">
        <fgColor rgb="FFD9EAD3"/>
        <bgColor rgb="FFD9EAD3"/>
      </patternFill>
    </fill>
    <fill>
      <patternFill patternType="solid">
        <fgColor rgb="FF93C47D"/>
        <bgColor rgb="FF93C47D"/>
      </patternFill>
    </fill>
    <fill>
      <patternFill patternType="solid">
        <fgColor rgb="FFFFC000"/>
        <bgColor indexed="64"/>
      </patternFill>
    </fill>
    <fill>
      <patternFill patternType="solid">
        <fgColor rgb="FF92D050"/>
        <bgColor indexed="64"/>
      </patternFill>
    </fill>
    <fill>
      <patternFill patternType="solid">
        <fgColor rgb="FFFFC000"/>
        <bgColor rgb="FFFFFF00"/>
      </patternFill>
    </fill>
    <fill>
      <patternFill patternType="solid">
        <fgColor rgb="FFFFC000"/>
        <bgColor rgb="FF00FFFF"/>
      </patternFill>
    </fill>
  </fills>
  <borders count="16">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style="thin">
        <color rgb="FF000000"/>
      </right>
      <top/>
      <bottom/>
      <diagonal/>
    </border>
    <border>
      <left style="thin">
        <color rgb="FF000000"/>
      </left>
      <right/>
      <top/>
      <bottom style="thin">
        <color rgb="FF000000"/>
      </bottom>
      <diagonal/>
    </border>
    <border>
      <left/>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s>
  <cellStyleXfs count="3">
    <xf numFmtId="0" fontId="0" fillId="0" borderId="0"/>
    <xf numFmtId="0" fontId="106" fillId="0" borderId="13"/>
    <xf numFmtId="164" fontId="106" fillId="0" borderId="13" applyFont="0" applyFill="0" applyBorder="0" applyAlignment="0" applyProtection="0"/>
  </cellStyleXfs>
  <cellXfs count="1270">
    <xf numFmtId="0" fontId="0" fillId="0" borderId="0" xfId="0" applyFont="1" applyAlignment="1"/>
    <xf numFmtId="0" fontId="1" fillId="0" borderId="0" xfId="0" applyFont="1" applyAlignment="1">
      <alignment horizontal="left" vertical="center"/>
    </xf>
    <xf numFmtId="0" fontId="2" fillId="0" borderId="0" xfId="0" applyFont="1" applyAlignment="1">
      <alignment horizontal="center" wrapText="1"/>
    </xf>
    <xf numFmtId="0" fontId="2" fillId="0" borderId="0" xfId="0" applyFont="1" applyAlignment="1">
      <alignment horizontal="center" vertical="center" wrapText="1"/>
    </xf>
    <xf numFmtId="0" fontId="2" fillId="0" borderId="0" xfId="0" applyFont="1" applyAlignment="1">
      <alignment wrapText="1"/>
    </xf>
    <xf numFmtId="2" fontId="4" fillId="3" borderId="6" xfId="0" applyNumberFormat="1" applyFont="1" applyFill="1" applyBorder="1" applyAlignment="1">
      <alignment horizontal="center" vertical="center" wrapText="1"/>
    </xf>
    <xf numFmtId="0" fontId="1" fillId="0" borderId="4" xfId="0" applyFont="1" applyBorder="1" applyAlignment="1">
      <alignment horizontal="center" vertical="center" wrapText="1"/>
    </xf>
    <xf numFmtId="2" fontId="4" fillId="4" borderId="6" xfId="0" applyNumberFormat="1" applyFont="1" applyFill="1" applyBorder="1" applyAlignment="1">
      <alignment horizontal="center" vertical="center" wrapText="1"/>
    </xf>
    <xf numFmtId="0" fontId="2" fillId="0" borderId="0" xfId="0" applyFont="1" applyAlignment="1">
      <alignment horizontal="right" vertical="center" wrapText="1"/>
    </xf>
    <xf numFmtId="2" fontId="2" fillId="0" borderId="0" xfId="0" applyNumberFormat="1" applyFont="1" applyAlignment="1">
      <alignment horizontal="right" vertical="center" wrapText="1"/>
    </xf>
    <xf numFmtId="2" fontId="1" fillId="0" borderId="0" xfId="0" applyNumberFormat="1" applyFont="1" applyAlignment="1">
      <alignment horizontal="right" vertical="center" wrapText="1"/>
    </xf>
    <xf numFmtId="169" fontId="1" fillId="0" borderId="0" xfId="0" applyNumberFormat="1" applyFont="1" applyAlignment="1">
      <alignment horizontal="right" vertical="center" wrapText="1"/>
    </xf>
    <xf numFmtId="0" fontId="2" fillId="0" borderId="0" xfId="0" applyFont="1"/>
    <xf numFmtId="0" fontId="6" fillId="0" borderId="6" xfId="0" applyFont="1" applyBorder="1" applyAlignment="1">
      <alignment horizontal="left" vertical="center" wrapText="1"/>
    </xf>
    <xf numFmtId="0" fontId="9" fillId="0" borderId="6" xfId="0" applyFont="1" applyBorder="1" applyAlignment="1">
      <alignment horizontal="left" vertical="center" wrapText="1"/>
    </xf>
    <xf numFmtId="164" fontId="4" fillId="0" borderId="6" xfId="0" applyNumberFormat="1" applyFont="1" applyBorder="1" applyAlignment="1">
      <alignment horizontal="center" vertical="center" wrapText="1"/>
    </xf>
    <xf numFmtId="2" fontId="4" fillId="0" borderId="6" xfId="0" applyNumberFormat="1" applyFont="1" applyBorder="1" applyAlignment="1">
      <alignment horizontal="center" vertical="center" wrapText="1"/>
    </xf>
    <xf numFmtId="0" fontId="11" fillId="0" borderId="0" xfId="0" applyFont="1" applyAlignment="1">
      <alignment wrapText="1"/>
    </xf>
    <xf numFmtId="0" fontId="2" fillId="0" borderId="0" xfId="0" applyFont="1" applyAlignment="1">
      <alignment horizontal="left" vertical="center" wrapText="1"/>
    </xf>
    <xf numFmtId="0" fontId="8" fillId="0" borderId="4" xfId="0" applyFont="1" applyBorder="1"/>
    <xf numFmtId="0" fontId="8" fillId="0" borderId="9" xfId="0" applyFont="1" applyBorder="1"/>
    <xf numFmtId="0" fontId="9" fillId="8" borderId="6" xfId="0" applyFont="1" applyFill="1" applyBorder="1" applyAlignment="1">
      <alignment horizontal="left" vertical="center" wrapText="1"/>
    </xf>
    <xf numFmtId="0" fontId="11" fillId="0" borderId="6" xfId="0" applyFont="1" applyBorder="1" applyAlignment="1">
      <alignment horizontal="left" vertical="center" wrapText="1"/>
    </xf>
    <xf numFmtId="0" fontId="1" fillId="0" borderId="6" xfId="0" applyFont="1" applyBorder="1"/>
    <xf numFmtId="0" fontId="1" fillId="0" borderId="4" xfId="0" applyFont="1" applyBorder="1"/>
    <xf numFmtId="2" fontId="1" fillId="0" borderId="4" xfId="0" applyNumberFormat="1" applyFont="1" applyBorder="1" applyAlignment="1">
      <alignment horizontal="right"/>
    </xf>
    <xf numFmtId="2" fontId="8" fillId="0" borderId="6" xfId="0" applyNumberFormat="1" applyFont="1" applyBorder="1" applyAlignment="1">
      <alignment horizontal="right"/>
    </xf>
    <xf numFmtId="0" fontId="8" fillId="7" borderId="6" xfId="0" applyFont="1" applyFill="1" applyBorder="1" applyAlignment="1">
      <alignment horizontal="left" wrapText="1"/>
    </xf>
    <xf numFmtId="0" fontId="1" fillId="0" borderId="7" xfId="0" applyFont="1" applyBorder="1"/>
    <xf numFmtId="0" fontId="1" fillId="0" borderId="9" xfId="0" applyFont="1" applyBorder="1"/>
    <xf numFmtId="164" fontId="1" fillId="0" borderId="9" xfId="0" applyNumberFormat="1" applyFont="1" applyBorder="1" applyAlignment="1"/>
    <xf numFmtId="2" fontId="8" fillId="0" borderId="7" xfId="0" applyNumberFormat="1" applyFont="1" applyBorder="1" applyAlignment="1">
      <alignment horizontal="right"/>
    </xf>
    <xf numFmtId="0" fontId="8" fillId="7" borderId="7" xfId="0" applyFont="1" applyFill="1" applyBorder="1" applyAlignment="1">
      <alignment horizontal="left" wrapText="1"/>
    </xf>
    <xf numFmtId="0" fontId="1" fillId="0" borderId="9" xfId="0" applyFont="1" applyBorder="1"/>
    <xf numFmtId="0" fontId="8" fillId="7" borderId="7" xfId="0" applyFont="1" applyFill="1" applyBorder="1" applyAlignment="1">
      <alignment horizontal="left" wrapText="1"/>
    </xf>
    <xf numFmtId="164" fontId="1" fillId="0" borderId="9" xfId="0" applyNumberFormat="1" applyFont="1" applyBorder="1"/>
    <xf numFmtId="0" fontId="1" fillId="0" borderId="7" xfId="0" applyFont="1" applyBorder="1"/>
    <xf numFmtId="0" fontId="8" fillId="7" borderId="7" xfId="0" applyFont="1" applyFill="1" applyBorder="1" applyAlignment="1">
      <alignment wrapText="1"/>
    </xf>
    <xf numFmtId="0" fontId="8" fillId="7" borderId="7" xfId="0" applyFont="1" applyFill="1" applyBorder="1" applyAlignment="1">
      <alignment wrapText="1"/>
    </xf>
    <xf numFmtId="0" fontId="1" fillId="7" borderId="7" xfId="0" applyFont="1" applyFill="1" applyBorder="1" applyAlignment="1">
      <alignment wrapText="1"/>
    </xf>
    <xf numFmtId="2" fontId="1" fillId="0" borderId="9" xfId="0" applyNumberFormat="1" applyFont="1" applyBorder="1" applyAlignment="1">
      <alignment horizontal="right"/>
    </xf>
    <xf numFmtId="0" fontId="8" fillId="0" borderId="6" xfId="0" applyFont="1" applyBorder="1" applyAlignment="1">
      <alignment horizontal="right"/>
    </xf>
    <xf numFmtId="0" fontId="8" fillId="0" borderId="4" xfId="0" applyFont="1" applyBorder="1" applyAlignment="1">
      <alignment horizontal="right"/>
    </xf>
    <xf numFmtId="2" fontId="8" fillId="0" borderId="4" xfId="0" applyNumberFormat="1" applyFont="1" applyBorder="1" applyAlignment="1">
      <alignment horizontal="right"/>
    </xf>
    <xf numFmtId="2" fontId="8" fillId="0" borderId="3" xfId="0" applyNumberFormat="1" applyFont="1" applyBorder="1" applyAlignment="1">
      <alignment horizontal="right"/>
    </xf>
    <xf numFmtId="0" fontId="8" fillId="0" borderId="6" xfId="0" applyFont="1" applyBorder="1" applyAlignment="1">
      <alignment wrapText="1"/>
    </xf>
    <xf numFmtId="0" fontId="8" fillId="0" borderId="7" xfId="0" applyFont="1" applyBorder="1" applyAlignment="1">
      <alignment horizontal="right"/>
    </xf>
    <xf numFmtId="0" fontId="8" fillId="0" borderId="9" xfId="0" applyFont="1" applyBorder="1" applyAlignment="1">
      <alignment horizontal="right"/>
    </xf>
    <xf numFmtId="2" fontId="8" fillId="0" borderId="7" xfId="0" applyNumberFormat="1" applyFont="1" applyBorder="1" applyAlignment="1">
      <alignment horizontal="right"/>
    </xf>
    <xf numFmtId="0" fontId="8" fillId="0" borderId="7" xfId="0" applyFont="1" applyBorder="1" applyAlignment="1">
      <alignment wrapText="1"/>
    </xf>
    <xf numFmtId="164" fontId="8" fillId="0" borderId="9" xfId="0" applyNumberFormat="1" applyFont="1" applyBorder="1" applyAlignment="1">
      <alignment horizontal="right"/>
    </xf>
    <xf numFmtId="2" fontId="8" fillId="0" borderId="9" xfId="0" applyNumberFormat="1" applyFont="1" applyBorder="1" applyAlignment="1">
      <alignment horizontal="right"/>
    </xf>
    <xf numFmtId="0" fontId="8" fillId="0" borderId="7" xfId="0" applyFont="1" applyBorder="1" applyAlignment="1">
      <alignment wrapText="1"/>
    </xf>
    <xf numFmtId="2" fontId="18" fillId="0" borderId="4" xfId="0" applyNumberFormat="1" applyFont="1" applyBorder="1" applyAlignment="1">
      <alignment horizontal="center"/>
    </xf>
    <xf numFmtId="0" fontId="1" fillId="0" borderId="0" xfId="0" applyFont="1" applyAlignment="1">
      <alignment horizontal="center" vertical="center" wrapText="1"/>
    </xf>
    <xf numFmtId="0" fontId="5" fillId="11" borderId="6" xfId="0" applyFont="1" applyFill="1" applyBorder="1" applyAlignment="1">
      <alignment horizontal="left" vertical="center" wrapText="1"/>
    </xf>
    <xf numFmtId="0" fontId="8" fillId="0" borderId="6" xfId="0" applyFont="1" applyBorder="1" applyAlignment="1"/>
    <xf numFmtId="2" fontId="2" fillId="0" borderId="0" xfId="0" applyNumberFormat="1" applyFont="1" applyAlignment="1">
      <alignment horizontal="center" vertical="center" wrapText="1"/>
    </xf>
    <xf numFmtId="2" fontId="1" fillId="0" borderId="0" xfId="0" applyNumberFormat="1" applyFont="1" applyAlignment="1">
      <alignment horizontal="center" vertical="center" wrapText="1"/>
    </xf>
    <xf numFmtId="0" fontId="1" fillId="7" borderId="7" xfId="0" applyFont="1" applyFill="1" applyBorder="1" applyAlignment="1">
      <alignment horizontal="left" wrapText="1"/>
    </xf>
    <xf numFmtId="0" fontId="8" fillId="0" borderId="7" xfId="0" applyFont="1" applyBorder="1" applyAlignment="1">
      <alignment horizontal="left" wrapText="1"/>
    </xf>
    <xf numFmtId="0" fontId="8" fillId="0" borderId="7" xfId="0" applyFont="1" applyBorder="1" applyAlignment="1">
      <alignment horizontal="left" wrapText="1"/>
    </xf>
    <xf numFmtId="0" fontId="17" fillId="0" borderId="9" xfId="0" applyFont="1" applyBorder="1" applyAlignment="1">
      <alignment horizontal="right"/>
    </xf>
    <xf numFmtId="0" fontId="17" fillId="0" borderId="9" xfId="0" applyFont="1" applyBorder="1" applyAlignment="1">
      <alignment horizontal="right"/>
    </xf>
    <xf numFmtId="164" fontId="17" fillId="0" borderId="9" xfId="0" applyNumberFormat="1" applyFont="1" applyBorder="1" applyAlignment="1">
      <alignment horizontal="right"/>
    </xf>
    <xf numFmtId="0" fontId="1" fillId="0" borderId="0" xfId="0" applyFont="1" applyAlignment="1">
      <alignment horizontal="left" vertical="center" wrapText="1"/>
    </xf>
    <xf numFmtId="0" fontId="23" fillId="0" borderId="6" xfId="0" applyFont="1" applyBorder="1" applyAlignment="1">
      <alignment horizontal="center" vertical="center" wrapText="1"/>
    </xf>
    <xf numFmtId="0" fontId="2" fillId="0" borderId="0" xfId="0" applyFont="1" applyAlignment="1">
      <alignment horizontal="left"/>
    </xf>
    <xf numFmtId="0" fontId="11" fillId="0" borderId="0" xfId="0" applyFont="1" applyAlignment="1">
      <alignment horizontal="center" vertical="center" wrapText="1"/>
    </xf>
    <xf numFmtId="0" fontId="11" fillId="0" borderId="0" xfId="0" applyFont="1" applyAlignment="1">
      <alignment horizontal="left" vertical="center" wrapText="1"/>
    </xf>
    <xf numFmtId="0" fontId="26" fillId="0" borderId="1" xfId="0" applyFont="1" applyBorder="1" applyAlignment="1">
      <alignment horizontal="center" vertical="center" wrapText="1"/>
    </xf>
    <xf numFmtId="0" fontId="4" fillId="0" borderId="0" xfId="0" applyFont="1" applyAlignment="1">
      <alignment horizontal="center" vertical="center" wrapText="1"/>
    </xf>
    <xf numFmtId="0" fontId="4" fillId="0" borderId="6" xfId="0" applyFont="1" applyBorder="1" applyAlignment="1">
      <alignment horizontal="center" vertical="center" wrapText="1"/>
    </xf>
    <xf numFmtId="2" fontId="4" fillId="0" borderId="6" xfId="0" applyNumberFormat="1" applyFont="1" applyBorder="1" applyAlignment="1">
      <alignment horizontal="center" vertical="center" wrapText="1"/>
    </xf>
    <xf numFmtId="0" fontId="11" fillId="0" borderId="6" xfId="0" applyFont="1" applyBorder="1" applyAlignment="1">
      <alignment horizontal="left" vertical="center" wrapText="1"/>
    </xf>
    <xf numFmtId="0" fontId="4" fillId="0" borderId="6" xfId="0" applyFont="1" applyBorder="1" applyAlignment="1">
      <alignment horizontal="center" vertical="center" wrapText="1"/>
    </xf>
    <xf numFmtId="164" fontId="4" fillId="0" borderId="6" xfId="0" applyNumberFormat="1" applyFont="1" applyBorder="1" applyAlignment="1">
      <alignment horizontal="center" vertical="center" wrapText="1"/>
    </xf>
    <xf numFmtId="0" fontId="30" fillId="8" borderId="6" xfId="0" applyFont="1" applyFill="1" applyBorder="1" applyAlignment="1">
      <alignment horizontal="center" vertical="center" wrapText="1"/>
    </xf>
    <xf numFmtId="164" fontId="30" fillId="8" borderId="6" xfId="0" applyNumberFormat="1" applyFont="1" applyFill="1" applyBorder="1" applyAlignment="1">
      <alignment horizontal="center" vertical="center" wrapText="1"/>
    </xf>
    <xf numFmtId="2" fontId="30" fillId="8" borderId="6" xfId="0" applyNumberFormat="1" applyFont="1" applyFill="1" applyBorder="1" applyAlignment="1">
      <alignment horizontal="center" vertical="center" wrapText="1"/>
    </xf>
    <xf numFmtId="2" fontId="30" fillId="8" borderId="6" xfId="0" applyNumberFormat="1" applyFont="1" applyFill="1" applyBorder="1" applyAlignment="1">
      <alignment horizontal="center" vertical="center" wrapText="1"/>
    </xf>
    <xf numFmtId="164" fontId="30" fillId="8" borderId="6" xfId="0" applyNumberFormat="1" applyFont="1" applyFill="1" applyBorder="1" applyAlignment="1">
      <alignment horizontal="center" vertical="center" wrapText="1"/>
    </xf>
    <xf numFmtId="0" fontId="30" fillId="8" borderId="6" xfId="0" applyFont="1" applyFill="1" applyBorder="1" applyAlignment="1">
      <alignment horizontal="center" vertical="center" wrapText="1"/>
    </xf>
    <xf numFmtId="166" fontId="30" fillId="8" borderId="6" xfId="0" applyNumberFormat="1" applyFont="1" applyFill="1" applyBorder="1" applyAlignment="1">
      <alignment horizontal="center" vertical="center" wrapText="1"/>
    </xf>
    <xf numFmtId="0" fontId="4" fillId="3" borderId="6" xfId="0" applyFont="1" applyFill="1" applyBorder="1" applyAlignment="1">
      <alignment horizontal="center" vertical="center" wrapText="1"/>
    </xf>
    <xf numFmtId="0" fontId="11" fillId="0" borderId="0" xfId="0" applyFont="1" applyAlignment="1">
      <alignment horizontal="center" vertical="center" wrapText="1"/>
    </xf>
    <xf numFmtId="0" fontId="4" fillId="0" borderId="6" xfId="0" applyFont="1" applyBorder="1" applyAlignment="1">
      <alignment vertical="center" wrapText="1"/>
    </xf>
    <xf numFmtId="164" fontId="4" fillId="0" borderId="6" xfId="0" applyNumberFormat="1" applyFont="1" applyBorder="1" applyAlignment="1">
      <alignment vertical="center" wrapText="1"/>
    </xf>
    <xf numFmtId="2" fontId="4" fillId="0" borderId="6" xfId="0" applyNumberFormat="1" applyFont="1" applyBorder="1" applyAlignment="1">
      <alignment vertical="center" wrapText="1"/>
    </xf>
    <xf numFmtId="164" fontId="4" fillId="0" borderId="6" xfId="0" applyNumberFormat="1" applyFont="1" applyBorder="1" applyAlignment="1">
      <alignment vertical="center" wrapText="1"/>
    </xf>
    <xf numFmtId="2" fontId="4" fillId="0" borderId="6" xfId="0" applyNumberFormat="1" applyFont="1" applyBorder="1" applyAlignment="1">
      <alignment vertical="center" wrapText="1"/>
    </xf>
    <xf numFmtId="0" fontId="4" fillId="0" borderId="6" xfId="0" applyFont="1" applyBorder="1" applyAlignment="1">
      <alignment vertical="center" wrapText="1"/>
    </xf>
    <xf numFmtId="0" fontId="11" fillId="0" borderId="0" xfId="0" applyFont="1" applyAlignment="1">
      <alignment horizontal="left" vertical="center" wrapText="1"/>
    </xf>
    <xf numFmtId="0" fontId="11" fillId="0" borderId="6" xfId="0" applyFont="1" applyBorder="1" applyAlignment="1">
      <alignment horizontal="center" vertical="center" wrapText="1"/>
    </xf>
    <xf numFmtId="43" fontId="11" fillId="0" borderId="6" xfId="0" applyNumberFormat="1" applyFont="1" applyBorder="1" applyAlignment="1">
      <alignment horizontal="center" vertical="center"/>
    </xf>
    <xf numFmtId="43" fontId="11" fillId="0" borderId="6" xfId="0" applyNumberFormat="1" applyFont="1" applyBorder="1" applyAlignment="1">
      <alignment horizontal="center" vertical="center"/>
    </xf>
    <xf numFmtId="0" fontId="11" fillId="0" borderId="6" xfId="0" applyFont="1" applyBorder="1" applyAlignment="1">
      <alignment horizontal="center" vertical="center"/>
    </xf>
    <xf numFmtId="0" fontId="11" fillId="0" borderId="6" xfId="0" applyFont="1" applyBorder="1" applyAlignment="1">
      <alignment horizontal="center" vertical="center"/>
    </xf>
    <xf numFmtId="164" fontId="32" fillId="0" borderId="6" xfId="0" applyNumberFormat="1" applyFont="1" applyBorder="1" applyAlignment="1">
      <alignment horizontal="center" vertical="center" wrapText="1"/>
    </xf>
    <xf numFmtId="2" fontId="33" fillId="0" borderId="6" xfId="0" applyNumberFormat="1" applyFont="1" applyBorder="1" applyAlignment="1">
      <alignment horizontal="center" vertical="center" wrapText="1"/>
    </xf>
    <xf numFmtId="2" fontId="32" fillId="0" borderId="6" xfId="0" applyNumberFormat="1" applyFont="1" applyBorder="1" applyAlignment="1">
      <alignment horizontal="center" vertical="center" wrapText="1"/>
    </xf>
    <xf numFmtId="164" fontId="4" fillId="3" borderId="6" xfId="0" applyNumberFormat="1" applyFont="1" applyFill="1" applyBorder="1" applyAlignment="1">
      <alignment horizontal="center" vertical="center" wrapText="1"/>
    </xf>
    <xf numFmtId="0" fontId="18" fillId="0" borderId="6" xfId="0" applyFont="1" applyBorder="1" applyAlignment="1">
      <alignment horizontal="center"/>
    </xf>
    <xf numFmtId="0" fontId="18" fillId="0" borderId="4" xfId="0" applyFont="1" applyBorder="1" applyAlignment="1">
      <alignment horizontal="center"/>
    </xf>
    <xf numFmtId="164" fontId="18" fillId="0" borderId="4" xfId="0" applyNumberFormat="1" applyFont="1" applyBorder="1" applyAlignment="1">
      <alignment horizontal="center"/>
    </xf>
    <xf numFmtId="0" fontId="18" fillId="0" borderId="7" xfId="0" applyFont="1" applyBorder="1" applyAlignment="1">
      <alignment horizontal="center"/>
    </xf>
    <xf numFmtId="0" fontId="18" fillId="0" borderId="9" xfId="0" applyFont="1" applyBorder="1" applyAlignment="1">
      <alignment horizontal="center"/>
    </xf>
    <xf numFmtId="164" fontId="18" fillId="0" borderId="9" xfId="0" applyNumberFormat="1" applyFont="1" applyBorder="1" applyAlignment="1">
      <alignment horizontal="center"/>
    </xf>
    <xf numFmtId="2" fontId="18" fillId="0" borderId="9" xfId="0" applyNumberFormat="1" applyFont="1" applyBorder="1" applyAlignment="1">
      <alignment horizontal="center"/>
    </xf>
    <xf numFmtId="0" fontId="30" fillId="0" borderId="6" xfId="0" applyFont="1" applyBorder="1" applyAlignment="1">
      <alignment horizontal="center" vertical="center" wrapText="1"/>
    </xf>
    <xf numFmtId="0" fontId="30" fillId="0" borderId="6" xfId="0" applyFont="1" applyBorder="1" applyAlignment="1">
      <alignment horizontal="left" vertical="center" wrapText="1"/>
    </xf>
    <xf numFmtId="2" fontId="30" fillId="0" borderId="6" xfId="0" applyNumberFormat="1" applyFont="1" applyBorder="1" applyAlignment="1">
      <alignment horizontal="center" vertical="center" wrapText="1"/>
    </xf>
    <xf numFmtId="2" fontId="30" fillId="0" borderId="6" xfId="0" applyNumberFormat="1" applyFont="1" applyBorder="1" applyAlignment="1">
      <alignment horizontal="center" vertical="center" wrapText="1"/>
    </xf>
    <xf numFmtId="0" fontId="31" fillId="0" borderId="9" xfId="0" applyFont="1" applyBorder="1" applyAlignment="1">
      <alignment horizontal="right" vertical="center"/>
    </xf>
    <xf numFmtId="0" fontId="4" fillId="0" borderId="7" xfId="0" applyFont="1" applyBorder="1" applyAlignment="1">
      <alignment horizontal="center" vertical="center" wrapText="1"/>
    </xf>
    <xf numFmtId="0" fontId="30" fillId="0" borderId="6" xfId="0" applyFont="1" applyBorder="1" applyAlignment="1">
      <alignment vertical="center" wrapText="1"/>
    </xf>
    <xf numFmtId="0" fontId="30" fillId="0" borderId="6" xfId="0" applyFont="1" applyBorder="1" applyAlignment="1">
      <alignment horizontal="left" vertical="center" wrapText="1"/>
    </xf>
    <xf numFmtId="0" fontId="38" fillId="0" borderId="6" xfId="0" applyFont="1" applyBorder="1" applyAlignment="1">
      <alignment vertical="center" wrapText="1"/>
    </xf>
    <xf numFmtId="2" fontId="31" fillId="0" borderId="9" xfId="0" applyNumberFormat="1" applyFont="1" applyBorder="1" applyAlignment="1">
      <alignment horizontal="right" vertical="center"/>
    </xf>
    <xf numFmtId="0" fontId="11" fillId="0" borderId="6" xfId="0" applyFont="1" applyBorder="1" applyAlignment="1">
      <alignment vertical="center" wrapText="1"/>
    </xf>
    <xf numFmtId="0" fontId="31" fillId="0" borderId="6" xfId="0" applyFont="1" applyBorder="1" applyAlignment="1">
      <alignment vertical="center" wrapText="1"/>
    </xf>
    <xf numFmtId="0" fontId="38" fillId="0" borderId="6" xfId="0" applyFont="1" applyBorder="1" applyAlignment="1">
      <alignment vertical="center" wrapText="1"/>
    </xf>
    <xf numFmtId="0" fontId="4" fillId="0" borderId="3" xfId="0" applyFont="1" applyBorder="1" applyAlignment="1">
      <alignment horizontal="center" vertical="center" wrapText="1"/>
    </xf>
    <xf numFmtId="0" fontId="11" fillId="4" borderId="6" xfId="0" applyFont="1" applyFill="1" applyBorder="1" applyAlignment="1">
      <alignment horizontal="center" vertical="center" wrapText="1"/>
    </xf>
    <xf numFmtId="0" fontId="11" fillId="0" borderId="0" xfId="0" applyFont="1"/>
    <xf numFmtId="0" fontId="8" fillId="0" borderId="4" xfId="0" applyFont="1" applyBorder="1"/>
    <xf numFmtId="0" fontId="17" fillId="0" borderId="7" xfId="0" applyFont="1" applyBorder="1" applyAlignment="1">
      <alignment horizontal="right"/>
    </xf>
    <xf numFmtId="164" fontId="17" fillId="0" borderId="9" xfId="0" applyNumberFormat="1" applyFont="1" applyBorder="1" applyAlignment="1">
      <alignment horizontal="right"/>
    </xf>
    <xf numFmtId="0" fontId="4" fillId="4" borderId="6" xfId="0" applyFont="1" applyFill="1" applyBorder="1" applyAlignment="1">
      <alignment horizontal="center" vertical="center" wrapText="1"/>
    </xf>
    <xf numFmtId="164" fontId="4" fillId="4" borderId="6" xfId="0" applyNumberFormat="1" applyFont="1" applyFill="1" applyBorder="1" applyAlignment="1">
      <alignment horizontal="center" vertical="center" wrapText="1"/>
    </xf>
    <xf numFmtId="0" fontId="11" fillId="0" borderId="0" xfId="0" applyFont="1" applyAlignment="1">
      <alignment horizontal="center"/>
    </xf>
    <xf numFmtId="0" fontId="11" fillId="8" borderId="6" xfId="0" applyFont="1" applyFill="1" applyBorder="1" applyAlignment="1">
      <alignment horizontal="left" vertical="center" wrapText="1"/>
    </xf>
    <xf numFmtId="0" fontId="8" fillId="0" borderId="4" xfId="0" applyFont="1" applyBorder="1" applyAlignment="1">
      <alignment wrapText="1"/>
    </xf>
    <xf numFmtId="0" fontId="8" fillId="0" borderId="9" xfId="0" applyFont="1" applyBorder="1" applyAlignment="1">
      <alignment wrapText="1"/>
    </xf>
    <xf numFmtId="0" fontId="30" fillId="8" borderId="6" xfId="0" applyFont="1" applyFill="1" applyBorder="1" applyAlignment="1">
      <alignment horizontal="left" vertical="center" wrapText="1"/>
    </xf>
    <xf numFmtId="0" fontId="38" fillId="8" borderId="6" xfId="0" applyFont="1" applyFill="1" applyBorder="1" applyAlignment="1">
      <alignment vertical="center" wrapText="1"/>
    </xf>
    <xf numFmtId="0" fontId="38" fillId="8" borderId="6" xfId="0" applyFont="1" applyFill="1" applyBorder="1" applyAlignment="1">
      <alignment vertical="center" wrapText="1"/>
    </xf>
    <xf numFmtId="0" fontId="38" fillId="8" borderId="6" xfId="0" applyFont="1" applyFill="1" applyBorder="1" applyAlignment="1">
      <alignment horizontal="left" vertical="center" wrapText="1"/>
    </xf>
    <xf numFmtId="0" fontId="20" fillId="7" borderId="6" xfId="0" applyFont="1" applyFill="1" applyBorder="1" applyAlignment="1">
      <alignment horizontal="left"/>
    </xf>
    <xf numFmtId="0" fontId="46" fillId="0" borderId="6" xfId="0" applyFont="1" applyBorder="1" applyAlignment="1">
      <alignment horizontal="left"/>
    </xf>
    <xf numFmtId="0" fontId="47" fillId="0" borderId="7" xfId="0" applyFont="1" applyBorder="1" applyAlignment="1">
      <alignment horizontal="left"/>
    </xf>
    <xf numFmtId="0" fontId="11" fillId="0" borderId="6" xfId="0" applyFont="1" applyBorder="1" applyAlignment="1">
      <alignment horizontal="center" vertical="center" wrapText="1"/>
    </xf>
    <xf numFmtId="0" fontId="11" fillId="0" borderId="0" xfId="0" applyFont="1" applyAlignment="1">
      <alignment vertical="center" wrapText="1"/>
    </xf>
    <xf numFmtId="0" fontId="8" fillId="0" borderId="4" xfId="0" applyFont="1" applyBorder="1" applyAlignment="1">
      <alignment vertical="center"/>
    </xf>
    <xf numFmtId="0" fontId="8" fillId="0" borderId="7" xfId="0" applyFont="1" applyBorder="1" applyAlignment="1">
      <alignment vertical="center"/>
    </xf>
    <xf numFmtId="0" fontId="8" fillId="0" borderId="9" xfId="0" applyFont="1" applyBorder="1" applyAlignment="1">
      <alignment vertical="center"/>
    </xf>
    <xf numFmtId="0" fontId="8" fillId="0" borderId="9" xfId="0" applyFont="1" applyBorder="1" applyAlignment="1">
      <alignment horizontal="right" vertical="center"/>
    </xf>
    <xf numFmtId="0" fontId="4" fillId="0" borderId="4" xfId="0" applyFont="1" applyBorder="1" applyAlignment="1">
      <alignment horizontal="center"/>
    </xf>
    <xf numFmtId="2" fontId="4" fillId="0" borderId="6" xfId="0" applyNumberFormat="1" applyFont="1" applyBorder="1" applyAlignment="1">
      <alignment horizontal="center"/>
    </xf>
    <xf numFmtId="0" fontId="2" fillId="0" borderId="0" xfId="0" applyFont="1" applyAlignment="1">
      <alignment vertical="center" wrapText="1"/>
    </xf>
    <xf numFmtId="0" fontId="2" fillId="0" borderId="12" xfId="0" applyFont="1" applyBorder="1" applyAlignment="1">
      <alignment horizontal="center" vertical="center" wrapText="1"/>
    </xf>
    <xf numFmtId="0" fontId="4" fillId="0" borderId="6" xfId="0" applyFont="1" applyBorder="1" applyAlignment="1">
      <alignment horizontal="center"/>
    </xf>
    <xf numFmtId="0" fontId="11" fillId="3" borderId="6" xfId="0" applyFont="1" applyFill="1" applyBorder="1" applyAlignment="1">
      <alignment horizontal="left" vertical="center" wrapText="1"/>
    </xf>
    <xf numFmtId="0" fontId="38" fillId="7" borderId="0" xfId="0" applyFont="1" applyFill="1" applyAlignment="1">
      <alignment horizontal="left" wrapText="1"/>
    </xf>
    <xf numFmtId="0" fontId="8" fillId="0" borderId="7" xfId="0" applyFont="1" applyBorder="1" applyAlignment="1">
      <alignment horizontal="left"/>
    </xf>
    <xf numFmtId="2" fontId="30" fillId="7" borderId="6" xfId="0" applyNumberFormat="1" applyFont="1" applyFill="1" applyBorder="1" applyAlignment="1">
      <alignment horizontal="center" vertical="center" wrapText="1"/>
    </xf>
    <xf numFmtId="0" fontId="11" fillId="4" borderId="6" xfId="0" applyFont="1" applyFill="1" applyBorder="1" applyAlignment="1">
      <alignment horizontal="left" vertical="center" wrapText="1"/>
    </xf>
    <xf numFmtId="0" fontId="28" fillId="0" borderId="6" xfId="0" applyFont="1" applyBorder="1" applyAlignment="1">
      <alignment horizontal="left" vertical="center" wrapText="1"/>
    </xf>
    <xf numFmtId="0" fontId="6" fillId="0" borderId="0" xfId="0" applyFont="1"/>
    <xf numFmtId="0" fontId="48" fillId="0" borderId="0" xfId="0" applyFont="1" applyAlignment="1">
      <alignment horizontal="left" vertical="center" wrapText="1"/>
    </xf>
    <xf numFmtId="0" fontId="4" fillId="0" borderId="3" xfId="0" applyFont="1" applyBorder="1" applyAlignment="1">
      <alignment horizontal="center" vertical="center" wrapText="1"/>
    </xf>
    <xf numFmtId="2" fontId="4" fillId="0" borderId="3" xfId="0" applyNumberFormat="1" applyFont="1" applyBorder="1" applyAlignment="1">
      <alignment horizontal="center" vertical="center" wrapText="1"/>
    </xf>
    <xf numFmtId="0" fontId="4" fillId="0" borderId="8" xfId="0" applyFont="1" applyBorder="1" applyAlignment="1">
      <alignment horizontal="center" vertical="center" textRotation="90" wrapText="1"/>
    </xf>
    <xf numFmtId="0" fontId="50" fillId="7" borderId="0" xfId="0" applyFont="1" applyFill="1" applyAlignment="1">
      <alignment wrapText="1"/>
    </xf>
    <xf numFmtId="0" fontId="45" fillId="0" borderId="0" xfId="0" applyFont="1" applyAlignment="1"/>
    <xf numFmtId="164" fontId="38" fillId="8" borderId="6" xfId="0" applyNumberFormat="1" applyFont="1" applyFill="1" applyBorder="1" applyAlignment="1">
      <alignment vertical="center" wrapText="1"/>
    </xf>
    <xf numFmtId="0" fontId="38" fillId="15" borderId="6" xfId="0" applyFont="1" applyFill="1" applyBorder="1" applyAlignment="1">
      <alignment vertical="center" wrapText="1"/>
    </xf>
    <xf numFmtId="2" fontId="11" fillId="0" borderId="6" xfId="0" applyNumberFormat="1" applyFont="1" applyBorder="1" applyAlignment="1">
      <alignment horizontal="center" vertical="center" wrapText="1"/>
    </xf>
    <xf numFmtId="2" fontId="10" fillId="7" borderId="7" xfId="0" applyNumberFormat="1" applyFont="1" applyFill="1" applyBorder="1" applyAlignment="1">
      <alignment horizontal="left" wrapText="1"/>
    </xf>
    <xf numFmtId="0" fontId="38" fillId="8" borderId="6" xfId="0" applyFont="1" applyFill="1" applyBorder="1" applyAlignment="1">
      <alignment horizontal="left" vertical="center" wrapText="1"/>
    </xf>
    <xf numFmtId="0" fontId="36" fillId="7" borderId="0" xfId="0" applyFont="1" applyFill="1" applyAlignment="1">
      <alignment horizontal="left" vertical="center" wrapText="1"/>
    </xf>
    <xf numFmtId="164" fontId="30" fillId="8" borderId="6" xfId="0" applyNumberFormat="1" applyFont="1" applyFill="1" applyBorder="1" applyAlignment="1">
      <alignment horizontal="left" vertical="center" wrapText="1"/>
    </xf>
    <xf numFmtId="0" fontId="51" fillId="7" borderId="0" xfId="0" applyFont="1" applyFill="1" applyAlignment="1">
      <alignment horizontal="left"/>
    </xf>
    <xf numFmtId="0" fontId="51" fillId="7" borderId="0" xfId="0" applyFont="1" applyFill="1" applyAlignment="1">
      <alignment horizontal="left"/>
    </xf>
    <xf numFmtId="0" fontId="52" fillId="0" borderId="0" xfId="0" applyFont="1" applyAlignment="1">
      <alignment horizontal="left" wrapText="1"/>
    </xf>
    <xf numFmtId="2" fontId="38" fillId="8" borderId="6" xfId="0" applyNumberFormat="1" applyFont="1" applyFill="1" applyBorder="1" applyAlignment="1">
      <alignment horizontal="center" vertical="center" wrapText="1"/>
    </xf>
    <xf numFmtId="0" fontId="38" fillId="8" borderId="13" xfId="0" applyFont="1" applyFill="1" applyBorder="1" applyAlignment="1">
      <alignment horizontal="center" vertical="center" wrapText="1"/>
    </xf>
    <xf numFmtId="0" fontId="48" fillId="0" borderId="0" xfId="0" applyFont="1" applyAlignment="1">
      <alignment horizontal="left" vertical="center" wrapText="1"/>
    </xf>
    <xf numFmtId="0" fontId="4" fillId="5" borderId="6" xfId="0" applyFont="1" applyFill="1" applyBorder="1" applyAlignment="1">
      <alignment horizontal="center" vertical="center" wrapText="1"/>
    </xf>
    <xf numFmtId="0" fontId="18" fillId="0" borderId="6" xfId="0" applyFont="1" applyBorder="1" applyAlignment="1">
      <alignment horizontal="center" vertical="center" wrapText="1"/>
    </xf>
    <xf numFmtId="0" fontId="18" fillId="0" borderId="4" xfId="0" applyFont="1" applyBorder="1" applyAlignment="1">
      <alignment horizontal="center" vertical="center" wrapText="1"/>
    </xf>
    <xf numFmtId="2" fontId="18" fillId="0" borderId="4" xfId="0" applyNumberFormat="1" applyFont="1" applyBorder="1" applyAlignment="1">
      <alignment horizontal="center" vertical="center" wrapText="1"/>
    </xf>
    <xf numFmtId="2" fontId="18" fillId="0" borderId="4" xfId="0" applyNumberFormat="1" applyFont="1" applyBorder="1" applyAlignment="1">
      <alignment horizontal="center" vertical="center" wrapText="1"/>
    </xf>
    <xf numFmtId="164" fontId="18" fillId="0" borderId="4" xfId="0" applyNumberFormat="1" applyFont="1" applyBorder="1" applyAlignment="1">
      <alignment horizontal="center" vertical="center" wrapText="1"/>
    </xf>
    <xf numFmtId="164" fontId="18" fillId="0" borderId="4" xfId="0" applyNumberFormat="1" applyFont="1" applyBorder="1" applyAlignment="1">
      <alignment horizontal="center" vertical="center" wrapText="1"/>
    </xf>
    <xf numFmtId="0" fontId="18" fillId="0" borderId="4"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9" xfId="0" applyFont="1" applyBorder="1" applyAlignment="1">
      <alignment horizontal="center" vertical="center" wrapText="1"/>
    </xf>
    <xf numFmtId="2" fontId="20" fillId="0" borderId="9" xfId="0" applyNumberFormat="1" applyFont="1" applyBorder="1" applyAlignment="1">
      <alignment horizontal="center" vertical="center" wrapText="1"/>
    </xf>
    <xf numFmtId="2" fontId="20" fillId="0" borderId="9" xfId="0" applyNumberFormat="1" applyFont="1" applyBorder="1" applyAlignment="1">
      <alignment horizontal="center" vertical="center" wrapText="1"/>
    </xf>
    <xf numFmtId="2" fontId="18" fillId="0" borderId="9" xfId="0" applyNumberFormat="1" applyFont="1" applyBorder="1" applyAlignment="1">
      <alignment horizontal="center" vertical="center" wrapText="1"/>
    </xf>
    <xf numFmtId="164" fontId="18" fillId="0" borderId="9" xfId="0" applyNumberFormat="1" applyFont="1" applyBorder="1" applyAlignment="1">
      <alignment horizontal="center" vertical="center" wrapText="1"/>
    </xf>
    <xf numFmtId="0" fontId="18" fillId="0" borderId="9" xfId="0" applyFont="1" applyBorder="1" applyAlignment="1">
      <alignment horizontal="center" vertical="center" wrapText="1"/>
    </xf>
    <xf numFmtId="2" fontId="18" fillId="0" borderId="9" xfId="0" applyNumberFormat="1" applyFont="1" applyBorder="1" applyAlignment="1">
      <alignment horizontal="center" vertical="center" wrapText="1"/>
    </xf>
    <xf numFmtId="164" fontId="18" fillId="0" borderId="9" xfId="0" applyNumberFormat="1" applyFont="1" applyBorder="1" applyAlignment="1">
      <alignment horizontal="center" vertical="center" wrapText="1"/>
    </xf>
    <xf numFmtId="0" fontId="52" fillId="7" borderId="0" xfId="0" applyFont="1" applyFill="1" applyAlignment="1">
      <alignment horizontal="left" wrapText="1"/>
    </xf>
    <xf numFmtId="0" fontId="38" fillId="7" borderId="0" xfId="0" applyFont="1" applyFill="1" applyAlignment="1">
      <alignment horizontal="left" vertical="center" wrapText="1"/>
    </xf>
    <xf numFmtId="0" fontId="53" fillId="0" borderId="6" xfId="0" applyFont="1" applyBorder="1" applyAlignment="1">
      <alignment wrapText="1"/>
    </xf>
    <xf numFmtId="0" fontId="4" fillId="0" borderId="7" xfId="0" applyFont="1" applyBorder="1" applyAlignment="1">
      <alignment horizontal="center" vertical="center" textRotation="90" wrapText="1"/>
    </xf>
    <xf numFmtId="167" fontId="4" fillId="0" borderId="6" xfId="0" applyNumberFormat="1" applyFont="1" applyBorder="1" applyAlignment="1">
      <alignment vertical="center" wrapText="1"/>
    </xf>
    <xf numFmtId="0" fontId="8" fillId="0" borderId="6" xfId="0" applyFont="1" applyBorder="1" applyAlignment="1">
      <alignment horizontal="right" vertical="center"/>
    </xf>
    <xf numFmtId="2" fontId="8" fillId="0" borderId="4" xfId="0" applyNumberFormat="1" applyFont="1" applyBorder="1" applyAlignment="1">
      <alignment vertical="center"/>
    </xf>
    <xf numFmtId="164" fontId="8" fillId="0" borderId="4" xfId="0" applyNumberFormat="1" applyFont="1" applyBorder="1" applyAlignment="1">
      <alignment vertical="center"/>
    </xf>
    <xf numFmtId="2" fontId="30" fillId="0" borderId="6" xfId="0" applyNumberFormat="1" applyFont="1" applyBorder="1" applyAlignment="1">
      <alignment horizontal="right"/>
    </xf>
    <xf numFmtId="0" fontId="8" fillId="7" borderId="6" xfId="0" applyFont="1" applyFill="1" applyBorder="1" applyAlignment="1">
      <alignment horizontal="left" wrapText="1"/>
    </xf>
    <xf numFmtId="164" fontId="8" fillId="0" borderId="7" xfId="0" applyNumberFormat="1" applyFont="1" applyBorder="1" applyAlignment="1">
      <alignment vertical="center"/>
    </xf>
    <xf numFmtId="2" fontId="8" fillId="0" borderId="9" xfId="0" applyNumberFormat="1" applyFont="1" applyBorder="1" applyAlignment="1">
      <alignment vertical="center"/>
    </xf>
    <xf numFmtId="164" fontId="8" fillId="0" borderId="9" xfId="0" applyNumberFormat="1" applyFont="1" applyBorder="1" applyAlignment="1">
      <alignment vertical="center"/>
    </xf>
    <xf numFmtId="2" fontId="30" fillId="0" borderId="7" xfId="0" applyNumberFormat="1" applyFont="1" applyBorder="1" applyAlignment="1">
      <alignment horizontal="right"/>
    </xf>
    <xf numFmtId="2" fontId="30" fillId="0" borderId="7" xfId="0" applyNumberFormat="1" applyFont="1" applyBorder="1" applyAlignment="1">
      <alignment horizontal="right" vertical="center"/>
    </xf>
    <xf numFmtId="0" fontId="10" fillId="0" borderId="7" xfId="0" applyFont="1" applyBorder="1" applyAlignment="1">
      <alignment horizontal="center"/>
    </xf>
    <xf numFmtId="0" fontId="10" fillId="0" borderId="7" xfId="0" applyFont="1" applyBorder="1" applyAlignment="1">
      <alignment horizontal="left"/>
    </xf>
    <xf numFmtId="167" fontId="32" fillId="0" borderId="6" xfId="0" applyNumberFormat="1" applyFont="1" applyBorder="1" applyAlignment="1">
      <alignment horizontal="center" vertical="center" wrapText="1"/>
    </xf>
    <xf numFmtId="164" fontId="33" fillId="0" borderId="6" xfId="0" applyNumberFormat="1" applyFont="1" applyBorder="1" applyAlignment="1">
      <alignment horizontal="center" vertical="center" wrapText="1"/>
    </xf>
    <xf numFmtId="2" fontId="40" fillId="0" borderId="6" xfId="0" applyNumberFormat="1" applyFont="1" applyBorder="1" applyAlignment="1">
      <alignment horizontal="center" vertical="center" wrapText="1"/>
    </xf>
    <xf numFmtId="0" fontId="9" fillId="7" borderId="6" xfId="0" applyFont="1" applyFill="1" applyBorder="1" applyAlignment="1">
      <alignment horizontal="left" wrapText="1"/>
    </xf>
    <xf numFmtId="167" fontId="2" fillId="0" borderId="7" xfId="0" applyNumberFormat="1" applyFont="1" applyBorder="1" applyAlignment="1">
      <alignment horizontal="left" wrapText="1"/>
    </xf>
    <xf numFmtId="0" fontId="9" fillId="7" borderId="7" xfId="0" applyFont="1" applyFill="1" applyBorder="1" applyAlignment="1">
      <alignment horizontal="center" wrapText="1"/>
    </xf>
    <xf numFmtId="0" fontId="40" fillId="0" borderId="6" xfId="0" applyFont="1" applyBorder="1" applyAlignment="1">
      <alignment horizontal="center" vertical="center" wrapText="1"/>
    </xf>
    <xf numFmtId="0" fontId="9" fillId="7" borderId="7" xfId="0" applyFont="1" applyFill="1" applyBorder="1" applyAlignment="1">
      <alignment horizontal="left" wrapText="1"/>
    </xf>
    <xf numFmtId="0" fontId="8" fillId="7" borderId="7" xfId="0" applyFont="1" applyFill="1" applyBorder="1" applyAlignment="1">
      <alignment wrapText="1"/>
    </xf>
    <xf numFmtId="2" fontId="18" fillId="0" borderId="4" xfId="0" applyNumberFormat="1" applyFont="1" applyBorder="1" applyAlignment="1">
      <alignment horizontal="center"/>
    </xf>
    <xf numFmtId="164" fontId="18" fillId="0" borderId="4" xfId="0" applyNumberFormat="1" applyFont="1" applyBorder="1" applyAlignment="1">
      <alignment horizontal="center"/>
    </xf>
    <xf numFmtId="2" fontId="18" fillId="0" borderId="6" xfId="0" applyNumberFormat="1" applyFont="1" applyBorder="1" applyAlignment="1">
      <alignment horizontal="center"/>
    </xf>
    <xf numFmtId="0" fontId="20" fillId="7" borderId="4" xfId="0" applyFont="1" applyFill="1" applyBorder="1" applyAlignment="1">
      <alignment horizontal="left"/>
    </xf>
    <xf numFmtId="0" fontId="20" fillId="0" borderId="0" xfId="0" applyFont="1" applyAlignment="1">
      <alignment horizontal="center"/>
    </xf>
    <xf numFmtId="2" fontId="18" fillId="0" borderId="7" xfId="0" applyNumberFormat="1" applyFont="1" applyBorder="1" applyAlignment="1">
      <alignment horizontal="center"/>
    </xf>
    <xf numFmtId="0" fontId="20" fillId="0" borderId="7" xfId="0" applyFont="1" applyBorder="1" applyAlignment="1">
      <alignment horizontal="left"/>
    </xf>
    <xf numFmtId="0" fontId="21" fillId="0" borderId="0" xfId="0" applyFont="1" applyAlignment="1">
      <alignment horizontal="left"/>
    </xf>
    <xf numFmtId="164" fontId="18" fillId="0" borderId="9" xfId="0" applyNumberFormat="1" applyFont="1" applyBorder="1" applyAlignment="1">
      <alignment horizontal="center"/>
    </xf>
    <xf numFmtId="2" fontId="18" fillId="0" borderId="9" xfId="0" applyNumberFormat="1" applyFont="1" applyBorder="1" applyAlignment="1">
      <alignment horizontal="center"/>
    </xf>
    <xf numFmtId="0" fontId="18" fillId="0" borderId="9" xfId="0" applyFont="1" applyBorder="1" applyAlignment="1">
      <alignment horizontal="center"/>
    </xf>
    <xf numFmtId="2" fontId="18" fillId="0" borderId="7" xfId="0" applyNumberFormat="1" applyFont="1" applyBorder="1" applyAlignment="1">
      <alignment horizontal="center"/>
    </xf>
    <xf numFmtId="0" fontId="20" fillId="7" borderId="7" xfId="0" applyFont="1" applyFill="1" applyBorder="1" applyAlignment="1"/>
    <xf numFmtId="0" fontId="20" fillId="0" borderId="0" xfId="0" applyFont="1" applyAlignment="1">
      <alignment horizontal="left"/>
    </xf>
    <xf numFmtId="0" fontId="20" fillId="0" borderId="7" xfId="0" applyFont="1" applyBorder="1" applyAlignment="1">
      <alignment horizontal="left"/>
    </xf>
    <xf numFmtId="0" fontId="20" fillId="0" borderId="4" xfId="0" applyFont="1" applyBorder="1" applyAlignment="1">
      <alignment horizontal="left"/>
    </xf>
    <xf numFmtId="0" fontId="20" fillId="0" borderId="7" xfId="0" applyFont="1" applyBorder="1" applyAlignment="1"/>
    <xf numFmtId="0" fontId="18" fillId="0" borderId="9" xfId="0" applyFont="1" applyBorder="1" applyAlignment="1">
      <alignment horizontal="center"/>
    </xf>
    <xf numFmtId="0" fontId="20" fillId="0" borderId="7" xfId="0" applyFont="1" applyBorder="1" applyAlignment="1">
      <alignment horizontal="left"/>
    </xf>
    <xf numFmtId="0" fontId="19" fillId="0" borderId="9" xfId="0" applyFont="1" applyBorder="1" applyAlignment="1">
      <alignment horizontal="left"/>
    </xf>
    <xf numFmtId="0" fontId="20" fillId="7" borderId="7" xfId="0" applyFont="1" applyFill="1" applyBorder="1" applyAlignment="1">
      <alignment horizontal="left"/>
    </xf>
    <xf numFmtId="0" fontId="20" fillId="7" borderId="9" xfId="0" applyFont="1" applyFill="1" applyBorder="1" applyAlignment="1">
      <alignment horizontal="left"/>
    </xf>
    <xf numFmtId="0" fontId="19" fillId="0" borderId="7" xfId="0" applyFont="1" applyBorder="1" applyAlignment="1">
      <alignment horizontal="left"/>
    </xf>
    <xf numFmtId="0" fontId="10" fillId="0" borderId="6" xfId="0" applyFont="1" applyBorder="1" applyAlignment="1">
      <alignment horizontal="left" wrapText="1"/>
    </xf>
    <xf numFmtId="0" fontId="20" fillId="0" borderId="0" xfId="0" applyFont="1" applyAlignment="1">
      <alignment horizontal="left" wrapText="1"/>
    </xf>
    <xf numFmtId="0" fontId="10" fillId="0" borderId="8" xfId="0" applyFont="1" applyBorder="1" applyAlignment="1">
      <alignment horizontal="left" wrapText="1"/>
    </xf>
    <xf numFmtId="0" fontId="21" fillId="0" borderId="0" xfId="0" applyFont="1" applyAlignment="1">
      <alignment horizontal="left" wrapText="1"/>
    </xf>
    <xf numFmtId="0" fontId="11" fillId="0" borderId="6" xfId="0" applyFont="1" applyBorder="1" applyAlignment="1">
      <alignment vertical="center" wrapText="1"/>
    </xf>
    <xf numFmtId="0" fontId="20" fillId="0" borderId="6" xfId="0" applyFont="1" applyBorder="1" applyAlignment="1">
      <alignment horizontal="left" wrapText="1"/>
    </xf>
    <xf numFmtId="0" fontId="20" fillId="7" borderId="7" xfId="0" applyFont="1" applyFill="1" applyBorder="1" applyAlignment="1">
      <alignment horizontal="left" wrapText="1"/>
    </xf>
    <xf numFmtId="0" fontId="20" fillId="0" borderId="7" xfId="0" applyFont="1" applyBorder="1" applyAlignment="1">
      <alignment horizontal="left" wrapText="1"/>
    </xf>
    <xf numFmtId="0" fontId="10" fillId="0" borderId="0" xfId="0" applyFont="1"/>
    <xf numFmtId="0" fontId="18" fillId="0" borderId="7" xfId="0" applyFont="1" applyBorder="1" applyAlignment="1">
      <alignment horizontal="center"/>
    </xf>
    <xf numFmtId="0" fontId="20" fillId="0" borderId="7" xfId="0" applyFont="1" applyBorder="1" applyAlignment="1">
      <alignment horizontal="left" wrapText="1"/>
    </xf>
    <xf numFmtId="0" fontId="7" fillId="0" borderId="7" xfId="0" applyFont="1" applyBorder="1" applyAlignment="1">
      <alignment wrapText="1"/>
    </xf>
    <xf numFmtId="0" fontId="21" fillId="0" borderId="0" xfId="0" applyFont="1" applyAlignment="1">
      <alignment horizontal="left" wrapText="1"/>
    </xf>
    <xf numFmtId="2" fontId="18" fillId="0" borderId="5" xfId="0" applyNumberFormat="1" applyFont="1" applyBorder="1" applyAlignment="1">
      <alignment horizontal="center"/>
    </xf>
    <xf numFmtId="0" fontId="20" fillId="0" borderId="4" xfId="0" applyFont="1" applyBorder="1" applyAlignment="1">
      <alignment horizontal="left" wrapText="1"/>
    </xf>
    <xf numFmtId="2" fontId="18" fillId="0" borderId="1" xfId="0" applyNumberFormat="1" applyFont="1" applyBorder="1" applyAlignment="1">
      <alignment horizontal="center"/>
    </xf>
    <xf numFmtId="0" fontId="20" fillId="0" borderId="7" xfId="0" applyFont="1" applyBorder="1" applyAlignment="1">
      <alignment horizontal="left" wrapText="1"/>
    </xf>
    <xf numFmtId="0" fontId="4" fillId="0" borderId="6" xfId="0" applyFont="1" applyBorder="1" applyAlignment="1">
      <alignment horizontal="center"/>
    </xf>
    <xf numFmtId="2" fontId="31" fillId="0" borderId="6" xfId="0" applyNumberFormat="1" applyFont="1" applyBorder="1" applyAlignment="1">
      <alignment horizontal="right" vertical="center"/>
    </xf>
    <xf numFmtId="0" fontId="28" fillId="0" borderId="0" xfId="0" applyFont="1" applyAlignment="1">
      <alignment horizontal="left" vertical="center" wrapText="1"/>
    </xf>
    <xf numFmtId="0" fontId="29" fillId="0" borderId="0" xfId="0" applyFont="1"/>
    <xf numFmtId="0" fontId="54" fillId="7" borderId="0" xfId="0" applyFont="1" applyFill="1"/>
    <xf numFmtId="0" fontId="11" fillId="0" borderId="3" xfId="0" applyFont="1" applyBorder="1" applyAlignment="1">
      <alignment horizontal="center" vertical="center" wrapText="1"/>
    </xf>
    <xf numFmtId="0" fontId="38" fillId="8" borderId="13" xfId="0" applyFont="1" applyFill="1" applyBorder="1" applyAlignment="1">
      <alignment vertical="center" wrapText="1"/>
    </xf>
    <xf numFmtId="0" fontId="45" fillId="0" borderId="0" xfId="0" applyFont="1" applyAlignment="1">
      <alignment horizontal="center" vertical="center"/>
    </xf>
    <xf numFmtId="164" fontId="38" fillId="8" borderId="6" xfId="0" applyNumberFormat="1" applyFont="1" applyFill="1" applyBorder="1" applyAlignment="1">
      <alignment horizontal="center" vertical="center" wrapText="1"/>
    </xf>
    <xf numFmtId="0" fontId="55" fillId="0" borderId="0" xfId="0" applyFont="1" applyAlignment="1">
      <alignment horizontal="left" vertical="center" wrapText="1"/>
    </xf>
    <xf numFmtId="172" fontId="4" fillId="0" borderId="6" xfId="0" applyNumberFormat="1" applyFont="1" applyBorder="1" applyAlignment="1">
      <alignment horizontal="center" vertical="center" wrapText="1"/>
    </xf>
    <xf numFmtId="0" fontId="11" fillId="0" borderId="6" xfId="0" applyFont="1" applyBorder="1" applyAlignment="1">
      <alignment horizontal="left" wrapText="1"/>
    </xf>
    <xf numFmtId="0" fontId="20" fillId="0" borderId="0" xfId="0" applyFont="1" applyAlignment="1">
      <alignment horizontal="left" wrapText="1"/>
    </xf>
    <xf numFmtId="164" fontId="11" fillId="15" borderId="6" xfId="0" applyNumberFormat="1" applyFont="1" applyFill="1" applyBorder="1" applyAlignment="1">
      <alignment horizontal="center" vertical="center" wrapText="1"/>
    </xf>
    <xf numFmtId="2" fontId="4" fillId="15" borderId="6" xfId="0" applyNumberFormat="1" applyFont="1" applyFill="1" applyBorder="1" applyAlignment="1">
      <alignment horizontal="center" vertical="center" wrapText="1"/>
    </xf>
    <xf numFmtId="0" fontId="30" fillId="15" borderId="6" xfId="0" applyFont="1" applyFill="1" applyBorder="1" applyAlignment="1">
      <alignment vertical="center" wrapText="1"/>
    </xf>
    <xf numFmtId="0" fontId="6" fillId="15" borderId="6" xfId="0" applyFont="1" applyFill="1" applyBorder="1" applyAlignment="1">
      <alignment horizontal="left" vertical="center" wrapText="1"/>
    </xf>
    <xf numFmtId="0" fontId="38" fillId="15" borderId="6" xfId="0" applyFont="1" applyFill="1" applyBorder="1" applyAlignment="1">
      <alignment vertical="top" wrapText="1"/>
    </xf>
    <xf numFmtId="0" fontId="48" fillId="15" borderId="0" xfId="0" applyFont="1" applyFill="1" applyAlignment="1">
      <alignment horizontal="left" vertical="center" wrapText="1"/>
    </xf>
    <xf numFmtId="0" fontId="11" fillId="15" borderId="0" xfId="0" applyFont="1" applyFill="1" applyAlignment="1">
      <alignment horizontal="left" vertical="top" wrapText="1"/>
    </xf>
    <xf numFmtId="164" fontId="11" fillId="0" borderId="6" xfId="0" applyNumberFormat="1" applyFont="1" applyBorder="1" applyAlignment="1">
      <alignment horizontal="center" vertical="center" wrapText="1"/>
    </xf>
    <xf numFmtId="164" fontId="11" fillId="0" borderId="6" xfId="0" applyNumberFormat="1" applyFont="1" applyBorder="1" applyAlignment="1">
      <alignment horizontal="center" vertical="center" wrapText="1"/>
    </xf>
    <xf numFmtId="2" fontId="56" fillId="0" borderId="0" xfId="0" applyNumberFormat="1" applyFont="1" applyAlignment="1">
      <alignment horizontal="left" vertical="center"/>
    </xf>
    <xf numFmtId="0" fontId="38" fillId="15" borderId="6" xfId="0" applyFont="1" applyFill="1" applyBorder="1" applyAlignment="1">
      <alignment horizontal="left" vertical="center" wrapText="1"/>
    </xf>
    <xf numFmtId="0" fontId="4" fillId="15" borderId="6" xfId="0" applyFont="1" applyFill="1" applyBorder="1" applyAlignment="1">
      <alignment horizontal="center" vertical="center" wrapText="1"/>
    </xf>
    <xf numFmtId="0" fontId="20" fillId="15" borderId="6" xfId="0" applyFont="1" applyFill="1" applyBorder="1" applyAlignment="1">
      <alignment horizontal="left" vertical="center"/>
    </xf>
    <xf numFmtId="0" fontId="57" fillId="0" borderId="6" xfId="0" applyFont="1" applyBorder="1" applyAlignment="1">
      <alignment horizontal="center" wrapText="1"/>
    </xf>
    <xf numFmtId="0" fontId="39" fillId="8" borderId="6" xfId="0" applyFont="1" applyFill="1" applyBorder="1" applyAlignment="1">
      <alignment horizontal="left" vertical="center" wrapText="1"/>
    </xf>
    <xf numFmtId="0" fontId="44" fillId="7" borderId="0" xfId="0" applyFont="1" applyFill="1" applyAlignment="1">
      <alignment horizontal="left" wrapText="1"/>
    </xf>
    <xf numFmtId="2" fontId="4" fillId="5" borderId="6" xfId="0" applyNumberFormat="1" applyFont="1" applyFill="1" applyBorder="1" applyAlignment="1">
      <alignment horizontal="center" vertical="center" wrapText="1"/>
    </xf>
    <xf numFmtId="0" fontId="11" fillId="5" borderId="6" xfId="0" applyFont="1" applyFill="1" applyBorder="1" applyAlignment="1">
      <alignment horizontal="left" vertical="center" wrapText="1"/>
    </xf>
    <xf numFmtId="2" fontId="58" fillId="7" borderId="6" xfId="0" applyNumberFormat="1" applyFont="1" applyFill="1" applyBorder="1" applyAlignment="1"/>
    <xf numFmtId="0" fontId="52" fillId="0" borderId="6" xfId="0" applyFont="1" applyBorder="1" applyAlignment="1">
      <alignment horizontal="left" vertical="center" wrapText="1"/>
    </xf>
    <xf numFmtId="164" fontId="4" fillId="15" borderId="6" xfId="0" applyNumberFormat="1" applyFont="1" applyFill="1" applyBorder="1" applyAlignment="1">
      <alignment horizontal="center" vertical="center" wrapText="1"/>
    </xf>
    <xf numFmtId="2" fontId="4" fillId="0" borderId="3" xfId="0" applyNumberFormat="1" applyFont="1" applyBorder="1" applyAlignment="1">
      <alignment horizontal="center" vertical="center" wrapText="1"/>
    </xf>
    <xf numFmtId="0" fontId="30" fillId="15" borderId="6" xfId="0" applyFont="1" applyFill="1" applyBorder="1" applyAlignment="1">
      <alignment horizontal="left" vertical="center" wrapText="1"/>
    </xf>
    <xf numFmtId="0" fontId="30" fillId="15" borderId="0" xfId="0" applyFont="1" applyFill="1" applyAlignment="1">
      <alignment horizontal="left" vertical="top"/>
    </xf>
    <xf numFmtId="0" fontId="11" fillId="0" borderId="6" xfId="0" applyFont="1" applyBorder="1" applyAlignment="1">
      <alignment wrapText="1"/>
    </xf>
    <xf numFmtId="0" fontId="11" fillId="0" borderId="6" xfId="0" applyFont="1" applyBorder="1" applyAlignment="1">
      <alignment wrapText="1"/>
    </xf>
    <xf numFmtId="0" fontId="43" fillId="0" borderId="6" xfId="0" applyFont="1" applyBorder="1" applyAlignment="1">
      <alignment horizontal="center" vertical="center"/>
    </xf>
    <xf numFmtId="0" fontId="19" fillId="0" borderId="6" xfId="0" applyFont="1" applyBorder="1" applyAlignment="1">
      <alignment horizontal="center" vertical="center"/>
    </xf>
    <xf numFmtId="0" fontId="19" fillId="0" borderId="4" xfId="0" applyFont="1" applyBorder="1" applyAlignment="1">
      <alignment horizontal="center" vertical="center"/>
    </xf>
    <xf numFmtId="0" fontId="19" fillId="0" borderId="6" xfId="0" applyFont="1" applyBorder="1" applyAlignment="1">
      <alignment horizontal="center" vertical="center"/>
    </xf>
    <xf numFmtId="2" fontId="59" fillId="7" borderId="4" xfId="0" applyNumberFormat="1" applyFont="1" applyFill="1" applyBorder="1" applyAlignment="1">
      <alignment horizontal="center" vertical="center"/>
    </xf>
    <xf numFmtId="0" fontId="19" fillId="7" borderId="4" xfId="0" applyFont="1" applyFill="1" applyBorder="1" applyAlignment="1">
      <alignment horizontal="center" vertical="center"/>
    </xf>
    <xf numFmtId="0" fontId="19" fillId="7" borderId="4" xfId="0" applyFont="1" applyFill="1" applyBorder="1" applyAlignment="1">
      <alignment horizontal="center" vertical="center"/>
    </xf>
    <xf numFmtId="2" fontId="22" fillId="7" borderId="4" xfId="0" applyNumberFormat="1" applyFont="1" applyFill="1" applyBorder="1" applyAlignment="1">
      <alignment horizontal="center" vertical="center"/>
    </xf>
    <xf numFmtId="0" fontId="18" fillId="7" borderId="4" xfId="0" applyFont="1" applyFill="1" applyBorder="1" applyAlignment="1">
      <alignment horizontal="left" vertical="center"/>
    </xf>
    <xf numFmtId="0" fontId="18" fillId="7" borderId="6" xfId="0" applyFont="1" applyFill="1" applyBorder="1" applyAlignment="1">
      <alignment horizontal="left" vertical="center"/>
    </xf>
    <xf numFmtId="0" fontId="6" fillId="0" borderId="0" xfId="0" applyFont="1" applyAlignment="1">
      <alignment horizontal="center" vertical="center"/>
    </xf>
    <xf numFmtId="0" fontId="8" fillId="0" borderId="6" xfId="0" applyFont="1" applyBorder="1" applyAlignment="1">
      <alignment horizontal="left"/>
    </xf>
    <xf numFmtId="0" fontId="48" fillId="0" borderId="0" xfId="0" applyFont="1" applyAlignment="1">
      <alignment horizontal="left"/>
    </xf>
    <xf numFmtId="0" fontId="23" fillId="0" borderId="0" xfId="0" applyFont="1" applyAlignment="1">
      <alignment horizontal="center" vertical="center" wrapText="1"/>
    </xf>
    <xf numFmtId="0" fontId="12"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center" vertical="center" wrapText="1"/>
    </xf>
    <xf numFmtId="0" fontId="23"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6" fillId="0" borderId="0" xfId="0" applyFont="1" applyAlignment="1">
      <alignment wrapText="1"/>
    </xf>
    <xf numFmtId="0" fontId="23" fillId="0" borderId="6" xfId="0" applyFont="1" applyBorder="1" applyAlignment="1">
      <alignment horizontal="center" vertical="center" wrapText="1"/>
    </xf>
    <xf numFmtId="0" fontId="6" fillId="0" borderId="2" xfId="0" applyFont="1" applyBorder="1" applyAlignment="1">
      <alignment horizontal="left" vertical="center" wrapText="1"/>
    </xf>
    <xf numFmtId="0" fontId="12" fillId="0" borderId="0" xfId="0" applyFont="1" applyAlignment="1">
      <alignment horizontal="center" vertical="center" wrapText="1"/>
    </xf>
    <xf numFmtId="0" fontId="12" fillId="0" borderId="6" xfId="0" applyFont="1" applyBorder="1" applyAlignment="1">
      <alignment horizontal="center" vertical="center" wrapText="1"/>
    </xf>
    <xf numFmtId="2" fontId="23" fillId="17" borderId="6" xfId="0" applyNumberFormat="1" applyFont="1" applyFill="1" applyBorder="1" applyAlignment="1">
      <alignment horizontal="center" vertical="center" wrapText="1"/>
    </xf>
    <xf numFmtId="0" fontId="6" fillId="0" borderId="6" xfId="0" applyFont="1" applyBorder="1" applyAlignment="1">
      <alignment horizontal="left" vertical="center" wrapText="1"/>
    </xf>
    <xf numFmtId="0" fontId="9" fillId="7" borderId="6" xfId="0" applyFont="1" applyFill="1" applyBorder="1" applyAlignment="1">
      <alignment horizontal="right" wrapText="1"/>
    </xf>
    <xf numFmtId="0" fontId="24" fillId="7" borderId="6" xfId="0" applyFont="1" applyFill="1" applyBorder="1" applyAlignment="1">
      <alignment horizontal="right"/>
    </xf>
    <xf numFmtId="2" fontId="12" fillId="0" borderId="0" xfId="0" applyNumberFormat="1" applyFont="1" applyAlignment="1">
      <alignment horizontal="center" vertical="center" wrapText="1"/>
    </xf>
    <xf numFmtId="2" fontId="12" fillId="0" borderId="6" xfId="0" applyNumberFormat="1" applyFont="1" applyBorder="1" applyAlignment="1">
      <alignment horizontal="center" vertical="center" wrapText="1"/>
    </xf>
    <xf numFmtId="164" fontId="12" fillId="0" borderId="6" xfId="0" applyNumberFormat="1" applyFont="1" applyBorder="1" applyAlignment="1">
      <alignment horizontal="center" vertical="center" wrapText="1"/>
    </xf>
    <xf numFmtId="2" fontId="6" fillId="0" borderId="6" xfId="0" applyNumberFormat="1" applyFont="1" applyBorder="1" applyAlignment="1">
      <alignment horizontal="left" vertical="center" wrapText="1"/>
    </xf>
    <xf numFmtId="2" fontId="24" fillId="7" borderId="7" xfId="0" applyNumberFormat="1" applyFont="1" applyFill="1" applyBorder="1" applyAlignment="1">
      <alignment horizontal="right"/>
    </xf>
    <xf numFmtId="2" fontId="9" fillId="7" borderId="7" xfId="0" applyNumberFormat="1" applyFont="1" applyFill="1" applyBorder="1" applyAlignment="1">
      <alignment horizontal="right" wrapText="1"/>
    </xf>
    <xf numFmtId="2" fontId="12" fillId="5" borderId="0" xfId="0" applyNumberFormat="1" applyFont="1" applyFill="1" applyAlignment="1">
      <alignment horizontal="center" vertical="center" wrapText="1"/>
    </xf>
    <xf numFmtId="0" fontId="60" fillId="0" borderId="0" xfId="0" applyFont="1" applyAlignment="1">
      <alignment wrapText="1"/>
    </xf>
    <xf numFmtId="0" fontId="9" fillId="0" borderId="6" xfId="0" applyFont="1" applyBorder="1" applyAlignment="1">
      <alignment vertical="center" wrapText="1"/>
    </xf>
    <xf numFmtId="2" fontId="9" fillId="0" borderId="7" xfId="0" applyNumberFormat="1" applyFont="1" applyBorder="1" applyAlignment="1">
      <alignment horizontal="right" wrapText="1"/>
    </xf>
    <xf numFmtId="165" fontId="12" fillId="0" borderId="6" xfId="0" applyNumberFormat="1" applyFont="1" applyBorder="1" applyAlignment="1">
      <alignment horizontal="center" vertical="center" wrapText="1"/>
    </xf>
    <xf numFmtId="2" fontId="9" fillId="0" borderId="7" xfId="0" applyNumberFormat="1" applyFont="1" applyBorder="1" applyAlignment="1">
      <alignment horizontal="left" wrapText="1"/>
    </xf>
    <xf numFmtId="0" fontId="61" fillId="0" borderId="0" xfId="0" applyFont="1" applyAlignment="1">
      <alignment wrapText="1"/>
    </xf>
    <xf numFmtId="166" fontId="12" fillId="0" borderId="6" xfId="0" applyNumberFormat="1" applyFont="1" applyBorder="1" applyAlignment="1">
      <alignment horizontal="center" vertical="center" wrapText="1"/>
    </xf>
    <xf numFmtId="0" fontId="9" fillId="0" borderId="6" xfId="0" applyFont="1" applyBorder="1" applyAlignment="1">
      <alignment horizontal="left" vertical="top" wrapText="1"/>
    </xf>
    <xf numFmtId="167" fontId="12" fillId="0" borderId="6" xfId="0" applyNumberFormat="1" applyFont="1" applyBorder="1" applyAlignment="1">
      <alignment horizontal="center" vertical="center" wrapText="1"/>
    </xf>
    <xf numFmtId="167" fontId="23" fillId="17" borderId="6" xfId="0" applyNumberFormat="1" applyFont="1" applyFill="1" applyBorder="1" applyAlignment="1">
      <alignment horizontal="center" vertical="center" wrapText="1"/>
    </xf>
    <xf numFmtId="2" fontId="9" fillId="0" borderId="7" xfId="0" applyNumberFormat="1" applyFont="1" applyBorder="1" applyAlignment="1">
      <alignment horizontal="left" vertical="top" wrapText="1"/>
    </xf>
    <xf numFmtId="2" fontId="6" fillId="0" borderId="7" xfId="0" applyNumberFormat="1" applyFont="1" applyBorder="1" applyAlignment="1">
      <alignment horizontal="left" wrapText="1"/>
    </xf>
    <xf numFmtId="0" fontId="24" fillId="0" borderId="6" xfId="0" applyFont="1" applyBorder="1" applyAlignment="1">
      <alignment horizontal="center" vertical="center" wrapText="1"/>
    </xf>
    <xf numFmtId="2" fontId="12" fillId="17" borderId="6" xfId="0" applyNumberFormat="1" applyFont="1" applyFill="1" applyBorder="1" applyAlignment="1">
      <alignment horizontal="center" vertical="center" wrapText="1"/>
    </xf>
    <xf numFmtId="164" fontId="12" fillId="17" borderId="6" xfId="0" applyNumberFormat="1" applyFont="1" applyFill="1" applyBorder="1" applyAlignment="1">
      <alignment horizontal="center" vertical="center" wrapText="1"/>
    </xf>
    <xf numFmtId="2" fontId="16" fillId="5" borderId="0" xfId="0" applyNumberFormat="1" applyFont="1" applyFill="1" applyAlignment="1">
      <alignment horizontal="center" vertical="center" wrapText="1"/>
    </xf>
    <xf numFmtId="0" fontId="16" fillId="0" borderId="0" xfId="0" applyFont="1" applyAlignment="1">
      <alignment horizontal="center" vertical="center" wrapText="1"/>
    </xf>
    <xf numFmtId="0" fontId="62" fillId="0" borderId="6" xfId="0" applyFont="1" applyBorder="1" applyAlignment="1">
      <alignment horizontal="left" vertical="center" wrapText="1"/>
    </xf>
    <xf numFmtId="0" fontId="43" fillId="0" borderId="6" xfId="0" applyFont="1" applyBorder="1" applyAlignment="1">
      <alignment horizontal="left" vertical="center" wrapText="1"/>
    </xf>
    <xf numFmtId="167" fontId="6" fillId="0" borderId="6" xfId="0" applyNumberFormat="1" applyFont="1" applyBorder="1" applyAlignment="1">
      <alignment horizontal="left" vertical="center" wrapText="1"/>
    </xf>
    <xf numFmtId="167" fontId="6" fillId="0" borderId="6" xfId="0" applyNumberFormat="1" applyFont="1" applyBorder="1" applyAlignment="1">
      <alignment horizontal="left" vertical="center" wrapText="1"/>
    </xf>
    <xf numFmtId="2" fontId="23" fillId="18" borderId="6" xfId="0" applyNumberFormat="1" applyFont="1" applyFill="1" applyBorder="1" applyAlignment="1">
      <alignment horizontal="center" vertical="center" wrapText="1"/>
    </xf>
    <xf numFmtId="167" fontId="9" fillId="0" borderId="0" xfId="0" applyNumberFormat="1" applyFont="1" applyAlignment="1">
      <alignment horizontal="left" vertical="center" wrapText="1"/>
    </xf>
    <xf numFmtId="2" fontId="6" fillId="0" borderId="7" xfId="0" applyNumberFormat="1" applyFont="1" applyBorder="1" applyAlignment="1">
      <alignment horizontal="left" vertical="center" wrapText="1"/>
    </xf>
    <xf numFmtId="0" fontId="9" fillId="0" borderId="6" xfId="0" applyFont="1" applyBorder="1" applyAlignment="1">
      <alignment wrapText="1"/>
    </xf>
    <xf numFmtId="2" fontId="9" fillId="0" borderId="6" xfId="0" applyNumberFormat="1" applyFont="1" applyBorder="1" applyAlignment="1">
      <alignment wrapText="1"/>
    </xf>
    <xf numFmtId="2" fontId="63" fillId="5" borderId="0" xfId="0" applyNumberFormat="1" applyFont="1" applyFill="1" applyAlignment="1">
      <alignment horizontal="center" vertical="center" wrapText="1"/>
    </xf>
    <xf numFmtId="0" fontId="12" fillId="3" borderId="6" xfId="0" applyFont="1" applyFill="1" applyBorder="1" applyAlignment="1">
      <alignment horizontal="center" vertical="center" wrapText="1"/>
    </xf>
    <xf numFmtId="2" fontId="9" fillId="7" borderId="7" xfId="0" applyNumberFormat="1" applyFont="1" applyFill="1" applyBorder="1" applyAlignment="1">
      <alignment horizontal="center" wrapText="1"/>
    </xf>
    <xf numFmtId="2" fontId="16" fillId="7" borderId="7" xfId="0" applyNumberFormat="1" applyFont="1" applyFill="1" applyBorder="1" applyAlignment="1">
      <alignment horizontal="center"/>
    </xf>
    <xf numFmtId="0" fontId="23" fillId="0" borderId="6" xfId="0" applyFont="1" applyBorder="1" applyAlignment="1">
      <alignment horizontal="center" vertical="top" wrapText="1"/>
    </xf>
    <xf numFmtId="2" fontId="23" fillId="17" borderId="6" xfId="0" applyNumberFormat="1" applyFont="1" applyFill="1" applyBorder="1" applyAlignment="1">
      <alignment horizontal="center" vertical="top" wrapText="1"/>
    </xf>
    <xf numFmtId="167" fontId="64" fillId="0" borderId="0" xfId="0" applyNumberFormat="1" applyFont="1" applyAlignment="1">
      <alignment horizontal="left" vertical="top" wrapText="1"/>
    </xf>
    <xf numFmtId="167" fontId="6" fillId="8" borderId="6" xfId="0" applyNumberFormat="1" applyFont="1" applyFill="1" applyBorder="1" applyAlignment="1">
      <alignment horizontal="left" vertical="top" wrapText="1"/>
    </xf>
    <xf numFmtId="2" fontId="24" fillId="7" borderId="7" xfId="0" applyNumberFormat="1" applyFont="1" applyFill="1" applyBorder="1" applyAlignment="1">
      <alignment horizontal="right" vertical="top"/>
    </xf>
    <xf numFmtId="2" fontId="12" fillId="0" borderId="0" xfId="0" applyNumberFormat="1" applyFont="1" applyAlignment="1">
      <alignment horizontal="center" vertical="top" wrapText="1"/>
    </xf>
    <xf numFmtId="0" fontId="12" fillId="0" borderId="0" xfId="0" applyFont="1" applyAlignment="1">
      <alignment horizontal="center" vertical="top" wrapText="1"/>
    </xf>
    <xf numFmtId="168" fontId="12" fillId="0" borderId="6" xfId="0" applyNumberFormat="1" applyFont="1" applyBorder="1" applyAlignment="1">
      <alignment horizontal="center" vertical="center" wrapText="1"/>
    </xf>
    <xf numFmtId="167" fontId="9" fillId="0" borderId="6" xfId="0" applyNumberFormat="1" applyFont="1" applyBorder="1" applyAlignment="1">
      <alignment horizontal="left" vertical="center" wrapText="1"/>
    </xf>
    <xf numFmtId="167" fontId="8" fillId="7" borderId="6" xfId="0" applyNumberFormat="1" applyFont="1" applyFill="1" applyBorder="1" applyAlignment="1">
      <alignment horizontal="left" wrapText="1"/>
    </xf>
    <xf numFmtId="2" fontId="23" fillId="7" borderId="7" xfId="0" applyNumberFormat="1" applyFont="1" applyFill="1" applyBorder="1" applyAlignment="1">
      <alignment horizontal="right"/>
    </xf>
    <xf numFmtId="167" fontId="8" fillId="7" borderId="6" xfId="0" applyNumberFormat="1" applyFont="1" applyFill="1" applyBorder="1" applyAlignment="1">
      <alignment horizontal="left" wrapText="1"/>
    </xf>
    <xf numFmtId="2" fontId="8" fillId="7" borderId="6" xfId="0" applyNumberFormat="1" applyFont="1" applyFill="1" applyBorder="1" applyAlignment="1">
      <alignment horizontal="left" wrapText="1"/>
    </xf>
    <xf numFmtId="43" fontId="12" fillId="0" borderId="6" xfId="0" applyNumberFormat="1" applyFont="1" applyBorder="1" applyAlignment="1">
      <alignment horizontal="center" vertical="center" wrapText="1"/>
    </xf>
    <xf numFmtId="43" fontId="23" fillId="17" borderId="6" xfId="0" applyNumberFormat="1" applyFont="1" applyFill="1" applyBorder="1" applyAlignment="1">
      <alignment horizontal="center" vertical="center" wrapText="1"/>
    </xf>
    <xf numFmtId="167" fontId="6" fillId="0" borderId="6" xfId="0" applyNumberFormat="1" applyFont="1" applyBorder="1" applyAlignment="1">
      <alignment horizontal="left"/>
    </xf>
    <xf numFmtId="2" fontId="6" fillId="0" borderId="6" xfId="0" applyNumberFormat="1" applyFont="1" applyBorder="1" applyAlignment="1">
      <alignment horizontal="left"/>
    </xf>
    <xf numFmtId="4" fontId="12" fillId="0" borderId="6" xfId="0" applyNumberFormat="1" applyFont="1" applyBorder="1" applyAlignment="1">
      <alignment horizontal="center" vertical="center" wrapText="1"/>
    </xf>
    <xf numFmtId="167" fontId="6" fillId="0" borderId="6" xfId="0" applyNumberFormat="1" applyFont="1" applyBorder="1" applyAlignment="1">
      <alignment horizontal="left" wrapText="1"/>
    </xf>
    <xf numFmtId="2" fontId="6" fillId="0" borderId="6" xfId="0" applyNumberFormat="1" applyFont="1" applyBorder="1" applyAlignment="1">
      <alignment horizontal="left" wrapText="1"/>
    </xf>
    <xf numFmtId="167" fontId="9" fillId="0" borderId="6" xfId="0" applyNumberFormat="1" applyFont="1" applyBorder="1" applyAlignment="1">
      <alignment horizontal="left" wrapText="1"/>
    </xf>
    <xf numFmtId="2" fontId="9" fillId="0" borderId="6" xfId="0" applyNumberFormat="1" applyFont="1" applyBorder="1" applyAlignment="1">
      <alignment horizontal="left" wrapText="1"/>
    </xf>
    <xf numFmtId="2" fontId="6" fillId="7" borderId="7" xfId="0" applyNumberFormat="1" applyFont="1" applyFill="1" applyBorder="1" applyAlignment="1">
      <alignment horizontal="right" wrapText="1"/>
    </xf>
    <xf numFmtId="167" fontId="6" fillId="0" borderId="7" xfId="0" applyNumberFormat="1" applyFont="1" applyBorder="1" applyAlignment="1">
      <alignment horizontal="left" wrapText="1"/>
    </xf>
    <xf numFmtId="2" fontId="23" fillId="0" borderId="6" xfId="0" applyNumberFormat="1" applyFont="1" applyBorder="1" applyAlignment="1">
      <alignment horizontal="center" vertical="center" wrapText="1"/>
    </xf>
    <xf numFmtId="167" fontId="6" fillId="0" borderId="7" xfId="0" applyNumberFormat="1" applyFont="1" applyBorder="1" applyAlignment="1">
      <alignment horizontal="center" wrapText="1"/>
    </xf>
    <xf numFmtId="167" fontId="9" fillId="0" borderId="7" xfId="0" applyNumberFormat="1" applyFont="1" applyBorder="1" applyAlignment="1">
      <alignment horizontal="left" wrapText="1"/>
    </xf>
    <xf numFmtId="167" fontId="6" fillId="0" borderId="6" xfId="0" applyNumberFormat="1" applyFont="1" applyBorder="1" applyAlignment="1">
      <alignment wrapText="1"/>
    </xf>
    <xf numFmtId="167" fontId="9" fillId="0" borderId="6" xfId="0" applyNumberFormat="1" applyFont="1" applyBorder="1" applyAlignment="1">
      <alignment wrapText="1"/>
    </xf>
    <xf numFmtId="0" fontId="42" fillId="0" borderId="6" xfId="0" applyFont="1" applyBorder="1" applyAlignment="1">
      <alignment wrapText="1"/>
    </xf>
    <xf numFmtId="2" fontId="9" fillId="7" borderId="6" xfId="0" applyNumberFormat="1" applyFont="1" applyFill="1" applyBorder="1" applyAlignment="1">
      <alignment horizontal="right" wrapText="1"/>
    </xf>
    <xf numFmtId="0" fontId="23" fillId="3" borderId="6" xfId="0" applyFont="1" applyFill="1" applyBorder="1" applyAlignment="1">
      <alignment horizontal="center" vertical="center" wrapText="1"/>
    </xf>
    <xf numFmtId="0" fontId="42" fillId="0" borderId="6" xfId="0" applyFont="1" applyBorder="1" applyAlignment="1">
      <alignment wrapText="1"/>
    </xf>
    <xf numFmtId="2" fontId="9" fillId="7" borderId="6" xfId="0" applyNumberFormat="1" applyFont="1" applyFill="1" applyBorder="1" applyAlignment="1">
      <alignment horizontal="center" wrapText="1"/>
    </xf>
    <xf numFmtId="2" fontId="24" fillId="7" borderId="7" xfId="0" applyNumberFormat="1" applyFont="1" applyFill="1" applyBorder="1" applyAlignment="1">
      <alignment horizontal="center"/>
    </xf>
    <xf numFmtId="2" fontId="8" fillId="7" borderId="7" xfId="0" applyNumberFormat="1" applyFont="1" applyFill="1" applyBorder="1" applyAlignment="1">
      <alignment horizontal="left" wrapText="1"/>
    </xf>
    <xf numFmtId="0" fontId="1" fillId="7" borderId="7" xfId="0" applyFont="1" applyFill="1" applyBorder="1" applyAlignment="1">
      <alignment horizontal="left" wrapText="1"/>
    </xf>
    <xf numFmtId="2" fontId="23" fillId="19" borderId="6" xfId="0" applyNumberFormat="1" applyFont="1" applyFill="1" applyBorder="1" applyAlignment="1">
      <alignment horizontal="center" vertical="center" wrapText="1"/>
    </xf>
    <xf numFmtId="0" fontId="19" fillId="0" borderId="6" xfId="0" applyFont="1" applyBorder="1" applyAlignment="1">
      <alignment horizontal="left" wrapText="1"/>
    </xf>
    <xf numFmtId="0" fontId="19" fillId="0" borderId="4" xfId="0" applyFont="1" applyBorder="1" applyAlignment="1">
      <alignment horizontal="left" wrapText="1"/>
    </xf>
    <xf numFmtId="2" fontId="24" fillId="7" borderId="7" xfId="0" applyNumberFormat="1" applyFont="1" applyFill="1" applyBorder="1" applyAlignment="1">
      <alignment horizontal="right" wrapText="1"/>
    </xf>
    <xf numFmtId="0" fontId="19" fillId="0" borderId="7" xfId="0" applyFont="1" applyBorder="1" applyAlignment="1">
      <alignment horizontal="left" wrapText="1"/>
    </xf>
    <xf numFmtId="2" fontId="19" fillId="7" borderId="9" xfId="0" applyNumberFormat="1" applyFont="1" applyFill="1" applyBorder="1" applyAlignment="1">
      <alignment horizontal="right" wrapText="1"/>
    </xf>
    <xf numFmtId="0" fontId="19" fillId="0" borderId="7" xfId="0" applyFont="1" applyBorder="1" applyAlignment="1">
      <alignment wrapText="1"/>
    </xf>
    <xf numFmtId="0" fontId="19" fillId="0" borderId="9" xfId="0" applyFont="1" applyBorder="1" applyAlignment="1">
      <alignment wrapText="1"/>
    </xf>
    <xf numFmtId="0" fontId="19" fillId="0" borderId="7" xfId="0" applyFont="1" applyBorder="1" applyAlignment="1">
      <alignment horizontal="left" wrapText="1"/>
    </xf>
    <xf numFmtId="0" fontId="19" fillId="0" borderId="9" xfId="0" applyFont="1" applyBorder="1" applyAlignment="1">
      <alignment horizontal="left" wrapText="1"/>
    </xf>
    <xf numFmtId="2" fontId="19" fillId="0" borderId="9" xfId="0" applyNumberFormat="1" applyFont="1" applyBorder="1" applyAlignment="1">
      <alignment horizontal="right" wrapText="1"/>
    </xf>
    <xf numFmtId="0" fontId="22" fillId="0" borderId="9" xfId="0" applyFont="1" applyBorder="1" applyAlignment="1">
      <alignment wrapText="1"/>
    </xf>
    <xf numFmtId="2" fontId="23" fillId="7" borderId="7" xfId="0" applyNumberFormat="1" applyFont="1" applyFill="1" applyBorder="1" applyAlignment="1">
      <alignment horizontal="right" wrapText="1"/>
    </xf>
    <xf numFmtId="0" fontId="19" fillId="0" borderId="8" xfId="0" applyFont="1" applyBorder="1" applyAlignment="1">
      <alignment horizontal="left" wrapText="1"/>
    </xf>
    <xf numFmtId="0" fontId="22" fillId="0" borderId="10" xfId="0" applyFont="1" applyBorder="1" applyAlignment="1">
      <alignment horizontal="left" wrapText="1"/>
    </xf>
    <xf numFmtId="0" fontId="57" fillId="0" borderId="0" xfId="0" applyFont="1" applyAlignment="1">
      <alignment horizontal="left"/>
    </xf>
    <xf numFmtId="0" fontId="22" fillId="0" borderId="7" xfId="0" applyFont="1" applyBorder="1" applyAlignment="1">
      <alignment horizontal="left" wrapText="1"/>
    </xf>
    <xf numFmtId="0" fontId="22" fillId="0" borderId="9" xfId="0" applyFont="1" applyBorder="1" applyAlignment="1">
      <alignment horizontal="left" wrapText="1"/>
    </xf>
    <xf numFmtId="2" fontId="8" fillId="0" borderId="7" xfId="0" applyNumberFormat="1" applyFont="1" applyBorder="1" applyAlignment="1">
      <alignment wrapText="1"/>
    </xf>
    <xf numFmtId="0" fontId="19" fillId="0" borderId="6" xfId="0" applyFont="1" applyBorder="1" applyAlignment="1">
      <alignment horizontal="left" wrapText="1"/>
    </xf>
    <xf numFmtId="0" fontId="19" fillId="0" borderId="4" xfId="0" applyFont="1" applyBorder="1" applyAlignment="1">
      <alignment horizontal="left" wrapText="1"/>
    </xf>
    <xf numFmtId="0" fontId="19" fillId="0" borderId="7" xfId="0" applyFont="1" applyBorder="1" applyAlignment="1">
      <alignment horizontal="left" wrapText="1"/>
    </xf>
    <xf numFmtId="0" fontId="19" fillId="0" borderId="9" xfId="0" applyFont="1" applyBorder="1" applyAlignment="1">
      <alignment horizontal="left" wrapText="1"/>
    </xf>
    <xf numFmtId="0" fontId="12" fillId="0" borderId="6" xfId="0" applyFont="1" applyBorder="1" applyAlignment="1">
      <alignment horizontal="left" vertical="center" wrapText="1"/>
    </xf>
    <xf numFmtId="2" fontId="24" fillId="5" borderId="7" xfId="0" applyNumberFormat="1" applyFont="1" applyFill="1" applyBorder="1" applyAlignment="1">
      <alignment horizontal="right"/>
    </xf>
    <xf numFmtId="0" fontId="6" fillId="0" borderId="6" xfId="0" applyFont="1" applyBorder="1" applyAlignment="1">
      <alignment vertical="center" wrapText="1"/>
    </xf>
    <xf numFmtId="0" fontId="23" fillId="0" borderId="7" xfId="0" applyFont="1" applyBorder="1" applyAlignment="1">
      <alignment horizontal="center" vertical="center" wrapText="1"/>
    </xf>
    <xf numFmtId="0" fontId="65" fillId="0" borderId="6" xfId="0" applyFont="1" applyBorder="1" applyAlignment="1">
      <alignment vertical="center" wrapText="1"/>
    </xf>
    <xf numFmtId="0" fontId="60" fillId="0" borderId="0" xfId="0" applyFont="1" applyAlignment="1">
      <alignment vertical="center" wrapText="1"/>
    </xf>
    <xf numFmtId="0" fontId="6" fillId="0" borderId="6" xfId="0" applyFont="1" applyBorder="1" applyAlignment="1">
      <alignment vertical="center" wrapText="1"/>
    </xf>
    <xf numFmtId="2" fontId="9" fillId="0" borderId="0" xfId="0" applyNumberFormat="1" applyFont="1" applyAlignment="1">
      <alignment horizontal="left" wrapText="1"/>
    </xf>
    <xf numFmtId="0" fontId="9" fillId="0" borderId="0" xfId="0" applyFont="1" applyAlignment="1">
      <alignment horizontal="left" vertical="top" wrapText="1"/>
    </xf>
    <xf numFmtId="0" fontId="12" fillId="0" borderId="6" xfId="0" applyFont="1" applyBorder="1" applyAlignment="1">
      <alignment horizontal="center" vertical="top" wrapText="1"/>
    </xf>
    <xf numFmtId="164" fontId="12" fillId="0" borderId="6" xfId="0" applyNumberFormat="1" applyFont="1" applyBorder="1" applyAlignment="1">
      <alignment horizontal="center" vertical="top" wrapText="1"/>
    </xf>
    <xf numFmtId="2" fontId="12" fillId="0" borderId="6" xfId="0" applyNumberFormat="1" applyFont="1" applyBorder="1" applyAlignment="1">
      <alignment horizontal="center" vertical="top" wrapText="1"/>
    </xf>
    <xf numFmtId="167" fontId="12" fillId="0" borderId="6" xfId="0" applyNumberFormat="1" applyFont="1" applyBorder="1" applyAlignment="1">
      <alignment horizontal="center" vertical="top" wrapText="1"/>
    </xf>
    <xf numFmtId="2" fontId="23" fillId="18" borderId="6" xfId="0" applyNumberFormat="1" applyFont="1" applyFill="1" applyBorder="1" applyAlignment="1">
      <alignment horizontal="center" vertical="top" wrapText="1"/>
    </xf>
    <xf numFmtId="2" fontId="6" fillId="0" borderId="0" xfId="0" applyNumberFormat="1" applyFont="1" applyAlignment="1">
      <alignment horizontal="left" vertical="top" wrapText="1"/>
    </xf>
    <xf numFmtId="0" fontId="6" fillId="0" borderId="6" xfId="0" applyFont="1" applyBorder="1" applyAlignment="1">
      <alignment horizontal="left" wrapText="1"/>
    </xf>
    <xf numFmtId="2" fontId="6" fillId="0" borderId="0" xfId="0" applyNumberFormat="1" applyFont="1" applyAlignment="1">
      <alignment horizontal="left" wrapText="1"/>
    </xf>
    <xf numFmtId="2" fontId="25" fillId="7" borderId="7" xfId="0" applyNumberFormat="1" applyFont="1" applyFill="1" applyBorder="1" applyAlignment="1">
      <alignment horizontal="right"/>
    </xf>
    <xf numFmtId="0" fontId="65" fillId="0" borderId="6" xfId="0" applyFont="1" applyBorder="1" applyAlignment="1">
      <alignment horizontal="left" vertical="center" wrapText="1"/>
    </xf>
    <xf numFmtId="2" fontId="65" fillId="7" borderId="7" xfId="0" applyNumberFormat="1" applyFont="1" applyFill="1" applyBorder="1" applyAlignment="1">
      <alignment horizontal="left" wrapText="1"/>
    </xf>
    <xf numFmtId="0" fontId="20" fillId="15" borderId="6" xfId="0" applyFont="1" applyFill="1" applyBorder="1" applyAlignment="1">
      <alignment horizontal="left" vertical="center" wrapText="1"/>
    </xf>
    <xf numFmtId="0" fontId="6" fillId="0" borderId="6" xfId="0" applyFont="1" applyBorder="1" applyAlignment="1">
      <alignment horizontal="center" vertical="center" wrapText="1"/>
    </xf>
    <xf numFmtId="0" fontId="9" fillId="0" borderId="6" xfId="0" applyFont="1" applyBorder="1" applyAlignment="1">
      <alignment horizontal="center" wrapText="1"/>
    </xf>
    <xf numFmtId="0" fontId="66" fillId="0" borderId="6" xfId="0" applyFont="1" applyBorder="1" applyAlignment="1">
      <alignment horizontal="left" wrapText="1"/>
    </xf>
    <xf numFmtId="0" fontId="16" fillId="0" borderId="6" xfId="0" applyFont="1" applyBorder="1" applyAlignment="1">
      <alignment horizontal="left" wrapText="1"/>
    </xf>
    <xf numFmtId="0" fontId="67" fillId="0" borderId="0" xfId="0" applyFont="1" applyAlignment="1">
      <alignment horizontal="right"/>
    </xf>
    <xf numFmtId="164" fontId="12" fillId="19" borderId="6" xfId="0" applyNumberFormat="1" applyFont="1" applyFill="1" applyBorder="1" applyAlignment="1">
      <alignment horizontal="center" vertical="center" wrapText="1"/>
    </xf>
    <xf numFmtId="0" fontId="12" fillId="0" borderId="6" xfId="0" applyFont="1" applyBorder="1" applyAlignment="1">
      <alignment horizontal="left" vertical="center" wrapText="1"/>
    </xf>
    <xf numFmtId="2" fontId="24" fillId="18" borderId="7" xfId="0" applyNumberFormat="1" applyFont="1" applyFill="1" applyBorder="1" applyAlignment="1">
      <alignment horizontal="right"/>
    </xf>
    <xf numFmtId="2" fontId="12" fillId="18" borderId="0" xfId="0" applyNumberFormat="1" applyFont="1" applyFill="1" applyAlignment="1">
      <alignment horizontal="center" vertical="center" wrapText="1"/>
    </xf>
    <xf numFmtId="0" fontId="68" fillId="19" borderId="6" xfId="0" applyFont="1" applyFill="1" applyBorder="1" applyAlignment="1">
      <alignment horizontal="left" wrapText="1"/>
    </xf>
    <xf numFmtId="0" fontId="9" fillId="0" borderId="0" xfId="0" applyFont="1" applyAlignment="1">
      <alignment horizontal="left" wrapText="1"/>
    </xf>
    <xf numFmtId="0" fontId="6" fillId="8" borderId="6" xfId="0" applyFont="1" applyFill="1" applyBorder="1" applyAlignment="1">
      <alignment horizontal="left" vertical="center" wrapText="1"/>
    </xf>
    <xf numFmtId="2" fontId="9" fillId="8" borderId="7" xfId="0" applyNumberFormat="1" applyFont="1" applyFill="1" applyBorder="1" applyAlignment="1">
      <alignment horizontal="left" wrapText="1"/>
    </xf>
    <xf numFmtId="0" fontId="30" fillId="0" borderId="0" xfId="0" applyFont="1" applyAlignment="1">
      <alignment horizontal="left" vertical="top"/>
    </xf>
    <xf numFmtId="0" fontId="12" fillId="17" borderId="6" xfId="0" applyFont="1" applyFill="1" applyBorder="1" applyAlignment="1">
      <alignment horizontal="center" vertical="center" wrapText="1"/>
    </xf>
    <xf numFmtId="0" fontId="6" fillId="8" borderId="6" xfId="0" applyFont="1" applyFill="1" applyBorder="1" applyAlignment="1">
      <alignment wrapText="1"/>
    </xf>
    <xf numFmtId="0" fontId="12" fillId="0" borderId="6" xfId="0" applyFont="1" applyBorder="1" applyAlignment="1">
      <alignment horizontal="left" wrapText="1"/>
    </xf>
    <xf numFmtId="0" fontId="12" fillId="4" borderId="6" xfId="0" applyFont="1" applyFill="1" applyBorder="1" applyAlignment="1">
      <alignment horizontal="center" vertical="center" wrapText="1"/>
    </xf>
    <xf numFmtId="2" fontId="6" fillId="0" borderId="6" xfId="0" applyNumberFormat="1" applyFont="1" applyBorder="1" applyAlignment="1">
      <alignment horizontal="left" vertical="center" wrapText="1"/>
    </xf>
    <xf numFmtId="0" fontId="23" fillId="0" borderId="0" xfId="0" applyFont="1" applyAlignment="1">
      <alignment horizontal="center" vertical="center" wrapText="1"/>
    </xf>
    <xf numFmtId="2" fontId="23" fillId="0" borderId="0" xfId="0" applyNumberFormat="1" applyFont="1" applyAlignment="1">
      <alignment horizontal="center" vertical="center" wrapText="1"/>
    </xf>
    <xf numFmtId="0" fontId="12" fillId="0" borderId="0" xfId="0" applyFont="1"/>
    <xf numFmtId="0" fontId="23" fillId="0" borderId="0" xfId="0" applyFont="1"/>
    <xf numFmtId="0" fontId="107" fillId="0" borderId="0" xfId="0" applyFont="1" applyAlignment="1"/>
    <xf numFmtId="0" fontId="1" fillId="0" borderId="13"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3" xfId="0" applyFont="1" applyBorder="1" applyAlignment="1">
      <alignment horizontal="left" vertical="center" wrapText="1"/>
    </xf>
    <xf numFmtId="0" fontId="8" fillId="7" borderId="4" xfId="0" applyFont="1" applyFill="1" applyBorder="1" applyAlignment="1">
      <alignment horizontal="left" wrapText="1"/>
    </xf>
    <xf numFmtId="0" fontId="8" fillId="7" borderId="9" xfId="0" applyFont="1" applyFill="1" applyBorder="1" applyAlignment="1">
      <alignment horizontal="left" wrapText="1"/>
    </xf>
    <xf numFmtId="0" fontId="8" fillId="7" borderId="9" xfId="0" applyFont="1" applyFill="1" applyBorder="1" applyAlignment="1">
      <alignment wrapText="1"/>
    </xf>
    <xf numFmtId="0" fontId="1" fillId="7" borderId="9" xfId="0" applyFont="1" applyFill="1" applyBorder="1" applyAlignment="1">
      <alignment wrapText="1"/>
    </xf>
    <xf numFmtId="2" fontId="108" fillId="0" borderId="14" xfId="0" applyNumberFormat="1" applyFont="1" applyBorder="1" applyAlignment="1">
      <alignment horizontal="center" vertical="center" wrapText="1"/>
    </xf>
    <xf numFmtId="2" fontId="109" fillId="0" borderId="14" xfId="0" applyNumberFormat="1" applyFont="1" applyBorder="1" applyAlignment="1">
      <alignment horizontal="center" vertical="center" wrapText="1"/>
    </xf>
    <xf numFmtId="164" fontId="110" fillId="0" borderId="14" xfId="0" applyNumberFormat="1" applyFont="1" applyBorder="1" applyAlignment="1">
      <alignment horizontal="center" vertical="center" wrapText="1"/>
    </xf>
    <xf numFmtId="164" fontId="109" fillId="8" borderId="14" xfId="0" applyNumberFormat="1" applyFont="1" applyFill="1" applyBorder="1" applyAlignment="1">
      <alignment horizontal="center" vertical="center" wrapText="1"/>
    </xf>
    <xf numFmtId="0" fontId="111" fillId="0" borderId="13" xfId="0" applyFont="1" applyBorder="1" applyAlignment="1">
      <alignment horizontal="center" wrapText="1"/>
    </xf>
    <xf numFmtId="0" fontId="111" fillId="0" borderId="14" xfId="0" applyFont="1" applyBorder="1" applyAlignment="1">
      <alignment wrapText="1"/>
    </xf>
    <xf numFmtId="0" fontId="111" fillId="7" borderId="14" xfId="0" applyFont="1" applyFill="1" applyBorder="1" applyAlignment="1">
      <alignment horizontal="left" wrapText="1"/>
    </xf>
    <xf numFmtId="0" fontId="111" fillId="7" borderId="14" xfId="0" applyFont="1" applyFill="1" applyBorder="1" applyAlignment="1">
      <alignment wrapText="1"/>
    </xf>
    <xf numFmtId="0" fontId="111" fillId="0" borderId="14" xfId="0" applyFont="1" applyBorder="1" applyAlignment="1">
      <alignment horizontal="left" wrapText="1"/>
    </xf>
    <xf numFmtId="0" fontId="111" fillId="3" borderId="14" xfId="0" applyFont="1" applyFill="1" applyBorder="1" applyAlignment="1">
      <alignment horizontal="center" wrapText="1"/>
    </xf>
    <xf numFmtId="0" fontId="111" fillId="4" borderId="14" xfId="0" applyFont="1" applyFill="1" applyBorder="1" applyAlignment="1">
      <alignment horizontal="center" wrapText="1"/>
    </xf>
    <xf numFmtId="0" fontId="112" fillId="8" borderId="14" xfId="0" applyFont="1" applyFill="1" applyBorder="1" applyAlignment="1">
      <alignment horizontal="left" wrapText="1"/>
    </xf>
    <xf numFmtId="0" fontId="112" fillId="8" borderId="14" xfId="0" applyFont="1" applyFill="1" applyBorder="1" applyAlignment="1">
      <alignment horizontal="left" vertical="center" wrapText="1"/>
    </xf>
    <xf numFmtId="0" fontId="8" fillId="0" borderId="4" xfId="0" applyFont="1" applyBorder="1" applyAlignment="1">
      <alignment horizontal="left" wrapText="1"/>
    </xf>
    <xf numFmtId="0" fontId="1" fillId="7" borderId="9" xfId="0" applyFont="1" applyFill="1" applyBorder="1" applyAlignment="1">
      <alignment horizontal="left" wrapText="1"/>
    </xf>
    <xf numFmtId="0" fontId="8" fillId="7" borderId="9" xfId="0" applyFont="1" applyFill="1" applyBorder="1" applyAlignment="1">
      <alignment horizontal="left"/>
    </xf>
    <xf numFmtId="0" fontId="7" fillId="0" borderId="9" xfId="0" applyFont="1" applyBorder="1" applyAlignment="1">
      <alignment horizontal="left" wrapText="1"/>
    </xf>
    <xf numFmtId="0" fontId="8" fillId="0" borderId="9" xfId="0" applyFont="1" applyBorder="1" applyAlignment="1">
      <alignment horizontal="left" wrapText="1"/>
    </xf>
    <xf numFmtId="0" fontId="1" fillId="0" borderId="13" xfId="0" applyFont="1" applyBorder="1" applyAlignment="1">
      <alignment horizontal="left" vertical="center" wrapText="1"/>
    </xf>
    <xf numFmtId="2" fontId="1" fillId="0" borderId="7" xfId="0" applyNumberFormat="1" applyFont="1" applyBorder="1" applyAlignment="1">
      <alignment horizontal="center" vertical="center" wrapText="1"/>
    </xf>
    <xf numFmtId="2" fontId="2" fillId="0" borderId="13" xfId="0" applyNumberFormat="1" applyFont="1" applyBorder="1" applyAlignment="1">
      <alignment horizontal="center" vertical="center" wrapText="1"/>
    </xf>
    <xf numFmtId="164" fontId="109" fillId="0" borderId="14" xfId="0" applyNumberFormat="1" applyFont="1" applyBorder="1" applyAlignment="1">
      <alignment horizontal="center"/>
    </xf>
    <xf numFmtId="0" fontId="109" fillId="0" borderId="14" xfId="0" applyFont="1" applyBorder="1" applyAlignment="1">
      <alignment horizontal="center"/>
    </xf>
    <xf numFmtId="164" fontId="110" fillId="0" borderId="14" xfId="0" applyNumberFormat="1" applyFont="1" applyBorder="1" applyAlignment="1">
      <alignment vertical="center"/>
    </xf>
    <xf numFmtId="0" fontId="112" fillId="0" borderId="0" xfId="0" applyFont="1" applyAlignment="1">
      <alignment horizontal="left" wrapText="1"/>
    </xf>
    <xf numFmtId="0" fontId="113" fillId="0" borderId="13" xfId="0" applyFont="1" applyBorder="1" applyAlignment="1">
      <alignment horizontal="center" wrapText="1"/>
    </xf>
    <xf numFmtId="0" fontId="112" fillId="0" borderId="14" xfId="0" applyFont="1" applyBorder="1" applyAlignment="1">
      <alignment horizontal="left" wrapText="1"/>
    </xf>
    <xf numFmtId="0" fontId="112" fillId="7" borderId="14" xfId="0" applyFont="1" applyFill="1" applyBorder="1" applyAlignment="1">
      <alignment horizontal="left" wrapText="1"/>
    </xf>
    <xf numFmtId="0" fontId="112" fillId="7" borderId="14" xfId="0" applyFont="1" applyFill="1" applyBorder="1" applyAlignment="1">
      <alignment horizontal="left" vertical="top" wrapText="1"/>
    </xf>
    <xf numFmtId="0" fontId="112" fillId="0" borderId="14" xfId="0" applyFont="1" applyBorder="1" applyAlignment="1">
      <alignment horizontal="left" vertical="top" wrapText="1"/>
    </xf>
    <xf numFmtId="0" fontId="113" fillId="0" borderId="14" xfId="0" applyFont="1" applyBorder="1" applyAlignment="1">
      <alignment horizontal="left" wrapText="1"/>
    </xf>
    <xf numFmtId="0" fontId="113" fillId="0" borderId="14" xfId="0" applyFont="1" applyBorder="1" applyAlignment="1">
      <alignment wrapText="1"/>
    </xf>
    <xf numFmtId="0" fontId="113" fillId="7" borderId="14" xfId="0" applyFont="1" applyFill="1" applyBorder="1" applyAlignment="1">
      <alignment horizontal="left" wrapText="1"/>
    </xf>
    <xf numFmtId="0" fontId="113" fillId="3" borderId="14" xfId="0" applyFont="1" applyFill="1" applyBorder="1" applyAlignment="1">
      <alignment horizontal="center" vertical="center" wrapText="1"/>
    </xf>
    <xf numFmtId="0" fontId="113" fillId="7" borderId="14" xfId="0" applyFont="1" applyFill="1" applyBorder="1" applyAlignment="1">
      <alignment wrapText="1"/>
    </xf>
    <xf numFmtId="0" fontId="112" fillId="0" borderId="14" xfId="0" applyFont="1" applyBorder="1" applyAlignment="1">
      <alignment horizontal="center" wrapText="1"/>
    </xf>
    <xf numFmtId="0" fontId="112" fillId="0" borderId="14" xfId="0" applyFont="1" applyBorder="1" applyAlignment="1">
      <alignment vertical="center" wrapText="1"/>
    </xf>
    <xf numFmtId="0" fontId="112" fillId="0" borderId="14" xfId="0" applyFont="1" applyBorder="1" applyAlignment="1">
      <alignment vertical="top" wrapText="1"/>
    </xf>
    <xf numFmtId="0" fontId="112" fillId="0" borderId="13" xfId="0" applyFont="1" applyBorder="1" applyAlignment="1">
      <alignment horizontal="left" vertical="center" wrapText="1"/>
    </xf>
    <xf numFmtId="0" fontId="112" fillId="0" borderId="0" xfId="0" applyFont="1" applyAlignment="1">
      <alignment horizontal="left" vertical="center" wrapText="1"/>
    </xf>
    <xf numFmtId="0" fontId="112" fillId="0" borderId="0" xfId="0" applyFont="1" applyAlignment="1">
      <alignment wrapText="1"/>
    </xf>
    <xf numFmtId="0" fontId="7" fillId="0" borderId="9" xfId="0" applyFont="1" applyBorder="1" applyAlignment="1">
      <alignment wrapText="1"/>
    </xf>
    <xf numFmtId="0" fontId="111" fillId="0" borderId="13" xfId="0" applyFont="1" applyBorder="1" applyAlignment="1">
      <alignment horizontal="center" vertical="center" wrapText="1"/>
    </xf>
    <xf numFmtId="0" fontId="111" fillId="0" borderId="14" xfId="0" applyFont="1" applyBorder="1" applyAlignment="1">
      <alignment horizontal="left" vertical="center" wrapText="1"/>
    </xf>
    <xf numFmtId="0" fontId="111" fillId="0" borderId="14" xfId="0" applyFont="1" applyBorder="1" applyAlignment="1">
      <alignment vertical="center" wrapText="1"/>
    </xf>
    <xf numFmtId="0" fontId="111" fillId="0" borderId="0" xfId="0" applyFont="1" applyAlignment="1">
      <alignment horizontal="left" vertical="center"/>
    </xf>
    <xf numFmtId="0" fontId="116" fillId="0" borderId="0" xfId="0" applyFont="1" applyAlignment="1"/>
    <xf numFmtId="0" fontId="111" fillId="0" borderId="0" xfId="0" applyFont="1" applyAlignment="1">
      <alignment wrapText="1"/>
    </xf>
    <xf numFmtId="0" fontId="111" fillId="0" borderId="6" xfId="0" applyFont="1" applyBorder="1" applyAlignment="1">
      <alignment wrapText="1"/>
    </xf>
    <xf numFmtId="0" fontId="111" fillId="7" borderId="6" xfId="0" applyFont="1" applyFill="1" applyBorder="1" applyAlignment="1">
      <alignment horizontal="left" wrapText="1"/>
    </xf>
    <xf numFmtId="0" fontId="111" fillId="7" borderId="7" xfId="0" applyFont="1" applyFill="1" applyBorder="1" applyAlignment="1">
      <alignment horizontal="left" wrapText="1"/>
    </xf>
    <xf numFmtId="0" fontId="111" fillId="7" borderId="7" xfId="0" applyFont="1" applyFill="1" applyBorder="1" applyAlignment="1">
      <alignment wrapText="1"/>
    </xf>
    <xf numFmtId="0" fontId="111" fillId="0" borderId="7" xfId="0" applyFont="1" applyBorder="1" applyAlignment="1">
      <alignment wrapText="1"/>
    </xf>
    <xf numFmtId="0" fontId="8" fillId="0" borderId="4" xfId="0" applyFont="1" applyBorder="1" applyAlignment="1"/>
    <xf numFmtId="0" fontId="111" fillId="0" borderId="4" xfId="0" applyFont="1" applyBorder="1" applyAlignment="1">
      <alignment wrapText="1"/>
    </xf>
    <xf numFmtId="0" fontId="111" fillId="7" borderId="4" xfId="0" applyFont="1" applyFill="1" applyBorder="1" applyAlignment="1">
      <alignment horizontal="left" wrapText="1"/>
    </xf>
    <xf numFmtId="0" fontId="111" fillId="7" borderId="9" xfId="0" applyFont="1" applyFill="1" applyBorder="1" applyAlignment="1">
      <alignment horizontal="left" wrapText="1"/>
    </xf>
    <xf numFmtId="0" fontId="111" fillId="7" borderId="9" xfId="0" applyFont="1" applyFill="1" applyBorder="1" applyAlignment="1">
      <alignment wrapText="1"/>
    </xf>
    <xf numFmtId="0" fontId="111" fillId="0" borderId="9" xfId="0" applyFont="1" applyBorder="1" applyAlignment="1">
      <alignment wrapText="1"/>
    </xf>
    <xf numFmtId="0" fontId="111" fillId="0" borderId="6" xfId="0" applyFont="1" applyFill="1" applyBorder="1" applyAlignment="1">
      <alignment horizontal="center" vertical="center" wrapText="1"/>
    </xf>
    <xf numFmtId="0" fontId="111" fillId="0" borderId="6" xfId="0" applyFont="1" applyBorder="1" applyAlignment="1">
      <alignment horizontal="center" vertical="center" wrapText="1"/>
    </xf>
    <xf numFmtId="2" fontId="111" fillId="0" borderId="6" xfId="0" applyNumberFormat="1" applyFont="1" applyBorder="1" applyAlignment="1">
      <alignment horizontal="center" vertical="center" wrapText="1"/>
    </xf>
    <xf numFmtId="2" fontId="111" fillId="0" borderId="6" xfId="0" applyNumberFormat="1" applyFont="1" applyBorder="1" applyAlignment="1">
      <alignment horizontal="center"/>
    </xf>
    <xf numFmtId="164" fontId="111" fillId="0" borderId="6" xfId="0" applyNumberFormat="1" applyFont="1" applyBorder="1" applyAlignment="1">
      <alignment horizontal="center" vertical="center" wrapText="1"/>
    </xf>
    <xf numFmtId="164" fontId="111" fillId="0" borderId="6" xfId="0" applyNumberFormat="1" applyFont="1" applyBorder="1" applyAlignment="1">
      <alignment horizontal="center"/>
    </xf>
    <xf numFmtId="0" fontId="111" fillId="0" borderId="9" xfId="0" applyFont="1" applyBorder="1" applyAlignment="1">
      <alignment horizontal="right" vertical="center"/>
    </xf>
    <xf numFmtId="164" fontId="111" fillId="0" borderId="9" xfId="0" applyNumberFormat="1" applyFont="1" applyBorder="1" applyAlignment="1">
      <alignment horizontal="right" vertical="center"/>
    </xf>
    <xf numFmtId="2" fontId="111" fillId="0" borderId="6" xfId="0" applyNumberFormat="1" applyFont="1" applyBorder="1" applyAlignment="1">
      <alignment horizontal="right" vertical="center" wrapText="1"/>
    </xf>
    <xf numFmtId="0" fontId="111" fillId="8" borderId="6" xfId="0" applyFont="1" applyFill="1" applyBorder="1" applyAlignment="1">
      <alignment horizontal="center" vertical="center" wrapText="1"/>
    </xf>
    <xf numFmtId="164" fontId="111" fillId="8" borderId="6" xfId="0" applyNumberFormat="1" applyFont="1" applyFill="1" applyBorder="1" applyAlignment="1">
      <alignment horizontal="center" vertical="center" wrapText="1"/>
    </xf>
    <xf numFmtId="2" fontId="111" fillId="8" borderId="6" xfId="0" applyNumberFormat="1" applyFont="1" applyFill="1" applyBorder="1" applyAlignment="1">
      <alignment horizontal="center" vertical="center" wrapText="1"/>
    </xf>
    <xf numFmtId="2" fontId="111" fillId="7" borderId="9" xfId="0" applyNumberFormat="1" applyFont="1" applyFill="1" applyBorder="1" applyAlignment="1">
      <alignment horizontal="right" vertical="center"/>
    </xf>
    <xf numFmtId="167" fontId="111" fillId="0" borderId="6" xfId="0" applyNumberFormat="1" applyFont="1" applyBorder="1" applyAlignment="1">
      <alignment horizontal="center" vertical="center" wrapText="1"/>
    </xf>
    <xf numFmtId="166" fontId="111" fillId="8" borderId="6" xfId="0" applyNumberFormat="1" applyFont="1" applyFill="1" applyBorder="1" applyAlignment="1">
      <alignment horizontal="center" vertical="center" wrapText="1"/>
    </xf>
    <xf numFmtId="2" fontId="111" fillId="7" borderId="4" xfId="0" applyNumberFormat="1" applyFont="1" applyFill="1" applyBorder="1" applyAlignment="1">
      <alignment horizontal="right" vertical="center"/>
    </xf>
    <xf numFmtId="164" fontId="111" fillId="7" borderId="4" xfId="0" applyNumberFormat="1" applyFont="1" applyFill="1" applyBorder="1" applyAlignment="1">
      <alignment horizontal="right" vertical="center"/>
    </xf>
    <xf numFmtId="2" fontId="111" fillId="7" borderId="6" xfId="0" applyNumberFormat="1" applyFont="1" applyFill="1" applyBorder="1" applyAlignment="1">
      <alignment horizontal="center"/>
    </xf>
    <xf numFmtId="0" fontId="111" fillId="7" borderId="4" xfId="0" applyFont="1" applyFill="1" applyBorder="1" applyAlignment="1">
      <alignment horizontal="center"/>
    </xf>
    <xf numFmtId="2" fontId="111" fillId="7" borderId="4" xfId="0" applyNumberFormat="1" applyFont="1" applyFill="1" applyBorder="1" applyAlignment="1">
      <alignment horizontal="center"/>
    </xf>
    <xf numFmtId="164" fontId="111" fillId="7" borderId="9" xfId="0" applyNumberFormat="1" applyFont="1" applyFill="1" applyBorder="1" applyAlignment="1">
      <alignment horizontal="right" vertical="center"/>
    </xf>
    <xf numFmtId="0" fontId="111" fillId="0" borderId="6" xfId="0" applyFont="1" applyBorder="1" applyAlignment="1">
      <alignment horizontal="center"/>
    </xf>
    <xf numFmtId="0" fontId="111" fillId="0" borderId="4" xfId="0" applyFont="1" applyBorder="1" applyAlignment="1">
      <alignment horizontal="center"/>
    </xf>
    <xf numFmtId="2" fontId="111" fillId="0" borderId="4" xfId="0" applyNumberFormat="1" applyFont="1" applyBorder="1" applyAlignment="1">
      <alignment horizontal="center"/>
    </xf>
    <xf numFmtId="164" fontId="111" fillId="0" borderId="4" xfId="0" applyNumberFormat="1" applyFont="1" applyBorder="1" applyAlignment="1">
      <alignment horizontal="center"/>
    </xf>
    <xf numFmtId="0" fontId="111" fillId="0" borderId="7" xfId="0" applyFont="1" applyBorder="1" applyAlignment="1">
      <alignment horizontal="center"/>
    </xf>
    <xf numFmtId="0" fontId="111" fillId="0" borderId="9" xfId="0" applyFont="1" applyBorder="1" applyAlignment="1">
      <alignment horizontal="center"/>
    </xf>
    <xf numFmtId="2" fontId="111" fillId="0" borderId="9" xfId="0" applyNumberFormat="1" applyFont="1" applyBorder="1" applyAlignment="1">
      <alignment horizontal="center"/>
    </xf>
    <xf numFmtId="167" fontId="111" fillId="0" borderId="9" xfId="0" applyNumberFormat="1" applyFont="1" applyBorder="1" applyAlignment="1">
      <alignment horizontal="center"/>
    </xf>
    <xf numFmtId="164" fontId="111" fillId="0" borderId="9" xfId="0" applyNumberFormat="1" applyFont="1" applyBorder="1" applyAlignment="1">
      <alignment horizontal="center"/>
    </xf>
    <xf numFmtId="2" fontId="111" fillId="0" borderId="9" xfId="0" applyNumberFormat="1" applyFont="1" applyBorder="1" applyAlignment="1">
      <alignment horizontal="right" vertical="center" wrapText="1"/>
    </xf>
    <xf numFmtId="2" fontId="111" fillId="0" borderId="9" xfId="0" applyNumberFormat="1" applyFont="1" applyBorder="1" applyAlignment="1">
      <alignment horizontal="right" vertical="center"/>
    </xf>
    <xf numFmtId="164" fontId="111" fillId="0" borderId="7" xfId="0" applyNumberFormat="1" applyFont="1" applyBorder="1" applyAlignment="1">
      <alignment horizontal="center"/>
    </xf>
    <xf numFmtId="167" fontId="111" fillId="8" borderId="6" xfId="0" applyNumberFormat="1" applyFont="1" applyFill="1" applyBorder="1" applyAlignment="1">
      <alignment horizontal="center" vertical="center" wrapText="1"/>
    </xf>
    <xf numFmtId="0" fontId="111" fillId="3" borderId="6" xfId="0" applyFont="1" applyFill="1" applyBorder="1" applyAlignment="1">
      <alignment horizontal="center" vertical="center" wrapText="1"/>
    </xf>
    <xf numFmtId="0" fontId="111" fillId="0" borderId="6" xfId="0" applyFont="1" applyBorder="1"/>
    <xf numFmtId="0" fontId="111" fillId="0" borderId="4" xfId="0" applyFont="1" applyBorder="1"/>
    <xf numFmtId="164" fontId="111" fillId="0" borderId="4" xfId="0" applyNumberFormat="1" applyFont="1" applyBorder="1"/>
    <xf numFmtId="2" fontId="111" fillId="0" borderId="4" xfId="0" applyNumberFormat="1" applyFont="1" applyBorder="1" applyAlignment="1"/>
    <xf numFmtId="2" fontId="111" fillId="0" borderId="4" xfId="0" applyNumberFormat="1" applyFont="1" applyBorder="1"/>
    <xf numFmtId="0" fontId="111" fillId="0" borderId="4" xfId="0" applyFont="1" applyBorder="1" applyAlignment="1">
      <alignment horizontal="right"/>
    </xf>
    <xf numFmtId="2" fontId="111" fillId="0" borderId="4" xfId="0" applyNumberFormat="1" applyFont="1" applyBorder="1" applyAlignment="1">
      <alignment horizontal="right"/>
    </xf>
    <xf numFmtId="164" fontId="111" fillId="0" borderId="4" xfId="0" applyNumberFormat="1" applyFont="1" applyBorder="1" applyAlignment="1"/>
    <xf numFmtId="164" fontId="111" fillId="0" borderId="7" xfId="0" applyNumberFormat="1" applyFont="1" applyBorder="1"/>
    <xf numFmtId="0" fontId="111" fillId="0" borderId="9" xfId="0" applyFont="1" applyBorder="1"/>
    <xf numFmtId="2" fontId="111" fillId="0" borderId="9" xfId="0" applyNumberFormat="1" applyFont="1" applyBorder="1"/>
    <xf numFmtId="2" fontId="111" fillId="0" borderId="9" xfId="0" applyNumberFormat="1" applyFont="1" applyBorder="1" applyAlignment="1">
      <alignment horizontal="right"/>
    </xf>
    <xf numFmtId="164" fontId="111" fillId="0" borderId="9" xfId="0" applyNumberFormat="1" applyFont="1" applyBorder="1"/>
    <xf numFmtId="164" fontId="111" fillId="0" borderId="9" xfId="0" applyNumberFormat="1" applyFont="1" applyBorder="1" applyAlignment="1"/>
    <xf numFmtId="0" fontId="111" fillId="0" borderId="6" xfId="0" applyFont="1" applyBorder="1" applyAlignment="1">
      <alignment vertical="center"/>
    </xf>
    <xf numFmtId="0" fontId="111" fillId="0" borderId="4" xfId="0" applyFont="1" applyBorder="1" applyAlignment="1">
      <alignment vertical="center"/>
    </xf>
    <xf numFmtId="0" fontId="111" fillId="0" borderId="4" xfId="0" applyFont="1" applyBorder="1" applyAlignment="1">
      <alignment horizontal="right" vertical="center"/>
    </xf>
    <xf numFmtId="0" fontId="111" fillId="0" borderId="7" xfId="0" applyFont="1" applyBorder="1" applyAlignment="1">
      <alignment vertical="center"/>
    </xf>
    <xf numFmtId="0" fontId="111" fillId="0" borderId="9" xfId="0" applyFont="1" applyBorder="1" applyAlignment="1">
      <alignment vertical="center"/>
    </xf>
    <xf numFmtId="167" fontId="111" fillId="0" borderId="9" xfId="0" applyNumberFormat="1" applyFont="1" applyBorder="1" applyAlignment="1">
      <alignment horizontal="right" vertical="center"/>
    </xf>
    <xf numFmtId="2" fontId="111" fillId="0" borderId="11" xfId="0" applyNumberFormat="1" applyFont="1" applyBorder="1" applyAlignment="1">
      <alignment horizontal="right" vertical="center"/>
    </xf>
    <xf numFmtId="164" fontId="111" fillId="0" borderId="6" xfId="0" applyNumberFormat="1" applyFont="1" applyBorder="1" applyAlignment="1">
      <alignment horizontal="center" vertical="center"/>
    </xf>
    <xf numFmtId="2" fontId="111" fillId="0" borderId="6" xfId="0" applyNumberFormat="1" applyFont="1" applyBorder="1" applyAlignment="1">
      <alignment horizontal="center" vertical="center"/>
    </xf>
    <xf numFmtId="164" fontId="111" fillId="3" borderId="6" xfId="0" applyNumberFormat="1" applyFont="1" applyFill="1" applyBorder="1" applyAlignment="1">
      <alignment horizontal="center" vertical="center" wrapText="1"/>
    </xf>
    <xf numFmtId="2" fontId="111" fillId="3" borderId="6" xfId="0" applyNumberFormat="1" applyFont="1" applyFill="1" applyBorder="1" applyAlignment="1">
      <alignment horizontal="center" vertical="center" wrapText="1"/>
    </xf>
    <xf numFmtId="0" fontId="111" fillId="0" borderId="6" xfId="0" applyFont="1" applyBorder="1" applyAlignment="1">
      <alignment horizontal="right"/>
    </xf>
    <xf numFmtId="2" fontId="111" fillId="0" borderId="6" xfId="0" applyNumberFormat="1" applyFont="1" applyBorder="1" applyAlignment="1">
      <alignment horizontal="right"/>
    </xf>
    <xf numFmtId="164" fontId="111" fillId="0" borderId="9" xfId="0" applyNumberFormat="1" applyFont="1" applyBorder="1" applyAlignment="1">
      <alignment vertical="center"/>
    </xf>
    <xf numFmtId="2" fontId="111" fillId="0" borderId="7" xfId="0" applyNumberFormat="1" applyFont="1" applyBorder="1" applyAlignment="1">
      <alignment horizontal="right"/>
    </xf>
    <xf numFmtId="2" fontId="111" fillId="0" borderId="9" xfId="0" applyNumberFormat="1" applyFont="1" applyBorder="1" applyAlignment="1">
      <alignment vertical="center"/>
    </xf>
    <xf numFmtId="0" fontId="111" fillId="0" borderId="7" xfId="0" applyFont="1" applyBorder="1" applyAlignment="1">
      <alignment horizontal="right" wrapText="1"/>
    </xf>
    <xf numFmtId="0" fontId="111" fillId="0" borderId="9" xfId="0" applyFont="1" applyBorder="1" applyAlignment="1">
      <alignment horizontal="right" wrapText="1"/>
    </xf>
    <xf numFmtId="2" fontId="111" fillId="0" borderId="9" xfId="0" applyNumberFormat="1" applyFont="1" applyBorder="1" applyAlignment="1">
      <alignment horizontal="right" wrapText="1"/>
    </xf>
    <xf numFmtId="164" fontId="111" fillId="0" borderId="9" xfId="0" applyNumberFormat="1" applyFont="1" applyBorder="1" applyAlignment="1">
      <alignment horizontal="right" wrapText="1"/>
    </xf>
    <xf numFmtId="2" fontId="111" fillId="0" borderId="4" xfId="0" applyNumberFormat="1" applyFont="1" applyBorder="1" applyAlignment="1">
      <alignment horizontal="center" wrapText="1"/>
    </xf>
    <xf numFmtId="0" fontId="111" fillId="0" borderId="7" xfId="0" applyFont="1" applyBorder="1" applyAlignment="1">
      <alignment horizontal="center" wrapText="1"/>
    </xf>
    <xf numFmtId="0" fontId="111" fillId="0" borderId="9" xfId="0" applyFont="1" applyBorder="1" applyAlignment="1">
      <alignment horizontal="center" wrapText="1"/>
    </xf>
    <xf numFmtId="2" fontId="111" fillId="0" borderId="9" xfId="0" applyNumberFormat="1" applyFont="1" applyBorder="1" applyAlignment="1">
      <alignment horizontal="center" wrapText="1"/>
    </xf>
    <xf numFmtId="164" fontId="111" fillId="0" borderId="9" xfId="0" applyNumberFormat="1" applyFont="1" applyBorder="1" applyAlignment="1">
      <alignment horizontal="center" wrapText="1"/>
    </xf>
    <xf numFmtId="0" fontId="111" fillId="7" borderId="7" xfId="0" applyFont="1" applyFill="1" applyBorder="1" applyAlignment="1">
      <alignment horizontal="center" wrapText="1"/>
    </xf>
    <xf numFmtId="0" fontId="111" fillId="7" borderId="9" xfId="0" applyFont="1" applyFill="1" applyBorder="1" applyAlignment="1">
      <alignment horizontal="center" wrapText="1"/>
    </xf>
    <xf numFmtId="2" fontId="111" fillId="7" borderId="9" xfId="0" applyNumberFormat="1" applyFont="1" applyFill="1" applyBorder="1" applyAlignment="1">
      <alignment horizontal="center" wrapText="1"/>
    </xf>
    <xf numFmtId="164" fontId="111" fillId="7" borderId="9" xfId="0" applyNumberFormat="1" applyFont="1" applyFill="1" applyBorder="1" applyAlignment="1">
      <alignment horizontal="center" wrapText="1"/>
    </xf>
    <xf numFmtId="2" fontId="111" fillId="0" borderId="3" xfId="0" applyNumberFormat="1" applyFont="1" applyBorder="1" applyAlignment="1">
      <alignment horizontal="right"/>
    </xf>
    <xf numFmtId="0" fontId="111" fillId="0" borderId="7" xfId="0" applyFont="1" applyBorder="1" applyAlignment="1">
      <alignment horizontal="right"/>
    </xf>
    <xf numFmtId="0" fontId="111" fillId="0" borderId="9" xfId="0" applyFont="1" applyBorder="1" applyAlignment="1">
      <alignment horizontal="right"/>
    </xf>
    <xf numFmtId="164" fontId="111" fillId="0" borderId="9" xfId="0" applyNumberFormat="1" applyFont="1" applyBorder="1" applyAlignment="1">
      <alignment horizontal="right"/>
    </xf>
    <xf numFmtId="0" fontId="111" fillId="0" borderId="6" xfId="0" applyFont="1" applyBorder="1" applyAlignment="1">
      <alignment horizontal="left" vertical="center" wrapText="1"/>
    </xf>
    <xf numFmtId="0" fontId="111" fillId="0" borderId="7" xfId="0" applyFont="1" applyBorder="1" applyAlignment="1">
      <alignment horizontal="center" vertical="center" wrapText="1"/>
    </xf>
    <xf numFmtId="0" fontId="111" fillId="0" borderId="6" xfId="0" applyFont="1" applyBorder="1" applyAlignment="1">
      <alignment vertical="center" wrapText="1"/>
    </xf>
    <xf numFmtId="2" fontId="111" fillId="14" borderId="6" xfId="0" applyNumberFormat="1" applyFont="1" applyFill="1" applyBorder="1" applyAlignment="1">
      <alignment horizontal="center"/>
    </xf>
    <xf numFmtId="0" fontId="111" fillId="0" borderId="0" xfId="0" applyFont="1" applyAlignment="1">
      <alignment horizontal="center" vertical="center" wrapText="1"/>
    </xf>
    <xf numFmtId="0" fontId="111" fillId="0" borderId="6" xfId="0" applyFont="1" applyBorder="1" applyAlignment="1">
      <alignment horizontal="right" vertical="center"/>
    </xf>
    <xf numFmtId="164" fontId="111" fillId="0" borderId="4" xfId="0" applyNumberFormat="1" applyFont="1" applyBorder="1" applyAlignment="1">
      <alignment horizontal="right" vertical="center"/>
    </xf>
    <xf numFmtId="2" fontId="111" fillId="0" borderId="4" xfId="0" applyNumberFormat="1" applyFont="1" applyBorder="1" applyAlignment="1">
      <alignment horizontal="right" vertical="center"/>
    </xf>
    <xf numFmtId="0" fontId="111" fillId="0" borderId="7" xfId="0" applyFont="1" applyBorder="1" applyAlignment="1">
      <alignment horizontal="right" vertical="center"/>
    </xf>
    <xf numFmtId="164" fontId="111" fillId="7" borderId="4" xfId="0" applyNumberFormat="1" applyFont="1" applyFill="1" applyBorder="1" applyAlignment="1">
      <alignment horizontal="center" vertical="center"/>
    </xf>
    <xf numFmtId="0" fontId="111" fillId="0" borderId="5" xfId="0" applyFont="1" applyBorder="1" applyAlignment="1">
      <alignment horizontal="center" vertical="center" wrapText="1"/>
    </xf>
    <xf numFmtId="0" fontId="111" fillId="0" borderId="4" xfId="0" applyFont="1" applyBorder="1" applyAlignment="1">
      <alignment horizontal="center" vertical="center" wrapText="1"/>
    </xf>
    <xf numFmtId="0" fontId="111" fillId="4" borderId="6" xfId="0" applyFont="1" applyFill="1" applyBorder="1" applyAlignment="1">
      <alignment horizontal="center" vertical="center" wrapText="1"/>
    </xf>
    <xf numFmtId="164" fontId="111" fillId="4" borderId="6" xfId="0" applyNumberFormat="1" applyFont="1" applyFill="1" applyBorder="1" applyAlignment="1">
      <alignment horizontal="center" vertical="center" wrapText="1"/>
    </xf>
    <xf numFmtId="2" fontId="111" fillId="4" borderId="6" xfId="0" applyNumberFormat="1" applyFont="1" applyFill="1" applyBorder="1" applyAlignment="1">
      <alignment horizontal="center" vertical="center" wrapText="1"/>
    </xf>
    <xf numFmtId="0" fontId="112" fillId="0" borderId="6" xfId="0" applyFont="1" applyBorder="1" applyAlignment="1">
      <alignment horizontal="left" wrapText="1"/>
    </xf>
    <xf numFmtId="0" fontId="112" fillId="0" borderId="14" xfId="0" applyFont="1" applyBorder="1" applyAlignment="1">
      <alignment horizontal="left" vertical="center" wrapText="1"/>
    </xf>
    <xf numFmtId="0" fontId="112" fillId="0" borderId="14" xfId="0" applyFont="1" applyBorder="1" applyAlignment="1">
      <alignment wrapText="1"/>
    </xf>
    <xf numFmtId="0" fontId="111" fillId="0" borderId="3" xfId="0" applyFont="1" applyBorder="1" applyAlignment="1">
      <alignment horizontal="center" vertical="center" wrapText="1"/>
    </xf>
    <xf numFmtId="0" fontId="3" fillId="0" borderId="7" xfId="0" applyFont="1" applyBorder="1"/>
    <xf numFmtId="0" fontId="3" fillId="0" borderId="4" xfId="0" applyFont="1" applyBorder="1"/>
    <xf numFmtId="0" fontId="3" fillId="0" borderId="9" xfId="0" applyFont="1" applyBorder="1"/>
    <xf numFmtId="0" fontId="2" fillId="0" borderId="4" xfId="0" applyFont="1" applyBorder="1" applyAlignment="1">
      <alignment horizontal="center" vertical="center" wrapText="1"/>
    </xf>
    <xf numFmtId="0" fontId="2" fillId="0" borderId="4" xfId="0" applyFont="1" applyBorder="1" applyAlignment="1">
      <alignment horizontal="left" vertical="center" wrapText="1"/>
    </xf>
    <xf numFmtId="0" fontId="2" fillId="0" borderId="4" xfId="0" applyFont="1" applyBorder="1" applyAlignment="1">
      <alignment vertical="top" wrapText="1"/>
    </xf>
    <xf numFmtId="0" fontId="2" fillId="0" borderId="15" xfId="0" applyFont="1" applyBorder="1" applyAlignment="1">
      <alignment horizontal="center" vertical="center" wrapText="1"/>
    </xf>
    <xf numFmtId="0" fontId="111" fillId="0" borderId="14" xfId="0" applyFont="1" applyBorder="1" applyAlignment="1">
      <alignment horizontal="center" vertical="center" wrapText="1"/>
    </xf>
    <xf numFmtId="0" fontId="111" fillId="0" borderId="14" xfId="0" applyFont="1" applyBorder="1" applyAlignment="1">
      <alignment horizontal="center"/>
    </xf>
    <xf numFmtId="2" fontId="111" fillId="0" borderId="14" xfId="0" applyNumberFormat="1" applyFont="1" applyBorder="1" applyAlignment="1">
      <alignment horizontal="center" vertical="center" wrapText="1"/>
    </xf>
    <xf numFmtId="2" fontId="111" fillId="0" borderId="14" xfId="0" applyNumberFormat="1" applyFont="1" applyBorder="1" applyAlignment="1">
      <alignment horizontal="center"/>
    </xf>
    <xf numFmtId="164" fontId="111" fillId="0" borderId="14" xfId="0" applyNumberFormat="1" applyFont="1" applyBorder="1" applyAlignment="1">
      <alignment horizontal="center"/>
    </xf>
    <xf numFmtId="0" fontId="111" fillId="7" borderId="14" xfId="0" applyFont="1" applyFill="1" applyBorder="1" applyAlignment="1">
      <alignment horizontal="center"/>
    </xf>
    <xf numFmtId="164" fontId="111" fillId="7" borderId="14" xfId="0" applyNumberFormat="1" applyFont="1" applyFill="1" applyBorder="1" applyAlignment="1">
      <alignment horizontal="center"/>
    </xf>
    <xf numFmtId="2" fontId="111" fillId="7" borderId="14" xfId="0" applyNumberFormat="1" applyFont="1" applyFill="1" applyBorder="1" applyAlignment="1">
      <alignment horizontal="center"/>
    </xf>
    <xf numFmtId="167" fontId="111" fillId="0" borderId="14" xfId="0" applyNumberFormat="1" applyFont="1" applyBorder="1" applyAlignment="1">
      <alignment horizontal="center" vertical="center" wrapText="1"/>
    </xf>
    <xf numFmtId="166" fontId="111" fillId="7" borderId="14" xfId="0" applyNumberFormat="1" applyFont="1" applyFill="1" applyBorder="1" applyAlignment="1">
      <alignment horizontal="center"/>
    </xf>
    <xf numFmtId="164" fontId="111" fillId="0" borderId="14" xfId="0" applyNumberFormat="1" applyFont="1" applyBorder="1" applyAlignment="1">
      <alignment horizontal="center" vertical="center" wrapText="1"/>
    </xf>
    <xf numFmtId="0" fontId="111" fillId="0" borderId="14" xfId="0" applyFont="1" applyBorder="1" applyAlignment="1">
      <alignment horizontal="center" vertical="center"/>
    </xf>
    <xf numFmtId="167" fontId="111" fillId="0" borderId="14" xfId="0" applyNumberFormat="1" applyFont="1" applyBorder="1" applyAlignment="1">
      <alignment horizontal="center" vertical="center"/>
    </xf>
    <xf numFmtId="164" fontId="111" fillId="0" borderId="14" xfId="0" applyNumberFormat="1" applyFont="1" applyBorder="1" applyAlignment="1">
      <alignment horizontal="center" vertical="center"/>
    </xf>
    <xf numFmtId="2" fontId="111" fillId="0" borderId="14" xfId="0" applyNumberFormat="1" applyFont="1" applyBorder="1" applyAlignment="1">
      <alignment horizontal="right" vertical="center" wrapText="1"/>
    </xf>
    <xf numFmtId="167" fontId="111" fillId="7" borderId="14" xfId="0" applyNumberFormat="1" applyFont="1" applyFill="1" applyBorder="1" applyAlignment="1">
      <alignment horizontal="center"/>
    </xf>
    <xf numFmtId="0" fontId="111" fillId="3" borderId="14" xfId="0" applyFont="1" applyFill="1" applyBorder="1" applyAlignment="1">
      <alignment horizontal="center" vertical="center" wrapText="1"/>
    </xf>
    <xf numFmtId="2" fontId="111" fillId="0" borderId="14" xfId="0" applyNumberFormat="1" applyFont="1" applyBorder="1" applyAlignment="1">
      <alignment vertical="center" wrapText="1"/>
    </xf>
    <xf numFmtId="164" fontId="111" fillId="0" borderId="14" xfId="0" applyNumberFormat="1" applyFont="1" applyBorder="1" applyAlignment="1">
      <alignment vertical="center" wrapText="1"/>
    </xf>
    <xf numFmtId="0" fontId="111" fillId="0" borderId="14" xfId="0" applyFont="1" applyBorder="1"/>
    <xf numFmtId="0" fontId="111" fillId="0" borderId="14" xfId="0" applyFont="1" applyBorder="1" applyAlignment="1">
      <alignment horizontal="right"/>
    </xf>
    <xf numFmtId="167" fontId="111" fillId="0" borderId="14" xfId="0" applyNumberFormat="1" applyFont="1" applyBorder="1" applyAlignment="1">
      <alignment horizontal="right"/>
    </xf>
    <xf numFmtId="2" fontId="111" fillId="0" borderId="14" xfId="0" applyNumberFormat="1" applyFont="1" applyBorder="1" applyAlignment="1">
      <alignment horizontal="right" wrapText="1"/>
    </xf>
    <xf numFmtId="164" fontId="111" fillId="3" borderId="14" xfId="0" applyNumberFormat="1" applyFont="1" applyFill="1" applyBorder="1" applyAlignment="1">
      <alignment horizontal="center" vertical="center" wrapText="1"/>
    </xf>
    <xf numFmtId="2" fontId="111" fillId="3" borderId="14" xfId="0" applyNumberFormat="1" applyFont="1" applyFill="1" applyBorder="1" applyAlignment="1">
      <alignment horizontal="center" vertical="center" wrapText="1"/>
    </xf>
    <xf numFmtId="2" fontId="111" fillId="0" borderId="14" xfId="0" applyNumberFormat="1" applyFont="1" applyBorder="1" applyAlignment="1">
      <alignment horizontal="right"/>
    </xf>
    <xf numFmtId="164" fontId="111" fillId="0" borderId="14" xfId="0" applyNumberFormat="1" applyFont="1" applyBorder="1" applyAlignment="1"/>
    <xf numFmtId="164" fontId="111" fillId="0" borderId="14" xfId="0" applyNumberFormat="1" applyFont="1" applyBorder="1"/>
    <xf numFmtId="0" fontId="111" fillId="0" borderId="14" xfId="0" applyFont="1" applyBorder="1" applyAlignment="1">
      <alignment horizontal="right" wrapText="1"/>
    </xf>
    <xf numFmtId="164" fontId="111" fillId="0" borderId="14" xfId="0" applyNumberFormat="1" applyFont="1" applyBorder="1" applyAlignment="1">
      <alignment horizontal="right" wrapText="1"/>
    </xf>
    <xf numFmtId="2" fontId="111" fillId="0" borderId="14" xfId="0" applyNumberFormat="1" applyFont="1" applyBorder="1" applyAlignment="1">
      <alignment horizontal="center" wrapText="1"/>
    </xf>
    <xf numFmtId="0" fontId="111" fillId="0" borderId="14" xfId="0" applyFont="1" applyBorder="1" applyAlignment="1">
      <alignment horizontal="center" wrapText="1"/>
    </xf>
    <xf numFmtId="164" fontId="111" fillId="0" borderId="14" xfId="0" applyNumberFormat="1" applyFont="1" applyBorder="1" applyAlignment="1">
      <alignment horizontal="center" wrapText="1"/>
    </xf>
    <xf numFmtId="164" fontId="111" fillId="0" borderId="14" xfId="0" applyNumberFormat="1" applyFont="1" applyBorder="1" applyAlignment="1">
      <alignment horizontal="right"/>
    </xf>
    <xf numFmtId="164" fontId="111" fillId="7" borderId="14" xfId="0" applyNumberFormat="1" applyFont="1" applyFill="1" applyBorder="1" applyAlignment="1">
      <alignment horizontal="center" vertical="center"/>
    </xf>
    <xf numFmtId="0" fontId="111" fillId="4" borderId="14" xfId="0" applyFont="1" applyFill="1" applyBorder="1" applyAlignment="1">
      <alignment horizontal="center" vertical="center" wrapText="1"/>
    </xf>
    <xf numFmtId="164" fontId="111" fillId="4" borderId="14" xfId="0" applyNumberFormat="1" applyFont="1" applyFill="1" applyBorder="1" applyAlignment="1">
      <alignment horizontal="center" vertical="center" wrapText="1"/>
    </xf>
    <xf numFmtId="2" fontId="111" fillId="4" borderId="14" xfId="0" applyNumberFormat="1" applyFont="1" applyFill="1" applyBorder="1" applyAlignment="1">
      <alignment horizontal="center" vertical="center" wrapText="1"/>
    </xf>
    <xf numFmtId="0" fontId="111" fillId="0" borderId="14" xfId="0" applyFont="1" applyBorder="1" applyAlignment="1">
      <alignment horizontal="right" vertical="center"/>
    </xf>
    <xf numFmtId="164" fontId="111" fillId="0" borderId="14" xfId="0" applyNumberFormat="1" applyFont="1" applyBorder="1" applyAlignment="1">
      <alignment horizontal="right" vertical="center"/>
    </xf>
    <xf numFmtId="2" fontId="111" fillId="7" borderId="14" xfId="0" applyNumberFormat="1" applyFont="1" applyFill="1" applyBorder="1" applyAlignment="1">
      <alignment horizontal="right" vertical="center"/>
    </xf>
    <xf numFmtId="164" fontId="111" fillId="7" borderId="14" xfId="0" applyNumberFormat="1" applyFont="1" applyFill="1" applyBorder="1" applyAlignment="1">
      <alignment horizontal="right" vertical="center"/>
    </xf>
    <xf numFmtId="2" fontId="111" fillId="0" borderId="14" xfId="0" applyNumberFormat="1" applyFont="1" applyBorder="1" applyAlignment="1">
      <alignment horizontal="right" vertical="center"/>
    </xf>
    <xf numFmtId="0" fontId="111" fillId="7" borderId="14" xfId="0" applyFont="1" applyFill="1" applyBorder="1" applyAlignment="1">
      <alignment horizontal="left" vertical="center" wrapText="1"/>
    </xf>
    <xf numFmtId="0" fontId="1" fillId="0" borderId="0" xfId="0" applyFont="1" applyAlignment="1">
      <alignment horizontal="right" vertical="center" wrapText="1"/>
    </xf>
    <xf numFmtId="0" fontId="0" fillId="0" borderId="0" xfId="0" applyFont="1" applyAlignment="1"/>
    <xf numFmtId="0" fontId="112" fillId="0" borderId="14" xfId="0" applyFont="1" applyBorder="1" applyAlignment="1">
      <alignment horizontal="left" vertical="center" wrapText="1"/>
    </xf>
    <xf numFmtId="0" fontId="112" fillId="0" borderId="14" xfId="0" applyFont="1" applyBorder="1" applyAlignment="1">
      <alignment wrapText="1"/>
    </xf>
    <xf numFmtId="0" fontId="111" fillId="0" borderId="2" xfId="0" applyFont="1" applyBorder="1" applyAlignment="1">
      <alignment horizontal="center" vertical="center" wrapText="1"/>
    </xf>
    <xf numFmtId="0" fontId="111" fillId="0" borderId="3" xfId="0" applyFont="1" applyBorder="1" applyAlignment="1">
      <alignment horizontal="center" vertical="center" wrapText="1"/>
    </xf>
    <xf numFmtId="0" fontId="111" fillId="0" borderId="2" xfId="0" applyFont="1" applyBorder="1" applyAlignment="1">
      <alignment horizontal="center" vertical="center" textRotation="90" wrapText="1"/>
    </xf>
    <xf numFmtId="0" fontId="111" fillId="3" borderId="3" xfId="0" applyFont="1" applyFill="1" applyBorder="1" applyAlignment="1">
      <alignment horizontal="center" vertical="center" wrapText="1"/>
    </xf>
    <xf numFmtId="0" fontId="111" fillId="4" borderId="3" xfId="0" applyFont="1" applyFill="1" applyBorder="1" applyAlignment="1">
      <alignment horizontal="center" vertical="center" wrapText="1"/>
    </xf>
    <xf numFmtId="0" fontId="2" fillId="0" borderId="15" xfId="0" applyFont="1" applyBorder="1" applyAlignment="1">
      <alignment horizontal="center" vertical="center" wrapText="1"/>
    </xf>
    <xf numFmtId="0" fontId="3" fillId="0" borderId="9" xfId="0" applyFont="1" applyBorder="1"/>
    <xf numFmtId="0" fontId="111" fillId="0" borderId="14" xfId="0" applyFont="1" applyBorder="1" applyAlignment="1">
      <alignment horizontal="center" vertical="center" wrapText="1"/>
    </xf>
    <xf numFmtId="0" fontId="111" fillId="0" borderId="14" xfId="0" applyFont="1" applyBorder="1" applyAlignment="1">
      <alignment horizontal="center" vertical="center" textRotation="90" wrapText="1"/>
    </xf>
    <xf numFmtId="0" fontId="111" fillId="3" borderId="14" xfId="0" applyFont="1" applyFill="1" applyBorder="1" applyAlignment="1">
      <alignment horizontal="center" vertical="center" wrapText="1"/>
    </xf>
    <xf numFmtId="0" fontId="111" fillId="4" borderId="14" xfId="0" applyFont="1" applyFill="1" applyBorder="1" applyAlignment="1">
      <alignment horizontal="center" vertical="center" wrapText="1"/>
    </xf>
    <xf numFmtId="0" fontId="26" fillId="0" borderId="0" xfId="0" applyFont="1" applyAlignment="1">
      <alignment horizontal="center" vertical="center" wrapText="1"/>
    </xf>
    <xf numFmtId="0" fontId="27" fillId="0" borderId="1" xfId="0" applyFont="1" applyBorder="1" applyAlignment="1">
      <alignment horizontal="center" vertical="center" wrapText="1"/>
    </xf>
    <xf numFmtId="0" fontId="3" fillId="0" borderId="1" xfId="0" applyFont="1" applyBorder="1"/>
    <xf numFmtId="0" fontId="4" fillId="0" borderId="2" xfId="0" applyFont="1" applyBorder="1" applyAlignment="1">
      <alignment horizontal="center" vertical="center" wrapText="1"/>
    </xf>
    <xf numFmtId="0" fontId="3" fillId="0" borderId="7" xfId="0" applyFont="1" applyBorder="1"/>
    <xf numFmtId="0" fontId="4" fillId="0" borderId="3" xfId="0" applyFont="1" applyBorder="1" applyAlignment="1">
      <alignment horizontal="center" vertical="center" wrapText="1"/>
    </xf>
    <xf numFmtId="0" fontId="3" fillId="0" borderId="5" xfId="0" applyFont="1" applyBorder="1"/>
    <xf numFmtId="0" fontId="3" fillId="0" borderId="4" xfId="0" applyFont="1" applyBorder="1"/>
    <xf numFmtId="0" fontId="11" fillId="0" borderId="2" xfId="0" applyFont="1" applyBorder="1" applyAlignment="1">
      <alignment horizontal="left" vertical="center" wrapText="1"/>
    </xf>
    <xf numFmtId="0" fontId="3" fillId="0" borderId="8" xfId="0" applyFont="1" applyBorder="1"/>
    <xf numFmtId="0" fontId="4" fillId="3" borderId="3" xfId="0" applyFont="1" applyFill="1" applyBorder="1" applyAlignment="1">
      <alignment horizontal="center" vertical="center" wrapText="1"/>
    </xf>
    <xf numFmtId="0" fontId="4" fillId="0" borderId="2" xfId="0" applyFont="1" applyBorder="1" applyAlignment="1">
      <alignment horizontal="center" vertical="center" textRotation="90" wrapText="1"/>
    </xf>
    <xf numFmtId="0" fontId="4" fillId="4" borderId="3" xfId="0" applyFont="1" applyFill="1" applyBorder="1" applyAlignment="1">
      <alignment horizontal="center" vertical="center" wrapText="1"/>
    </xf>
    <xf numFmtId="0" fontId="6" fillId="0" borderId="2" xfId="0" applyFont="1" applyBorder="1" applyAlignment="1">
      <alignment horizontal="left" vertical="center" wrapText="1"/>
    </xf>
    <xf numFmtId="0" fontId="23" fillId="0" borderId="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0" xfId="0" applyFont="1" applyAlignment="1">
      <alignment horizontal="center" vertical="center" wrapText="1"/>
    </xf>
    <xf numFmtId="0" fontId="23" fillId="0" borderId="2" xfId="0" applyFont="1" applyBorder="1" applyAlignment="1">
      <alignment horizontal="center" vertical="center" textRotation="90" wrapText="1"/>
    </xf>
    <xf numFmtId="0" fontId="12" fillId="3" borderId="3" xfId="0" applyFont="1" applyFill="1" applyBorder="1" applyAlignment="1">
      <alignment horizontal="center" vertical="center" wrapText="1"/>
    </xf>
    <xf numFmtId="0" fontId="23" fillId="0" borderId="2" xfId="0" applyFont="1" applyBorder="1" applyAlignment="1">
      <alignment horizontal="center" vertical="top" wrapText="1"/>
    </xf>
    <xf numFmtId="0" fontId="24" fillId="0" borderId="2" xfId="0" applyFont="1" applyBorder="1" applyAlignment="1">
      <alignment horizontal="center" vertical="center" wrapText="1"/>
    </xf>
    <xf numFmtId="0" fontId="23" fillId="3" borderId="3" xfId="0" applyFont="1" applyFill="1" applyBorder="1" applyAlignment="1">
      <alignment horizontal="center" vertical="center" wrapText="1"/>
    </xf>
    <xf numFmtId="0" fontId="23" fillId="4" borderId="3" xfId="0" applyFont="1" applyFill="1" applyBorder="1" applyAlignment="1">
      <alignment horizontal="center" vertical="center" wrapText="1"/>
    </xf>
    <xf numFmtId="2" fontId="0" fillId="0" borderId="14" xfId="0" applyNumberFormat="1" applyBorder="1"/>
    <xf numFmtId="2" fontId="69" fillId="0" borderId="14" xfId="0" applyNumberFormat="1" applyFont="1" applyBorder="1"/>
    <xf numFmtId="2" fontId="1" fillId="0" borderId="14" xfId="0" applyNumberFormat="1" applyFont="1" applyBorder="1" applyAlignment="1">
      <alignment horizontal="right" vertical="center" wrapText="1"/>
    </xf>
    <xf numFmtId="0" fontId="3" fillId="0" borderId="14" xfId="0" applyFont="1" applyBorder="1" applyAlignment="1">
      <alignment horizontal="left" vertical="center" wrapText="1"/>
    </xf>
    <xf numFmtId="0" fontId="3" fillId="0" borderId="0" xfId="0" applyFont="1" applyAlignment="1">
      <alignment horizontal="center" wrapText="1"/>
    </xf>
    <xf numFmtId="0" fontId="3" fillId="0" borderId="0" xfId="0" applyFont="1" applyAlignment="1"/>
    <xf numFmtId="0" fontId="3" fillId="0" borderId="0" xfId="0" applyFont="1" applyAlignment="1">
      <alignment horizontal="center" vertical="center" wrapText="1"/>
    </xf>
    <xf numFmtId="0" fontId="3" fillId="0" borderId="0" xfId="0" applyFont="1" applyAlignment="1">
      <alignment horizontal="left" vertical="center" wrapText="1"/>
    </xf>
    <xf numFmtId="0" fontId="103" fillId="0" borderId="13"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xf numFmtId="0" fontId="3" fillId="0" borderId="14" xfId="0" applyFont="1" applyBorder="1" applyAlignment="1">
      <alignment horizontal="left" vertical="center" wrapText="1"/>
    </xf>
    <xf numFmtId="0" fontId="3" fillId="7" borderId="14" xfId="0" applyFont="1" applyFill="1" applyBorder="1" applyAlignment="1">
      <alignment horizontal="left" wrapText="1"/>
    </xf>
    <xf numFmtId="0" fontId="3" fillId="0" borderId="14" xfId="0" applyFont="1" applyBorder="1" applyAlignment="1">
      <alignment horizontal="center" vertical="center"/>
    </xf>
    <xf numFmtId="0" fontId="3" fillId="7" borderId="14" xfId="0" applyFont="1" applyFill="1" applyBorder="1" applyAlignment="1">
      <alignment horizontal="left" vertical="top" wrapText="1"/>
    </xf>
    <xf numFmtId="0" fontId="111" fillId="0" borderId="14" xfId="0" applyFont="1" applyFill="1" applyBorder="1" applyAlignment="1">
      <alignment horizontal="center" vertical="center" wrapText="1"/>
    </xf>
    <xf numFmtId="0" fontId="3" fillId="0" borderId="14" xfId="0" applyFont="1" applyFill="1" applyBorder="1" applyAlignment="1">
      <alignment horizontal="left" wrapText="1"/>
    </xf>
    <xf numFmtId="0" fontId="3" fillId="7" borderId="14" xfId="0" applyFont="1" applyFill="1" applyBorder="1" applyAlignment="1"/>
    <xf numFmtId="0" fontId="3" fillId="0" borderId="14" xfId="0" applyFont="1" applyBorder="1" applyAlignment="1">
      <alignment horizontal="left" wrapText="1"/>
    </xf>
    <xf numFmtId="2" fontId="3" fillId="7" borderId="14" xfId="0" applyNumberFormat="1" applyFont="1" applyFill="1" applyBorder="1" applyAlignment="1">
      <alignment horizontal="center"/>
    </xf>
    <xf numFmtId="0" fontId="3" fillId="0" borderId="14" xfId="0" applyFont="1" applyBorder="1" applyAlignment="1">
      <alignment horizontal="left" vertical="top" wrapText="1"/>
    </xf>
    <xf numFmtId="2" fontId="111" fillId="0" borderId="14" xfId="0" applyNumberFormat="1" applyFont="1" applyBorder="1" applyAlignment="1">
      <alignment horizontal="center" vertical="center"/>
    </xf>
    <xf numFmtId="2" fontId="3" fillId="0" borderId="14" xfId="0" applyNumberFormat="1" applyFont="1" applyBorder="1" applyAlignment="1">
      <alignment horizontal="right"/>
    </xf>
    <xf numFmtId="0" fontId="3" fillId="0" borderId="14" xfId="0" applyFont="1" applyBorder="1" applyAlignment="1">
      <alignment wrapText="1"/>
    </xf>
    <xf numFmtId="0" fontId="3" fillId="0" borderId="13" xfId="0" applyFont="1" applyBorder="1" applyAlignment="1">
      <alignment horizontal="left" vertical="center" wrapText="1"/>
    </xf>
    <xf numFmtId="2" fontId="111" fillId="0" borderId="14" xfId="0" applyNumberFormat="1" applyFont="1" applyBorder="1" applyAlignment="1"/>
    <xf numFmtId="0" fontId="111" fillId="7" borderId="14" xfId="0" applyFont="1" applyFill="1" applyBorder="1" applyAlignment="1"/>
    <xf numFmtId="2" fontId="111" fillId="7" borderId="14" xfId="0" applyNumberFormat="1" applyFont="1" applyFill="1" applyBorder="1" applyAlignment="1">
      <alignment horizontal="right"/>
    </xf>
    <xf numFmtId="164" fontId="3" fillId="7" borderId="14" xfId="0" applyNumberFormat="1" applyFont="1" applyFill="1" applyBorder="1" applyAlignment="1"/>
    <xf numFmtId="164" fontId="111" fillId="7" borderId="14" xfId="0" applyNumberFormat="1" applyFont="1" applyFill="1" applyBorder="1" applyAlignment="1"/>
    <xf numFmtId="2" fontId="111" fillId="0" borderId="14" xfId="0" applyNumberFormat="1" applyFont="1" applyBorder="1"/>
    <xf numFmtId="0" fontId="111" fillId="0" borderId="14" xfId="0" applyFont="1" applyBorder="1" applyAlignment="1"/>
    <xf numFmtId="168" fontId="3" fillId="0" borderId="14" xfId="0" applyNumberFormat="1" applyFont="1" applyBorder="1" applyAlignment="1">
      <alignment horizontal="center"/>
    </xf>
    <xf numFmtId="0" fontId="111" fillId="7" borderId="14" xfId="0" applyFont="1" applyFill="1" applyBorder="1" applyAlignment="1">
      <alignment horizontal="right"/>
    </xf>
    <xf numFmtId="0" fontId="111" fillId="7" borderId="14" xfId="0" applyFont="1" applyFill="1" applyBorder="1"/>
    <xf numFmtId="2" fontId="111" fillId="7" borderId="14" xfId="0" applyNumberFormat="1" applyFont="1" applyFill="1" applyBorder="1" applyAlignment="1"/>
    <xf numFmtId="164" fontId="111" fillId="7" borderId="14" xfId="0" applyNumberFormat="1" applyFont="1" applyFill="1" applyBorder="1"/>
    <xf numFmtId="0" fontId="111" fillId="0" borderId="14" xfId="0" applyFont="1" applyBorder="1" applyAlignment="1">
      <alignment vertical="center"/>
    </xf>
    <xf numFmtId="167" fontId="111" fillId="0" borderId="14" xfId="0" applyNumberFormat="1" applyFont="1" applyBorder="1" applyAlignment="1">
      <alignment horizontal="right" vertical="center"/>
    </xf>
    <xf numFmtId="43" fontId="3" fillId="2" borderId="14" xfId="0" applyNumberFormat="1" applyFont="1" applyFill="1" applyBorder="1" applyAlignment="1">
      <alignment horizontal="center"/>
    </xf>
    <xf numFmtId="43" fontId="3" fillId="0" borderId="14" xfId="0" applyNumberFormat="1" applyFont="1" applyBorder="1" applyAlignment="1">
      <alignment horizontal="center"/>
    </xf>
    <xf numFmtId="0" fontId="3" fillId="0" borderId="14" xfId="0" applyFont="1" applyBorder="1" applyAlignment="1">
      <alignment horizontal="center"/>
    </xf>
    <xf numFmtId="0" fontId="3" fillId="0" borderId="14" xfId="0" applyFont="1" applyBorder="1" applyAlignment="1">
      <alignment horizontal="center" vertical="center" wrapText="1"/>
    </xf>
    <xf numFmtId="167" fontId="111" fillId="0" borderId="14" xfId="0" applyNumberFormat="1" applyFont="1" applyBorder="1" applyAlignment="1">
      <alignment horizontal="center"/>
    </xf>
    <xf numFmtId="0" fontId="3" fillId="7" borderId="14" xfId="0" applyFont="1" applyFill="1" applyBorder="1" applyAlignment="1">
      <alignment horizontal="left" vertical="center" wrapText="1"/>
    </xf>
    <xf numFmtId="0" fontId="3" fillId="0" borderId="4" xfId="0" applyFont="1" applyBorder="1" applyAlignment="1">
      <alignment horizontal="center" wrapText="1"/>
    </xf>
    <xf numFmtId="0" fontId="3" fillId="0" borderId="9" xfId="0" applyFont="1" applyBorder="1" applyAlignment="1">
      <alignment horizontal="center" wrapText="1"/>
    </xf>
    <xf numFmtId="0" fontId="3" fillId="0" borderId="9" xfId="0" applyFont="1" applyBorder="1" applyAlignment="1">
      <alignment wrapText="1"/>
    </xf>
    <xf numFmtId="164" fontId="3" fillId="0" borderId="14" xfId="0" applyNumberFormat="1" applyFont="1" applyBorder="1" applyAlignment="1">
      <alignment wrapText="1"/>
    </xf>
    <xf numFmtId="2" fontId="3" fillId="0" borderId="14" xfId="0" applyNumberFormat="1" applyFont="1" applyBorder="1" applyAlignment="1">
      <alignment horizontal="center" wrapText="1"/>
    </xf>
    <xf numFmtId="0" fontId="3" fillId="0" borderId="14" xfId="0" applyFont="1" applyBorder="1" applyAlignment="1">
      <alignment horizontal="right" wrapText="1"/>
    </xf>
    <xf numFmtId="2" fontId="3" fillId="0" borderId="14" xfId="0" applyNumberFormat="1" applyFont="1" applyBorder="1" applyAlignment="1">
      <alignment wrapText="1"/>
    </xf>
    <xf numFmtId="2" fontId="3" fillId="0" borderId="14" xfId="0" applyNumberFormat="1" applyFont="1" applyBorder="1" applyAlignment="1">
      <alignment horizontal="right" wrapText="1"/>
    </xf>
    <xf numFmtId="0" fontId="3" fillId="0" borderId="14" xfId="0" applyFont="1" applyBorder="1" applyAlignment="1">
      <alignment vertical="center" wrapText="1"/>
    </xf>
    <xf numFmtId="2" fontId="3" fillId="0" borderId="14" xfId="0" applyNumberFormat="1" applyFont="1" applyBorder="1" applyAlignment="1">
      <alignment horizontal="left" wrapText="1"/>
    </xf>
    <xf numFmtId="0" fontId="3" fillId="0" borderId="14" xfId="0" applyFont="1" applyBorder="1" applyAlignment="1"/>
    <xf numFmtId="2" fontId="3" fillId="7" borderId="14" xfId="0" applyNumberFormat="1" applyFont="1" applyFill="1" applyBorder="1"/>
    <xf numFmtId="2" fontId="2" fillId="0" borderId="14" xfId="0" applyNumberFormat="1" applyFont="1" applyBorder="1"/>
    <xf numFmtId="0" fontId="2" fillId="0" borderId="0" xfId="0" applyFont="1" applyAlignment="1"/>
    <xf numFmtId="2" fontId="111" fillId="14" borderId="14" xfId="0" applyNumberFormat="1" applyFont="1" applyFill="1" applyBorder="1" applyAlignment="1">
      <alignment horizontal="center"/>
    </xf>
    <xf numFmtId="0" fontId="3" fillId="0" borderId="14" xfId="0" applyFont="1" applyBorder="1" applyAlignment="1">
      <alignment vertical="top" wrapText="1"/>
    </xf>
    <xf numFmtId="0" fontId="3" fillId="0" borderId="14" xfId="0" applyFont="1" applyBorder="1" applyAlignment="1">
      <alignment horizontal="right" vertical="center"/>
    </xf>
    <xf numFmtId="0" fontId="3" fillId="8" borderId="14" xfId="0" applyFont="1" applyFill="1" applyBorder="1" applyAlignment="1">
      <alignment horizontal="left" vertical="center" wrapText="1"/>
    </xf>
    <xf numFmtId="2" fontId="3" fillId="0" borderId="14" xfId="0" applyNumberFormat="1" applyFont="1" applyBorder="1" applyAlignment="1">
      <alignment horizontal="center"/>
    </xf>
    <xf numFmtId="0" fontId="3" fillId="0" borderId="14" xfId="0" applyFont="1" applyBorder="1" applyAlignment="1">
      <alignment horizontal="right" vertical="center" wrapText="1"/>
    </xf>
    <xf numFmtId="0" fontId="3" fillId="4" borderId="14" xfId="0" applyFont="1" applyFill="1" applyBorder="1" applyAlignment="1">
      <alignment horizontal="center" vertical="center" wrapText="1"/>
    </xf>
    <xf numFmtId="0" fontId="3" fillId="0" borderId="0" xfId="0" applyFont="1"/>
    <xf numFmtId="0" fontId="3" fillId="0" borderId="0" xfId="0" applyFont="1" applyAlignment="1">
      <alignment wrapText="1"/>
    </xf>
    <xf numFmtId="0" fontId="3" fillId="0" borderId="14" xfId="0" applyFont="1" applyBorder="1" applyAlignment="1">
      <alignment wrapText="1"/>
    </xf>
    <xf numFmtId="0" fontId="111" fillId="8" borderId="14" xfId="0" applyFont="1" applyFill="1" applyBorder="1" applyAlignment="1">
      <alignment horizontal="center" vertical="center" wrapText="1"/>
    </xf>
    <xf numFmtId="164" fontId="111" fillId="8" borderId="14" xfId="0" applyNumberFormat="1" applyFont="1" applyFill="1" applyBorder="1" applyAlignment="1">
      <alignment horizontal="center" vertical="center" wrapText="1"/>
    </xf>
    <xf numFmtId="2" fontId="111" fillId="8" borderId="14" xfId="0" applyNumberFormat="1" applyFont="1" applyFill="1" applyBorder="1" applyAlignment="1">
      <alignment horizontal="center" vertical="center" wrapText="1"/>
    </xf>
    <xf numFmtId="167" fontId="3" fillId="0" borderId="14" xfId="0" applyNumberFormat="1" applyFont="1" applyBorder="1"/>
    <xf numFmtId="166" fontId="111" fillId="8" borderId="14" xfId="0" applyNumberFormat="1" applyFont="1" applyFill="1" applyBorder="1" applyAlignment="1">
      <alignment horizontal="center" vertical="center" wrapText="1"/>
    </xf>
    <xf numFmtId="167" fontId="111" fillId="8" borderId="14" xfId="0" applyNumberFormat="1" applyFont="1" applyFill="1" applyBorder="1" applyAlignment="1">
      <alignment horizontal="center" vertical="center" wrapText="1"/>
    </xf>
    <xf numFmtId="0" fontId="111" fillId="8" borderId="14" xfId="0" applyFont="1" applyFill="1" applyBorder="1" applyAlignment="1">
      <alignment vertical="center" wrapText="1"/>
    </xf>
    <xf numFmtId="164" fontId="111" fillId="8" borderId="14" xfId="0" applyNumberFormat="1" applyFont="1" applyFill="1" applyBorder="1" applyAlignment="1">
      <alignment vertical="center" wrapText="1"/>
    </xf>
    <xf numFmtId="2" fontId="111" fillId="8" borderId="14" xfId="0" applyNumberFormat="1" applyFont="1" applyFill="1" applyBorder="1" applyAlignment="1">
      <alignment vertical="center" wrapText="1"/>
    </xf>
    <xf numFmtId="168" fontId="3" fillId="0" borderId="14" xfId="0" applyNumberFormat="1" applyFont="1" applyBorder="1" applyAlignment="1">
      <alignment horizontal="center" vertical="center" wrapText="1"/>
    </xf>
    <xf numFmtId="0" fontId="111" fillId="16" borderId="14" xfId="0" applyFont="1" applyFill="1" applyBorder="1" applyAlignment="1">
      <alignment horizontal="center" vertical="center" wrapText="1"/>
    </xf>
    <xf numFmtId="0" fontId="111" fillId="13" borderId="14" xfId="0" applyFont="1" applyFill="1" applyBorder="1" applyAlignment="1">
      <alignment horizontal="center" vertical="center" wrapText="1"/>
    </xf>
    <xf numFmtId="4" fontId="111" fillId="0" borderId="14" xfId="0" applyNumberFormat="1" applyFont="1" applyBorder="1" applyAlignment="1">
      <alignment horizontal="right" vertical="center"/>
    </xf>
    <xf numFmtId="4" fontId="111" fillId="0" borderId="14" xfId="0" applyNumberFormat="1" applyFont="1" applyBorder="1" applyAlignment="1">
      <alignment horizontal="right" vertical="center" wrapText="1"/>
    </xf>
    <xf numFmtId="0" fontId="7" fillId="0" borderId="4" xfId="0" applyFont="1" applyBorder="1" applyAlignment="1">
      <alignment horizontal="center" wrapText="1"/>
    </xf>
    <xf numFmtId="0" fontId="7" fillId="0" borderId="9" xfId="0" applyFont="1" applyBorder="1" applyAlignment="1">
      <alignment horizontal="center" wrapText="1"/>
    </xf>
    <xf numFmtId="0" fontId="2" fillId="0" borderId="4" xfId="0" applyFont="1" applyBorder="1" applyAlignment="1">
      <alignment vertical="top"/>
    </xf>
    <xf numFmtId="0" fontId="3" fillId="0" borderId="14" xfId="0" applyFont="1" applyBorder="1"/>
    <xf numFmtId="0" fontId="3" fillId="3" borderId="14" xfId="0" applyFont="1" applyFill="1" applyBorder="1" applyAlignment="1">
      <alignment horizontal="left" vertical="center" wrapText="1"/>
    </xf>
    <xf numFmtId="4" fontId="111" fillId="0" borderId="14" xfId="0" applyNumberFormat="1" applyFont="1" applyBorder="1" applyAlignment="1">
      <alignment horizontal="right"/>
    </xf>
    <xf numFmtId="43" fontId="3" fillId="0" borderId="14" xfId="0" applyNumberFormat="1" applyFont="1" applyBorder="1" applyAlignment="1">
      <alignment horizontal="center" vertical="center"/>
    </xf>
    <xf numFmtId="0" fontId="111" fillId="7" borderId="14" xfId="0" applyFont="1" applyFill="1" applyBorder="1" applyAlignment="1">
      <alignment horizontal="center" vertical="center" wrapText="1"/>
    </xf>
    <xf numFmtId="0" fontId="111" fillId="7" borderId="14" xfId="0" applyFont="1" applyFill="1" applyBorder="1" applyAlignment="1">
      <alignment horizontal="center" vertical="center" wrapText="1"/>
    </xf>
    <xf numFmtId="2" fontId="111" fillId="7" borderId="14" xfId="0" applyNumberFormat="1" applyFont="1" applyFill="1" applyBorder="1" applyAlignment="1">
      <alignment horizontal="center" wrapText="1"/>
    </xf>
    <xf numFmtId="0" fontId="2" fillId="7" borderId="0" xfId="0" applyFont="1" applyFill="1" applyAlignment="1">
      <alignment horizontal="center" vertical="center" wrapText="1"/>
    </xf>
    <xf numFmtId="2" fontId="111" fillId="0" borderId="14" xfId="0" applyNumberFormat="1" applyFont="1" applyFill="1" applyBorder="1" applyAlignment="1">
      <alignment horizontal="center"/>
    </xf>
    <xf numFmtId="2" fontId="111" fillId="7" borderId="14" xfId="0" applyNumberFormat="1" applyFont="1" applyFill="1" applyBorder="1" applyAlignment="1">
      <alignment horizontal="center" vertical="center" wrapText="1"/>
    </xf>
    <xf numFmtId="164" fontId="111" fillId="7" borderId="14" xfId="0" applyNumberFormat="1" applyFont="1" applyFill="1" applyBorder="1" applyAlignment="1">
      <alignment horizontal="center" vertical="center" wrapText="1"/>
    </xf>
    <xf numFmtId="0" fontId="2" fillId="0" borderId="13" xfId="0" applyFont="1" applyBorder="1" applyAlignment="1">
      <alignment horizontal="center" vertical="center"/>
    </xf>
    <xf numFmtId="0" fontId="2" fillId="0" borderId="0" xfId="0" applyFont="1" applyAlignment="1">
      <alignment horizontal="center" vertical="center"/>
    </xf>
    <xf numFmtId="166" fontId="111" fillId="4" borderId="14" xfId="0" applyNumberFormat="1" applyFont="1" applyFill="1" applyBorder="1" applyAlignment="1">
      <alignment horizontal="center" vertical="center" wrapText="1"/>
    </xf>
    <xf numFmtId="0" fontId="3" fillId="4" borderId="14" xfId="0" applyFont="1" applyFill="1" applyBorder="1" applyAlignment="1">
      <alignment horizontal="left" vertical="center" wrapText="1"/>
    </xf>
    <xf numFmtId="0" fontId="23"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4" xfId="0" applyFont="1" applyBorder="1" applyAlignment="1">
      <alignment horizontal="center" vertical="center" wrapText="1"/>
    </xf>
    <xf numFmtId="0" fontId="3" fillId="0" borderId="14" xfId="0" applyFont="1" applyBorder="1" applyAlignment="1">
      <alignment vertical="center"/>
    </xf>
    <xf numFmtId="0" fontId="1" fillId="0" borderId="14" xfId="0" applyFont="1" applyBorder="1" applyAlignment="1">
      <alignment horizontal="center" vertical="center" textRotation="90" wrapText="1"/>
    </xf>
    <xf numFmtId="0" fontId="1" fillId="0" borderId="14" xfId="0" applyFont="1" applyBorder="1" applyAlignment="1">
      <alignment horizontal="right" vertical="center" wrapText="1"/>
    </xf>
    <xf numFmtId="0" fontId="2" fillId="0" borderId="14" xfId="0" applyFont="1" applyBorder="1" applyAlignment="1">
      <alignment horizontal="left" vertical="center" wrapText="1"/>
    </xf>
    <xf numFmtId="0" fontId="1" fillId="0" borderId="14" xfId="0" applyFont="1" applyBorder="1" applyAlignment="1">
      <alignment horizontal="left" vertical="center" wrapText="1"/>
    </xf>
    <xf numFmtId="2" fontId="1" fillId="0" borderId="14" xfId="0" applyNumberFormat="1" applyFont="1" applyBorder="1" applyAlignment="1">
      <alignment horizontal="right" vertical="center"/>
    </xf>
    <xf numFmtId="0" fontId="1" fillId="0" borderId="14" xfId="0" applyFont="1" applyBorder="1" applyAlignment="1">
      <alignment horizontal="right" vertical="center"/>
    </xf>
    <xf numFmtId="164" fontId="1" fillId="0" borderId="14" xfId="0" applyNumberFormat="1" applyFont="1" applyBorder="1" applyAlignment="1">
      <alignment horizontal="right" vertical="center"/>
    </xf>
    <xf numFmtId="164" fontId="1" fillId="0" borderId="14" xfId="0" applyNumberFormat="1" applyFont="1" applyBorder="1" applyAlignment="1">
      <alignment horizontal="right" vertical="center" wrapText="1"/>
    </xf>
    <xf numFmtId="165" fontId="1" fillId="0" borderId="14" xfId="0" applyNumberFormat="1" applyFont="1" applyBorder="1" applyAlignment="1">
      <alignment horizontal="right" vertical="center"/>
    </xf>
    <xf numFmtId="166" fontId="1" fillId="0" borderId="14" xfId="0" applyNumberFormat="1" applyFont="1" applyBorder="1" applyAlignment="1">
      <alignment horizontal="right" vertical="center"/>
    </xf>
    <xf numFmtId="0" fontId="2" fillId="0" borderId="14" xfId="0" applyFont="1" applyBorder="1" applyAlignment="1">
      <alignment horizontal="center" vertical="center"/>
    </xf>
    <xf numFmtId="164" fontId="2" fillId="0" borderId="14" xfId="0" applyNumberFormat="1" applyFont="1" applyBorder="1" applyAlignment="1">
      <alignment horizontal="right" vertical="center"/>
    </xf>
    <xf numFmtId="167" fontId="1" fillId="0" borderId="14" xfId="0" applyNumberFormat="1" applyFont="1" applyBorder="1" applyAlignment="1">
      <alignment horizontal="right" vertical="center"/>
    </xf>
    <xf numFmtId="167" fontId="1" fillId="0" borderId="14" xfId="0" applyNumberFormat="1" applyFont="1" applyBorder="1" applyAlignment="1">
      <alignment horizontal="right" vertical="center" wrapText="1"/>
    </xf>
    <xf numFmtId="164" fontId="1" fillId="0" borderId="14" xfId="0" applyNumberFormat="1" applyFont="1" applyBorder="1" applyAlignment="1">
      <alignment horizontal="center" vertical="center" wrapText="1"/>
    </xf>
    <xf numFmtId="2" fontId="2" fillId="0" borderId="14" xfId="0" applyNumberFormat="1" applyFont="1" applyBorder="1" applyAlignment="1">
      <alignment horizontal="right"/>
    </xf>
    <xf numFmtId="2" fontId="1" fillId="0" borderId="14" xfId="0" applyNumberFormat="1" applyFont="1" applyBorder="1" applyAlignment="1">
      <alignment horizontal="center" vertical="center" wrapText="1"/>
    </xf>
    <xf numFmtId="0" fontId="2" fillId="0" borderId="14" xfId="0" applyFont="1" applyBorder="1" applyAlignment="1">
      <alignment vertical="center" wrapText="1"/>
    </xf>
    <xf numFmtId="0" fontId="1" fillId="22" borderId="14" xfId="0" applyFont="1" applyFill="1" applyBorder="1" applyAlignment="1">
      <alignment horizontal="center" vertical="center" wrapText="1"/>
    </xf>
    <xf numFmtId="0" fontId="3" fillId="20" borderId="14" xfId="0" applyFont="1" applyFill="1" applyBorder="1"/>
    <xf numFmtId="0" fontId="1" fillId="22" borderId="14" xfId="0" applyFont="1" applyFill="1" applyBorder="1" applyAlignment="1">
      <alignment horizontal="center" vertical="center" wrapText="1"/>
    </xf>
    <xf numFmtId="2" fontId="1" fillId="22" borderId="14" xfId="0" applyNumberFormat="1" applyFont="1" applyFill="1" applyBorder="1" applyAlignment="1">
      <alignment horizontal="right" vertical="center" wrapText="1"/>
    </xf>
    <xf numFmtId="0" fontId="2" fillId="20" borderId="14" xfId="0" applyFont="1" applyFill="1" applyBorder="1" applyAlignment="1">
      <alignment vertical="center" wrapText="1"/>
    </xf>
    <xf numFmtId="168" fontId="1" fillId="0" borderId="14" xfId="0" applyNumberFormat="1" applyFont="1" applyBorder="1" applyAlignment="1">
      <alignment horizontal="right" vertical="center"/>
    </xf>
    <xf numFmtId="0" fontId="1" fillId="0" borderId="14" xfId="0" applyFont="1" applyBorder="1"/>
    <xf numFmtId="0" fontId="1" fillId="0" borderId="14" xfId="0" applyFont="1" applyBorder="1" applyAlignment="1">
      <alignment horizontal="right"/>
    </xf>
    <xf numFmtId="2" fontId="1" fillId="0" borderId="14" xfId="0" applyNumberFormat="1" applyFont="1" applyBorder="1" applyAlignment="1">
      <alignment horizontal="right"/>
    </xf>
    <xf numFmtId="167" fontId="1" fillId="0" borderId="14" xfId="0" applyNumberFormat="1" applyFont="1" applyBorder="1" applyAlignment="1">
      <alignment horizontal="right"/>
    </xf>
    <xf numFmtId="0" fontId="1" fillId="0" borderId="14" xfId="0" applyFont="1" applyBorder="1" applyAlignment="1">
      <alignment vertical="center" wrapText="1"/>
    </xf>
    <xf numFmtId="167" fontId="1" fillId="0" borderId="14" xfId="0" applyNumberFormat="1" applyFont="1" applyBorder="1" applyAlignment="1">
      <alignment vertical="center" wrapText="1"/>
    </xf>
    <xf numFmtId="2" fontId="1" fillId="0" borderId="14" xfId="0" applyNumberFormat="1" applyFont="1" applyBorder="1" applyAlignment="1">
      <alignment vertical="center" wrapText="1"/>
    </xf>
    <xf numFmtId="43" fontId="2" fillId="0" borderId="14" xfId="0" applyNumberFormat="1" applyFont="1" applyBorder="1" applyAlignment="1">
      <alignment horizontal="center"/>
    </xf>
    <xf numFmtId="43" fontId="2" fillId="0" borderId="14" xfId="0" applyNumberFormat="1" applyFont="1" applyBorder="1" applyAlignment="1">
      <alignment horizontal="right" vertical="center"/>
    </xf>
    <xf numFmtId="0" fontId="2" fillId="0" borderId="14" xfId="0" applyFont="1" applyBorder="1" applyAlignment="1">
      <alignment horizontal="center"/>
    </xf>
    <xf numFmtId="0" fontId="2" fillId="0" borderId="14" xfId="0" applyFont="1" applyBorder="1" applyAlignment="1">
      <alignment horizontal="right" vertical="center"/>
    </xf>
    <xf numFmtId="0" fontId="1" fillId="20" borderId="14" xfId="0" applyFont="1" applyFill="1" applyBorder="1" applyAlignment="1">
      <alignment horizontal="center" vertical="center" wrapText="1"/>
    </xf>
    <xf numFmtId="0" fontId="1" fillId="20" borderId="14" xfId="0" applyFont="1" applyFill="1" applyBorder="1" applyAlignment="1">
      <alignment horizontal="center" vertical="center" wrapText="1"/>
    </xf>
    <xf numFmtId="0" fontId="1" fillId="20" borderId="14" xfId="0" applyFont="1" applyFill="1" applyBorder="1" applyAlignment="1">
      <alignment horizontal="right" vertical="center" wrapText="1"/>
    </xf>
    <xf numFmtId="164" fontId="1" fillId="20" borderId="14" xfId="0" applyNumberFormat="1" applyFont="1" applyFill="1" applyBorder="1" applyAlignment="1">
      <alignment horizontal="right" vertical="center" wrapText="1"/>
    </xf>
    <xf numFmtId="2" fontId="1" fillId="20" borderId="14" xfId="0" applyNumberFormat="1" applyFont="1" applyFill="1" applyBorder="1" applyAlignment="1">
      <alignment horizontal="right" vertical="center" wrapText="1"/>
    </xf>
    <xf numFmtId="2" fontId="23" fillId="20" borderId="14" xfId="0" applyNumberFormat="1" applyFont="1" applyFill="1" applyBorder="1" applyAlignment="1">
      <alignment horizontal="right" vertical="center" wrapText="1"/>
    </xf>
    <xf numFmtId="2" fontId="23" fillId="3" borderId="14" xfId="0" applyNumberFormat="1" applyFont="1" applyFill="1" applyBorder="1" applyAlignment="1">
      <alignment horizontal="center" vertical="center" wrapText="1"/>
    </xf>
    <xf numFmtId="0" fontId="2" fillId="20" borderId="14" xfId="0" applyFont="1" applyFill="1" applyBorder="1" applyAlignment="1">
      <alignment horizontal="left" vertical="center" wrapText="1"/>
    </xf>
    <xf numFmtId="0" fontId="1" fillId="0" borderId="14" xfId="0" applyFont="1" applyBorder="1" applyAlignment="1">
      <alignment vertical="center"/>
    </xf>
    <xf numFmtId="164" fontId="1" fillId="0" borderId="14" xfId="0" applyNumberFormat="1" applyFont="1" applyBorder="1" applyAlignment="1">
      <alignment vertical="center"/>
    </xf>
    <xf numFmtId="2" fontId="1" fillId="0" borderId="14" xfId="0" applyNumberFormat="1" applyFont="1" applyBorder="1" applyAlignment="1">
      <alignment vertical="center"/>
    </xf>
    <xf numFmtId="164" fontId="1" fillId="0" borderId="14" xfId="0" applyNumberFormat="1" applyFont="1" applyBorder="1" applyAlignment="1">
      <alignment horizontal="right"/>
    </xf>
    <xf numFmtId="0" fontId="2" fillId="0" borderId="14" xfId="0" applyFont="1" applyBorder="1" applyAlignment="1">
      <alignment horizontal="left" vertical="center"/>
    </xf>
    <xf numFmtId="0" fontId="2" fillId="0" borderId="14" xfId="0" applyFont="1" applyBorder="1" applyAlignment="1">
      <alignment vertical="center"/>
    </xf>
    <xf numFmtId="0" fontId="2" fillId="0" borderId="14" xfId="0" applyFont="1" applyBorder="1" applyAlignment="1">
      <alignment horizontal="right"/>
    </xf>
    <xf numFmtId="0" fontId="2" fillId="0" borderId="14" xfId="0" applyFont="1" applyBorder="1" applyAlignment="1"/>
    <xf numFmtId="0" fontId="2" fillId="0" borderId="14" xfId="0" applyFont="1" applyBorder="1" applyAlignment="1">
      <alignment horizontal="center" vertical="center" wrapText="1"/>
    </xf>
    <xf numFmtId="2" fontId="1" fillId="0" borderId="14" xfId="0" applyNumberFormat="1" applyFont="1" applyBorder="1" applyAlignment="1">
      <alignment horizontal="center"/>
    </xf>
    <xf numFmtId="0" fontId="1" fillId="0" borderId="14" xfId="0" applyFont="1" applyBorder="1" applyAlignment="1">
      <alignment horizontal="center" vertical="center"/>
    </xf>
    <xf numFmtId="164" fontId="1" fillId="0" borderId="14" xfId="0" applyNumberFormat="1" applyFont="1" applyBorder="1" applyAlignment="1">
      <alignment horizontal="center" vertical="center"/>
    </xf>
    <xf numFmtId="2" fontId="1" fillId="0" borderId="14" xfId="0" applyNumberFormat="1" applyFont="1" applyBorder="1" applyAlignment="1">
      <alignment horizontal="center" vertical="center"/>
    </xf>
    <xf numFmtId="2" fontId="1" fillId="0" borderId="14" xfId="0" applyNumberFormat="1" applyFont="1" applyBorder="1"/>
    <xf numFmtId="2" fontId="2" fillId="0" borderId="14" xfId="0" applyNumberFormat="1" applyFont="1" applyBorder="1" applyAlignment="1">
      <alignment horizontal="center" vertical="center"/>
    </xf>
    <xf numFmtId="0" fontId="2" fillId="0" borderId="14" xfId="0" applyFont="1" applyBorder="1" applyAlignment="1">
      <alignment horizontal="right" vertical="center" wrapText="1"/>
    </xf>
    <xf numFmtId="0" fontId="23" fillId="20" borderId="14" xfId="0" applyFont="1" applyFill="1" applyBorder="1" applyAlignment="1">
      <alignment horizontal="center" vertical="center" wrapText="1"/>
    </xf>
    <xf numFmtId="0" fontId="103" fillId="20" borderId="14" xfId="0" applyFont="1" applyFill="1" applyBorder="1"/>
    <xf numFmtId="0" fontId="23" fillId="20" borderId="14" xfId="0" applyFont="1" applyFill="1" applyBorder="1" applyAlignment="1">
      <alignment horizontal="center" vertical="center" wrapText="1"/>
    </xf>
    <xf numFmtId="0" fontId="23" fillId="20" borderId="14" xfId="0" applyFont="1" applyFill="1" applyBorder="1" applyAlignment="1">
      <alignment horizontal="right" vertical="center" wrapText="1"/>
    </xf>
    <xf numFmtId="164" fontId="23" fillId="20" borderId="14" xfId="0" applyNumberFormat="1" applyFont="1" applyFill="1" applyBorder="1" applyAlignment="1">
      <alignment horizontal="right" vertical="center" wrapText="1"/>
    </xf>
    <xf numFmtId="0" fontId="12" fillId="0" borderId="0" xfId="0" applyFont="1" applyAlignment="1"/>
    <xf numFmtId="0" fontId="23" fillId="21" borderId="14" xfId="0" applyFont="1" applyFill="1" applyBorder="1" applyAlignment="1">
      <alignment horizontal="center" vertical="center" wrapText="1"/>
    </xf>
    <xf numFmtId="0" fontId="101" fillId="21" borderId="14" xfId="0" applyFont="1" applyFill="1" applyBorder="1"/>
    <xf numFmtId="0" fontId="12" fillId="21" borderId="14" xfId="0" applyFont="1" applyFill="1" applyBorder="1" applyAlignment="1">
      <alignment horizontal="center" vertical="center" wrapText="1"/>
    </xf>
    <xf numFmtId="2" fontId="23" fillId="21" borderId="14" xfId="0" applyNumberFormat="1" applyFont="1" applyFill="1" applyBorder="1" applyAlignment="1">
      <alignment horizontal="right" vertical="center" wrapText="1"/>
    </xf>
    <xf numFmtId="164" fontId="23" fillId="21" borderId="14" xfId="0" applyNumberFormat="1" applyFont="1" applyFill="1" applyBorder="1" applyAlignment="1">
      <alignment horizontal="right" vertical="center" wrapText="1"/>
    </xf>
    <xf numFmtId="2" fontId="23" fillId="4" borderId="14" xfId="0" applyNumberFormat="1" applyFont="1" applyFill="1" applyBorder="1" applyAlignment="1">
      <alignment horizontal="center" vertical="center" wrapText="1"/>
    </xf>
    <xf numFmtId="0" fontId="23" fillId="21" borderId="14" xfId="0" applyFont="1" applyFill="1" applyBorder="1" applyAlignment="1">
      <alignment horizontal="right" vertical="center" wrapText="1"/>
    </xf>
    <xf numFmtId="0" fontId="2" fillId="0" borderId="0" xfId="0" applyFont="1" applyAlignment="1"/>
    <xf numFmtId="0" fontId="2" fillId="0" borderId="0" xfId="0" applyFont="1" applyAlignment="1">
      <alignment vertical="center"/>
    </xf>
    <xf numFmtId="0" fontId="3" fillId="0" borderId="0" xfId="0" applyFont="1" applyAlignment="1">
      <alignment horizontal="left" wrapText="1"/>
    </xf>
    <xf numFmtId="0" fontId="3" fillId="0" borderId="14" xfId="0" applyFont="1" applyBorder="1" applyAlignment="1">
      <alignment horizontal="left" wrapText="1"/>
    </xf>
    <xf numFmtId="0" fontId="1" fillId="5" borderId="14" xfId="0" applyFont="1" applyFill="1" applyBorder="1" applyAlignment="1">
      <alignment horizontal="center" vertical="center" wrapText="1"/>
    </xf>
    <xf numFmtId="2" fontId="1" fillId="5" borderId="14" xfId="0" applyNumberFormat="1" applyFont="1" applyFill="1" applyBorder="1" applyAlignment="1">
      <alignment horizontal="center" vertical="center" wrapText="1"/>
    </xf>
    <xf numFmtId="164" fontId="1" fillId="5" borderId="14" xfId="0" applyNumberFormat="1" applyFont="1" applyFill="1" applyBorder="1" applyAlignment="1">
      <alignment horizontal="center" vertical="center" wrapText="1"/>
    </xf>
    <xf numFmtId="164" fontId="1" fillId="6" borderId="14" xfId="0" applyNumberFormat="1" applyFont="1" applyFill="1" applyBorder="1" applyAlignment="1">
      <alignment horizontal="center" vertical="center" wrapText="1"/>
    </xf>
    <xf numFmtId="0" fontId="1" fillId="6" borderId="14"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8" fillId="8" borderId="14" xfId="0" applyFont="1" applyFill="1" applyBorder="1" applyAlignment="1">
      <alignment horizontal="center" vertical="center" wrapText="1"/>
    </xf>
    <xf numFmtId="164" fontId="8" fillId="8" borderId="14" xfId="0" applyNumberFormat="1" applyFont="1" applyFill="1" applyBorder="1" applyAlignment="1">
      <alignment horizontal="center" vertical="center" wrapText="1"/>
    </xf>
    <xf numFmtId="2" fontId="8" fillId="8" borderId="14" xfId="0" applyNumberFormat="1" applyFont="1" applyFill="1" applyBorder="1" applyAlignment="1">
      <alignment horizontal="center" vertical="center" wrapText="1"/>
    </xf>
    <xf numFmtId="170" fontId="8" fillId="8" borderId="14" xfId="0" applyNumberFormat="1" applyFont="1" applyFill="1" applyBorder="1" applyAlignment="1">
      <alignment horizontal="center" vertical="center" wrapText="1"/>
    </xf>
    <xf numFmtId="164" fontId="8" fillId="5" borderId="14" xfId="0" applyNumberFormat="1" applyFont="1" applyFill="1" applyBorder="1" applyAlignment="1">
      <alignment horizontal="center" vertical="center" wrapText="1"/>
    </xf>
    <xf numFmtId="0" fontId="8" fillId="5" borderId="14" xfId="0" applyFont="1" applyFill="1" applyBorder="1" applyAlignment="1">
      <alignment horizontal="center" vertical="center" wrapText="1"/>
    </xf>
    <xf numFmtId="2" fontId="8" fillId="7" borderId="14" xfId="0" applyNumberFormat="1" applyFont="1" applyFill="1" applyBorder="1" applyAlignment="1">
      <alignment horizontal="right" vertical="center"/>
    </xf>
    <xf numFmtId="167" fontId="1" fillId="0" borderId="14" xfId="0" applyNumberFormat="1" applyFont="1" applyBorder="1" applyAlignment="1">
      <alignment horizontal="center" vertical="center" wrapText="1"/>
    </xf>
    <xf numFmtId="166" fontId="8" fillId="8" borderId="14" xfId="0" applyNumberFormat="1" applyFont="1" applyFill="1" applyBorder="1" applyAlignment="1">
      <alignment horizontal="center" vertical="center" wrapText="1"/>
    </xf>
    <xf numFmtId="164" fontId="8" fillId="7" borderId="14" xfId="0" applyNumberFormat="1" applyFont="1" applyFill="1" applyBorder="1" applyAlignment="1">
      <alignment horizontal="right" vertical="center"/>
    </xf>
    <xf numFmtId="0" fontId="8" fillId="6" borderId="14" xfId="0" applyFont="1" applyFill="1" applyBorder="1" applyAlignment="1">
      <alignment horizontal="center" vertical="center" wrapText="1"/>
    </xf>
    <xf numFmtId="0" fontId="8" fillId="0" borderId="14" xfId="0" applyFont="1" applyBorder="1" applyAlignment="1">
      <alignment horizontal="right" vertical="center" wrapText="1"/>
    </xf>
    <xf numFmtId="2" fontId="8" fillId="0" borderId="14" xfId="0" applyNumberFormat="1" applyFont="1" applyBorder="1" applyAlignment="1">
      <alignment horizontal="right" vertical="center" wrapText="1"/>
    </xf>
    <xf numFmtId="164" fontId="8" fillId="0" borderId="14" xfId="0" applyNumberFormat="1" applyFont="1" applyBorder="1" applyAlignment="1">
      <alignment horizontal="right" vertical="center" wrapText="1"/>
    </xf>
    <xf numFmtId="0" fontId="8" fillId="7" borderId="14" xfId="0" applyFont="1" applyFill="1" applyBorder="1" applyAlignment="1">
      <alignment horizontal="right" vertical="center" wrapText="1"/>
    </xf>
    <xf numFmtId="167" fontId="8" fillId="0" borderId="14" xfId="0" applyNumberFormat="1" applyFont="1" applyBorder="1" applyAlignment="1">
      <alignment horizontal="right" vertical="center" wrapText="1"/>
    </xf>
    <xf numFmtId="2" fontId="7" fillId="0" borderId="14" xfId="0" applyNumberFormat="1" applyFont="1" applyBorder="1" applyAlignment="1">
      <alignment horizontal="right"/>
    </xf>
    <xf numFmtId="2" fontId="8" fillId="5" borderId="14" xfId="0" applyNumberFormat="1" applyFont="1" applyFill="1" applyBorder="1" applyAlignment="1">
      <alignment horizontal="center" vertical="center" wrapText="1"/>
    </xf>
    <xf numFmtId="167" fontId="8" fillId="8" borderId="14" xfId="0" applyNumberFormat="1" applyFont="1" applyFill="1" applyBorder="1" applyAlignment="1">
      <alignment horizontal="center" vertical="center" wrapText="1"/>
    </xf>
    <xf numFmtId="0" fontId="23" fillId="3" borderId="14" xfId="0" applyFont="1" applyFill="1" applyBorder="1" applyAlignment="1">
      <alignment horizontal="center" vertical="center" wrapText="1"/>
    </xf>
    <xf numFmtId="0" fontId="101" fillId="20" borderId="14" xfId="0" applyFont="1" applyFill="1" applyBorder="1"/>
    <xf numFmtId="0" fontId="23" fillId="3" borderId="14" xfId="0" applyFont="1" applyFill="1" applyBorder="1" applyAlignment="1">
      <alignment horizontal="center" vertical="center" wrapText="1"/>
    </xf>
    <xf numFmtId="2" fontId="23" fillId="22" borderId="14" xfId="0" applyNumberFormat="1" applyFont="1" applyFill="1" applyBorder="1" applyAlignment="1">
      <alignment horizontal="right" vertical="center" wrapText="1"/>
    </xf>
    <xf numFmtId="0" fontId="101" fillId="23" borderId="14" xfId="0" applyFont="1" applyFill="1" applyBorder="1" applyAlignment="1">
      <alignment horizontal="left" wrapText="1"/>
    </xf>
    <xf numFmtId="164" fontId="1" fillId="0" borderId="14" xfId="0" applyNumberFormat="1" applyFont="1" applyBorder="1" applyAlignment="1">
      <alignment vertical="center" wrapText="1"/>
    </xf>
    <xf numFmtId="168" fontId="2" fillId="0" borderId="14" xfId="0" applyNumberFormat="1" applyFont="1" applyBorder="1" applyAlignment="1">
      <alignment horizontal="center" vertical="center" wrapText="1"/>
    </xf>
    <xf numFmtId="0" fontId="8" fillId="0" borderId="14" xfId="0" applyFont="1" applyBorder="1"/>
    <xf numFmtId="0" fontId="8" fillId="0" borderId="14" xfId="0" applyFont="1" applyBorder="1" applyAlignment="1">
      <alignment horizontal="right"/>
    </xf>
    <xf numFmtId="2" fontId="8" fillId="0" borderId="14" xfId="0" applyNumberFormat="1" applyFont="1" applyBorder="1" applyAlignment="1">
      <alignment horizontal="right" vertical="center"/>
    </xf>
    <xf numFmtId="167" fontId="8" fillId="0" borderId="14" xfId="0" applyNumberFormat="1" applyFont="1" applyBorder="1" applyAlignment="1">
      <alignment horizontal="right"/>
    </xf>
    <xf numFmtId="0" fontId="1" fillId="0" borderId="14" xfId="0" applyFont="1" applyFill="1" applyBorder="1" applyAlignment="1">
      <alignment horizontal="center" vertical="center" wrapText="1"/>
    </xf>
    <xf numFmtId="43" fontId="2" fillId="0" borderId="14" xfId="0" applyNumberFormat="1" applyFont="1" applyBorder="1" applyAlignment="1">
      <alignment horizontal="center" vertical="center"/>
    </xf>
    <xf numFmtId="0" fontId="3" fillId="0" borderId="14" xfId="0" applyFont="1" applyFill="1" applyBorder="1"/>
    <xf numFmtId="0" fontId="3" fillId="0" borderId="14" xfId="0" applyFont="1" applyBorder="1" applyAlignment="1">
      <alignment horizontal="center" wrapText="1"/>
    </xf>
    <xf numFmtId="0" fontId="3" fillId="8" borderId="14" xfId="0" applyFont="1" applyFill="1" applyBorder="1" applyAlignment="1">
      <alignment horizontal="left" wrapText="1"/>
    </xf>
    <xf numFmtId="0" fontId="1" fillId="3" borderId="14" xfId="0" applyFont="1" applyFill="1" applyBorder="1" applyAlignment="1">
      <alignment horizontal="center" vertical="center" wrapText="1"/>
    </xf>
    <xf numFmtId="0" fontId="1" fillId="3" borderId="14" xfId="0" applyFont="1" applyFill="1" applyBorder="1" applyAlignment="1">
      <alignment horizontal="center" vertical="center" wrapText="1"/>
    </xf>
    <xf numFmtId="164" fontId="1" fillId="3" borderId="14" xfId="0" applyNumberFormat="1" applyFont="1" applyFill="1" applyBorder="1" applyAlignment="1">
      <alignment horizontal="center" vertical="center" wrapText="1"/>
    </xf>
    <xf numFmtId="2" fontId="1" fillId="3" borderId="14" xfId="0" applyNumberFormat="1" applyFont="1" applyFill="1" applyBorder="1" applyAlignment="1">
      <alignment horizontal="center" vertical="center" wrapText="1"/>
    </xf>
    <xf numFmtId="2" fontId="8" fillId="0" borderId="14" xfId="0" applyNumberFormat="1" applyFont="1" applyBorder="1" applyAlignment="1">
      <alignment horizontal="right"/>
    </xf>
    <xf numFmtId="164" fontId="1" fillId="0" borderId="14" xfId="0" applyNumberFormat="1" applyFont="1" applyBorder="1" applyAlignment="1"/>
    <xf numFmtId="164" fontId="1" fillId="0" borderId="14" xfId="0" applyNumberFormat="1" applyFont="1" applyBorder="1"/>
    <xf numFmtId="0" fontId="8" fillId="0" borderId="14" xfId="0" applyFont="1" applyBorder="1" applyAlignment="1">
      <alignment horizontal="center"/>
    </xf>
    <xf numFmtId="2" fontId="8" fillId="0" borderId="14" xfId="0" applyNumberFormat="1" applyFont="1" applyBorder="1" applyAlignment="1">
      <alignment horizontal="center"/>
    </xf>
    <xf numFmtId="164" fontId="8" fillId="0" borderId="14" xfId="0" applyNumberFormat="1" applyFont="1" applyBorder="1" applyAlignment="1">
      <alignment horizontal="center"/>
    </xf>
    <xf numFmtId="0" fontId="7" fillId="0" borderId="14" xfId="0" applyFont="1" applyBorder="1" applyAlignment="1">
      <alignment horizontal="center"/>
    </xf>
    <xf numFmtId="164" fontId="8" fillId="0" borderId="14" xfId="0" applyNumberFormat="1" applyFont="1" applyBorder="1" applyAlignment="1">
      <alignment horizontal="right"/>
    </xf>
    <xf numFmtId="0" fontId="8" fillId="0" borderId="14" xfId="0" applyFont="1" applyBorder="1" applyAlignment="1">
      <alignment horizontal="center" vertical="center" wrapText="1"/>
    </xf>
    <xf numFmtId="2" fontId="8" fillId="0" borderId="14" xfId="0" applyNumberFormat="1" applyFont="1" applyBorder="1" applyAlignment="1">
      <alignment horizontal="center" vertical="center" wrapText="1"/>
    </xf>
    <xf numFmtId="0" fontId="8" fillId="0" borderId="14" xfId="0" applyFont="1" applyBorder="1" applyAlignment="1">
      <alignment horizontal="center" vertical="center"/>
    </xf>
    <xf numFmtId="0" fontId="8" fillId="0" borderId="14" xfId="0" applyFont="1" applyBorder="1" applyAlignment="1">
      <alignment horizontal="right" vertical="center"/>
    </xf>
    <xf numFmtId="0" fontId="7" fillId="0" borderId="14" xfId="0" applyFont="1" applyBorder="1" applyAlignment="1">
      <alignment horizontal="center" vertical="center" wrapText="1"/>
    </xf>
    <xf numFmtId="2" fontId="7" fillId="7" borderId="14" xfId="0" applyNumberFormat="1" applyFont="1" applyFill="1" applyBorder="1"/>
    <xf numFmtId="164" fontId="8" fillId="7" borderId="14" xfId="0" applyNumberFormat="1" applyFont="1" applyFill="1" applyBorder="1" applyAlignment="1">
      <alignment horizontal="center" vertical="center"/>
    </xf>
    <xf numFmtId="0" fontId="7" fillId="0" borderId="14" xfId="0" applyFont="1" applyBorder="1" applyAlignment="1"/>
    <xf numFmtId="2" fontId="7" fillId="0" borderId="14" xfId="0" applyNumberFormat="1" applyFont="1" applyBorder="1" applyAlignment="1">
      <alignment horizontal="center"/>
    </xf>
    <xf numFmtId="2" fontId="8" fillId="7" borderId="14" xfId="0" applyNumberFormat="1" applyFont="1" applyFill="1" applyBorder="1" applyAlignment="1">
      <alignment horizontal="center"/>
    </xf>
    <xf numFmtId="0" fontId="2" fillId="3" borderId="14" xfId="0" applyFont="1" applyFill="1" applyBorder="1" applyAlignment="1">
      <alignment horizontal="center" vertical="center" wrapText="1"/>
    </xf>
    <xf numFmtId="164" fontId="2" fillId="3" borderId="14" xfId="0" applyNumberFormat="1" applyFont="1" applyFill="1" applyBorder="1" applyAlignment="1">
      <alignment horizontal="center" vertical="center" wrapText="1"/>
    </xf>
    <xf numFmtId="2" fontId="2" fillId="3" borderId="14" xfId="0" applyNumberFormat="1" applyFont="1" applyFill="1" applyBorder="1" applyAlignment="1">
      <alignment horizontal="center" vertical="center" wrapText="1"/>
    </xf>
    <xf numFmtId="0" fontId="3" fillId="3" borderId="14" xfId="0" applyFont="1" applyFill="1" applyBorder="1" applyAlignment="1">
      <alignment horizontal="center" wrapText="1"/>
    </xf>
    <xf numFmtId="0" fontId="1" fillId="4" borderId="14"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 fillId="4" borderId="14" xfId="0" applyFont="1" applyFill="1" applyBorder="1" applyAlignment="1">
      <alignment horizontal="center" vertical="center" wrapText="1"/>
    </xf>
    <xf numFmtId="164" fontId="1" fillId="4" borderId="14" xfId="0" applyNumberFormat="1" applyFont="1" applyFill="1" applyBorder="1" applyAlignment="1">
      <alignment horizontal="center" vertical="center" wrapText="1"/>
    </xf>
    <xf numFmtId="2" fontId="1" fillId="4" borderId="14" xfId="0" applyNumberFormat="1" applyFont="1" applyFill="1" applyBorder="1" applyAlignment="1">
      <alignment horizontal="center" vertical="center" wrapText="1"/>
    </xf>
    <xf numFmtId="0" fontId="2" fillId="0" borderId="14" xfId="0" applyFont="1" applyBorder="1"/>
    <xf numFmtId="0" fontId="1" fillId="0" borderId="14" xfId="0" applyFont="1" applyBorder="1" applyAlignment="1">
      <alignment horizontal="center" wrapText="1"/>
    </xf>
    <xf numFmtId="2" fontId="2" fillId="0" borderId="14" xfId="0" applyNumberFormat="1" applyFont="1" applyBorder="1" applyAlignment="1"/>
    <xf numFmtId="164" fontId="1" fillId="0" borderId="14" xfId="0" applyNumberFormat="1" applyFont="1" applyBorder="1" applyAlignment="1">
      <alignment horizontal="center" wrapText="1"/>
    </xf>
    <xf numFmtId="2" fontId="1" fillId="0" borderId="14" xfId="0" applyNumberFormat="1" applyFont="1" applyBorder="1" applyAlignment="1">
      <alignment horizontal="center" wrapText="1"/>
    </xf>
    <xf numFmtId="164" fontId="2" fillId="0" borderId="14" xfId="0" applyNumberFormat="1" applyFont="1" applyBorder="1"/>
    <xf numFmtId="164" fontId="2" fillId="0" borderId="14" xfId="0" applyNumberFormat="1" applyFont="1" applyBorder="1" applyAlignment="1"/>
    <xf numFmtId="0" fontId="2" fillId="7" borderId="14" xfId="0" applyFont="1" applyFill="1" applyBorder="1" applyAlignment="1">
      <alignment horizontal="center" vertical="center"/>
    </xf>
    <xf numFmtId="164" fontId="2" fillId="7" borderId="14" xfId="0" applyNumberFormat="1" applyFont="1" applyFill="1" applyBorder="1" applyAlignment="1">
      <alignment horizontal="center" vertical="center"/>
    </xf>
    <xf numFmtId="2" fontId="1" fillId="7" borderId="14" xfId="0" applyNumberFormat="1" applyFont="1" applyFill="1" applyBorder="1" applyAlignment="1">
      <alignment horizontal="center" vertical="center" wrapText="1"/>
    </xf>
    <xf numFmtId="2" fontId="2" fillId="7" borderId="14" xfId="0" applyNumberFormat="1" applyFont="1" applyFill="1" applyBorder="1" applyAlignment="1">
      <alignment horizontal="center" vertical="center"/>
    </xf>
    <xf numFmtId="164" fontId="1" fillId="7" borderId="14" xfId="0" applyNumberFormat="1" applyFont="1" applyFill="1" applyBorder="1" applyAlignment="1">
      <alignment horizontal="center" vertical="center" wrapText="1"/>
    </xf>
    <xf numFmtId="164" fontId="2" fillId="7" borderId="14" xfId="0" applyNumberFormat="1" applyFont="1" applyFill="1" applyBorder="1"/>
    <xf numFmtId="0" fontId="2" fillId="7" borderId="14" xfId="0" applyFont="1" applyFill="1" applyBorder="1"/>
    <xf numFmtId="164" fontId="1" fillId="7" borderId="14" xfId="0" applyNumberFormat="1" applyFont="1" applyFill="1" applyBorder="1" applyAlignment="1">
      <alignment horizontal="center" wrapText="1"/>
    </xf>
    <xf numFmtId="2" fontId="1" fillId="7" borderId="14" xfId="0" applyNumberFormat="1" applyFont="1" applyFill="1" applyBorder="1" applyAlignment="1">
      <alignment horizontal="center" wrapText="1"/>
    </xf>
    <xf numFmtId="0" fontId="2" fillId="7" borderId="14" xfId="0" applyFont="1" applyFill="1" applyBorder="1" applyAlignment="1"/>
    <xf numFmtId="2" fontId="2" fillId="7" borderId="14" xfId="0" applyNumberFormat="1" applyFont="1" applyFill="1" applyBorder="1"/>
    <xf numFmtId="164" fontId="2" fillId="7" borderId="14" xfId="0" applyNumberFormat="1" applyFont="1" applyFill="1" applyBorder="1" applyAlignment="1"/>
    <xf numFmtId="166" fontId="2" fillId="7" borderId="14" xfId="0" applyNumberFormat="1" applyFont="1" applyFill="1" applyBorder="1"/>
    <xf numFmtId="2" fontId="2" fillId="7" borderId="14" xfId="0" applyNumberFormat="1" applyFont="1" applyFill="1" applyBorder="1" applyAlignment="1"/>
    <xf numFmtId="2" fontId="2" fillId="0" borderId="14" xfId="0" applyNumberFormat="1" applyFont="1" applyBorder="1" applyAlignment="1">
      <alignment horizontal="center" wrapText="1"/>
    </xf>
    <xf numFmtId="0" fontId="1" fillId="0" borderId="14" xfId="0" applyFont="1" applyBorder="1" applyAlignment="1"/>
    <xf numFmtId="164" fontId="7" fillId="0" borderId="14" xfId="0" applyNumberFormat="1" applyFont="1" applyBorder="1" applyAlignment="1"/>
    <xf numFmtId="2" fontId="7" fillId="0" borderId="14" xfId="0" applyNumberFormat="1" applyFont="1" applyBorder="1" applyAlignment="1"/>
    <xf numFmtId="0" fontId="7" fillId="0" borderId="14" xfId="0" applyFont="1" applyBorder="1" applyAlignment="1">
      <alignment horizontal="right"/>
    </xf>
    <xf numFmtId="167" fontId="2" fillId="7" borderId="14" xfId="0" applyNumberFormat="1" applyFont="1" applyFill="1" applyBorder="1"/>
    <xf numFmtId="2" fontId="1" fillId="20" borderId="14" xfId="0" applyNumberFormat="1" applyFont="1" applyFill="1" applyBorder="1" applyAlignment="1">
      <alignment horizontal="center" vertical="center" wrapText="1"/>
    </xf>
    <xf numFmtId="2" fontId="1" fillId="0" borderId="14" xfId="0" applyNumberFormat="1" applyFont="1" applyBorder="1" applyAlignment="1">
      <alignment horizontal="right" wrapText="1"/>
    </xf>
    <xf numFmtId="164" fontId="1" fillId="0" borderId="14" xfId="0" applyNumberFormat="1" applyFont="1" applyBorder="1" applyAlignment="1">
      <alignment horizontal="right" wrapText="1"/>
    </xf>
    <xf numFmtId="168" fontId="2" fillId="0" borderId="14" xfId="0" applyNumberFormat="1" applyFont="1" applyBorder="1" applyAlignment="1"/>
    <xf numFmtId="0" fontId="1" fillId="0" borderId="14" xfId="0" applyFont="1" applyBorder="1" applyAlignment="1">
      <alignment horizontal="right" wrapText="1"/>
    </xf>
    <xf numFmtId="43" fontId="2" fillId="0" borderId="14" xfId="0" applyNumberFormat="1" applyFont="1" applyBorder="1" applyAlignment="1"/>
    <xf numFmtId="43" fontId="2" fillId="0" borderId="14" xfId="0" applyNumberFormat="1" applyFont="1" applyBorder="1"/>
    <xf numFmtId="167" fontId="2" fillId="0" borderId="14" xfId="0" applyNumberFormat="1" applyFont="1" applyBorder="1"/>
    <xf numFmtId="164" fontId="2" fillId="0" borderId="14" xfId="0" applyNumberFormat="1" applyFont="1" applyBorder="1" applyAlignment="1">
      <alignment vertical="center"/>
    </xf>
    <xf numFmtId="0" fontId="7" fillId="0" borderId="4" xfId="0" applyFont="1" applyBorder="1" applyAlignment="1">
      <alignment horizontal="left" wrapText="1"/>
    </xf>
    <xf numFmtId="164" fontId="7" fillId="0" borderId="14" xfId="0" applyNumberFormat="1" applyFont="1" applyBorder="1" applyAlignment="1">
      <alignment horizontal="center"/>
    </xf>
    <xf numFmtId="0" fontId="7" fillId="0" borderId="9" xfId="0" applyFont="1" applyBorder="1" applyAlignment="1">
      <alignment horizontal="left"/>
    </xf>
    <xf numFmtId="167" fontId="2" fillId="0" borderId="14" xfId="0" applyNumberFormat="1" applyFont="1" applyBorder="1" applyAlignment="1"/>
    <xf numFmtId="0" fontId="1" fillId="7" borderId="14" xfId="0" applyFont="1" applyFill="1" applyBorder="1" applyAlignment="1">
      <alignment horizontal="center" wrapText="1"/>
    </xf>
    <xf numFmtId="0" fontId="2" fillId="0" borderId="14" xfId="0" applyFont="1" applyBorder="1" applyAlignment="1">
      <alignment horizontal="center" wrapText="1"/>
    </xf>
    <xf numFmtId="0" fontId="1" fillId="0" borderId="14" xfId="0" applyFont="1" applyBorder="1" applyAlignment="1">
      <alignment horizontal="center"/>
    </xf>
    <xf numFmtId="164" fontId="1" fillId="0" borderId="14" xfId="0" applyNumberFormat="1" applyFont="1" applyBorder="1" applyAlignment="1">
      <alignment horizontal="center"/>
    </xf>
    <xf numFmtId="2" fontId="2" fillId="0" borderId="14" xfId="0" applyNumberFormat="1" applyFont="1" applyBorder="1" applyAlignment="1">
      <alignment horizontal="left"/>
    </xf>
    <xf numFmtId="2" fontId="2" fillId="0" borderId="14" xfId="0" applyNumberFormat="1" applyFont="1" applyBorder="1" applyAlignment="1">
      <alignment wrapText="1"/>
    </xf>
    <xf numFmtId="2" fontId="1" fillId="0" borderId="14" xfId="0" applyNumberFormat="1" applyFont="1" applyBorder="1" applyAlignment="1"/>
    <xf numFmtId="2" fontId="2" fillId="0" borderId="14" xfId="0" applyNumberFormat="1" applyFont="1" applyBorder="1" applyAlignment="1">
      <alignment horizontal="right" wrapText="1"/>
    </xf>
    <xf numFmtId="164" fontId="2" fillId="0" borderId="14" xfId="0" applyNumberFormat="1" applyFont="1" applyBorder="1" applyAlignment="1">
      <alignment horizontal="right" wrapText="1"/>
    </xf>
    <xf numFmtId="2" fontId="2" fillId="0" borderId="14" xfId="0" applyNumberFormat="1" applyFont="1" applyBorder="1" applyAlignment="1">
      <alignment vertical="center"/>
    </xf>
    <xf numFmtId="0" fontId="3" fillId="7" borderId="14" xfId="0" applyFont="1" applyFill="1" applyBorder="1" applyAlignment="1">
      <alignment wrapText="1"/>
    </xf>
    <xf numFmtId="0" fontId="7" fillId="0" borderId="4" xfId="0" applyFont="1" applyBorder="1" applyAlignment="1">
      <alignment horizontal="center"/>
    </xf>
    <xf numFmtId="0" fontId="7" fillId="0" borderId="9" xfId="0" applyFont="1" applyBorder="1" applyAlignment="1">
      <alignment horizontal="center"/>
    </xf>
    <xf numFmtId="2" fontId="1" fillId="21" borderId="14" xfId="0" applyNumberFormat="1" applyFont="1" applyFill="1" applyBorder="1" applyAlignment="1">
      <alignment horizontal="center" vertical="center" wrapText="1"/>
    </xf>
    <xf numFmtId="0" fontId="111" fillId="0" borderId="14" xfId="0" applyFont="1" applyBorder="1" applyAlignment="1">
      <alignment horizontal="left" vertical="center" wrapText="1"/>
    </xf>
    <xf numFmtId="0" fontId="1" fillId="9" borderId="14" xfId="0" applyFont="1" applyFill="1" applyBorder="1" applyAlignment="1">
      <alignment horizontal="center" vertical="center" wrapText="1"/>
    </xf>
    <xf numFmtId="4" fontId="1" fillId="12" borderId="14" xfId="0" applyNumberFormat="1" applyFont="1" applyFill="1" applyBorder="1" applyAlignment="1">
      <alignment horizontal="center" vertical="center" wrapText="1"/>
    </xf>
    <xf numFmtId="2" fontId="1" fillId="12" borderId="14" xfId="0" applyNumberFormat="1" applyFont="1" applyFill="1" applyBorder="1" applyAlignment="1">
      <alignment horizontal="center" vertical="center" wrapText="1"/>
    </xf>
    <xf numFmtId="0" fontId="8" fillId="12" borderId="14" xfId="0" applyFont="1" applyFill="1" applyBorder="1" applyAlignment="1">
      <alignment horizontal="center" vertical="center" wrapText="1"/>
    </xf>
    <xf numFmtId="2" fontId="8" fillId="12" borderId="14" xfId="0" applyNumberFormat="1" applyFont="1" applyFill="1" applyBorder="1" applyAlignment="1">
      <alignment horizontal="center" vertical="center" wrapText="1"/>
    </xf>
    <xf numFmtId="0" fontId="2" fillId="0" borderId="6" xfId="0" applyFont="1" applyBorder="1" applyAlignment="1">
      <alignment horizontal="center" vertical="center" wrapText="1"/>
    </xf>
    <xf numFmtId="43" fontId="8" fillId="0" borderId="14" xfId="0" applyNumberFormat="1" applyFont="1" applyBorder="1" applyAlignment="1"/>
    <xf numFmtId="0" fontId="8" fillId="0" borderId="14" xfId="0" applyFont="1" applyBorder="1" applyAlignment="1"/>
    <xf numFmtId="43" fontId="8" fillId="0" borderId="14" xfId="0" applyNumberFormat="1" applyFont="1" applyBorder="1"/>
    <xf numFmtId="2" fontId="8" fillId="0" borderId="14" xfId="0" applyNumberFormat="1" applyFont="1" applyBorder="1" applyAlignment="1"/>
    <xf numFmtId="2" fontId="110" fillId="0" borderId="14" xfId="0" applyNumberFormat="1" applyFont="1" applyBorder="1" applyAlignment="1">
      <alignment horizontal="center" vertical="center" wrapText="1"/>
    </xf>
    <xf numFmtId="0" fontId="8" fillId="0" borderId="14" xfId="0" applyFont="1" applyBorder="1" applyAlignment="1">
      <alignment horizontal="right" wrapText="1"/>
    </xf>
    <xf numFmtId="2" fontId="8" fillId="0" borderId="14" xfId="0" applyNumberFormat="1" applyFont="1" applyBorder="1" applyAlignment="1">
      <alignment horizontal="right" wrapText="1"/>
    </xf>
    <xf numFmtId="164" fontId="8" fillId="0" borderId="14" xfId="0" applyNumberFormat="1" applyFont="1" applyBorder="1" applyAlignment="1">
      <alignment horizontal="right" wrapText="1"/>
    </xf>
    <xf numFmtId="2" fontId="8" fillId="0" borderId="14" xfId="0" applyNumberFormat="1" applyFont="1" applyBorder="1" applyAlignment="1">
      <alignment horizontal="center" wrapText="1"/>
    </xf>
    <xf numFmtId="0" fontId="8" fillId="0" borderId="14" xfId="0" applyFont="1" applyBorder="1" applyAlignment="1">
      <alignment horizontal="center" wrapText="1"/>
    </xf>
    <xf numFmtId="164" fontId="8" fillId="0" borderId="14" xfId="0" applyNumberFormat="1" applyFont="1" applyBorder="1" applyAlignment="1">
      <alignment horizontal="center" wrapText="1"/>
    </xf>
    <xf numFmtId="0" fontId="7" fillId="0" borderId="14" xfId="0" applyFont="1" applyBorder="1" applyAlignment="1">
      <alignment wrapText="1"/>
    </xf>
    <xf numFmtId="164" fontId="7" fillId="0" borderId="14" xfId="0" applyNumberFormat="1" applyFont="1" applyBorder="1" applyAlignment="1">
      <alignment wrapText="1"/>
    </xf>
    <xf numFmtId="0" fontId="7" fillId="0" borderId="14" xfId="0" applyFont="1" applyBorder="1" applyAlignment="1">
      <alignment horizontal="right" wrapText="1"/>
    </xf>
    <xf numFmtId="2" fontId="7" fillId="0" borderId="14" xfId="0" applyNumberFormat="1" applyFont="1" applyBorder="1" applyAlignment="1">
      <alignment wrapText="1"/>
    </xf>
    <xf numFmtId="2" fontId="7" fillId="0" borderId="14" xfId="0" applyNumberFormat="1" applyFont="1" applyBorder="1" applyAlignment="1">
      <alignment horizontal="right" wrapText="1"/>
    </xf>
    <xf numFmtId="0" fontId="8" fillId="7" borderId="14" xfId="0" applyFont="1" applyFill="1" applyBorder="1" applyAlignment="1">
      <alignment horizontal="center" wrapText="1"/>
    </xf>
    <xf numFmtId="164" fontId="1" fillId="9" borderId="14" xfId="0" applyNumberFormat="1" applyFont="1" applyFill="1" applyBorder="1" applyAlignment="1">
      <alignment horizontal="center" vertical="center" wrapText="1"/>
    </xf>
    <xf numFmtId="2" fontId="109" fillId="8" borderId="14" xfId="0" applyNumberFormat="1" applyFont="1" applyFill="1" applyBorder="1" applyAlignment="1">
      <alignment horizontal="center" vertical="center" wrapText="1"/>
    </xf>
    <xf numFmtId="2" fontId="2" fillId="0" borderId="14" xfId="0" applyNumberFormat="1" applyFont="1" applyBorder="1" applyAlignment="1">
      <alignment horizontal="center" vertical="center" wrapText="1"/>
    </xf>
    <xf numFmtId="166" fontId="1" fillId="4" borderId="14" xfId="0" applyNumberFormat="1" applyFont="1" applyFill="1" applyBorder="1" applyAlignment="1">
      <alignment horizontal="center" vertical="center" wrapText="1"/>
    </xf>
    <xf numFmtId="0" fontId="3" fillId="0" borderId="2" xfId="0" applyFont="1" applyBorder="1" applyAlignment="1">
      <alignment horizontal="left" vertical="center" wrapText="1"/>
    </xf>
    <xf numFmtId="0" fontId="3" fillId="0" borderId="6" xfId="0" applyFont="1" applyBorder="1"/>
    <xf numFmtId="0" fontId="3" fillId="0" borderId="4" xfId="0" applyFont="1" applyBorder="1" applyAlignment="1"/>
    <xf numFmtId="0" fontId="3" fillId="0" borderId="4" xfId="0" applyFont="1" applyBorder="1" applyAlignment="1">
      <alignment horizontal="center"/>
    </xf>
    <xf numFmtId="0" fontId="3" fillId="0" borderId="6" xfId="0" applyFont="1" applyBorder="1" applyAlignment="1">
      <alignment horizontal="left" vertical="center" wrapText="1"/>
    </xf>
    <xf numFmtId="0" fontId="3" fillId="0" borderId="9" xfId="0" applyFont="1" applyBorder="1" applyAlignment="1">
      <alignment horizontal="center"/>
    </xf>
    <xf numFmtId="164" fontId="111" fillId="0" borderId="7" xfId="0" applyNumberFormat="1" applyFont="1" applyBorder="1" applyAlignment="1">
      <alignment horizontal="center" wrapText="1"/>
    </xf>
    <xf numFmtId="0" fontId="3" fillId="0" borderId="9" xfId="0" applyFont="1" applyBorder="1" applyAlignment="1"/>
    <xf numFmtId="0" fontId="3" fillId="0" borderId="7" xfId="0" applyFont="1" applyBorder="1" applyAlignment="1"/>
    <xf numFmtId="164" fontId="111" fillId="10" borderId="9" xfId="0" applyNumberFormat="1" applyFont="1" applyFill="1" applyBorder="1" applyAlignment="1">
      <alignment horizontal="center" wrapText="1"/>
    </xf>
    <xf numFmtId="0" fontId="3" fillId="7" borderId="0" xfId="0" applyFont="1" applyFill="1" applyAlignment="1">
      <alignment horizontal="left" wrapText="1"/>
    </xf>
    <xf numFmtId="171" fontId="111" fillId="0" borderId="9" xfId="0" applyNumberFormat="1" applyFont="1" applyBorder="1" applyAlignment="1">
      <alignment horizontal="center" wrapText="1"/>
    </xf>
    <xf numFmtId="0" fontId="3" fillId="7" borderId="7" xfId="0" applyFont="1" applyFill="1" applyBorder="1"/>
    <xf numFmtId="0" fontId="3" fillId="7" borderId="9" xfId="0" applyFont="1" applyFill="1" applyBorder="1"/>
    <xf numFmtId="164" fontId="3" fillId="7" borderId="9" xfId="0" applyNumberFormat="1" applyFont="1" applyFill="1" applyBorder="1"/>
    <xf numFmtId="2" fontId="3" fillId="7" borderId="9" xfId="0" applyNumberFormat="1" applyFont="1" applyFill="1" applyBorder="1"/>
    <xf numFmtId="2" fontId="3" fillId="7" borderId="9" xfId="0" applyNumberFormat="1" applyFont="1" applyFill="1" applyBorder="1" applyAlignment="1"/>
    <xf numFmtId="164" fontId="3" fillId="7" borderId="7" xfId="0" applyNumberFormat="1" applyFont="1" applyFill="1" applyBorder="1"/>
    <xf numFmtId="0" fontId="3" fillId="0" borderId="6" xfId="0" applyFont="1" applyBorder="1" applyAlignment="1">
      <alignment horizontal="center" vertical="center"/>
    </xf>
    <xf numFmtId="164" fontId="3" fillId="7" borderId="9" xfId="0" applyNumberFormat="1" applyFont="1" applyFill="1" applyBorder="1" applyAlignment="1"/>
    <xf numFmtId="164" fontId="3" fillId="7" borderId="9" xfId="0" applyNumberFormat="1" applyFont="1" applyFill="1" applyBorder="1" applyAlignment="1">
      <alignment horizontal="center"/>
    </xf>
    <xf numFmtId="0" fontId="3" fillId="7" borderId="0" xfId="0" applyFont="1" applyFill="1" applyAlignment="1">
      <alignment horizontal="left" vertical="center" wrapText="1"/>
    </xf>
    <xf numFmtId="0" fontId="3" fillId="7" borderId="9" xfId="0" applyFont="1" applyFill="1" applyBorder="1" applyAlignment="1"/>
    <xf numFmtId="2" fontId="3" fillId="7" borderId="9" xfId="0" applyNumberFormat="1" applyFont="1" applyFill="1" applyBorder="1" applyAlignment="1">
      <alignment horizontal="center"/>
    </xf>
    <xf numFmtId="167" fontId="111" fillId="0" borderId="9" xfId="0" applyNumberFormat="1" applyFont="1" applyBorder="1" applyAlignment="1">
      <alignment horizontal="center" wrapText="1"/>
    </xf>
    <xf numFmtId="0" fontId="3" fillId="0" borderId="7" xfId="0" applyFont="1" applyBorder="1" applyAlignment="1">
      <alignment horizontal="left" wrapText="1"/>
    </xf>
    <xf numFmtId="166" fontId="3" fillId="7" borderId="9" xfId="0" applyNumberFormat="1" applyFont="1" applyFill="1" applyBorder="1"/>
    <xf numFmtId="0" fontId="3" fillId="7" borderId="7" xfId="0" applyFont="1" applyFill="1" applyBorder="1" applyAlignment="1"/>
    <xf numFmtId="0" fontId="3" fillId="7" borderId="9" xfId="0" applyFont="1" applyFill="1" applyBorder="1" applyAlignment="1">
      <alignment horizontal="center"/>
    </xf>
    <xf numFmtId="0" fontId="3" fillId="7" borderId="0" xfId="0" applyFont="1" applyFill="1" applyAlignment="1">
      <alignment horizontal="left" vertical="top" wrapText="1"/>
    </xf>
    <xf numFmtId="0" fontId="111" fillId="0" borderId="9" xfId="0" applyFont="1" applyBorder="1" applyAlignment="1"/>
    <xf numFmtId="0" fontId="3" fillId="0" borderId="6" xfId="0" applyFont="1" applyBorder="1" applyAlignment="1">
      <alignment horizontal="left" vertical="top" wrapText="1"/>
    </xf>
    <xf numFmtId="164" fontId="3" fillId="0" borderId="9" xfId="0" applyNumberFormat="1" applyFont="1" applyBorder="1" applyAlignment="1">
      <alignment horizontal="center"/>
    </xf>
    <xf numFmtId="0" fontId="3" fillId="0" borderId="7" xfId="0" applyFont="1" applyBorder="1" applyAlignment="1">
      <alignment horizontal="left" vertical="top" wrapText="1"/>
    </xf>
    <xf numFmtId="0" fontId="3" fillId="0" borderId="7" xfId="0" applyFont="1" applyBorder="1" applyAlignment="1">
      <alignment horizontal="left" vertical="center" wrapText="1"/>
    </xf>
    <xf numFmtId="2" fontId="3" fillId="0" borderId="6" xfId="0" applyNumberFormat="1" applyFont="1" applyBorder="1" applyAlignment="1">
      <alignment horizontal="right"/>
    </xf>
    <xf numFmtId="0" fontId="3" fillId="0" borderId="6" xfId="0" applyFont="1" applyBorder="1" applyAlignment="1">
      <alignment horizontal="left" wrapText="1"/>
    </xf>
    <xf numFmtId="0" fontId="3" fillId="7" borderId="6" xfId="0" applyFont="1" applyFill="1" applyBorder="1" applyAlignment="1">
      <alignment horizontal="left" vertical="top" wrapText="1"/>
    </xf>
    <xf numFmtId="0" fontId="3" fillId="7" borderId="0" xfId="0" applyFont="1" applyFill="1" applyAlignment="1">
      <alignment horizontal="left" vertical="top"/>
    </xf>
    <xf numFmtId="167" fontId="3" fillId="7" borderId="9" xfId="0" applyNumberFormat="1" applyFont="1" applyFill="1" applyBorder="1"/>
    <xf numFmtId="164" fontId="3" fillId="0" borderId="4" xfId="0" applyNumberFormat="1" applyFont="1" applyBorder="1"/>
    <xf numFmtId="2" fontId="3" fillId="0" borderId="4" xfId="0" applyNumberFormat="1" applyFont="1" applyBorder="1"/>
    <xf numFmtId="164" fontId="111" fillId="0" borderId="4" xfId="0" applyNumberFormat="1" applyFont="1" applyBorder="1" applyAlignment="1">
      <alignment horizontal="center" wrapText="1"/>
    </xf>
    <xf numFmtId="2" fontId="3" fillId="0" borderId="4" xfId="0" applyNumberFormat="1" applyFont="1" applyBorder="1" applyAlignment="1"/>
    <xf numFmtId="164" fontId="3" fillId="0" borderId="9" xfId="0" applyNumberFormat="1" applyFont="1" applyBorder="1"/>
    <xf numFmtId="2" fontId="3" fillId="0" borderId="9" xfId="0" applyNumberFormat="1" applyFont="1" applyBorder="1" applyAlignment="1"/>
    <xf numFmtId="2" fontId="3" fillId="0" borderId="9" xfId="0" applyNumberFormat="1" applyFont="1" applyBorder="1"/>
    <xf numFmtId="164" fontId="3" fillId="0" borderId="9" xfId="0" applyNumberFormat="1" applyFont="1" applyBorder="1" applyAlignment="1"/>
    <xf numFmtId="168" fontId="3" fillId="0" borderId="9" xfId="0" applyNumberFormat="1" applyFont="1" applyBorder="1" applyAlignment="1">
      <alignment horizontal="center" wrapText="1"/>
    </xf>
    <xf numFmtId="164" fontId="3" fillId="0" borderId="7" xfId="0" applyNumberFormat="1" applyFont="1" applyBorder="1"/>
    <xf numFmtId="0" fontId="111" fillId="0" borderId="7" xfId="0" applyFont="1" applyBorder="1"/>
    <xf numFmtId="167" fontId="111" fillId="0" borderId="9" xfId="0" applyNumberFormat="1" applyFont="1" applyBorder="1" applyAlignment="1">
      <alignment horizontal="right"/>
    </xf>
    <xf numFmtId="0" fontId="3" fillId="0" borderId="6" xfId="0" applyFont="1" applyBorder="1" applyAlignment="1">
      <alignment wrapText="1"/>
    </xf>
    <xf numFmtId="43" fontId="3" fillId="0" borderId="7" xfId="0" applyNumberFormat="1" applyFont="1" applyBorder="1" applyAlignment="1">
      <alignment horizontal="center"/>
    </xf>
    <xf numFmtId="43" fontId="3" fillId="0" borderId="9" xfId="0" applyNumberFormat="1" applyFont="1" applyBorder="1" applyAlignment="1"/>
    <xf numFmtId="43" fontId="3" fillId="0" borderId="9" xfId="0" applyNumberFormat="1" applyFont="1" applyBorder="1" applyAlignment="1">
      <alignment horizontal="center"/>
    </xf>
    <xf numFmtId="43" fontId="3" fillId="0" borderId="9" xfId="0" applyNumberFormat="1" applyFont="1" applyBorder="1"/>
    <xf numFmtId="0" fontId="112" fillId="7" borderId="6" xfId="0" applyFont="1" applyFill="1" applyBorder="1" applyAlignment="1">
      <alignment horizontal="left" wrapText="1"/>
    </xf>
    <xf numFmtId="43" fontId="3" fillId="0" borderId="7" xfId="0" applyNumberFormat="1" applyFont="1" applyBorder="1" applyAlignment="1"/>
    <xf numFmtId="0" fontId="3" fillId="0" borderId="6" xfId="0" applyFont="1" applyBorder="1" applyAlignment="1">
      <alignment horizontal="center" vertical="center" wrapText="1"/>
    </xf>
    <xf numFmtId="0" fontId="3" fillId="0" borderId="7" xfId="0" applyFont="1" applyBorder="1" applyAlignment="1">
      <alignment vertical="center"/>
    </xf>
    <xf numFmtId="0" fontId="3" fillId="0" borderId="9" xfId="0" applyFont="1" applyBorder="1" applyAlignment="1">
      <alignment vertical="center"/>
    </xf>
    <xf numFmtId="167" fontId="3" fillId="0" borderId="9" xfId="0" applyNumberFormat="1" applyFont="1" applyBorder="1" applyAlignment="1">
      <alignment vertical="center"/>
    </xf>
    <xf numFmtId="2" fontId="3" fillId="0" borderId="9" xfId="0" applyNumberFormat="1" applyFont="1" applyBorder="1" applyAlignment="1">
      <alignment vertical="center"/>
    </xf>
    <xf numFmtId="164" fontId="111" fillId="0" borderId="9" xfId="0" applyNumberFormat="1" applyFont="1" applyBorder="1" applyAlignment="1">
      <alignment horizontal="center" vertical="center" wrapText="1"/>
    </xf>
    <xf numFmtId="2" fontId="111" fillId="0" borderId="9" xfId="0" applyNumberFormat="1" applyFont="1" applyBorder="1" applyAlignment="1">
      <alignment horizontal="center" vertical="center" wrapText="1"/>
    </xf>
    <xf numFmtId="164" fontId="3" fillId="0" borderId="9" xfId="0" applyNumberFormat="1" applyFont="1" applyBorder="1" applyAlignment="1">
      <alignment vertical="center"/>
    </xf>
    <xf numFmtId="2" fontId="111" fillId="0" borderId="9" xfId="0" applyNumberFormat="1" applyFont="1" applyBorder="1" applyAlignment="1">
      <alignment horizontal="center" vertical="center"/>
    </xf>
    <xf numFmtId="0" fontId="3" fillId="7" borderId="6" xfId="0" applyFont="1" applyFill="1" applyBorder="1" applyAlignment="1">
      <alignment horizontal="left" vertical="center" wrapText="1"/>
    </xf>
    <xf numFmtId="0" fontId="111" fillId="0" borderId="9" xfId="0" applyFont="1" applyBorder="1" applyAlignment="1">
      <alignment horizontal="center" vertical="center"/>
    </xf>
    <xf numFmtId="164" fontId="111" fillId="0" borderId="9" xfId="0" applyNumberFormat="1" applyFont="1" applyBorder="1" applyAlignment="1">
      <alignment horizontal="center" vertical="center"/>
    </xf>
    <xf numFmtId="0" fontId="3" fillId="7" borderId="6" xfId="0" applyFont="1" applyFill="1" applyBorder="1" applyAlignment="1">
      <alignment horizontal="left" wrapText="1"/>
    </xf>
    <xf numFmtId="0" fontId="3" fillId="0" borderId="9" xfId="0" applyFont="1" applyBorder="1" applyAlignment="1">
      <alignment horizontal="center" vertical="center"/>
    </xf>
    <xf numFmtId="164" fontId="3" fillId="0" borderId="9" xfId="0" applyNumberFormat="1" applyFont="1" applyBorder="1" applyAlignment="1">
      <alignment horizontal="center" vertical="center"/>
    </xf>
    <xf numFmtId="2" fontId="3" fillId="0" borderId="9" xfId="0" applyNumberFormat="1" applyFont="1" applyBorder="1" applyAlignment="1">
      <alignment horizontal="center" vertical="center"/>
    </xf>
    <xf numFmtId="0" fontId="111" fillId="7" borderId="7" xfId="0" applyFont="1" applyFill="1" applyBorder="1" applyAlignment="1">
      <alignment horizontal="left" vertical="center" wrapText="1"/>
    </xf>
    <xf numFmtId="0" fontId="3" fillId="7" borderId="7" xfId="0" applyFont="1" applyFill="1" applyBorder="1" applyAlignment="1">
      <alignment horizontal="left" vertical="center" wrapText="1"/>
    </xf>
    <xf numFmtId="2" fontId="111" fillId="0" borderId="4" xfId="0" applyNumberFormat="1" applyFont="1" applyBorder="1" applyAlignment="1">
      <alignment horizontal="center" vertical="center" wrapText="1"/>
    </xf>
    <xf numFmtId="0" fontId="3" fillId="7" borderId="7" xfId="0" applyFont="1" applyFill="1" applyBorder="1" applyAlignment="1">
      <alignment horizontal="left" wrapText="1"/>
    </xf>
    <xf numFmtId="0" fontId="3" fillId="0" borderId="5" xfId="0" applyFont="1" applyBorder="1" applyAlignment="1">
      <alignment wrapText="1"/>
    </xf>
    <xf numFmtId="0" fontId="3" fillId="0" borderId="6" xfId="0" applyFont="1" applyBorder="1" applyAlignment="1">
      <alignment horizontal="center" wrapText="1"/>
    </xf>
    <xf numFmtId="0" fontId="3" fillId="0" borderId="1" xfId="0" applyFont="1" applyBorder="1" applyAlignment="1">
      <alignment horizontal="left" wrapText="1"/>
    </xf>
    <xf numFmtId="0" fontId="3" fillId="0" borderId="7" xfId="0" applyFont="1" applyBorder="1" applyAlignment="1">
      <alignment horizontal="center" wrapText="1"/>
    </xf>
    <xf numFmtId="0" fontId="3" fillId="0" borderId="1" xfId="0" applyFont="1" applyBorder="1" applyAlignment="1">
      <alignment wrapText="1"/>
    </xf>
    <xf numFmtId="0" fontId="3" fillId="0" borderId="7" xfId="0" applyFont="1" applyBorder="1" applyAlignment="1">
      <alignment wrapText="1"/>
    </xf>
    <xf numFmtId="0" fontId="3" fillId="0" borderId="9" xfId="0" applyFont="1" applyBorder="1" applyAlignment="1">
      <alignment horizontal="right"/>
    </xf>
    <xf numFmtId="0" fontId="3" fillId="0" borderId="3" xfId="0" applyFont="1" applyBorder="1" applyAlignment="1">
      <alignment horizontal="left" wrapText="1"/>
    </xf>
    <xf numFmtId="0" fontId="3" fillId="0" borderId="1" xfId="0" applyFont="1" applyBorder="1" applyAlignment="1">
      <alignment vertical="center" wrapText="1"/>
    </xf>
    <xf numFmtId="0" fontId="3" fillId="0" borderId="1" xfId="0" applyFont="1" applyBorder="1" applyAlignment="1">
      <alignment horizontal="left"/>
    </xf>
    <xf numFmtId="0" fontId="3" fillId="0" borderId="7" xfId="0" applyFont="1" applyBorder="1" applyAlignment="1">
      <alignment horizontal="center"/>
    </xf>
    <xf numFmtId="0" fontId="3" fillId="0" borderId="7" xfId="0" applyFont="1" applyBorder="1" applyAlignment="1">
      <alignment vertical="center" wrapText="1"/>
    </xf>
    <xf numFmtId="0" fontId="3" fillId="0" borderId="6" xfId="0" applyFont="1" applyBorder="1" applyAlignment="1">
      <alignment vertical="center" wrapText="1"/>
    </xf>
    <xf numFmtId="2" fontId="3" fillId="7" borderId="0" xfId="0" applyNumberFormat="1" applyFont="1" applyFill="1"/>
    <xf numFmtId="0" fontId="3" fillId="0" borderId="6" xfId="0" applyFont="1" applyBorder="1" applyAlignment="1">
      <alignment vertical="top" wrapText="1"/>
    </xf>
    <xf numFmtId="0" fontId="3" fillId="0" borderId="7" xfId="0" applyFont="1" applyBorder="1" applyAlignment="1">
      <alignment horizontal="right" vertical="center"/>
    </xf>
    <xf numFmtId="0" fontId="3" fillId="0" borderId="9" xfId="0" applyFont="1" applyBorder="1" applyAlignment="1">
      <alignment horizontal="right" vertical="center"/>
    </xf>
    <xf numFmtId="0" fontId="3" fillId="8" borderId="6" xfId="0" applyFont="1" applyFill="1" applyBorder="1" applyAlignment="1">
      <alignment horizontal="left" vertical="center" wrapText="1"/>
    </xf>
    <xf numFmtId="0" fontId="3" fillId="0" borderId="0" xfId="0" applyFont="1" applyAlignment="1">
      <alignment vertical="center" wrapText="1"/>
    </xf>
    <xf numFmtId="0" fontId="3" fillId="0" borderId="6" xfId="0" applyFont="1" applyBorder="1" applyAlignment="1"/>
    <xf numFmtId="0" fontId="3" fillId="0" borderId="6" xfId="0" applyFont="1" applyBorder="1" applyAlignment="1">
      <alignment horizontal="center"/>
    </xf>
    <xf numFmtId="2" fontId="3" fillId="0" borderId="4" xfId="0" applyNumberFormat="1" applyFont="1" applyBorder="1" applyAlignment="1">
      <alignment horizontal="center"/>
    </xf>
    <xf numFmtId="0" fontId="112" fillId="0" borderId="4" xfId="0" applyFont="1" applyBorder="1" applyAlignment="1">
      <alignment horizontal="left" wrapText="1"/>
    </xf>
    <xf numFmtId="0" fontId="3" fillId="0" borderId="6" xfId="0" applyFont="1" applyBorder="1" applyAlignment="1">
      <alignment horizontal="right" vertical="center" wrapText="1"/>
    </xf>
    <xf numFmtId="0" fontId="103" fillId="3" borderId="6" xfId="0" applyFont="1" applyFill="1" applyBorder="1" applyAlignment="1">
      <alignment horizontal="center" vertical="center" wrapText="1"/>
    </xf>
    <xf numFmtId="2" fontId="103" fillId="3" borderId="6" xfId="0" applyNumberFormat="1" applyFont="1" applyFill="1" applyBorder="1" applyAlignment="1">
      <alignment horizontal="center" vertical="center" wrapText="1"/>
    </xf>
    <xf numFmtId="0" fontId="3" fillId="4" borderId="6" xfId="0" applyFont="1" applyFill="1" applyBorder="1" applyAlignment="1">
      <alignment horizontal="center" vertical="center" wrapText="1"/>
    </xf>
    <xf numFmtId="164" fontId="103" fillId="4" borderId="6" xfId="0" applyNumberFormat="1" applyFont="1" applyFill="1" applyBorder="1" applyAlignment="1">
      <alignment horizontal="center" vertical="center" wrapText="1"/>
    </xf>
    <xf numFmtId="2" fontId="103" fillId="4" borderId="6" xfId="0" applyNumberFormat="1" applyFont="1" applyFill="1" applyBorder="1" applyAlignment="1">
      <alignment horizontal="center" vertical="center" wrapText="1"/>
    </xf>
    <xf numFmtId="0" fontId="3" fillId="0" borderId="0" xfId="0" applyFont="1" applyAlignment="1">
      <alignment horizontal="center"/>
    </xf>
    <xf numFmtId="0" fontId="111" fillId="8" borderId="14" xfId="0" applyFont="1" applyFill="1" applyBorder="1" applyAlignment="1">
      <alignment horizontal="center" vertical="center" wrapText="1"/>
    </xf>
    <xf numFmtId="0" fontId="3" fillId="8" borderId="14" xfId="0" applyFont="1" applyFill="1" applyBorder="1" applyAlignment="1">
      <alignment horizontal="left" vertical="center" wrapText="1"/>
    </xf>
    <xf numFmtId="0" fontId="3" fillId="8" borderId="0" xfId="0" applyFont="1" applyFill="1" applyAlignment="1">
      <alignment horizontal="center" vertical="center" wrapText="1"/>
    </xf>
    <xf numFmtId="0" fontId="111" fillId="8" borderId="14" xfId="0" applyFont="1" applyFill="1" applyBorder="1" applyAlignment="1">
      <alignment horizontal="center" vertical="center" textRotation="90" wrapText="1"/>
    </xf>
    <xf numFmtId="164" fontId="111" fillId="10" borderId="14" xfId="0" applyNumberFormat="1" applyFont="1" applyFill="1" applyBorder="1" applyAlignment="1">
      <alignment horizontal="center" vertical="center" wrapText="1"/>
    </xf>
    <xf numFmtId="0" fontId="3" fillId="8" borderId="14" xfId="0" applyFont="1" applyFill="1" applyBorder="1" applyAlignment="1">
      <alignment wrapText="1"/>
    </xf>
    <xf numFmtId="168" fontId="3" fillId="8" borderId="14" xfId="0" applyNumberFormat="1" applyFont="1" applyFill="1" applyBorder="1" applyAlignment="1">
      <alignment horizontal="center" vertical="center" wrapText="1"/>
    </xf>
    <xf numFmtId="43" fontId="3" fillId="8" borderId="14" xfId="0" applyNumberFormat="1" applyFont="1" applyFill="1" applyBorder="1" applyAlignment="1">
      <alignment horizontal="center" vertical="center"/>
    </xf>
    <xf numFmtId="0" fontId="3" fillId="8" borderId="14" xfId="0" applyFont="1" applyFill="1" applyBorder="1" applyAlignment="1">
      <alignment horizontal="center" vertical="center"/>
    </xf>
    <xf numFmtId="0" fontId="111" fillId="8" borderId="14" xfId="0" applyFont="1" applyFill="1" applyBorder="1" applyAlignment="1">
      <alignment horizontal="center" vertical="center"/>
    </xf>
    <xf numFmtId="164" fontId="111" fillId="0" borderId="14" xfId="0" applyNumberFormat="1" applyFont="1" applyBorder="1" applyAlignment="1">
      <alignment wrapText="1"/>
    </xf>
    <xf numFmtId="2" fontId="111" fillId="0" borderId="14" xfId="0" applyNumberFormat="1" applyFont="1" applyBorder="1" applyAlignment="1">
      <alignment wrapText="1"/>
    </xf>
    <xf numFmtId="0" fontId="111" fillId="7" borderId="14" xfId="0" applyFont="1" applyFill="1" applyBorder="1" applyAlignment="1">
      <alignment horizontal="center" wrapText="1"/>
    </xf>
    <xf numFmtId="164" fontId="111" fillId="7" borderId="14" xfId="0" applyNumberFormat="1" applyFont="1" applyFill="1" applyBorder="1" applyAlignment="1">
      <alignment horizontal="center" wrapText="1"/>
    </xf>
    <xf numFmtId="0" fontId="111" fillId="8" borderId="14" xfId="0" applyFont="1" applyFill="1" applyBorder="1" applyAlignment="1">
      <alignment horizontal="left" vertical="center" wrapText="1"/>
    </xf>
    <xf numFmtId="0" fontId="3" fillId="8" borderId="14" xfId="0" applyFont="1" applyFill="1" applyBorder="1" applyAlignment="1">
      <alignment vertical="center" wrapText="1"/>
    </xf>
    <xf numFmtId="0" fontId="3" fillId="8" borderId="14" xfId="0" applyFont="1" applyFill="1" applyBorder="1" applyAlignment="1">
      <alignment horizontal="center" vertical="center" wrapText="1"/>
    </xf>
    <xf numFmtId="0" fontId="111" fillId="8" borderId="0" xfId="0" applyFont="1" applyFill="1" applyAlignment="1">
      <alignment horizontal="center" vertical="center" wrapText="1"/>
    </xf>
    <xf numFmtId="164" fontId="3" fillId="0" borderId="14" xfId="0" applyNumberFormat="1" applyFont="1" applyBorder="1" applyAlignment="1">
      <alignment horizontal="center"/>
    </xf>
    <xf numFmtId="2" fontId="3" fillId="8" borderId="0" xfId="0" applyNumberFormat="1" applyFont="1" applyFill="1" applyAlignment="1">
      <alignment horizontal="center" vertical="center" wrapText="1"/>
    </xf>
    <xf numFmtId="0" fontId="3" fillId="8" borderId="0" xfId="0" applyFont="1" applyFill="1" applyAlignment="1">
      <alignment horizontal="left" vertical="center" wrapText="1"/>
    </xf>
    <xf numFmtId="0" fontId="3" fillId="8" borderId="0" xfId="0" applyFont="1" applyFill="1"/>
    <xf numFmtId="0" fontId="3" fillId="8" borderId="0" xfId="0" applyFont="1" applyFill="1" applyAlignment="1">
      <alignment wrapText="1"/>
    </xf>
    <xf numFmtId="164" fontId="8" fillId="0" borderId="14" xfId="0" applyNumberFormat="1" applyFont="1" applyBorder="1" applyAlignment="1">
      <alignment horizontal="center" vertical="center" wrapText="1"/>
    </xf>
    <xf numFmtId="0" fontId="110" fillId="0" borderId="14" xfId="0" applyFont="1" applyBorder="1" applyAlignment="1">
      <alignment horizontal="center" vertical="center" wrapText="1"/>
    </xf>
    <xf numFmtId="0" fontId="1" fillId="7" borderId="14" xfId="0" applyFont="1" applyFill="1" applyBorder="1" applyAlignment="1">
      <alignment horizontal="center" vertical="center" wrapText="1"/>
    </xf>
    <xf numFmtId="0" fontId="7" fillId="7" borderId="14" xfId="0" applyFont="1" applyFill="1" applyBorder="1" applyAlignment="1">
      <alignment horizontal="left" wrapText="1"/>
    </xf>
    <xf numFmtId="0" fontId="2" fillId="0" borderId="14" xfId="0" applyFont="1" applyBorder="1" applyAlignment="1">
      <alignment horizontal="left" wrapText="1"/>
    </xf>
    <xf numFmtId="0" fontId="7" fillId="7" borderId="14" xfId="0" applyFont="1" applyFill="1" applyBorder="1" applyAlignment="1">
      <alignment horizontal="left" vertical="top" wrapText="1"/>
    </xf>
    <xf numFmtId="0" fontId="7" fillId="0" borderId="14" xfId="0" applyFont="1" applyBorder="1" applyAlignment="1">
      <alignment horizontal="left" vertical="center" wrapText="1"/>
    </xf>
    <xf numFmtId="0" fontId="2" fillId="0" borderId="14" xfId="0" applyFont="1" applyBorder="1" applyAlignment="1">
      <alignment horizontal="left" vertical="top" wrapText="1"/>
    </xf>
    <xf numFmtId="0" fontId="8" fillId="7" borderId="14" xfId="0" applyFont="1" applyFill="1" applyBorder="1" applyAlignment="1">
      <alignment horizontal="center"/>
    </xf>
    <xf numFmtId="167" fontId="8" fillId="7" borderId="14" xfId="0" applyNumberFormat="1" applyFont="1" applyFill="1" applyBorder="1" applyAlignment="1">
      <alignment horizontal="center"/>
    </xf>
    <xf numFmtId="164" fontId="8" fillId="7" borderId="14" xfId="0" applyNumberFormat="1" applyFont="1" applyFill="1" applyBorder="1" applyAlignment="1">
      <alignment horizontal="center"/>
    </xf>
    <xf numFmtId="0" fontId="2" fillId="7" borderId="13" xfId="0" applyFont="1" applyFill="1" applyBorder="1" applyAlignment="1">
      <alignment horizontal="center" vertical="center" wrapText="1"/>
    </xf>
    <xf numFmtId="0" fontId="2" fillId="13" borderId="0" xfId="0" applyFont="1" applyFill="1" applyAlignment="1">
      <alignment horizontal="center" vertical="center" wrapText="1"/>
    </xf>
    <xf numFmtId="0" fontId="2" fillId="0" borderId="14" xfId="0" applyFont="1" applyBorder="1" applyAlignment="1">
      <alignment wrapText="1"/>
    </xf>
    <xf numFmtId="0" fontId="8" fillId="0" borderId="14" xfId="0" applyFont="1" applyBorder="1" applyAlignment="1">
      <alignment wrapText="1"/>
    </xf>
    <xf numFmtId="0" fontId="7" fillId="0" borderId="14" xfId="0" applyFont="1" applyBorder="1" applyAlignment="1">
      <alignment horizontal="left" wrapText="1"/>
    </xf>
    <xf numFmtId="0" fontId="7" fillId="7" borderId="14" xfId="0" applyFont="1" applyFill="1" applyBorder="1" applyAlignment="1">
      <alignment horizontal="left" vertical="center" wrapText="1"/>
    </xf>
    <xf numFmtId="0" fontId="8" fillId="7" borderId="14" xfId="0" applyFont="1" applyFill="1" applyBorder="1" applyAlignment="1">
      <alignment horizontal="left" wrapText="1"/>
    </xf>
    <xf numFmtId="0" fontId="8" fillId="7" borderId="14" xfId="0" applyFont="1" applyFill="1" applyBorder="1" applyAlignment="1">
      <alignment wrapText="1"/>
    </xf>
    <xf numFmtId="0" fontId="1" fillId="7" borderId="14" xfId="0" applyFont="1" applyFill="1" applyBorder="1" applyAlignment="1">
      <alignment wrapText="1"/>
    </xf>
    <xf numFmtId="0" fontId="7" fillId="0" borderId="4" xfId="0" applyFont="1" applyBorder="1" applyAlignment="1">
      <alignment wrapText="1"/>
    </xf>
    <xf numFmtId="0" fontId="8" fillId="0" borderId="14" xfId="0" applyFont="1" applyBorder="1" applyAlignment="1">
      <alignment horizontal="left" vertical="center" wrapText="1"/>
    </xf>
    <xf numFmtId="0" fontId="7" fillId="0" borderId="14" xfId="0" applyFont="1" applyBorder="1" applyAlignment="1">
      <alignment vertical="center" wrapText="1"/>
    </xf>
    <xf numFmtId="0" fontId="8" fillId="0" borderId="14" xfId="0" applyFont="1" applyBorder="1" applyAlignment="1">
      <alignment vertical="center" wrapText="1"/>
    </xf>
    <xf numFmtId="0" fontId="2" fillId="0" borderId="14" xfId="0" applyFont="1" applyBorder="1" applyAlignment="1">
      <alignment vertical="top" wrapText="1"/>
    </xf>
    <xf numFmtId="164" fontId="8" fillId="7" borderId="14" xfId="0" applyNumberFormat="1" applyFont="1" applyFill="1" applyBorder="1" applyAlignment="1"/>
    <xf numFmtId="2" fontId="109" fillId="7" borderId="14" xfId="0" applyNumberFormat="1" applyFont="1" applyFill="1" applyBorder="1" applyAlignment="1">
      <alignment horizontal="center"/>
    </xf>
    <xf numFmtId="0" fontId="2" fillId="8" borderId="14" xfId="0" applyFont="1" applyFill="1" applyBorder="1" applyAlignment="1">
      <alignment horizontal="left" vertical="center" wrapText="1"/>
    </xf>
    <xf numFmtId="0" fontId="8" fillId="7" borderId="14" xfId="0" applyFont="1" applyFill="1" applyBorder="1"/>
    <xf numFmtId="0" fontId="7" fillId="8" borderId="14" xfId="0" applyFont="1" applyFill="1" applyBorder="1" applyAlignment="1">
      <alignment horizontal="left" vertical="center" wrapText="1"/>
    </xf>
    <xf numFmtId="0" fontId="7" fillId="0" borderId="4" xfId="0" applyFont="1" applyBorder="1" applyAlignment="1"/>
    <xf numFmtId="2" fontId="3" fillId="0" borderId="14" xfId="0" applyNumberFormat="1" applyFont="1" applyBorder="1"/>
    <xf numFmtId="164" fontId="3" fillId="0" borderId="14" xfId="0" applyNumberFormat="1" applyFont="1" applyBorder="1"/>
    <xf numFmtId="43" fontId="3" fillId="0" borderId="14" xfId="0" applyNumberFormat="1" applyFont="1" applyBorder="1" applyAlignment="1">
      <alignment horizontal="center" vertical="center" wrapText="1"/>
    </xf>
    <xf numFmtId="167" fontId="3" fillId="0" borderId="14" xfId="0" applyNumberFormat="1" applyFont="1" applyBorder="1" applyAlignment="1">
      <alignment horizontal="center" vertical="center" wrapText="1"/>
    </xf>
    <xf numFmtId="2" fontId="3" fillId="0" borderId="14" xfId="0" applyNumberFormat="1" applyFont="1" applyBorder="1" applyAlignment="1">
      <alignment horizontal="center" vertical="center" wrapText="1"/>
    </xf>
    <xf numFmtId="164" fontId="3" fillId="0" borderId="14" xfId="0" applyNumberFormat="1" applyFont="1" applyBorder="1" applyAlignment="1">
      <alignment horizontal="center" vertical="center" wrapText="1"/>
    </xf>
    <xf numFmtId="0" fontId="3" fillId="7" borderId="14" xfId="0" applyFont="1" applyFill="1" applyBorder="1" applyAlignment="1">
      <alignment horizontal="center" vertical="center" wrapText="1"/>
    </xf>
    <xf numFmtId="2" fontId="3" fillId="0" borderId="14" xfId="0" applyNumberFormat="1" applyFont="1" applyBorder="1" applyAlignment="1">
      <alignment vertical="center" wrapText="1"/>
    </xf>
    <xf numFmtId="166" fontId="111" fillId="3" borderId="14" xfId="0" applyNumberFormat="1" applyFont="1" applyFill="1" applyBorder="1" applyAlignment="1">
      <alignment horizontal="center" vertical="center" wrapText="1"/>
    </xf>
    <xf numFmtId="0" fontId="3" fillId="0" borderId="4" xfId="0" applyFont="1" applyBorder="1" applyAlignment="1">
      <alignment wrapText="1"/>
    </xf>
    <xf numFmtId="167" fontId="111" fillId="3" borderId="14" xfId="0" applyNumberFormat="1" applyFont="1" applyFill="1" applyBorder="1" applyAlignment="1">
      <alignment horizontal="center" vertical="center" wrapText="1"/>
    </xf>
    <xf numFmtId="2" fontId="3" fillId="0" borderId="14" xfId="0" applyNumberFormat="1" applyFont="1" applyBorder="1" applyAlignment="1">
      <alignment horizontal="left"/>
    </xf>
    <xf numFmtId="0" fontId="3" fillId="0" borderId="4" xfId="0" applyFont="1" applyBorder="1" applyAlignment="1">
      <alignment horizontal="left" wrapText="1"/>
    </xf>
    <xf numFmtId="0" fontId="3" fillId="0" borderId="9" xfId="0" applyFont="1" applyBorder="1" applyAlignment="1">
      <alignment horizontal="left" wrapText="1"/>
    </xf>
    <xf numFmtId="0" fontId="3" fillId="0" borderId="4" xfId="0" applyFont="1" applyBorder="1" applyAlignment="1">
      <alignment vertical="top" wrapText="1"/>
    </xf>
    <xf numFmtId="0" fontId="3" fillId="0" borderId="2" xfId="0" applyFont="1" applyFill="1" applyBorder="1" applyAlignment="1">
      <alignment horizontal="left" vertical="center" wrapText="1"/>
    </xf>
    <xf numFmtId="0" fontId="3" fillId="0" borderId="7" xfId="0" applyFont="1" applyFill="1" applyBorder="1"/>
    <xf numFmtId="0" fontId="3" fillId="7" borderId="0" xfId="0" applyFont="1" applyFill="1" applyAlignment="1">
      <alignment horizontal="left"/>
    </xf>
    <xf numFmtId="168" fontId="3" fillId="0" borderId="4" xfId="0" applyNumberFormat="1" applyFont="1" applyBorder="1" applyAlignment="1">
      <alignment horizontal="center"/>
    </xf>
    <xf numFmtId="43" fontId="3" fillId="0" borderId="6" xfId="0" applyNumberFormat="1" applyFont="1" applyBorder="1" applyAlignment="1">
      <alignment horizontal="center" vertical="center"/>
    </xf>
    <xf numFmtId="164" fontId="3" fillId="0" borderId="9" xfId="0" applyNumberFormat="1" applyFont="1" applyBorder="1" applyAlignment="1">
      <alignment wrapText="1"/>
    </xf>
    <xf numFmtId="0" fontId="3" fillId="0" borderId="9" xfId="0" applyFont="1" applyBorder="1" applyAlignment="1">
      <alignment horizontal="right" wrapText="1"/>
    </xf>
    <xf numFmtId="2" fontId="3" fillId="0" borderId="9" xfId="0" applyNumberFormat="1" applyFont="1" applyBorder="1" applyAlignment="1">
      <alignment wrapText="1"/>
    </xf>
    <xf numFmtId="2" fontId="3" fillId="0" borderId="9" xfId="0" applyNumberFormat="1" applyFont="1" applyBorder="1" applyAlignment="1">
      <alignment horizontal="right" wrapText="1"/>
    </xf>
    <xf numFmtId="0" fontId="3" fillId="0" borderId="5" xfId="0" applyFont="1" applyBorder="1" applyAlignment="1"/>
    <xf numFmtId="0" fontId="3" fillId="0" borderId="1" xfId="0" applyFont="1" applyBorder="1" applyAlignment="1"/>
    <xf numFmtId="0" fontId="3" fillId="7" borderId="6" xfId="0" applyFont="1" applyFill="1" applyBorder="1" applyAlignment="1">
      <alignment horizontal="center"/>
    </xf>
    <xf numFmtId="0" fontId="3" fillId="7" borderId="4" xfId="0" applyFont="1" applyFill="1" applyBorder="1" applyAlignment="1">
      <alignment horizontal="center"/>
    </xf>
    <xf numFmtId="164" fontId="3" fillId="7" borderId="4" xfId="0" applyNumberFormat="1" applyFont="1" applyFill="1" applyBorder="1" applyAlignment="1">
      <alignment horizontal="center"/>
    </xf>
    <xf numFmtId="2" fontId="3" fillId="7" borderId="4" xfId="0" applyNumberFormat="1" applyFont="1" applyFill="1" applyBorder="1" applyAlignment="1">
      <alignment horizontal="center"/>
    </xf>
    <xf numFmtId="2" fontId="3" fillId="7" borderId="6" xfId="0" applyNumberFormat="1" applyFont="1" applyFill="1" applyBorder="1" applyAlignment="1">
      <alignment horizontal="center"/>
    </xf>
    <xf numFmtId="0" fontId="3" fillId="0" borderId="4" xfId="0" applyFont="1" applyBorder="1" applyAlignment="1">
      <alignment horizontal="left" vertical="center" wrapText="1"/>
    </xf>
    <xf numFmtId="0" fontId="3" fillId="0" borderId="6" xfId="0" applyFont="1" applyBorder="1" applyAlignment="1">
      <alignment horizontal="right"/>
    </xf>
    <xf numFmtId="0" fontId="3" fillId="0" borderId="4" xfId="0" applyFont="1" applyBorder="1" applyAlignment="1">
      <alignment horizontal="right"/>
    </xf>
    <xf numFmtId="2" fontId="3" fillId="0" borderId="0" xfId="0" applyNumberFormat="1" applyFont="1" applyAlignment="1">
      <alignment horizontal="center" vertical="center" wrapText="1"/>
    </xf>
    <xf numFmtId="0" fontId="3" fillId="7" borderId="14" xfId="0" applyFont="1" applyFill="1" applyBorder="1" applyAlignment="1">
      <alignment horizontal="left" vertical="top"/>
    </xf>
    <xf numFmtId="2" fontId="3" fillId="0" borderId="14" xfId="0" applyNumberFormat="1" applyFont="1" applyBorder="1" applyAlignment="1">
      <alignment horizontal="center" vertical="center"/>
    </xf>
    <xf numFmtId="43" fontId="3" fillId="7" borderId="14" xfId="0" applyNumberFormat="1" applyFont="1" applyFill="1" applyBorder="1" applyAlignment="1">
      <alignment horizontal="center" vertical="center"/>
    </xf>
    <xf numFmtId="43" fontId="3" fillId="7" borderId="14" xfId="0" applyNumberFormat="1" applyFont="1" applyFill="1" applyBorder="1" applyAlignment="1">
      <alignment horizontal="center"/>
    </xf>
    <xf numFmtId="0" fontId="3" fillId="7" borderId="14" xfId="0" applyFont="1" applyFill="1" applyBorder="1" applyAlignment="1">
      <alignment horizontal="center"/>
    </xf>
    <xf numFmtId="164" fontId="3" fillId="8" borderId="14" xfId="0" applyNumberFormat="1" applyFont="1" applyFill="1" applyBorder="1" applyAlignment="1">
      <alignment horizontal="center" vertical="center" wrapText="1"/>
    </xf>
    <xf numFmtId="2" fontId="3" fillId="8" borderId="14" xfId="0" applyNumberFormat="1" applyFont="1" applyFill="1" applyBorder="1" applyAlignment="1">
      <alignment horizontal="center" vertical="center" wrapText="1"/>
    </xf>
    <xf numFmtId="0" fontId="103" fillId="3" borderId="14" xfId="0" applyFont="1" applyFill="1" applyBorder="1" applyAlignment="1">
      <alignment horizontal="center" vertical="center" wrapText="1"/>
    </xf>
    <xf numFmtId="2" fontId="103" fillId="3" borderId="14" xfId="0" applyNumberFormat="1" applyFont="1" applyFill="1" applyBorder="1" applyAlignment="1">
      <alignment horizontal="center" vertical="center" wrapText="1"/>
    </xf>
    <xf numFmtId="0" fontId="103" fillId="4" borderId="14" xfId="0" applyFont="1" applyFill="1" applyBorder="1" applyAlignment="1">
      <alignment horizontal="center" vertical="center" wrapText="1"/>
    </xf>
    <xf numFmtId="2" fontId="103" fillId="4" borderId="14" xfId="0" applyNumberFormat="1" applyFont="1" applyFill="1" applyBorder="1" applyAlignment="1">
      <alignment horizontal="center" vertical="center" wrapText="1"/>
    </xf>
  </cellXfs>
  <cellStyles count="3">
    <cellStyle name="Comma 6" xfId="2"/>
    <cellStyle name="Normal" xfId="0" builtinId="0"/>
    <cellStyle name="Normal 10" xfId="1"/>
  </cellStyles>
  <dxfs count="2">
    <dxf>
      <fill>
        <patternFill patternType="solid">
          <fgColor rgb="FFB7E1CD"/>
          <bgColor rgb="FFB7E1CD"/>
        </patternFill>
      </fill>
    </dxf>
    <dxf>
      <fill>
        <patternFill patternType="solid">
          <fgColor rgb="FFB7E1CD"/>
          <bgColor rgb="FFB7E1CD"/>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1.r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V1000"/>
  <sheetViews>
    <sheetView tabSelected="1" workbookViewId="0">
      <pane xSplit="4" ySplit="5" topLeftCell="E170" activePane="bottomRight" state="frozen"/>
      <selection pane="topRight" activeCell="E1" sqref="E1"/>
      <selection pane="bottomLeft" activeCell="A6" sqref="A6"/>
      <selection pane="bottomRight" activeCell="V4" sqref="V4:V5"/>
    </sheetView>
  </sheetViews>
  <sheetFormatPr defaultColWidth="14.42578125" defaultRowHeight="15" customHeight="1"/>
  <cols>
    <col min="1" max="1" width="5.28515625" style="784" customWidth="1"/>
    <col min="2" max="2" width="6.28515625" style="784" customWidth="1"/>
    <col min="3" max="3" width="6.42578125" style="784" customWidth="1"/>
    <col min="4" max="4" width="5.28515625" style="784" customWidth="1"/>
    <col min="5" max="5" width="18.7109375" style="784" customWidth="1"/>
    <col min="6" max="6" width="9.28515625" style="784" customWidth="1"/>
    <col min="7" max="7" width="7.42578125" style="784" customWidth="1"/>
    <col min="8" max="8" width="7" style="784" customWidth="1"/>
    <col min="9" max="9" width="11.140625" style="784" customWidth="1"/>
    <col min="10" max="10" width="6" style="784" customWidth="1"/>
    <col min="11" max="11" width="7.42578125" style="784" customWidth="1"/>
    <col min="12" max="12" width="6" style="784" customWidth="1"/>
    <col min="13" max="13" width="7.28515625" style="784" customWidth="1"/>
    <col min="14" max="14" width="10.140625" style="784" customWidth="1"/>
    <col min="15" max="15" width="9.85546875" style="784" customWidth="1"/>
    <col min="16" max="16" width="11" style="784" customWidth="1"/>
    <col min="17" max="17" width="7.85546875" style="784" customWidth="1"/>
    <col min="18" max="18" width="9.28515625" style="784" customWidth="1"/>
    <col min="19" max="19" width="7.85546875" style="784" customWidth="1"/>
    <col min="20" max="20" width="12" style="784" customWidth="1"/>
    <col min="21" max="21" width="10.140625" style="784" customWidth="1"/>
    <col min="22" max="22" width="59.28515625" style="904" customWidth="1"/>
    <col min="23" max="16384" width="14.42578125" style="784"/>
  </cols>
  <sheetData>
    <row r="1" spans="1:22" ht="20.25" customHeight="1">
      <c r="A1" s="1"/>
      <c r="B1" s="2"/>
      <c r="C1" s="2"/>
      <c r="D1" s="2"/>
      <c r="E1" s="469" t="s">
        <v>0</v>
      </c>
      <c r="J1" s="3"/>
      <c r="K1" s="3"/>
      <c r="L1" s="3"/>
      <c r="M1" s="3"/>
      <c r="N1" s="3"/>
      <c r="O1" s="3"/>
      <c r="P1" s="3"/>
      <c r="Q1" s="3"/>
      <c r="R1" s="3"/>
      <c r="S1" s="3"/>
      <c r="T1" s="3"/>
      <c r="U1" s="3"/>
      <c r="V1" s="18"/>
    </row>
    <row r="2" spans="1:22" ht="23.25" customHeight="1">
      <c r="A2" s="3"/>
      <c r="B2" s="3"/>
      <c r="C2" s="3"/>
      <c r="D2" s="3"/>
      <c r="E2" s="3"/>
      <c r="F2" s="3"/>
      <c r="G2" s="3"/>
      <c r="H2" s="3"/>
      <c r="I2" s="3"/>
      <c r="J2" s="3"/>
      <c r="K2" s="3"/>
      <c r="L2" s="3"/>
      <c r="M2" s="3"/>
      <c r="N2" s="3"/>
      <c r="O2" s="3"/>
      <c r="P2" s="3"/>
      <c r="Q2" s="3"/>
      <c r="R2" s="3"/>
      <c r="S2" s="3"/>
      <c r="T2" s="3"/>
      <c r="U2" s="3"/>
      <c r="V2" s="18"/>
    </row>
    <row r="3" spans="1:22" ht="22.5" customHeight="1">
      <c r="A3" s="827" t="s">
        <v>1</v>
      </c>
      <c r="B3" s="827"/>
      <c r="C3" s="827"/>
      <c r="D3" s="827"/>
      <c r="E3" s="827"/>
      <c r="F3" s="470"/>
      <c r="G3" s="470"/>
      <c r="H3" s="470"/>
      <c r="I3" s="470"/>
      <c r="J3" s="470"/>
      <c r="K3" s="470"/>
      <c r="L3" s="470"/>
      <c r="M3" s="470"/>
      <c r="N3" s="470"/>
      <c r="O3" s="470"/>
      <c r="P3" s="470"/>
      <c r="Q3" s="470"/>
      <c r="R3" s="470"/>
      <c r="S3" s="470"/>
      <c r="T3" s="471"/>
      <c r="U3" s="470"/>
      <c r="V3" s="470" t="s">
        <v>2</v>
      </c>
    </row>
    <row r="4" spans="1:22" ht="40.5" customHeight="1">
      <c r="A4" s="828" t="s">
        <v>3</v>
      </c>
      <c r="B4" s="828" t="s">
        <v>4</v>
      </c>
      <c r="C4" s="828" t="s">
        <v>5</v>
      </c>
      <c r="D4" s="828" t="s">
        <v>6</v>
      </c>
      <c r="E4" s="828" t="s">
        <v>7</v>
      </c>
      <c r="F4" s="828" t="s">
        <v>8</v>
      </c>
      <c r="G4" s="828" t="s">
        <v>9</v>
      </c>
      <c r="H4" s="736"/>
      <c r="I4" s="828" t="s">
        <v>10</v>
      </c>
      <c r="J4" s="828" t="s">
        <v>11</v>
      </c>
      <c r="K4" s="736"/>
      <c r="L4" s="736"/>
      <c r="M4" s="828" t="s">
        <v>12</v>
      </c>
      <c r="N4" s="828" t="s">
        <v>13</v>
      </c>
      <c r="O4" s="828" t="s">
        <v>14</v>
      </c>
      <c r="P4" s="828" t="s">
        <v>15</v>
      </c>
      <c r="Q4" s="828" t="s">
        <v>16</v>
      </c>
      <c r="R4" s="828" t="s">
        <v>17</v>
      </c>
      <c r="S4" s="828" t="s">
        <v>18</v>
      </c>
      <c r="T4" s="829" t="s">
        <v>19</v>
      </c>
      <c r="U4" s="829" t="s">
        <v>19</v>
      </c>
      <c r="V4" s="828" t="s">
        <v>20</v>
      </c>
    </row>
    <row r="5" spans="1:22" ht="87.75" customHeight="1">
      <c r="A5" s="736"/>
      <c r="B5" s="736"/>
      <c r="C5" s="736"/>
      <c r="D5" s="736"/>
      <c r="E5" s="736"/>
      <c r="F5" s="736"/>
      <c r="G5" s="829" t="s">
        <v>21</v>
      </c>
      <c r="H5" s="829" t="s">
        <v>22</v>
      </c>
      <c r="I5" s="736"/>
      <c r="J5" s="829" t="s">
        <v>1564</v>
      </c>
      <c r="K5" s="829" t="s">
        <v>23</v>
      </c>
      <c r="L5" s="829" t="s">
        <v>24</v>
      </c>
      <c r="M5" s="736"/>
      <c r="N5" s="736"/>
      <c r="O5" s="736"/>
      <c r="P5" s="736"/>
      <c r="Q5" s="736"/>
      <c r="R5" s="736"/>
      <c r="S5" s="736"/>
      <c r="T5" s="829" t="s">
        <v>25</v>
      </c>
      <c r="U5" s="829" t="s">
        <v>26</v>
      </c>
      <c r="V5" s="830"/>
    </row>
    <row r="6" spans="1:22" ht="45">
      <c r="A6" s="831" t="s">
        <v>27</v>
      </c>
      <c r="B6" s="828" t="s">
        <v>28</v>
      </c>
      <c r="C6" s="828" t="s">
        <v>29</v>
      </c>
      <c r="D6" s="829">
        <v>1</v>
      </c>
      <c r="E6" s="829" t="s">
        <v>30</v>
      </c>
      <c r="F6" s="832"/>
      <c r="G6" s="832"/>
      <c r="H6" s="832"/>
      <c r="I6" s="832"/>
      <c r="J6" s="832"/>
      <c r="K6" s="832"/>
      <c r="L6" s="832"/>
      <c r="M6" s="832"/>
      <c r="N6" s="832"/>
      <c r="O6" s="832"/>
      <c r="P6" s="832"/>
      <c r="Q6" s="832"/>
      <c r="R6" s="832"/>
      <c r="S6" s="832"/>
      <c r="T6" s="728">
        <f t="shared" ref="T6:T67" si="0">SUM(F6:S6)</f>
        <v>0</v>
      </c>
      <c r="U6" s="728"/>
      <c r="V6" s="833"/>
    </row>
    <row r="7" spans="1:22" ht="62.25" customHeight="1">
      <c r="A7" s="736"/>
      <c r="B7" s="736"/>
      <c r="C7" s="736"/>
      <c r="D7" s="829">
        <v>2</v>
      </c>
      <c r="E7" s="834" t="s">
        <v>31</v>
      </c>
      <c r="F7" s="832"/>
      <c r="G7" s="832"/>
      <c r="H7" s="832"/>
      <c r="I7" s="832"/>
      <c r="J7" s="832"/>
      <c r="K7" s="835"/>
      <c r="L7" s="836"/>
      <c r="M7" s="836"/>
      <c r="N7" s="836"/>
      <c r="O7" s="836"/>
      <c r="P7" s="837"/>
      <c r="Q7" s="832"/>
      <c r="R7" s="832"/>
      <c r="S7" s="832"/>
      <c r="T7" s="728">
        <f t="shared" si="0"/>
        <v>0</v>
      </c>
      <c r="U7" s="728">
        <f>T7*1.05</f>
        <v>0</v>
      </c>
      <c r="V7" s="833"/>
    </row>
    <row r="8" spans="1:22" ht="109.5" customHeight="1">
      <c r="A8" s="736"/>
      <c r="B8" s="736"/>
      <c r="C8" s="736"/>
      <c r="D8" s="829">
        <v>3</v>
      </c>
      <c r="E8" s="829" t="s">
        <v>32</v>
      </c>
      <c r="F8" s="837">
        <v>123.92</v>
      </c>
      <c r="G8" s="836"/>
      <c r="H8" s="836"/>
      <c r="I8" s="836"/>
      <c r="J8" s="836"/>
      <c r="K8" s="836"/>
      <c r="L8" s="836"/>
      <c r="M8" s="836"/>
      <c r="N8" s="836"/>
      <c r="O8" s="837">
        <v>101.23</v>
      </c>
      <c r="P8" s="836"/>
      <c r="Q8" s="836"/>
      <c r="R8" s="837">
        <v>4.95</v>
      </c>
      <c r="S8" s="832"/>
      <c r="T8" s="728">
        <f t="shared" si="0"/>
        <v>230.1</v>
      </c>
      <c r="U8" s="728">
        <v>230.1</v>
      </c>
      <c r="V8" s="833" t="s">
        <v>33</v>
      </c>
    </row>
    <row r="9" spans="1:22" ht="162.75" customHeight="1">
      <c r="A9" s="736"/>
      <c r="B9" s="736"/>
      <c r="C9" s="736"/>
      <c r="D9" s="829">
        <v>4</v>
      </c>
      <c r="E9" s="829" t="s">
        <v>34</v>
      </c>
      <c r="F9" s="832"/>
      <c r="G9" s="832"/>
      <c r="H9" s="832"/>
      <c r="I9" s="832"/>
      <c r="J9" s="832"/>
      <c r="K9" s="832">
        <v>160.16999999999999</v>
      </c>
      <c r="L9" s="832"/>
      <c r="M9" s="835">
        <v>36.549999999999997</v>
      </c>
      <c r="N9" s="836"/>
      <c r="O9" s="836">
        <v>0</v>
      </c>
      <c r="P9" s="837">
        <v>91.087999999999994</v>
      </c>
      <c r="Q9" s="836"/>
      <c r="R9" s="836"/>
      <c r="S9" s="836"/>
      <c r="T9" s="728">
        <f t="shared" si="0"/>
        <v>287.80799999999999</v>
      </c>
      <c r="U9" s="728">
        <v>287.81</v>
      </c>
      <c r="V9" s="833" t="s">
        <v>35</v>
      </c>
    </row>
    <row r="10" spans="1:22" ht="54.75" customHeight="1">
      <c r="A10" s="736"/>
      <c r="B10" s="736"/>
      <c r="C10" s="736"/>
      <c r="D10" s="829">
        <v>5</v>
      </c>
      <c r="E10" s="829" t="s">
        <v>36</v>
      </c>
      <c r="F10" s="836"/>
      <c r="G10" s="836"/>
      <c r="H10" s="836"/>
      <c r="I10" s="836"/>
      <c r="J10" s="836"/>
      <c r="K10" s="836"/>
      <c r="L10" s="836"/>
      <c r="M10" s="836"/>
      <c r="N10" s="836"/>
      <c r="O10" s="836"/>
      <c r="P10" s="835">
        <v>91.364999999999995</v>
      </c>
      <c r="Q10" s="836"/>
      <c r="R10" s="836"/>
      <c r="S10" s="836"/>
      <c r="T10" s="728">
        <f t="shared" si="0"/>
        <v>91.364999999999995</v>
      </c>
      <c r="U10" s="728">
        <f t="shared" ref="U10:U12" si="1">T10</f>
        <v>91.364999999999995</v>
      </c>
      <c r="V10" s="833" t="s">
        <v>37</v>
      </c>
    </row>
    <row r="11" spans="1:22" ht="231.75" customHeight="1">
      <c r="A11" s="736"/>
      <c r="B11" s="736"/>
      <c r="C11" s="736"/>
      <c r="D11" s="829">
        <v>6</v>
      </c>
      <c r="E11" s="829" t="s">
        <v>38</v>
      </c>
      <c r="F11" s="836">
        <v>1.07</v>
      </c>
      <c r="G11" s="836"/>
      <c r="H11" s="836"/>
      <c r="I11" s="836"/>
      <c r="J11" s="836"/>
      <c r="K11" s="836"/>
      <c r="L11" s="836"/>
      <c r="M11" s="836"/>
      <c r="N11" s="837"/>
      <c r="O11" s="836">
        <v>3.31</v>
      </c>
      <c r="P11" s="837">
        <v>1.3</v>
      </c>
      <c r="Q11" s="836"/>
      <c r="R11" s="836"/>
      <c r="S11" s="836"/>
      <c r="T11" s="728">
        <f t="shared" si="0"/>
        <v>5.68</v>
      </c>
      <c r="U11" s="728">
        <f t="shared" si="1"/>
        <v>5.68</v>
      </c>
      <c r="V11" s="833" t="s">
        <v>39</v>
      </c>
    </row>
    <row r="12" spans="1:22" ht="95.25" customHeight="1">
      <c r="A12" s="736"/>
      <c r="B12" s="736"/>
      <c r="C12" s="736"/>
      <c r="D12" s="829">
        <v>7</v>
      </c>
      <c r="E12" s="829" t="s">
        <v>40</v>
      </c>
      <c r="F12" s="836"/>
      <c r="G12" s="836"/>
      <c r="H12" s="836"/>
      <c r="I12" s="836"/>
      <c r="J12" s="836"/>
      <c r="K12" s="836"/>
      <c r="L12" s="836"/>
      <c r="M12" s="836"/>
      <c r="N12" s="836"/>
      <c r="O12" s="836"/>
      <c r="P12" s="837"/>
      <c r="Q12" s="837">
        <v>1.95</v>
      </c>
      <c r="R12" s="836">
        <v>0.1</v>
      </c>
      <c r="S12" s="836"/>
      <c r="T12" s="728">
        <f t="shared" si="0"/>
        <v>2.0499999999999998</v>
      </c>
      <c r="U12" s="728">
        <f t="shared" si="1"/>
        <v>2.0499999999999998</v>
      </c>
      <c r="V12" s="833" t="s">
        <v>41</v>
      </c>
    </row>
    <row r="13" spans="1:22" ht="24.75" customHeight="1">
      <c r="A13" s="736"/>
      <c r="B13" s="736"/>
      <c r="C13" s="736"/>
      <c r="D13" s="829">
        <v>8</v>
      </c>
      <c r="E13" s="829" t="s">
        <v>42</v>
      </c>
      <c r="F13" s="836"/>
      <c r="G13" s="836"/>
      <c r="H13" s="836"/>
      <c r="I13" s="836"/>
      <c r="J13" s="836"/>
      <c r="K13" s="836"/>
      <c r="L13" s="836"/>
      <c r="M13" s="836"/>
      <c r="N13" s="835"/>
      <c r="O13" s="836"/>
      <c r="P13" s="836"/>
      <c r="Q13" s="836"/>
      <c r="R13" s="836"/>
      <c r="S13" s="836"/>
      <c r="T13" s="728">
        <f t="shared" si="0"/>
        <v>0</v>
      </c>
      <c r="U13" s="728">
        <f>T13*1.05</f>
        <v>0</v>
      </c>
      <c r="V13" s="833"/>
    </row>
    <row r="14" spans="1:22" ht="75" customHeight="1">
      <c r="A14" s="736"/>
      <c r="B14" s="736"/>
      <c r="C14" s="736"/>
      <c r="D14" s="829">
        <v>9</v>
      </c>
      <c r="E14" s="829" t="s">
        <v>43</v>
      </c>
      <c r="F14" s="836"/>
      <c r="G14" s="836"/>
      <c r="H14" s="836"/>
      <c r="I14" s="836"/>
      <c r="J14" s="836"/>
      <c r="K14" s="836"/>
      <c r="L14" s="836"/>
      <c r="M14" s="836"/>
      <c r="N14" s="835"/>
      <c r="O14" s="836"/>
      <c r="P14" s="836">
        <v>0.15851999999999999</v>
      </c>
      <c r="Q14" s="837"/>
      <c r="R14" s="837">
        <v>0.3</v>
      </c>
      <c r="S14" s="837"/>
      <c r="T14" s="728">
        <f t="shared" si="0"/>
        <v>0.45851999999999998</v>
      </c>
      <c r="U14" s="728">
        <f>T14</f>
        <v>0.45851999999999998</v>
      </c>
      <c r="V14" s="833" t="s">
        <v>1858</v>
      </c>
    </row>
    <row r="15" spans="1:22" ht="108" customHeight="1">
      <c r="A15" s="736"/>
      <c r="B15" s="736"/>
      <c r="C15" s="736"/>
      <c r="D15" s="829">
        <v>10</v>
      </c>
      <c r="E15" s="829" t="s">
        <v>44</v>
      </c>
      <c r="F15" s="836"/>
      <c r="G15" s="836"/>
      <c r="H15" s="836"/>
      <c r="I15" s="835">
        <v>0.04</v>
      </c>
      <c r="J15" s="836"/>
      <c r="K15" s="836"/>
      <c r="L15" s="836"/>
      <c r="M15" s="836"/>
      <c r="N15" s="835">
        <v>0.82</v>
      </c>
      <c r="O15" s="836"/>
      <c r="P15" s="836"/>
      <c r="Q15" s="836"/>
      <c r="R15" s="836"/>
      <c r="S15" s="836"/>
      <c r="T15" s="728">
        <f t="shared" si="0"/>
        <v>0.86</v>
      </c>
      <c r="U15" s="728">
        <v>0.82</v>
      </c>
      <c r="V15" s="833" t="s">
        <v>1565</v>
      </c>
    </row>
    <row r="16" spans="1:22" ht="24.75" customHeight="1">
      <c r="A16" s="736"/>
      <c r="B16" s="736"/>
      <c r="C16" s="736"/>
      <c r="D16" s="829">
        <v>11</v>
      </c>
      <c r="E16" s="829" t="s">
        <v>45</v>
      </c>
      <c r="F16" s="832"/>
      <c r="G16" s="838"/>
      <c r="H16" s="838"/>
      <c r="I16" s="832"/>
      <c r="J16" s="832"/>
      <c r="K16" s="832"/>
      <c r="L16" s="832"/>
      <c r="M16" s="832"/>
      <c r="N16" s="832"/>
      <c r="O16" s="832"/>
      <c r="P16" s="832"/>
      <c r="Q16" s="832"/>
      <c r="R16" s="832"/>
      <c r="S16" s="832"/>
      <c r="T16" s="728">
        <f t="shared" si="0"/>
        <v>0</v>
      </c>
      <c r="U16" s="728">
        <f>T16*1.05</f>
        <v>0</v>
      </c>
      <c r="V16" s="833"/>
    </row>
    <row r="17" spans="1:22" ht="69" customHeight="1">
      <c r="A17" s="736"/>
      <c r="B17" s="736"/>
      <c r="C17" s="736"/>
      <c r="D17" s="829">
        <v>12</v>
      </c>
      <c r="E17" s="829" t="s">
        <v>46</v>
      </c>
      <c r="F17" s="832"/>
      <c r="G17" s="832"/>
      <c r="H17" s="832"/>
      <c r="I17" s="832"/>
      <c r="J17" s="832"/>
      <c r="K17" s="832"/>
      <c r="L17" s="832"/>
      <c r="M17" s="832"/>
      <c r="N17" s="728">
        <v>2</v>
      </c>
      <c r="O17" s="832"/>
      <c r="P17" s="832"/>
      <c r="Q17" s="832"/>
      <c r="R17" s="832"/>
      <c r="S17" s="832"/>
      <c r="T17" s="728">
        <f t="shared" si="0"/>
        <v>2</v>
      </c>
      <c r="U17" s="728">
        <v>2</v>
      </c>
      <c r="V17" s="833" t="s">
        <v>47</v>
      </c>
    </row>
    <row r="18" spans="1:22" ht="24.75" customHeight="1">
      <c r="A18" s="736"/>
      <c r="B18" s="736"/>
      <c r="C18" s="736"/>
      <c r="D18" s="829">
        <v>13</v>
      </c>
      <c r="E18" s="829" t="s">
        <v>48</v>
      </c>
      <c r="F18" s="832"/>
      <c r="G18" s="832"/>
      <c r="H18" s="832"/>
      <c r="I18" s="832"/>
      <c r="J18" s="832"/>
      <c r="K18" s="832"/>
      <c r="L18" s="832"/>
      <c r="M18" s="832"/>
      <c r="N18" s="832"/>
      <c r="O18" s="832"/>
      <c r="P18" s="838"/>
      <c r="Q18" s="832"/>
      <c r="R18" s="832"/>
      <c r="S18" s="832"/>
      <c r="T18" s="728">
        <f t="shared" si="0"/>
        <v>0</v>
      </c>
      <c r="U18" s="728">
        <f t="shared" ref="U18:U19" si="2">T18*1.05</f>
        <v>0</v>
      </c>
      <c r="V18" s="833"/>
    </row>
    <row r="19" spans="1:22" ht="24.75" customHeight="1">
      <c r="A19" s="736"/>
      <c r="B19" s="736"/>
      <c r="C19" s="736"/>
      <c r="D19" s="829">
        <v>14</v>
      </c>
      <c r="E19" s="829" t="s">
        <v>49</v>
      </c>
      <c r="F19" s="832"/>
      <c r="G19" s="832"/>
      <c r="H19" s="832"/>
      <c r="I19" s="832"/>
      <c r="J19" s="832"/>
      <c r="K19" s="832"/>
      <c r="L19" s="832"/>
      <c r="M19" s="832"/>
      <c r="N19" s="832"/>
      <c r="O19" s="832"/>
      <c r="P19" s="832"/>
      <c r="Q19" s="832"/>
      <c r="R19" s="832"/>
      <c r="S19" s="832"/>
      <c r="T19" s="728">
        <f t="shared" si="0"/>
        <v>0</v>
      </c>
      <c r="U19" s="728">
        <f t="shared" si="2"/>
        <v>0</v>
      </c>
      <c r="V19" s="833"/>
    </row>
    <row r="20" spans="1:22" ht="345" customHeight="1">
      <c r="A20" s="736"/>
      <c r="B20" s="736"/>
      <c r="C20" s="736"/>
      <c r="D20" s="829">
        <v>15</v>
      </c>
      <c r="E20" s="829" t="s">
        <v>50</v>
      </c>
      <c r="F20" s="836"/>
      <c r="G20" s="836"/>
      <c r="H20" s="836"/>
      <c r="I20" s="839">
        <v>3.6</v>
      </c>
      <c r="J20" s="836"/>
      <c r="K20" s="836"/>
      <c r="L20" s="836"/>
      <c r="M20" s="836"/>
      <c r="N20" s="835">
        <v>0.75</v>
      </c>
      <c r="O20" s="832"/>
      <c r="P20" s="838">
        <v>3</v>
      </c>
      <c r="Q20" s="838"/>
      <c r="R20" s="832"/>
      <c r="S20" s="832"/>
      <c r="T20" s="728">
        <f t="shared" si="0"/>
        <v>7.35</v>
      </c>
      <c r="U20" s="728">
        <f>3.95+1+1+2</f>
        <v>7.95</v>
      </c>
      <c r="V20" s="833" t="s">
        <v>1566</v>
      </c>
    </row>
    <row r="21" spans="1:22" ht="69" customHeight="1">
      <c r="A21" s="736"/>
      <c r="B21" s="736"/>
      <c r="C21" s="736"/>
      <c r="D21" s="829">
        <v>16</v>
      </c>
      <c r="E21" s="829" t="s">
        <v>51</v>
      </c>
      <c r="F21" s="832"/>
      <c r="G21" s="832"/>
      <c r="H21" s="832"/>
      <c r="I21" s="832"/>
      <c r="J21" s="832"/>
      <c r="K21" s="832"/>
      <c r="L21" s="832"/>
      <c r="M21" s="832"/>
      <c r="N21" s="832"/>
      <c r="O21" s="832"/>
      <c r="P21" s="832"/>
      <c r="Q21" s="832"/>
      <c r="R21" s="832"/>
      <c r="S21" s="832"/>
      <c r="T21" s="728">
        <f t="shared" si="0"/>
        <v>0</v>
      </c>
      <c r="U21" s="728">
        <f>T21*1.05</f>
        <v>0</v>
      </c>
      <c r="V21" s="833"/>
    </row>
    <row r="22" spans="1:22" ht="73.5" customHeight="1">
      <c r="A22" s="736"/>
      <c r="B22" s="736"/>
      <c r="C22" s="736"/>
      <c r="D22" s="829">
        <v>17</v>
      </c>
      <c r="E22" s="829" t="s">
        <v>52</v>
      </c>
      <c r="F22" s="836"/>
      <c r="G22" s="836"/>
      <c r="H22" s="836"/>
      <c r="I22" s="835"/>
      <c r="J22" s="836"/>
      <c r="K22" s="836"/>
      <c r="L22" s="836"/>
      <c r="M22" s="836"/>
      <c r="N22" s="835"/>
      <c r="O22" s="836"/>
      <c r="P22" s="837">
        <v>0.9</v>
      </c>
      <c r="Q22" s="836">
        <v>3.65</v>
      </c>
      <c r="R22" s="836"/>
      <c r="S22" s="837"/>
      <c r="T22" s="728">
        <f t="shared" si="0"/>
        <v>4.55</v>
      </c>
      <c r="U22" s="728">
        <f>T22+0.5</f>
        <v>5.05</v>
      </c>
      <c r="V22" s="833" t="s">
        <v>1567</v>
      </c>
    </row>
    <row r="23" spans="1:22" ht="56.25" customHeight="1">
      <c r="A23" s="736"/>
      <c r="B23" s="736"/>
      <c r="C23" s="736"/>
      <c r="D23" s="829">
        <v>18</v>
      </c>
      <c r="E23" s="829" t="s">
        <v>53</v>
      </c>
      <c r="F23" s="836"/>
      <c r="G23" s="836"/>
      <c r="H23" s="836"/>
      <c r="I23" s="836"/>
      <c r="J23" s="836"/>
      <c r="K23" s="836"/>
      <c r="L23" s="836"/>
      <c r="M23" s="836"/>
      <c r="N23" s="836"/>
      <c r="O23" s="836"/>
      <c r="P23" s="837">
        <v>1.2</v>
      </c>
      <c r="Q23" s="837">
        <v>0</v>
      </c>
      <c r="R23" s="836"/>
      <c r="S23" s="837"/>
      <c r="T23" s="728">
        <f t="shared" si="0"/>
        <v>1.2</v>
      </c>
      <c r="U23" s="728">
        <f>T23</f>
        <v>1.2</v>
      </c>
      <c r="V23" s="833" t="s">
        <v>1568</v>
      </c>
    </row>
    <row r="24" spans="1:22" ht="24.75" customHeight="1">
      <c r="A24" s="736"/>
      <c r="B24" s="828" t="s">
        <v>54</v>
      </c>
      <c r="C24" s="828" t="s">
        <v>55</v>
      </c>
      <c r="D24" s="829">
        <v>19</v>
      </c>
      <c r="E24" s="829" t="s">
        <v>55</v>
      </c>
      <c r="F24" s="836"/>
      <c r="G24" s="836"/>
      <c r="H24" s="836"/>
      <c r="I24" s="836"/>
      <c r="J24" s="836"/>
      <c r="K24" s="836"/>
      <c r="L24" s="836"/>
      <c r="M24" s="836"/>
      <c r="N24" s="836"/>
      <c r="O24" s="836"/>
      <c r="P24" s="836"/>
      <c r="Q24" s="836"/>
      <c r="R24" s="836"/>
      <c r="S24" s="836"/>
      <c r="T24" s="728">
        <f t="shared" si="0"/>
        <v>0</v>
      </c>
      <c r="U24" s="728">
        <f>T24*1.05</f>
        <v>0</v>
      </c>
      <c r="V24" s="833"/>
    </row>
    <row r="25" spans="1:22" ht="75">
      <c r="A25" s="736"/>
      <c r="B25" s="736"/>
      <c r="C25" s="736"/>
      <c r="D25" s="829">
        <v>20</v>
      </c>
      <c r="E25" s="829" t="s">
        <v>56</v>
      </c>
      <c r="F25" s="836"/>
      <c r="G25" s="836"/>
      <c r="H25" s="836"/>
      <c r="I25" s="836"/>
      <c r="J25" s="836"/>
      <c r="K25" s="836"/>
      <c r="L25" s="836"/>
      <c r="M25" s="836"/>
      <c r="N25" s="836"/>
      <c r="O25" s="836"/>
      <c r="P25" s="836"/>
      <c r="Q25" s="835">
        <v>0.5</v>
      </c>
      <c r="R25" s="836"/>
      <c r="S25" s="836"/>
      <c r="T25" s="728">
        <f t="shared" si="0"/>
        <v>0.5</v>
      </c>
      <c r="U25" s="728">
        <f>0.5</f>
        <v>0.5</v>
      </c>
      <c r="V25" s="833" t="s">
        <v>57</v>
      </c>
    </row>
    <row r="26" spans="1:22" ht="255" customHeight="1">
      <c r="A26" s="736"/>
      <c r="B26" s="828" t="s">
        <v>58</v>
      </c>
      <c r="C26" s="828" t="s">
        <v>59</v>
      </c>
      <c r="D26" s="829">
        <v>21</v>
      </c>
      <c r="E26" s="829" t="s">
        <v>60</v>
      </c>
      <c r="F26" s="836"/>
      <c r="G26" s="836"/>
      <c r="H26" s="837"/>
      <c r="I26" s="835">
        <v>2</v>
      </c>
      <c r="J26" s="836"/>
      <c r="K26" s="835"/>
      <c r="L26" s="836"/>
      <c r="M26" s="836"/>
      <c r="N26" s="840">
        <f>1.5+0.42+0.475</f>
        <v>2.395</v>
      </c>
      <c r="O26" s="836"/>
      <c r="P26" s="837">
        <f>17.76+3.852</f>
        <v>21.612000000000002</v>
      </c>
      <c r="Q26" s="837">
        <v>0.25</v>
      </c>
      <c r="R26" s="835">
        <v>0.5</v>
      </c>
      <c r="S26" s="836"/>
      <c r="T26" s="728">
        <f t="shared" si="0"/>
        <v>26.757000000000001</v>
      </c>
      <c r="U26" s="728">
        <f>I26+N26+P26+Q26+R26</f>
        <v>26.757000000000001</v>
      </c>
      <c r="V26" s="833" t="s">
        <v>61</v>
      </c>
    </row>
    <row r="27" spans="1:22" ht="152.25" customHeight="1">
      <c r="A27" s="736"/>
      <c r="B27" s="736"/>
      <c r="C27" s="736"/>
      <c r="D27" s="829">
        <v>22</v>
      </c>
      <c r="E27" s="829" t="s">
        <v>62</v>
      </c>
      <c r="F27" s="837"/>
      <c r="G27" s="836"/>
      <c r="H27" s="837"/>
      <c r="I27" s="841">
        <f>153706/100000</f>
        <v>1.5370600000000001</v>
      </c>
      <c r="J27" s="836"/>
      <c r="K27" s="836"/>
      <c r="L27" s="836"/>
      <c r="M27" s="837">
        <v>1</v>
      </c>
      <c r="N27" s="836"/>
      <c r="O27" s="836"/>
      <c r="P27" s="837">
        <f>175.529+2.4</f>
        <v>177.929</v>
      </c>
      <c r="Q27" s="837">
        <v>1</v>
      </c>
      <c r="R27" s="835"/>
      <c r="S27" s="836"/>
      <c r="T27" s="728">
        <f t="shared" si="0"/>
        <v>181.46606</v>
      </c>
      <c r="U27" s="728">
        <f>M27+P27+Q27</f>
        <v>179.929</v>
      </c>
      <c r="V27" s="833" t="s">
        <v>63</v>
      </c>
    </row>
    <row r="28" spans="1:22" ht="81" customHeight="1">
      <c r="A28" s="736"/>
      <c r="B28" s="736"/>
      <c r="C28" s="736"/>
      <c r="D28" s="829">
        <v>23</v>
      </c>
      <c r="E28" s="829" t="s">
        <v>64</v>
      </c>
      <c r="F28" s="836"/>
      <c r="G28" s="836"/>
      <c r="H28" s="836"/>
      <c r="I28" s="836"/>
      <c r="J28" s="836"/>
      <c r="K28" s="835"/>
      <c r="L28" s="836"/>
      <c r="M28" s="836"/>
      <c r="N28" s="836">
        <v>0.11</v>
      </c>
      <c r="O28" s="842">
        <f>76.89-0.01</f>
        <v>76.88</v>
      </c>
      <c r="P28" s="836"/>
      <c r="Q28" s="837"/>
      <c r="R28" s="836"/>
      <c r="S28" s="836"/>
      <c r="T28" s="728">
        <f t="shared" si="0"/>
        <v>76.989999999999995</v>
      </c>
      <c r="U28" s="728">
        <f>T28</f>
        <v>76.989999999999995</v>
      </c>
      <c r="V28" s="833" t="s">
        <v>65</v>
      </c>
    </row>
    <row r="29" spans="1:22" ht="390" customHeight="1">
      <c r="A29" s="736"/>
      <c r="B29" s="736"/>
      <c r="C29" s="736"/>
      <c r="D29" s="829">
        <v>24</v>
      </c>
      <c r="E29" s="829" t="s">
        <v>66</v>
      </c>
      <c r="F29" s="836"/>
      <c r="G29" s="836"/>
      <c r="H29" s="837"/>
      <c r="I29" s="836"/>
      <c r="J29" s="836"/>
      <c r="K29" s="836"/>
      <c r="L29" s="836"/>
      <c r="M29" s="836"/>
      <c r="N29" s="843">
        <f>1+0.688+0.688+0.5+4</f>
        <v>6.8759999999999994</v>
      </c>
      <c r="O29" s="837"/>
      <c r="P29" s="836">
        <f>10+1+6+1.2+1.5+2.6</f>
        <v>22.3</v>
      </c>
      <c r="Q29" s="835">
        <v>2</v>
      </c>
      <c r="R29" s="836"/>
      <c r="S29" s="836"/>
      <c r="T29" s="728">
        <f t="shared" si="0"/>
        <v>31.176000000000002</v>
      </c>
      <c r="U29" s="844">
        <v>35.176000000000002</v>
      </c>
      <c r="V29" s="833" t="s">
        <v>67</v>
      </c>
    </row>
    <row r="30" spans="1:22" ht="271.5" customHeight="1">
      <c r="A30" s="736"/>
      <c r="B30" s="736"/>
      <c r="C30" s="736"/>
      <c r="D30" s="829">
        <v>25</v>
      </c>
      <c r="E30" s="829" t="s">
        <v>68</v>
      </c>
      <c r="F30" s="836"/>
      <c r="G30" s="836"/>
      <c r="H30" s="836"/>
      <c r="I30" s="836"/>
      <c r="J30" s="836"/>
      <c r="K30" s="836"/>
      <c r="L30" s="836"/>
      <c r="M30" s="836"/>
      <c r="N30" s="835">
        <v>0.5</v>
      </c>
      <c r="O30" s="840">
        <v>6.4500000000000002E-2</v>
      </c>
      <c r="P30" s="836">
        <v>0.89700000000000002</v>
      </c>
      <c r="Q30" s="836"/>
      <c r="R30" s="836"/>
      <c r="S30" s="836"/>
      <c r="T30" s="728">
        <f t="shared" si="0"/>
        <v>1.4615</v>
      </c>
      <c r="U30" s="728">
        <f>T30</f>
        <v>1.4615</v>
      </c>
      <c r="V30" s="833" t="s">
        <v>69</v>
      </c>
    </row>
    <row r="31" spans="1:22" ht="195">
      <c r="A31" s="736"/>
      <c r="B31" s="736"/>
      <c r="C31" s="736"/>
      <c r="D31" s="829">
        <v>26</v>
      </c>
      <c r="E31" s="829" t="s">
        <v>70</v>
      </c>
      <c r="F31" s="836"/>
      <c r="G31" s="836"/>
      <c r="H31" s="836"/>
      <c r="I31" s="835"/>
      <c r="J31" s="836"/>
      <c r="K31" s="836"/>
      <c r="L31" s="836"/>
      <c r="M31" s="836"/>
      <c r="N31" s="835">
        <v>4.2</v>
      </c>
      <c r="O31" s="836"/>
      <c r="P31" s="836"/>
      <c r="Q31" s="835">
        <v>3.2</v>
      </c>
      <c r="R31" s="837">
        <v>0.2</v>
      </c>
      <c r="S31" s="836"/>
      <c r="T31" s="728">
        <f t="shared" si="0"/>
        <v>7.6000000000000005</v>
      </c>
      <c r="U31" s="728">
        <f>T31-0.2</f>
        <v>7.4</v>
      </c>
      <c r="V31" s="833" t="s">
        <v>71</v>
      </c>
    </row>
    <row r="32" spans="1:22" ht="75.75" customHeight="1">
      <c r="A32" s="736"/>
      <c r="B32" s="736"/>
      <c r="C32" s="736"/>
      <c r="D32" s="829">
        <v>27</v>
      </c>
      <c r="E32" s="829" t="s">
        <v>72</v>
      </c>
      <c r="F32" s="836"/>
      <c r="G32" s="836"/>
      <c r="H32" s="837"/>
      <c r="I32" s="835"/>
      <c r="J32" s="836"/>
      <c r="K32" s="836"/>
      <c r="L32" s="836"/>
      <c r="M32" s="836"/>
      <c r="N32" s="835">
        <v>1</v>
      </c>
      <c r="O32" s="837"/>
      <c r="P32" s="842">
        <v>4.5</v>
      </c>
      <c r="Q32" s="836"/>
      <c r="R32" s="836"/>
      <c r="S32" s="836"/>
      <c r="T32" s="728">
        <f t="shared" si="0"/>
        <v>5.5</v>
      </c>
      <c r="U32" s="728">
        <f>T32</f>
        <v>5.5</v>
      </c>
      <c r="V32" s="833" t="s">
        <v>73</v>
      </c>
    </row>
    <row r="33" spans="1:22" ht="50.25" customHeight="1">
      <c r="A33" s="736"/>
      <c r="B33" s="736"/>
      <c r="C33" s="736"/>
      <c r="D33" s="829">
        <v>28</v>
      </c>
      <c r="E33" s="829" t="s">
        <v>34</v>
      </c>
      <c r="F33" s="836"/>
      <c r="G33" s="836"/>
      <c r="H33" s="836"/>
      <c r="I33" s="836"/>
      <c r="J33" s="836"/>
      <c r="K33" s="835">
        <v>5.4820000000000002</v>
      </c>
      <c r="L33" s="836"/>
      <c r="M33" s="835">
        <v>5.4820000000000002</v>
      </c>
      <c r="N33" s="836"/>
      <c r="O33" s="836"/>
      <c r="P33" s="836"/>
      <c r="Q33" s="836"/>
      <c r="R33" s="836"/>
      <c r="S33" s="836"/>
      <c r="T33" s="728">
        <f t="shared" si="0"/>
        <v>10.964</v>
      </c>
      <c r="U33" s="728">
        <f>10.96</f>
        <v>10.96</v>
      </c>
      <c r="V33" s="833" t="s">
        <v>1569</v>
      </c>
    </row>
    <row r="34" spans="1:22" ht="48" customHeight="1">
      <c r="A34" s="736"/>
      <c r="B34" s="736"/>
      <c r="C34" s="736"/>
      <c r="D34" s="829">
        <v>29</v>
      </c>
      <c r="E34" s="829" t="s">
        <v>36</v>
      </c>
      <c r="F34" s="836"/>
      <c r="G34" s="836"/>
      <c r="H34" s="836"/>
      <c r="I34" s="836"/>
      <c r="J34" s="836"/>
      <c r="K34" s="836"/>
      <c r="L34" s="836"/>
      <c r="M34" s="836"/>
      <c r="N34" s="836"/>
      <c r="O34" s="836"/>
      <c r="P34" s="835">
        <v>13.705</v>
      </c>
      <c r="Q34" s="836"/>
      <c r="R34" s="836"/>
      <c r="S34" s="836"/>
      <c r="T34" s="728">
        <f t="shared" si="0"/>
        <v>13.705</v>
      </c>
      <c r="U34" s="728">
        <f t="shared" ref="U34:U35" si="3">T34</f>
        <v>13.705</v>
      </c>
      <c r="V34" s="833" t="s">
        <v>1570</v>
      </c>
    </row>
    <row r="35" spans="1:22" ht="61.5" customHeight="1">
      <c r="A35" s="736"/>
      <c r="B35" s="736"/>
      <c r="C35" s="736"/>
      <c r="D35" s="829">
        <v>30</v>
      </c>
      <c r="E35" s="829" t="s">
        <v>74</v>
      </c>
      <c r="F35" s="836"/>
      <c r="G35" s="836"/>
      <c r="H35" s="836"/>
      <c r="I35" s="835"/>
      <c r="J35" s="836"/>
      <c r="K35" s="836"/>
      <c r="L35" s="836"/>
      <c r="M35" s="836"/>
      <c r="N35" s="836"/>
      <c r="O35" s="836"/>
      <c r="P35" s="836"/>
      <c r="Q35" s="835">
        <v>2.29</v>
      </c>
      <c r="R35" s="837">
        <v>1.75</v>
      </c>
      <c r="S35" s="836"/>
      <c r="T35" s="728">
        <f t="shared" si="0"/>
        <v>4.04</v>
      </c>
      <c r="U35" s="728">
        <f t="shared" si="3"/>
        <v>4.04</v>
      </c>
      <c r="V35" s="833" t="s">
        <v>75</v>
      </c>
    </row>
    <row r="36" spans="1:22" ht="45">
      <c r="A36" s="736"/>
      <c r="B36" s="736"/>
      <c r="C36" s="736"/>
      <c r="D36" s="829">
        <v>31</v>
      </c>
      <c r="E36" s="829" t="s">
        <v>53</v>
      </c>
      <c r="F36" s="836"/>
      <c r="G36" s="836"/>
      <c r="H36" s="836"/>
      <c r="I36" s="836"/>
      <c r="J36" s="836"/>
      <c r="K36" s="836"/>
      <c r="L36" s="836"/>
      <c r="M36" s="836"/>
      <c r="N36" s="836"/>
      <c r="O36" s="836"/>
      <c r="P36" s="836"/>
      <c r="Q36" s="836"/>
      <c r="R36" s="836"/>
      <c r="S36" s="836"/>
      <c r="T36" s="728">
        <f t="shared" si="0"/>
        <v>0</v>
      </c>
      <c r="U36" s="728"/>
      <c r="V36" s="833"/>
    </row>
    <row r="37" spans="1:22" ht="132" customHeight="1">
      <c r="A37" s="736"/>
      <c r="B37" s="828" t="s">
        <v>76</v>
      </c>
      <c r="C37" s="828" t="s">
        <v>77</v>
      </c>
      <c r="D37" s="829">
        <v>32</v>
      </c>
      <c r="E37" s="829" t="s">
        <v>78</v>
      </c>
      <c r="F37" s="836"/>
      <c r="G37" s="836"/>
      <c r="H37" s="836"/>
      <c r="I37" s="835"/>
      <c r="J37" s="836"/>
      <c r="K37" s="836"/>
      <c r="L37" s="836"/>
      <c r="M37" s="835"/>
      <c r="N37" s="835">
        <v>7.9320000000000004</v>
      </c>
      <c r="O37" s="837">
        <v>82.334400000000002</v>
      </c>
      <c r="P37" s="837">
        <v>20.760159999999999</v>
      </c>
      <c r="Q37" s="835">
        <v>4</v>
      </c>
      <c r="R37" s="845">
        <v>4.9855</v>
      </c>
      <c r="S37" s="835">
        <v>4.5999999999999996</v>
      </c>
      <c r="T37" s="728">
        <f t="shared" si="0"/>
        <v>124.61206</v>
      </c>
      <c r="U37" s="728">
        <f>T37-0.8845</f>
        <v>123.72756</v>
      </c>
      <c r="V37" s="833" t="s">
        <v>79</v>
      </c>
    </row>
    <row r="38" spans="1:22" ht="35.25" customHeight="1">
      <c r="A38" s="736"/>
      <c r="B38" s="736"/>
      <c r="C38" s="736"/>
      <c r="D38" s="829">
        <v>33</v>
      </c>
      <c r="E38" s="829" t="s">
        <v>80</v>
      </c>
      <c r="F38" s="832"/>
      <c r="G38" s="832"/>
      <c r="H38" s="832"/>
      <c r="I38" s="832"/>
      <c r="J38" s="832"/>
      <c r="K38" s="832"/>
      <c r="L38" s="832"/>
      <c r="M38" s="832"/>
      <c r="N38" s="832"/>
      <c r="O38" s="832"/>
      <c r="P38" s="832"/>
      <c r="Q38" s="832"/>
      <c r="R38" s="832"/>
      <c r="S38" s="832"/>
      <c r="T38" s="728">
        <f t="shared" si="0"/>
        <v>0</v>
      </c>
      <c r="U38" s="728">
        <f t="shared" ref="U38:U39" si="4">T38*1.05</f>
        <v>0</v>
      </c>
      <c r="V38" s="833"/>
    </row>
    <row r="39" spans="1:22" ht="39.75" customHeight="1">
      <c r="A39" s="736"/>
      <c r="B39" s="736"/>
      <c r="C39" s="736"/>
      <c r="D39" s="829">
        <v>34</v>
      </c>
      <c r="E39" s="829" t="s">
        <v>81</v>
      </c>
      <c r="F39" s="832"/>
      <c r="G39" s="832"/>
      <c r="H39" s="832"/>
      <c r="I39" s="832"/>
      <c r="J39" s="832"/>
      <c r="K39" s="832"/>
      <c r="L39" s="832"/>
      <c r="M39" s="832"/>
      <c r="N39" s="728"/>
      <c r="O39" s="832"/>
      <c r="P39" s="838"/>
      <c r="Q39" s="832"/>
      <c r="R39" s="832"/>
      <c r="S39" s="832"/>
      <c r="T39" s="728">
        <f t="shared" si="0"/>
        <v>0</v>
      </c>
      <c r="U39" s="728">
        <f t="shared" si="4"/>
        <v>0</v>
      </c>
      <c r="V39" s="833"/>
    </row>
    <row r="40" spans="1:22" ht="279.75" customHeight="1">
      <c r="A40" s="736"/>
      <c r="B40" s="828" t="s">
        <v>82</v>
      </c>
      <c r="C40" s="828" t="s">
        <v>83</v>
      </c>
      <c r="D40" s="829">
        <v>35</v>
      </c>
      <c r="E40" s="829" t="s">
        <v>84</v>
      </c>
      <c r="F40" s="832"/>
      <c r="G40" s="832"/>
      <c r="H40" s="832"/>
      <c r="I40" s="728"/>
      <c r="J40" s="832"/>
      <c r="K40" s="832"/>
      <c r="L40" s="832"/>
      <c r="M40" s="832"/>
      <c r="N40" s="728">
        <v>1.2</v>
      </c>
      <c r="O40" s="832"/>
      <c r="P40" s="838">
        <f>0.48+1.536+0.12+0.1</f>
        <v>2.2360000000000002</v>
      </c>
      <c r="Q40" s="838">
        <v>0.25</v>
      </c>
      <c r="R40" s="832"/>
      <c r="S40" s="832"/>
      <c r="T40" s="728">
        <f t="shared" si="0"/>
        <v>3.6859999999999999</v>
      </c>
      <c r="U40" s="728">
        <f>T40</f>
        <v>3.6859999999999999</v>
      </c>
      <c r="V40" s="833" t="s">
        <v>1571</v>
      </c>
    </row>
    <row r="41" spans="1:22" ht="45">
      <c r="A41" s="736"/>
      <c r="B41" s="736"/>
      <c r="C41" s="736"/>
      <c r="D41" s="829">
        <v>36</v>
      </c>
      <c r="E41" s="829" t="s">
        <v>85</v>
      </c>
      <c r="F41" s="832"/>
      <c r="G41" s="832"/>
      <c r="H41" s="832"/>
      <c r="I41" s="832"/>
      <c r="J41" s="832"/>
      <c r="K41" s="728"/>
      <c r="L41" s="832"/>
      <c r="M41" s="832"/>
      <c r="N41" s="728">
        <v>0.95</v>
      </c>
      <c r="O41" s="832"/>
      <c r="P41" s="832"/>
      <c r="Q41" s="832"/>
      <c r="R41" s="832"/>
      <c r="S41" s="832"/>
      <c r="T41" s="728">
        <f t="shared" si="0"/>
        <v>0.95</v>
      </c>
      <c r="U41" s="728">
        <v>0.95</v>
      </c>
      <c r="V41" s="833" t="s">
        <v>1572</v>
      </c>
    </row>
    <row r="42" spans="1:22" ht="30">
      <c r="A42" s="736"/>
      <c r="B42" s="736"/>
      <c r="C42" s="736"/>
      <c r="D42" s="829">
        <v>37</v>
      </c>
      <c r="E42" s="829" t="s">
        <v>86</v>
      </c>
      <c r="F42" s="832"/>
      <c r="G42" s="832"/>
      <c r="H42" s="832"/>
      <c r="I42" s="832"/>
      <c r="J42" s="832"/>
      <c r="K42" s="728"/>
      <c r="L42" s="832"/>
      <c r="M42" s="832"/>
      <c r="N42" s="832"/>
      <c r="O42" s="832"/>
      <c r="P42" s="832"/>
      <c r="Q42" s="832"/>
      <c r="R42" s="832"/>
      <c r="S42" s="832"/>
      <c r="T42" s="728">
        <f t="shared" si="0"/>
        <v>0</v>
      </c>
      <c r="U42" s="728">
        <f>T42*1.05</f>
        <v>0</v>
      </c>
      <c r="V42" s="833"/>
    </row>
    <row r="43" spans="1:22" ht="232.5" customHeight="1">
      <c r="A43" s="736"/>
      <c r="B43" s="736"/>
      <c r="C43" s="736"/>
      <c r="D43" s="829">
        <v>38</v>
      </c>
      <c r="E43" s="829" t="s">
        <v>87</v>
      </c>
      <c r="F43" s="832"/>
      <c r="G43" s="832"/>
      <c r="H43" s="832"/>
      <c r="I43" s="832"/>
      <c r="J43" s="832"/>
      <c r="K43" s="832"/>
      <c r="L43" s="832"/>
      <c r="M43" s="832"/>
      <c r="N43" s="844">
        <v>3.5</v>
      </c>
      <c r="O43" s="838">
        <v>0.13</v>
      </c>
      <c r="P43" s="838">
        <v>6.4</v>
      </c>
      <c r="Q43" s="838">
        <v>0.7</v>
      </c>
      <c r="R43" s="832"/>
      <c r="S43" s="832"/>
      <c r="T43" s="728">
        <f t="shared" si="0"/>
        <v>10.73</v>
      </c>
      <c r="U43" s="728">
        <v>10.73</v>
      </c>
      <c r="V43" s="833" t="s">
        <v>1573</v>
      </c>
    </row>
    <row r="44" spans="1:22" ht="72.75" customHeight="1">
      <c r="A44" s="736"/>
      <c r="B44" s="736"/>
      <c r="C44" s="736"/>
      <c r="D44" s="829">
        <v>39</v>
      </c>
      <c r="E44" s="829" t="s">
        <v>88</v>
      </c>
      <c r="F44" s="832"/>
      <c r="G44" s="832"/>
      <c r="H44" s="832"/>
      <c r="I44" s="832"/>
      <c r="J44" s="832"/>
      <c r="K44" s="832"/>
      <c r="L44" s="832"/>
      <c r="M44" s="832"/>
      <c r="N44" s="832">
        <v>1</v>
      </c>
      <c r="O44" s="832"/>
      <c r="P44" s="838">
        <v>0.4</v>
      </c>
      <c r="Q44" s="838"/>
      <c r="R44" s="832"/>
      <c r="S44" s="832"/>
      <c r="T44" s="728">
        <f t="shared" si="0"/>
        <v>1.4</v>
      </c>
      <c r="U44" s="728">
        <v>1.4</v>
      </c>
      <c r="V44" s="833" t="s">
        <v>1574</v>
      </c>
    </row>
    <row r="45" spans="1:22" ht="155.25" customHeight="1">
      <c r="A45" s="736"/>
      <c r="B45" s="736"/>
      <c r="C45" s="736"/>
      <c r="D45" s="829">
        <v>40</v>
      </c>
      <c r="E45" s="829" t="s">
        <v>89</v>
      </c>
      <c r="F45" s="832"/>
      <c r="G45" s="832"/>
      <c r="H45" s="832"/>
      <c r="I45" s="832"/>
      <c r="J45" s="832"/>
      <c r="K45" s="832"/>
      <c r="L45" s="832"/>
      <c r="M45" s="832"/>
      <c r="N45" s="728">
        <v>0.10920000000000001</v>
      </c>
      <c r="O45" s="832"/>
      <c r="P45" s="838"/>
      <c r="Q45" s="728">
        <f>0.4+1.75</f>
        <v>2.15</v>
      </c>
      <c r="R45" s="838"/>
      <c r="S45" s="832"/>
      <c r="T45" s="728">
        <f t="shared" si="0"/>
        <v>2.2591999999999999</v>
      </c>
      <c r="U45" s="728">
        <v>2.2599999999999998</v>
      </c>
      <c r="V45" s="833" t="s">
        <v>1859</v>
      </c>
    </row>
    <row r="46" spans="1:22" ht="45">
      <c r="A46" s="736"/>
      <c r="B46" s="736"/>
      <c r="C46" s="736"/>
      <c r="D46" s="829">
        <v>41</v>
      </c>
      <c r="E46" s="829" t="s">
        <v>53</v>
      </c>
      <c r="F46" s="832"/>
      <c r="G46" s="832"/>
      <c r="H46" s="832"/>
      <c r="I46" s="832"/>
      <c r="J46" s="832"/>
      <c r="K46" s="832"/>
      <c r="L46" s="832"/>
      <c r="M46" s="832"/>
      <c r="N46" s="832"/>
      <c r="O46" s="832"/>
      <c r="P46" s="832"/>
      <c r="Q46" s="832"/>
      <c r="R46" s="832"/>
      <c r="S46" s="832"/>
      <c r="T46" s="728">
        <f t="shared" si="0"/>
        <v>0</v>
      </c>
      <c r="U46" s="728">
        <f>T46*1.05</f>
        <v>0</v>
      </c>
      <c r="V46" s="833"/>
    </row>
    <row r="47" spans="1:22" ht="79.5" customHeight="1">
      <c r="A47" s="736"/>
      <c r="B47" s="828" t="s">
        <v>90</v>
      </c>
      <c r="C47" s="828" t="s">
        <v>91</v>
      </c>
      <c r="D47" s="829">
        <v>42</v>
      </c>
      <c r="E47" s="829" t="s">
        <v>92</v>
      </c>
      <c r="F47" s="837">
        <v>18.006</v>
      </c>
      <c r="G47" s="836"/>
      <c r="H47" s="836"/>
      <c r="I47" s="835"/>
      <c r="J47" s="836"/>
      <c r="K47" s="836"/>
      <c r="L47" s="836"/>
      <c r="M47" s="836"/>
      <c r="N47" s="835">
        <v>1.1000000000000001</v>
      </c>
      <c r="O47" s="836"/>
      <c r="P47" s="837"/>
      <c r="Q47" s="836"/>
      <c r="R47" s="836"/>
      <c r="S47" s="836"/>
      <c r="T47" s="728">
        <f t="shared" si="0"/>
        <v>19.106000000000002</v>
      </c>
      <c r="U47" s="728">
        <f t="shared" ref="U47:U50" si="5">T47</f>
        <v>19.106000000000002</v>
      </c>
      <c r="V47" s="833" t="s">
        <v>1575</v>
      </c>
    </row>
    <row r="48" spans="1:22" ht="54.75" customHeight="1">
      <c r="A48" s="736"/>
      <c r="B48" s="736"/>
      <c r="C48" s="736"/>
      <c r="D48" s="829">
        <v>43</v>
      </c>
      <c r="E48" s="829" t="s">
        <v>93</v>
      </c>
      <c r="F48" s="837">
        <v>0.39600000000000002</v>
      </c>
      <c r="G48" s="836"/>
      <c r="H48" s="836"/>
      <c r="I48" s="835"/>
      <c r="J48" s="836"/>
      <c r="K48" s="836"/>
      <c r="L48" s="836"/>
      <c r="M48" s="836"/>
      <c r="N48" s="835">
        <v>0.34499999999999997</v>
      </c>
      <c r="O48" s="836"/>
      <c r="P48" s="837"/>
      <c r="Q48" s="836"/>
      <c r="R48" s="836"/>
      <c r="S48" s="836"/>
      <c r="T48" s="728">
        <f t="shared" si="0"/>
        <v>0.74099999999999999</v>
      </c>
      <c r="U48" s="728">
        <f t="shared" si="5"/>
        <v>0.74099999999999999</v>
      </c>
      <c r="V48" s="833" t="s">
        <v>94</v>
      </c>
    </row>
    <row r="49" spans="1:22" ht="150.75" customHeight="1">
      <c r="A49" s="736"/>
      <c r="B49" s="736"/>
      <c r="C49" s="736"/>
      <c r="D49" s="829">
        <v>44</v>
      </c>
      <c r="E49" s="829" t="s">
        <v>95</v>
      </c>
      <c r="F49" s="837">
        <v>0.53159999999999996</v>
      </c>
      <c r="G49" s="836"/>
      <c r="H49" s="836"/>
      <c r="I49" s="835"/>
      <c r="J49" s="836"/>
      <c r="K49" s="836"/>
      <c r="L49" s="836"/>
      <c r="M49" s="836"/>
      <c r="N49" s="846">
        <v>1.125</v>
      </c>
      <c r="O49" s="837">
        <v>0.13500000000000001</v>
      </c>
      <c r="P49" s="837"/>
      <c r="Q49" s="836"/>
      <c r="R49" s="836"/>
      <c r="S49" s="836"/>
      <c r="T49" s="728">
        <f t="shared" si="0"/>
        <v>1.7916000000000001</v>
      </c>
      <c r="U49" s="728">
        <f t="shared" si="5"/>
        <v>1.7916000000000001</v>
      </c>
      <c r="V49" s="833" t="s">
        <v>1576</v>
      </c>
    </row>
    <row r="50" spans="1:22" ht="34.5" customHeight="1">
      <c r="A50" s="736"/>
      <c r="B50" s="736"/>
      <c r="C50" s="736"/>
      <c r="D50" s="829"/>
      <c r="E50" s="829" t="s">
        <v>96</v>
      </c>
      <c r="F50" s="837">
        <v>7.4999999999999997E-2</v>
      </c>
      <c r="G50" s="836"/>
      <c r="H50" s="836"/>
      <c r="I50" s="836"/>
      <c r="J50" s="836"/>
      <c r="K50" s="836"/>
      <c r="L50" s="836"/>
      <c r="M50" s="836"/>
      <c r="N50" s="835"/>
      <c r="O50" s="837">
        <v>7.4999999999999997E-2</v>
      </c>
      <c r="P50" s="836"/>
      <c r="Q50" s="836"/>
      <c r="R50" s="836"/>
      <c r="S50" s="836"/>
      <c r="T50" s="728">
        <f t="shared" si="0"/>
        <v>0.15</v>
      </c>
      <c r="U50" s="728">
        <f t="shared" si="5"/>
        <v>0.15</v>
      </c>
      <c r="V50" s="833" t="s">
        <v>97</v>
      </c>
    </row>
    <row r="51" spans="1:22" ht="30">
      <c r="A51" s="736"/>
      <c r="B51" s="736"/>
      <c r="C51" s="736"/>
      <c r="D51" s="829">
        <v>46</v>
      </c>
      <c r="E51" s="829" t="s">
        <v>98</v>
      </c>
      <c r="F51" s="836"/>
      <c r="G51" s="836"/>
      <c r="H51" s="836"/>
      <c r="I51" s="836"/>
      <c r="J51" s="836"/>
      <c r="K51" s="836"/>
      <c r="L51" s="836"/>
      <c r="M51" s="836"/>
      <c r="N51" s="836"/>
      <c r="O51" s="836"/>
      <c r="P51" s="836"/>
      <c r="Q51" s="836"/>
      <c r="R51" s="836"/>
      <c r="S51" s="836"/>
      <c r="T51" s="728">
        <f t="shared" si="0"/>
        <v>0</v>
      </c>
      <c r="U51" s="728">
        <f>T51*1.05</f>
        <v>0</v>
      </c>
      <c r="V51" s="833"/>
    </row>
    <row r="52" spans="1:22" ht="30">
      <c r="A52" s="736"/>
      <c r="B52" s="736"/>
      <c r="C52" s="736"/>
      <c r="D52" s="829">
        <v>47</v>
      </c>
      <c r="E52" s="829" t="s">
        <v>99</v>
      </c>
      <c r="F52" s="837">
        <v>10.8</v>
      </c>
      <c r="G52" s="836">
        <v>0</v>
      </c>
      <c r="H52" s="836">
        <v>0</v>
      </c>
      <c r="I52" s="836"/>
      <c r="J52" s="836"/>
      <c r="K52" s="836"/>
      <c r="L52" s="836"/>
      <c r="M52" s="836"/>
      <c r="N52" s="836"/>
      <c r="O52" s="836"/>
      <c r="P52" s="836"/>
      <c r="Q52" s="836"/>
      <c r="R52" s="836"/>
      <c r="S52" s="836"/>
      <c r="T52" s="728">
        <f t="shared" si="0"/>
        <v>10.8</v>
      </c>
      <c r="U52" s="728">
        <f t="shared" ref="U52:U55" si="6">T52</f>
        <v>10.8</v>
      </c>
      <c r="V52" s="833" t="s">
        <v>100</v>
      </c>
    </row>
    <row r="53" spans="1:22" ht="30" customHeight="1">
      <c r="A53" s="736"/>
      <c r="B53" s="736"/>
      <c r="C53" s="736"/>
      <c r="D53" s="829">
        <v>48</v>
      </c>
      <c r="E53" s="829" t="s">
        <v>101</v>
      </c>
      <c r="F53" s="836"/>
      <c r="G53" s="836">
        <v>0</v>
      </c>
      <c r="H53" s="836">
        <v>0</v>
      </c>
      <c r="I53" s="836"/>
      <c r="J53" s="836"/>
      <c r="K53" s="836"/>
      <c r="L53" s="836"/>
      <c r="M53" s="836"/>
      <c r="N53" s="847">
        <v>0.28899999999999998</v>
      </c>
      <c r="O53" s="836"/>
      <c r="P53" s="837"/>
      <c r="Q53" s="836"/>
      <c r="R53" s="836"/>
      <c r="S53" s="836"/>
      <c r="T53" s="728">
        <f t="shared" si="0"/>
        <v>0.28899999999999998</v>
      </c>
      <c r="U53" s="728">
        <f t="shared" si="6"/>
        <v>0.28899999999999998</v>
      </c>
      <c r="V53" s="833" t="s">
        <v>102</v>
      </c>
    </row>
    <row r="54" spans="1:22" ht="69.75" customHeight="1">
      <c r="A54" s="736"/>
      <c r="B54" s="736"/>
      <c r="C54" s="736"/>
      <c r="D54" s="829">
        <v>49</v>
      </c>
      <c r="E54" s="829" t="s">
        <v>103</v>
      </c>
      <c r="F54" s="836"/>
      <c r="G54" s="836"/>
      <c r="H54" s="836"/>
      <c r="I54" s="836"/>
      <c r="J54" s="836"/>
      <c r="K54" s="836"/>
      <c r="L54" s="836"/>
      <c r="M54" s="836"/>
      <c r="N54" s="836"/>
      <c r="O54" s="836"/>
      <c r="P54" s="836"/>
      <c r="Q54" s="835">
        <v>3.25</v>
      </c>
      <c r="R54" s="837">
        <v>1</v>
      </c>
      <c r="S54" s="836"/>
      <c r="T54" s="728">
        <f t="shared" si="0"/>
        <v>4.25</v>
      </c>
      <c r="U54" s="728">
        <f t="shared" si="6"/>
        <v>4.25</v>
      </c>
      <c r="V54" s="833" t="s">
        <v>104</v>
      </c>
    </row>
    <row r="55" spans="1:22" ht="95.25" customHeight="1">
      <c r="A55" s="736"/>
      <c r="B55" s="736"/>
      <c r="C55" s="736"/>
      <c r="D55" s="829">
        <v>50</v>
      </c>
      <c r="E55" s="829" t="s">
        <v>105</v>
      </c>
      <c r="F55" s="836"/>
      <c r="G55" s="836"/>
      <c r="H55" s="836"/>
      <c r="I55" s="835"/>
      <c r="J55" s="836"/>
      <c r="K55" s="836">
        <v>0.46</v>
      </c>
      <c r="L55" s="836"/>
      <c r="M55" s="836"/>
      <c r="N55" s="835"/>
      <c r="O55" s="836"/>
      <c r="P55" s="837"/>
      <c r="Q55" s="835">
        <v>4.5</v>
      </c>
      <c r="R55" s="837">
        <v>0.04</v>
      </c>
      <c r="S55" s="836"/>
      <c r="T55" s="728">
        <f t="shared" si="0"/>
        <v>5</v>
      </c>
      <c r="U55" s="728">
        <f t="shared" si="6"/>
        <v>5</v>
      </c>
      <c r="V55" s="833" t="s">
        <v>106</v>
      </c>
    </row>
    <row r="56" spans="1:22" ht="45">
      <c r="A56" s="736"/>
      <c r="B56" s="736"/>
      <c r="C56" s="736"/>
      <c r="D56" s="829">
        <v>51</v>
      </c>
      <c r="E56" s="829" t="s">
        <v>53</v>
      </c>
      <c r="F56" s="836"/>
      <c r="G56" s="836"/>
      <c r="H56" s="836"/>
      <c r="I56" s="836"/>
      <c r="J56" s="836"/>
      <c r="K56" s="836"/>
      <c r="L56" s="836"/>
      <c r="M56" s="836"/>
      <c r="N56" s="837"/>
      <c r="O56" s="836"/>
      <c r="P56" s="836"/>
      <c r="Q56" s="836"/>
      <c r="R56" s="836"/>
      <c r="S56" s="836"/>
      <c r="T56" s="728">
        <f t="shared" si="0"/>
        <v>0</v>
      </c>
      <c r="U56" s="728"/>
      <c r="V56" s="833"/>
    </row>
    <row r="57" spans="1:22" ht="199.5" customHeight="1">
      <c r="A57" s="736"/>
      <c r="B57" s="828" t="s">
        <v>107</v>
      </c>
      <c r="C57" s="828" t="s">
        <v>108</v>
      </c>
      <c r="D57" s="829">
        <v>52</v>
      </c>
      <c r="E57" s="829" t="s">
        <v>109</v>
      </c>
      <c r="F57" s="836"/>
      <c r="G57" s="836"/>
      <c r="H57" s="836"/>
      <c r="I57" s="835"/>
      <c r="J57" s="836"/>
      <c r="K57" s="835"/>
      <c r="L57" s="836"/>
      <c r="M57" s="836"/>
      <c r="N57" s="835">
        <v>2</v>
      </c>
      <c r="O57" s="837">
        <v>46.134</v>
      </c>
      <c r="P57" s="836"/>
      <c r="Q57" s="836"/>
      <c r="R57" s="836"/>
      <c r="S57" s="836"/>
      <c r="T57" s="728">
        <f t="shared" si="0"/>
        <v>48.134</v>
      </c>
      <c r="U57" s="728">
        <f>N57+O57</f>
        <v>48.134</v>
      </c>
      <c r="V57" s="833" t="s">
        <v>110</v>
      </c>
    </row>
    <row r="58" spans="1:22" ht="153" customHeight="1">
      <c r="A58" s="736"/>
      <c r="B58" s="736"/>
      <c r="C58" s="736"/>
      <c r="D58" s="829">
        <v>53</v>
      </c>
      <c r="E58" s="829" t="s">
        <v>111</v>
      </c>
      <c r="F58" s="836"/>
      <c r="G58" s="836"/>
      <c r="H58" s="836"/>
      <c r="I58" s="836"/>
      <c r="J58" s="836"/>
      <c r="K58" s="835"/>
      <c r="L58" s="836"/>
      <c r="M58" s="836"/>
      <c r="N58" s="835">
        <v>7.58</v>
      </c>
      <c r="O58" s="837">
        <v>5.1260000000000003</v>
      </c>
      <c r="P58" s="836"/>
      <c r="Q58" s="837">
        <v>3</v>
      </c>
      <c r="R58" s="836"/>
      <c r="S58" s="836"/>
      <c r="T58" s="728">
        <f t="shared" si="0"/>
        <v>15.706</v>
      </c>
      <c r="U58" s="728">
        <f>T58</f>
        <v>15.706</v>
      </c>
      <c r="V58" s="833" t="s">
        <v>112</v>
      </c>
    </row>
    <row r="59" spans="1:22" ht="45">
      <c r="A59" s="736"/>
      <c r="B59" s="736"/>
      <c r="C59" s="736"/>
      <c r="D59" s="829">
        <v>54</v>
      </c>
      <c r="E59" s="829" t="s">
        <v>113</v>
      </c>
      <c r="F59" s="836"/>
      <c r="G59" s="836"/>
      <c r="H59" s="837"/>
      <c r="I59" s="836"/>
      <c r="J59" s="836"/>
      <c r="K59" s="836"/>
      <c r="L59" s="836"/>
      <c r="M59" s="836"/>
      <c r="N59" s="836"/>
      <c r="O59" s="837"/>
      <c r="P59" s="837"/>
      <c r="Q59" s="836"/>
      <c r="R59" s="836"/>
      <c r="S59" s="836"/>
      <c r="T59" s="728">
        <f t="shared" si="0"/>
        <v>0</v>
      </c>
      <c r="U59" s="728">
        <f t="shared" ref="U59:U60" si="7">T59*1.05</f>
        <v>0</v>
      </c>
      <c r="V59" s="833"/>
    </row>
    <row r="60" spans="1:22" ht="30">
      <c r="A60" s="736"/>
      <c r="B60" s="736"/>
      <c r="C60" s="736"/>
      <c r="D60" s="829">
        <v>55</v>
      </c>
      <c r="E60" s="829" t="s">
        <v>114</v>
      </c>
      <c r="F60" s="836"/>
      <c r="G60" s="836"/>
      <c r="H60" s="836"/>
      <c r="I60" s="836"/>
      <c r="J60" s="836"/>
      <c r="K60" s="835"/>
      <c r="L60" s="836"/>
      <c r="M60" s="836"/>
      <c r="N60" s="836"/>
      <c r="O60" s="836"/>
      <c r="P60" s="836"/>
      <c r="Q60" s="836"/>
      <c r="R60" s="836"/>
      <c r="S60" s="836"/>
      <c r="T60" s="728">
        <f t="shared" si="0"/>
        <v>0</v>
      </c>
      <c r="U60" s="728">
        <f t="shared" si="7"/>
        <v>0</v>
      </c>
      <c r="V60" s="833"/>
    </row>
    <row r="61" spans="1:22" ht="60">
      <c r="A61" s="736"/>
      <c r="B61" s="736"/>
      <c r="C61" s="736"/>
      <c r="D61" s="829">
        <v>56</v>
      </c>
      <c r="E61" s="829" t="s">
        <v>115</v>
      </c>
      <c r="F61" s="836"/>
      <c r="G61" s="836"/>
      <c r="H61" s="836"/>
      <c r="I61" s="836"/>
      <c r="J61" s="836"/>
      <c r="K61" s="836"/>
      <c r="L61" s="836"/>
      <c r="M61" s="836"/>
      <c r="N61" s="836"/>
      <c r="O61" s="837">
        <v>10.25</v>
      </c>
      <c r="P61" s="836"/>
      <c r="Q61" s="836">
        <v>0.5</v>
      </c>
      <c r="R61" s="836"/>
      <c r="S61" s="836"/>
      <c r="T61" s="728">
        <f t="shared" si="0"/>
        <v>10.75</v>
      </c>
      <c r="U61" s="728">
        <f>T61</f>
        <v>10.75</v>
      </c>
      <c r="V61" s="833" t="s">
        <v>1860</v>
      </c>
    </row>
    <row r="62" spans="1:22" ht="114.75" customHeight="1">
      <c r="A62" s="736"/>
      <c r="B62" s="736"/>
      <c r="C62" s="736"/>
      <c r="D62" s="829">
        <v>57</v>
      </c>
      <c r="E62" s="829" t="s">
        <v>116</v>
      </c>
      <c r="F62" s="836"/>
      <c r="G62" s="836"/>
      <c r="H62" s="837"/>
      <c r="I62" s="836"/>
      <c r="J62" s="836"/>
      <c r="K62" s="836"/>
      <c r="L62" s="836"/>
      <c r="M62" s="837">
        <f>1.05+2.49</f>
        <v>3.54</v>
      </c>
      <c r="N62" s="836"/>
      <c r="O62" s="836"/>
      <c r="P62" s="836"/>
      <c r="Q62" s="836"/>
      <c r="R62" s="836"/>
      <c r="S62" s="836"/>
      <c r="T62" s="728">
        <f t="shared" si="0"/>
        <v>3.54</v>
      </c>
      <c r="U62" s="728">
        <f>M62</f>
        <v>3.54</v>
      </c>
      <c r="V62" s="833" t="s">
        <v>1861</v>
      </c>
    </row>
    <row r="63" spans="1:22" ht="76.5" customHeight="1">
      <c r="A63" s="736"/>
      <c r="B63" s="736"/>
      <c r="C63" s="736"/>
      <c r="D63" s="829">
        <v>58</v>
      </c>
      <c r="E63" s="829" t="s">
        <v>117</v>
      </c>
      <c r="F63" s="836"/>
      <c r="G63" s="836"/>
      <c r="H63" s="836"/>
      <c r="I63" s="836"/>
      <c r="J63" s="836"/>
      <c r="K63" s="835"/>
      <c r="L63" s="836"/>
      <c r="M63" s="836"/>
      <c r="N63" s="836"/>
      <c r="O63" s="843">
        <v>2.5630000000000002</v>
      </c>
      <c r="P63" s="836"/>
      <c r="Q63" s="837">
        <v>0.75</v>
      </c>
      <c r="R63" s="836"/>
      <c r="S63" s="836"/>
      <c r="T63" s="728">
        <f t="shared" si="0"/>
        <v>3.3130000000000002</v>
      </c>
      <c r="U63" s="728">
        <f>T63</f>
        <v>3.3130000000000002</v>
      </c>
      <c r="V63" s="833" t="s">
        <v>118</v>
      </c>
    </row>
    <row r="64" spans="1:22">
      <c r="A64" s="736"/>
      <c r="B64" s="736"/>
      <c r="C64" s="736"/>
      <c r="D64" s="829">
        <v>59</v>
      </c>
      <c r="E64" s="829" t="s">
        <v>119</v>
      </c>
      <c r="F64" s="836"/>
      <c r="G64" s="836"/>
      <c r="H64" s="836"/>
      <c r="I64" s="836"/>
      <c r="J64" s="836"/>
      <c r="K64" s="836"/>
      <c r="L64" s="836"/>
      <c r="M64" s="836"/>
      <c r="N64" s="836"/>
      <c r="O64" s="836"/>
      <c r="P64" s="836"/>
      <c r="Q64" s="836"/>
      <c r="R64" s="836"/>
      <c r="S64" s="836"/>
      <c r="T64" s="728">
        <f t="shared" si="0"/>
        <v>0</v>
      </c>
      <c r="U64" s="728">
        <f t="shared" ref="U64:U66" si="8">T64*1.05</f>
        <v>0</v>
      </c>
      <c r="V64" s="833"/>
    </row>
    <row r="65" spans="1:22" ht="30">
      <c r="A65" s="736"/>
      <c r="B65" s="736"/>
      <c r="C65" s="736"/>
      <c r="D65" s="829">
        <v>60</v>
      </c>
      <c r="E65" s="829" t="s">
        <v>120</v>
      </c>
      <c r="F65" s="836"/>
      <c r="G65" s="836"/>
      <c r="H65" s="836"/>
      <c r="I65" s="836"/>
      <c r="J65" s="836"/>
      <c r="K65" s="836"/>
      <c r="L65" s="836"/>
      <c r="M65" s="836"/>
      <c r="N65" s="836"/>
      <c r="O65" s="836"/>
      <c r="P65" s="836"/>
      <c r="Q65" s="836"/>
      <c r="R65" s="836"/>
      <c r="S65" s="836"/>
      <c r="T65" s="728">
        <f t="shared" si="0"/>
        <v>0</v>
      </c>
      <c r="U65" s="728">
        <f t="shared" si="8"/>
        <v>0</v>
      </c>
      <c r="V65" s="833"/>
    </row>
    <row r="66" spans="1:22" ht="45">
      <c r="A66" s="736"/>
      <c r="B66" s="736"/>
      <c r="C66" s="736"/>
      <c r="D66" s="829">
        <v>61</v>
      </c>
      <c r="E66" s="829" t="s">
        <v>53</v>
      </c>
      <c r="F66" s="836"/>
      <c r="G66" s="836"/>
      <c r="H66" s="836"/>
      <c r="I66" s="836"/>
      <c r="J66" s="836"/>
      <c r="K66" s="836"/>
      <c r="L66" s="836"/>
      <c r="M66" s="836"/>
      <c r="N66" s="836"/>
      <c r="O66" s="836"/>
      <c r="P66" s="836"/>
      <c r="Q66" s="836"/>
      <c r="R66" s="836"/>
      <c r="S66" s="836"/>
      <c r="T66" s="728">
        <f t="shared" si="0"/>
        <v>0</v>
      </c>
      <c r="U66" s="728">
        <f t="shared" si="8"/>
        <v>0</v>
      </c>
      <c r="V66" s="833"/>
    </row>
    <row r="67" spans="1:22" ht="166.5" customHeight="1">
      <c r="A67" s="736"/>
      <c r="B67" s="829" t="s">
        <v>121</v>
      </c>
      <c r="C67" s="829" t="s">
        <v>122</v>
      </c>
      <c r="D67" s="829">
        <v>62</v>
      </c>
      <c r="E67" s="829" t="s">
        <v>123</v>
      </c>
      <c r="F67" s="836"/>
      <c r="G67" s="836"/>
      <c r="H67" s="836"/>
      <c r="I67" s="836"/>
      <c r="J67" s="836"/>
      <c r="K67" s="836"/>
      <c r="L67" s="836"/>
      <c r="M67" s="835"/>
      <c r="N67" s="836"/>
      <c r="O67" s="837">
        <v>0.5</v>
      </c>
      <c r="P67" s="837"/>
      <c r="Q67" s="835">
        <v>0.2</v>
      </c>
      <c r="R67" s="836"/>
      <c r="S67" s="837"/>
      <c r="T67" s="728">
        <f t="shared" si="0"/>
        <v>0.7</v>
      </c>
      <c r="U67" s="728">
        <f>T67</f>
        <v>0.7</v>
      </c>
      <c r="V67" s="848" t="s">
        <v>124</v>
      </c>
    </row>
    <row r="68" spans="1:22">
      <c r="A68" s="736"/>
      <c r="B68" s="849" t="s">
        <v>125</v>
      </c>
      <c r="C68" s="850"/>
      <c r="D68" s="850"/>
      <c r="E68" s="851"/>
      <c r="F68" s="852">
        <f t="shared" ref="F68:U68" si="9">SUM(F6:F67)</f>
        <v>154.79859999999996</v>
      </c>
      <c r="G68" s="852">
        <f t="shared" si="9"/>
        <v>0</v>
      </c>
      <c r="H68" s="852">
        <f t="shared" si="9"/>
        <v>0</v>
      </c>
      <c r="I68" s="852">
        <f t="shared" si="9"/>
        <v>7.1770600000000009</v>
      </c>
      <c r="J68" s="852">
        <f t="shared" si="9"/>
        <v>0</v>
      </c>
      <c r="K68" s="852">
        <f t="shared" si="9"/>
        <v>166.11199999999999</v>
      </c>
      <c r="L68" s="852">
        <f t="shared" si="9"/>
        <v>0</v>
      </c>
      <c r="M68" s="852">
        <f t="shared" si="9"/>
        <v>46.571999999999996</v>
      </c>
      <c r="N68" s="852">
        <f t="shared" si="9"/>
        <v>45.781199999999998</v>
      </c>
      <c r="O68" s="852">
        <f t="shared" si="9"/>
        <v>328.7319</v>
      </c>
      <c r="P68" s="852">
        <f t="shared" si="9"/>
        <v>459.75067999999987</v>
      </c>
      <c r="Q68" s="852">
        <f t="shared" si="9"/>
        <v>34.14</v>
      </c>
      <c r="R68" s="852">
        <f t="shared" si="9"/>
        <v>13.825499999999998</v>
      </c>
      <c r="S68" s="852">
        <f t="shared" si="9"/>
        <v>4.5999999999999996</v>
      </c>
      <c r="T68" s="852">
        <f t="shared" si="9"/>
        <v>1261.4889400000002</v>
      </c>
      <c r="U68" s="852">
        <f t="shared" si="9"/>
        <v>1263.9261800000002</v>
      </c>
      <c r="V68" s="853"/>
    </row>
    <row r="69" spans="1:22" ht="56.25" customHeight="1">
      <c r="A69" s="831" t="s">
        <v>126</v>
      </c>
      <c r="B69" s="829" t="s">
        <v>127</v>
      </c>
      <c r="C69" s="829" t="s">
        <v>128</v>
      </c>
      <c r="D69" s="829">
        <v>63</v>
      </c>
      <c r="E69" s="829" t="s">
        <v>129</v>
      </c>
      <c r="F69" s="836"/>
      <c r="G69" s="836"/>
      <c r="H69" s="836"/>
      <c r="I69" s="836"/>
      <c r="J69" s="836"/>
      <c r="K69" s="836"/>
      <c r="L69" s="836"/>
      <c r="M69" s="837"/>
      <c r="N69" s="835">
        <v>7.05</v>
      </c>
      <c r="O69" s="836"/>
      <c r="P69" s="835"/>
      <c r="Q69" s="836">
        <v>0</v>
      </c>
      <c r="R69" s="837">
        <v>3.75</v>
      </c>
      <c r="S69" s="838">
        <v>1</v>
      </c>
      <c r="T69" s="728">
        <f t="shared" ref="T69:T74" si="10">SUM(F69:S69)</f>
        <v>11.8</v>
      </c>
      <c r="U69" s="728">
        <f t="shared" ref="U69:U74" si="11">T69</f>
        <v>11.8</v>
      </c>
      <c r="V69" s="848" t="s">
        <v>130</v>
      </c>
    </row>
    <row r="70" spans="1:22" ht="81.75" customHeight="1">
      <c r="A70" s="736"/>
      <c r="B70" s="828" t="s">
        <v>131</v>
      </c>
      <c r="C70" s="828" t="s">
        <v>132</v>
      </c>
      <c r="D70" s="829">
        <v>64</v>
      </c>
      <c r="E70" s="829" t="s">
        <v>133</v>
      </c>
      <c r="F70" s="836"/>
      <c r="G70" s="836"/>
      <c r="H70" s="837"/>
      <c r="I70" s="835">
        <v>0.84</v>
      </c>
      <c r="J70" s="836"/>
      <c r="K70" s="835"/>
      <c r="L70" s="836"/>
      <c r="M70" s="836"/>
      <c r="N70" s="835">
        <v>1.5</v>
      </c>
      <c r="O70" s="837"/>
      <c r="P70" s="835">
        <v>2.68</v>
      </c>
      <c r="Q70" s="835">
        <v>1.05</v>
      </c>
      <c r="R70" s="837">
        <v>3.1</v>
      </c>
      <c r="S70" s="837"/>
      <c r="T70" s="728">
        <f t="shared" si="10"/>
        <v>9.17</v>
      </c>
      <c r="U70" s="728">
        <f t="shared" si="11"/>
        <v>9.17</v>
      </c>
      <c r="V70" s="848" t="s">
        <v>134</v>
      </c>
    </row>
    <row r="71" spans="1:22" ht="39.75" customHeight="1">
      <c r="A71" s="736"/>
      <c r="B71" s="736"/>
      <c r="C71" s="736"/>
      <c r="D71" s="829">
        <v>65</v>
      </c>
      <c r="E71" s="829" t="s">
        <v>135</v>
      </c>
      <c r="F71" s="836"/>
      <c r="G71" s="836"/>
      <c r="H71" s="836"/>
      <c r="I71" s="836"/>
      <c r="J71" s="836"/>
      <c r="K71" s="836"/>
      <c r="L71" s="836"/>
      <c r="M71" s="836"/>
      <c r="N71" s="835"/>
      <c r="O71" s="836"/>
      <c r="P71" s="837">
        <v>0.45</v>
      </c>
      <c r="Q71" s="836"/>
      <c r="R71" s="836"/>
      <c r="S71" s="837"/>
      <c r="T71" s="728">
        <f t="shared" si="10"/>
        <v>0.45</v>
      </c>
      <c r="U71" s="728">
        <f t="shared" si="11"/>
        <v>0.45</v>
      </c>
      <c r="V71" s="848" t="s">
        <v>136</v>
      </c>
    </row>
    <row r="72" spans="1:22" ht="60" customHeight="1">
      <c r="A72" s="736"/>
      <c r="B72" s="736"/>
      <c r="C72" s="736"/>
      <c r="D72" s="829">
        <v>66</v>
      </c>
      <c r="E72" s="829" t="s">
        <v>137</v>
      </c>
      <c r="F72" s="836"/>
      <c r="G72" s="836"/>
      <c r="H72" s="836"/>
      <c r="I72" s="836"/>
      <c r="J72" s="836"/>
      <c r="K72" s="835"/>
      <c r="L72" s="836"/>
      <c r="M72" s="836"/>
      <c r="N72" s="835">
        <v>0.2</v>
      </c>
      <c r="O72" s="836"/>
      <c r="P72" s="837">
        <v>0.09</v>
      </c>
      <c r="Q72" s="835">
        <v>0.05</v>
      </c>
      <c r="R72" s="854">
        <v>0.15</v>
      </c>
      <c r="S72" s="836"/>
      <c r="T72" s="728">
        <f t="shared" si="10"/>
        <v>0.49</v>
      </c>
      <c r="U72" s="728">
        <f t="shared" si="11"/>
        <v>0.49</v>
      </c>
      <c r="V72" s="848" t="s">
        <v>138</v>
      </c>
    </row>
    <row r="73" spans="1:22" ht="90">
      <c r="A73" s="736"/>
      <c r="B73" s="736"/>
      <c r="C73" s="736"/>
      <c r="D73" s="829">
        <v>67</v>
      </c>
      <c r="E73" s="829" t="s">
        <v>139</v>
      </c>
      <c r="F73" s="836"/>
      <c r="G73" s="836"/>
      <c r="H73" s="836"/>
      <c r="I73" s="836"/>
      <c r="J73" s="836"/>
      <c r="K73" s="835"/>
      <c r="L73" s="836"/>
      <c r="M73" s="836"/>
      <c r="N73" s="835">
        <v>0.6</v>
      </c>
      <c r="O73" s="836">
        <v>1.75</v>
      </c>
      <c r="P73" s="837">
        <v>73.72</v>
      </c>
      <c r="Q73" s="835">
        <v>1.1499999999999999</v>
      </c>
      <c r="R73" s="837">
        <v>3.75</v>
      </c>
      <c r="S73" s="837">
        <v>5</v>
      </c>
      <c r="T73" s="728">
        <f t="shared" si="10"/>
        <v>85.97</v>
      </c>
      <c r="U73" s="728">
        <f t="shared" si="11"/>
        <v>85.97</v>
      </c>
      <c r="V73" s="848" t="s">
        <v>140</v>
      </c>
    </row>
    <row r="74" spans="1:22" ht="92.25" customHeight="1">
      <c r="A74" s="736"/>
      <c r="B74" s="736"/>
      <c r="C74" s="736"/>
      <c r="D74" s="829">
        <v>68</v>
      </c>
      <c r="E74" s="829" t="s">
        <v>141</v>
      </c>
      <c r="F74" s="837"/>
      <c r="G74" s="836"/>
      <c r="H74" s="836"/>
      <c r="I74" s="835"/>
      <c r="J74" s="836"/>
      <c r="K74" s="835"/>
      <c r="L74" s="836"/>
      <c r="M74" s="836"/>
      <c r="N74" s="835">
        <v>0.4</v>
      </c>
      <c r="O74" s="837"/>
      <c r="P74" s="837">
        <v>4.74</v>
      </c>
      <c r="Q74" s="835">
        <v>3.25</v>
      </c>
      <c r="R74" s="837">
        <v>2</v>
      </c>
      <c r="S74" s="837">
        <v>0.9</v>
      </c>
      <c r="T74" s="728">
        <f t="shared" si="10"/>
        <v>11.290000000000001</v>
      </c>
      <c r="U74" s="728">
        <f t="shared" si="11"/>
        <v>11.290000000000001</v>
      </c>
      <c r="V74" s="848" t="s">
        <v>142</v>
      </c>
    </row>
    <row r="75" spans="1:22" ht="330" customHeight="1">
      <c r="A75" s="736"/>
      <c r="B75" s="828" t="s">
        <v>143</v>
      </c>
      <c r="C75" s="828" t="s">
        <v>144</v>
      </c>
      <c r="D75" s="829">
        <v>69</v>
      </c>
      <c r="E75" s="829" t="s">
        <v>145</v>
      </c>
      <c r="F75" s="855"/>
      <c r="G75" s="855"/>
      <c r="H75" s="855"/>
      <c r="I75" s="855"/>
      <c r="J75" s="855"/>
      <c r="K75" s="855"/>
      <c r="L75" s="855"/>
      <c r="M75" s="856">
        <v>0.68</v>
      </c>
      <c r="N75" s="855"/>
      <c r="O75" s="856">
        <v>92.74</v>
      </c>
      <c r="P75" s="856">
        <v>1.2</v>
      </c>
      <c r="Q75" s="855"/>
      <c r="R75" s="855"/>
      <c r="S75" s="855"/>
      <c r="T75" s="857">
        <v>94.62</v>
      </c>
      <c r="U75" s="835">
        <v>94.62</v>
      </c>
      <c r="V75" s="848" t="s">
        <v>146</v>
      </c>
    </row>
    <row r="76" spans="1:22" ht="165.75" customHeight="1">
      <c r="A76" s="736"/>
      <c r="B76" s="736"/>
      <c r="C76" s="736"/>
      <c r="D76" s="829">
        <v>70</v>
      </c>
      <c r="E76" s="829" t="s">
        <v>147</v>
      </c>
      <c r="F76" s="856">
        <v>2.4</v>
      </c>
      <c r="G76" s="855"/>
      <c r="H76" s="855"/>
      <c r="I76" s="858">
        <v>0.44</v>
      </c>
      <c r="J76" s="855"/>
      <c r="K76" s="855"/>
      <c r="L76" s="855"/>
      <c r="M76" s="855"/>
      <c r="N76" s="855"/>
      <c r="O76" s="855"/>
      <c r="P76" s="856">
        <v>1.1000000000000001</v>
      </c>
      <c r="Q76" s="855"/>
      <c r="R76" s="855"/>
      <c r="S76" s="855"/>
      <c r="T76" s="857">
        <v>3.94</v>
      </c>
      <c r="U76" s="835">
        <v>3.94</v>
      </c>
      <c r="V76" s="848" t="s">
        <v>148</v>
      </c>
    </row>
    <row r="77" spans="1:22">
      <c r="A77" s="736"/>
      <c r="B77" s="736"/>
      <c r="C77" s="736"/>
      <c r="D77" s="829">
        <v>71</v>
      </c>
      <c r="E77" s="829" t="s">
        <v>149</v>
      </c>
      <c r="F77" s="855"/>
      <c r="G77" s="855"/>
      <c r="H77" s="855"/>
      <c r="I77" s="855"/>
      <c r="J77" s="855"/>
      <c r="K77" s="855"/>
      <c r="L77" s="855"/>
      <c r="M77" s="855"/>
      <c r="N77" s="855"/>
      <c r="O77" s="855"/>
      <c r="P77" s="855"/>
      <c r="Q77" s="855"/>
      <c r="R77" s="855"/>
      <c r="S77" s="855"/>
      <c r="T77" s="857">
        <v>0</v>
      </c>
      <c r="U77" s="835">
        <v>0</v>
      </c>
      <c r="V77" s="859"/>
    </row>
    <row r="78" spans="1:22" ht="373.5" customHeight="1">
      <c r="A78" s="736"/>
      <c r="B78" s="736"/>
      <c r="C78" s="736"/>
      <c r="D78" s="829">
        <v>72</v>
      </c>
      <c r="E78" s="829" t="s">
        <v>150</v>
      </c>
      <c r="F78" s="855"/>
      <c r="G78" s="855"/>
      <c r="H78" s="859"/>
      <c r="I78" s="859"/>
      <c r="J78" s="859"/>
      <c r="K78" s="860"/>
      <c r="L78" s="859"/>
      <c r="M78" s="861"/>
      <c r="N78" s="832">
        <v>5.62</v>
      </c>
      <c r="O78" s="859"/>
      <c r="P78" s="838">
        <v>7</v>
      </c>
      <c r="Q78" s="728">
        <v>3.6459999999999999</v>
      </c>
      <c r="R78" s="838">
        <v>4.1459999999999999</v>
      </c>
      <c r="S78" s="859"/>
      <c r="T78" s="728">
        <v>20.411999999999999</v>
      </c>
      <c r="U78" s="835">
        <v>20.411999999999999</v>
      </c>
      <c r="V78" s="848" t="s">
        <v>151</v>
      </c>
    </row>
    <row r="79" spans="1:22" ht="210">
      <c r="A79" s="736"/>
      <c r="B79" s="828" t="s">
        <v>152</v>
      </c>
      <c r="C79" s="828" t="s">
        <v>153</v>
      </c>
      <c r="D79" s="829">
        <v>73</v>
      </c>
      <c r="E79" s="829" t="s">
        <v>154</v>
      </c>
      <c r="F79" s="862">
        <v>2.61</v>
      </c>
      <c r="G79" s="862">
        <v>2.5</v>
      </c>
      <c r="H79" s="862"/>
      <c r="I79" s="862">
        <v>8.4</v>
      </c>
      <c r="J79" s="862"/>
      <c r="K79" s="862"/>
      <c r="L79" s="862">
        <v>2.9</v>
      </c>
      <c r="M79" s="862">
        <v>12</v>
      </c>
      <c r="N79" s="862">
        <v>8.5</v>
      </c>
      <c r="O79" s="862"/>
      <c r="P79" s="862">
        <v>3.45</v>
      </c>
      <c r="Q79" s="862"/>
      <c r="R79" s="862">
        <v>18</v>
      </c>
      <c r="S79" s="862">
        <v>0.85</v>
      </c>
      <c r="T79" s="728">
        <f t="shared" ref="T79:T86" si="12">SUM(F79:S79)</f>
        <v>59.21</v>
      </c>
      <c r="U79" s="863">
        <v>64.099999999999994</v>
      </c>
      <c r="V79" s="833" t="s">
        <v>1862</v>
      </c>
    </row>
    <row r="80" spans="1:22" ht="110.25" customHeight="1">
      <c r="A80" s="736"/>
      <c r="B80" s="736"/>
      <c r="C80" s="736"/>
      <c r="D80" s="829">
        <v>74</v>
      </c>
      <c r="E80" s="829" t="s">
        <v>155</v>
      </c>
      <c r="F80" s="862">
        <v>54</v>
      </c>
      <c r="G80" s="862"/>
      <c r="H80" s="864"/>
      <c r="I80" s="864"/>
      <c r="J80" s="864"/>
      <c r="K80" s="864"/>
      <c r="L80" s="864"/>
      <c r="M80" s="864"/>
      <c r="N80" s="864"/>
      <c r="O80" s="864"/>
      <c r="P80" s="864"/>
      <c r="Q80" s="864"/>
      <c r="R80" s="864"/>
      <c r="S80" s="864"/>
      <c r="T80" s="728">
        <f t="shared" si="12"/>
        <v>54</v>
      </c>
      <c r="U80" s="728">
        <v>60.9</v>
      </c>
      <c r="V80" s="833" t="s">
        <v>156</v>
      </c>
    </row>
    <row r="81" spans="1:22" ht="159.75" customHeight="1">
      <c r="A81" s="736"/>
      <c r="B81" s="736"/>
      <c r="C81" s="736"/>
      <c r="D81" s="829">
        <v>75</v>
      </c>
      <c r="E81" s="829" t="s">
        <v>157</v>
      </c>
      <c r="F81" s="862">
        <v>2.75</v>
      </c>
      <c r="G81" s="862"/>
      <c r="H81" s="864"/>
      <c r="I81" s="864"/>
      <c r="J81" s="864"/>
      <c r="K81" s="864"/>
      <c r="L81" s="864"/>
      <c r="M81" s="864"/>
      <c r="N81" s="864"/>
      <c r="O81" s="864"/>
      <c r="P81" s="862">
        <v>4.1500000000000004</v>
      </c>
      <c r="Q81" s="864"/>
      <c r="R81" s="864"/>
      <c r="S81" s="864"/>
      <c r="T81" s="728">
        <f t="shared" si="12"/>
        <v>6.9</v>
      </c>
      <c r="U81" s="728">
        <v>11.4</v>
      </c>
      <c r="V81" s="833" t="s">
        <v>158</v>
      </c>
    </row>
    <row r="82" spans="1:22" ht="90.75" customHeight="1">
      <c r="A82" s="736"/>
      <c r="B82" s="736"/>
      <c r="C82" s="736"/>
      <c r="D82" s="829">
        <v>76</v>
      </c>
      <c r="E82" s="829" t="s">
        <v>159</v>
      </c>
      <c r="F82" s="864"/>
      <c r="G82" s="864"/>
      <c r="H82" s="864"/>
      <c r="I82" s="864"/>
      <c r="J82" s="864"/>
      <c r="K82" s="862"/>
      <c r="L82" s="864"/>
      <c r="M82" s="862">
        <v>2.1</v>
      </c>
      <c r="N82" s="864"/>
      <c r="O82" s="864"/>
      <c r="P82" s="864"/>
      <c r="Q82" s="864"/>
      <c r="R82" s="864"/>
      <c r="S82" s="864"/>
      <c r="T82" s="728">
        <f t="shared" si="12"/>
        <v>2.1</v>
      </c>
      <c r="U82" s="728">
        <v>2.7</v>
      </c>
      <c r="V82" s="833" t="s">
        <v>160</v>
      </c>
    </row>
    <row r="83" spans="1:22" ht="384" customHeight="1">
      <c r="A83" s="736"/>
      <c r="B83" s="736"/>
      <c r="C83" s="736"/>
      <c r="D83" s="829">
        <v>77</v>
      </c>
      <c r="E83" s="829" t="s">
        <v>161</v>
      </c>
      <c r="F83" s="862">
        <v>1.75</v>
      </c>
      <c r="G83" s="862">
        <v>2</v>
      </c>
      <c r="H83" s="862"/>
      <c r="I83" s="862">
        <v>2</v>
      </c>
      <c r="J83" s="864"/>
      <c r="K83" s="862"/>
      <c r="L83" s="864">
        <v>2.1</v>
      </c>
      <c r="M83" s="862"/>
      <c r="N83" s="862">
        <v>0.4</v>
      </c>
      <c r="O83" s="864"/>
      <c r="P83" s="864"/>
      <c r="Q83" s="864"/>
      <c r="R83" s="864"/>
      <c r="S83" s="862">
        <v>0.5</v>
      </c>
      <c r="T83" s="728">
        <f t="shared" si="12"/>
        <v>8.75</v>
      </c>
      <c r="U83" s="728">
        <v>12.3</v>
      </c>
      <c r="V83" s="833" t="s">
        <v>162</v>
      </c>
    </row>
    <row r="84" spans="1:22" ht="142.5" customHeight="1">
      <c r="A84" s="736"/>
      <c r="B84" s="736"/>
      <c r="C84" s="736"/>
      <c r="D84" s="829">
        <v>78</v>
      </c>
      <c r="E84" s="829" t="s">
        <v>163</v>
      </c>
      <c r="F84" s="864"/>
      <c r="G84" s="864"/>
      <c r="H84" s="864"/>
      <c r="I84" s="864"/>
      <c r="J84" s="864"/>
      <c r="K84" s="864"/>
      <c r="L84" s="864"/>
      <c r="M84" s="864"/>
      <c r="N84" s="864"/>
      <c r="O84" s="864"/>
      <c r="P84" s="864"/>
      <c r="Q84" s="862">
        <v>10.5</v>
      </c>
      <c r="R84" s="864"/>
      <c r="S84" s="864"/>
      <c r="T84" s="728">
        <f t="shared" si="12"/>
        <v>10.5</v>
      </c>
      <c r="U84" s="728">
        <v>10.5</v>
      </c>
      <c r="V84" s="833" t="s">
        <v>164</v>
      </c>
    </row>
    <row r="85" spans="1:22" ht="15" customHeight="1">
      <c r="A85" s="736"/>
      <c r="B85" s="736"/>
      <c r="C85" s="736"/>
      <c r="D85" s="829">
        <v>79</v>
      </c>
      <c r="E85" s="829" t="s">
        <v>53</v>
      </c>
      <c r="F85" s="865"/>
      <c r="G85" s="865"/>
      <c r="H85" s="865"/>
      <c r="I85" s="865"/>
      <c r="J85" s="865"/>
      <c r="K85" s="865"/>
      <c r="L85" s="865"/>
      <c r="M85" s="865"/>
      <c r="N85" s="865"/>
      <c r="O85" s="865"/>
      <c r="P85" s="865"/>
      <c r="Q85" s="865"/>
      <c r="R85" s="865"/>
      <c r="S85" s="865"/>
      <c r="T85" s="728">
        <f t="shared" si="12"/>
        <v>0</v>
      </c>
      <c r="U85" s="728"/>
      <c r="V85" s="833"/>
    </row>
    <row r="86" spans="1:22" ht="73.5" customHeight="1">
      <c r="A86" s="736"/>
      <c r="B86" s="828" t="s">
        <v>165</v>
      </c>
      <c r="C86" s="828" t="s">
        <v>166</v>
      </c>
      <c r="D86" s="829">
        <v>80</v>
      </c>
      <c r="E86" s="829" t="s">
        <v>167</v>
      </c>
      <c r="F86" s="836"/>
      <c r="G86" s="836"/>
      <c r="H86" s="836"/>
      <c r="I86" s="836"/>
      <c r="J86" s="836"/>
      <c r="K86" s="843"/>
      <c r="L86" s="836">
        <v>0</v>
      </c>
      <c r="M86" s="835"/>
      <c r="N86" s="836"/>
      <c r="O86" s="836"/>
      <c r="P86" s="837">
        <v>3.6</v>
      </c>
      <c r="Q86" s="835">
        <v>1</v>
      </c>
      <c r="R86" s="837"/>
      <c r="S86" s="836"/>
      <c r="T86" s="728">
        <f t="shared" si="12"/>
        <v>4.5999999999999996</v>
      </c>
      <c r="U86" s="728">
        <v>4.5999999999999996</v>
      </c>
      <c r="V86" s="833" t="s">
        <v>1577</v>
      </c>
    </row>
    <row r="87" spans="1:22" ht="45">
      <c r="A87" s="736"/>
      <c r="B87" s="736"/>
      <c r="C87" s="736"/>
      <c r="D87" s="829">
        <v>81</v>
      </c>
      <c r="E87" s="829" t="s">
        <v>168</v>
      </c>
      <c r="F87" s="836"/>
      <c r="G87" s="836"/>
      <c r="H87" s="836"/>
      <c r="I87" s="836"/>
      <c r="J87" s="836"/>
      <c r="K87" s="836"/>
      <c r="L87" s="836"/>
      <c r="M87" s="835"/>
      <c r="N87" s="835"/>
      <c r="O87" s="836"/>
      <c r="P87" s="837">
        <v>0.1</v>
      </c>
      <c r="Q87" s="837"/>
      <c r="R87" s="836"/>
      <c r="S87" s="836"/>
      <c r="T87" s="728">
        <v>0.1</v>
      </c>
      <c r="U87" s="728">
        <v>0.1</v>
      </c>
      <c r="V87" s="834" t="s">
        <v>169</v>
      </c>
    </row>
    <row r="88" spans="1:22" ht="45">
      <c r="A88" s="736"/>
      <c r="B88" s="736"/>
      <c r="C88" s="736"/>
      <c r="D88" s="829">
        <v>82</v>
      </c>
      <c r="E88" s="829" t="s">
        <v>170</v>
      </c>
      <c r="F88" s="836"/>
      <c r="G88" s="836"/>
      <c r="H88" s="836"/>
      <c r="I88" s="836"/>
      <c r="J88" s="836"/>
      <c r="K88" s="836"/>
      <c r="L88" s="836"/>
      <c r="M88" s="836"/>
      <c r="N88" s="836"/>
      <c r="O88" s="836"/>
      <c r="P88" s="837"/>
      <c r="Q88" s="836"/>
      <c r="R88" s="836"/>
      <c r="S88" s="836"/>
      <c r="T88" s="728">
        <f t="shared" ref="T88:T92" si="13">SUM(F88:S88)</f>
        <v>0</v>
      </c>
      <c r="U88" s="728">
        <f>T88*1.05</f>
        <v>0</v>
      </c>
      <c r="V88" s="834" t="s">
        <v>171</v>
      </c>
    </row>
    <row r="89" spans="1:22" ht="178.5" customHeight="1">
      <c r="A89" s="736"/>
      <c r="B89" s="736"/>
      <c r="C89" s="736"/>
      <c r="D89" s="829">
        <v>83</v>
      </c>
      <c r="E89" s="829" t="s">
        <v>172</v>
      </c>
      <c r="F89" s="836"/>
      <c r="G89" s="836"/>
      <c r="H89" s="836"/>
      <c r="I89" s="836"/>
      <c r="J89" s="836"/>
      <c r="K89" s="835">
        <v>0.5</v>
      </c>
      <c r="L89" s="836"/>
      <c r="M89" s="837"/>
      <c r="N89" s="835"/>
      <c r="O89" s="836"/>
      <c r="P89" s="837">
        <v>4</v>
      </c>
      <c r="Q89" s="835"/>
      <c r="R89" s="837"/>
      <c r="S89" s="836"/>
      <c r="T89" s="728">
        <f t="shared" si="13"/>
        <v>4.5</v>
      </c>
      <c r="U89" s="728">
        <v>4.5</v>
      </c>
      <c r="V89" s="833" t="s">
        <v>1578</v>
      </c>
    </row>
    <row r="90" spans="1:22" ht="104.25" customHeight="1">
      <c r="A90" s="736"/>
      <c r="B90" s="829" t="s">
        <v>173</v>
      </c>
      <c r="C90" s="829" t="s">
        <v>174</v>
      </c>
      <c r="D90" s="829">
        <v>84</v>
      </c>
      <c r="E90" s="829" t="s">
        <v>175</v>
      </c>
      <c r="F90" s="836"/>
      <c r="G90" s="836"/>
      <c r="H90" s="836"/>
      <c r="I90" s="835"/>
      <c r="J90" s="836"/>
      <c r="K90" s="835"/>
      <c r="L90" s="836"/>
      <c r="M90" s="836"/>
      <c r="N90" s="835">
        <v>1</v>
      </c>
      <c r="O90" s="836"/>
      <c r="P90" s="836"/>
      <c r="Q90" s="835">
        <v>1.5</v>
      </c>
      <c r="R90" s="837">
        <v>0.5</v>
      </c>
      <c r="S90" s="836"/>
      <c r="T90" s="728">
        <f t="shared" si="13"/>
        <v>3</v>
      </c>
      <c r="U90" s="728">
        <v>3</v>
      </c>
      <c r="V90" s="833" t="s">
        <v>1579</v>
      </c>
    </row>
    <row r="91" spans="1:22" ht="195">
      <c r="A91" s="736"/>
      <c r="B91" s="829" t="s">
        <v>176</v>
      </c>
      <c r="C91" s="829" t="s">
        <v>177</v>
      </c>
      <c r="D91" s="829">
        <v>85</v>
      </c>
      <c r="E91" s="829" t="s">
        <v>178</v>
      </c>
      <c r="F91" s="836"/>
      <c r="G91" s="836"/>
      <c r="H91" s="836"/>
      <c r="I91" s="836"/>
      <c r="J91" s="836"/>
      <c r="K91" s="835"/>
      <c r="L91" s="836"/>
      <c r="M91" s="836"/>
      <c r="N91" s="835">
        <v>0.5</v>
      </c>
      <c r="O91" s="836"/>
      <c r="P91" s="836"/>
      <c r="Q91" s="835">
        <v>1</v>
      </c>
      <c r="R91" s="837"/>
      <c r="S91" s="836"/>
      <c r="T91" s="728">
        <f t="shared" si="13"/>
        <v>1.5</v>
      </c>
      <c r="U91" s="728">
        <v>1.5</v>
      </c>
      <c r="V91" s="833" t="s">
        <v>179</v>
      </c>
    </row>
    <row r="92" spans="1:22" ht="120">
      <c r="A92" s="736"/>
      <c r="B92" s="829" t="s">
        <v>180</v>
      </c>
      <c r="C92" s="829" t="s">
        <v>53</v>
      </c>
      <c r="D92" s="829">
        <v>86</v>
      </c>
      <c r="E92" s="829" t="s">
        <v>181</v>
      </c>
      <c r="F92" s="832"/>
      <c r="G92" s="832"/>
      <c r="H92" s="832"/>
      <c r="I92" s="832"/>
      <c r="J92" s="832"/>
      <c r="K92" s="832"/>
      <c r="L92" s="832"/>
      <c r="M92" s="832"/>
      <c r="N92" s="832"/>
      <c r="O92" s="832"/>
      <c r="P92" s="832"/>
      <c r="Q92" s="832"/>
      <c r="R92" s="832"/>
      <c r="S92" s="832"/>
      <c r="T92" s="728">
        <f t="shared" si="13"/>
        <v>0</v>
      </c>
      <c r="U92" s="728">
        <f>T92*1.05</f>
        <v>0</v>
      </c>
      <c r="V92" s="833"/>
    </row>
    <row r="93" spans="1:22" ht="21.75" customHeight="1">
      <c r="A93" s="736"/>
      <c r="B93" s="866" t="s">
        <v>182</v>
      </c>
      <c r="C93" s="850"/>
      <c r="D93" s="850"/>
      <c r="E93" s="867"/>
      <c r="F93" s="868">
        <f t="shared" ref="F93:U93" si="14">SUM(F69:F92)</f>
        <v>63.51</v>
      </c>
      <c r="G93" s="868">
        <f t="shared" si="14"/>
        <v>4.5</v>
      </c>
      <c r="H93" s="868">
        <f t="shared" si="14"/>
        <v>0</v>
      </c>
      <c r="I93" s="868">
        <f t="shared" si="14"/>
        <v>11.68</v>
      </c>
      <c r="J93" s="868">
        <f t="shared" si="14"/>
        <v>0</v>
      </c>
      <c r="K93" s="868">
        <f t="shared" si="14"/>
        <v>0.5</v>
      </c>
      <c r="L93" s="868">
        <f t="shared" si="14"/>
        <v>5</v>
      </c>
      <c r="M93" s="869">
        <f t="shared" si="14"/>
        <v>14.78</v>
      </c>
      <c r="N93" s="870">
        <f t="shared" si="14"/>
        <v>25.77</v>
      </c>
      <c r="O93" s="868">
        <f t="shared" si="14"/>
        <v>94.49</v>
      </c>
      <c r="P93" s="870">
        <f t="shared" si="14"/>
        <v>106.27999999999999</v>
      </c>
      <c r="Q93" s="868">
        <f t="shared" si="14"/>
        <v>23.146000000000001</v>
      </c>
      <c r="R93" s="869">
        <f t="shared" si="14"/>
        <v>35.396000000000001</v>
      </c>
      <c r="S93" s="869">
        <f t="shared" si="14"/>
        <v>8.25</v>
      </c>
      <c r="T93" s="871">
        <f t="shared" si="14"/>
        <v>393.30200000000008</v>
      </c>
      <c r="U93" s="872">
        <f t="shared" si="14"/>
        <v>413.74200000000002</v>
      </c>
      <c r="V93" s="873"/>
    </row>
    <row r="94" spans="1:22" ht="69" customHeight="1">
      <c r="A94" s="831" t="s">
        <v>183</v>
      </c>
      <c r="B94" s="828" t="s">
        <v>184</v>
      </c>
      <c r="C94" s="828" t="s">
        <v>185</v>
      </c>
      <c r="D94" s="829">
        <v>87</v>
      </c>
      <c r="E94" s="829" t="s">
        <v>186</v>
      </c>
      <c r="F94" s="874"/>
      <c r="G94" s="874"/>
      <c r="H94" s="874"/>
      <c r="I94" s="874"/>
      <c r="J94" s="874"/>
      <c r="K94" s="835">
        <v>8</v>
      </c>
      <c r="L94" s="874"/>
      <c r="M94" s="874"/>
      <c r="N94" s="874"/>
      <c r="O94" s="874"/>
      <c r="P94" s="874"/>
      <c r="Q94" s="874"/>
      <c r="R94" s="874"/>
      <c r="S94" s="874"/>
      <c r="T94" s="728">
        <f t="shared" ref="T94:T123" si="15">SUM(F94:S94)</f>
        <v>8</v>
      </c>
      <c r="U94" s="857">
        <v>0</v>
      </c>
      <c r="V94" s="833" t="s">
        <v>187</v>
      </c>
    </row>
    <row r="95" spans="1:22" ht="30">
      <c r="A95" s="736"/>
      <c r="B95" s="736"/>
      <c r="C95" s="736"/>
      <c r="D95" s="829">
        <v>88</v>
      </c>
      <c r="E95" s="829" t="s">
        <v>188</v>
      </c>
      <c r="F95" s="874"/>
      <c r="G95" s="874"/>
      <c r="H95" s="874"/>
      <c r="I95" s="874"/>
      <c r="J95" s="874"/>
      <c r="K95" s="874"/>
      <c r="L95" s="874"/>
      <c r="M95" s="874"/>
      <c r="N95" s="874"/>
      <c r="O95" s="874"/>
      <c r="P95" s="875">
        <v>15</v>
      </c>
      <c r="Q95" s="874"/>
      <c r="R95" s="874"/>
      <c r="S95" s="874"/>
      <c r="T95" s="728">
        <f t="shared" si="15"/>
        <v>15</v>
      </c>
      <c r="U95" s="857">
        <v>15</v>
      </c>
      <c r="V95" s="833" t="s">
        <v>189</v>
      </c>
    </row>
    <row r="96" spans="1:22" ht="45">
      <c r="A96" s="736"/>
      <c r="B96" s="736"/>
      <c r="C96" s="736"/>
      <c r="D96" s="829">
        <v>89</v>
      </c>
      <c r="E96" s="829" t="s">
        <v>190</v>
      </c>
      <c r="F96" s="874"/>
      <c r="G96" s="874"/>
      <c r="H96" s="874"/>
      <c r="I96" s="874"/>
      <c r="J96" s="874"/>
      <c r="K96" s="874"/>
      <c r="L96" s="874"/>
      <c r="M96" s="874"/>
      <c r="N96" s="874"/>
      <c r="O96" s="874"/>
      <c r="P96" s="874"/>
      <c r="Q96" s="874"/>
      <c r="R96" s="874"/>
      <c r="S96" s="874"/>
      <c r="T96" s="728">
        <f t="shared" si="15"/>
        <v>0</v>
      </c>
      <c r="U96" s="857">
        <v>0</v>
      </c>
      <c r="V96" s="833"/>
    </row>
    <row r="97" spans="1:22" ht="45">
      <c r="A97" s="736"/>
      <c r="B97" s="736"/>
      <c r="C97" s="736"/>
      <c r="D97" s="829">
        <v>90</v>
      </c>
      <c r="E97" s="829" t="s">
        <v>191</v>
      </c>
      <c r="F97" s="874"/>
      <c r="G97" s="874"/>
      <c r="H97" s="874"/>
      <c r="I97" s="874"/>
      <c r="J97" s="874"/>
      <c r="K97" s="874"/>
      <c r="L97" s="874"/>
      <c r="M97" s="874"/>
      <c r="N97" s="874"/>
      <c r="O97" s="874"/>
      <c r="P97" s="875"/>
      <c r="Q97" s="874"/>
      <c r="R97" s="874"/>
      <c r="S97" s="874"/>
      <c r="T97" s="728">
        <f t="shared" si="15"/>
        <v>0</v>
      </c>
      <c r="U97" s="857">
        <v>0</v>
      </c>
      <c r="V97" s="833"/>
    </row>
    <row r="98" spans="1:22" ht="30">
      <c r="A98" s="736"/>
      <c r="B98" s="736"/>
      <c r="C98" s="736"/>
      <c r="D98" s="829">
        <v>91</v>
      </c>
      <c r="E98" s="829" t="s">
        <v>192</v>
      </c>
      <c r="F98" s="874"/>
      <c r="G98" s="836">
        <v>0</v>
      </c>
      <c r="H98" s="836">
        <v>0</v>
      </c>
      <c r="I98" s="836">
        <v>0</v>
      </c>
      <c r="J98" s="836">
        <v>0</v>
      </c>
      <c r="K98" s="835">
        <v>0</v>
      </c>
      <c r="L98" s="836">
        <v>0</v>
      </c>
      <c r="M98" s="836">
        <v>0</v>
      </c>
      <c r="N98" s="836">
        <v>0</v>
      </c>
      <c r="O98" s="836">
        <v>0</v>
      </c>
      <c r="P98" s="837">
        <v>0</v>
      </c>
      <c r="Q98" s="836">
        <v>0</v>
      </c>
      <c r="R98" s="874"/>
      <c r="S98" s="874"/>
      <c r="T98" s="728">
        <f t="shared" si="15"/>
        <v>0</v>
      </c>
      <c r="U98" s="857">
        <v>0</v>
      </c>
      <c r="V98" s="848"/>
    </row>
    <row r="99" spans="1:22" ht="60">
      <c r="A99" s="736"/>
      <c r="B99" s="736"/>
      <c r="C99" s="736"/>
      <c r="D99" s="829">
        <v>92</v>
      </c>
      <c r="E99" s="829" t="s">
        <v>193</v>
      </c>
      <c r="F99" s="874"/>
      <c r="G99" s="874"/>
      <c r="H99" s="874"/>
      <c r="I99" s="874"/>
      <c r="J99" s="874"/>
      <c r="K99" s="874"/>
      <c r="L99" s="874"/>
      <c r="M99" s="874"/>
      <c r="N99" s="874"/>
      <c r="O99" s="874"/>
      <c r="P99" s="875">
        <v>2</v>
      </c>
      <c r="Q99" s="874"/>
      <c r="R99" s="874"/>
      <c r="S99" s="874"/>
      <c r="T99" s="728">
        <f t="shared" si="15"/>
        <v>2</v>
      </c>
      <c r="U99" s="857">
        <v>2</v>
      </c>
      <c r="V99" s="848" t="s">
        <v>194</v>
      </c>
    </row>
    <row r="100" spans="1:22" ht="30">
      <c r="A100" s="736"/>
      <c r="B100" s="736"/>
      <c r="C100" s="736"/>
      <c r="D100" s="829">
        <v>93</v>
      </c>
      <c r="E100" s="829" t="s">
        <v>195</v>
      </c>
      <c r="F100" s="874"/>
      <c r="G100" s="874"/>
      <c r="H100" s="874"/>
      <c r="I100" s="875"/>
      <c r="J100" s="874"/>
      <c r="K100" s="874"/>
      <c r="L100" s="874"/>
      <c r="M100" s="874"/>
      <c r="N100" s="874"/>
      <c r="O100" s="874"/>
      <c r="P100" s="874"/>
      <c r="Q100" s="874"/>
      <c r="R100" s="874"/>
      <c r="S100" s="874"/>
      <c r="T100" s="728">
        <f t="shared" si="15"/>
        <v>0</v>
      </c>
      <c r="U100" s="857">
        <v>0</v>
      </c>
      <c r="V100" s="859"/>
    </row>
    <row r="101" spans="1:22" ht="30">
      <c r="A101" s="736"/>
      <c r="B101" s="736"/>
      <c r="C101" s="736"/>
      <c r="D101" s="829">
        <v>94</v>
      </c>
      <c r="E101" s="829" t="s">
        <v>196</v>
      </c>
      <c r="F101" s="874"/>
      <c r="G101" s="874"/>
      <c r="H101" s="874"/>
      <c r="I101" s="875"/>
      <c r="J101" s="874"/>
      <c r="K101" s="874"/>
      <c r="L101" s="874"/>
      <c r="M101" s="874"/>
      <c r="N101" s="874"/>
      <c r="O101" s="874"/>
      <c r="P101" s="874"/>
      <c r="Q101" s="874"/>
      <c r="R101" s="874"/>
      <c r="S101" s="874"/>
      <c r="T101" s="728">
        <f t="shared" si="15"/>
        <v>0</v>
      </c>
      <c r="U101" s="857">
        <v>0</v>
      </c>
      <c r="V101" s="859"/>
    </row>
    <row r="102" spans="1:22" ht="60">
      <c r="A102" s="736"/>
      <c r="B102" s="736"/>
      <c r="C102" s="736"/>
      <c r="D102" s="829">
        <v>95</v>
      </c>
      <c r="E102" s="829" t="s">
        <v>197</v>
      </c>
      <c r="F102" s="874"/>
      <c r="G102" s="874"/>
      <c r="H102" s="875"/>
      <c r="I102" s="835">
        <v>5</v>
      </c>
      <c r="J102" s="874"/>
      <c r="K102" s="874"/>
      <c r="L102" s="874"/>
      <c r="M102" s="874"/>
      <c r="N102" s="874"/>
      <c r="O102" s="874"/>
      <c r="P102" s="874"/>
      <c r="Q102" s="874"/>
      <c r="R102" s="874"/>
      <c r="S102" s="874"/>
      <c r="T102" s="728">
        <f t="shared" si="15"/>
        <v>5</v>
      </c>
      <c r="U102" s="857">
        <v>0</v>
      </c>
      <c r="V102" s="833" t="s">
        <v>198</v>
      </c>
    </row>
    <row r="103" spans="1:22" ht="182.25" customHeight="1">
      <c r="A103" s="736"/>
      <c r="B103" s="736"/>
      <c r="C103" s="736"/>
      <c r="D103" s="829">
        <v>96</v>
      </c>
      <c r="E103" s="829" t="s">
        <v>199</v>
      </c>
      <c r="F103" s="874"/>
      <c r="G103" s="874"/>
      <c r="H103" s="874"/>
      <c r="I103" s="874"/>
      <c r="J103" s="874"/>
      <c r="K103" s="874"/>
      <c r="L103" s="874"/>
      <c r="M103" s="874"/>
      <c r="N103" s="876"/>
      <c r="O103" s="874"/>
      <c r="P103" s="836">
        <v>2</v>
      </c>
      <c r="Q103" s="835">
        <v>1</v>
      </c>
      <c r="R103" s="875">
        <v>1</v>
      </c>
      <c r="S103" s="874"/>
      <c r="T103" s="728">
        <f t="shared" si="15"/>
        <v>4</v>
      </c>
      <c r="U103" s="857">
        <v>4</v>
      </c>
      <c r="V103" s="833" t="s">
        <v>200</v>
      </c>
    </row>
    <row r="104" spans="1:22" ht="190.5" customHeight="1">
      <c r="A104" s="736"/>
      <c r="B104" s="828" t="s">
        <v>201</v>
      </c>
      <c r="C104" s="828" t="s">
        <v>202</v>
      </c>
      <c r="D104" s="829">
        <v>97</v>
      </c>
      <c r="E104" s="829" t="s">
        <v>203</v>
      </c>
      <c r="F104" s="856"/>
      <c r="G104" s="856"/>
      <c r="H104" s="856"/>
      <c r="I104" s="857">
        <v>1</v>
      </c>
      <c r="J104" s="856"/>
      <c r="K104" s="857"/>
      <c r="L104" s="856"/>
      <c r="M104" s="857"/>
      <c r="N104" s="857">
        <v>3.75</v>
      </c>
      <c r="O104" s="856">
        <v>4</v>
      </c>
      <c r="P104" s="877">
        <v>14.65</v>
      </c>
      <c r="Q104" s="857">
        <v>2.5</v>
      </c>
      <c r="R104" s="877">
        <v>12</v>
      </c>
      <c r="S104" s="856"/>
      <c r="T104" s="728">
        <f t="shared" si="15"/>
        <v>37.9</v>
      </c>
      <c r="U104" s="857">
        <f>T104</f>
        <v>37.9</v>
      </c>
      <c r="V104" s="848" t="s">
        <v>204</v>
      </c>
    </row>
    <row r="105" spans="1:22" ht="57" customHeight="1">
      <c r="A105" s="736"/>
      <c r="B105" s="736"/>
      <c r="C105" s="736"/>
      <c r="D105" s="829">
        <v>98</v>
      </c>
      <c r="E105" s="829" t="s">
        <v>53</v>
      </c>
      <c r="F105" s="856"/>
      <c r="G105" s="856"/>
      <c r="H105" s="856"/>
      <c r="I105" s="856"/>
      <c r="J105" s="856"/>
      <c r="K105" s="856"/>
      <c r="L105" s="856"/>
      <c r="M105" s="856"/>
      <c r="N105" s="856"/>
      <c r="O105" s="856"/>
      <c r="P105" s="856"/>
      <c r="Q105" s="856"/>
      <c r="R105" s="856"/>
      <c r="S105" s="856"/>
      <c r="T105" s="728">
        <f t="shared" si="15"/>
        <v>0</v>
      </c>
      <c r="U105" s="857">
        <v>0</v>
      </c>
      <c r="V105" s="878"/>
    </row>
    <row r="106" spans="1:22" ht="60">
      <c r="A106" s="736"/>
      <c r="B106" s="828" t="s">
        <v>205</v>
      </c>
      <c r="C106" s="828" t="s">
        <v>206</v>
      </c>
      <c r="D106" s="829">
        <v>99</v>
      </c>
      <c r="E106" s="829" t="s">
        <v>207</v>
      </c>
      <c r="F106" s="856"/>
      <c r="G106" s="856"/>
      <c r="H106" s="877"/>
      <c r="I106" s="857">
        <v>2</v>
      </c>
      <c r="J106" s="856"/>
      <c r="K106" s="857"/>
      <c r="L106" s="856"/>
      <c r="M106" s="856"/>
      <c r="N106" s="857">
        <v>1</v>
      </c>
      <c r="O106" s="856"/>
      <c r="P106" s="856"/>
      <c r="Q106" s="857">
        <v>1</v>
      </c>
      <c r="R106" s="856"/>
      <c r="S106" s="856"/>
      <c r="T106" s="728">
        <f t="shared" si="15"/>
        <v>4</v>
      </c>
      <c r="U106" s="857">
        <v>3</v>
      </c>
      <c r="V106" s="848" t="s">
        <v>208</v>
      </c>
    </row>
    <row r="107" spans="1:22" ht="30">
      <c r="A107" s="736"/>
      <c r="B107" s="736"/>
      <c r="C107" s="736"/>
      <c r="D107" s="829">
        <v>100</v>
      </c>
      <c r="E107" s="829" t="s">
        <v>209</v>
      </c>
      <c r="F107" s="856"/>
      <c r="G107" s="856"/>
      <c r="H107" s="856"/>
      <c r="I107" s="857"/>
      <c r="J107" s="856"/>
      <c r="K107" s="857"/>
      <c r="L107" s="856"/>
      <c r="M107" s="856"/>
      <c r="N107" s="856"/>
      <c r="O107" s="856"/>
      <c r="P107" s="856"/>
      <c r="Q107" s="856"/>
      <c r="R107" s="856"/>
      <c r="S107" s="856"/>
      <c r="T107" s="728">
        <f t="shared" si="15"/>
        <v>0</v>
      </c>
      <c r="U107" s="857"/>
      <c r="V107" s="879"/>
    </row>
    <row r="108" spans="1:22" ht="30">
      <c r="A108" s="736"/>
      <c r="B108" s="736"/>
      <c r="C108" s="736"/>
      <c r="D108" s="829">
        <v>101</v>
      </c>
      <c r="E108" s="829" t="s">
        <v>210</v>
      </c>
      <c r="F108" s="856"/>
      <c r="G108" s="856"/>
      <c r="H108" s="856"/>
      <c r="I108" s="856"/>
      <c r="J108" s="856"/>
      <c r="K108" s="856"/>
      <c r="L108" s="856"/>
      <c r="M108" s="856"/>
      <c r="N108" s="856"/>
      <c r="O108" s="856"/>
      <c r="P108" s="856"/>
      <c r="Q108" s="856"/>
      <c r="R108" s="856"/>
      <c r="S108" s="856"/>
      <c r="T108" s="728">
        <f t="shared" si="15"/>
        <v>0</v>
      </c>
      <c r="U108" s="857">
        <v>0</v>
      </c>
      <c r="V108" s="878"/>
    </row>
    <row r="109" spans="1:22" ht="30">
      <c r="A109" s="736"/>
      <c r="B109" s="736"/>
      <c r="C109" s="736"/>
      <c r="D109" s="829">
        <v>102</v>
      </c>
      <c r="E109" s="829" t="s">
        <v>211</v>
      </c>
      <c r="F109" s="856"/>
      <c r="G109" s="856"/>
      <c r="H109" s="856"/>
      <c r="I109" s="856"/>
      <c r="J109" s="856"/>
      <c r="K109" s="856"/>
      <c r="L109" s="856"/>
      <c r="M109" s="856"/>
      <c r="N109" s="856"/>
      <c r="O109" s="856"/>
      <c r="P109" s="856"/>
      <c r="Q109" s="857"/>
      <c r="R109" s="856"/>
      <c r="S109" s="856"/>
      <c r="T109" s="728">
        <f t="shared" si="15"/>
        <v>0</v>
      </c>
      <c r="U109" s="857">
        <v>0</v>
      </c>
      <c r="V109" s="878"/>
    </row>
    <row r="110" spans="1:22" ht="45">
      <c r="A110" s="736"/>
      <c r="B110" s="736"/>
      <c r="C110" s="736"/>
      <c r="D110" s="829">
        <v>103</v>
      </c>
      <c r="E110" s="829" t="s">
        <v>53</v>
      </c>
      <c r="F110" s="856"/>
      <c r="G110" s="856"/>
      <c r="H110" s="856"/>
      <c r="I110" s="856"/>
      <c r="J110" s="856"/>
      <c r="K110" s="856"/>
      <c r="L110" s="856"/>
      <c r="M110" s="856"/>
      <c r="N110" s="856"/>
      <c r="O110" s="856"/>
      <c r="P110" s="877">
        <v>5.6</v>
      </c>
      <c r="Q110" s="856"/>
      <c r="R110" s="877">
        <v>0</v>
      </c>
      <c r="S110" s="877"/>
      <c r="T110" s="728">
        <f t="shared" si="15"/>
        <v>5.6</v>
      </c>
      <c r="U110" s="857">
        <v>5.6</v>
      </c>
      <c r="V110" s="848" t="s">
        <v>212</v>
      </c>
    </row>
    <row r="111" spans="1:22" ht="268.5" customHeight="1">
      <c r="A111" s="736"/>
      <c r="B111" s="828" t="s">
        <v>213</v>
      </c>
      <c r="C111" s="828" t="s">
        <v>214</v>
      </c>
      <c r="D111" s="829">
        <v>104</v>
      </c>
      <c r="E111" s="829" t="s">
        <v>215</v>
      </c>
      <c r="F111" s="856"/>
      <c r="G111" s="856"/>
      <c r="H111" s="856"/>
      <c r="I111" s="856"/>
      <c r="J111" s="856"/>
      <c r="K111" s="856"/>
      <c r="L111" s="856"/>
      <c r="M111" s="856"/>
      <c r="N111" s="877">
        <v>0.8</v>
      </c>
      <c r="O111" s="856"/>
      <c r="P111" s="877"/>
      <c r="Q111" s="877">
        <v>1.5</v>
      </c>
      <c r="R111" s="877">
        <v>1.5</v>
      </c>
      <c r="S111" s="877"/>
      <c r="T111" s="728">
        <f t="shared" si="15"/>
        <v>3.8</v>
      </c>
      <c r="U111" s="857">
        <v>3.8</v>
      </c>
      <c r="V111" s="848" t="s">
        <v>1580</v>
      </c>
    </row>
    <row r="112" spans="1:22" ht="75">
      <c r="A112" s="736"/>
      <c r="B112" s="736"/>
      <c r="C112" s="736"/>
      <c r="D112" s="829">
        <v>105</v>
      </c>
      <c r="E112" s="829" t="s">
        <v>216</v>
      </c>
      <c r="F112" s="856"/>
      <c r="G112" s="856"/>
      <c r="H112" s="856"/>
      <c r="I112" s="856"/>
      <c r="J112" s="856"/>
      <c r="K112" s="856"/>
      <c r="L112" s="856"/>
      <c r="M112" s="856"/>
      <c r="N112" s="856"/>
      <c r="O112" s="856"/>
      <c r="P112" s="857">
        <v>2</v>
      </c>
      <c r="Q112" s="856"/>
      <c r="R112" s="856"/>
      <c r="S112" s="856"/>
      <c r="T112" s="728">
        <f t="shared" si="15"/>
        <v>2</v>
      </c>
      <c r="U112" s="857">
        <v>2</v>
      </c>
      <c r="V112" s="833" t="s">
        <v>217</v>
      </c>
    </row>
    <row r="113" spans="1:22" ht="45">
      <c r="A113" s="736"/>
      <c r="B113" s="736"/>
      <c r="C113" s="736"/>
      <c r="D113" s="829">
        <v>106</v>
      </c>
      <c r="E113" s="829" t="s">
        <v>218</v>
      </c>
      <c r="F113" s="856"/>
      <c r="G113" s="856"/>
      <c r="H113" s="856"/>
      <c r="I113" s="857"/>
      <c r="J113" s="856"/>
      <c r="K113" s="857"/>
      <c r="L113" s="856"/>
      <c r="M113" s="856"/>
      <c r="N113" s="857">
        <v>0.2</v>
      </c>
      <c r="O113" s="856"/>
      <c r="P113" s="877"/>
      <c r="Q113" s="880"/>
      <c r="R113" s="880"/>
      <c r="S113" s="880"/>
      <c r="T113" s="728">
        <f t="shared" si="15"/>
        <v>0.2</v>
      </c>
      <c r="U113" s="857">
        <v>0.2</v>
      </c>
      <c r="V113" s="848" t="s">
        <v>219</v>
      </c>
    </row>
    <row r="114" spans="1:22" ht="62.25" customHeight="1">
      <c r="A114" s="736"/>
      <c r="B114" s="828" t="s">
        <v>220</v>
      </c>
      <c r="C114" s="828" t="s">
        <v>221</v>
      </c>
      <c r="D114" s="829">
        <v>107</v>
      </c>
      <c r="E114" s="829" t="s">
        <v>222</v>
      </c>
      <c r="F114" s="856"/>
      <c r="G114" s="856"/>
      <c r="H114" s="856"/>
      <c r="I114" s="857"/>
      <c r="J114" s="856"/>
      <c r="K114" s="857"/>
      <c r="L114" s="856"/>
      <c r="M114" s="856"/>
      <c r="N114" s="857"/>
      <c r="O114" s="856"/>
      <c r="P114" s="877">
        <v>2.5</v>
      </c>
      <c r="Q114" s="856"/>
      <c r="R114" s="877">
        <v>1</v>
      </c>
      <c r="S114" s="856"/>
      <c r="T114" s="728">
        <f t="shared" si="15"/>
        <v>3.5</v>
      </c>
      <c r="U114" s="857">
        <v>3.5</v>
      </c>
      <c r="V114" s="848" t="s">
        <v>223</v>
      </c>
    </row>
    <row r="115" spans="1:22" ht="39" customHeight="1">
      <c r="A115" s="736"/>
      <c r="B115" s="736"/>
      <c r="C115" s="736"/>
      <c r="D115" s="829">
        <v>108</v>
      </c>
      <c r="E115" s="829" t="s">
        <v>224</v>
      </c>
      <c r="F115" s="856"/>
      <c r="G115" s="856"/>
      <c r="H115" s="856"/>
      <c r="I115" s="857"/>
      <c r="J115" s="856"/>
      <c r="K115" s="857"/>
      <c r="L115" s="856"/>
      <c r="M115" s="856"/>
      <c r="N115" s="856"/>
      <c r="O115" s="856"/>
      <c r="P115" s="877">
        <v>5.5</v>
      </c>
      <c r="Q115" s="856"/>
      <c r="R115" s="856"/>
      <c r="S115" s="856"/>
      <c r="T115" s="728">
        <f t="shared" si="15"/>
        <v>5.5</v>
      </c>
      <c r="U115" s="857">
        <v>5.5</v>
      </c>
      <c r="V115" s="848" t="s">
        <v>225</v>
      </c>
    </row>
    <row r="116" spans="1:22" ht="36" customHeight="1">
      <c r="A116" s="736"/>
      <c r="B116" s="736"/>
      <c r="C116" s="736"/>
      <c r="D116" s="829">
        <v>109</v>
      </c>
      <c r="E116" s="829" t="s">
        <v>226</v>
      </c>
      <c r="F116" s="856"/>
      <c r="G116" s="856"/>
      <c r="H116" s="877"/>
      <c r="I116" s="857"/>
      <c r="J116" s="856"/>
      <c r="K116" s="857"/>
      <c r="L116" s="856"/>
      <c r="M116" s="856"/>
      <c r="N116" s="856"/>
      <c r="O116" s="856"/>
      <c r="P116" s="856"/>
      <c r="Q116" s="856"/>
      <c r="R116" s="856"/>
      <c r="S116" s="856"/>
      <c r="T116" s="728">
        <f t="shared" si="15"/>
        <v>0</v>
      </c>
      <c r="U116" s="857">
        <v>0</v>
      </c>
      <c r="V116" s="878"/>
    </row>
    <row r="117" spans="1:22" ht="150">
      <c r="A117" s="736"/>
      <c r="B117" s="736"/>
      <c r="C117" s="736"/>
      <c r="D117" s="829">
        <v>110</v>
      </c>
      <c r="E117" s="829" t="s">
        <v>227</v>
      </c>
      <c r="F117" s="856"/>
      <c r="G117" s="856"/>
      <c r="H117" s="856"/>
      <c r="I117" s="857"/>
      <c r="J117" s="856"/>
      <c r="K117" s="857"/>
      <c r="L117" s="856"/>
      <c r="M117" s="877"/>
      <c r="N117" s="857">
        <v>3</v>
      </c>
      <c r="O117" s="877">
        <v>61.85</v>
      </c>
      <c r="P117" s="857"/>
      <c r="Q117" s="877">
        <v>5.77</v>
      </c>
      <c r="R117" s="877">
        <v>3</v>
      </c>
      <c r="S117" s="856"/>
      <c r="T117" s="728">
        <f t="shared" si="15"/>
        <v>73.61999999999999</v>
      </c>
      <c r="U117" s="857">
        <f>T117</f>
        <v>73.61999999999999</v>
      </c>
      <c r="V117" s="833" t="s">
        <v>228</v>
      </c>
    </row>
    <row r="118" spans="1:22" ht="45">
      <c r="A118" s="736"/>
      <c r="B118" s="736"/>
      <c r="C118" s="736"/>
      <c r="D118" s="829">
        <v>111</v>
      </c>
      <c r="E118" s="829" t="s">
        <v>53</v>
      </c>
      <c r="F118" s="856"/>
      <c r="G118" s="856"/>
      <c r="H118" s="856"/>
      <c r="I118" s="877"/>
      <c r="J118" s="856"/>
      <c r="K118" s="877"/>
      <c r="L118" s="856"/>
      <c r="M118" s="856"/>
      <c r="N118" s="856"/>
      <c r="O118" s="856"/>
      <c r="P118" s="877"/>
      <c r="Q118" s="857"/>
      <c r="R118" s="856"/>
      <c r="S118" s="877"/>
      <c r="T118" s="728">
        <f t="shared" si="15"/>
        <v>0</v>
      </c>
      <c r="U118" s="857">
        <v>0</v>
      </c>
      <c r="V118" s="879"/>
    </row>
    <row r="119" spans="1:22" ht="30">
      <c r="A119" s="736"/>
      <c r="B119" s="828" t="s">
        <v>229</v>
      </c>
      <c r="C119" s="828" t="s">
        <v>230</v>
      </c>
      <c r="D119" s="829">
        <v>112</v>
      </c>
      <c r="E119" s="829" t="s">
        <v>231</v>
      </c>
      <c r="F119" s="856"/>
      <c r="G119" s="856"/>
      <c r="H119" s="856"/>
      <c r="I119" s="857"/>
      <c r="J119" s="856"/>
      <c r="K119" s="857"/>
      <c r="L119" s="856"/>
      <c r="M119" s="856"/>
      <c r="N119" s="856"/>
      <c r="O119" s="856"/>
      <c r="P119" s="856"/>
      <c r="Q119" s="857"/>
      <c r="R119" s="856"/>
      <c r="S119" s="856"/>
      <c r="T119" s="728">
        <f t="shared" si="15"/>
        <v>0</v>
      </c>
      <c r="U119" s="857">
        <v>0</v>
      </c>
      <c r="V119" s="878"/>
    </row>
    <row r="120" spans="1:22" ht="30">
      <c r="A120" s="736"/>
      <c r="B120" s="736"/>
      <c r="C120" s="736"/>
      <c r="D120" s="829">
        <v>113</v>
      </c>
      <c r="E120" s="829" t="s">
        <v>232</v>
      </c>
      <c r="F120" s="856"/>
      <c r="G120" s="856"/>
      <c r="H120" s="856"/>
      <c r="I120" s="857"/>
      <c r="J120" s="856"/>
      <c r="K120" s="857"/>
      <c r="L120" s="856"/>
      <c r="M120" s="857"/>
      <c r="N120" s="857">
        <v>0.5</v>
      </c>
      <c r="O120" s="856"/>
      <c r="P120" s="856"/>
      <c r="Q120" s="857">
        <v>0.3</v>
      </c>
      <c r="R120" s="856"/>
      <c r="S120" s="856"/>
      <c r="T120" s="728">
        <f t="shared" si="15"/>
        <v>0.8</v>
      </c>
      <c r="U120" s="857">
        <v>0.8</v>
      </c>
      <c r="V120" s="879" t="s">
        <v>233</v>
      </c>
    </row>
    <row r="121" spans="1:22" ht="94.5" customHeight="1">
      <c r="A121" s="736"/>
      <c r="B121" s="829" t="s">
        <v>234</v>
      </c>
      <c r="C121" s="829" t="s">
        <v>235</v>
      </c>
      <c r="D121" s="829">
        <v>114</v>
      </c>
      <c r="E121" s="829" t="s">
        <v>236</v>
      </c>
      <c r="F121" s="856"/>
      <c r="G121" s="856"/>
      <c r="H121" s="877"/>
      <c r="I121" s="856">
        <v>0.28000000000000003</v>
      </c>
      <c r="J121" s="856"/>
      <c r="K121" s="856"/>
      <c r="L121" s="856"/>
      <c r="M121" s="856"/>
      <c r="N121" s="877">
        <v>0.5</v>
      </c>
      <c r="O121" s="880">
        <v>0</v>
      </c>
      <c r="P121" s="856">
        <v>2.9</v>
      </c>
      <c r="Q121" s="857">
        <v>0.5</v>
      </c>
      <c r="R121" s="877">
        <v>0.5</v>
      </c>
      <c r="S121" s="877">
        <v>0</v>
      </c>
      <c r="T121" s="728">
        <f t="shared" si="15"/>
        <v>4.68</v>
      </c>
      <c r="U121" s="857">
        <v>16.68</v>
      </c>
      <c r="V121" s="848" t="s">
        <v>237</v>
      </c>
    </row>
    <row r="122" spans="1:22" ht="65.25" customHeight="1">
      <c r="A122" s="736"/>
      <c r="B122" s="828" t="s">
        <v>238</v>
      </c>
      <c r="C122" s="828" t="s">
        <v>239</v>
      </c>
      <c r="D122" s="829">
        <v>115</v>
      </c>
      <c r="E122" s="829" t="s">
        <v>240</v>
      </c>
      <c r="F122" s="856"/>
      <c r="G122" s="856"/>
      <c r="H122" s="856"/>
      <c r="I122" s="856"/>
      <c r="J122" s="856"/>
      <c r="K122" s="856"/>
      <c r="L122" s="856"/>
      <c r="M122" s="857">
        <v>5</v>
      </c>
      <c r="N122" s="856"/>
      <c r="O122" s="881"/>
      <c r="P122" s="856"/>
      <c r="Q122" s="856">
        <v>7.25</v>
      </c>
      <c r="R122" s="856"/>
      <c r="S122" s="856"/>
      <c r="T122" s="728">
        <f t="shared" si="15"/>
        <v>12.25</v>
      </c>
      <c r="U122" s="857">
        <v>12.25</v>
      </c>
      <c r="V122" s="848" t="s">
        <v>241</v>
      </c>
    </row>
    <row r="123" spans="1:22" ht="40.5" customHeight="1">
      <c r="A123" s="736"/>
      <c r="B123" s="736"/>
      <c r="C123" s="736"/>
      <c r="D123" s="829">
        <v>116</v>
      </c>
      <c r="E123" s="829" t="s">
        <v>242</v>
      </c>
      <c r="F123" s="856"/>
      <c r="G123" s="856"/>
      <c r="H123" s="856"/>
      <c r="I123" s="856"/>
      <c r="J123" s="856"/>
      <c r="K123" s="856"/>
      <c r="L123" s="856"/>
      <c r="M123" s="857">
        <v>7.25</v>
      </c>
      <c r="N123" s="856"/>
      <c r="O123" s="856"/>
      <c r="P123" s="856"/>
      <c r="Q123" s="856"/>
      <c r="R123" s="856"/>
      <c r="S123" s="856"/>
      <c r="T123" s="728">
        <f t="shared" si="15"/>
        <v>7.25</v>
      </c>
      <c r="U123" s="857">
        <v>7.25</v>
      </c>
      <c r="V123" s="848" t="s">
        <v>243</v>
      </c>
    </row>
    <row r="124" spans="1:22" ht="30">
      <c r="A124" s="736"/>
      <c r="B124" s="736"/>
      <c r="C124" s="736"/>
      <c r="D124" s="829">
        <v>117</v>
      </c>
      <c r="E124" s="829" t="s">
        <v>244</v>
      </c>
      <c r="F124" s="856"/>
      <c r="G124" s="856"/>
      <c r="H124" s="856"/>
      <c r="I124" s="856"/>
      <c r="J124" s="856"/>
      <c r="K124" s="856"/>
      <c r="L124" s="856"/>
      <c r="M124" s="856"/>
      <c r="N124" s="856"/>
      <c r="O124" s="856"/>
      <c r="P124" s="856"/>
      <c r="Q124" s="856"/>
      <c r="R124" s="856"/>
      <c r="S124" s="856"/>
      <c r="T124" s="857">
        <v>0</v>
      </c>
      <c r="U124" s="857">
        <v>0</v>
      </c>
      <c r="V124" s="833"/>
    </row>
    <row r="125" spans="1:22" ht="45">
      <c r="A125" s="736"/>
      <c r="B125" s="736"/>
      <c r="C125" s="736"/>
      <c r="D125" s="829">
        <v>118</v>
      </c>
      <c r="E125" s="829" t="s">
        <v>53</v>
      </c>
      <c r="F125" s="856"/>
      <c r="G125" s="856"/>
      <c r="H125" s="856"/>
      <c r="I125" s="856"/>
      <c r="J125" s="856"/>
      <c r="K125" s="856"/>
      <c r="L125" s="856"/>
      <c r="M125" s="856"/>
      <c r="N125" s="856"/>
      <c r="O125" s="856"/>
      <c r="P125" s="856"/>
      <c r="Q125" s="857"/>
      <c r="R125" s="856"/>
      <c r="S125" s="856"/>
      <c r="T125" s="857">
        <v>0</v>
      </c>
      <c r="U125" s="857">
        <v>0</v>
      </c>
      <c r="V125" s="833"/>
    </row>
    <row r="126" spans="1:22" ht="104.25" customHeight="1">
      <c r="A126" s="736"/>
      <c r="B126" s="829" t="s">
        <v>245</v>
      </c>
      <c r="C126" s="829" t="s">
        <v>246</v>
      </c>
      <c r="D126" s="829">
        <v>119</v>
      </c>
      <c r="E126" s="829" t="s">
        <v>247</v>
      </c>
      <c r="F126" s="856"/>
      <c r="G126" s="856"/>
      <c r="H126" s="877"/>
      <c r="I126" s="857"/>
      <c r="J126" s="856"/>
      <c r="K126" s="856"/>
      <c r="L126" s="856"/>
      <c r="M126" s="856"/>
      <c r="N126" s="857">
        <v>2</v>
      </c>
      <c r="O126" s="856"/>
      <c r="P126" s="877">
        <v>8</v>
      </c>
      <c r="Q126" s="857"/>
      <c r="R126" s="856"/>
      <c r="S126" s="856">
        <v>0</v>
      </c>
      <c r="T126" s="728">
        <f t="shared" ref="T126:T133" si="16">SUM(F126:S126)</f>
        <v>10</v>
      </c>
      <c r="U126" s="857">
        <v>10</v>
      </c>
      <c r="V126" s="848" t="s">
        <v>248</v>
      </c>
    </row>
    <row r="127" spans="1:22" ht="210">
      <c r="A127" s="736"/>
      <c r="B127" s="829" t="s">
        <v>249</v>
      </c>
      <c r="C127" s="829" t="s">
        <v>250</v>
      </c>
      <c r="D127" s="829">
        <v>120</v>
      </c>
      <c r="E127" s="829" t="s">
        <v>251</v>
      </c>
      <c r="F127" s="856"/>
      <c r="G127" s="856"/>
      <c r="H127" s="856"/>
      <c r="I127" s="856"/>
      <c r="J127" s="856"/>
      <c r="K127" s="877"/>
      <c r="L127" s="856"/>
      <c r="M127" s="877"/>
      <c r="N127" s="857"/>
      <c r="O127" s="856"/>
      <c r="P127" s="877"/>
      <c r="Q127" s="857"/>
      <c r="R127" s="877"/>
      <c r="S127" s="856"/>
      <c r="T127" s="728">
        <f t="shared" si="16"/>
        <v>0</v>
      </c>
      <c r="U127" s="857">
        <v>0</v>
      </c>
      <c r="V127" s="833"/>
    </row>
    <row r="128" spans="1:22" ht="85.5" customHeight="1">
      <c r="A128" s="736"/>
      <c r="B128" s="828" t="s">
        <v>252</v>
      </c>
      <c r="C128" s="828" t="s">
        <v>253</v>
      </c>
      <c r="D128" s="829">
        <v>121</v>
      </c>
      <c r="E128" s="829" t="s">
        <v>254</v>
      </c>
      <c r="F128" s="856">
        <v>0</v>
      </c>
      <c r="G128" s="856">
        <v>0</v>
      </c>
      <c r="H128" s="856">
        <v>0</v>
      </c>
      <c r="I128" s="857">
        <v>0</v>
      </c>
      <c r="J128" s="856">
        <v>0</v>
      </c>
      <c r="K128" s="856">
        <v>0</v>
      </c>
      <c r="L128" s="856">
        <v>0</v>
      </c>
      <c r="M128" s="856">
        <v>0</v>
      </c>
      <c r="N128" s="856">
        <v>0.96</v>
      </c>
      <c r="O128" s="856">
        <v>0</v>
      </c>
      <c r="P128" s="856">
        <v>0</v>
      </c>
      <c r="Q128" s="856">
        <v>0</v>
      </c>
      <c r="R128" s="856">
        <v>0</v>
      </c>
      <c r="S128" s="856">
        <v>0</v>
      </c>
      <c r="T128" s="728">
        <f t="shared" si="16"/>
        <v>0.96</v>
      </c>
      <c r="U128" s="857">
        <v>1.6225000000000001</v>
      </c>
      <c r="V128" s="848" t="s">
        <v>255</v>
      </c>
    </row>
    <row r="129" spans="1:22" ht="30">
      <c r="A129" s="736"/>
      <c r="B129" s="736"/>
      <c r="C129" s="736"/>
      <c r="D129" s="829">
        <v>122</v>
      </c>
      <c r="E129" s="829" t="s">
        <v>256</v>
      </c>
      <c r="F129" s="856">
        <v>0</v>
      </c>
      <c r="G129" s="856">
        <v>0</v>
      </c>
      <c r="H129" s="856">
        <v>0</v>
      </c>
      <c r="I129" s="856">
        <v>0</v>
      </c>
      <c r="J129" s="856">
        <v>0</v>
      </c>
      <c r="K129" s="856">
        <v>0</v>
      </c>
      <c r="L129" s="856">
        <v>0</v>
      </c>
      <c r="M129" s="856">
        <v>0</v>
      </c>
      <c r="N129" s="856">
        <v>0</v>
      </c>
      <c r="O129" s="856">
        <v>0</v>
      </c>
      <c r="P129" s="856">
        <v>0</v>
      </c>
      <c r="Q129" s="856">
        <v>0</v>
      </c>
      <c r="R129" s="856">
        <v>0</v>
      </c>
      <c r="S129" s="856">
        <v>0</v>
      </c>
      <c r="T129" s="728">
        <f t="shared" si="16"/>
        <v>0</v>
      </c>
      <c r="U129" s="857">
        <v>0</v>
      </c>
      <c r="V129" s="859"/>
    </row>
    <row r="130" spans="1:22" ht="79.5" customHeight="1">
      <c r="A130" s="736"/>
      <c r="B130" s="736"/>
      <c r="C130" s="736"/>
      <c r="D130" s="829">
        <v>123</v>
      </c>
      <c r="E130" s="829" t="s">
        <v>257</v>
      </c>
      <c r="F130" s="856">
        <v>0</v>
      </c>
      <c r="G130" s="856">
        <v>0</v>
      </c>
      <c r="H130" s="856">
        <v>0</v>
      </c>
      <c r="I130" s="856">
        <v>0</v>
      </c>
      <c r="J130" s="856">
        <v>0</v>
      </c>
      <c r="K130" s="856">
        <v>0</v>
      </c>
      <c r="L130" s="856">
        <v>0</v>
      </c>
      <c r="M130" s="856">
        <v>0</v>
      </c>
      <c r="N130" s="856">
        <v>0</v>
      </c>
      <c r="O130" s="856">
        <v>0</v>
      </c>
      <c r="P130" s="877">
        <v>0</v>
      </c>
      <c r="Q130" s="857">
        <v>1.5</v>
      </c>
      <c r="R130" s="856">
        <v>0</v>
      </c>
      <c r="S130" s="856">
        <v>0</v>
      </c>
      <c r="T130" s="728">
        <f t="shared" si="16"/>
        <v>1.5</v>
      </c>
      <c r="U130" s="857">
        <v>1.5</v>
      </c>
      <c r="V130" s="882" t="s">
        <v>258</v>
      </c>
    </row>
    <row r="131" spans="1:22" ht="30">
      <c r="A131" s="736"/>
      <c r="B131" s="828" t="s">
        <v>259</v>
      </c>
      <c r="C131" s="828" t="s">
        <v>260</v>
      </c>
      <c r="D131" s="829">
        <v>124</v>
      </c>
      <c r="E131" s="829" t="s">
        <v>261</v>
      </c>
      <c r="F131" s="856"/>
      <c r="G131" s="856"/>
      <c r="H131" s="877">
        <v>0</v>
      </c>
      <c r="I131" s="856"/>
      <c r="J131" s="856"/>
      <c r="K131" s="856"/>
      <c r="L131" s="856"/>
      <c r="M131" s="856"/>
      <c r="N131" s="856">
        <v>1</v>
      </c>
      <c r="O131" s="856"/>
      <c r="P131" s="856"/>
      <c r="Q131" s="877">
        <v>0.5</v>
      </c>
      <c r="R131" s="856"/>
      <c r="S131" s="856"/>
      <c r="T131" s="728">
        <f t="shared" si="16"/>
        <v>1.5</v>
      </c>
      <c r="U131" s="883">
        <v>1.5</v>
      </c>
      <c r="V131" s="848" t="s">
        <v>262</v>
      </c>
    </row>
    <row r="132" spans="1:22" ht="45">
      <c r="A132" s="736"/>
      <c r="B132" s="736"/>
      <c r="C132" s="736"/>
      <c r="D132" s="829">
        <v>125</v>
      </c>
      <c r="E132" s="829" t="s">
        <v>263</v>
      </c>
      <c r="F132" s="856"/>
      <c r="G132" s="856"/>
      <c r="H132" s="877"/>
      <c r="I132" s="856"/>
      <c r="J132" s="856"/>
      <c r="K132" s="856"/>
      <c r="L132" s="856"/>
      <c r="M132" s="856"/>
      <c r="N132" s="856">
        <v>1</v>
      </c>
      <c r="O132" s="856"/>
      <c r="P132" s="856"/>
      <c r="Q132" s="877">
        <v>0.5</v>
      </c>
      <c r="R132" s="856"/>
      <c r="S132" s="856"/>
      <c r="T132" s="728">
        <f t="shared" si="16"/>
        <v>1.5</v>
      </c>
      <c r="U132" s="883">
        <v>1.5</v>
      </c>
      <c r="V132" s="848" t="s">
        <v>262</v>
      </c>
    </row>
    <row r="133" spans="1:22" ht="96.75" customHeight="1">
      <c r="A133" s="736"/>
      <c r="B133" s="829" t="s">
        <v>264</v>
      </c>
      <c r="C133" s="829" t="s">
        <v>265</v>
      </c>
      <c r="D133" s="829">
        <v>126</v>
      </c>
      <c r="E133" s="829" t="s">
        <v>181</v>
      </c>
      <c r="F133" s="836"/>
      <c r="G133" s="836"/>
      <c r="H133" s="836"/>
      <c r="I133" s="836"/>
      <c r="J133" s="836"/>
      <c r="K133" s="836"/>
      <c r="L133" s="836"/>
      <c r="M133" s="836"/>
      <c r="N133" s="836"/>
      <c r="O133" s="836"/>
      <c r="P133" s="836"/>
      <c r="Q133" s="836"/>
      <c r="R133" s="836"/>
      <c r="S133" s="836"/>
      <c r="T133" s="728">
        <f t="shared" si="16"/>
        <v>0</v>
      </c>
      <c r="U133" s="728"/>
      <c r="V133" s="833"/>
    </row>
    <row r="134" spans="1:22" ht="24.75" customHeight="1">
      <c r="A134" s="736"/>
      <c r="B134" s="866" t="s">
        <v>266</v>
      </c>
      <c r="C134" s="850"/>
      <c r="D134" s="850"/>
      <c r="E134" s="867"/>
      <c r="F134" s="868">
        <f t="shared" ref="F134:U134" si="17">SUM(F94:F133)</f>
        <v>0</v>
      </c>
      <c r="G134" s="868">
        <f t="shared" si="17"/>
        <v>0</v>
      </c>
      <c r="H134" s="868">
        <f t="shared" si="17"/>
        <v>0</v>
      </c>
      <c r="I134" s="868">
        <f t="shared" si="17"/>
        <v>8.2799999999999994</v>
      </c>
      <c r="J134" s="868">
        <f t="shared" si="17"/>
        <v>0</v>
      </c>
      <c r="K134" s="870">
        <f t="shared" si="17"/>
        <v>8</v>
      </c>
      <c r="L134" s="868">
        <f t="shared" si="17"/>
        <v>0</v>
      </c>
      <c r="M134" s="868">
        <f t="shared" si="17"/>
        <v>12.25</v>
      </c>
      <c r="N134" s="868">
        <f t="shared" si="17"/>
        <v>14.71</v>
      </c>
      <c r="O134" s="868">
        <f t="shared" si="17"/>
        <v>65.849999999999994</v>
      </c>
      <c r="P134" s="868">
        <f t="shared" si="17"/>
        <v>60.15</v>
      </c>
      <c r="Q134" s="868">
        <f t="shared" si="17"/>
        <v>22.32</v>
      </c>
      <c r="R134" s="868">
        <f t="shared" si="17"/>
        <v>19</v>
      </c>
      <c r="S134" s="868">
        <f t="shared" si="17"/>
        <v>0</v>
      </c>
      <c r="T134" s="870">
        <f t="shared" si="17"/>
        <v>210.56000000000003</v>
      </c>
      <c r="U134" s="870">
        <f t="shared" si="17"/>
        <v>209.22250000000003</v>
      </c>
      <c r="V134" s="873"/>
    </row>
    <row r="135" spans="1:22" ht="60">
      <c r="A135" s="831" t="s">
        <v>267</v>
      </c>
      <c r="B135" s="828" t="s">
        <v>268</v>
      </c>
      <c r="C135" s="828" t="s">
        <v>269</v>
      </c>
      <c r="D135" s="829">
        <v>127</v>
      </c>
      <c r="E135" s="829" t="s">
        <v>270</v>
      </c>
      <c r="F135" s="836"/>
      <c r="G135" s="836"/>
      <c r="H135" s="836"/>
      <c r="I135" s="836"/>
      <c r="J135" s="836"/>
      <c r="K135" s="836"/>
      <c r="L135" s="836"/>
      <c r="M135" s="836"/>
      <c r="N135" s="836"/>
      <c r="O135" s="836"/>
      <c r="P135" s="836"/>
      <c r="Q135" s="836"/>
      <c r="R135" s="836"/>
      <c r="S135" s="836"/>
      <c r="T135" s="728">
        <f t="shared" ref="T135:T157" si="18">SUM(F135:S135)</f>
        <v>0</v>
      </c>
      <c r="U135" s="728">
        <f>T135*1.05</f>
        <v>0</v>
      </c>
      <c r="V135" s="834"/>
    </row>
    <row r="136" spans="1:22" ht="30">
      <c r="A136" s="736"/>
      <c r="B136" s="736"/>
      <c r="C136" s="736"/>
      <c r="D136" s="829">
        <v>128</v>
      </c>
      <c r="E136" s="829" t="s">
        <v>271</v>
      </c>
      <c r="F136" s="836"/>
      <c r="G136" s="836"/>
      <c r="H136" s="836"/>
      <c r="I136" s="836"/>
      <c r="J136" s="836"/>
      <c r="K136" s="835"/>
      <c r="L136" s="836"/>
      <c r="M136" s="836"/>
      <c r="N136" s="835"/>
      <c r="O136" s="836"/>
      <c r="P136" s="847"/>
      <c r="Q136" s="835">
        <f>(0.75*18)</f>
        <v>13.5</v>
      </c>
      <c r="R136" s="836"/>
      <c r="S136" s="836"/>
      <c r="T136" s="728">
        <f t="shared" si="18"/>
        <v>13.5</v>
      </c>
      <c r="U136" s="835">
        <f>T136</f>
        <v>13.5</v>
      </c>
      <c r="V136" s="848" t="s">
        <v>272</v>
      </c>
    </row>
    <row r="137" spans="1:22" ht="45">
      <c r="A137" s="736"/>
      <c r="B137" s="829"/>
      <c r="C137" s="829"/>
      <c r="D137" s="829">
        <v>129</v>
      </c>
      <c r="E137" s="829" t="s">
        <v>273</v>
      </c>
      <c r="F137" s="836"/>
      <c r="G137" s="836"/>
      <c r="H137" s="836"/>
      <c r="I137" s="836"/>
      <c r="J137" s="836"/>
      <c r="K137" s="836"/>
      <c r="L137" s="836"/>
      <c r="M137" s="836"/>
      <c r="N137" s="836"/>
      <c r="O137" s="836"/>
      <c r="P137" s="836"/>
      <c r="Q137" s="836"/>
      <c r="R137" s="836"/>
      <c r="S137" s="836"/>
      <c r="T137" s="728">
        <f t="shared" si="18"/>
        <v>0</v>
      </c>
      <c r="U137" s="728">
        <f t="shared" ref="U137:U138" si="19">T137*1.05</f>
        <v>0</v>
      </c>
      <c r="V137" s="834"/>
    </row>
    <row r="138" spans="1:22" ht="60">
      <c r="A138" s="736"/>
      <c r="B138" s="828" t="s">
        <v>274</v>
      </c>
      <c r="C138" s="828" t="s">
        <v>275</v>
      </c>
      <c r="D138" s="829">
        <v>130</v>
      </c>
      <c r="E138" s="829" t="s">
        <v>276</v>
      </c>
      <c r="F138" s="836"/>
      <c r="G138" s="836"/>
      <c r="H138" s="836"/>
      <c r="I138" s="836"/>
      <c r="J138" s="836"/>
      <c r="K138" s="836"/>
      <c r="L138" s="836"/>
      <c r="M138" s="836"/>
      <c r="N138" s="836"/>
      <c r="O138" s="836"/>
      <c r="P138" s="836"/>
      <c r="Q138" s="836"/>
      <c r="R138" s="836"/>
      <c r="S138" s="836"/>
      <c r="T138" s="728">
        <f t="shared" si="18"/>
        <v>0</v>
      </c>
      <c r="U138" s="728">
        <f t="shared" si="19"/>
        <v>0</v>
      </c>
      <c r="V138" s="834"/>
    </row>
    <row r="139" spans="1:22">
      <c r="A139" s="736"/>
      <c r="B139" s="736"/>
      <c r="C139" s="736"/>
      <c r="D139" s="829">
        <v>131</v>
      </c>
      <c r="E139" s="829" t="s">
        <v>277</v>
      </c>
      <c r="F139" s="836"/>
      <c r="G139" s="836"/>
      <c r="H139" s="836"/>
      <c r="I139" s="836"/>
      <c r="J139" s="836"/>
      <c r="K139" s="836"/>
      <c r="L139" s="836"/>
      <c r="M139" s="836"/>
      <c r="N139" s="835">
        <f>0.01*252</f>
        <v>2.52</v>
      </c>
      <c r="O139" s="836"/>
      <c r="P139" s="836"/>
      <c r="Q139" s="836"/>
      <c r="R139" s="836"/>
      <c r="S139" s="836"/>
      <c r="T139" s="728">
        <f t="shared" si="18"/>
        <v>2.52</v>
      </c>
      <c r="U139" s="835">
        <f>0.01*264</f>
        <v>2.64</v>
      </c>
      <c r="V139" s="848" t="s">
        <v>278</v>
      </c>
    </row>
    <row r="140" spans="1:22">
      <c r="A140" s="736"/>
      <c r="B140" s="736"/>
      <c r="C140" s="736"/>
      <c r="D140" s="829">
        <v>132</v>
      </c>
      <c r="E140" s="829" t="s">
        <v>279</v>
      </c>
      <c r="F140" s="836"/>
      <c r="G140" s="836"/>
      <c r="H140" s="836"/>
      <c r="I140" s="836"/>
      <c r="J140" s="836"/>
      <c r="K140" s="836"/>
      <c r="L140" s="836"/>
      <c r="M140" s="836"/>
      <c r="N140" s="836"/>
      <c r="O140" s="836"/>
      <c r="P140" s="836"/>
      <c r="Q140" s="836"/>
      <c r="R140" s="836"/>
      <c r="S140" s="836"/>
      <c r="T140" s="728">
        <f t="shared" si="18"/>
        <v>0</v>
      </c>
      <c r="U140" s="728">
        <f t="shared" ref="U140:U141" si="20">T140*1.05</f>
        <v>0</v>
      </c>
      <c r="V140" s="834"/>
    </row>
    <row r="141" spans="1:22">
      <c r="A141" s="736"/>
      <c r="B141" s="736"/>
      <c r="C141" s="736"/>
      <c r="D141" s="829">
        <v>133</v>
      </c>
      <c r="E141" s="829" t="s">
        <v>280</v>
      </c>
      <c r="F141" s="836"/>
      <c r="G141" s="836"/>
      <c r="H141" s="836"/>
      <c r="I141" s="836"/>
      <c r="J141" s="836"/>
      <c r="K141" s="836"/>
      <c r="L141" s="836"/>
      <c r="M141" s="836"/>
      <c r="N141" s="836"/>
      <c r="O141" s="836"/>
      <c r="P141" s="836"/>
      <c r="Q141" s="836"/>
      <c r="R141" s="836"/>
      <c r="S141" s="836"/>
      <c r="T141" s="728">
        <f t="shared" si="18"/>
        <v>0</v>
      </c>
      <c r="U141" s="728">
        <f t="shared" si="20"/>
        <v>0</v>
      </c>
      <c r="V141" s="834"/>
    </row>
    <row r="142" spans="1:22" ht="60">
      <c r="A142" s="736"/>
      <c r="B142" s="736"/>
      <c r="C142" s="736"/>
      <c r="D142" s="829">
        <v>134</v>
      </c>
      <c r="E142" s="829" t="s">
        <v>281</v>
      </c>
      <c r="F142" s="836"/>
      <c r="G142" s="836"/>
      <c r="H142" s="836"/>
      <c r="I142" s="836"/>
      <c r="J142" s="836"/>
      <c r="K142" s="836"/>
      <c r="L142" s="836"/>
      <c r="M142" s="836"/>
      <c r="N142" s="836"/>
      <c r="O142" s="836"/>
      <c r="P142" s="835">
        <f>(85*0.005*12)+(85*0.0025*12)</f>
        <v>7.6499999999999995</v>
      </c>
      <c r="Q142" s="836"/>
      <c r="R142" s="836"/>
      <c r="S142" s="836"/>
      <c r="T142" s="728">
        <f t="shared" si="18"/>
        <v>7.6499999999999995</v>
      </c>
      <c r="U142" s="835">
        <f>T142</f>
        <v>7.6499999999999995</v>
      </c>
      <c r="V142" s="833" t="s">
        <v>282</v>
      </c>
    </row>
    <row r="143" spans="1:22" ht="45">
      <c r="A143" s="736"/>
      <c r="B143" s="736"/>
      <c r="C143" s="736"/>
      <c r="D143" s="829">
        <v>135</v>
      </c>
      <c r="E143" s="829" t="s">
        <v>283</v>
      </c>
      <c r="F143" s="836"/>
      <c r="G143" s="836"/>
      <c r="H143" s="836"/>
      <c r="I143" s="836"/>
      <c r="J143" s="836"/>
      <c r="K143" s="836"/>
      <c r="L143" s="836"/>
      <c r="M143" s="836"/>
      <c r="N143" s="836"/>
      <c r="O143" s="836"/>
      <c r="P143" s="836"/>
      <c r="Q143" s="836"/>
      <c r="R143" s="836"/>
      <c r="S143" s="836"/>
      <c r="T143" s="728">
        <f t="shared" si="18"/>
        <v>0</v>
      </c>
      <c r="U143" s="728">
        <f t="shared" ref="U143:U144" si="21">T143*1.05</f>
        <v>0</v>
      </c>
      <c r="V143" s="834"/>
    </row>
    <row r="144" spans="1:22" ht="45">
      <c r="A144" s="736"/>
      <c r="B144" s="736"/>
      <c r="C144" s="736"/>
      <c r="D144" s="829">
        <v>136</v>
      </c>
      <c r="E144" s="829" t="s">
        <v>284</v>
      </c>
      <c r="F144" s="836"/>
      <c r="G144" s="836"/>
      <c r="H144" s="836"/>
      <c r="I144" s="836"/>
      <c r="J144" s="836"/>
      <c r="K144" s="836"/>
      <c r="L144" s="836"/>
      <c r="M144" s="836"/>
      <c r="N144" s="836"/>
      <c r="O144" s="836"/>
      <c r="P144" s="835"/>
      <c r="Q144" s="836"/>
      <c r="R144" s="836"/>
      <c r="S144" s="836"/>
      <c r="T144" s="728">
        <f t="shared" si="18"/>
        <v>0</v>
      </c>
      <c r="U144" s="728">
        <f t="shared" si="21"/>
        <v>0</v>
      </c>
      <c r="V144" s="848"/>
    </row>
    <row r="145" spans="1:22">
      <c r="A145" s="736"/>
      <c r="B145" s="828" t="s">
        <v>285</v>
      </c>
      <c r="C145" s="828" t="s">
        <v>286</v>
      </c>
      <c r="D145" s="829">
        <v>137</v>
      </c>
      <c r="E145" s="829" t="s">
        <v>287</v>
      </c>
      <c r="F145" s="836"/>
      <c r="G145" s="836"/>
      <c r="H145" s="836"/>
      <c r="I145" s="836"/>
      <c r="J145" s="836"/>
      <c r="K145" s="836"/>
      <c r="L145" s="836"/>
      <c r="M145" s="835"/>
      <c r="N145" s="836"/>
      <c r="O145" s="836"/>
      <c r="P145" s="835"/>
      <c r="Q145" s="836"/>
      <c r="R145" s="836"/>
      <c r="S145" s="836"/>
      <c r="T145" s="728">
        <f t="shared" si="18"/>
        <v>0</v>
      </c>
      <c r="U145" s="728"/>
      <c r="V145" s="848"/>
    </row>
    <row r="146" spans="1:22" ht="30">
      <c r="A146" s="736"/>
      <c r="B146" s="736"/>
      <c r="C146" s="736"/>
      <c r="D146" s="829">
        <v>138</v>
      </c>
      <c r="E146" s="829" t="s">
        <v>288</v>
      </c>
      <c r="F146" s="836"/>
      <c r="G146" s="836"/>
      <c r="H146" s="835"/>
      <c r="I146" s="835"/>
      <c r="J146" s="836"/>
      <c r="K146" s="835"/>
      <c r="L146" s="836"/>
      <c r="M146" s="835"/>
      <c r="N146" s="836"/>
      <c r="O146" s="836"/>
      <c r="P146" s="836"/>
      <c r="Q146" s="836"/>
      <c r="R146" s="836"/>
      <c r="S146" s="836"/>
      <c r="T146" s="728">
        <f t="shared" si="18"/>
        <v>0</v>
      </c>
      <c r="U146" s="836"/>
      <c r="V146" s="848"/>
    </row>
    <row r="147" spans="1:22" ht="45">
      <c r="A147" s="736"/>
      <c r="B147" s="828" t="s">
        <v>289</v>
      </c>
      <c r="C147" s="828" t="s">
        <v>290</v>
      </c>
      <c r="D147" s="829">
        <v>139</v>
      </c>
      <c r="E147" s="829" t="s">
        <v>291</v>
      </c>
      <c r="F147" s="836"/>
      <c r="G147" s="836"/>
      <c r="H147" s="836"/>
      <c r="I147" s="836"/>
      <c r="J147" s="836"/>
      <c r="K147" s="836"/>
      <c r="L147" s="836"/>
      <c r="M147" s="836"/>
      <c r="N147" s="835"/>
      <c r="O147" s="836"/>
      <c r="P147" s="835">
        <v>18</v>
      </c>
      <c r="Q147" s="836"/>
      <c r="R147" s="835">
        <v>1.2</v>
      </c>
      <c r="S147" s="836"/>
      <c r="T147" s="728">
        <f t="shared" si="18"/>
        <v>19.2</v>
      </c>
      <c r="U147" s="728">
        <f t="shared" ref="U147:U148" si="22">T147</f>
        <v>19.2</v>
      </c>
      <c r="V147" s="848" t="s">
        <v>292</v>
      </c>
    </row>
    <row r="148" spans="1:22" ht="75.75" customHeight="1">
      <c r="A148" s="736"/>
      <c r="B148" s="736"/>
      <c r="C148" s="736"/>
      <c r="D148" s="829">
        <v>140</v>
      </c>
      <c r="E148" s="829" t="s">
        <v>293</v>
      </c>
      <c r="F148" s="836"/>
      <c r="G148" s="836"/>
      <c r="H148" s="836"/>
      <c r="I148" s="836"/>
      <c r="J148" s="836"/>
      <c r="K148" s="836"/>
      <c r="L148" s="836"/>
      <c r="M148" s="836"/>
      <c r="N148" s="836"/>
      <c r="O148" s="836"/>
      <c r="P148" s="835">
        <f>18+( 18* 0.235)</f>
        <v>22.23</v>
      </c>
      <c r="Q148" s="836"/>
      <c r="R148" s="836"/>
      <c r="S148" s="836"/>
      <c r="T148" s="728">
        <f t="shared" si="18"/>
        <v>22.23</v>
      </c>
      <c r="U148" s="728">
        <f t="shared" si="22"/>
        <v>22.23</v>
      </c>
      <c r="V148" s="848" t="s">
        <v>1863</v>
      </c>
    </row>
    <row r="149" spans="1:22" ht="30">
      <c r="A149" s="736"/>
      <c r="B149" s="736"/>
      <c r="C149" s="736"/>
      <c r="D149" s="829">
        <v>141</v>
      </c>
      <c r="E149" s="829" t="s">
        <v>295</v>
      </c>
      <c r="F149" s="836"/>
      <c r="G149" s="836"/>
      <c r="H149" s="836"/>
      <c r="I149" s="836"/>
      <c r="J149" s="836"/>
      <c r="K149" s="836"/>
      <c r="L149" s="836"/>
      <c r="M149" s="836"/>
      <c r="N149" s="836"/>
      <c r="O149" s="836"/>
      <c r="P149" s="836"/>
      <c r="Q149" s="836"/>
      <c r="R149" s="836"/>
      <c r="S149" s="836"/>
      <c r="T149" s="728">
        <f t="shared" si="18"/>
        <v>0</v>
      </c>
      <c r="U149" s="728">
        <f>T149*1.05</f>
        <v>0</v>
      </c>
      <c r="V149" s="834"/>
    </row>
    <row r="150" spans="1:22" ht="30">
      <c r="A150" s="736"/>
      <c r="B150" s="828" t="s">
        <v>296</v>
      </c>
      <c r="C150" s="828" t="s">
        <v>297</v>
      </c>
      <c r="D150" s="829">
        <v>142</v>
      </c>
      <c r="E150" s="829" t="s">
        <v>298</v>
      </c>
      <c r="F150" s="836"/>
      <c r="G150" s="836"/>
      <c r="H150" s="836"/>
      <c r="I150" s="836"/>
      <c r="J150" s="836"/>
      <c r="K150" s="836"/>
      <c r="L150" s="836"/>
      <c r="M150" s="836"/>
      <c r="N150" s="836"/>
      <c r="O150" s="836"/>
      <c r="P150" s="783">
        <v>2186.0754749999996</v>
      </c>
      <c r="Q150" s="836"/>
      <c r="R150" s="836"/>
      <c r="S150" s="836"/>
      <c r="T150" s="728">
        <f t="shared" si="18"/>
        <v>2186.0754749999996</v>
      </c>
      <c r="U150" s="783">
        <v>2327.5145582324994</v>
      </c>
      <c r="V150" s="881" t="s">
        <v>1732</v>
      </c>
    </row>
    <row r="151" spans="1:22" ht="45">
      <c r="A151" s="736"/>
      <c r="B151" s="736"/>
      <c r="C151" s="736"/>
      <c r="D151" s="829">
        <v>143</v>
      </c>
      <c r="E151" s="829" t="s">
        <v>299</v>
      </c>
      <c r="F151" s="836"/>
      <c r="G151" s="836"/>
      <c r="H151" s="836"/>
      <c r="I151" s="836"/>
      <c r="J151" s="836"/>
      <c r="K151" s="836"/>
      <c r="L151" s="836"/>
      <c r="M151" s="836"/>
      <c r="N151" s="836"/>
      <c r="O151" s="836"/>
      <c r="P151" s="836"/>
      <c r="Q151" s="836"/>
      <c r="R151" s="836"/>
      <c r="S151" s="836"/>
      <c r="T151" s="728">
        <f t="shared" si="18"/>
        <v>0</v>
      </c>
      <c r="U151" s="728">
        <f t="shared" ref="U151:U153" si="23">T151*1.05</f>
        <v>0</v>
      </c>
      <c r="V151" s="834"/>
    </row>
    <row r="152" spans="1:22" ht="30">
      <c r="A152" s="736"/>
      <c r="B152" s="736"/>
      <c r="C152" s="736"/>
      <c r="D152" s="829">
        <v>144</v>
      </c>
      <c r="E152" s="829" t="s">
        <v>300</v>
      </c>
      <c r="F152" s="836"/>
      <c r="G152" s="836"/>
      <c r="H152" s="836"/>
      <c r="I152" s="836"/>
      <c r="J152" s="836"/>
      <c r="K152" s="836"/>
      <c r="L152" s="836"/>
      <c r="M152" s="836"/>
      <c r="N152" s="836"/>
      <c r="O152" s="836"/>
      <c r="P152" s="836"/>
      <c r="Q152" s="836"/>
      <c r="R152" s="836"/>
      <c r="S152" s="836"/>
      <c r="T152" s="728">
        <f t="shared" si="18"/>
        <v>0</v>
      </c>
      <c r="U152" s="728">
        <f t="shared" si="23"/>
        <v>0</v>
      </c>
      <c r="V152" s="834"/>
    </row>
    <row r="153" spans="1:22" ht="45">
      <c r="A153" s="736"/>
      <c r="B153" s="736"/>
      <c r="C153" s="736"/>
      <c r="D153" s="829">
        <v>145</v>
      </c>
      <c r="E153" s="829" t="s">
        <v>301</v>
      </c>
      <c r="F153" s="836"/>
      <c r="G153" s="836"/>
      <c r="H153" s="836"/>
      <c r="I153" s="836"/>
      <c r="J153" s="836"/>
      <c r="K153" s="836"/>
      <c r="L153" s="836"/>
      <c r="M153" s="836"/>
      <c r="N153" s="836"/>
      <c r="O153" s="836"/>
      <c r="P153" s="836"/>
      <c r="Q153" s="836"/>
      <c r="R153" s="836"/>
      <c r="S153" s="836"/>
      <c r="T153" s="728">
        <f t="shared" si="18"/>
        <v>0</v>
      </c>
      <c r="U153" s="728">
        <f t="shared" si="23"/>
        <v>0</v>
      </c>
      <c r="V153" s="834"/>
    </row>
    <row r="154" spans="1:22" ht="70.5" customHeight="1">
      <c r="A154" s="736"/>
      <c r="B154" s="829" t="s">
        <v>302</v>
      </c>
      <c r="C154" s="829" t="s">
        <v>303</v>
      </c>
      <c r="D154" s="829">
        <v>146</v>
      </c>
      <c r="E154" s="829" t="s">
        <v>304</v>
      </c>
      <c r="F154" s="836"/>
      <c r="G154" s="836"/>
      <c r="H154" s="836"/>
      <c r="I154" s="836"/>
      <c r="J154" s="836"/>
      <c r="K154" s="836"/>
      <c r="L154" s="836"/>
      <c r="M154" s="836"/>
      <c r="N154" s="836"/>
      <c r="O154" s="836"/>
      <c r="P154" s="836"/>
      <c r="Q154" s="836"/>
      <c r="R154" s="835">
        <f>(0.4*12)+(12*0.1)</f>
        <v>6.0000000000000009</v>
      </c>
      <c r="S154" s="836"/>
      <c r="T154" s="728">
        <f t="shared" si="18"/>
        <v>6.0000000000000009</v>
      </c>
      <c r="U154" s="835">
        <f>T154</f>
        <v>6.0000000000000009</v>
      </c>
      <c r="V154" s="848" t="s">
        <v>305</v>
      </c>
    </row>
    <row r="155" spans="1:22" ht="30">
      <c r="A155" s="736"/>
      <c r="B155" s="829" t="s">
        <v>306</v>
      </c>
      <c r="C155" s="829" t="s">
        <v>307</v>
      </c>
      <c r="D155" s="829">
        <v>147</v>
      </c>
      <c r="E155" s="829" t="s">
        <v>157</v>
      </c>
      <c r="F155" s="836"/>
      <c r="G155" s="836"/>
      <c r="H155" s="836"/>
      <c r="I155" s="836"/>
      <c r="J155" s="836"/>
      <c r="K155" s="836"/>
      <c r="L155" s="836"/>
      <c r="M155" s="836"/>
      <c r="N155" s="836"/>
      <c r="O155" s="836"/>
      <c r="P155" s="836"/>
      <c r="Q155" s="836"/>
      <c r="R155" s="836"/>
      <c r="S155" s="836"/>
      <c r="T155" s="728">
        <f t="shared" si="18"/>
        <v>0</v>
      </c>
      <c r="U155" s="728">
        <f>T155*1.05</f>
        <v>0</v>
      </c>
      <c r="V155" s="834"/>
    </row>
    <row r="156" spans="1:22" ht="60">
      <c r="A156" s="736"/>
      <c r="B156" s="829" t="s">
        <v>308</v>
      </c>
      <c r="C156" s="829" t="s">
        <v>309</v>
      </c>
      <c r="D156" s="829">
        <v>148</v>
      </c>
      <c r="E156" s="829" t="s">
        <v>310</v>
      </c>
      <c r="F156" s="836"/>
      <c r="G156" s="836"/>
      <c r="H156" s="836"/>
      <c r="I156" s="836"/>
      <c r="J156" s="836"/>
      <c r="K156" s="836"/>
      <c r="L156" s="836"/>
      <c r="M156" s="836"/>
      <c r="N156" s="835"/>
      <c r="O156" s="836"/>
      <c r="P156" s="835"/>
      <c r="Q156" s="836"/>
      <c r="R156" s="836"/>
      <c r="S156" s="836"/>
      <c r="T156" s="728">
        <f t="shared" si="18"/>
        <v>0</v>
      </c>
      <c r="U156" s="728"/>
      <c r="V156" s="848"/>
    </row>
    <row r="157" spans="1:22" ht="60">
      <c r="A157" s="736"/>
      <c r="B157" s="829" t="s">
        <v>311</v>
      </c>
      <c r="C157" s="829" t="s">
        <v>312</v>
      </c>
      <c r="D157" s="829">
        <v>149</v>
      </c>
      <c r="E157" s="829" t="s">
        <v>313</v>
      </c>
      <c r="F157" s="865"/>
      <c r="G157" s="865"/>
      <c r="H157" s="865"/>
      <c r="I157" s="865"/>
      <c r="J157" s="865"/>
      <c r="K157" s="865"/>
      <c r="L157" s="865"/>
      <c r="M157" s="865"/>
      <c r="N157" s="865"/>
      <c r="O157" s="865"/>
      <c r="P157" s="835">
        <f>(18*1.75)+(2.5*1)+(0.05*252)</f>
        <v>46.6</v>
      </c>
      <c r="Q157" s="865"/>
      <c r="R157" s="865"/>
      <c r="S157" s="865"/>
      <c r="T157" s="728">
        <f t="shared" si="18"/>
        <v>46.6</v>
      </c>
      <c r="U157" s="835">
        <f>(18*1.75)+(2.5*1)+(0.05*264)</f>
        <v>47.2</v>
      </c>
      <c r="V157" s="848" t="s">
        <v>314</v>
      </c>
    </row>
    <row r="158" spans="1:22">
      <c r="A158" s="736"/>
      <c r="B158" s="866" t="s">
        <v>315</v>
      </c>
      <c r="C158" s="850"/>
      <c r="D158" s="850"/>
      <c r="E158" s="867"/>
      <c r="F158" s="868">
        <f t="shared" ref="F158:V158" si="24">SUM(F135:F157)</f>
        <v>0</v>
      </c>
      <c r="G158" s="868">
        <f t="shared" si="24"/>
        <v>0</v>
      </c>
      <c r="H158" s="868">
        <f t="shared" si="24"/>
        <v>0</v>
      </c>
      <c r="I158" s="868">
        <f t="shared" si="24"/>
        <v>0</v>
      </c>
      <c r="J158" s="868">
        <f t="shared" si="24"/>
        <v>0</v>
      </c>
      <c r="K158" s="868">
        <f t="shared" si="24"/>
        <v>0</v>
      </c>
      <c r="L158" s="868">
        <f t="shared" si="24"/>
        <v>0</v>
      </c>
      <c r="M158" s="868">
        <f t="shared" si="24"/>
        <v>0</v>
      </c>
      <c r="N158" s="868">
        <f t="shared" si="24"/>
        <v>2.52</v>
      </c>
      <c r="O158" s="868">
        <f t="shared" si="24"/>
        <v>0</v>
      </c>
      <c r="P158" s="868">
        <f t="shared" si="24"/>
        <v>2280.5554749999997</v>
      </c>
      <c r="Q158" s="868">
        <f t="shared" si="24"/>
        <v>13.5</v>
      </c>
      <c r="R158" s="868">
        <f t="shared" si="24"/>
        <v>7.2000000000000011</v>
      </c>
      <c r="S158" s="868">
        <f t="shared" si="24"/>
        <v>0</v>
      </c>
      <c r="T158" s="870">
        <f t="shared" si="24"/>
        <v>2303.7754749999995</v>
      </c>
      <c r="U158" s="870">
        <f t="shared" si="24"/>
        <v>2445.9345582324991</v>
      </c>
      <c r="V158" s="868">
        <f t="shared" si="24"/>
        <v>0</v>
      </c>
    </row>
    <row r="159" spans="1:22" ht="159.75" customHeight="1">
      <c r="A159" s="831" t="s">
        <v>316</v>
      </c>
      <c r="B159" s="828" t="s">
        <v>317</v>
      </c>
      <c r="C159" s="828" t="s">
        <v>269</v>
      </c>
      <c r="D159" s="829">
        <v>150</v>
      </c>
      <c r="E159" s="829" t="s">
        <v>318</v>
      </c>
      <c r="F159" s="836"/>
      <c r="G159" s="837"/>
      <c r="H159" s="837"/>
      <c r="I159" s="836"/>
      <c r="J159" s="836"/>
      <c r="K159" s="836"/>
      <c r="L159" s="836"/>
      <c r="M159" s="836"/>
      <c r="N159" s="835">
        <v>15.4</v>
      </c>
      <c r="O159" s="884">
        <v>307.56</v>
      </c>
      <c r="P159" s="837"/>
      <c r="Q159" s="836">
        <v>1</v>
      </c>
      <c r="R159" s="836"/>
      <c r="S159" s="836"/>
      <c r="T159" s="728">
        <f t="shared" ref="T159:T200" si="25">SUM(F159:S159)</f>
        <v>323.95999999999998</v>
      </c>
      <c r="U159" s="728">
        <f t="shared" ref="U159:U160" si="26">T159</f>
        <v>323.95999999999998</v>
      </c>
      <c r="V159" s="848" t="s">
        <v>1581</v>
      </c>
    </row>
    <row r="160" spans="1:22" ht="102.75" customHeight="1">
      <c r="A160" s="736"/>
      <c r="B160" s="736"/>
      <c r="C160" s="736"/>
      <c r="D160" s="829">
        <v>151</v>
      </c>
      <c r="E160" s="829" t="s">
        <v>319</v>
      </c>
      <c r="F160" s="836"/>
      <c r="G160" s="837"/>
      <c r="H160" s="837"/>
      <c r="I160" s="835"/>
      <c r="J160" s="836"/>
      <c r="K160" s="836"/>
      <c r="L160" s="836"/>
      <c r="M160" s="836"/>
      <c r="N160" s="835"/>
      <c r="O160" s="837"/>
      <c r="P160" s="837">
        <v>16.77</v>
      </c>
      <c r="Q160" s="835"/>
      <c r="R160" s="837">
        <v>2</v>
      </c>
      <c r="S160" s="836"/>
      <c r="T160" s="728">
        <f t="shared" si="25"/>
        <v>18.77</v>
      </c>
      <c r="U160" s="728">
        <f t="shared" si="26"/>
        <v>18.77</v>
      </c>
      <c r="V160" s="833" t="s">
        <v>320</v>
      </c>
    </row>
    <row r="161" spans="1:22" ht="49.5" customHeight="1">
      <c r="A161" s="736"/>
      <c r="B161" s="736"/>
      <c r="C161" s="736"/>
      <c r="D161" s="829">
        <v>152</v>
      </c>
      <c r="E161" s="829" t="s">
        <v>321</v>
      </c>
      <c r="F161" s="836"/>
      <c r="G161" s="836"/>
      <c r="H161" s="836"/>
      <c r="I161" s="836"/>
      <c r="J161" s="836"/>
      <c r="K161" s="836"/>
      <c r="L161" s="836"/>
      <c r="M161" s="836"/>
      <c r="N161" s="836"/>
      <c r="O161" s="836"/>
      <c r="P161" s="837"/>
      <c r="Q161" s="836"/>
      <c r="R161" s="836"/>
      <c r="S161" s="836"/>
      <c r="T161" s="728">
        <f t="shared" si="25"/>
        <v>0</v>
      </c>
      <c r="U161" s="728">
        <f t="shared" ref="U161:U162" si="27">T161*1.05</f>
        <v>0</v>
      </c>
      <c r="V161" s="833"/>
    </row>
    <row r="162" spans="1:22" ht="43.5" customHeight="1">
      <c r="A162" s="736"/>
      <c r="B162" s="736"/>
      <c r="C162" s="736"/>
      <c r="D162" s="829">
        <v>153</v>
      </c>
      <c r="E162" s="829" t="s">
        <v>322</v>
      </c>
      <c r="F162" s="865"/>
      <c r="G162" s="865"/>
      <c r="H162" s="865"/>
      <c r="I162" s="865"/>
      <c r="J162" s="865"/>
      <c r="K162" s="865"/>
      <c r="L162" s="865"/>
      <c r="M162" s="865"/>
      <c r="N162" s="835"/>
      <c r="O162" s="865"/>
      <c r="P162" s="865"/>
      <c r="Q162" s="865"/>
      <c r="R162" s="865"/>
      <c r="S162" s="865"/>
      <c r="T162" s="728">
        <f t="shared" si="25"/>
        <v>0</v>
      </c>
      <c r="U162" s="728">
        <f t="shared" si="27"/>
        <v>0</v>
      </c>
      <c r="V162" s="833" t="s">
        <v>323</v>
      </c>
    </row>
    <row r="163" spans="1:22" ht="50.25" customHeight="1">
      <c r="A163" s="736"/>
      <c r="B163" s="828" t="s">
        <v>324</v>
      </c>
      <c r="C163" s="828" t="s">
        <v>325</v>
      </c>
      <c r="D163" s="829">
        <v>154</v>
      </c>
      <c r="E163" s="829" t="s">
        <v>326</v>
      </c>
      <c r="F163" s="836"/>
      <c r="G163" s="836"/>
      <c r="H163" s="836"/>
      <c r="I163" s="836"/>
      <c r="J163" s="836"/>
      <c r="K163" s="835"/>
      <c r="L163" s="836"/>
      <c r="M163" s="835"/>
      <c r="N163" s="836"/>
      <c r="O163" s="836"/>
      <c r="P163" s="836"/>
      <c r="Q163" s="837">
        <v>0.15</v>
      </c>
      <c r="R163" s="836"/>
      <c r="S163" s="836"/>
      <c r="T163" s="728">
        <f t="shared" si="25"/>
        <v>0.15</v>
      </c>
      <c r="U163" s="728">
        <f>T163</f>
        <v>0.15</v>
      </c>
      <c r="V163" s="833" t="s">
        <v>327</v>
      </c>
    </row>
    <row r="164" spans="1:22" ht="30">
      <c r="A164" s="736"/>
      <c r="B164" s="736"/>
      <c r="C164" s="736"/>
      <c r="D164" s="829">
        <v>155</v>
      </c>
      <c r="E164" s="829" t="s">
        <v>328</v>
      </c>
      <c r="F164" s="836"/>
      <c r="G164" s="836"/>
      <c r="H164" s="836"/>
      <c r="I164" s="836"/>
      <c r="J164" s="836"/>
      <c r="K164" s="836"/>
      <c r="L164" s="836"/>
      <c r="M164" s="836"/>
      <c r="N164" s="836"/>
      <c r="O164" s="836"/>
      <c r="P164" s="837"/>
      <c r="Q164" s="836"/>
      <c r="R164" s="836"/>
      <c r="S164" s="836"/>
      <c r="T164" s="728">
        <f t="shared" si="25"/>
        <v>0</v>
      </c>
      <c r="U164" s="728">
        <f>T164*1.05</f>
        <v>0</v>
      </c>
      <c r="V164" s="833"/>
    </row>
    <row r="165" spans="1:22" ht="44.25" customHeight="1">
      <c r="A165" s="736"/>
      <c r="B165" s="736"/>
      <c r="C165" s="736"/>
      <c r="D165" s="829">
        <v>156</v>
      </c>
      <c r="E165" s="829" t="s">
        <v>329</v>
      </c>
      <c r="F165" s="836"/>
      <c r="G165" s="836"/>
      <c r="H165" s="837"/>
      <c r="I165" s="835"/>
      <c r="J165" s="836"/>
      <c r="K165" s="836"/>
      <c r="L165" s="836"/>
      <c r="M165" s="836"/>
      <c r="N165" s="836"/>
      <c r="O165" s="836"/>
      <c r="P165" s="837">
        <v>1.5</v>
      </c>
      <c r="Q165" s="836"/>
      <c r="R165" s="836"/>
      <c r="S165" s="836"/>
      <c r="T165" s="728">
        <f t="shared" si="25"/>
        <v>1.5</v>
      </c>
      <c r="U165" s="728">
        <f>T165</f>
        <v>1.5</v>
      </c>
      <c r="V165" s="833" t="s">
        <v>330</v>
      </c>
    </row>
    <row r="166" spans="1:22" ht="30">
      <c r="A166" s="736"/>
      <c r="B166" s="736"/>
      <c r="C166" s="736"/>
      <c r="D166" s="829">
        <v>157</v>
      </c>
      <c r="E166" s="829" t="s">
        <v>331</v>
      </c>
      <c r="F166" s="836"/>
      <c r="G166" s="836"/>
      <c r="H166" s="836"/>
      <c r="I166" s="836"/>
      <c r="J166" s="836"/>
      <c r="K166" s="836"/>
      <c r="L166" s="836"/>
      <c r="M166" s="836"/>
      <c r="N166" s="836"/>
      <c r="O166" s="836"/>
      <c r="P166" s="836"/>
      <c r="Q166" s="836"/>
      <c r="R166" s="836"/>
      <c r="S166" s="836"/>
      <c r="T166" s="728">
        <f t="shared" si="25"/>
        <v>0</v>
      </c>
      <c r="U166" s="728">
        <f t="shared" ref="U166:U167" si="28">T166*1.05</f>
        <v>0</v>
      </c>
      <c r="V166" s="833"/>
    </row>
    <row r="167" spans="1:22" ht="60">
      <c r="A167" s="736"/>
      <c r="B167" s="736"/>
      <c r="C167" s="736"/>
      <c r="D167" s="829">
        <v>158</v>
      </c>
      <c r="E167" s="829" t="s">
        <v>332</v>
      </c>
      <c r="F167" s="836"/>
      <c r="G167" s="836"/>
      <c r="H167" s="836"/>
      <c r="I167" s="836"/>
      <c r="J167" s="836"/>
      <c r="K167" s="836"/>
      <c r="L167" s="836"/>
      <c r="M167" s="836"/>
      <c r="N167" s="836"/>
      <c r="O167" s="836"/>
      <c r="P167" s="836"/>
      <c r="Q167" s="835"/>
      <c r="R167" s="836"/>
      <c r="S167" s="836"/>
      <c r="T167" s="728">
        <f t="shared" si="25"/>
        <v>0</v>
      </c>
      <c r="U167" s="728">
        <f t="shared" si="28"/>
        <v>0</v>
      </c>
      <c r="V167" s="833"/>
    </row>
    <row r="168" spans="1:22" ht="334.5" customHeight="1">
      <c r="A168" s="736"/>
      <c r="B168" s="828" t="s">
        <v>333</v>
      </c>
      <c r="C168" s="828" t="s">
        <v>275</v>
      </c>
      <c r="D168" s="829">
        <v>159</v>
      </c>
      <c r="E168" s="829" t="s">
        <v>276</v>
      </c>
      <c r="F168" s="836"/>
      <c r="G168" s="836"/>
      <c r="H168" s="836"/>
      <c r="I168" s="836"/>
      <c r="J168" s="836"/>
      <c r="K168" s="835"/>
      <c r="L168" s="836"/>
      <c r="M168" s="836"/>
      <c r="N168" s="837">
        <v>44.393999999999998</v>
      </c>
      <c r="O168" s="837">
        <v>660.68</v>
      </c>
      <c r="P168" s="837">
        <v>62.71</v>
      </c>
      <c r="Q168" s="843">
        <v>5.5629999999999997</v>
      </c>
      <c r="R168" s="836"/>
      <c r="S168" s="836"/>
      <c r="T168" s="728">
        <f t="shared" si="25"/>
        <v>773.34699999999998</v>
      </c>
      <c r="U168" s="728">
        <f>T168+2</f>
        <v>775.34699999999998</v>
      </c>
      <c r="V168" s="833" t="s">
        <v>1582</v>
      </c>
    </row>
    <row r="169" spans="1:22">
      <c r="A169" s="736"/>
      <c r="B169" s="736"/>
      <c r="C169" s="736"/>
      <c r="D169" s="829">
        <v>160</v>
      </c>
      <c r="E169" s="829" t="s">
        <v>334</v>
      </c>
      <c r="F169" s="836"/>
      <c r="G169" s="836"/>
      <c r="H169" s="836"/>
      <c r="I169" s="836"/>
      <c r="J169" s="836"/>
      <c r="K169" s="836"/>
      <c r="L169" s="836"/>
      <c r="M169" s="836"/>
      <c r="N169" s="836"/>
      <c r="O169" s="836"/>
      <c r="P169" s="836"/>
      <c r="Q169" s="836"/>
      <c r="R169" s="836"/>
      <c r="S169" s="836"/>
      <c r="T169" s="728">
        <f t="shared" si="25"/>
        <v>0</v>
      </c>
      <c r="U169" s="728">
        <f t="shared" ref="U169:U171" si="29">T169*1.05</f>
        <v>0</v>
      </c>
      <c r="V169" s="878"/>
    </row>
    <row r="170" spans="1:22" ht="15" customHeight="1">
      <c r="A170" s="736"/>
      <c r="B170" s="736"/>
      <c r="C170" s="736"/>
      <c r="D170" s="829">
        <v>161</v>
      </c>
      <c r="E170" s="829" t="s">
        <v>279</v>
      </c>
      <c r="F170" s="836"/>
      <c r="G170" s="836"/>
      <c r="H170" s="836"/>
      <c r="I170" s="836"/>
      <c r="J170" s="836"/>
      <c r="K170" s="836"/>
      <c r="L170" s="836"/>
      <c r="M170" s="836"/>
      <c r="N170" s="836"/>
      <c r="O170" s="836"/>
      <c r="P170" s="836"/>
      <c r="Q170" s="836"/>
      <c r="R170" s="836"/>
      <c r="S170" s="836"/>
      <c r="T170" s="728">
        <f t="shared" si="25"/>
        <v>0</v>
      </c>
      <c r="U170" s="728">
        <f t="shared" si="29"/>
        <v>0</v>
      </c>
      <c r="V170" s="833"/>
    </row>
    <row r="171" spans="1:22" ht="17.25" customHeight="1">
      <c r="A171" s="736"/>
      <c r="B171" s="736"/>
      <c r="C171" s="736"/>
      <c r="D171" s="829">
        <v>162</v>
      </c>
      <c r="E171" s="829" t="s">
        <v>280</v>
      </c>
      <c r="F171" s="836"/>
      <c r="G171" s="836"/>
      <c r="H171" s="836"/>
      <c r="I171" s="836"/>
      <c r="J171" s="836"/>
      <c r="K171" s="836"/>
      <c r="L171" s="836"/>
      <c r="M171" s="836"/>
      <c r="N171" s="836"/>
      <c r="O171" s="836"/>
      <c r="P171" s="836"/>
      <c r="Q171" s="836"/>
      <c r="R171" s="836"/>
      <c r="S171" s="836"/>
      <c r="T171" s="728">
        <f t="shared" si="25"/>
        <v>0</v>
      </c>
      <c r="U171" s="728">
        <f t="shared" si="29"/>
        <v>0</v>
      </c>
      <c r="V171" s="833"/>
    </row>
    <row r="172" spans="1:22" ht="135">
      <c r="A172" s="736"/>
      <c r="B172" s="736"/>
      <c r="C172" s="736"/>
      <c r="D172" s="829">
        <v>163</v>
      </c>
      <c r="E172" s="829" t="s">
        <v>335</v>
      </c>
      <c r="F172" s="836"/>
      <c r="G172" s="836"/>
      <c r="H172" s="836"/>
      <c r="I172" s="836"/>
      <c r="J172" s="836"/>
      <c r="K172" s="836"/>
      <c r="L172" s="836"/>
      <c r="M172" s="836"/>
      <c r="N172" s="836"/>
      <c r="O172" s="837">
        <v>12.815</v>
      </c>
      <c r="P172" s="837">
        <v>1.8</v>
      </c>
      <c r="Q172" s="835">
        <v>9</v>
      </c>
      <c r="R172" s="836"/>
      <c r="S172" s="836"/>
      <c r="T172" s="728">
        <f t="shared" si="25"/>
        <v>23.615000000000002</v>
      </c>
      <c r="U172" s="728">
        <f>14.705+9</f>
        <v>23.704999999999998</v>
      </c>
      <c r="V172" s="848" t="s">
        <v>1583</v>
      </c>
    </row>
    <row r="173" spans="1:22">
      <c r="A173" s="736"/>
      <c r="B173" s="828" t="s">
        <v>336</v>
      </c>
      <c r="C173" s="828" t="s">
        <v>337</v>
      </c>
      <c r="D173" s="829">
        <v>164</v>
      </c>
      <c r="E173" s="829" t="s">
        <v>338</v>
      </c>
      <c r="F173" s="836"/>
      <c r="G173" s="837"/>
      <c r="H173" s="837"/>
      <c r="I173" s="836"/>
      <c r="J173" s="836"/>
      <c r="K173" s="836"/>
      <c r="L173" s="836"/>
      <c r="M173" s="836"/>
      <c r="N173" s="836"/>
      <c r="O173" s="836"/>
      <c r="P173" s="836"/>
      <c r="Q173" s="836"/>
      <c r="R173" s="836"/>
      <c r="S173" s="836"/>
      <c r="T173" s="728">
        <f t="shared" si="25"/>
        <v>0</v>
      </c>
      <c r="U173" s="728">
        <f t="shared" ref="U173:U183" si="30">T173*1.05</f>
        <v>0</v>
      </c>
      <c r="V173" s="833"/>
    </row>
    <row r="174" spans="1:22" ht="30">
      <c r="A174" s="736"/>
      <c r="B174" s="736"/>
      <c r="C174" s="736"/>
      <c r="D174" s="829">
        <v>165</v>
      </c>
      <c r="E174" s="829" t="s">
        <v>339</v>
      </c>
      <c r="F174" s="836"/>
      <c r="G174" s="837"/>
      <c r="H174" s="837"/>
      <c r="I174" s="836"/>
      <c r="J174" s="836"/>
      <c r="K174" s="836"/>
      <c r="L174" s="836"/>
      <c r="M174" s="836"/>
      <c r="N174" s="836"/>
      <c r="O174" s="836"/>
      <c r="P174" s="836"/>
      <c r="Q174" s="836"/>
      <c r="R174" s="836"/>
      <c r="S174" s="836"/>
      <c r="T174" s="728">
        <f t="shared" si="25"/>
        <v>0</v>
      </c>
      <c r="U174" s="728">
        <f t="shared" si="30"/>
        <v>0</v>
      </c>
      <c r="V174" s="833"/>
    </row>
    <row r="175" spans="1:22" ht="30">
      <c r="A175" s="736"/>
      <c r="B175" s="736"/>
      <c r="C175" s="736"/>
      <c r="D175" s="829">
        <v>166</v>
      </c>
      <c r="E175" s="829" t="s">
        <v>340</v>
      </c>
      <c r="F175" s="836"/>
      <c r="G175" s="837"/>
      <c r="H175" s="837"/>
      <c r="I175" s="836"/>
      <c r="J175" s="836"/>
      <c r="K175" s="836"/>
      <c r="L175" s="836"/>
      <c r="M175" s="836"/>
      <c r="N175" s="836"/>
      <c r="O175" s="836"/>
      <c r="P175" s="836"/>
      <c r="Q175" s="836"/>
      <c r="R175" s="836"/>
      <c r="S175" s="836"/>
      <c r="T175" s="728">
        <f t="shared" si="25"/>
        <v>0</v>
      </c>
      <c r="U175" s="728">
        <f t="shared" si="30"/>
        <v>0</v>
      </c>
      <c r="V175" s="833"/>
    </row>
    <row r="176" spans="1:22" ht="30">
      <c r="A176" s="736"/>
      <c r="B176" s="736"/>
      <c r="C176" s="736"/>
      <c r="D176" s="829">
        <v>167</v>
      </c>
      <c r="E176" s="829" t="s">
        <v>341</v>
      </c>
      <c r="F176" s="836"/>
      <c r="G176" s="837"/>
      <c r="H176" s="837"/>
      <c r="I176" s="836"/>
      <c r="J176" s="836"/>
      <c r="K176" s="836"/>
      <c r="L176" s="836"/>
      <c r="M176" s="836"/>
      <c r="N176" s="836"/>
      <c r="O176" s="836"/>
      <c r="P176" s="836"/>
      <c r="Q176" s="836"/>
      <c r="R176" s="836"/>
      <c r="S176" s="836"/>
      <c r="T176" s="728">
        <f t="shared" si="25"/>
        <v>0</v>
      </c>
      <c r="U176" s="728">
        <f t="shared" si="30"/>
        <v>0</v>
      </c>
      <c r="V176" s="833"/>
    </row>
    <row r="177" spans="1:22">
      <c r="A177" s="736"/>
      <c r="B177" s="736"/>
      <c r="C177" s="736"/>
      <c r="D177" s="829">
        <v>168</v>
      </c>
      <c r="E177" s="829" t="s">
        <v>342</v>
      </c>
      <c r="F177" s="836"/>
      <c r="G177" s="837"/>
      <c r="H177" s="837"/>
      <c r="I177" s="836"/>
      <c r="J177" s="836"/>
      <c r="K177" s="836"/>
      <c r="L177" s="836"/>
      <c r="M177" s="836"/>
      <c r="N177" s="836"/>
      <c r="O177" s="836"/>
      <c r="P177" s="836"/>
      <c r="Q177" s="836"/>
      <c r="R177" s="836"/>
      <c r="S177" s="836"/>
      <c r="T177" s="728">
        <f t="shared" si="25"/>
        <v>0</v>
      </c>
      <c r="U177" s="728">
        <f t="shared" si="30"/>
        <v>0</v>
      </c>
      <c r="V177" s="833"/>
    </row>
    <row r="178" spans="1:22" ht="60">
      <c r="A178" s="736"/>
      <c r="B178" s="736"/>
      <c r="C178" s="736"/>
      <c r="D178" s="829">
        <v>169</v>
      </c>
      <c r="E178" s="829" t="s">
        <v>343</v>
      </c>
      <c r="F178" s="836"/>
      <c r="G178" s="837"/>
      <c r="H178" s="837"/>
      <c r="I178" s="835"/>
      <c r="J178" s="836"/>
      <c r="K178" s="836"/>
      <c r="L178" s="836"/>
      <c r="M178" s="836"/>
      <c r="N178" s="836"/>
      <c r="O178" s="836"/>
      <c r="P178" s="836"/>
      <c r="Q178" s="836"/>
      <c r="R178" s="836"/>
      <c r="S178" s="836"/>
      <c r="T178" s="728">
        <f t="shared" si="25"/>
        <v>0</v>
      </c>
      <c r="U178" s="728">
        <f t="shared" si="30"/>
        <v>0</v>
      </c>
      <c r="V178" s="833"/>
    </row>
    <row r="179" spans="1:22" ht="90">
      <c r="A179" s="736"/>
      <c r="B179" s="736"/>
      <c r="C179" s="736"/>
      <c r="D179" s="829">
        <v>170</v>
      </c>
      <c r="E179" s="829" t="s">
        <v>344</v>
      </c>
      <c r="F179" s="836"/>
      <c r="G179" s="836"/>
      <c r="H179" s="836"/>
      <c r="I179" s="836"/>
      <c r="J179" s="836"/>
      <c r="K179" s="836"/>
      <c r="L179" s="836"/>
      <c r="M179" s="836"/>
      <c r="N179" s="836"/>
      <c r="O179" s="836"/>
      <c r="P179" s="836"/>
      <c r="Q179" s="836"/>
      <c r="R179" s="836"/>
      <c r="S179" s="836"/>
      <c r="T179" s="728">
        <f t="shared" si="25"/>
        <v>0</v>
      </c>
      <c r="U179" s="728">
        <f t="shared" si="30"/>
        <v>0</v>
      </c>
      <c r="V179" s="833"/>
    </row>
    <row r="180" spans="1:22" ht="30">
      <c r="A180" s="736"/>
      <c r="B180" s="828" t="s">
        <v>345</v>
      </c>
      <c r="C180" s="828" t="s">
        <v>346</v>
      </c>
      <c r="D180" s="829">
        <v>171</v>
      </c>
      <c r="E180" s="829" t="s">
        <v>347</v>
      </c>
      <c r="F180" s="836"/>
      <c r="G180" s="836"/>
      <c r="H180" s="836"/>
      <c r="I180" s="836"/>
      <c r="J180" s="836"/>
      <c r="K180" s="836"/>
      <c r="L180" s="836"/>
      <c r="M180" s="836"/>
      <c r="N180" s="836"/>
      <c r="O180" s="836"/>
      <c r="P180" s="836"/>
      <c r="Q180" s="836"/>
      <c r="R180" s="836"/>
      <c r="S180" s="836"/>
      <c r="T180" s="728">
        <f t="shared" si="25"/>
        <v>0</v>
      </c>
      <c r="U180" s="728">
        <f t="shared" si="30"/>
        <v>0</v>
      </c>
      <c r="V180" s="833"/>
    </row>
    <row r="181" spans="1:22" ht="30">
      <c r="A181" s="736"/>
      <c r="B181" s="736"/>
      <c r="C181" s="736"/>
      <c r="D181" s="829">
        <v>172</v>
      </c>
      <c r="E181" s="829" t="s">
        <v>348</v>
      </c>
      <c r="F181" s="836"/>
      <c r="G181" s="836"/>
      <c r="H181" s="836"/>
      <c r="I181" s="836"/>
      <c r="J181" s="836"/>
      <c r="K181" s="836"/>
      <c r="L181" s="836"/>
      <c r="M181" s="836"/>
      <c r="N181" s="836"/>
      <c r="O181" s="836"/>
      <c r="P181" s="835"/>
      <c r="Q181" s="836"/>
      <c r="R181" s="836"/>
      <c r="S181" s="836"/>
      <c r="T181" s="728">
        <f t="shared" si="25"/>
        <v>0</v>
      </c>
      <c r="U181" s="728">
        <f t="shared" si="30"/>
        <v>0</v>
      </c>
      <c r="V181" s="833"/>
    </row>
    <row r="182" spans="1:22" ht="30">
      <c r="A182" s="736"/>
      <c r="B182" s="736"/>
      <c r="C182" s="736"/>
      <c r="D182" s="829">
        <v>173</v>
      </c>
      <c r="E182" s="829" t="s">
        <v>349</v>
      </c>
      <c r="F182" s="836"/>
      <c r="G182" s="836"/>
      <c r="H182" s="836"/>
      <c r="I182" s="836"/>
      <c r="J182" s="836"/>
      <c r="K182" s="836"/>
      <c r="L182" s="836"/>
      <c r="M182" s="836"/>
      <c r="N182" s="836"/>
      <c r="O182" s="836"/>
      <c r="P182" s="836"/>
      <c r="Q182" s="836"/>
      <c r="R182" s="836"/>
      <c r="S182" s="836"/>
      <c r="T182" s="728">
        <f t="shared" si="25"/>
        <v>0</v>
      </c>
      <c r="U182" s="728">
        <f t="shared" si="30"/>
        <v>0</v>
      </c>
      <c r="V182" s="833"/>
    </row>
    <row r="183" spans="1:22">
      <c r="A183" s="736"/>
      <c r="B183" s="736"/>
      <c r="C183" s="736"/>
      <c r="D183" s="829">
        <v>174</v>
      </c>
      <c r="E183" s="829" t="s">
        <v>350</v>
      </c>
      <c r="F183" s="836"/>
      <c r="G183" s="836"/>
      <c r="H183" s="836"/>
      <c r="I183" s="836"/>
      <c r="J183" s="836"/>
      <c r="K183" s="836"/>
      <c r="L183" s="836"/>
      <c r="M183" s="836"/>
      <c r="N183" s="836"/>
      <c r="O183" s="836"/>
      <c r="P183" s="835"/>
      <c r="Q183" s="836"/>
      <c r="R183" s="836"/>
      <c r="S183" s="836"/>
      <c r="T183" s="728">
        <f t="shared" si="25"/>
        <v>0</v>
      </c>
      <c r="U183" s="728">
        <f t="shared" si="30"/>
        <v>0</v>
      </c>
      <c r="V183" s="833"/>
    </row>
    <row r="184" spans="1:22" ht="374.25" customHeight="1">
      <c r="A184" s="736"/>
      <c r="B184" s="828" t="s">
        <v>351</v>
      </c>
      <c r="C184" s="828" t="s">
        <v>290</v>
      </c>
      <c r="D184" s="829">
        <v>175</v>
      </c>
      <c r="E184" s="829" t="s">
        <v>291</v>
      </c>
      <c r="F184" s="884"/>
      <c r="G184" s="884"/>
      <c r="H184" s="884">
        <v>0</v>
      </c>
      <c r="I184" s="885">
        <v>11.9</v>
      </c>
      <c r="J184" s="884"/>
      <c r="K184" s="884"/>
      <c r="L184" s="884"/>
      <c r="M184" s="884"/>
      <c r="N184" s="886">
        <v>14.4</v>
      </c>
      <c r="O184" s="884"/>
      <c r="P184" s="885">
        <f>5+27.08</f>
        <v>32.08</v>
      </c>
      <c r="Q184" s="886">
        <v>1</v>
      </c>
      <c r="R184" s="885">
        <v>0.79</v>
      </c>
      <c r="S184" s="885"/>
      <c r="T184" s="728">
        <f t="shared" si="25"/>
        <v>60.169999999999995</v>
      </c>
      <c r="U184" s="728">
        <f t="shared" ref="U184:U187" si="31">T184</f>
        <v>60.169999999999995</v>
      </c>
      <c r="V184" s="833" t="s">
        <v>1864</v>
      </c>
    </row>
    <row r="185" spans="1:22" ht="337.5" customHeight="1">
      <c r="A185" s="736"/>
      <c r="B185" s="736"/>
      <c r="C185" s="736"/>
      <c r="D185" s="829">
        <v>176</v>
      </c>
      <c r="E185" s="829" t="s">
        <v>293</v>
      </c>
      <c r="F185" s="836"/>
      <c r="G185" s="836"/>
      <c r="H185" s="836"/>
      <c r="I185" s="836"/>
      <c r="J185" s="836"/>
      <c r="K185" s="836"/>
      <c r="L185" s="836"/>
      <c r="M185" s="837">
        <v>28.9</v>
      </c>
      <c r="N185" s="836"/>
      <c r="O185" s="836"/>
      <c r="P185" s="837">
        <v>75.150000000000006</v>
      </c>
      <c r="Q185" s="837">
        <v>10.1</v>
      </c>
      <c r="R185" s="836"/>
      <c r="S185" s="836"/>
      <c r="T185" s="728">
        <f t="shared" si="25"/>
        <v>114.15</v>
      </c>
      <c r="U185" s="728">
        <f t="shared" si="31"/>
        <v>114.15</v>
      </c>
      <c r="V185" s="848" t="s">
        <v>1865</v>
      </c>
    </row>
    <row r="186" spans="1:22" ht="69" customHeight="1">
      <c r="A186" s="736"/>
      <c r="B186" s="736"/>
      <c r="C186" s="736"/>
      <c r="D186" s="829">
        <v>177</v>
      </c>
      <c r="E186" s="829" t="s">
        <v>295</v>
      </c>
      <c r="F186" s="836"/>
      <c r="G186" s="836"/>
      <c r="H186" s="836"/>
      <c r="I186" s="836"/>
      <c r="J186" s="836"/>
      <c r="K186" s="836"/>
      <c r="L186" s="836"/>
      <c r="M186" s="836"/>
      <c r="N186" s="835">
        <v>1</v>
      </c>
      <c r="O186" s="836"/>
      <c r="P186" s="836"/>
      <c r="Q186" s="836"/>
      <c r="R186" s="836"/>
      <c r="S186" s="836"/>
      <c r="T186" s="728">
        <f t="shared" si="25"/>
        <v>1</v>
      </c>
      <c r="U186" s="728">
        <f t="shared" si="31"/>
        <v>1</v>
      </c>
      <c r="V186" s="848" t="s">
        <v>352</v>
      </c>
    </row>
    <row r="187" spans="1:22" ht="71.25" customHeight="1">
      <c r="A187" s="736"/>
      <c r="B187" s="828" t="s">
        <v>353</v>
      </c>
      <c r="C187" s="828" t="s">
        <v>354</v>
      </c>
      <c r="D187" s="829">
        <v>178</v>
      </c>
      <c r="E187" s="829" t="s">
        <v>355</v>
      </c>
      <c r="F187" s="836"/>
      <c r="G187" s="836"/>
      <c r="H187" s="836"/>
      <c r="I187" s="836"/>
      <c r="J187" s="836"/>
      <c r="K187" s="836"/>
      <c r="L187" s="836"/>
      <c r="M187" s="836"/>
      <c r="N187" s="836"/>
      <c r="O187" s="836"/>
      <c r="P187" s="836">
        <f>154.44-19.5</f>
        <v>134.94</v>
      </c>
      <c r="Q187" s="836"/>
      <c r="R187" s="836"/>
      <c r="S187" s="836"/>
      <c r="T187" s="728">
        <f t="shared" si="25"/>
        <v>134.94</v>
      </c>
      <c r="U187" s="728">
        <f t="shared" si="31"/>
        <v>134.94</v>
      </c>
      <c r="V187" s="833" t="s">
        <v>1584</v>
      </c>
    </row>
    <row r="188" spans="1:22">
      <c r="A188" s="736"/>
      <c r="B188" s="736"/>
      <c r="C188" s="736"/>
      <c r="D188" s="829">
        <v>179</v>
      </c>
      <c r="E188" s="829" t="s">
        <v>157</v>
      </c>
      <c r="F188" s="836"/>
      <c r="G188" s="836"/>
      <c r="H188" s="836"/>
      <c r="I188" s="836"/>
      <c r="J188" s="836"/>
      <c r="K188" s="836"/>
      <c r="L188" s="836"/>
      <c r="M188" s="836"/>
      <c r="N188" s="836"/>
      <c r="O188" s="836"/>
      <c r="P188" s="836"/>
      <c r="Q188" s="836"/>
      <c r="R188" s="836"/>
      <c r="S188" s="836"/>
      <c r="T188" s="728">
        <f t="shared" si="25"/>
        <v>0</v>
      </c>
      <c r="U188" s="728">
        <f t="shared" ref="U188:U193" si="32">T188*1.05</f>
        <v>0</v>
      </c>
      <c r="V188" s="874"/>
    </row>
    <row r="189" spans="1:22" ht="30">
      <c r="A189" s="736"/>
      <c r="B189" s="736"/>
      <c r="C189" s="736"/>
      <c r="D189" s="829">
        <v>180</v>
      </c>
      <c r="E189" s="829" t="s">
        <v>356</v>
      </c>
      <c r="F189" s="836"/>
      <c r="G189" s="836"/>
      <c r="H189" s="836"/>
      <c r="I189" s="836"/>
      <c r="J189" s="836"/>
      <c r="K189" s="835"/>
      <c r="L189" s="836"/>
      <c r="M189" s="836"/>
      <c r="N189" s="836"/>
      <c r="O189" s="836"/>
      <c r="P189" s="837"/>
      <c r="Q189" s="836"/>
      <c r="R189" s="836"/>
      <c r="S189" s="836"/>
      <c r="T189" s="728">
        <f t="shared" si="25"/>
        <v>0</v>
      </c>
      <c r="U189" s="728">
        <f t="shared" si="32"/>
        <v>0</v>
      </c>
      <c r="V189" s="874"/>
    </row>
    <row r="190" spans="1:22" ht="30">
      <c r="A190" s="736"/>
      <c r="B190" s="736"/>
      <c r="C190" s="736"/>
      <c r="D190" s="829">
        <v>181</v>
      </c>
      <c r="E190" s="829" t="s">
        <v>357</v>
      </c>
      <c r="F190" s="836"/>
      <c r="G190" s="836"/>
      <c r="H190" s="836"/>
      <c r="I190" s="836"/>
      <c r="J190" s="836"/>
      <c r="K190" s="836"/>
      <c r="L190" s="836"/>
      <c r="M190" s="836"/>
      <c r="N190" s="836"/>
      <c r="O190" s="836"/>
      <c r="P190" s="836"/>
      <c r="Q190" s="836"/>
      <c r="R190" s="836"/>
      <c r="S190" s="836"/>
      <c r="T190" s="728">
        <f t="shared" si="25"/>
        <v>0</v>
      </c>
      <c r="U190" s="728">
        <f t="shared" si="32"/>
        <v>0</v>
      </c>
      <c r="V190" s="874"/>
    </row>
    <row r="191" spans="1:22" ht="30">
      <c r="A191" s="736"/>
      <c r="B191" s="736"/>
      <c r="C191" s="736"/>
      <c r="D191" s="829">
        <v>182</v>
      </c>
      <c r="E191" s="829" t="s">
        <v>358</v>
      </c>
      <c r="F191" s="836"/>
      <c r="G191" s="836"/>
      <c r="H191" s="836"/>
      <c r="I191" s="836"/>
      <c r="J191" s="836"/>
      <c r="K191" s="836"/>
      <c r="L191" s="836"/>
      <c r="M191" s="836"/>
      <c r="N191" s="836"/>
      <c r="O191" s="836"/>
      <c r="P191" s="835">
        <v>21.6</v>
      </c>
      <c r="Q191" s="836"/>
      <c r="R191" s="836"/>
      <c r="S191" s="836"/>
      <c r="T191" s="728">
        <f t="shared" si="25"/>
        <v>21.6</v>
      </c>
      <c r="U191" s="728">
        <f t="shared" si="32"/>
        <v>22.680000000000003</v>
      </c>
      <c r="V191" s="874" t="s">
        <v>359</v>
      </c>
    </row>
    <row r="192" spans="1:22" ht="60">
      <c r="A192" s="736"/>
      <c r="B192" s="736"/>
      <c r="C192" s="736"/>
      <c r="D192" s="829">
        <v>183</v>
      </c>
      <c r="E192" s="829" t="s">
        <v>360</v>
      </c>
      <c r="F192" s="836"/>
      <c r="G192" s="836"/>
      <c r="H192" s="836"/>
      <c r="I192" s="836"/>
      <c r="J192" s="836"/>
      <c r="K192" s="836"/>
      <c r="L192" s="836"/>
      <c r="M192" s="836"/>
      <c r="N192" s="836"/>
      <c r="O192" s="836"/>
      <c r="P192" s="837"/>
      <c r="Q192" s="836"/>
      <c r="R192" s="836"/>
      <c r="S192" s="836"/>
      <c r="T192" s="728">
        <f t="shared" si="25"/>
        <v>0</v>
      </c>
      <c r="U192" s="728">
        <f t="shared" si="32"/>
        <v>0</v>
      </c>
      <c r="V192" s="874"/>
    </row>
    <row r="193" spans="1:22" ht="75">
      <c r="A193" s="736"/>
      <c r="B193" s="829" t="s">
        <v>361</v>
      </c>
      <c r="C193" s="829" t="s">
        <v>362</v>
      </c>
      <c r="D193" s="829">
        <v>184</v>
      </c>
      <c r="E193" s="829" t="s">
        <v>363</v>
      </c>
      <c r="F193" s="836"/>
      <c r="G193" s="836"/>
      <c r="H193" s="836"/>
      <c r="I193" s="836"/>
      <c r="J193" s="836"/>
      <c r="K193" s="836"/>
      <c r="L193" s="836"/>
      <c r="M193" s="836"/>
      <c r="N193" s="836"/>
      <c r="O193" s="836"/>
      <c r="P193" s="835"/>
      <c r="Q193" s="836"/>
      <c r="R193" s="836"/>
      <c r="S193" s="836"/>
      <c r="T193" s="728">
        <f t="shared" si="25"/>
        <v>0</v>
      </c>
      <c r="U193" s="728">
        <f t="shared" si="32"/>
        <v>0</v>
      </c>
      <c r="V193" s="874"/>
    </row>
    <row r="194" spans="1:22" ht="30">
      <c r="A194" s="736"/>
      <c r="B194" s="828" t="s">
        <v>364</v>
      </c>
      <c r="C194" s="828" t="s">
        <v>297</v>
      </c>
      <c r="D194" s="829">
        <v>185</v>
      </c>
      <c r="E194" s="829" t="s">
        <v>298</v>
      </c>
      <c r="F194" s="836"/>
      <c r="G194" s="836"/>
      <c r="H194" s="836"/>
      <c r="I194" s="836"/>
      <c r="J194" s="836"/>
      <c r="K194" s="836"/>
      <c r="L194" s="836"/>
      <c r="M194" s="836"/>
      <c r="N194" s="836"/>
      <c r="O194" s="836"/>
      <c r="P194" s="783">
        <v>4036.6260900000002</v>
      </c>
      <c r="Q194" s="836"/>
      <c r="R194" s="836"/>
      <c r="S194" s="836"/>
      <c r="T194" s="728">
        <f t="shared" si="25"/>
        <v>4036.6260900000002</v>
      </c>
      <c r="U194" s="887">
        <v>4336.9510710960003</v>
      </c>
      <c r="V194" s="881" t="s">
        <v>1732</v>
      </c>
    </row>
    <row r="195" spans="1:22" ht="102.75" customHeight="1">
      <c r="A195" s="736"/>
      <c r="B195" s="736"/>
      <c r="C195" s="736"/>
      <c r="D195" s="829">
        <v>186</v>
      </c>
      <c r="E195" s="829" t="s">
        <v>299</v>
      </c>
      <c r="F195" s="836"/>
      <c r="G195" s="836"/>
      <c r="H195" s="836"/>
      <c r="I195" s="836"/>
      <c r="J195" s="836"/>
      <c r="K195" s="836"/>
      <c r="L195" s="836"/>
      <c r="M195" s="836"/>
      <c r="N195" s="836"/>
      <c r="O195" s="836"/>
      <c r="P195" s="837">
        <f>10.135+4.025</f>
        <v>14.16</v>
      </c>
      <c r="Q195" s="835"/>
      <c r="R195" s="836"/>
      <c r="S195" s="836"/>
      <c r="T195" s="728">
        <f t="shared" si="25"/>
        <v>14.16</v>
      </c>
      <c r="U195" s="728">
        <f>T195</f>
        <v>14.16</v>
      </c>
      <c r="V195" s="833" t="s">
        <v>366</v>
      </c>
    </row>
    <row r="196" spans="1:22" ht="30">
      <c r="A196" s="736"/>
      <c r="B196" s="736"/>
      <c r="C196" s="736"/>
      <c r="D196" s="829">
        <v>187</v>
      </c>
      <c r="E196" s="829" t="s">
        <v>367</v>
      </c>
      <c r="F196" s="836"/>
      <c r="G196" s="836"/>
      <c r="H196" s="836"/>
      <c r="I196" s="836"/>
      <c r="J196" s="836"/>
      <c r="K196" s="836"/>
      <c r="L196" s="836"/>
      <c r="M196" s="836"/>
      <c r="N196" s="836"/>
      <c r="O196" s="836"/>
      <c r="P196" s="783">
        <v>1337.8279599999998</v>
      </c>
      <c r="Q196" s="836"/>
      <c r="R196" s="836"/>
      <c r="S196" s="836"/>
      <c r="T196" s="728">
        <f t="shared" si="25"/>
        <v>1337.8279599999998</v>
      </c>
      <c r="U196" s="887">
        <v>1449.5232163803998</v>
      </c>
      <c r="V196" s="881" t="s">
        <v>1732</v>
      </c>
    </row>
    <row r="197" spans="1:22" ht="30">
      <c r="A197" s="736"/>
      <c r="B197" s="736"/>
      <c r="C197" s="736"/>
      <c r="D197" s="829">
        <v>188</v>
      </c>
      <c r="E197" s="829" t="s">
        <v>300</v>
      </c>
      <c r="F197" s="836"/>
      <c r="G197" s="836"/>
      <c r="H197" s="836"/>
      <c r="I197" s="836"/>
      <c r="J197" s="836"/>
      <c r="K197" s="836"/>
      <c r="L197" s="836"/>
      <c r="M197" s="836"/>
      <c r="N197" s="836"/>
      <c r="O197" s="836"/>
      <c r="P197" s="836"/>
      <c r="Q197" s="836"/>
      <c r="R197" s="836"/>
      <c r="S197" s="836"/>
      <c r="T197" s="728">
        <f t="shared" si="25"/>
        <v>0</v>
      </c>
      <c r="U197" s="728">
        <f t="shared" ref="U197:U198" si="33">T197*1.05</f>
        <v>0</v>
      </c>
      <c r="V197" s="833"/>
    </row>
    <row r="198" spans="1:22" ht="45">
      <c r="A198" s="736"/>
      <c r="B198" s="736"/>
      <c r="C198" s="736"/>
      <c r="D198" s="829">
        <v>189</v>
      </c>
      <c r="E198" s="829" t="s">
        <v>301</v>
      </c>
      <c r="F198" s="836"/>
      <c r="G198" s="836"/>
      <c r="H198" s="836"/>
      <c r="I198" s="836"/>
      <c r="J198" s="836"/>
      <c r="K198" s="836"/>
      <c r="L198" s="836"/>
      <c r="M198" s="836"/>
      <c r="N198" s="836"/>
      <c r="O198" s="836"/>
      <c r="P198" s="836"/>
      <c r="Q198" s="836"/>
      <c r="R198" s="836"/>
      <c r="S198" s="836"/>
      <c r="T198" s="728">
        <f t="shared" si="25"/>
        <v>0</v>
      </c>
      <c r="U198" s="728">
        <f t="shared" si="33"/>
        <v>0</v>
      </c>
      <c r="V198" s="833"/>
    </row>
    <row r="199" spans="1:22" ht="45">
      <c r="A199" s="736"/>
      <c r="B199" s="736"/>
      <c r="C199" s="736"/>
      <c r="D199" s="829">
        <v>190</v>
      </c>
      <c r="E199" s="829" t="s">
        <v>368</v>
      </c>
      <c r="F199" s="836"/>
      <c r="G199" s="836"/>
      <c r="H199" s="836"/>
      <c r="I199" s="836"/>
      <c r="J199" s="836"/>
      <c r="K199" s="836"/>
      <c r="L199" s="836"/>
      <c r="M199" s="836"/>
      <c r="N199" s="836"/>
      <c r="O199" s="836"/>
      <c r="P199" s="837"/>
      <c r="Q199" s="836"/>
      <c r="R199" s="836"/>
      <c r="S199" s="836"/>
      <c r="T199" s="728">
        <f t="shared" si="25"/>
        <v>0</v>
      </c>
      <c r="U199" s="728"/>
      <c r="V199" s="833" t="s">
        <v>369</v>
      </c>
    </row>
    <row r="200" spans="1:22" ht="195">
      <c r="A200" s="736"/>
      <c r="B200" s="828" t="s">
        <v>370</v>
      </c>
      <c r="C200" s="828" t="s">
        <v>371</v>
      </c>
      <c r="D200" s="829">
        <v>191</v>
      </c>
      <c r="E200" s="829" t="s">
        <v>372</v>
      </c>
      <c r="F200" s="836"/>
      <c r="G200" s="836"/>
      <c r="H200" s="836"/>
      <c r="I200" s="836"/>
      <c r="J200" s="836"/>
      <c r="K200" s="836"/>
      <c r="L200" s="836"/>
      <c r="M200" s="836"/>
      <c r="N200" s="835">
        <v>58.14</v>
      </c>
      <c r="O200" s="836"/>
      <c r="P200" s="836"/>
      <c r="Q200" s="836"/>
      <c r="R200" s="836"/>
      <c r="S200" s="836"/>
      <c r="T200" s="728">
        <f t="shared" si="25"/>
        <v>58.14</v>
      </c>
      <c r="U200" s="728">
        <v>57.25</v>
      </c>
      <c r="V200" s="848" t="s">
        <v>1585</v>
      </c>
    </row>
    <row r="201" spans="1:22" ht="131.25" customHeight="1">
      <c r="A201" s="736"/>
      <c r="B201" s="736"/>
      <c r="C201" s="736"/>
      <c r="D201" s="829">
        <v>192</v>
      </c>
      <c r="E201" s="829" t="s">
        <v>373</v>
      </c>
      <c r="F201" s="836"/>
      <c r="G201" s="836"/>
      <c r="H201" s="837"/>
      <c r="I201" s="836"/>
      <c r="J201" s="836"/>
      <c r="K201" s="836"/>
      <c r="L201" s="836"/>
      <c r="M201" s="836"/>
      <c r="N201" s="835">
        <v>23.25</v>
      </c>
      <c r="O201" s="836"/>
      <c r="P201" s="835"/>
      <c r="Q201" s="837"/>
      <c r="R201" s="836"/>
      <c r="S201" s="836"/>
      <c r="T201" s="728">
        <v>23.25</v>
      </c>
      <c r="U201" s="728">
        <v>24.3</v>
      </c>
      <c r="V201" s="848" t="s">
        <v>1586</v>
      </c>
    </row>
    <row r="202" spans="1:22" ht="45">
      <c r="A202" s="736"/>
      <c r="B202" s="828" t="s">
        <v>374</v>
      </c>
      <c r="C202" s="828" t="s">
        <v>303</v>
      </c>
      <c r="D202" s="829">
        <v>193</v>
      </c>
      <c r="E202" s="829" t="s">
        <v>375</v>
      </c>
      <c r="F202" s="836"/>
      <c r="G202" s="836"/>
      <c r="H202" s="836"/>
      <c r="I202" s="836"/>
      <c r="J202" s="836"/>
      <c r="K202" s="836"/>
      <c r="L202" s="836"/>
      <c r="M202" s="836"/>
      <c r="N202" s="836"/>
      <c r="O202" s="836"/>
      <c r="P202" s="835"/>
      <c r="Q202" s="836"/>
      <c r="R202" s="836"/>
      <c r="S202" s="837"/>
      <c r="T202" s="728">
        <f t="shared" ref="T202:T205" si="34">SUM(F202:S202)</f>
        <v>0</v>
      </c>
      <c r="U202" s="728">
        <f>T202*1.05</f>
        <v>0</v>
      </c>
      <c r="V202" s="833"/>
    </row>
    <row r="203" spans="1:22" ht="216.75" customHeight="1">
      <c r="A203" s="736"/>
      <c r="B203" s="736"/>
      <c r="C203" s="736"/>
      <c r="D203" s="829">
        <v>194</v>
      </c>
      <c r="E203" s="829" t="s">
        <v>304</v>
      </c>
      <c r="F203" s="836"/>
      <c r="G203" s="836"/>
      <c r="H203" s="836"/>
      <c r="I203" s="836"/>
      <c r="J203" s="836"/>
      <c r="K203" s="836"/>
      <c r="L203" s="836"/>
      <c r="M203" s="836"/>
      <c r="N203" s="835">
        <v>1.2</v>
      </c>
      <c r="O203" s="836"/>
      <c r="P203" s="836"/>
      <c r="Q203" s="835"/>
      <c r="R203" s="835">
        <v>49.5</v>
      </c>
      <c r="S203" s="836"/>
      <c r="T203" s="728">
        <f t="shared" si="34"/>
        <v>50.7</v>
      </c>
      <c r="U203" s="728">
        <f>R203*1.05+N203</f>
        <v>53.175000000000004</v>
      </c>
      <c r="V203" s="833" t="s">
        <v>1587</v>
      </c>
    </row>
    <row r="204" spans="1:22" ht="137.25" customHeight="1">
      <c r="A204" s="736"/>
      <c r="B204" s="828" t="s">
        <v>376</v>
      </c>
      <c r="C204" s="828" t="s">
        <v>377</v>
      </c>
      <c r="D204" s="829">
        <v>195</v>
      </c>
      <c r="E204" s="829" t="s">
        <v>378</v>
      </c>
      <c r="F204" s="836"/>
      <c r="G204" s="836"/>
      <c r="H204" s="836"/>
      <c r="I204" s="836"/>
      <c r="J204" s="836"/>
      <c r="K204" s="836"/>
      <c r="L204" s="836"/>
      <c r="M204" s="836"/>
      <c r="N204" s="836"/>
      <c r="O204" s="836"/>
      <c r="P204" s="835"/>
      <c r="Q204" s="837">
        <v>2.11</v>
      </c>
      <c r="R204" s="835">
        <v>2.9</v>
      </c>
      <c r="S204" s="836">
        <v>5.6</v>
      </c>
      <c r="T204" s="728">
        <f t="shared" si="34"/>
        <v>10.61</v>
      </c>
      <c r="U204" s="728">
        <f>T204</f>
        <v>10.61</v>
      </c>
      <c r="V204" s="833" t="s">
        <v>1866</v>
      </c>
    </row>
    <row r="205" spans="1:22" ht="30">
      <c r="A205" s="736"/>
      <c r="B205" s="736"/>
      <c r="C205" s="736"/>
      <c r="D205" s="829">
        <v>196</v>
      </c>
      <c r="E205" s="829" t="s">
        <v>379</v>
      </c>
      <c r="F205" s="836"/>
      <c r="G205" s="836"/>
      <c r="H205" s="836"/>
      <c r="I205" s="836"/>
      <c r="J205" s="836"/>
      <c r="K205" s="836"/>
      <c r="L205" s="836"/>
      <c r="M205" s="836"/>
      <c r="N205" s="836"/>
      <c r="O205" s="836"/>
      <c r="P205" s="836"/>
      <c r="Q205" s="836"/>
      <c r="R205" s="836"/>
      <c r="S205" s="836"/>
      <c r="T205" s="728">
        <f t="shared" si="34"/>
        <v>0</v>
      </c>
      <c r="U205" s="728">
        <f>T205*1.05</f>
        <v>0</v>
      </c>
      <c r="V205" s="833"/>
    </row>
    <row r="206" spans="1:22" ht="255">
      <c r="A206" s="736"/>
      <c r="B206" s="736"/>
      <c r="C206" s="736"/>
      <c r="D206" s="829">
        <v>197</v>
      </c>
      <c r="E206" s="829" t="s">
        <v>380</v>
      </c>
      <c r="F206" s="848"/>
      <c r="G206" s="848"/>
      <c r="H206" s="848"/>
      <c r="I206" s="848"/>
      <c r="J206" s="848"/>
      <c r="K206" s="848"/>
      <c r="L206" s="848"/>
      <c r="M206" s="848"/>
      <c r="N206" s="841">
        <v>0.25</v>
      </c>
      <c r="O206" s="879"/>
      <c r="P206" s="888">
        <v>408.83</v>
      </c>
      <c r="Q206" s="841"/>
      <c r="R206" s="841">
        <v>0.05</v>
      </c>
      <c r="S206" s="841"/>
      <c r="T206" s="886">
        <f>SUM(N206:S206)</f>
        <v>409.13</v>
      </c>
      <c r="U206" s="888">
        <v>408.88</v>
      </c>
      <c r="V206" s="833" t="s">
        <v>1867</v>
      </c>
    </row>
    <row r="207" spans="1:22" ht="60">
      <c r="A207" s="736"/>
      <c r="B207" s="829" t="s">
        <v>381</v>
      </c>
      <c r="C207" s="829" t="s">
        <v>309</v>
      </c>
      <c r="D207" s="829">
        <v>198</v>
      </c>
      <c r="E207" s="829" t="s">
        <v>310</v>
      </c>
      <c r="F207" s="836"/>
      <c r="G207" s="836"/>
      <c r="H207" s="836"/>
      <c r="I207" s="836"/>
      <c r="J207" s="836"/>
      <c r="K207" s="836"/>
      <c r="L207" s="836"/>
      <c r="M207" s="836"/>
      <c r="N207" s="836"/>
      <c r="O207" s="836"/>
      <c r="P207" s="836"/>
      <c r="Q207" s="836"/>
      <c r="R207" s="836"/>
      <c r="S207" s="836"/>
      <c r="T207" s="728">
        <f t="shared" ref="T207:T211" si="35">SUM(F207:S207)</f>
        <v>0</v>
      </c>
      <c r="U207" s="728">
        <f>T207*1.05</f>
        <v>0</v>
      </c>
      <c r="V207" s="833"/>
    </row>
    <row r="208" spans="1:22" ht="105">
      <c r="A208" s="736"/>
      <c r="B208" s="829" t="s">
        <v>382</v>
      </c>
      <c r="C208" s="829" t="s">
        <v>312</v>
      </c>
      <c r="D208" s="829">
        <v>199</v>
      </c>
      <c r="E208" s="829" t="s">
        <v>313</v>
      </c>
      <c r="F208" s="865"/>
      <c r="G208" s="865"/>
      <c r="H208" s="865"/>
      <c r="I208" s="865"/>
      <c r="J208" s="865"/>
      <c r="K208" s="865"/>
      <c r="L208" s="865"/>
      <c r="M208" s="865"/>
      <c r="N208" s="865"/>
      <c r="O208" s="865"/>
      <c r="P208" s="865"/>
      <c r="Q208" s="865"/>
      <c r="R208" s="865">
        <v>273.05</v>
      </c>
      <c r="S208" s="865"/>
      <c r="T208" s="728">
        <f t="shared" si="35"/>
        <v>273.05</v>
      </c>
      <c r="U208" s="728">
        <f>T208</f>
        <v>273.05</v>
      </c>
      <c r="V208" s="833" t="s">
        <v>1588</v>
      </c>
    </row>
    <row r="209" spans="1:22" ht="60.75" customHeight="1">
      <c r="A209" s="736"/>
      <c r="B209" s="829" t="s">
        <v>383</v>
      </c>
      <c r="C209" s="829"/>
      <c r="D209" s="829">
        <v>200</v>
      </c>
      <c r="E209" s="829" t="s">
        <v>384</v>
      </c>
      <c r="F209" s="889"/>
      <c r="G209" s="889"/>
      <c r="H209" s="889"/>
      <c r="I209" s="889"/>
      <c r="J209" s="889"/>
      <c r="K209" s="889"/>
      <c r="L209" s="889"/>
      <c r="M209" s="889"/>
      <c r="N209" s="889">
        <v>0.1956</v>
      </c>
      <c r="O209" s="889"/>
      <c r="P209" s="889"/>
      <c r="Q209" s="889"/>
      <c r="R209" s="889">
        <v>1</v>
      </c>
      <c r="S209" s="889"/>
      <c r="T209" s="728">
        <f t="shared" si="35"/>
        <v>1.1956</v>
      </c>
      <c r="U209" s="728">
        <v>1.1956</v>
      </c>
      <c r="V209" s="848" t="s">
        <v>385</v>
      </c>
    </row>
    <row r="210" spans="1:22" s="895" customFormat="1" ht="15.75">
      <c r="A210" s="736"/>
      <c r="B210" s="890" t="s">
        <v>386</v>
      </c>
      <c r="C210" s="891"/>
      <c r="D210" s="891"/>
      <c r="E210" s="892"/>
      <c r="F210" s="893">
        <f t="shared" ref="F210:S210" si="36">SUM(F159:F209)</f>
        <v>0</v>
      </c>
      <c r="G210" s="894">
        <f t="shared" si="36"/>
        <v>0</v>
      </c>
      <c r="H210" s="894">
        <f t="shared" si="36"/>
        <v>0</v>
      </c>
      <c r="I210" s="893">
        <f t="shared" si="36"/>
        <v>11.9</v>
      </c>
      <c r="J210" s="893">
        <f t="shared" si="36"/>
        <v>0</v>
      </c>
      <c r="K210" s="893">
        <f t="shared" si="36"/>
        <v>0</v>
      </c>
      <c r="L210" s="893">
        <f t="shared" si="36"/>
        <v>0</v>
      </c>
      <c r="M210" s="893">
        <f t="shared" si="36"/>
        <v>28.9</v>
      </c>
      <c r="N210" s="871">
        <f t="shared" si="36"/>
        <v>158.2296</v>
      </c>
      <c r="O210" s="893">
        <f t="shared" si="36"/>
        <v>981.05500000000006</v>
      </c>
      <c r="P210" s="894">
        <f t="shared" si="36"/>
        <v>6143.9940499999993</v>
      </c>
      <c r="Q210" s="893">
        <f t="shared" si="36"/>
        <v>28.923000000000002</v>
      </c>
      <c r="R210" s="893">
        <f t="shared" si="36"/>
        <v>329.29</v>
      </c>
      <c r="S210" s="893">
        <f t="shared" si="36"/>
        <v>5.6</v>
      </c>
      <c r="T210" s="871">
        <f t="shared" si="35"/>
        <v>7687.8916499999996</v>
      </c>
      <c r="U210" s="871">
        <f t="shared" ref="U210:V210" si="37">SUM(U159:U209)</f>
        <v>8105.4668874764011</v>
      </c>
      <c r="V210" s="893">
        <f t="shared" si="37"/>
        <v>0</v>
      </c>
    </row>
    <row r="211" spans="1:22" s="895" customFormat="1" ht="15.75">
      <c r="A211" s="896" t="s">
        <v>387</v>
      </c>
      <c r="B211" s="897"/>
      <c r="C211" s="897"/>
      <c r="D211" s="897"/>
      <c r="E211" s="898"/>
      <c r="F211" s="899">
        <f t="shared" ref="F211:S211" si="38">F210+F158+F134+F93+F68</f>
        <v>218.30859999999996</v>
      </c>
      <c r="G211" s="900">
        <f t="shared" si="38"/>
        <v>4.5</v>
      </c>
      <c r="H211" s="900">
        <f t="shared" si="38"/>
        <v>0</v>
      </c>
      <c r="I211" s="899">
        <f t="shared" si="38"/>
        <v>39.037059999999997</v>
      </c>
      <c r="J211" s="899">
        <f t="shared" si="38"/>
        <v>0</v>
      </c>
      <c r="K211" s="899">
        <f t="shared" si="38"/>
        <v>174.61199999999999</v>
      </c>
      <c r="L211" s="899">
        <f t="shared" si="38"/>
        <v>5</v>
      </c>
      <c r="M211" s="900">
        <f t="shared" si="38"/>
        <v>102.502</v>
      </c>
      <c r="N211" s="899">
        <f t="shared" si="38"/>
        <v>247.01080000000002</v>
      </c>
      <c r="O211" s="899">
        <f t="shared" si="38"/>
        <v>1470.1269</v>
      </c>
      <c r="P211" s="900">
        <f t="shared" si="38"/>
        <v>9050.730204999998</v>
      </c>
      <c r="Q211" s="899">
        <f t="shared" si="38"/>
        <v>122.029</v>
      </c>
      <c r="R211" s="900">
        <f t="shared" si="38"/>
        <v>404.7115</v>
      </c>
      <c r="S211" s="900">
        <f t="shared" si="38"/>
        <v>18.45</v>
      </c>
      <c r="T211" s="899">
        <f t="shared" si="35"/>
        <v>11857.018064999998</v>
      </c>
      <c r="U211" s="901">
        <f t="shared" ref="U211:V211" si="39">U210+U158+U134+U93+U68</f>
        <v>12438.2921257089</v>
      </c>
      <c r="V211" s="902">
        <f t="shared" si="39"/>
        <v>0</v>
      </c>
    </row>
    <row r="212" spans="1:22">
      <c r="A212" s="3"/>
      <c r="B212" s="3"/>
      <c r="C212" s="3"/>
      <c r="D212" s="3"/>
      <c r="E212" s="3"/>
      <c r="F212" s="8"/>
      <c r="G212" s="8"/>
      <c r="H212" s="8"/>
      <c r="I212" s="8"/>
      <c r="J212" s="8"/>
      <c r="K212" s="8"/>
      <c r="L212" s="8"/>
      <c r="M212" s="8"/>
      <c r="N212" s="8"/>
      <c r="O212" s="8"/>
      <c r="P212" s="8"/>
      <c r="Q212" s="8"/>
      <c r="R212" s="8"/>
      <c r="S212" s="8"/>
      <c r="T212" s="9"/>
      <c r="U212" s="9"/>
      <c r="V212" s="18"/>
    </row>
    <row r="213" spans="1:22">
      <c r="A213" s="3"/>
      <c r="B213" s="3"/>
      <c r="C213" s="3"/>
      <c r="D213" s="3"/>
      <c r="E213" s="3"/>
      <c r="F213" s="8"/>
      <c r="G213" s="8"/>
      <c r="H213" s="8"/>
      <c r="I213" s="8"/>
      <c r="J213" s="8"/>
      <c r="K213" s="8"/>
      <c r="L213" s="8"/>
      <c r="M213" s="8"/>
      <c r="N213" s="8"/>
      <c r="O213" s="8"/>
      <c r="P213" s="8"/>
      <c r="Q213" s="8"/>
      <c r="R213" s="8"/>
      <c r="S213" s="8"/>
      <c r="T213" s="8"/>
      <c r="U213" s="8"/>
      <c r="V213" s="18"/>
    </row>
    <row r="214" spans="1:22">
      <c r="A214" s="3"/>
      <c r="B214" s="3"/>
      <c r="C214" s="3"/>
      <c r="D214" s="3"/>
      <c r="E214" s="3"/>
      <c r="F214" s="8"/>
      <c r="G214" s="8"/>
      <c r="H214" s="8"/>
      <c r="I214" s="8"/>
      <c r="J214" s="8"/>
      <c r="K214" s="8"/>
      <c r="L214" s="8"/>
      <c r="M214" s="8"/>
      <c r="N214" s="8"/>
      <c r="O214" s="8"/>
      <c r="P214" s="8"/>
      <c r="Q214" s="8"/>
      <c r="R214" s="688"/>
      <c r="S214" s="903"/>
      <c r="T214" s="10"/>
      <c r="U214" s="11"/>
      <c r="V214" s="65"/>
    </row>
    <row r="215" spans="1:22">
      <c r="A215" s="3"/>
      <c r="B215" s="3"/>
      <c r="C215" s="3"/>
      <c r="D215" s="3"/>
      <c r="E215" s="3"/>
      <c r="F215" s="3"/>
      <c r="G215" s="3"/>
      <c r="H215" s="3"/>
      <c r="I215" s="3"/>
      <c r="J215" s="3"/>
      <c r="K215" s="3"/>
      <c r="L215" s="3"/>
      <c r="M215" s="3"/>
      <c r="N215" s="3"/>
      <c r="O215" s="3"/>
      <c r="P215" s="3"/>
      <c r="Q215" s="3"/>
      <c r="R215" s="3"/>
      <c r="S215" s="3"/>
      <c r="T215" s="3"/>
      <c r="U215" s="3"/>
      <c r="V215" s="18"/>
    </row>
    <row r="216" spans="1:22">
      <c r="A216" s="3"/>
      <c r="B216" s="3"/>
      <c r="C216" s="3"/>
      <c r="D216" s="3"/>
      <c r="E216" s="3"/>
      <c r="F216" s="3"/>
      <c r="G216" s="3"/>
      <c r="H216" s="3"/>
      <c r="I216" s="3"/>
      <c r="J216" s="3"/>
      <c r="K216" s="3"/>
      <c r="L216" s="3"/>
      <c r="M216" s="3"/>
      <c r="N216" s="3"/>
      <c r="O216" s="3"/>
      <c r="P216" s="3"/>
      <c r="Q216" s="3"/>
      <c r="R216" s="3"/>
      <c r="S216" s="3"/>
      <c r="T216" s="3"/>
      <c r="U216" s="3"/>
      <c r="V216" s="18"/>
    </row>
    <row r="217" spans="1:22">
      <c r="A217" s="3"/>
      <c r="B217" s="3"/>
      <c r="C217" s="3"/>
      <c r="D217" s="3"/>
      <c r="E217" s="3"/>
      <c r="F217" s="3"/>
      <c r="G217" s="3"/>
      <c r="H217" s="3"/>
      <c r="I217" s="3"/>
      <c r="J217" s="3"/>
      <c r="K217" s="3"/>
      <c r="L217" s="3"/>
      <c r="M217" s="3"/>
      <c r="N217" s="3"/>
      <c r="O217" s="3"/>
      <c r="P217" s="3"/>
      <c r="Q217" s="3"/>
      <c r="R217" s="3"/>
      <c r="S217" s="3"/>
      <c r="T217" s="3"/>
      <c r="U217" s="3"/>
      <c r="V217" s="18"/>
    </row>
    <row r="218" spans="1:22">
      <c r="A218" s="3"/>
      <c r="B218" s="3"/>
      <c r="C218" s="3"/>
      <c r="D218" s="3"/>
      <c r="E218" s="3"/>
      <c r="F218" s="3"/>
      <c r="G218" s="3"/>
      <c r="H218" s="3"/>
      <c r="I218" s="3"/>
      <c r="J218" s="3"/>
      <c r="K218" s="3"/>
      <c r="L218" s="3"/>
      <c r="M218" s="3"/>
      <c r="N218" s="3"/>
      <c r="O218" s="3"/>
      <c r="P218" s="3"/>
      <c r="Q218" s="3"/>
      <c r="R218" s="3"/>
      <c r="S218" s="3"/>
      <c r="T218" s="3"/>
      <c r="U218" s="3"/>
      <c r="V218" s="18"/>
    </row>
    <row r="219" spans="1:22" ht="24.75" customHeight="1">
      <c r="A219" s="3"/>
      <c r="B219" s="3"/>
      <c r="C219" s="3"/>
      <c r="D219" s="3"/>
      <c r="E219" s="3"/>
      <c r="F219" s="3"/>
      <c r="G219" s="3"/>
      <c r="H219" s="3"/>
      <c r="I219" s="3"/>
      <c r="J219" s="3"/>
      <c r="K219" s="3"/>
      <c r="L219" s="3"/>
      <c r="M219" s="3"/>
      <c r="N219" s="3"/>
      <c r="O219" s="3"/>
      <c r="P219" s="3"/>
      <c r="Q219" s="3"/>
      <c r="R219" s="3"/>
      <c r="S219" s="3"/>
      <c r="T219" s="3"/>
      <c r="U219" s="3"/>
      <c r="V219" s="18"/>
    </row>
    <row r="220" spans="1:22" ht="24.75" customHeight="1">
      <c r="A220" s="3"/>
      <c r="B220" s="3"/>
      <c r="C220" s="3"/>
      <c r="D220" s="3"/>
      <c r="E220" s="3"/>
      <c r="F220" s="3"/>
      <c r="G220" s="3"/>
      <c r="H220" s="3"/>
      <c r="I220" s="3"/>
      <c r="J220" s="3"/>
      <c r="K220" s="3"/>
      <c r="L220" s="3"/>
      <c r="M220" s="3"/>
      <c r="N220" s="3"/>
      <c r="O220" s="3"/>
      <c r="P220" s="3"/>
      <c r="Q220" s="3"/>
      <c r="R220" s="3"/>
      <c r="S220" s="3"/>
      <c r="T220" s="3"/>
      <c r="U220" s="3"/>
      <c r="V220" s="18"/>
    </row>
    <row r="221" spans="1:22" ht="24.75" customHeight="1">
      <c r="A221" s="3"/>
      <c r="B221" s="3"/>
      <c r="C221" s="3"/>
      <c r="D221" s="3"/>
      <c r="E221" s="3"/>
      <c r="F221" s="3"/>
      <c r="G221" s="3"/>
      <c r="H221" s="3"/>
      <c r="I221" s="3"/>
      <c r="J221" s="3"/>
      <c r="K221" s="3"/>
      <c r="L221" s="3"/>
      <c r="M221" s="3"/>
      <c r="N221" s="3"/>
      <c r="O221" s="3"/>
      <c r="P221" s="3"/>
      <c r="Q221" s="3"/>
      <c r="R221" s="3"/>
      <c r="S221" s="3"/>
      <c r="T221" s="3"/>
      <c r="U221" s="3"/>
      <c r="V221" s="18"/>
    </row>
    <row r="222" spans="1:22" ht="24.75" customHeight="1">
      <c r="A222" s="3"/>
      <c r="B222" s="3"/>
      <c r="C222" s="3"/>
      <c r="D222" s="3"/>
      <c r="E222" s="3"/>
      <c r="F222" s="3"/>
      <c r="G222" s="3"/>
      <c r="H222" s="3"/>
      <c r="I222" s="3"/>
      <c r="J222" s="3"/>
      <c r="K222" s="3"/>
      <c r="L222" s="3"/>
      <c r="M222" s="3"/>
      <c r="N222" s="3"/>
      <c r="O222" s="3"/>
      <c r="P222" s="3"/>
      <c r="Q222" s="3"/>
      <c r="R222" s="3"/>
      <c r="S222" s="3"/>
      <c r="T222" s="3"/>
      <c r="U222" s="3"/>
      <c r="V222" s="18"/>
    </row>
    <row r="223" spans="1:22" ht="24.75" customHeight="1">
      <c r="A223" s="3"/>
      <c r="B223" s="3"/>
      <c r="C223" s="3"/>
      <c r="D223" s="3"/>
      <c r="E223" s="3"/>
      <c r="F223" s="3"/>
      <c r="G223" s="3"/>
      <c r="H223" s="3"/>
      <c r="I223" s="3"/>
      <c r="J223" s="3"/>
      <c r="K223" s="3"/>
      <c r="L223" s="3"/>
      <c r="M223" s="3"/>
      <c r="N223" s="3"/>
      <c r="O223" s="3"/>
      <c r="P223" s="3"/>
      <c r="Q223" s="3"/>
      <c r="R223" s="3"/>
      <c r="S223" s="3"/>
      <c r="T223" s="3"/>
      <c r="U223" s="3"/>
      <c r="V223" s="18"/>
    </row>
    <row r="224" spans="1:22" ht="24.75" customHeight="1">
      <c r="A224" s="3"/>
      <c r="B224" s="3"/>
      <c r="C224" s="3"/>
      <c r="D224" s="3"/>
      <c r="E224" s="3"/>
      <c r="F224" s="3"/>
      <c r="G224" s="3"/>
      <c r="H224" s="3"/>
      <c r="I224" s="3"/>
      <c r="J224" s="3"/>
      <c r="K224" s="3"/>
      <c r="L224" s="3"/>
      <c r="M224" s="3"/>
      <c r="N224" s="3"/>
      <c r="O224" s="3"/>
      <c r="P224" s="3"/>
      <c r="Q224" s="3"/>
      <c r="R224" s="3"/>
      <c r="S224" s="3"/>
      <c r="T224" s="3"/>
      <c r="U224" s="3"/>
      <c r="V224" s="18"/>
    </row>
    <row r="225" spans="1:22" ht="24.75" customHeight="1">
      <c r="A225" s="3"/>
      <c r="B225" s="3"/>
      <c r="C225" s="3"/>
      <c r="D225" s="3"/>
      <c r="E225" s="3"/>
      <c r="F225" s="3"/>
      <c r="G225" s="3"/>
      <c r="H225" s="3"/>
      <c r="I225" s="3"/>
      <c r="J225" s="3"/>
      <c r="K225" s="3"/>
      <c r="L225" s="3"/>
      <c r="M225" s="3"/>
      <c r="N225" s="3"/>
      <c r="O225" s="3"/>
      <c r="P225" s="3"/>
      <c r="Q225" s="3"/>
      <c r="R225" s="3"/>
      <c r="S225" s="3"/>
      <c r="T225" s="3"/>
      <c r="U225" s="3"/>
      <c r="V225" s="18"/>
    </row>
    <row r="226" spans="1:22" ht="24.75" customHeight="1">
      <c r="A226" s="3"/>
      <c r="B226" s="3"/>
      <c r="C226" s="3"/>
      <c r="D226" s="3"/>
      <c r="E226" s="3"/>
      <c r="F226" s="3"/>
      <c r="G226" s="3"/>
      <c r="H226" s="3"/>
      <c r="I226" s="3"/>
      <c r="J226" s="3"/>
      <c r="K226" s="3"/>
      <c r="L226" s="3"/>
      <c r="M226" s="3"/>
      <c r="N226" s="3"/>
      <c r="O226" s="3"/>
      <c r="P226" s="3"/>
      <c r="Q226" s="3"/>
      <c r="R226" s="3"/>
      <c r="S226" s="3"/>
      <c r="T226" s="3"/>
      <c r="U226" s="3"/>
      <c r="V226" s="18"/>
    </row>
    <row r="227" spans="1:22" ht="24.75" customHeight="1">
      <c r="A227" s="3"/>
      <c r="B227" s="3"/>
      <c r="C227" s="3"/>
      <c r="D227" s="3"/>
      <c r="E227" s="3"/>
      <c r="F227" s="3"/>
      <c r="G227" s="3"/>
      <c r="H227" s="3"/>
      <c r="I227" s="3"/>
      <c r="J227" s="3"/>
      <c r="K227" s="3"/>
      <c r="L227" s="3"/>
      <c r="M227" s="3"/>
      <c r="N227" s="3"/>
      <c r="O227" s="3"/>
      <c r="P227" s="3"/>
      <c r="Q227" s="3"/>
      <c r="R227" s="3"/>
      <c r="S227" s="3"/>
      <c r="T227" s="3"/>
      <c r="U227" s="3"/>
      <c r="V227" s="18"/>
    </row>
    <row r="228" spans="1:22" ht="24.75" customHeight="1">
      <c r="A228" s="3"/>
      <c r="B228" s="3"/>
      <c r="C228" s="3"/>
      <c r="D228" s="3"/>
      <c r="E228" s="3"/>
      <c r="F228" s="3"/>
      <c r="G228" s="3"/>
      <c r="H228" s="3"/>
      <c r="I228" s="3"/>
      <c r="J228" s="3"/>
      <c r="K228" s="3"/>
      <c r="L228" s="3"/>
      <c r="M228" s="3"/>
      <c r="N228" s="3"/>
      <c r="O228" s="3"/>
      <c r="P228" s="3"/>
      <c r="Q228" s="3"/>
      <c r="R228" s="3"/>
      <c r="S228" s="3"/>
      <c r="T228" s="3"/>
      <c r="U228" s="3"/>
      <c r="V228" s="18"/>
    </row>
    <row r="229" spans="1:22" ht="24.75" customHeight="1">
      <c r="A229" s="3"/>
      <c r="B229" s="3"/>
      <c r="C229" s="3"/>
      <c r="D229" s="3"/>
      <c r="E229" s="3"/>
      <c r="F229" s="3"/>
      <c r="G229" s="3"/>
      <c r="H229" s="3"/>
      <c r="I229" s="3"/>
      <c r="J229" s="3"/>
      <c r="K229" s="3"/>
      <c r="L229" s="3"/>
      <c r="M229" s="3"/>
      <c r="N229" s="3"/>
      <c r="O229" s="3"/>
      <c r="P229" s="3"/>
      <c r="Q229" s="3"/>
      <c r="R229" s="3"/>
      <c r="S229" s="3"/>
      <c r="T229" s="3"/>
      <c r="U229" s="3"/>
      <c r="V229" s="18"/>
    </row>
    <row r="230" spans="1:22" ht="24.75" customHeight="1">
      <c r="A230" s="3"/>
      <c r="B230" s="3"/>
      <c r="C230" s="3"/>
      <c r="D230" s="3"/>
      <c r="E230" s="3"/>
      <c r="F230" s="3"/>
      <c r="G230" s="3"/>
      <c r="H230" s="3"/>
      <c r="I230" s="3"/>
      <c r="J230" s="3"/>
      <c r="K230" s="3"/>
      <c r="L230" s="3"/>
      <c r="M230" s="3"/>
      <c r="N230" s="3"/>
      <c r="O230" s="3"/>
      <c r="P230" s="3"/>
      <c r="Q230" s="3"/>
      <c r="R230" s="3"/>
      <c r="S230" s="3"/>
      <c r="T230" s="3"/>
      <c r="U230" s="3"/>
      <c r="V230" s="18"/>
    </row>
    <row r="231" spans="1:22" ht="24.75" customHeight="1">
      <c r="A231" s="3"/>
      <c r="B231" s="3"/>
      <c r="C231" s="3"/>
      <c r="D231" s="3"/>
      <c r="E231" s="3"/>
      <c r="F231" s="3"/>
      <c r="G231" s="3"/>
      <c r="H231" s="3"/>
      <c r="I231" s="3"/>
      <c r="J231" s="3"/>
      <c r="K231" s="3"/>
      <c r="L231" s="3"/>
      <c r="M231" s="3"/>
      <c r="N231" s="3"/>
      <c r="O231" s="3"/>
      <c r="P231" s="3"/>
      <c r="Q231" s="3"/>
      <c r="R231" s="3"/>
      <c r="S231" s="3"/>
      <c r="T231" s="3"/>
      <c r="U231" s="3"/>
      <c r="V231" s="18"/>
    </row>
    <row r="232" spans="1:22" ht="24.75" customHeight="1">
      <c r="A232" s="3"/>
      <c r="B232" s="3"/>
      <c r="C232" s="3"/>
      <c r="D232" s="3"/>
      <c r="E232" s="3"/>
      <c r="F232" s="3"/>
      <c r="G232" s="3"/>
      <c r="H232" s="3"/>
      <c r="I232" s="3"/>
      <c r="J232" s="3"/>
      <c r="K232" s="3"/>
      <c r="L232" s="3"/>
      <c r="M232" s="3"/>
      <c r="N232" s="3"/>
      <c r="O232" s="3"/>
      <c r="P232" s="3"/>
      <c r="Q232" s="3"/>
      <c r="R232" s="3"/>
      <c r="S232" s="3"/>
      <c r="T232" s="3"/>
      <c r="U232" s="3"/>
      <c r="V232" s="18"/>
    </row>
    <row r="233" spans="1:22" ht="24.75" customHeight="1">
      <c r="A233" s="3"/>
      <c r="B233" s="3"/>
      <c r="C233" s="3"/>
      <c r="D233" s="3"/>
      <c r="E233" s="3"/>
      <c r="F233" s="3"/>
      <c r="G233" s="3"/>
      <c r="H233" s="3"/>
      <c r="I233" s="3"/>
      <c r="J233" s="3"/>
      <c r="K233" s="3"/>
      <c r="L233" s="3"/>
      <c r="M233" s="3"/>
      <c r="N233" s="3"/>
      <c r="O233" s="3"/>
      <c r="P233" s="3"/>
      <c r="Q233" s="3"/>
      <c r="R233" s="3"/>
      <c r="S233" s="3"/>
      <c r="T233" s="3"/>
      <c r="U233" s="3"/>
      <c r="V233" s="18"/>
    </row>
    <row r="234" spans="1:22" ht="24.75" customHeight="1">
      <c r="A234" s="3"/>
      <c r="B234" s="3"/>
      <c r="C234" s="3"/>
      <c r="D234" s="3"/>
      <c r="E234" s="3"/>
      <c r="F234" s="3"/>
      <c r="G234" s="3"/>
      <c r="H234" s="3"/>
      <c r="I234" s="3"/>
      <c r="J234" s="3"/>
      <c r="K234" s="3"/>
      <c r="L234" s="3"/>
      <c r="M234" s="3"/>
      <c r="N234" s="3"/>
      <c r="O234" s="3"/>
      <c r="P234" s="3"/>
      <c r="Q234" s="3"/>
      <c r="R234" s="3"/>
      <c r="S234" s="3"/>
      <c r="T234" s="3"/>
      <c r="U234" s="3"/>
      <c r="V234" s="18"/>
    </row>
    <row r="235" spans="1:22" ht="24.75" customHeight="1">
      <c r="A235" s="3"/>
      <c r="B235" s="3"/>
      <c r="C235" s="3"/>
      <c r="D235" s="3"/>
      <c r="E235" s="3"/>
      <c r="F235" s="3"/>
      <c r="G235" s="3"/>
      <c r="H235" s="3"/>
      <c r="I235" s="3"/>
      <c r="J235" s="3"/>
      <c r="K235" s="3"/>
      <c r="L235" s="3"/>
      <c r="M235" s="3"/>
      <c r="N235" s="3"/>
      <c r="O235" s="3"/>
      <c r="P235" s="3"/>
      <c r="Q235" s="3"/>
      <c r="R235" s="3"/>
      <c r="S235" s="3"/>
      <c r="T235" s="3"/>
      <c r="U235" s="3"/>
      <c r="V235" s="18"/>
    </row>
    <row r="236" spans="1:22" ht="24.75" customHeight="1">
      <c r="A236" s="3"/>
      <c r="B236" s="3"/>
      <c r="C236" s="3"/>
      <c r="D236" s="3"/>
      <c r="E236" s="3"/>
      <c r="F236" s="3"/>
      <c r="G236" s="3"/>
      <c r="H236" s="3"/>
      <c r="I236" s="3"/>
      <c r="J236" s="3"/>
      <c r="K236" s="3"/>
      <c r="L236" s="3"/>
      <c r="M236" s="3"/>
      <c r="N236" s="3"/>
      <c r="O236" s="3"/>
      <c r="P236" s="3"/>
      <c r="Q236" s="3"/>
      <c r="R236" s="3"/>
      <c r="S236" s="3"/>
      <c r="T236" s="3"/>
      <c r="U236" s="3"/>
      <c r="V236" s="18"/>
    </row>
    <row r="237" spans="1:22" ht="24.75" customHeight="1">
      <c r="A237" s="3"/>
      <c r="B237" s="3"/>
      <c r="C237" s="3"/>
      <c r="D237" s="3"/>
      <c r="E237" s="3"/>
      <c r="F237" s="3"/>
      <c r="G237" s="3"/>
      <c r="H237" s="3"/>
      <c r="I237" s="3"/>
      <c r="J237" s="3"/>
      <c r="K237" s="3"/>
      <c r="L237" s="3"/>
      <c r="M237" s="3"/>
      <c r="N237" s="3"/>
      <c r="O237" s="3"/>
      <c r="P237" s="3"/>
      <c r="Q237" s="3"/>
      <c r="R237" s="3"/>
      <c r="S237" s="3"/>
      <c r="T237" s="3"/>
      <c r="U237" s="3"/>
      <c r="V237" s="18"/>
    </row>
    <row r="238" spans="1:22" ht="24.75" customHeight="1">
      <c r="A238" s="3"/>
      <c r="B238" s="3"/>
      <c r="C238" s="3"/>
      <c r="D238" s="3"/>
      <c r="E238" s="3"/>
      <c r="F238" s="3"/>
      <c r="G238" s="3"/>
      <c r="H238" s="3"/>
      <c r="I238" s="3"/>
      <c r="J238" s="3"/>
      <c r="K238" s="3"/>
      <c r="L238" s="3"/>
      <c r="M238" s="3"/>
      <c r="N238" s="3"/>
      <c r="O238" s="3"/>
      <c r="P238" s="3"/>
      <c r="Q238" s="3"/>
      <c r="R238" s="3"/>
      <c r="S238" s="3"/>
      <c r="T238" s="3"/>
      <c r="U238" s="3"/>
      <c r="V238" s="18"/>
    </row>
    <row r="239" spans="1:22" ht="24.75" customHeight="1">
      <c r="A239" s="3"/>
      <c r="B239" s="3"/>
      <c r="C239" s="3"/>
      <c r="D239" s="3"/>
      <c r="E239" s="3"/>
      <c r="F239" s="3"/>
      <c r="G239" s="3"/>
      <c r="H239" s="3"/>
      <c r="I239" s="3"/>
      <c r="J239" s="3"/>
      <c r="K239" s="3"/>
      <c r="L239" s="3"/>
      <c r="M239" s="3"/>
      <c r="N239" s="3"/>
      <c r="O239" s="3"/>
      <c r="P239" s="3"/>
      <c r="Q239" s="3"/>
      <c r="R239" s="3"/>
      <c r="S239" s="3"/>
      <c r="T239" s="3"/>
      <c r="U239" s="3"/>
      <c r="V239" s="18"/>
    </row>
    <row r="240" spans="1:22" ht="24.75" customHeight="1">
      <c r="A240" s="3"/>
      <c r="B240" s="3"/>
      <c r="C240" s="3"/>
      <c r="D240" s="3"/>
      <c r="E240" s="3"/>
      <c r="F240" s="3"/>
      <c r="G240" s="3"/>
      <c r="H240" s="3"/>
      <c r="I240" s="3"/>
      <c r="J240" s="3"/>
      <c r="K240" s="3"/>
      <c r="L240" s="3"/>
      <c r="M240" s="3"/>
      <c r="N240" s="3"/>
      <c r="O240" s="3"/>
      <c r="P240" s="3"/>
      <c r="Q240" s="3"/>
      <c r="R240" s="3"/>
      <c r="S240" s="3"/>
      <c r="T240" s="3"/>
      <c r="U240" s="3"/>
      <c r="V240" s="18"/>
    </row>
    <row r="241" spans="1:22" ht="24.75" customHeight="1">
      <c r="A241" s="3"/>
      <c r="B241" s="3"/>
      <c r="C241" s="3"/>
      <c r="D241" s="3"/>
      <c r="E241" s="3"/>
      <c r="F241" s="3"/>
      <c r="G241" s="3"/>
      <c r="H241" s="3"/>
      <c r="I241" s="3"/>
      <c r="J241" s="3"/>
      <c r="K241" s="3"/>
      <c r="L241" s="3"/>
      <c r="M241" s="3"/>
      <c r="N241" s="3"/>
      <c r="O241" s="3"/>
      <c r="P241" s="3"/>
      <c r="Q241" s="3"/>
      <c r="R241" s="3"/>
      <c r="S241" s="3"/>
      <c r="T241" s="3"/>
      <c r="U241" s="3"/>
      <c r="V241" s="18"/>
    </row>
    <row r="242" spans="1:22" ht="24.75" customHeight="1">
      <c r="A242" s="3"/>
      <c r="B242" s="3"/>
      <c r="C242" s="3"/>
      <c r="D242" s="3"/>
      <c r="E242" s="3"/>
      <c r="F242" s="3"/>
      <c r="G242" s="3"/>
      <c r="H242" s="3"/>
      <c r="I242" s="3"/>
      <c r="J242" s="3"/>
      <c r="K242" s="3"/>
      <c r="L242" s="3"/>
      <c r="M242" s="3"/>
      <c r="N242" s="3"/>
      <c r="O242" s="3"/>
      <c r="P242" s="3"/>
      <c r="Q242" s="3"/>
      <c r="R242" s="3"/>
      <c r="S242" s="3"/>
      <c r="T242" s="3"/>
      <c r="U242" s="3"/>
      <c r="V242" s="18"/>
    </row>
    <row r="243" spans="1:22" ht="24.75" customHeight="1">
      <c r="A243" s="3"/>
      <c r="B243" s="3"/>
      <c r="C243" s="3"/>
      <c r="D243" s="3"/>
      <c r="E243" s="3"/>
      <c r="F243" s="3"/>
      <c r="G243" s="3"/>
      <c r="H243" s="3"/>
      <c r="I243" s="3"/>
      <c r="J243" s="3"/>
      <c r="K243" s="3"/>
      <c r="L243" s="3"/>
      <c r="M243" s="3"/>
      <c r="N243" s="3"/>
      <c r="O243" s="3"/>
      <c r="P243" s="3"/>
      <c r="Q243" s="3"/>
      <c r="R243" s="3"/>
      <c r="S243" s="3"/>
      <c r="T243" s="3"/>
      <c r="U243" s="3"/>
      <c r="V243" s="18"/>
    </row>
    <row r="244" spans="1:22" ht="24.75" customHeight="1">
      <c r="A244" s="3"/>
      <c r="B244" s="3"/>
      <c r="C244" s="3"/>
      <c r="D244" s="3"/>
      <c r="E244" s="3"/>
      <c r="F244" s="3"/>
      <c r="G244" s="3"/>
      <c r="H244" s="3"/>
      <c r="I244" s="3"/>
      <c r="J244" s="3"/>
      <c r="K244" s="3"/>
      <c r="L244" s="3"/>
      <c r="M244" s="3"/>
      <c r="N244" s="3"/>
      <c r="O244" s="3"/>
      <c r="P244" s="3"/>
      <c r="Q244" s="3"/>
      <c r="R244" s="3"/>
      <c r="S244" s="3"/>
      <c r="T244" s="3"/>
      <c r="U244" s="3"/>
      <c r="V244" s="18"/>
    </row>
    <row r="245" spans="1:22" ht="24.75" customHeight="1">
      <c r="A245" s="3"/>
      <c r="B245" s="3"/>
      <c r="C245" s="3"/>
      <c r="D245" s="3"/>
      <c r="E245" s="3"/>
      <c r="F245" s="3"/>
      <c r="G245" s="3"/>
      <c r="H245" s="3"/>
      <c r="I245" s="3"/>
      <c r="J245" s="3"/>
      <c r="K245" s="3"/>
      <c r="L245" s="3"/>
      <c r="M245" s="3"/>
      <c r="N245" s="3"/>
      <c r="O245" s="3"/>
      <c r="P245" s="3"/>
      <c r="Q245" s="3"/>
      <c r="R245" s="3"/>
      <c r="S245" s="3"/>
      <c r="T245" s="3"/>
      <c r="U245" s="3"/>
      <c r="V245" s="18"/>
    </row>
    <row r="246" spans="1:22" ht="24.75" customHeight="1">
      <c r="A246" s="3"/>
      <c r="B246" s="3"/>
      <c r="C246" s="3"/>
      <c r="D246" s="3"/>
      <c r="E246" s="3"/>
      <c r="F246" s="3"/>
      <c r="G246" s="3"/>
      <c r="H246" s="3"/>
      <c r="I246" s="3"/>
      <c r="J246" s="3"/>
      <c r="K246" s="3"/>
      <c r="L246" s="3"/>
      <c r="M246" s="3"/>
      <c r="N246" s="3"/>
      <c r="O246" s="3"/>
      <c r="P246" s="3"/>
      <c r="Q246" s="3"/>
      <c r="R246" s="3"/>
      <c r="S246" s="3"/>
      <c r="T246" s="3"/>
      <c r="U246" s="3"/>
      <c r="V246" s="18"/>
    </row>
    <row r="247" spans="1:22" ht="24.75" customHeight="1">
      <c r="A247" s="3"/>
      <c r="B247" s="3"/>
      <c r="C247" s="3"/>
      <c r="D247" s="3"/>
      <c r="E247" s="3"/>
      <c r="F247" s="3"/>
      <c r="G247" s="3"/>
      <c r="H247" s="3"/>
      <c r="I247" s="3"/>
      <c r="J247" s="3"/>
      <c r="K247" s="3"/>
      <c r="L247" s="3"/>
      <c r="M247" s="3"/>
      <c r="N247" s="3"/>
      <c r="O247" s="3"/>
      <c r="P247" s="3"/>
      <c r="Q247" s="3"/>
      <c r="R247" s="3"/>
      <c r="S247" s="3"/>
      <c r="T247" s="3"/>
      <c r="U247" s="3"/>
      <c r="V247" s="18"/>
    </row>
    <row r="248" spans="1:22" ht="24.75" customHeight="1">
      <c r="A248" s="3"/>
      <c r="B248" s="3"/>
      <c r="C248" s="3"/>
      <c r="D248" s="3"/>
      <c r="E248" s="3"/>
      <c r="F248" s="3"/>
      <c r="G248" s="3"/>
      <c r="H248" s="3"/>
      <c r="I248" s="3"/>
      <c r="J248" s="3"/>
      <c r="K248" s="3"/>
      <c r="L248" s="3"/>
      <c r="M248" s="3"/>
      <c r="N248" s="3"/>
      <c r="O248" s="3"/>
      <c r="P248" s="3"/>
      <c r="Q248" s="3"/>
      <c r="R248" s="3"/>
      <c r="S248" s="3"/>
      <c r="T248" s="3"/>
      <c r="U248" s="3"/>
      <c r="V248" s="18"/>
    </row>
    <row r="249" spans="1:22" ht="24.75" customHeight="1">
      <c r="A249" s="3"/>
      <c r="B249" s="3"/>
      <c r="C249" s="3"/>
      <c r="D249" s="3"/>
      <c r="E249" s="3"/>
      <c r="F249" s="3"/>
      <c r="G249" s="3"/>
      <c r="H249" s="3"/>
      <c r="I249" s="3"/>
      <c r="J249" s="3"/>
      <c r="K249" s="3"/>
      <c r="L249" s="3"/>
      <c r="M249" s="3"/>
      <c r="N249" s="3"/>
      <c r="O249" s="3"/>
      <c r="P249" s="3"/>
      <c r="Q249" s="3"/>
      <c r="R249" s="3"/>
      <c r="S249" s="3"/>
      <c r="T249" s="3"/>
      <c r="U249" s="3"/>
      <c r="V249" s="18"/>
    </row>
    <row r="250" spans="1:22" ht="24.75" customHeight="1">
      <c r="A250" s="3"/>
      <c r="B250" s="3"/>
      <c r="C250" s="3"/>
      <c r="D250" s="3"/>
      <c r="E250" s="3"/>
      <c r="F250" s="3"/>
      <c r="G250" s="3"/>
      <c r="H250" s="3"/>
      <c r="I250" s="3"/>
      <c r="J250" s="3"/>
      <c r="K250" s="3"/>
      <c r="L250" s="3"/>
      <c r="M250" s="3"/>
      <c r="N250" s="3"/>
      <c r="O250" s="3"/>
      <c r="P250" s="3"/>
      <c r="Q250" s="3"/>
      <c r="R250" s="3"/>
      <c r="S250" s="3"/>
      <c r="T250" s="3"/>
      <c r="U250" s="3"/>
      <c r="V250" s="18"/>
    </row>
    <row r="251" spans="1:22" ht="24.75" customHeight="1">
      <c r="A251" s="3"/>
      <c r="B251" s="3"/>
      <c r="C251" s="3"/>
      <c r="D251" s="3"/>
      <c r="E251" s="3"/>
      <c r="F251" s="3"/>
      <c r="G251" s="3"/>
      <c r="H251" s="3"/>
      <c r="I251" s="3"/>
      <c r="J251" s="3"/>
      <c r="K251" s="3"/>
      <c r="L251" s="3"/>
      <c r="M251" s="3"/>
      <c r="N251" s="3"/>
      <c r="O251" s="3"/>
      <c r="P251" s="3"/>
      <c r="Q251" s="3"/>
      <c r="R251" s="3"/>
      <c r="S251" s="3"/>
      <c r="T251" s="3"/>
      <c r="U251" s="3"/>
      <c r="V251" s="18"/>
    </row>
    <row r="252" spans="1:22" ht="24.75" customHeight="1">
      <c r="A252" s="3"/>
      <c r="B252" s="3"/>
      <c r="C252" s="3"/>
      <c r="D252" s="3"/>
      <c r="E252" s="3"/>
      <c r="F252" s="3"/>
      <c r="G252" s="3"/>
      <c r="H252" s="3"/>
      <c r="I252" s="3"/>
      <c r="J252" s="3"/>
      <c r="K252" s="3"/>
      <c r="L252" s="3"/>
      <c r="M252" s="3"/>
      <c r="N252" s="3"/>
      <c r="O252" s="3"/>
      <c r="P252" s="3"/>
      <c r="Q252" s="3"/>
      <c r="R252" s="3"/>
      <c r="S252" s="3"/>
      <c r="T252" s="3"/>
      <c r="U252" s="3"/>
      <c r="V252" s="18"/>
    </row>
    <row r="253" spans="1:22" ht="24.75" customHeight="1">
      <c r="A253" s="3"/>
      <c r="B253" s="3"/>
      <c r="C253" s="3"/>
      <c r="D253" s="3"/>
      <c r="E253" s="3"/>
      <c r="F253" s="3"/>
      <c r="G253" s="3"/>
      <c r="H253" s="3"/>
      <c r="I253" s="3"/>
      <c r="J253" s="3"/>
      <c r="K253" s="3"/>
      <c r="L253" s="3"/>
      <c r="M253" s="3"/>
      <c r="N253" s="3"/>
      <c r="O253" s="3"/>
      <c r="P253" s="3"/>
      <c r="Q253" s="3"/>
      <c r="R253" s="3"/>
      <c r="S253" s="3"/>
      <c r="T253" s="3"/>
      <c r="U253" s="3"/>
      <c r="V253" s="18"/>
    </row>
    <row r="254" spans="1:22" ht="24.75" customHeight="1">
      <c r="A254" s="3"/>
      <c r="B254" s="3"/>
      <c r="C254" s="3"/>
      <c r="D254" s="3"/>
      <c r="E254" s="3"/>
      <c r="F254" s="3"/>
      <c r="G254" s="3"/>
      <c r="H254" s="3"/>
      <c r="I254" s="3"/>
      <c r="J254" s="3"/>
      <c r="K254" s="3"/>
      <c r="L254" s="3"/>
      <c r="M254" s="3"/>
      <c r="N254" s="3"/>
      <c r="O254" s="3"/>
      <c r="P254" s="3"/>
      <c r="Q254" s="3"/>
      <c r="R254" s="3"/>
      <c r="S254" s="3"/>
      <c r="T254" s="3"/>
      <c r="U254" s="3"/>
      <c r="V254" s="18"/>
    </row>
    <row r="255" spans="1:22" ht="24.75" customHeight="1">
      <c r="A255" s="3"/>
      <c r="B255" s="3"/>
      <c r="C255" s="3"/>
      <c r="D255" s="3"/>
      <c r="E255" s="3"/>
      <c r="F255" s="3"/>
      <c r="G255" s="3"/>
      <c r="H255" s="3"/>
      <c r="I255" s="3"/>
      <c r="J255" s="3"/>
      <c r="K255" s="3"/>
      <c r="L255" s="3"/>
      <c r="M255" s="3"/>
      <c r="N255" s="3"/>
      <c r="O255" s="3"/>
      <c r="P255" s="3"/>
      <c r="Q255" s="3"/>
      <c r="R255" s="3"/>
      <c r="S255" s="3"/>
      <c r="T255" s="3"/>
      <c r="U255" s="3"/>
      <c r="V255" s="18"/>
    </row>
    <row r="256" spans="1:22" ht="24.75" customHeight="1">
      <c r="A256" s="3"/>
      <c r="B256" s="3"/>
      <c r="C256" s="3"/>
      <c r="D256" s="3"/>
      <c r="E256" s="3"/>
      <c r="F256" s="3"/>
      <c r="G256" s="3"/>
      <c r="H256" s="3"/>
      <c r="I256" s="3"/>
      <c r="J256" s="3"/>
      <c r="K256" s="3"/>
      <c r="L256" s="3"/>
      <c r="M256" s="3"/>
      <c r="N256" s="3"/>
      <c r="O256" s="3"/>
      <c r="P256" s="3"/>
      <c r="Q256" s="3"/>
      <c r="R256" s="3"/>
      <c r="S256" s="3"/>
      <c r="T256" s="3"/>
      <c r="U256" s="3"/>
      <c r="V256" s="18"/>
    </row>
    <row r="257" spans="1:22" ht="24.75" customHeight="1">
      <c r="A257" s="3"/>
      <c r="B257" s="3"/>
      <c r="C257" s="3"/>
      <c r="D257" s="3"/>
      <c r="E257" s="3"/>
      <c r="F257" s="3"/>
      <c r="G257" s="3"/>
      <c r="H257" s="3"/>
      <c r="I257" s="3"/>
      <c r="J257" s="3"/>
      <c r="K257" s="3"/>
      <c r="L257" s="3"/>
      <c r="M257" s="3"/>
      <c r="N257" s="3"/>
      <c r="O257" s="3"/>
      <c r="P257" s="3"/>
      <c r="Q257" s="3"/>
      <c r="R257" s="3"/>
      <c r="S257" s="3"/>
      <c r="T257" s="3"/>
      <c r="U257" s="3"/>
      <c r="V257" s="18"/>
    </row>
    <row r="258" spans="1:22" ht="24.75" customHeight="1">
      <c r="A258" s="3"/>
      <c r="B258" s="3"/>
      <c r="C258" s="3"/>
      <c r="D258" s="3"/>
      <c r="E258" s="3"/>
      <c r="F258" s="3"/>
      <c r="G258" s="3"/>
      <c r="H258" s="3"/>
      <c r="I258" s="3"/>
      <c r="J258" s="3"/>
      <c r="K258" s="3"/>
      <c r="L258" s="3"/>
      <c r="M258" s="3"/>
      <c r="N258" s="3"/>
      <c r="O258" s="3"/>
      <c r="P258" s="3"/>
      <c r="Q258" s="3"/>
      <c r="R258" s="3"/>
      <c r="S258" s="3"/>
      <c r="T258" s="3"/>
      <c r="U258" s="3"/>
      <c r="V258" s="18"/>
    </row>
    <row r="259" spans="1:22" ht="24.75" customHeight="1">
      <c r="A259" s="3"/>
      <c r="B259" s="3"/>
      <c r="C259" s="3"/>
      <c r="D259" s="3"/>
      <c r="E259" s="3"/>
      <c r="F259" s="3"/>
      <c r="G259" s="3"/>
      <c r="H259" s="3"/>
      <c r="I259" s="3"/>
      <c r="J259" s="3"/>
      <c r="K259" s="3"/>
      <c r="L259" s="3"/>
      <c r="M259" s="3"/>
      <c r="N259" s="3"/>
      <c r="O259" s="3"/>
      <c r="P259" s="3"/>
      <c r="Q259" s="3"/>
      <c r="R259" s="3"/>
      <c r="S259" s="3"/>
      <c r="T259" s="3"/>
      <c r="U259" s="3"/>
      <c r="V259" s="18"/>
    </row>
    <row r="260" spans="1:22" ht="24.75" customHeight="1">
      <c r="A260" s="3"/>
      <c r="B260" s="3"/>
      <c r="C260" s="3"/>
      <c r="D260" s="3"/>
      <c r="E260" s="3"/>
      <c r="F260" s="3"/>
      <c r="G260" s="3"/>
      <c r="H260" s="3"/>
      <c r="I260" s="3"/>
      <c r="J260" s="3"/>
      <c r="K260" s="3"/>
      <c r="L260" s="3"/>
      <c r="M260" s="3"/>
      <c r="N260" s="3"/>
      <c r="O260" s="3"/>
      <c r="P260" s="3"/>
      <c r="Q260" s="3"/>
      <c r="R260" s="3"/>
      <c r="S260" s="3"/>
      <c r="T260" s="3"/>
      <c r="U260" s="3"/>
      <c r="V260" s="18"/>
    </row>
    <row r="261" spans="1:22" ht="24.75" customHeight="1">
      <c r="A261" s="3"/>
      <c r="B261" s="3"/>
      <c r="C261" s="3"/>
      <c r="D261" s="3"/>
      <c r="E261" s="3"/>
      <c r="F261" s="3"/>
      <c r="G261" s="3"/>
      <c r="H261" s="3"/>
      <c r="I261" s="3"/>
      <c r="J261" s="3"/>
      <c r="K261" s="3"/>
      <c r="L261" s="3"/>
      <c r="M261" s="3"/>
      <c r="N261" s="3"/>
      <c r="O261" s="3"/>
      <c r="P261" s="3"/>
      <c r="Q261" s="3"/>
      <c r="R261" s="3"/>
      <c r="S261" s="3"/>
      <c r="T261" s="3"/>
      <c r="U261" s="3"/>
      <c r="V261" s="18"/>
    </row>
    <row r="262" spans="1:22" ht="24.75" customHeight="1">
      <c r="A262" s="3"/>
      <c r="B262" s="3"/>
      <c r="C262" s="3"/>
      <c r="D262" s="3"/>
      <c r="E262" s="3"/>
      <c r="F262" s="3"/>
      <c r="G262" s="3"/>
      <c r="H262" s="3"/>
      <c r="I262" s="3"/>
      <c r="J262" s="3"/>
      <c r="K262" s="3"/>
      <c r="L262" s="3"/>
      <c r="M262" s="3"/>
      <c r="N262" s="3"/>
      <c r="O262" s="3"/>
      <c r="P262" s="3"/>
      <c r="Q262" s="3"/>
      <c r="R262" s="3"/>
      <c r="S262" s="3"/>
      <c r="T262" s="3"/>
      <c r="U262" s="3"/>
      <c r="V262" s="18"/>
    </row>
    <row r="263" spans="1:22" ht="24.75" customHeight="1">
      <c r="A263" s="3"/>
      <c r="B263" s="3"/>
      <c r="C263" s="3"/>
      <c r="D263" s="3"/>
      <c r="E263" s="3"/>
      <c r="F263" s="3"/>
      <c r="G263" s="3"/>
      <c r="H263" s="3"/>
      <c r="I263" s="3"/>
      <c r="J263" s="3"/>
      <c r="K263" s="3"/>
      <c r="L263" s="3"/>
      <c r="M263" s="3"/>
      <c r="N263" s="3"/>
      <c r="O263" s="3"/>
      <c r="P263" s="3"/>
      <c r="Q263" s="3"/>
      <c r="R263" s="3"/>
      <c r="S263" s="3"/>
      <c r="T263" s="3"/>
      <c r="U263" s="3"/>
      <c r="V263" s="18"/>
    </row>
    <row r="264" spans="1:22" ht="24.75" customHeight="1">
      <c r="A264" s="3"/>
      <c r="B264" s="3"/>
      <c r="C264" s="3"/>
      <c r="D264" s="3"/>
      <c r="E264" s="3"/>
      <c r="F264" s="3"/>
      <c r="G264" s="3"/>
      <c r="H264" s="3"/>
      <c r="I264" s="3"/>
      <c r="J264" s="3"/>
      <c r="K264" s="3"/>
      <c r="L264" s="3"/>
      <c r="M264" s="3"/>
      <c r="N264" s="3"/>
      <c r="O264" s="3"/>
      <c r="P264" s="3"/>
      <c r="Q264" s="3"/>
      <c r="R264" s="3"/>
      <c r="S264" s="3"/>
      <c r="T264" s="3"/>
      <c r="U264" s="3"/>
      <c r="V264" s="18"/>
    </row>
    <row r="265" spans="1:22" ht="24.75" customHeight="1">
      <c r="A265" s="3"/>
      <c r="B265" s="3"/>
      <c r="C265" s="3"/>
      <c r="D265" s="3"/>
      <c r="E265" s="3"/>
      <c r="F265" s="3"/>
      <c r="G265" s="3"/>
      <c r="H265" s="3"/>
      <c r="I265" s="3"/>
      <c r="J265" s="3"/>
      <c r="K265" s="3"/>
      <c r="L265" s="3"/>
      <c r="M265" s="3"/>
      <c r="N265" s="3"/>
      <c r="O265" s="3"/>
      <c r="P265" s="3"/>
      <c r="Q265" s="3"/>
      <c r="R265" s="3"/>
      <c r="S265" s="3"/>
      <c r="T265" s="3"/>
      <c r="U265" s="3"/>
      <c r="V265" s="18"/>
    </row>
    <row r="266" spans="1:22" ht="24.75" customHeight="1">
      <c r="A266" s="3"/>
      <c r="B266" s="3"/>
      <c r="C266" s="3"/>
      <c r="D266" s="3"/>
      <c r="E266" s="3"/>
      <c r="F266" s="3"/>
      <c r="G266" s="3"/>
      <c r="H266" s="3"/>
      <c r="I266" s="3"/>
      <c r="J266" s="3"/>
      <c r="K266" s="3"/>
      <c r="L266" s="3"/>
      <c r="M266" s="3"/>
      <c r="N266" s="3"/>
      <c r="O266" s="3"/>
      <c r="P266" s="3"/>
      <c r="Q266" s="3"/>
      <c r="R266" s="3"/>
      <c r="S266" s="3"/>
      <c r="T266" s="3"/>
      <c r="U266" s="3"/>
      <c r="V266" s="18"/>
    </row>
    <row r="267" spans="1:22" ht="24.75" customHeight="1">
      <c r="A267" s="3"/>
      <c r="B267" s="3"/>
      <c r="C267" s="3"/>
      <c r="D267" s="3"/>
      <c r="E267" s="3"/>
      <c r="F267" s="3"/>
      <c r="G267" s="3"/>
      <c r="H267" s="3"/>
      <c r="I267" s="3"/>
      <c r="J267" s="3"/>
      <c r="K267" s="3"/>
      <c r="L267" s="3"/>
      <c r="M267" s="3"/>
      <c r="N267" s="3"/>
      <c r="O267" s="3"/>
      <c r="P267" s="3"/>
      <c r="Q267" s="3"/>
      <c r="R267" s="3"/>
      <c r="S267" s="3"/>
      <c r="T267" s="3"/>
      <c r="U267" s="3"/>
      <c r="V267" s="18"/>
    </row>
    <row r="268" spans="1:22" ht="24.75" customHeight="1">
      <c r="A268" s="3"/>
      <c r="B268" s="3"/>
      <c r="C268" s="3"/>
      <c r="D268" s="3"/>
      <c r="E268" s="3"/>
      <c r="F268" s="3"/>
      <c r="G268" s="3"/>
      <c r="H268" s="3"/>
      <c r="I268" s="3"/>
      <c r="J268" s="3"/>
      <c r="K268" s="3"/>
      <c r="L268" s="3"/>
      <c r="M268" s="3"/>
      <c r="N268" s="3"/>
      <c r="O268" s="3"/>
      <c r="P268" s="3"/>
      <c r="Q268" s="3"/>
      <c r="R268" s="3"/>
      <c r="S268" s="3"/>
      <c r="T268" s="3"/>
      <c r="U268" s="3"/>
      <c r="V268" s="18"/>
    </row>
    <row r="269" spans="1:22" ht="24.75" customHeight="1">
      <c r="A269" s="3"/>
      <c r="B269" s="3"/>
      <c r="C269" s="3"/>
      <c r="D269" s="3"/>
      <c r="E269" s="3"/>
      <c r="F269" s="3"/>
      <c r="G269" s="3"/>
      <c r="H269" s="3"/>
      <c r="I269" s="3"/>
      <c r="J269" s="3"/>
      <c r="K269" s="3"/>
      <c r="L269" s="3"/>
      <c r="M269" s="3"/>
      <c r="N269" s="3"/>
      <c r="O269" s="3"/>
      <c r="P269" s="3"/>
      <c r="Q269" s="3"/>
      <c r="R269" s="3"/>
      <c r="S269" s="3"/>
      <c r="T269" s="3"/>
      <c r="U269" s="3"/>
      <c r="V269" s="18"/>
    </row>
    <row r="270" spans="1:22" ht="24.75" customHeight="1">
      <c r="A270" s="3"/>
      <c r="B270" s="3"/>
      <c r="C270" s="3"/>
      <c r="D270" s="3"/>
      <c r="E270" s="3"/>
      <c r="F270" s="3"/>
      <c r="G270" s="3"/>
      <c r="H270" s="3"/>
      <c r="I270" s="3"/>
      <c r="J270" s="3"/>
      <c r="K270" s="3"/>
      <c r="L270" s="3"/>
      <c r="M270" s="3"/>
      <c r="N270" s="3"/>
      <c r="O270" s="3"/>
      <c r="P270" s="3"/>
      <c r="Q270" s="3"/>
      <c r="R270" s="3"/>
      <c r="S270" s="3"/>
      <c r="T270" s="3"/>
      <c r="U270" s="3"/>
      <c r="V270" s="18"/>
    </row>
    <row r="271" spans="1:22" ht="24.75" customHeight="1">
      <c r="A271" s="3"/>
      <c r="B271" s="3"/>
      <c r="C271" s="3"/>
      <c r="D271" s="3"/>
      <c r="E271" s="3"/>
      <c r="F271" s="3"/>
      <c r="G271" s="3"/>
      <c r="H271" s="3"/>
      <c r="I271" s="3"/>
      <c r="J271" s="3"/>
      <c r="K271" s="3"/>
      <c r="L271" s="3"/>
      <c r="M271" s="3"/>
      <c r="N271" s="3"/>
      <c r="O271" s="3"/>
      <c r="P271" s="3"/>
      <c r="Q271" s="3"/>
      <c r="R271" s="3"/>
      <c r="S271" s="3"/>
      <c r="T271" s="3"/>
      <c r="U271" s="3"/>
      <c r="V271" s="18"/>
    </row>
    <row r="272" spans="1:22" ht="24.75" customHeight="1">
      <c r="A272" s="3"/>
      <c r="B272" s="3"/>
      <c r="C272" s="3"/>
      <c r="D272" s="3"/>
      <c r="E272" s="3"/>
      <c r="F272" s="3"/>
      <c r="G272" s="3"/>
      <c r="H272" s="3"/>
      <c r="I272" s="3"/>
      <c r="J272" s="3"/>
      <c r="K272" s="3"/>
      <c r="L272" s="3"/>
      <c r="M272" s="3"/>
      <c r="N272" s="3"/>
      <c r="O272" s="3"/>
      <c r="P272" s="3"/>
      <c r="Q272" s="3"/>
      <c r="R272" s="3"/>
      <c r="S272" s="3"/>
      <c r="T272" s="3"/>
      <c r="U272" s="3"/>
      <c r="V272" s="18"/>
    </row>
    <row r="273" spans="1:22" ht="24.75" customHeight="1">
      <c r="A273" s="3"/>
      <c r="B273" s="3"/>
      <c r="C273" s="3"/>
      <c r="D273" s="3"/>
      <c r="E273" s="3"/>
      <c r="F273" s="3"/>
      <c r="G273" s="3"/>
      <c r="H273" s="3"/>
      <c r="I273" s="3"/>
      <c r="J273" s="3"/>
      <c r="K273" s="3"/>
      <c r="L273" s="3"/>
      <c r="M273" s="3"/>
      <c r="N273" s="3"/>
      <c r="O273" s="3"/>
      <c r="P273" s="3"/>
      <c r="Q273" s="3"/>
      <c r="R273" s="3"/>
      <c r="S273" s="3"/>
      <c r="T273" s="3"/>
      <c r="U273" s="3"/>
      <c r="V273" s="18"/>
    </row>
    <row r="274" spans="1:22" ht="24.75" customHeight="1">
      <c r="A274" s="3"/>
      <c r="B274" s="3"/>
      <c r="C274" s="3"/>
      <c r="D274" s="3"/>
      <c r="E274" s="3"/>
      <c r="F274" s="3"/>
      <c r="G274" s="3"/>
      <c r="H274" s="3"/>
      <c r="I274" s="3"/>
      <c r="J274" s="3"/>
      <c r="K274" s="3"/>
      <c r="L274" s="3"/>
      <c r="M274" s="3"/>
      <c r="N274" s="3"/>
      <c r="O274" s="3"/>
      <c r="P274" s="3"/>
      <c r="Q274" s="3"/>
      <c r="R274" s="3"/>
      <c r="S274" s="3"/>
      <c r="T274" s="3"/>
      <c r="U274" s="3"/>
      <c r="V274" s="18"/>
    </row>
    <row r="275" spans="1:22" ht="24.75" customHeight="1">
      <c r="A275" s="3"/>
      <c r="B275" s="3"/>
      <c r="C275" s="3"/>
      <c r="D275" s="3"/>
      <c r="E275" s="3"/>
      <c r="F275" s="3"/>
      <c r="G275" s="3"/>
      <c r="H275" s="3"/>
      <c r="I275" s="3"/>
      <c r="J275" s="3"/>
      <c r="K275" s="3"/>
      <c r="L275" s="3"/>
      <c r="M275" s="3"/>
      <c r="N275" s="3"/>
      <c r="O275" s="3"/>
      <c r="P275" s="3"/>
      <c r="Q275" s="3"/>
      <c r="R275" s="3"/>
      <c r="S275" s="3"/>
      <c r="T275" s="3"/>
      <c r="U275" s="3"/>
      <c r="V275" s="18"/>
    </row>
    <row r="276" spans="1:22" ht="24.75" customHeight="1">
      <c r="A276" s="3"/>
      <c r="B276" s="3"/>
      <c r="C276" s="3"/>
      <c r="D276" s="3"/>
      <c r="E276" s="3"/>
      <c r="F276" s="3"/>
      <c r="G276" s="3"/>
      <c r="H276" s="3"/>
      <c r="I276" s="3"/>
      <c r="J276" s="3"/>
      <c r="K276" s="3"/>
      <c r="L276" s="3"/>
      <c r="M276" s="3"/>
      <c r="N276" s="3"/>
      <c r="O276" s="3"/>
      <c r="P276" s="3"/>
      <c r="Q276" s="3"/>
      <c r="R276" s="3"/>
      <c r="S276" s="3"/>
      <c r="T276" s="3"/>
      <c r="U276" s="3"/>
      <c r="V276" s="18"/>
    </row>
    <row r="277" spans="1:22" ht="24.75" customHeight="1">
      <c r="A277" s="3"/>
      <c r="B277" s="3"/>
      <c r="C277" s="3"/>
      <c r="D277" s="3"/>
      <c r="E277" s="3"/>
      <c r="F277" s="3"/>
      <c r="G277" s="3"/>
      <c r="H277" s="3"/>
      <c r="I277" s="3"/>
      <c r="J277" s="3"/>
      <c r="K277" s="3"/>
      <c r="L277" s="3"/>
      <c r="M277" s="3"/>
      <c r="N277" s="3"/>
      <c r="O277" s="3"/>
      <c r="P277" s="3"/>
      <c r="Q277" s="3"/>
      <c r="R277" s="3"/>
      <c r="S277" s="3"/>
      <c r="T277" s="3"/>
      <c r="U277" s="3"/>
      <c r="V277" s="18"/>
    </row>
    <row r="278" spans="1:22" ht="24.75" customHeight="1">
      <c r="A278" s="3"/>
      <c r="B278" s="3"/>
      <c r="C278" s="3"/>
      <c r="D278" s="3"/>
      <c r="E278" s="3"/>
      <c r="F278" s="3"/>
      <c r="G278" s="3"/>
      <c r="H278" s="3"/>
      <c r="I278" s="3"/>
      <c r="J278" s="3"/>
      <c r="K278" s="3"/>
      <c r="L278" s="3"/>
      <c r="M278" s="3"/>
      <c r="N278" s="3"/>
      <c r="O278" s="3"/>
      <c r="P278" s="3"/>
      <c r="Q278" s="3"/>
      <c r="R278" s="3"/>
      <c r="S278" s="3"/>
      <c r="T278" s="3"/>
      <c r="U278" s="3"/>
      <c r="V278" s="18"/>
    </row>
    <row r="279" spans="1:22" ht="24.75" customHeight="1">
      <c r="A279" s="3"/>
      <c r="B279" s="3"/>
      <c r="C279" s="3"/>
      <c r="D279" s="3"/>
      <c r="E279" s="3"/>
      <c r="F279" s="3"/>
      <c r="G279" s="3"/>
      <c r="H279" s="3"/>
      <c r="I279" s="3"/>
      <c r="J279" s="3"/>
      <c r="K279" s="3"/>
      <c r="L279" s="3"/>
      <c r="M279" s="3"/>
      <c r="N279" s="3"/>
      <c r="O279" s="3"/>
      <c r="P279" s="3"/>
      <c r="Q279" s="3"/>
      <c r="R279" s="3"/>
      <c r="S279" s="3"/>
      <c r="T279" s="3"/>
      <c r="U279" s="3"/>
      <c r="V279" s="18"/>
    </row>
    <row r="280" spans="1:22" ht="24.75" customHeight="1">
      <c r="A280" s="3"/>
      <c r="B280" s="3"/>
      <c r="C280" s="3"/>
      <c r="D280" s="3"/>
      <c r="E280" s="3"/>
      <c r="F280" s="3"/>
      <c r="G280" s="3"/>
      <c r="H280" s="3"/>
      <c r="I280" s="3"/>
      <c r="J280" s="3"/>
      <c r="K280" s="3"/>
      <c r="L280" s="3"/>
      <c r="M280" s="3"/>
      <c r="N280" s="3"/>
      <c r="O280" s="3"/>
      <c r="P280" s="3"/>
      <c r="Q280" s="3"/>
      <c r="R280" s="3"/>
      <c r="S280" s="3"/>
      <c r="T280" s="3"/>
      <c r="U280" s="3"/>
      <c r="V280" s="18"/>
    </row>
    <row r="281" spans="1:22" ht="24.75" customHeight="1">
      <c r="A281" s="3"/>
      <c r="B281" s="3"/>
      <c r="C281" s="3"/>
      <c r="D281" s="3"/>
      <c r="E281" s="3"/>
      <c r="F281" s="3"/>
      <c r="G281" s="3"/>
      <c r="H281" s="3"/>
      <c r="I281" s="3"/>
      <c r="J281" s="3"/>
      <c r="K281" s="3"/>
      <c r="L281" s="3"/>
      <c r="M281" s="3"/>
      <c r="N281" s="3"/>
      <c r="O281" s="3"/>
      <c r="P281" s="3"/>
      <c r="Q281" s="3"/>
      <c r="R281" s="3"/>
      <c r="S281" s="3"/>
      <c r="T281" s="3"/>
      <c r="U281" s="3"/>
      <c r="V281" s="18"/>
    </row>
    <row r="282" spans="1:22" ht="24.75" customHeight="1">
      <c r="A282" s="3"/>
      <c r="B282" s="3"/>
      <c r="C282" s="3"/>
      <c r="D282" s="3"/>
      <c r="E282" s="3"/>
      <c r="F282" s="3"/>
      <c r="G282" s="3"/>
      <c r="H282" s="3"/>
      <c r="I282" s="3"/>
      <c r="J282" s="3"/>
      <c r="K282" s="3"/>
      <c r="L282" s="3"/>
      <c r="M282" s="3"/>
      <c r="N282" s="3"/>
      <c r="O282" s="3"/>
      <c r="P282" s="3"/>
      <c r="Q282" s="3"/>
      <c r="R282" s="3"/>
      <c r="S282" s="3"/>
      <c r="T282" s="3"/>
      <c r="U282" s="3"/>
      <c r="V282" s="18"/>
    </row>
    <row r="283" spans="1:22" ht="24.75" customHeight="1">
      <c r="A283" s="3"/>
      <c r="B283" s="3"/>
      <c r="C283" s="3"/>
      <c r="D283" s="3"/>
      <c r="E283" s="3"/>
      <c r="F283" s="3"/>
      <c r="G283" s="3"/>
      <c r="H283" s="3"/>
      <c r="I283" s="3"/>
      <c r="J283" s="3"/>
      <c r="K283" s="3"/>
      <c r="L283" s="3"/>
      <c r="M283" s="3"/>
      <c r="N283" s="3"/>
      <c r="O283" s="3"/>
      <c r="P283" s="3"/>
      <c r="Q283" s="3"/>
      <c r="R283" s="3"/>
      <c r="S283" s="3"/>
      <c r="T283" s="3"/>
      <c r="U283" s="3"/>
      <c r="V283" s="18"/>
    </row>
    <row r="284" spans="1:22" ht="24.75" customHeight="1">
      <c r="A284" s="3"/>
      <c r="B284" s="3"/>
      <c r="C284" s="3"/>
      <c r="D284" s="3"/>
      <c r="E284" s="3"/>
      <c r="F284" s="3"/>
      <c r="G284" s="3"/>
      <c r="H284" s="3"/>
      <c r="I284" s="3"/>
      <c r="J284" s="3"/>
      <c r="K284" s="3"/>
      <c r="L284" s="3"/>
      <c r="M284" s="3"/>
      <c r="N284" s="3"/>
      <c r="O284" s="3"/>
      <c r="P284" s="3"/>
      <c r="Q284" s="3"/>
      <c r="R284" s="3"/>
      <c r="S284" s="3"/>
      <c r="T284" s="3"/>
      <c r="U284" s="3"/>
      <c r="V284" s="18"/>
    </row>
    <row r="285" spans="1:22" ht="24.75" customHeight="1">
      <c r="A285" s="3"/>
      <c r="B285" s="3"/>
      <c r="C285" s="3"/>
      <c r="D285" s="3"/>
      <c r="E285" s="3"/>
      <c r="F285" s="3"/>
      <c r="G285" s="3"/>
      <c r="H285" s="3"/>
      <c r="I285" s="3"/>
      <c r="J285" s="3"/>
      <c r="K285" s="3"/>
      <c r="L285" s="3"/>
      <c r="M285" s="3"/>
      <c r="N285" s="3"/>
      <c r="O285" s="3"/>
      <c r="P285" s="3"/>
      <c r="Q285" s="3"/>
      <c r="R285" s="3"/>
      <c r="S285" s="3"/>
      <c r="T285" s="3"/>
      <c r="U285" s="3"/>
      <c r="V285" s="18"/>
    </row>
    <row r="286" spans="1:22" ht="24.75" customHeight="1">
      <c r="A286" s="3"/>
      <c r="B286" s="3"/>
      <c r="C286" s="3"/>
      <c r="D286" s="3"/>
      <c r="E286" s="3"/>
      <c r="F286" s="3"/>
      <c r="G286" s="3"/>
      <c r="H286" s="3"/>
      <c r="I286" s="3"/>
      <c r="J286" s="3"/>
      <c r="K286" s="3"/>
      <c r="L286" s="3"/>
      <c r="M286" s="3"/>
      <c r="N286" s="3"/>
      <c r="O286" s="3"/>
      <c r="P286" s="3"/>
      <c r="Q286" s="3"/>
      <c r="R286" s="3"/>
      <c r="S286" s="3"/>
      <c r="T286" s="3"/>
      <c r="U286" s="3"/>
      <c r="V286" s="18"/>
    </row>
    <row r="287" spans="1:22" ht="24.75" customHeight="1">
      <c r="A287" s="3"/>
      <c r="B287" s="3"/>
      <c r="C287" s="3"/>
      <c r="D287" s="3"/>
      <c r="E287" s="3"/>
      <c r="F287" s="3"/>
      <c r="G287" s="3"/>
      <c r="H287" s="3"/>
      <c r="I287" s="3"/>
      <c r="J287" s="3"/>
      <c r="K287" s="3"/>
      <c r="L287" s="3"/>
      <c r="M287" s="3"/>
      <c r="N287" s="3"/>
      <c r="O287" s="3"/>
      <c r="P287" s="3"/>
      <c r="Q287" s="3"/>
      <c r="R287" s="3"/>
      <c r="S287" s="3"/>
      <c r="T287" s="3"/>
      <c r="U287" s="3"/>
      <c r="V287" s="18"/>
    </row>
    <row r="288" spans="1:22" ht="24.75" customHeight="1">
      <c r="A288" s="3"/>
      <c r="B288" s="3"/>
      <c r="C288" s="3"/>
      <c r="D288" s="3"/>
      <c r="E288" s="3"/>
      <c r="F288" s="3"/>
      <c r="G288" s="3"/>
      <c r="H288" s="3"/>
      <c r="I288" s="3"/>
      <c r="J288" s="3"/>
      <c r="K288" s="3"/>
      <c r="L288" s="3"/>
      <c r="M288" s="3"/>
      <c r="N288" s="3"/>
      <c r="O288" s="3"/>
      <c r="P288" s="3"/>
      <c r="Q288" s="3"/>
      <c r="R288" s="3"/>
      <c r="S288" s="3"/>
      <c r="T288" s="3"/>
      <c r="U288" s="3"/>
      <c r="V288" s="18"/>
    </row>
    <row r="289" spans="1:22" ht="24.75" customHeight="1">
      <c r="A289" s="3"/>
      <c r="B289" s="3"/>
      <c r="C289" s="3"/>
      <c r="D289" s="3"/>
      <c r="E289" s="3"/>
      <c r="F289" s="3"/>
      <c r="G289" s="3"/>
      <c r="H289" s="3"/>
      <c r="I289" s="3"/>
      <c r="J289" s="3"/>
      <c r="K289" s="3"/>
      <c r="L289" s="3"/>
      <c r="M289" s="3"/>
      <c r="N289" s="3"/>
      <c r="O289" s="3"/>
      <c r="P289" s="3"/>
      <c r="Q289" s="3"/>
      <c r="R289" s="3"/>
      <c r="S289" s="3"/>
      <c r="T289" s="3"/>
      <c r="U289" s="3"/>
      <c r="V289" s="18"/>
    </row>
    <row r="290" spans="1:22" ht="24.75" customHeight="1">
      <c r="A290" s="3"/>
      <c r="B290" s="3"/>
      <c r="C290" s="3"/>
      <c r="D290" s="3"/>
      <c r="E290" s="3"/>
      <c r="F290" s="3"/>
      <c r="G290" s="3"/>
      <c r="H290" s="3"/>
      <c r="I290" s="3"/>
      <c r="J290" s="3"/>
      <c r="K290" s="3"/>
      <c r="L290" s="3"/>
      <c r="M290" s="3"/>
      <c r="N290" s="3"/>
      <c r="O290" s="3"/>
      <c r="P290" s="3"/>
      <c r="Q290" s="3"/>
      <c r="R290" s="3"/>
      <c r="S290" s="3"/>
      <c r="T290" s="3"/>
      <c r="U290" s="3"/>
      <c r="V290" s="18"/>
    </row>
    <row r="291" spans="1:22" ht="24.75" customHeight="1">
      <c r="A291" s="3"/>
      <c r="B291" s="3"/>
      <c r="C291" s="3"/>
      <c r="D291" s="3"/>
      <c r="E291" s="3"/>
      <c r="F291" s="3"/>
      <c r="G291" s="3"/>
      <c r="H291" s="3"/>
      <c r="I291" s="3"/>
      <c r="J291" s="3"/>
      <c r="K291" s="3"/>
      <c r="L291" s="3"/>
      <c r="M291" s="3"/>
      <c r="N291" s="3"/>
      <c r="O291" s="3"/>
      <c r="P291" s="3"/>
      <c r="Q291" s="3"/>
      <c r="R291" s="3"/>
      <c r="S291" s="3"/>
      <c r="T291" s="3"/>
      <c r="U291" s="3"/>
      <c r="V291" s="18"/>
    </row>
    <row r="292" spans="1:22" ht="24.75" customHeight="1">
      <c r="A292" s="3"/>
      <c r="B292" s="3"/>
      <c r="C292" s="3"/>
      <c r="D292" s="3"/>
      <c r="E292" s="3"/>
      <c r="F292" s="3"/>
      <c r="G292" s="3"/>
      <c r="H292" s="3"/>
      <c r="I292" s="3"/>
      <c r="J292" s="3"/>
      <c r="K292" s="3"/>
      <c r="L292" s="3"/>
      <c r="M292" s="3"/>
      <c r="N292" s="3"/>
      <c r="O292" s="3"/>
      <c r="P292" s="3"/>
      <c r="Q292" s="3"/>
      <c r="R292" s="3"/>
      <c r="S292" s="3"/>
      <c r="T292" s="3"/>
      <c r="U292" s="3"/>
      <c r="V292" s="18"/>
    </row>
    <row r="293" spans="1:22" ht="24.75" customHeight="1">
      <c r="A293" s="3"/>
      <c r="B293" s="3"/>
      <c r="C293" s="3"/>
      <c r="D293" s="3"/>
      <c r="E293" s="3"/>
      <c r="F293" s="3"/>
      <c r="G293" s="3"/>
      <c r="H293" s="3"/>
      <c r="I293" s="3"/>
      <c r="J293" s="3"/>
      <c r="K293" s="3"/>
      <c r="L293" s="3"/>
      <c r="M293" s="3"/>
      <c r="N293" s="3"/>
      <c r="O293" s="3"/>
      <c r="P293" s="3"/>
      <c r="Q293" s="3"/>
      <c r="R293" s="3"/>
      <c r="S293" s="3"/>
      <c r="T293" s="3"/>
      <c r="U293" s="3"/>
      <c r="V293" s="18"/>
    </row>
    <row r="294" spans="1:22" ht="24.75" customHeight="1">
      <c r="A294" s="3"/>
      <c r="B294" s="3"/>
      <c r="C294" s="3"/>
      <c r="D294" s="3"/>
      <c r="E294" s="3"/>
      <c r="F294" s="3"/>
      <c r="G294" s="3"/>
      <c r="H294" s="3"/>
      <c r="I294" s="3"/>
      <c r="J294" s="3"/>
      <c r="K294" s="3"/>
      <c r="L294" s="3"/>
      <c r="M294" s="3"/>
      <c r="N294" s="3"/>
      <c r="O294" s="3"/>
      <c r="P294" s="3"/>
      <c r="Q294" s="3"/>
      <c r="R294" s="3"/>
      <c r="S294" s="3"/>
      <c r="T294" s="3"/>
      <c r="U294" s="3"/>
      <c r="V294" s="18"/>
    </row>
    <row r="295" spans="1:22" ht="24.75" customHeight="1">
      <c r="A295" s="3"/>
      <c r="B295" s="3"/>
      <c r="C295" s="3"/>
      <c r="D295" s="3"/>
      <c r="E295" s="3"/>
      <c r="F295" s="3"/>
      <c r="G295" s="3"/>
      <c r="H295" s="3"/>
      <c r="I295" s="3"/>
      <c r="J295" s="3"/>
      <c r="K295" s="3"/>
      <c r="L295" s="3"/>
      <c r="M295" s="3"/>
      <c r="N295" s="3"/>
      <c r="O295" s="3"/>
      <c r="P295" s="3"/>
      <c r="Q295" s="3"/>
      <c r="R295" s="3"/>
      <c r="S295" s="3"/>
      <c r="T295" s="3"/>
      <c r="U295" s="3"/>
      <c r="V295" s="18"/>
    </row>
    <row r="296" spans="1:22" ht="24.75" customHeight="1">
      <c r="A296" s="3"/>
      <c r="B296" s="3"/>
      <c r="C296" s="3"/>
      <c r="D296" s="3"/>
      <c r="E296" s="3"/>
      <c r="F296" s="3"/>
      <c r="G296" s="3"/>
      <c r="H296" s="3"/>
      <c r="I296" s="3"/>
      <c r="J296" s="3"/>
      <c r="K296" s="3"/>
      <c r="L296" s="3"/>
      <c r="M296" s="3"/>
      <c r="N296" s="3"/>
      <c r="O296" s="3"/>
      <c r="P296" s="3"/>
      <c r="Q296" s="3"/>
      <c r="R296" s="3"/>
      <c r="S296" s="3"/>
      <c r="T296" s="3"/>
      <c r="U296" s="3"/>
      <c r="V296" s="18"/>
    </row>
    <row r="297" spans="1:22" ht="24.75" customHeight="1">
      <c r="A297" s="3"/>
      <c r="B297" s="3"/>
      <c r="C297" s="3"/>
      <c r="D297" s="3"/>
      <c r="E297" s="3"/>
      <c r="F297" s="3"/>
      <c r="G297" s="3"/>
      <c r="H297" s="3"/>
      <c r="I297" s="3"/>
      <c r="J297" s="3"/>
      <c r="K297" s="3"/>
      <c r="L297" s="3"/>
      <c r="M297" s="3"/>
      <c r="N297" s="3"/>
      <c r="O297" s="3"/>
      <c r="P297" s="3"/>
      <c r="Q297" s="3"/>
      <c r="R297" s="3"/>
      <c r="S297" s="3"/>
      <c r="T297" s="3"/>
      <c r="U297" s="3"/>
      <c r="V297" s="18"/>
    </row>
    <row r="298" spans="1:22" ht="24.75" customHeight="1">
      <c r="A298" s="3"/>
      <c r="B298" s="3"/>
      <c r="C298" s="3"/>
      <c r="D298" s="3"/>
      <c r="E298" s="3"/>
      <c r="F298" s="3"/>
      <c r="G298" s="3"/>
      <c r="H298" s="3"/>
      <c r="I298" s="3"/>
      <c r="J298" s="3"/>
      <c r="K298" s="3"/>
      <c r="L298" s="3"/>
      <c r="M298" s="3"/>
      <c r="N298" s="3"/>
      <c r="O298" s="3"/>
      <c r="P298" s="3"/>
      <c r="Q298" s="3"/>
      <c r="R298" s="3"/>
      <c r="S298" s="3"/>
      <c r="T298" s="3"/>
      <c r="U298" s="3"/>
      <c r="V298" s="18"/>
    </row>
    <row r="299" spans="1:22" ht="24.75" customHeight="1">
      <c r="A299" s="3"/>
      <c r="B299" s="3"/>
      <c r="C299" s="3"/>
      <c r="D299" s="3"/>
      <c r="E299" s="3"/>
      <c r="F299" s="3"/>
      <c r="G299" s="3"/>
      <c r="H299" s="3"/>
      <c r="I299" s="3"/>
      <c r="J299" s="3"/>
      <c r="K299" s="3"/>
      <c r="L299" s="3"/>
      <c r="M299" s="3"/>
      <c r="N299" s="3"/>
      <c r="O299" s="3"/>
      <c r="P299" s="3"/>
      <c r="Q299" s="3"/>
      <c r="R299" s="3"/>
      <c r="S299" s="3"/>
      <c r="T299" s="3"/>
      <c r="U299" s="3"/>
      <c r="V299" s="18"/>
    </row>
    <row r="300" spans="1:22" ht="24.75" customHeight="1">
      <c r="A300" s="3"/>
      <c r="B300" s="3"/>
      <c r="C300" s="3"/>
      <c r="D300" s="3"/>
      <c r="E300" s="3"/>
      <c r="F300" s="3"/>
      <c r="G300" s="3"/>
      <c r="H300" s="3"/>
      <c r="I300" s="3"/>
      <c r="J300" s="3"/>
      <c r="K300" s="3"/>
      <c r="L300" s="3"/>
      <c r="M300" s="3"/>
      <c r="N300" s="3"/>
      <c r="O300" s="3"/>
      <c r="P300" s="3"/>
      <c r="Q300" s="3"/>
      <c r="R300" s="3"/>
      <c r="S300" s="3"/>
      <c r="T300" s="3"/>
      <c r="U300" s="3"/>
      <c r="V300" s="18"/>
    </row>
    <row r="301" spans="1:22" ht="24.75" customHeight="1">
      <c r="A301" s="3"/>
      <c r="B301" s="3"/>
      <c r="C301" s="3"/>
      <c r="D301" s="3"/>
      <c r="E301" s="3"/>
      <c r="F301" s="3"/>
      <c r="G301" s="3"/>
      <c r="H301" s="3"/>
      <c r="I301" s="3"/>
      <c r="J301" s="3"/>
      <c r="K301" s="3"/>
      <c r="L301" s="3"/>
      <c r="M301" s="3"/>
      <c r="N301" s="3"/>
      <c r="O301" s="3"/>
      <c r="P301" s="3"/>
      <c r="Q301" s="3"/>
      <c r="R301" s="3"/>
      <c r="S301" s="3"/>
      <c r="T301" s="3"/>
      <c r="U301" s="3"/>
      <c r="V301" s="18"/>
    </row>
    <row r="302" spans="1:22" ht="24.75" customHeight="1">
      <c r="A302" s="3"/>
      <c r="B302" s="3"/>
      <c r="C302" s="3"/>
      <c r="D302" s="3"/>
      <c r="E302" s="3"/>
      <c r="F302" s="3"/>
      <c r="G302" s="3"/>
      <c r="H302" s="3"/>
      <c r="I302" s="3"/>
      <c r="J302" s="3"/>
      <c r="K302" s="3"/>
      <c r="L302" s="3"/>
      <c r="M302" s="3"/>
      <c r="N302" s="3"/>
      <c r="O302" s="3"/>
      <c r="P302" s="3"/>
      <c r="Q302" s="3"/>
      <c r="R302" s="3"/>
      <c r="S302" s="3"/>
      <c r="T302" s="3"/>
      <c r="U302" s="3"/>
      <c r="V302" s="18"/>
    </row>
    <row r="303" spans="1:22" ht="24.75" customHeight="1">
      <c r="A303" s="3"/>
      <c r="B303" s="3"/>
      <c r="C303" s="3"/>
      <c r="D303" s="3"/>
      <c r="E303" s="3"/>
      <c r="F303" s="3"/>
      <c r="G303" s="3"/>
      <c r="H303" s="3"/>
      <c r="I303" s="3"/>
      <c r="J303" s="3"/>
      <c r="K303" s="3"/>
      <c r="L303" s="3"/>
      <c r="M303" s="3"/>
      <c r="N303" s="3"/>
      <c r="O303" s="3"/>
      <c r="P303" s="3"/>
      <c r="Q303" s="3"/>
      <c r="R303" s="3"/>
      <c r="S303" s="3"/>
      <c r="T303" s="3"/>
      <c r="U303" s="3"/>
      <c r="V303" s="18"/>
    </row>
    <row r="304" spans="1:22" ht="24.75" customHeight="1">
      <c r="A304" s="3"/>
      <c r="B304" s="3"/>
      <c r="C304" s="3"/>
      <c r="D304" s="3"/>
      <c r="E304" s="3"/>
      <c r="F304" s="3"/>
      <c r="G304" s="3"/>
      <c r="H304" s="3"/>
      <c r="I304" s="3"/>
      <c r="J304" s="3"/>
      <c r="K304" s="3"/>
      <c r="L304" s="3"/>
      <c r="M304" s="3"/>
      <c r="N304" s="3"/>
      <c r="O304" s="3"/>
      <c r="P304" s="3"/>
      <c r="Q304" s="3"/>
      <c r="R304" s="3"/>
      <c r="S304" s="3"/>
      <c r="T304" s="3"/>
      <c r="U304" s="3"/>
      <c r="V304" s="18"/>
    </row>
    <row r="305" spans="1:22" ht="24.75" customHeight="1">
      <c r="A305" s="3"/>
      <c r="B305" s="3"/>
      <c r="C305" s="3"/>
      <c r="D305" s="3"/>
      <c r="E305" s="3"/>
      <c r="F305" s="3"/>
      <c r="G305" s="3"/>
      <c r="H305" s="3"/>
      <c r="I305" s="3"/>
      <c r="J305" s="3"/>
      <c r="K305" s="3"/>
      <c r="L305" s="3"/>
      <c r="M305" s="3"/>
      <c r="N305" s="3"/>
      <c r="O305" s="3"/>
      <c r="P305" s="3"/>
      <c r="Q305" s="3"/>
      <c r="R305" s="3"/>
      <c r="S305" s="3"/>
      <c r="T305" s="3"/>
      <c r="U305" s="3"/>
      <c r="V305" s="18"/>
    </row>
    <row r="306" spans="1:22" ht="24.75" customHeight="1">
      <c r="A306" s="3"/>
      <c r="B306" s="3"/>
      <c r="C306" s="3"/>
      <c r="D306" s="3"/>
      <c r="E306" s="3"/>
      <c r="F306" s="3"/>
      <c r="G306" s="3"/>
      <c r="H306" s="3"/>
      <c r="I306" s="3"/>
      <c r="J306" s="3"/>
      <c r="K306" s="3"/>
      <c r="L306" s="3"/>
      <c r="M306" s="3"/>
      <c r="N306" s="3"/>
      <c r="O306" s="3"/>
      <c r="P306" s="3"/>
      <c r="Q306" s="3"/>
      <c r="R306" s="3"/>
      <c r="S306" s="3"/>
      <c r="T306" s="3"/>
      <c r="U306" s="3"/>
      <c r="V306" s="18"/>
    </row>
    <row r="307" spans="1:22" ht="24.75" customHeight="1">
      <c r="A307" s="3"/>
      <c r="B307" s="3"/>
      <c r="C307" s="3"/>
      <c r="D307" s="3"/>
      <c r="E307" s="3"/>
      <c r="F307" s="3"/>
      <c r="G307" s="3"/>
      <c r="H307" s="3"/>
      <c r="I307" s="3"/>
      <c r="J307" s="3"/>
      <c r="K307" s="3"/>
      <c r="L307" s="3"/>
      <c r="M307" s="3"/>
      <c r="N307" s="3"/>
      <c r="O307" s="3"/>
      <c r="P307" s="3"/>
      <c r="Q307" s="3"/>
      <c r="R307" s="3"/>
      <c r="S307" s="3"/>
      <c r="T307" s="3"/>
      <c r="U307" s="3"/>
      <c r="V307" s="18"/>
    </row>
    <row r="308" spans="1:22" ht="24.75" customHeight="1">
      <c r="A308" s="3"/>
      <c r="B308" s="3"/>
      <c r="C308" s="3"/>
      <c r="D308" s="3"/>
      <c r="E308" s="3"/>
      <c r="F308" s="3"/>
      <c r="G308" s="3"/>
      <c r="H308" s="3"/>
      <c r="I308" s="3"/>
      <c r="J308" s="3"/>
      <c r="K308" s="3"/>
      <c r="L308" s="3"/>
      <c r="M308" s="3"/>
      <c r="N308" s="3"/>
      <c r="O308" s="3"/>
      <c r="P308" s="3"/>
      <c r="Q308" s="3"/>
      <c r="R308" s="3"/>
      <c r="S308" s="3"/>
      <c r="T308" s="3"/>
      <c r="U308" s="3"/>
      <c r="V308" s="18"/>
    </row>
    <row r="309" spans="1:22" ht="24.75" customHeight="1">
      <c r="A309" s="3"/>
      <c r="B309" s="3"/>
      <c r="C309" s="3"/>
      <c r="D309" s="3"/>
      <c r="E309" s="3"/>
      <c r="F309" s="3"/>
      <c r="G309" s="3"/>
      <c r="H309" s="3"/>
      <c r="I309" s="3"/>
      <c r="J309" s="3"/>
      <c r="K309" s="3"/>
      <c r="L309" s="3"/>
      <c r="M309" s="3"/>
      <c r="N309" s="3"/>
      <c r="O309" s="3"/>
      <c r="P309" s="3"/>
      <c r="Q309" s="3"/>
      <c r="R309" s="3"/>
      <c r="S309" s="3"/>
      <c r="T309" s="3"/>
      <c r="U309" s="3"/>
      <c r="V309" s="18"/>
    </row>
    <row r="310" spans="1:22" ht="24.75" customHeight="1">
      <c r="A310" s="3"/>
      <c r="B310" s="3"/>
      <c r="C310" s="3"/>
      <c r="D310" s="3"/>
      <c r="E310" s="3"/>
      <c r="F310" s="3"/>
      <c r="G310" s="3"/>
      <c r="H310" s="3"/>
      <c r="I310" s="3"/>
      <c r="J310" s="3"/>
      <c r="K310" s="3"/>
      <c r="L310" s="3"/>
      <c r="M310" s="3"/>
      <c r="N310" s="3"/>
      <c r="O310" s="3"/>
      <c r="P310" s="3"/>
      <c r="Q310" s="3"/>
      <c r="R310" s="3"/>
      <c r="S310" s="3"/>
      <c r="T310" s="3"/>
      <c r="U310" s="3"/>
      <c r="V310" s="18"/>
    </row>
    <row r="311" spans="1:22" ht="24.75" customHeight="1">
      <c r="A311" s="3"/>
      <c r="B311" s="3"/>
      <c r="C311" s="3"/>
      <c r="D311" s="3"/>
      <c r="E311" s="3"/>
      <c r="F311" s="3"/>
      <c r="G311" s="3"/>
      <c r="H311" s="3"/>
      <c r="I311" s="3"/>
      <c r="J311" s="3"/>
      <c r="K311" s="3"/>
      <c r="L311" s="3"/>
      <c r="M311" s="3"/>
      <c r="N311" s="3"/>
      <c r="O311" s="3"/>
      <c r="P311" s="3"/>
      <c r="Q311" s="3"/>
      <c r="R311" s="3"/>
      <c r="S311" s="3"/>
      <c r="T311" s="3"/>
      <c r="U311" s="3"/>
      <c r="V311" s="18"/>
    </row>
    <row r="312" spans="1:22" ht="24.75" customHeight="1">
      <c r="A312" s="3"/>
      <c r="B312" s="3"/>
      <c r="C312" s="3"/>
      <c r="D312" s="3"/>
      <c r="E312" s="3"/>
      <c r="F312" s="3"/>
      <c r="G312" s="3"/>
      <c r="H312" s="3"/>
      <c r="I312" s="3"/>
      <c r="J312" s="3"/>
      <c r="K312" s="3"/>
      <c r="L312" s="3"/>
      <c r="M312" s="3"/>
      <c r="N312" s="3"/>
      <c r="O312" s="3"/>
      <c r="P312" s="3"/>
      <c r="Q312" s="3"/>
      <c r="R312" s="3"/>
      <c r="S312" s="3"/>
      <c r="T312" s="3"/>
      <c r="U312" s="3"/>
      <c r="V312" s="18"/>
    </row>
    <row r="313" spans="1:22" ht="24.75" customHeight="1">
      <c r="A313" s="3"/>
      <c r="B313" s="3"/>
      <c r="C313" s="3"/>
      <c r="D313" s="3"/>
      <c r="E313" s="3"/>
      <c r="F313" s="3"/>
      <c r="G313" s="3"/>
      <c r="H313" s="3"/>
      <c r="I313" s="3"/>
      <c r="J313" s="3"/>
      <c r="K313" s="3"/>
      <c r="L313" s="3"/>
      <c r="M313" s="3"/>
      <c r="N313" s="3"/>
      <c r="O313" s="3"/>
      <c r="P313" s="3"/>
      <c r="Q313" s="3"/>
      <c r="R313" s="3"/>
      <c r="S313" s="3"/>
      <c r="T313" s="3"/>
      <c r="U313" s="3"/>
      <c r="V313" s="18"/>
    </row>
    <row r="314" spans="1:22" ht="24.75" customHeight="1">
      <c r="A314" s="3"/>
      <c r="B314" s="3"/>
      <c r="C314" s="3"/>
      <c r="D314" s="3"/>
      <c r="E314" s="3"/>
      <c r="F314" s="3"/>
      <c r="G314" s="3"/>
      <c r="H314" s="3"/>
      <c r="I314" s="3"/>
      <c r="J314" s="3"/>
      <c r="K314" s="3"/>
      <c r="L314" s="3"/>
      <c r="M314" s="3"/>
      <c r="N314" s="3"/>
      <c r="O314" s="3"/>
      <c r="P314" s="3"/>
      <c r="Q314" s="3"/>
      <c r="R314" s="3"/>
      <c r="S314" s="3"/>
      <c r="T314" s="3"/>
      <c r="U314" s="3"/>
      <c r="V314" s="18"/>
    </row>
    <row r="315" spans="1:22" ht="24.75" customHeight="1">
      <c r="A315" s="3"/>
      <c r="B315" s="3"/>
      <c r="C315" s="3"/>
      <c r="D315" s="3"/>
      <c r="E315" s="3"/>
      <c r="F315" s="3"/>
      <c r="G315" s="3"/>
      <c r="H315" s="3"/>
      <c r="I315" s="3"/>
      <c r="J315" s="3"/>
      <c r="K315" s="3"/>
      <c r="L315" s="3"/>
      <c r="M315" s="3"/>
      <c r="N315" s="3"/>
      <c r="O315" s="3"/>
      <c r="P315" s="3"/>
      <c r="Q315" s="3"/>
      <c r="R315" s="3"/>
      <c r="S315" s="3"/>
      <c r="T315" s="3"/>
      <c r="U315" s="3"/>
      <c r="V315" s="18"/>
    </row>
    <row r="316" spans="1:22" ht="24.75" customHeight="1">
      <c r="A316" s="3"/>
      <c r="B316" s="3"/>
      <c r="C316" s="3"/>
      <c r="D316" s="3"/>
      <c r="E316" s="3"/>
      <c r="F316" s="3"/>
      <c r="G316" s="3"/>
      <c r="H316" s="3"/>
      <c r="I316" s="3"/>
      <c r="J316" s="3"/>
      <c r="K316" s="3"/>
      <c r="L316" s="3"/>
      <c r="M316" s="3"/>
      <c r="N316" s="3"/>
      <c r="O316" s="3"/>
      <c r="P316" s="3"/>
      <c r="Q316" s="3"/>
      <c r="R316" s="3"/>
      <c r="S316" s="3"/>
      <c r="T316" s="3"/>
      <c r="U316" s="3"/>
      <c r="V316" s="18"/>
    </row>
    <row r="317" spans="1:22" ht="24.75" customHeight="1">
      <c r="A317" s="3"/>
      <c r="B317" s="3"/>
      <c r="C317" s="3"/>
      <c r="D317" s="3"/>
      <c r="E317" s="3"/>
      <c r="F317" s="3"/>
      <c r="G317" s="3"/>
      <c r="H317" s="3"/>
      <c r="I317" s="3"/>
      <c r="J317" s="3"/>
      <c r="K317" s="3"/>
      <c r="L317" s="3"/>
      <c r="M317" s="3"/>
      <c r="N317" s="3"/>
      <c r="O317" s="3"/>
      <c r="P317" s="3"/>
      <c r="Q317" s="3"/>
      <c r="R317" s="3"/>
      <c r="S317" s="3"/>
      <c r="T317" s="3"/>
      <c r="U317" s="3"/>
      <c r="V317" s="18"/>
    </row>
    <row r="318" spans="1:22" ht="24.75" customHeight="1">
      <c r="A318" s="3"/>
      <c r="B318" s="3"/>
      <c r="C318" s="3"/>
      <c r="D318" s="3"/>
      <c r="E318" s="3"/>
      <c r="F318" s="3"/>
      <c r="G318" s="3"/>
      <c r="H318" s="3"/>
      <c r="I318" s="3"/>
      <c r="J318" s="3"/>
      <c r="K318" s="3"/>
      <c r="L318" s="3"/>
      <c r="M318" s="3"/>
      <c r="N318" s="3"/>
      <c r="O318" s="3"/>
      <c r="P318" s="3"/>
      <c r="Q318" s="3"/>
      <c r="R318" s="3"/>
      <c r="S318" s="3"/>
      <c r="T318" s="3"/>
      <c r="U318" s="3"/>
      <c r="V318" s="18"/>
    </row>
    <row r="319" spans="1:22" ht="24.75" customHeight="1">
      <c r="A319" s="3"/>
      <c r="B319" s="3"/>
      <c r="C319" s="3"/>
      <c r="D319" s="3"/>
      <c r="E319" s="3"/>
      <c r="F319" s="3"/>
      <c r="G319" s="3"/>
      <c r="H319" s="3"/>
      <c r="I319" s="3"/>
      <c r="J319" s="3"/>
      <c r="K319" s="3"/>
      <c r="L319" s="3"/>
      <c r="M319" s="3"/>
      <c r="N319" s="3"/>
      <c r="O319" s="3"/>
      <c r="P319" s="3"/>
      <c r="Q319" s="3"/>
      <c r="R319" s="3"/>
      <c r="S319" s="3"/>
      <c r="T319" s="3"/>
      <c r="U319" s="3"/>
      <c r="V319" s="18"/>
    </row>
    <row r="320" spans="1:22" ht="24.75" customHeight="1">
      <c r="A320" s="3"/>
      <c r="B320" s="3"/>
      <c r="C320" s="3"/>
      <c r="D320" s="3"/>
      <c r="E320" s="3"/>
      <c r="F320" s="3"/>
      <c r="G320" s="3"/>
      <c r="H320" s="3"/>
      <c r="I320" s="3"/>
      <c r="J320" s="3"/>
      <c r="K320" s="3"/>
      <c r="L320" s="3"/>
      <c r="M320" s="3"/>
      <c r="N320" s="3"/>
      <c r="O320" s="3"/>
      <c r="P320" s="3"/>
      <c r="Q320" s="3"/>
      <c r="R320" s="3"/>
      <c r="S320" s="3"/>
      <c r="T320" s="3"/>
      <c r="U320" s="3"/>
      <c r="V320" s="18"/>
    </row>
    <row r="321" spans="1:22" ht="24.75" customHeight="1">
      <c r="A321" s="3"/>
      <c r="B321" s="3"/>
      <c r="C321" s="3"/>
      <c r="D321" s="3"/>
      <c r="E321" s="3"/>
      <c r="F321" s="3"/>
      <c r="G321" s="3"/>
      <c r="H321" s="3"/>
      <c r="I321" s="3"/>
      <c r="J321" s="3"/>
      <c r="K321" s="3"/>
      <c r="L321" s="3"/>
      <c r="M321" s="3"/>
      <c r="N321" s="3"/>
      <c r="O321" s="3"/>
      <c r="P321" s="3"/>
      <c r="Q321" s="3"/>
      <c r="R321" s="3"/>
      <c r="S321" s="3"/>
      <c r="T321" s="3"/>
      <c r="U321" s="3"/>
      <c r="V321" s="18"/>
    </row>
    <row r="322" spans="1:22" ht="24.75" customHeight="1">
      <c r="A322" s="3"/>
      <c r="B322" s="3"/>
      <c r="C322" s="3"/>
      <c r="D322" s="3"/>
      <c r="E322" s="3"/>
      <c r="F322" s="3"/>
      <c r="G322" s="3"/>
      <c r="H322" s="3"/>
      <c r="I322" s="3"/>
      <c r="J322" s="3"/>
      <c r="K322" s="3"/>
      <c r="L322" s="3"/>
      <c r="M322" s="3"/>
      <c r="N322" s="3"/>
      <c r="O322" s="3"/>
      <c r="P322" s="3"/>
      <c r="Q322" s="3"/>
      <c r="R322" s="3"/>
      <c r="S322" s="3"/>
      <c r="T322" s="3"/>
      <c r="U322" s="3"/>
      <c r="V322" s="18"/>
    </row>
    <row r="323" spans="1:22" ht="24.75" customHeight="1">
      <c r="A323" s="3"/>
      <c r="B323" s="3"/>
      <c r="C323" s="3"/>
      <c r="D323" s="3"/>
      <c r="E323" s="3"/>
      <c r="F323" s="3"/>
      <c r="G323" s="3"/>
      <c r="H323" s="3"/>
      <c r="I323" s="3"/>
      <c r="J323" s="3"/>
      <c r="K323" s="3"/>
      <c r="L323" s="3"/>
      <c r="M323" s="3"/>
      <c r="N323" s="3"/>
      <c r="O323" s="3"/>
      <c r="P323" s="3"/>
      <c r="Q323" s="3"/>
      <c r="R323" s="3"/>
      <c r="S323" s="3"/>
      <c r="T323" s="3"/>
      <c r="U323" s="3"/>
      <c r="V323" s="18"/>
    </row>
    <row r="324" spans="1:22" ht="24.75" customHeight="1">
      <c r="A324" s="3"/>
      <c r="B324" s="3"/>
      <c r="C324" s="3"/>
      <c r="D324" s="3"/>
      <c r="E324" s="3"/>
      <c r="F324" s="3"/>
      <c r="G324" s="3"/>
      <c r="H324" s="3"/>
      <c r="I324" s="3"/>
      <c r="J324" s="3"/>
      <c r="K324" s="3"/>
      <c r="L324" s="3"/>
      <c r="M324" s="3"/>
      <c r="N324" s="3"/>
      <c r="O324" s="3"/>
      <c r="P324" s="3"/>
      <c r="Q324" s="3"/>
      <c r="R324" s="3"/>
      <c r="S324" s="3"/>
      <c r="T324" s="3"/>
      <c r="U324" s="3"/>
      <c r="V324" s="18"/>
    </row>
    <row r="325" spans="1:22" ht="24.75" customHeight="1">
      <c r="A325" s="3"/>
      <c r="B325" s="3"/>
      <c r="C325" s="3"/>
      <c r="D325" s="3"/>
      <c r="E325" s="3"/>
      <c r="F325" s="3"/>
      <c r="G325" s="3"/>
      <c r="H325" s="3"/>
      <c r="I325" s="3"/>
      <c r="J325" s="3"/>
      <c r="K325" s="3"/>
      <c r="L325" s="3"/>
      <c r="M325" s="3"/>
      <c r="N325" s="3"/>
      <c r="O325" s="3"/>
      <c r="P325" s="3"/>
      <c r="Q325" s="3"/>
      <c r="R325" s="3"/>
      <c r="S325" s="3"/>
      <c r="T325" s="3"/>
      <c r="U325" s="3"/>
      <c r="V325" s="18"/>
    </row>
    <row r="326" spans="1:22" ht="24.75" customHeight="1">
      <c r="A326" s="3"/>
      <c r="B326" s="3"/>
      <c r="C326" s="3"/>
      <c r="D326" s="3"/>
      <c r="E326" s="3"/>
      <c r="F326" s="3"/>
      <c r="G326" s="3"/>
      <c r="H326" s="3"/>
      <c r="I326" s="3"/>
      <c r="J326" s="3"/>
      <c r="K326" s="3"/>
      <c r="L326" s="3"/>
      <c r="M326" s="3"/>
      <c r="N326" s="3"/>
      <c r="O326" s="3"/>
      <c r="P326" s="3"/>
      <c r="Q326" s="3"/>
      <c r="R326" s="3"/>
      <c r="S326" s="3"/>
      <c r="T326" s="3"/>
      <c r="U326" s="3"/>
      <c r="V326" s="18"/>
    </row>
    <row r="327" spans="1:22" ht="24.75" customHeight="1">
      <c r="A327" s="3"/>
      <c r="B327" s="3"/>
      <c r="C327" s="3"/>
      <c r="D327" s="3"/>
      <c r="E327" s="3"/>
      <c r="F327" s="3"/>
      <c r="G327" s="3"/>
      <c r="H327" s="3"/>
      <c r="I327" s="3"/>
      <c r="J327" s="3"/>
      <c r="K327" s="3"/>
      <c r="L327" s="3"/>
      <c r="M327" s="3"/>
      <c r="N327" s="3"/>
      <c r="O327" s="3"/>
      <c r="P327" s="3"/>
      <c r="Q327" s="3"/>
      <c r="R327" s="3"/>
      <c r="S327" s="3"/>
      <c r="T327" s="3"/>
      <c r="U327" s="3"/>
      <c r="V327" s="18"/>
    </row>
    <row r="328" spans="1:22" ht="24.75" customHeight="1">
      <c r="A328" s="3"/>
      <c r="B328" s="3"/>
      <c r="C328" s="3"/>
      <c r="D328" s="3"/>
      <c r="E328" s="3"/>
      <c r="F328" s="3"/>
      <c r="G328" s="3"/>
      <c r="H328" s="3"/>
      <c r="I328" s="3"/>
      <c r="J328" s="3"/>
      <c r="K328" s="3"/>
      <c r="L328" s="3"/>
      <c r="M328" s="3"/>
      <c r="N328" s="3"/>
      <c r="O328" s="3"/>
      <c r="P328" s="3"/>
      <c r="Q328" s="3"/>
      <c r="R328" s="3"/>
      <c r="S328" s="3"/>
      <c r="T328" s="3"/>
      <c r="U328" s="3"/>
      <c r="V328" s="18"/>
    </row>
    <row r="329" spans="1:22" ht="24.75" customHeight="1">
      <c r="A329" s="3"/>
      <c r="B329" s="3"/>
      <c r="C329" s="3"/>
      <c r="D329" s="3"/>
      <c r="E329" s="3"/>
      <c r="F329" s="3"/>
      <c r="G329" s="3"/>
      <c r="H329" s="3"/>
      <c r="I329" s="3"/>
      <c r="J329" s="3"/>
      <c r="K329" s="3"/>
      <c r="L329" s="3"/>
      <c r="M329" s="3"/>
      <c r="N329" s="3"/>
      <c r="O329" s="3"/>
      <c r="P329" s="3"/>
      <c r="Q329" s="3"/>
      <c r="R329" s="3"/>
      <c r="S329" s="3"/>
      <c r="T329" s="3"/>
      <c r="U329" s="3"/>
      <c r="V329" s="18"/>
    </row>
    <row r="330" spans="1:22" ht="24.75" customHeight="1">
      <c r="A330" s="3"/>
      <c r="B330" s="3"/>
      <c r="C330" s="3"/>
      <c r="D330" s="3"/>
      <c r="E330" s="3"/>
      <c r="F330" s="3"/>
      <c r="G330" s="3"/>
      <c r="H330" s="3"/>
      <c r="I330" s="3"/>
      <c r="J330" s="3"/>
      <c r="K330" s="3"/>
      <c r="L330" s="3"/>
      <c r="M330" s="3"/>
      <c r="N330" s="3"/>
      <c r="O330" s="3"/>
      <c r="P330" s="3"/>
      <c r="Q330" s="3"/>
      <c r="R330" s="3"/>
      <c r="S330" s="3"/>
      <c r="T330" s="3"/>
      <c r="U330" s="3"/>
      <c r="V330" s="18"/>
    </row>
    <row r="331" spans="1:22" ht="24.75" customHeight="1">
      <c r="A331" s="3"/>
      <c r="B331" s="3"/>
      <c r="C331" s="3"/>
      <c r="D331" s="3"/>
      <c r="E331" s="3"/>
      <c r="F331" s="3"/>
      <c r="G331" s="3"/>
      <c r="H331" s="3"/>
      <c r="I331" s="3"/>
      <c r="J331" s="3"/>
      <c r="K331" s="3"/>
      <c r="L331" s="3"/>
      <c r="M331" s="3"/>
      <c r="N331" s="3"/>
      <c r="O331" s="3"/>
      <c r="P331" s="3"/>
      <c r="Q331" s="3"/>
      <c r="R331" s="3"/>
      <c r="S331" s="3"/>
      <c r="T331" s="3"/>
      <c r="U331" s="3"/>
      <c r="V331" s="18"/>
    </row>
    <row r="332" spans="1:22" ht="24.75" customHeight="1">
      <c r="A332" s="3"/>
      <c r="B332" s="3"/>
      <c r="C332" s="3"/>
      <c r="D332" s="3"/>
      <c r="E332" s="3"/>
      <c r="F332" s="3"/>
      <c r="G332" s="3"/>
      <c r="H332" s="3"/>
      <c r="I332" s="3"/>
      <c r="J332" s="3"/>
      <c r="K332" s="3"/>
      <c r="L332" s="3"/>
      <c r="M332" s="3"/>
      <c r="N332" s="3"/>
      <c r="O332" s="3"/>
      <c r="P332" s="3"/>
      <c r="Q332" s="3"/>
      <c r="R332" s="3"/>
      <c r="S332" s="3"/>
      <c r="T332" s="3"/>
      <c r="U332" s="3"/>
      <c r="V332" s="18"/>
    </row>
    <row r="333" spans="1:22" ht="24.75" customHeight="1">
      <c r="A333" s="3"/>
      <c r="B333" s="3"/>
      <c r="C333" s="3"/>
      <c r="D333" s="3"/>
      <c r="E333" s="3"/>
      <c r="F333" s="3"/>
      <c r="G333" s="3"/>
      <c r="H333" s="3"/>
      <c r="I333" s="3"/>
      <c r="J333" s="3"/>
      <c r="K333" s="3"/>
      <c r="L333" s="3"/>
      <c r="M333" s="3"/>
      <c r="N333" s="3"/>
      <c r="O333" s="3"/>
      <c r="P333" s="3"/>
      <c r="Q333" s="3"/>
      <c r="R333" s="3"/>
      <c r="S333" s="3"/>
      <c r="T333" s="3"/>
      <c r="U333" s="3"/>
      <c r="V333" s="18"/>
    </row>
    <row r="334" spans="1:22" ht="24.75" customHeight="1">
      <c r="A334" s="3"/>
      <c r="B334" s="3"/>
      <c r="C334" s="3"/>
      <c r="D334" s="3"/>
      <c r="E334" s="3"/>
      <c r="F334" s="3"/>
      <c r="G334" s="3"/>
      <c r="H334" s="3"/>
      <c r="I334" s="3"/>
      <c r="J334" s="3"/>
      <c r="K334" s="3"/>
      <c r="L334" s="3"/>
      <c r="M334" s="3"/>
      <c r="N334" s="3"/>
      <c r="O334" s="3"/>
      <c r="P334" s="3"/>
      <c r="Q334" s="3"/>
      <c r="R334" s="3"/>
      <c r="S334" s="3"/>
      <c r="T334" s="3"/>
      <c r="U334" s="3"/>
      <c r="V334" s="18"/>
    </row>
    <row r="335" spans="1:22" ht="24.75" customHeight="1">
      <c r="A335" s="3"/>
      <c r="B335" s="3"/>
      <c r="C335" s="3"/>
      <c r="D335" s="3"/>
      <c r="E335" s="3"/>
      <c r="F335" s="3"/>
      <c r="G335" s="3"/>
      <c r="H335" s="3"/>
      <c r="I335" s="3"/>
      <c r="J335" s="3"/>
      <c r="K335" s="3"/>
      <c r="L335" s="3"/>
      <c r="M335" s="3"/>
      <c r="N335" s="3"/>
      <c r="O335" s="3"/>
      <c r="P335" s="3"/>
      <c r="Q335" s="3"/>
      <c r="R335" s="3"/>
      <c r="S335" s="3"/>
      <c r="T335" s="3"/>
      <c r="U335" s="3"/>
      <c r="V335" s="18"/>
    </row>
    <row r="336" spans="1:22" ht="24.75" customHeight="1">
      <c r="A336" s="3"/>
      <c r="B336" s="3"/>
      <c r="C336" s="3"/>
      <c r="D336" s="3"/>
      <c r="E336" s="3"/>
      <c r="F336" s="3"/>
      <c r="G336" s="3"/>
      <c r="H336" s="3"/>
      <c r="I336" s="3"/>
      <c r="J336" s="3"/>
      <c r="K336" s="3"/>
      <c r="L336" s="3"/>
      <c r="M336" s="3"/>
      <c r="N336" s="3"/>
      <c r="O336" s="3"/>
      <c r="P336" s="3"/>
      <c r="Q336" s="3"/>
      <c r="R336" s="3"/>
      <c r="S336" s="3"/>
      <c r="T336" s="3"/>
      <c r="U336" s="3"/>
      <c r="V336" s="18"/>
    </row>
    <row r="337" spans="1:22" ht="24.75" customHeight="1">
      <c r="A337" s="3"/>
      <c r="B337" s="3"/>
      <c r="C337" s="3"/>
      <c r="D337" s="3"/>
      <c r="E337" s="3"/>
      <c r="F337" s="3"/>
      <c r="G337" s="3"/>
      <c r="H337" s="3"/>
      <c r="I337" s="3"/>
      <c r="J337" s="3"/>
      <c r="K337" s="3"/>
      <c r="L337" s="3"/>
      <c r="M337" s="3"/>
      <c r="N337" s="3"/>
      <c r="O337" s="3"/>
      <c r="P337" s="3"/>
      <c r="Q337" s="3"/>
      <c r="R337" s="3"/>
      <c r="S337" s="3"/>
      <c r="T337" s="3"/>
      <c r="U337" s="3"/>
      <c r="V337" s="18"/>
    </row>
    <row r="338" spans="1:22" ht="24.75" customHeight="1">
      <c r="A338" s="3"/>
      <c r="B338" s="3"/>
      <c r="C338" s="3"/>
      <c r="D338" s="3"/>
      <c r="E338" s="3"/>
      <c r="F338" s="3"/>
      <c r="G338" s="3"/>
      <c r="H338" s="3"/>
      <c r="I338" s="3"/>
      <c r="J338" s="3"/>
      <c r="K338" s="3"/>
      <c r="L338" s="3"/>
      <c r="M338" s="3"/>
      <c r="N338" s="3"/>
      <c r="O338" s="3"/>
      <c r="P338" s="3"/>
      <c r="Q338" s="3"/>
      <c r="R338" s="3"/>
      <c r="S338" s="3"/>
      <c r="T338" s="3"/>
      <c r="U338" s="3"/>
      <c r="V338" s="18"/>
    </row>
    <row r="339" spans="1:22" ht="24.75" customHeight="1">
      <c r="A339" s="3"/>
      <c r="B339" s="3"/>
      <c r="C339" s="3"/>
      <c r="D339" s="3"/>
      <c r="E339" s="3"/>
      <c r="F339" s="3"/>
      <c r="G339" s="3"/>
      <c r="H339" s="3"/>
      <c r="I339" s="3"/>
      <c r="J339" s="3"/>
      <c r="K339" s="3"/>
      <c r="L339" s="3"/>
      <c r="M339" s="3"/>
      <c r="N339" s="3"/>
      <c r="O339" s="3"/>
      <c r="P339" s="3"/>
      <c r="Q339" s="3"/>
      <c r="R339" s="3"/>
      <c r="S339" s="3"/>
      <c r="T339" s="3"/>
      <c r="U339" s="3"/>
      <c r="V339" s="18"/>
    </row>
    <row r="340" spans="1:22" ht="24.75" customHeight="1">
      <c r="A340" s="3"/>
      <c r="B340" s="3"/>
      <c r="C340" s="3"/>
      <c r="D340" s="3"/>
      <c r="E340" s="3"/>
      <c r="F340" s="3"/>
      <c r="G340" s="3"/>
      <c r="H340" s="3"/>
      <c r="I340" s="3"/>
      <c r="J340" s="3"/>
      <c r="K340" s="3"/>
      <c r="L340" s="3"/>
      <c r="M340" s="3"/>
      <c r="N340" s="3"/>
      <c r="O340" s="3"/>
      <c r="P340" s="3"/>
      <c r="Q340" s="3"/>
      <c r="R340" s="3"/>
      <c r="S340" s="3"/>
      <c r="T340" s="3"/>
      <c r="U340" s="3"/>
      <c r="V340" s="18"/>
    </row>
    <row r="341" spans="1:22" ht="24.75" customHeight="1">
      <c r="A341" s="3"/>
      <c r="B341" s="3"/>
      <c r="C341" s="3"/>
      <c r="D341" s="3"/>
      <c r="E341" s="3"/>
      <c r="F341" s="3"/>
      <c r="G341" s="3"/>
      <c r="H341" s="3"/>
      <c r="I341" s="3"/>
      <c r="J341" s="3"/>
      <c r="K341" s="3"/>
      <c r="L341" s="3"/>
      <c r="M341" s="3"/>
      <c r="N341" s="3"/>
      <c r="O341" s="3"/>
      <c r="P341" s="3"/>
      <c r="Q341" s="3"/>
      <c r="R341" s="3"/>
      <c r="S341" s="3"/>
      <c r="T341" s="3"/>
      <c r="U341" s="3"/>
      <c r="V341" s="18"/>
    </row>
    <row r="342" spans="1:22" ht="24.75" customHeight="1">
      <c r="A342" s="3"/>
      <c r="B342" s="3"/>
      <c r="C342" s="3"/>
      <c r="D342" s="3"/>
      <c r="E342" s="3"/>
      <c r="F342" s="3"/>
      <c r="G342" s="3"/>
      <c r="H342" s="3"/>
      <c r="I342" s="3"/>
      <c r="J342" s="3"/>
      <c r="K342" s="3"/>
      <c r="L342" s="3"/>
      <c r="M342" s="3"/>
      <c r="N342" s="3"/>
      <c r="O342" s="3"/>
      <c r="P342" s="3"/>
      <c r="Q342" s="3"/>
      <c r="R342" s="3"/>
      <c r="S342" s="3"/>
      <c r="T342" s="3"/>
      <c r="U342" s="3"/>
      <c r="V342" s="18"/>
    </row>
    <row r="343" spans="1:22" ht="24.75" customHeight="1">
      <c r="A343" s="3"/>
      <c r="B343" s="3"/>
      <c r="C343" s="3"/>
      <c r="D343" s="3"/>
      <c r="E343" s="3"/>
      <c r="F343" s="3"/>
      <c r="G343" s="3"/>
      <c r="H343" s="3"/>
      <c r="I343" s="3"/>
      <c r="J343" s="3"/>
      <c r="K343" s="3"/>
      <c r="L343" s="3"/>
      <c r="M343" s="3"/>
      <c r="N343" s="3"/>
      <c r="O343" s="3"/>
      <c r="P343" s="3"/>
      <c r="Q343" s="3"/>
      <c r="R343" s="3"/>
      <c r="S343" s="3"/>
      <c r="T343" s="3"/>
      <c r="U343" s="3"/>
      <c r="V343" s="18"/>
    </row>
    <row r="344" spans="1:22" ht="24.75" customHeight="1">
      <c r="A344" s="3"/>
      <c r="B344" s="3"/>
      <c r="C344" s="3"/>
      <c r="D344" s="3"/>
      <c r="E344" s="3"/>
      <c r="F344" s="3"/>
      <c r="G344" s="3"/>
      <c r="H344" s="3"/>
      <c r="I344" s="3"/>
      <c r="J344" s="3"/>
      <c r="K344" s="3"/>
      <c r="L344" s="3"/>
      <c r="M344" s="3"/>
      <c r="N344" s="3"/>
      <c r="O344" s="3"/>
      <c r="P344" s="3"/>
      <c r="Q344" s="3"/>
      <c r="R344" s="3"/>
      <c r="S344" s="3"/>
      <c r="T344" s="3"/>
      <c r="U344" s="3"/>
      <c r="V344" s="18"/>
    </row>
    <row r="345" spans="1:22" ht="24.75" customHeight="1">
      <c r="A345" s="3"/>
      <c r="B345" s="3"/>
      <c r="C345" s="3"/>
      <c r="D345" s="3"/>
      <c r="E345" s="3"/>
      <c r="F345" s="3"/>
      <c r="G345" s="3"/>
      <c r="H345" s="3"/>
      <c r="I345" s="3"/>
      <c r="J345" s="3"/>
      <c r="K345" s="3"/>
      <c r="L345" s="3"/>
      <c r="M345" s="3"/>
      <c r="N345" s="3"/>
      <c r="O345" s="3"/>
      <c r="P345" s="3"/>
      <c r="Q345" s="3"/>
      <c r="R345" s="3"/>
      <c r="S345" s="3"/>
      <c r="T345" s="3"/>
      <c r="U345" s="3"/>
      <c r="V345" s="18"/>
    </row>
    <row r="346" spans="1:22" ht="24.75" customHeight="1">
      <c r="A346" s="3"/>
      <c r="B346" s="3"/>
      <c r="C346" s="3"/>
      <c r="D346" s="3"/>
      <c r="E346" s="3"/>
      <c r="F346" s="3"/>
      <c r="G346" s="3"/>
      <c r="H346" s="3"/>
      <c r="I346" s="3"/>
      <c r="J346" s="3"/>
      <c r="K346" s="3"/>
      <c r="L346" s="3"/>
      <c r="M346" s="3"/>
      <c r="N346" s="3"/>
      <c r="O346" s="3"/>
      <c r="P346" s="3"/>
      <c r="Q346" s="3"/>
      <c r="R346" s="3"/>
      <c r="S346" s="3"/>
      <c r="T346" s="3"/>
      <c r="U346" s="3"/>
      <c r="V346" s="18"/>
    </row>
    <row r="347" spans="1:22" ht="24.75" customHeight="1">
      <c r="A347" s="3"/>
      <c r="B347" s="3"/>
      <c r="C347" s="3"/>
      <c r="D347" s="3"/>
      <c r="E347" s="3"/>
      <c r="F347" s="3"/>
      <c r="G347" s="3"/>
      <c r="H347" s="3"/>
      <c r="I347" s="3"/>
      <c r="J347" s="3"/>
      <c r="K347" s="3"/>
      <c r="L347" s="3"/>
      <c r="M347" s="3"/>
      <c r="N347" s="3"/>
      <c r="O347" s="3"/>
      <c r="P347" s="3"/>
      <c r="Q347" s="3"/>
      <c r="R347" s="3"/>
      <c r="S347" s="3"/>
      <c r="T347" s="3"/>
      <c r="U347" s="3"/>
      <c r="V347" s="18"/>
    </row>
    <row r="348" spans="1:22" ht="24.75" customHeight="1">
      <c r="A348" s="3"/>
      <c r="B348" s="3"/>
      <c r="C348" s="3"/>
      <c r="D348" s="3"/>
      <c r="E348" s="3"/>
      <c r="F348" s="3"/>
      <c r="G348" s="3"/>
      <c r="H348" s="3"/>
      <c r="I348" s="3"/>
      <c r="J348" s="3"/>
      <c r="K348" s="3"/>
      <c r="L348" s="3"/>
      <c r="M348" s="3"/>
      <c r="N348" s="3"/>
      <c r="O348" s="3"/>
      <c r="P348" s="3"/>
      <c r="Q348" s="3"/>
      <c r="R348" s="3"/>
      <c r="S348" s="3"/>
      <c r="T348" s="3"/>
      <c r="U348" s="3"/>
      <c r="V348" s="18"/>
    </row>
    <row r="349" spans="1:22" ht="24.75" customHeight="1">
      <c r="A349" s="3"/>
      <c r="B349" s="3"/>
      <c r="C349" s="3"/>
      <c r="D349" s="3"/>
      <c r="E349" s="3"/>
      <c r="F349" s="3"/>
      <c r="G349" s="3"/>
      <c r="H349" s="3"/>
      <c r="I349" s="3"/>
      <c r="J349" s="3"/>
      <c r="K349" s="3"/>
      <c r="L349" s="3"/>
      <c r="M349" s="3"/>
      <c r="N349" s="3"/>
      <c r="O349" s="3"/>
      <c r="P349" s="3"/>
      <c r="Q349" s="3"/>
      <c r="R349" s="3"/>
      <c r="S349" s="3"/>
      <c r="T349" s="3"/>
      <c r="U349" s="3"/>
      <c r="V349" s="18"/>
    </row>
    <row r="350" spans="1:22" ht="24.75" customHeight="1">
      <c r="A350" s="3"/>
      <c r="B350" s="3"/>
      <c r="C350" s="3"/>
      <c r="D350" s="3"/>
      <c r="E350" s="3"/>
      <c r="F350" s="3"/>
      <c r="G350" s="3"/>
      <c r="H350" s="3"/>
      <c r="I350" s="3"/>
      <c r="J350" s="3"/>
      <c r="K350" s="3"/>
      <c r="L350" s="3"/>
      <c r="M350" s="3"/>
      <c r="N350" s="3"/>
      <c r="O350" s="3"/>
      <c r="P350" s="3"/>
      <c r="Q350" s="3"/>
      <c r="R350" s="3"/>
      <c r="S350" s="3"/>
      <c r="T350" s="3"/>
      <c r="U350" s="3"/>
      <c r="V350" s="18"/>
    </row>
    <row r="351" spans="1:22" ht="24.75" customHeight="1">
      <c r="A351" s="3"/>
      <c r="B351" s="3"/>
      <c r="C351" s="3"/>
      <c r="D351" s="3"/>
      <c r="E351" s="3"/>
      <c r="F351" s="3"/>
      <c r="G351" s="3"/>
      <c r="H351" s="3"/>
      <c r="I351" s="3"/>
      <c r="J351" s="3"/>
      <c r="K351" s="3"/>
      <c r="L351" s="3"/>
      <c r="M351" s="3"/>
      <c r="N351" s="3"/>
      <c r="O351" s="3"/>
      <c r="P351" s="3"/>
      <c r="Q351" s="3"/>
      <c r="R351" s="3"/>
      <c r="S351" s="3"/>
      <c r="T351" s="3"/>
      <c r="U351" s="3"/>
      <c r="V351" s="18"/>
    </row>
    <row r="352" spans="1:22" ht="24.75" customHeight="1">
      <c r="A352" s="3"/>
      <c r="B352" s="3"/>
      <c r="C352" s="3"/>
      <c r="D352" s="3"/>
      <c r="E352" s="3"/>
      <c r="F352" s="3"/>
      <c r="G352" s="3"/>
      <c r="H352" s="3"/>
      <c r="I352" s="3"/>
      <c r="J352" s="3"/>
      <c r="K352" s="3"/>
      <c r="L352" s="3"/>
      <c r="M352" s="3"/>
      <c r="N352" s="3"/>
      <c r="O352" s="3"/>
      <c r="P352" s="3"/>
      <c r="Q352" s="3"/>
      <c r="R352" s="3"/>
      <c r="S352" s="3"/>
      <c r="T352" s="3"/>
      <c r="U352" s="3"/>
      <c r="V352" s="18"/>
    </row>
    <row r="353" spans="1:22" ht="24.75" customHeight="1">
      <c r="A353" s="3"/>
      <c r="B353" s="3"/>
      <c r="C353" s="3"/>
      <c r="D353" s="3"/>
      <c r="E353" s="3"/>
      <c r="F353" s="3"/>
      <c r="G353" s="3"/>
      <c r="H353" s="3"/>
      <c r="I353" s="3"/>
      <c r="J353" s="3"/>
      <c r="K353" s="3"/>
      <c r="L353" s="3"/>
      <c r="M353" s="3"/>
      <c r="N353" s="3"/>
      <c r="O353" s="3"/>
      <c r="P353" s="3"/>
      <c r="Q353" s="3"/>
      <c r="R353" s="3"/>
      <c r="S353" s="3"/>
      <c r="T353" s="3"/>
      <c r="U353" s="3"/>
      <c r="V353" s="18"/>
    </row>
    <row r="354" spans="1:22" ht="24.75" customHeight="1">
      <c r="A354" s="3"/>
      <c r="B354" s="3"/>
      <c r="C354" s="3"/>
      <c r="D354" s="3"/>
      <c r="E354" s="3"/>
      <c r="F354" s="3"/>
      <c r="G354" s="3"/>
      <c r="H354" s="3"/>
      <c r="I354" s="3"/>
      <c r="J354" s="3"/>
      <c r="K354" s="3"/>
      <c r="L354" s="3"/>
      <c r="M354" s="3"/>
      <c r="N354" s="3"/>
      <c r="O354" s="3"/>
      <c r="P354" s="3"/>
      <c r="Q354" s="3"/>
      <c r="R354" s="3"/>
      <c r="S354" s="3"/>
      <c r="T354" s="3"/>
      <c r="U354" s="3"/>
      <c r="V354" s="18"/>
    </row>
    <row r="355" spans="1:22" ht="24.75" customHeight="1">
      <c r="A355" s="3"/>
      <c r="B355" s="3"/>
      <c r="C355" s="3"/>
      <c r="D355" s="3"/>
      <c r="E355" s="3"/>
      <c r="F355" s="3"/>
      <c r="G355" s="3"/>
      <c r="H355" s="3"/>
      <c r="I355" s="3"/>
      <c r="J355" s="3"/>
      <c r="K355" s="3"/>
      <c r="L355" s="3"/>
      <c r="M355" s="3"/>
      <c r="N355" s="3"/>
      <c r="O355" s="3"/>
      <c r="P355" s="3"/>
      <c r="Q355" s="3"/>
      <c r="R355" s="3"/>
      <c r="S355" s="3"/>
      <c r="T355" s="3"/>
      <c r="U355" s="3"/>
      <c r="V355" s="18"/>
    </row>
    <row r="356" spans="1:22" ht="24.75" customHeight="1">
      <c r="A356" s="3"/>
      <c r="B356" s="3"/>
      <c r="C356" s="3"/>
      <c r="D356" s="3"/>
      <c r="E356" s="3"/>
      <c r="F356" s="3"/>
      <c r="G356" s="3"/>
      <c r="H356" s="3"/>
      <c r="I356" s="3"/>
      <c r="J356" s="3"/>
      <c r="K356" s="3"/>
      <c r="L356" s="3"/>
      <c r="M356" s="3"/>
      <c r="N356" s="3"/>
      <c r="O356" s="3"/>
      <c r="P356" s="3"/>
      <c r="Q356" s="3"/>
      <c r="R356" s="3"/>
      <c r="S356" s="3"/>
      <c r="T356" s="3"/>
      <c r="U356" s="3"/>
      <c r="V356" s="18"/>
    </row>
    <row r="357" spans="1:22" ht="24.75" customHeight="1">
      <c r="A357" s="3"/>
      <c r="B357" s="3"/>
      <c r="C357" s="3"/>
      <c r="D357" s="3"/>
      <c r="E357" s="3"/>
      <c r="F357" s="3"/>
      <c r="G357" s="3"/>
      <c r="H357" s="3"/>
      <c r="I357" s="3"/>
      <c r="J357" s="3"/>
      <c r="K357" s="3"/>
      <c r="L357" s="3"/>
      <c r="M357" s="3"/>
      <c r="N357" s="3"/>
      <c r="O357" s="3"/>
      <c r="P357" s="3"/>
      <c r="Q357" s="3"/>
      <c r="R357" s="3"/>
      <c r="S357" s="3"/>
      <c r="T357" s="3"/>
      <c r="U357" s="3"/>
      <c r="V357" s="18"/>
    </row>
    <row r="358" spans="1:22" ht="24.75" customHeight="1">
      <c r="A358" s="3"/>
      <c r="B358" s="3"/>
      <c r="C358" s="3"/>
      <c r="D358" s="3"/>
      <c r="E358" s="3"/>
      <c r="F358" s="3"/>
      <c r="G358" s="3"/>
      <c r="H358" s="3"/>
      <c r="I358" s="3"/>
      <c r="J358" s="3"/>
      <c r="K358" s="3"/>
      <c r="L358" s="3"/>
      <c r="M358" s="3"/>
      <c r="N358" s="3"/>
      <c r="O358" s="3"/>
      <c r="P358" s="3"/>
      <c r="Q358" s="3"/>
      <c r="R358" s="3"/>
      <c r="S358" s="3"/>
      <c r="T358" s="3"/>
      <c r="U358" s="3"/>
      <c r="V358" s="18"/>
    </row>
    <row r="359" spans="1:22" ht="24.75" customHeight="1">
      <c r="A359" s="3"/>
      <c r="B359" s="3"/>
      <c r="C359" s="3"/>
      <c r="D359" s="3"/>
      <c r="E359" s="3"/>
      <c r="F359" s="3"/>
      <c r="G359" s="3"/>
      <c r="H359" s="3"/>
      <c r="I359" s="3"/>
      <c r="J359" s="3"/>
      <c r="K359" s="3"/>
      <c r="L359" s="3"/>
      <c r="M359" s="3"/>
      <c r="N359" s="3"/>
      <c r="O359" s="3"/>
      <c r="P359" s="3"/>
      <c r="Q359" s="3"/>
      <c r="R359" s="3"/>
      <c r="S359" s="3"/>
      <c r="T359" s="3"/>
      <c r="U359" s="3"/>
      <c r="V359" s="18"/>
    </row>
    <row r="360" spans="1:22" ht="24.75" customHeight="1">
      <c r="A360" s="3"/>
      <c r="B360" s="3"/>
      <c r="C360" s="3"/>
      <c r="D360" s="3"/>
      <c r="E360" s="3"/>
      <c r="F360" s="3"/>
      <c r="G360" s="3"/>
      <c r="H360" s="3"/>
      <c r="I360" s="3"/>
      <c r="J360" s="3"/>
      <c r="K360" s="3"/>
      <c r="L360" s="3"/>
      <c r="M360" s="3"/>
      <c r="N360" s="3"/>
      <c r="O360" s="3"/>
      <c r="P360" s="3"/>
      <c r="Q360" s="3"/>
      <c r="R360" s="3"/>
      <c r="S360" s="3"/>
      <c r="T360" s="3"/>
      <c r="U360" s="3"/>
      <c r="V360" s="18"/>
    </row>
    <row r="361" spans="1:22" ht="24.75" customHeight="1">
      <c r="A361" s="3"/>
      <c r="B361" s="3"/>
      <c r="C361" s="3"/>
      <c r="D361" s="3"/>
      <c r="E361" s="3"/>
      <c r="F361" s="3"/>
      <c r="G361" s="3"/>
      <c r="H361" s="3"/>
      <c r="I361" s="3"/>
      <c r="J361" s="3"/>
      <c r="K361" s="3"/>
      <c r="L361" s="3"/>
      <c r="M361" s="3"/>
      <c r="N361" s="3"/>
      <c r="O361" s="3"/>
      <c r="P361" s="3"/>
      <c r="Q361" s="3"/>
      <c r="R361" s="3"/>
      <c r="S361" s="3"/>
      <c r="T361" s="3"/>
      <c r="U361" s="3"/>
      <c r="V361" s="18"/>
    </row>
    <row r="362" spans="1:22" ht="24.75" customHeight="1">
      <c r="A362" s="3"/>
      <c r="B362" s="3"/>
      <c r="C362" s="3"/>
      <c r="D362" s="3"/>
      <c r="E362" s="3"/>
      <c r="F362" s="3"/>
      <c r="G362" s="3"/>
      <c r="H362" s="3"/>
      <c r="I362" s="3"/>
      <c r="J362" s="3"/>
      <c r="K362" s="3"/>
      <c r="L362" s="3"/>
      <c r="M362" s="3"/>
      <c r="N362" s="3"/>
      <c r="O362" s="3"/>
      <c r="P362" s="3"/>
      <c r="Q362" s="3"/>
      <c r="R362" s="3"/>
      <c r="S362" s="3"/>
      <c r="T362" s="3"/>
      <c r="U362" s="3"/>
      <c r="V362" s="18"/>
    </row>
    <row r="363" spans="1:22" ht="24.75" customHeight="1">
      <c r="A363" s="3"/>
      <c r="B363" s="3"/>
      <c r="C363" s="3"/>
      <c r="D363" s="3"/>
      <c r="E363" s="3"/>
      <c r="F363" s="3"/>
      <c r="G363" s="3"/>
      <c r="H363" s="3"/>
      <c r="I363" s="3"/>
      <c r="J363" s="3"/>
      <c r="K363" s="3"/>
      <c r="L363" s="3"/>
      <c r="M363" s="3"/>
      <c r="N363" s="3"/>
      <c r="O363" s="3"/>
      <c r="P363" s="3"/>
      <c r="Q363" s="3"/>
      <c r="R363" s="3"/>
      <c r="S363" s="3"/>
      <c r="T363" s="3"/>
      <c r="U363" s="3"/>
      <c r="V363" s="18"/>
    </row>
    <row r="364" spans="1:22" ht="24.75" customHeight="1">
      <c r="A364" s="3"/>
      <c r="B364" s="3"/>
      <c r="C364" s="3"/>
      <c r="D364" s="3"/>
      <c r="E364" s="3"/>
      <c r="F364" s="3"/>
      <c r="G364" s="3"/>
      <c r="H364" s="3"/>
      <c r="I364" s="3"/>
      <c r="J364" s="3"/>
      <c r="K364" s="3"/>
      <c r="L364" s="3"/>
      <c r="M364" s="3"/>
      <c r="N364" s="3"/>
      <c r="O364" s="3"/>
      <c r="P364" s="3"/>
      <c r="Q364" s="3"/>
      <c r="R364" s="3"/>
      <c r="S364" s="3"/>
      <c r="T364" s="3"/>
      <c r="U364" s="3"/>
      <c r="V364" s="18"/>
    </row>
    <row r="365" spans="1:22" ht="24.75" customHeight="1">
      <c r="A365" s="3"/>
      <c r="B365" s="3"/>
      <c r="C365" s="3"/>
      <c r="D365" s="3"/>
      <c r="E365" s="3"/>
      <c r="F365" s="3"/>
      <c r="G365" s="3"/>
      <c r="H365" s="3"/>
      <c r="I365" s="3"/>
      <c r="J365" s="3"/>
      <c r="K365" s="3"/>
      <c r="L365" s="3"/>
      <c r="M365" s="3"/>
      <c r="N365" s="3"/>
      <c r="O365" s="3"/>
      <c r="P365" s="3"/>
      <c r="Q365" s="3"/>
      <c r="R365" s="3"/>
      <c r="S365" s="3"/>
      <c r="T365" s="3"/>
      <c r="U365" s="3"/>
      <c r="V365" s="18"/>
    </row>
    <row r="366" spans="1:22" ht="24.75" customHeight="1">
      <c r="A366" s="3"/>
      <c r="B366" s="3"/>
      <c r="C366" s="3"/>
      <c r="D366" s="3"/>
      <c r="E366" s="3"/>
      <c r="F366" s="3"/>
      <c r="G366" s="3"/>
      <c r="H366" s="3"/>
      <c r="I366" s="3"/>
      <c r="J366" s="3"/>
      <c r="K366" s="3"/>
      <c r="L366" s="3"/>
      <c r="M366" s="3"/>
      <c r="N366" s="3"/>
      <c r="O366" s="3"/>
      <c r="P366" s="3"/>
      <c r="Q366" s="3"/>
      <c r="R366" s="3"/>
      <c r="S366" s="3"/>
      <c r="T366" s="3"/>
      <c r="U366" s="3"/>
      <c r="V366" s="18"/>
    </row>
    <row r="367" spans="1:22" ht="24.75" customHeight="1">
      <c r="A367" s="3"/>
      <c r="B367" s="3"/>
      <c r="C367" s="3"/>
      <c r="D367" s="3"/>
      <c r="E367" s="3"/>
      <c r="F367" s="3"/>
      <c r="G367" s="3"/>
      <c r="H367" s="3"/>
      <c r="I367" s="3"/>
      <c r="J367" s="3"/>
      <c r="K367" s="3"/>
      <c r="L367" s="3"/>
      <c r="M367" s="3"/>
      <c r="N367" s="3"/>
      <c r="O367" s="3"/>
      <c r="P367" s="3"/>
      <c r="Q367" s="3"/>
      <c r="R367" s="3"/>
      <c r="S367" s="3"/>
      <c r="T367" s="3"/>
      <c r="U367" s="3"/>
      <c r="V367" s="18"/>
    </row>
    <row r="368" spans="1:22" ht="24.75" customHeight="1">
      <c r="A368" s="3"/>
      <c r="B368" s="3"/>
      <c r="C368" s="3"/>
      <c r="D368" s="3"/>
      <c r="E368" s="3"/>
      <c r="F368" s="3"/>
      <c r="G368" s="3"/>
      <c r="H368" s="3"/>
      <c r="I368" s="3"/>
      <c r="J368" s="3"/>
      <c r="K368" s="3"/>
      <c r="L368" s="3"/>
      <c r="M368" s="3"/>
      <c r="N368" s="3"/>
      <c r="O368" s="3"/>
      <c r="P368" s="3"/>
      <c r="Q368" s="3"/>
      <c r="R368" s="3"/>
      <c r="S368" s="3"/>
      <c r="T368" s="3"/>
      <c r="U368" s="3"/>
      <c r="V368" s="18"/>
    </row>
    <row r="369" spans="1:22" ht="24.75" customHeight="1">
      <c r="A369" s="3"/>
      <c r="B369" s="3"/>
      <c r="C369" s="3"/>
      <c r="D369" s="3"/>
      <c r="E369" s="3"/>
      <c r="F369" s="3"/>
      <c r="G369" s="3"/>
      <c r="H369" s="3"/>
      <c r="I369" s="3"/>
      <c r="J369" s="3"/>
      <c r="K369" s="3"/>
      <c r="L369" s="3"/>
      <c r="M369" s="3"/>
      <c r="N369" s="3"/>
      <c r="O369" s="3"/>
      <c r="P369" s="3"/>
      <c r="Q369" s="3"/>
      <c r="R369" s="3"/>
      <c r="S369" s="3"/>
      <c r="T369" s="3"/>
      <c r="U369" s="3"/>
      <c r="V369" s="18"/>
    </row>
    <row r="370" spans="1:22" ht="24.75" customHeight="1">
      <c r="A370" s="3"/>
      <c r="B370" s="3"/>
      <c r="C370" s="3"/>
      <c r="D370" s="3"/>
      <c r="E370" s="3"/>
      <c r="F370" s="3"/>
      <c r="G370" s="3"/>
      <c r="H370" s="3"/>
      <c r="I370" s="3"/>
      <c r="J370" s="3"/>
      <c r="K370" s="3"/>
      <c r="L370" s="3"/>
      <c r="M370" s="3"/>
      <c r="N370" s="3"/>
      <c r="O370" s="3"/>
      <c r="P370" s="3"/>
      <c r="Q370" s="3"/>
      <c r="R370" s="3"/>
      <c r="S370" s="3"/>
      <c r="T370" s="3"/>
      <c r="U370" s="3"/>
      <c r="V370" s="18"/>
    </row>
    <row r="371" spans="1:22" ht="24.75" customHeight="1">
      <c r="A371" s="3"/>
      <c r="B371" s="3"/>
      <c r="C371" s="3"/>
      <c r="D371" s="3"/>
      <c r="E371" s="3"/>
      <c r="F371" s="3"/>
      <c r="G371" s="3"/>
      <c r="H371" s="3"/>
      <c r="I371" s="3"/>
      <c r="J371" s="3"/>
      <c r="K371" s="3"/>
      <c r="L371" s="3"/>
      <c r="M371" s="3"/>
      <c r="N371" s="3"/>
      <c r="O371" s="3"/>
      <c r="P371" s="3"/>
      <c r="Q371" s="3"/>
      <c r="R371" s="3"/>
      <c r="S371" s="3"/>
      <c r="T371" s="3"/>
      <c r="U371" s="3"/>
      <c r="V371" s="18"/>
    </row>
    <row r="372" spans="1:22" ht="24.75" customHeight="1">
      <c r="A372" s="3"/>
      <c r="B372" s="3"/>
      <c r="C372" s="3"/>
      <c r="D372" s="3"/>
      <c r="E372" s="3"/>
      <c r="F372" s="3"/>
      <c r="G372" s="3"/>
      <c r="H372" s="3"/>
      <c r="I372" s="3"/>
      <c r="J372" s="3"/>
      <c r="K372" s="3"/>
      <c r="L372" s="3"/>
      <c r="M372" s="3"/>
      <c r="N372" s="3"/>
      <c r="O372" s="3"/>
      <c r="P372" s="3"/>
      <c r="Q372" s="3"/>
      <c r="R372" s="3"/>
      <c r="S372" s="3"/>
      <c r="T372" s="3"/>
      <c r="U372" s="3"/>
      <c r="V372" s="18"/>
    </row>
    <row r="373" spans="1:22" ht="24.75" customHeight="1">
      <c r="A373" s="3"/>
      <c r="B373" s="3"/>
      <c r="C373" s="3"/>
      <c r="D373" s="3"/>
      <c r="E373" s="3"/>
      <c r="F373" s="3"/>
      <c r="G373" s="3"/>
      <c r="H373" s="3"/>
      <c r="I373" s="3"/>
      <c r="J373" s="3"/>
      <c r="K373" s="3"/>
      <c r="L373" s="3"/>
      <c r="M373" s="3"/>
      <c r="N373" s="3"/>
      <c r="O373" s="3"/>
      <c r="P373" s="3"/>
      <c r="Q373" s="3"/>
      <c r="R373" s="3"/>
      <c r="S373" s="3"/>
      <c r="T373" s="3"/>
      <c r="U373" s="3"/>
      <c r="V373" s="18"/>
    </row>
    <row r="374" spans="1:22" ht="24.75" customHeight="1">
      <c r="A374" s="3"/>
      <c r="B374" s="3"/>
      <c r="C374" s="3"/>
      <c r="D374" s="3"/>
      <c r="E374" s="3"/>
      <c r="F374" s="3"/>
      <c r="G374" s="3"/>
      <c r="H374" s="3"/>
      <c r="I374" s="3"/>
      <c r="J374" s="3"/>
      <c r="K374" s="3"/>
      <c r="L374" s="3"/>
      <c r="M374" s="3"/>
      <c r="N374" s="3"/>
      <c r="O374" s="3"/>
      <c r="P374" s="3"/>
      <c r="Q374" s="3"/>
      <c r="R374" s="3"/>
      <c r="S374" s="3"/>
      <c r="T374" s="3"/>
      <c r="U374" s="3"/>
      <c r="V374" s="18"/>
    </row>
    <row r="375" spans="1:22" ht="24.75" customHeight="1">
      <c r="A375" s="3"/>
      <c r="B375" s="3"/>
      <c r="C375" s="3"/>
      <c r="D375" s="3"/>
      <c r="E375" s="3"/>
      <c r="F375" s="3"/>
      <c r="G375" s="3"/>
      <c r="H375" s="3"/>
      <c r="I375" s="3"/>
      <c r="J375" s="3"/>
      <c r="K375" s="3"/>
      <c r="L375" s="3"/>
      <c r="M375" s="3"/>
      <c r="N375" s="3"/>
      <c r="O375" s="3"/>
      <c r="P375" s="3"/>
      <c r="Q375" s="3"/>
      <c r="R375" s="3"/>
      <c r="S375" s="3"/>
      <c r="T375" s="3"/>
      <c r="U375" s="3"/>
      <c r="V375" s="18"/>
    </row>
    <row r="376" spans="1:22" ht="24.75" customHeight="1">
      <c r="A376" s="3"/>
      <c r="B376" s="3"/>
      <c r="C376" s="3"/>
      <c r="D376" s="3"/>
      <c r="E376" s="3"/>
      <c r="F376" s="3"/>
      <c r="G376" s="3"/>
      <c r="H376" s="3"/>
      <c r="I376" s="3"/>
      <c r="J376" s="3"/>
      <c r="K376" s="3"/>
      <c r="L376" s="3"/>
      <c r="M376" s="3"/>
      <c r="N376" s="3"/>
      <c r="O376" s="3"/>
      <c r="P376" s="3"/>
      <c r="Q376" s="3"/>
      <c r="R376" s="3"/>
      <c r="S376" s="3"/>
      <c r="T376" s="3"/>
      <c r="U376" s="3"/>
      <c r="V376" s="18"/>
    </row>
    <row r="377" spans="1:22" ht="24.75" customHeight="1">
      <c r="A377" s="3"/>
      <c r="B377" s="3"/>
      <c r="C377" s="3"/>
      <c r="D377" s="3"/>
      <c r="E377" s="3"/>
      <c r="F377" s="3"/>
      <c r="G377" s="3"/>
      <c r="H377" s="3"/>
      <c r="I377" s="3"/>
      <c r="J377" s="3"/>
      <c r="K377" s="3"/>
      <c r="L377" s="3"/>
      <c r="M377" s="3"/>
      <c r="N377" s="3"/>
      <c r="O377" s="3"/>
      <c r="P377" s="3"/>
      <c r="Q377" s="3"/>
      <c r="R377" s="3"/>
      <c r="S377" s="3"/>
      <c r="T377" s="3"/>
      <c r="U377" s="3"/>
      <c r="V377" s="18"/>
    </row>
    <row r="378" spans="1:22" ht="24.75" customHeight="1">
      <c r="A378" s="3"/>
      <c r="B378" s="3"/>
      <c r="C378" s="3"/>
      <c r="D378" s="3"/>
      <c r="E378" s="3"/>
      <c r="F378" s="3"/>
      <c r="G378" s="3"/>
      <c r="H378" s="3"/>
      <c r="I378" s="3"/>
      <c r="J378" s="3"/>
      <c r="K378" s="3"/>
      <c r="L378" s="3"/>
      <c r="M378" s="3"/>
      <c r="N378" s="3"/>
      <c r="O378" s="3"/>
      <c r="P378" s="3"/>
      <c r="Q378" s="3"/>
      <c r="R378" s="3"/>
      <c r="S378" s="3"/>
      <c r="T378" s="3"/>
      <c r="U378" s="3"/>
      <c r="V378" s="18"/>
    </row>
    <row r="379" spans="1:22" ht="24.75" customHeight="1">
      <c r="A379" s="3"/>
      <c r="B379" s="3"/>
      <c r="C379" s="3"/>
      <c r="D379" s="3"/>
      <c r="E379" s="3"/>
      <c r="F379" s="3"/>
      <c r="G379" s="3"/>
      <c r="H379" s="3"/>
      <c r="I379" s="3"/>
      <c r="J379" s="3"/>
      <c r="K379" s="3"/>
      <c r="L379" s="3"/>
      <c r="M379" s="3"/>
      <c r="N379" s="3"/>
      <c r="O379" s="3"/>
      <c r="P379" s="3"/>
      <c r="Q379" s="3"/>
      <c r="R379" s="3"/>
      <c r="S379" s="3"/>
      <c r="T379" s="3"/>
      <c r="U379" s="3"/>
      <c r="V379" s="18"/>
    </row>
    <row r="380" spans="1:22" ht="24.75" customHeight="1">
      <c r="A380" s="3"/>
      <c r="B380" s="3"/>
      <c r="C380" s="3"/>
      <c r="D380" s="3"/>
      <c r="E380" s="3"/>
      <c r="F380" s="3"/>
      <c r="G380" s="3"/>
      <c r="H380" s="3"/>
      <c r="I380" s="3"/>
      <c r="J380" s="3"/>
      <c r="K380" s="3"/>
      <c r="L380" s="3"/>
      <c r="M380" s="3"/>
      <c r="N380" s="3"/>
      <c r="O380" s="3"/>
      <c r="P380" s="3"/>
      <c r="Q380" s="3"/>
      <c r="R380" s="3"/>
      <c r="S380" s="3"/>
      <c r="T380" s="3"/>
      <c r="U380" s="3"/>
      <c r="V380" s="18"/>
    </row>
    <row r="381" spans="1:22" ht="24.75" customHeight="1">
      <c r="A381" s="3"/>
      <c r="B381" s="3"/>
      <c r="C381" s="3"/>
      <c r="D381" s="3"/>
      <c r="E381" s="3"/>
      <c r="F381" s="3"/>
      <c r="G381" s="3"/>
      <c r="H381" s="3"/>
      <c r="I381" s="3"/>
      <c r="J381" s="3"/>
      <c r="K381" s="3"/>
      <c r="L381" s="3"/>
      <c r="M381" s="3"/>
      <c r="N381" s="3"/>
      <c r="O381" s="3"/>
      <c r="P381" s="3"/>
      <c r="Q381" s="3"/>
      <c r="R381" s="3"/>
      <c r="S381" s="3"/>
      <c r="T381" s="3"/>
      <c r="U381" s="3"/>
      <c r="V381" s="18"/>
    </row>
    <row r="382" spans="1:22" ht="24.75" customHeight="1">
      <c r="A382" s="3"/>
      <c r="B382" s="3"/>
      <c r="C382" s="3"/>
      <c r="D382" s="3"/>
      <c r="E382" s="3"/>
      <c r="F382" s="3"/>
      <c r="G382" s="3"/>
      <c r="H382" s="3"/>
      <c r="I382" s="3"/>
      <c r="J382" s="3"/>
      <c r="K382" s="3"/>
      <c r="L382" s="3"/>
      <c r="M382" s="3"/>
      <c r="N382" s="3"/>
      <c r="O382" s="3"/>
      <c r="P382" s="3"/>
      <c r="Q382" s="3"/>
      <c r="R382" s="3"/>
      <c r="S382" s="3"/>
      <c r="T382" s="3"/>
      <c r="U382" s="3"/>
      <c r="V382" s="18"/>
    </row>
    <row r="383" spans="1:22" ht="24.75" customHeight="1">
      <c r="A383" s="3"/>
      <c r="B383" s="3"/>
      <c r="C383" s="3"/>
      <c r="D383" s="3"/>
      <c r="E383" s="3"/>
      <c r="F383" s="3"/>
      <c r="G383" s="3"/>
      <c r="H383" s="3"/>
      <c r="I383" s="3"/>
      <c r="J383" s="3"/>
      <c r="K383" s="3"/>
      <c r="L383" s="3"/>
      <c r="M383" s="3"/>
      <c r="N383" s="3"/>
      <c r="O383" s="3"/>
      <c r="P383" s="3"/>
      <c r="Q383" s="3"/>
      <c r="R383" s="3"/>
      <c r="S383" s="3"/>
      <c r="T383" s="3"/>
      <c r="U383" s="3"/>
      <c r="V383" s="18"/>
    </row>
    <row r="384" spans="1:22" ht="24.75" customHeight="1">
      <c r="A384" s="3"/>
      <c r="B384" s="3"/>
      <c r="C384" s="3"/>
      <c r="D384" s="3"/>
      <c r="E384" s="3"/>
      <c r="F384" s="3"/>
      <c r="G384" s="3"/>
      <c r="H384" s="3"/>
      <c r="I384" s="3"/>
      <c r="J384" s="3"/>
      <c r="K384" s="3"/>
      <c r="L384" s="3"/>
      <c r="M384" s="3"/>
      <c r="N384" s="3"/>
      <c r="O384" s="3"/>
      <c r="P384" s="3"/>
      <c r="Q384" s="3"/>
      <c r="R384" s="3"/>
      <c r="S384" s="3"/>
      <c r="T384" s="3"/>
      <c r="U384" s="3"/>
      <c r="V384" s="18"/>
    </row>
    <row r="385" spans="1:22" ht="24.75" customHeight="1">
      <c r="A385" s="3"/>
      <c r="B385" s="3"/>
      <c r="C385" s="3"/>
      <c r="D385" s="3"/>
      <c r="E385" s="3"/>
      <c r="F385" s="3"/>
      <c r="G385" s="3"/>
      <c r="H385" s="3"/>
      <c r="I385" s="3"/>
      <c r="J385" s="3"/>
      <c r="K385" s="3"/>
      <c r="L385" s="3"/>
      <c r="M385" s="3"/>
      <c r="N385" s="3"/>
      <c r="O385" s="3"/>
      <c r="P385" s="3"/>
      <c r="Q385" s="3"/>
      <c r="R385" s="3"/>
      <c r="S385" s="3"/>
      <c r="T385" s="3"/>
      <c r="U385" s="3"/>
      <c r="V385" s="18"/>
    </row>
    <row r="386" spans="1:22" ht="24.75" customHeight="1">
      <c r="A386" s="3"/>
      <c r="B386" s="3"/>
      <c r="C386" s="3"/>
      <c r="D386" s="3"/>
      <c r="E386" s="3"/>
      <c r="F386" s="3"/>
      <c r="G386" s="3"/>
      <c r="H386" s="3"/>
      <c r="I386" s="3"/>
      <c r="J386" s="3"/>
      <c r="K386" s="3"/>
      <c r="L386" s="3"/>
      <c r="M386" s="3"/>
      <c r="N386" s="3"/>
      <c r="O386" s="3"/>
      <c r="P386" s="3"/>
      <c r="Q386" s="3"/>
      <c r="R386" s="3"/>
      <c r="S386" s="3"/>
      <c r="T386" s="3"/>
      <c r="U386" s="3"/>
      <c r="V386" s="18"/>
    </row>
    <row r="387" spans="1:22" ht="24.75" customHeight="1">
      <c r="A387" s="3"/>
      <c r="B387" s="3"/>
      <c r="C387" s="3"/>
      <c r="D387" s="3"/>
      <c r="E387" s="3"/>
      <c r="F387" s="3"/>
      <c r="G387" s="3"/>
      <c r="H387" s="3"/>
      <c r="I387" s="3"/>
      <c r="J387" s="3"/>
      <c r="K387" s="3"/>
      <c r="L387" s="3"/>
      <c r="M387" s="3"/>
      <c r="N387" s="3"/>
      <c r="O387" s="3"/>
      <c r="P387" s="3"/>
      <c r="Q387" s="3"/>
      <c r="R387" s="3"/>
      <c r="S387" s="3"/>
      <c r="T387" s="3"/>
      <c r="U387" s="3"/>
      <c r="V387" s="18"/>
    </row>
    <row r="388" spans="1:22" ht="24.75" customHeight="1">
      <c r="A388" s="3"/>
      <c r="B388" s="3"/>
      <c r="C388" s="3"/>
      <c r="D388" s="3"/>
      <c r="E388" s="3"/>
      <c r="F388" s="3"/>
      <c r="G388" s="3"/>
      <c r="H388" s="3"/>
      <c r="I388" s="3"/>
      <c r="J388" s="3"/>
      <c r="K388" s="3"/>
      <c r="L388" s="3"/>
      <c r="M388" s="3"/>
      <c r="N388" s="3"/>
      <c r="O388" s="3"/>
      <c r="P388" s="3"/>
      <c r="Q388" s="3"/>
      <c r="R388" s="3"/>
      <c r="S388" s="3"/>
      <c r="T388" s="3"/>
      <c r="U388" s="3"/>
      <c r="V388" s="18"/>
    </row>
    <row r="389" spans="1:22" ht="24.75" customHeight="1">
      <c r="A389" s="3"/>
      <c r="B389" s="3"/>
      <c r="C389" s="3"/>
      <c r="D389" s="3"/>
      <c r="E389" s="3"/>
      <c r="F389" s="3"/>
      <c r="G389" s="3"/>
      <c r="H389" s="3"/>
      <c r="I389" s="3"/>
      <c r="J389" s="3"/>
      <c r="K389" s="3"/>
      <c r="L389" s="3"/>
      <c r="M389" s="3"/>
      <c r="N389" s="3"/>
      <c r="O389" s="3"/>
      <c r="P389" s="3"/>
      <c r="Q389" s="3"/>
      <c r="R389" s="3"/>
      <c r="S389" s="3"/>
      <c r="T389" s="3"/>
      <c r="U389" s="3"/>
      <c r="V389" s="18"/>
    </row>
    <row r="390" spans="1:22" ht="24.75" customHeight="1">
      <c r="A390" s="3"/>
      <c r="B390" s="3"/>
      <c r="C390" s="3"/>
      <c r="D390" s="3"/>
      <c r="E390" s="3"/>
      <c r="F390" s="3"/>
      <c r="G390" s="3"/>
      <c r="H390" s="3"/>
      <c r="I390" s="3"/>
      <c r="J390" s="3"/>
      <c r="K390" s="3"/>
      <c r="L390" s="3"/>
      <c r="M390" s="3"/>
      <c r="N390" s="3"/>
      <c r="O390" s="3"/>
      <c r="P390" s="3"/>
      <c r="Q390" s="3"/>
      <c r="R390" s="3"/>
      <c r="S390" s="3"/>
      <c r="T390" s="3"/>
      <c r="U390" s="3"/>
      <c r="V390" s="18"/>
    </row>
    <row r="391" spans="1:22" ht="24.75" customHeight="1">
      <c r="A391" s="3"/>
      <c r="B391" s="3"/>
      <c r="C391" s="3"/>
      <c r="D391" s="3"/>
      <c r="E391" s="3"/>
      <c r="F391" s="3"/>
      <c r="G391" s="3"/>
      <c r="H391" s="3"/>
      <c r="I391" s="3"/>
      <c r="J391" s="3"/>
      <c r="K391" s="3"/>
      <c r="L391" s="3"/>
      <c r="M391" s="3"/>
      <c r="N391" s="3"/>
      <c r="O391" s="3"/>
      <c r="P391" s="3"/>
      <c r="Q391" s="3"/>
      <c r="R391" s="3"/>
      <c r="S391" s="3"/>
      <c r="T391" s="3"/>
      <c r="U391" s="3"/>
      <c r="V391" s="18"/>
    </row>
    <row r="392" spans="1:22" ht="24.75" customHeight="1">
      <c r="A392" s="3"/>
      <c r="B392" s="3"/>
      <c r="C392" s="3"/>
      <c r="D392" s="3"/>
      <c r="E392" s="3"/>
      <c r="F392" s="3"/>
      <c r="G392" s="3"/>
      <c r="H392" s="3"/>
      <c r="I392" s="3"/>
      <c r="J392" s="3"/>
      <c r="K392" s="3"/>
      <c r="L392" s="3"/>
      <c r="M392" s="3"/>
      <c r="N392" s="3"/>
      <c r="O392" s="3"/>
      <c r="P392" s="3"/>
      <c r="Q392" s="3"/>
      <c r="R392" s="3"/>
      <c r="S392" s="3"/>
      <c r="T392" s="3"/>
      <c r="U392" s="3"/>
      <c r="V392" s="18"/>
    </row>
    <row r="393" spans="1:22" ht="24.75" customHeight="1">
      <c r="A393" s="3"/>
      <c r="B393" s="3"/>
      <c r="C393" s="3"/>
      <c r="D393" s="3"/>
      <c r="E393" s="3"/>
      <c r="F393" s="3"/>
      <c r="G393" s="3"/>
      <c r="H393" s="3"/>
      <c r="I393" s="3"/>
      <c r="J393" s="3"/>
      <c r="K393" s="3"/>
      <c r="L393" s="3"/>
      <c r="M393" s="3"/>
      <c r="N393" s="3"/>
      <c r="O393" s="3"/>
      <c r="P393" s="3"/>
      <c r="Q393" s="3"/>
      <c r="R393" s="3"/>
      <c r="S393" s="3"/>
      <c r="T393" s="3"/>
      <c r="U393" s="3"/>
      <c r="V393" s="18"/>
    </row>
    <row r="394" spans="1:22" ht="24.75" customHeight="1">
      <c r="A394" s="3"/>
      <c r="B394" s="3"/>
      <c r="C394" s="3"/>
      <c r="D394" s="3"/>
      <c r="E394" s="3"/>
      <c r="F394" s="3"/>
      <c r="G394" s="3"/>
      <c r="H394" s="3"/>
      <c r="I394" s="3"/>
      <c r="J394" s="3"/>
      <c r="K394" s="3"/>
      <c r="L394" s="3"/>
      <c r="M394" s="3"/>
      <c r="N394" s="3"/>
      <c r="O394" s="3"/>
      <c r="P394" s="3"/>
      <c r="Q394" s="3"/>
      <c r="R394" s="3"/>
      <c r="S394" s="3"/>
      <c r="T394" s="3"/>
      <c r="U394" s="3"/>
      <c r="V394" s="18"/>
    </row>
    <row r="395" spans="1:22" ht="24.75" customHeight="1">
      <c r="A395" s="3"/>
      <c r="B395" s="3"/>
      <c r="C395" s="3"/>
      <c r="D395" s="3"/>
      <c r="E395" s="3"/>
      <c r="F395" s="3"/>
      <c r="G395" s="3"/>
      <c r="H395" s="3"/>
      <c r="I395" s="3"/>
      <c r="J395" s="3"/>
      <c r="K395" s="3"/>
      <c r="L395" s="3"/>
      <c r="M395" s="3"/>
      <c r="N395" s="3"/>
      <c r="O395" s="3"/>
      <c r="P395" s="3"/>
      <c r="Q395" s="3"/>
      <c r="R395" s="3"/>
      <c r="S395" s="3"/>
      <c r="T395" s="3"/>
      <c r="U395" s="3"/>
      <c r="V395" s="18"/>
    </row>
    <row r="396" spans="1:22" ht="24.75" customHeight="1">
      <c r="A396" s="3"/>
      <c r="B396" s="3"/>
      <c r="C396" s="3"/>
      <c r="D396" s="3"/>
      <c r="E396" s="3"/>
      <c r="F396" s="3"/>
      <c r="G396" s="3"/>
      <c r="H396" s="3"/>
      <c r="I396" s="3"/>
      <c r="J396" s="3"/>
      <c r="K396" s="3"/>
      <c r="L396" s="3"/>
      <c r="M396" s="3"/>
      <c r="N396" s="3"/>
      <c r="O396" s="3"/>
      <c r="P396" s="3"/>
      <c r="Q396" s="3"/>
      <c r="R396" s="3"/>
      <c r="S396" s="3"/>
      <c r="T396" s="3"/>
      <c r="U396" s="3"/>
      <c r="V396" s="18"/>
    </row>
    <row r="397" spans="1:22" ht="24.75" customHeight="1">
      <c r="A397" s="3"/>
      <c r="B397" s="3"/>
      <c r="C397" s="3"/>
      <c r="D397" s="3"/>
      <c r="E397" s="3"/>
      <c r="F397" s="3"/>
      <c r="G397" s="3"/>
      <c r="H397" s="3"/>
      <c r="I397" s="3"/>
      <c r="J397" s="3"/>
      <c r="K397" s="3"/>
      <c r="L397" s="3"/>
      <c r="M397" s="3"/>
      <c r="N397" s="3"/>
      <c r="O397" s="3"/>
      <c r="P397" s="3"/>
      <c r="Q397" s="3"/>
      <c r="R397" s="3"/>
      <c r="S397" s="3"/>
      <c r="T397" s="3"/>
      <c r="U397" s="3"/>
      <c r="V397" s="18"/>
    </row>
    <row r="398" spans="1:22" ht="24.75" customHeight="1">
      <c r="A398" s="3"/>
      <c r="B398" s="3"/>
      <c r="C398" s="3"/>
      <c r="D398" s="3"/>
      <c r="E398" s="3"/>
      <c r="F398" s="3"/>
      <c r="G398" s="3"/>
      <c r="H398" s="3"/>
      <c r="I398" s="3"/>
      <c r="J398" s="3"/>
      <c r="K398" s="3"/>
      <c r="L398" s="3"/>
      <c r="M398" s="3"/>
      <c r="N398" s="3"/>
      <c r="O398" s="3"/>
      <c r="P398" s="3"/>
      <c r="Q398" s="3"/>
      <c r="R398" s="3"/>
      <c r="S398" s="3"/>
      <c r="T398" s="3"/>
      <c r="U398" s="3"/>
      <c r="V398" s="18"/>
    </row>
    <row r="399" spans="1:22" ht="24.75" customHeight="1">
      <c r="A399" s="3"/>
      <c r="B399" s="3"/>
      <c r="C399" s="3"/>
      <c r="D399" s="3"/>
      <c r="E399" s="3"/>
      <c r="F399" s="3"/>
      <c r="G399" s="3"/>
      <c r="H399" s="3"/>
      <c r="I399" s="3"/>
      <c r="J399" s="3"/>
      <c r="K399" s="3"/>
      <c r="L399" s="3"/>
      <c r="M399" s="3"/>
      <c r="N399" s="3"/>
      <c r="O399" s="3"/>
      <c r="P399" s="3"/>
      <c r="Q399" s="3"/>
      <c r="R399" s="3"/>
      <c r="S399" s="3"/>
      <c r="T399" s="3"/>
      <c r="U399" s="3"/>
      <c r="V399" s="18"/>
    </row>
    <row r="400" spans="1:22" ht="24.75" customHeight="1">
      <c r="A400" s="3"/>
      <c r="B400" s="3"/>
      <c r="C400" s="3"/>
      <c r="D400" s="3"/>
      <c r="E400" s="3"/>
      <c r="F400" s="3"/>
      <c r="G400" s="3"/>
      <c r="H400" s="3"/>
      <c r="I400" s="3"/>
      <c r="J400" s="3"/>
      <c r="K400" s="3"/>
      <c r="L400" s="3"/>
      <c r="M400" s="3"/>
      <c r="N400" s="3"/>
      <c r="O400" s="3"/>
      <c r="P400" s="3"/>
      <c r="Q400" s="3"/>
      <c r="R400" s="3"/>
      <c r="S400" s="3"/>
      <c r="T400" s="3"/>
      <c r="U400" s="3"/>
      <c r="V400" s="18"/>
    </row>
    <row r="401" spans="1:22" ht="24.75" customHeight="1">
      <c r="A401" s="3"/>
      <c r="B401" s="3"/>
      <c r="C401" s="3"/>
      <c r="D401" s="3"/>
      <c r="E401" s="3"/>
      <c r="F401" s="3"/>
      <c r="G401" s="3"/>
      <c r="H401" s="3"/>
      <c r="I401" s="3"/>
      <c r="J401" s="3"/>
      <c r="K401" s="3"/>
      <c r="L401" s="3"/>
      <c r="M401" s="3"/>
      <c r="N401" s="3"/>
      <c r="O401" s="3"/>
      <c r="P401" s="3"/>
      <c r="Q401" s="3"/>
      <c r="R401" s="3"/>
      <c r="S401" s="3"/>
      <c r="T401" s="3"/>
      <c r="U401" s="3"/>
      <c r="V401" s="18"/>
    </row>
    <row r="402" spans="1:22" ht="24.75" customHeight="1">
      <c r="A402" s="3"/>
      <c r="B402" s="3"/>
      <c r="C402" s="3"/>
      <c r="D402" s="3"/>
      <c r="E402" s="3"/>
      <c r="F402" s="3"/>
      <c r="G402" s="3"/>
      <c r="H402" s="3"/>
      <c r="I402" s="3"/>
      <c r="J402" s="3"/>
      <c r="K402" s="3"/>
      <c r="L402" s="3"/>
      <c r="M402" s="3"/>
      <c r="N402" s="3"/>
      <c r="O402" s="3"/>
      <c r="P402" s="3"/>
      <c r="Q402" s="3"/>
      <c r="R402" s="3"/>
      <c r="S402" s="3"/>
      <c r="T402" s="3"/>
      <c r="U402" s="3"/>
      <c r="V402" s="18"/>
    </row>
    <row r="403" spans="1:22" ht="24.75" customHeight="1">
      <c r="A403" s="3"/>
      <c r="B403" s="3"/>
      <c r="C403" s="3"/>
      <c r="D403" s="3"/>
      <c r="E403" s="3"/>
      <c r="F403" s="3"/>
      <c r="G403" s="3"/>
      <c r="H403" s="3"/>
      <c r="I403" s="3"/>
      <c r="J403" s="3"/>
      <c r="K403" s="3"/>
      <c r="L403" s="3"/>
      <c r="M403" s="3"/>
      <c r="N403" s="3"/>
      <c r="O403" s="3"/>
      <c r="P403" s="3"/>
      <c r="Q403" s="3"/>
      <c r="R403" s="3"/>
      <c r="S403" s="3"/>
      <c r="T403" s="3"/>
      <c r="U403" s="3"/>
      <c r="V403" s="18"/>
    </row>
    <row r="404" spans="1:22" ht="24.75" customHeight="1">
      <c r="A404" s="3"/>
      <c r="B404" s="3"/>
      <c r="C404" s="3"/>
      <c r="D404" s="3"/>
      <c r="E404" s="3"/>
      <c r="F404" s="3"/>
      <c r="G404" s="3"/>
      <c r="H404" s="3"/>
      <c r="I404" s="3"/>
      <c r="J404" s="3"/>
      <c r="K404" s="3"/>
      <c r="L404" s="3"/>
      <c r="M404" s="3"/>
      <c r="N404" s="3"/>
      <c r="O404" s="3"/>
      <c r="P404" s="3"/>
      <c r="Q404" s="3"/>
      <c r="R404" s="3"/>
      <c r="S404" s="3"/>
      <c r="T404" s="3"/>
      <c r="U404" s="3"/>
      <c r="V404" s="18"/>
    </row>
    <row r="405" spans="1:22" ht="24.75" customHeight="1">
      <c r="A405" s="3"/>
      <c r="B405" s="3"/>
      <c r="C405" s="3"/>
      <c r="D405" s="3"/>
      <c r="E405" s="3"/>
      <c r="F405" s="3"/>
      <c r="G405" s="3"/>
      <c r="H405" s="3"/>
      <c r="I405" s="3"/>
      <c r="J405" s="3"/>
      <c r="K405" s="3"/>
      <c r="L405" s="3"/>
      <c r="M405" s="3"/>
      <c r="N405" s="3"/>
      <c r="O405" s="3"/>
      <c r="P405" s="3"/>
      <c r="Q405" s="3"/>
      <c r="R405" s="3"/>
      <c r="S405" s="3"/>
      <c r="T405" s="3"/>
      <c r="U405" s="3"/>
      <c r="V405" s="18"/>
    </row>
    <row r="406" spans="1:22" ht="24.75" customHeight="1">
      <c r="A406" s="3"/>
      <c r="B406" s="3"/>
      <c r="C406" s="3"/>
      <c r="D406" s="3"/>
      <c r="E406" s="3"/>
      <c r="F406" s="3"/>
      <c r="G406" s="3"/>
      <c r="H406" s="3"/>
      <c r="I406" s="3"/>
      <c r="J406" s="3"/>
      <c r="K406" s="3"/>
      <c r="L406" s="3"/>
      <c r="M406" s="3"/>
      <c r="N406" s="3"/>
      <c r="O406" s="3"/>
      <c r="P406" s="3"/>
      <c r="Q406" s="3"/>
      <c r="R406" s="3"/>
      <c r="S406" s="3"/>
      <c r="T406" s="3"/>
      <c r="U406" s="3"/>
      <c r="V406" s="18"/>
    </row>
    <row r="407" spans="1:22" ht="24.75" customHeight="1">
      <c r="A407" s="3"/>
      <c r="B407" s="3"/>
      <c r="C407" s="3"/>
      <c r="D407" s="3"/>
      <c r="E407" s="3"/>
      <c r="F407" s="3"/>
      <c r="G407" s="3"/>
      <c r="H407" s="3"/>
      <c r="I407" s="3"/>
      <c r="J407" s="3"/>
      <c r="K407" s="3"/>
      <c r="L407" s="3"/>
      <c r="M407" s="3"/>
      <c r="N407" s="3"/>
      <c r="O407" s="3"/>
      <c r="P407" s="3"/>
      <c r="Q407" s="3"/>
      <c r="R407" s="3"/>
      <c r="S407" s="3"/>
      <c r="T407" s="3"/>
      <c r="U407" s="3"/>
      <c r="V407" s="18"/>
    </row>
    <row r="408" spans="1:22" ht="24.75" customHeight="1">
      <c r="A408" s="3"/>
      <c r="B408" s="3"/>
      <c r="C408" s="3"/>
      <c r="D408" s="3"/>
      <c r="E408" s="3"/>
      <c r="F408" s="3"/>
      <c r="G408" s="3"/>
      <c r="H408" s="3"/>
      <c r="I408" s="3"/>
      <c r="J408" s="3"/>
      <c r="K408" s="3"/>
      <c r="L408" s="3"/>
      <c r="M408" s="3"/>
      <c r="N408" s="3"/>
      <c r="O408" s="3"/>
      <c r="P408" s="3"/>
      <c r="Q408" s="3"/>
      <c r="R408" s="3"/>
      <c r="S408" s="3"/>
      <c r="T408" s="3"/>
      <c r="U408" s="3"/>
      <c r="V408" s="18"/>
    </row>
    <row r="409" spans="1:22" ht="24.75" customHeight="1">
      <c r="A409" s="3"/>
      <c r="B409" s="3"/>
      <c r="C409" s="3"/>
      <c r="D409" s="3"/>
      <c r="E409" s="3"/>
      <c r="F409" s="3"/>
      <c r="G409" s="3"/>
      <c r="H409" s="3"/>
      <c r="I409" s="3"/>
      <c r="J409" s="3"/>
      <c r="K409" s="3"/>
      <c r="L409" s="3"/>
      <c r="M409" s="3"/>
      <c r="N409" s="3"/>
      <c r="O409" s="3"/>
      <c r="P409" s="3"/>
      <c r="Q409" s="3"/>
      <c r="R409" s="3"/>
      <c r="S409" s="3"/>
      <c r="T409" s="3"/>
      <c r="U409" s="3"/>
      <c r="V409" s="18"/>
    </row>
    <row r="410" spans="1:22" ht="24.75" customHeight="1">
      <c r="A410" s="3"/>
      <c r="B410" s="3"/>
      <c r="C410" s="3"/>
      <c r="D410" s="3"/>
      <c r="E410" s="3"/>
      <c r="F410" s="3"/>
      <c r="G410" s="3"/>
      <c r="H410" s="3"/>
      <c r="I410" s="3"/>
      <c r="J410" s="3"/>
      <c r="K410" s="3"/>
      <c r="L410" s="3"/>
      <c r="M410" s="3"/>
      <c r="N410" s="3"/>
      <c r="O410" s="3"/>
      <c r="P410" s="3"/>
      <c r="Q410" s="3"/>
      <c r="R410" s="3"/>
      <c r="S410" s="3"/>
      <c r="T410" s="3"/>
      <c r="U410" s="3"/>
      <c r="V410" s="18"/>
    </row>
    <row r="411" spans="1:22" ht="24.75" customHeight="1">
      <c r="A411" s="3"/>
      <c r="B411" s="3"/>
      <c r="C411" s="3"/>
      <c r="D411" s="3"/>
      <c r="E411" s="3"/>
      <c r="F411" s="3"/>
      <c r="G411" s="3"/>
      <c r="H411" s="3"/>
      <c r="I411" s="3"/>
      <c r="J411" s="3"/>
      <c r="K411" s="3"/>
      <c r="L411" s="3"/>
      <c r="M411" s="3"/>
      <c r="N411" s="3"/>
      <c r="O411" s="3"/>
      <c r="P411" s="3"/>
      <c r="Q411" s="3"/>
      <c r="R411" s="3"/>
      <c r="S411" s="3"/>
      <c r="T411" s="3"/>
      <c r="U411" s="3"/>
      <c r="V411" s="18"/>
    </row>
    <row r="412" spans="1:22"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49"/>
    </row>
    <row r="413" spans="1:22"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49"/>
    </row>
    <row r="414" spans="1:22"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49"/>
    </row>
    <row r="415" spans="1:22"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49"/>
    </row>
    <row r="416" spans="1:22"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49"/>
    </row>
    <row r="417" spans="1:22"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49"/>
    </row>
    <row r="418" spans="1:22"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49"/>
    </row>
    <row r="419" spans="1:22"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49"/>
    </row>
    <row r="420" spans="1:22"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49"/>
    </row>
    <row r="421" spans="1:22"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49"/>
    </row>
    <row r="422" spans="1:22"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49"/>
    </row>
    <row r="423" spans="1:22"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49"/>
    </row>
    <row r="424" spans="1:22"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49"/>
    </row>
    <row r="425" spans="1:22"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49"/>
    </row>
    <row r="426" spans="1:22"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49"/>
    </row>
    <row r="427" spans="1:22"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49"/>
    </row>
    <row r="428" spans="1:22"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49"/>
    </row>
    <row r="429" spans="1:22"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49"/>
    </row>
    <row r="430" spans="1:22"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49"/>
    </row>
    <row r="431" spans="1:22"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49"/>
    </row>
    <row r="432" spans="1:22"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49"/>
    </row>
    <row r="433" spans="1:22"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49"/>
    </row>
    <row r="434" spans="1:22"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49"/>
    </row>
    <row r="435" spans="1:22"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49"/>
    </row>
    <row r="436" spans="1:22"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49"/>
    </row>
    <row r="437" spans="1:22"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49"/>
    </row>
    <row r="438" spans="1:22"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49"/>
    </row>
    <row r="439" spans="1:22"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49"/>
    </row>
    <row r="440" spans="1:22"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49"/>
    </row>
    <row r="441" spans="1:22"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49"/>
    </row>
    <row r="442" spans="1:22"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49"/>
    </row>
    <row r="443" spans="1:22"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49"/>
    </row>
    <row r="444" spans="1:22"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49"/>
    </row>
    <row r="445" spans="1:22"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49"/>
    </row>
    <row r="446" spans="1:22"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49"/>
    </row>
    <row r="447" spans="1:22"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49"/>
    </row>
    <row r="448" spans="1:22"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49"/>
    </row>
    <row r="449" spans="1:22"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49"/>
    </row>
    <row r="450" spans="1:22"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49"/>
    </row>
    <row r="451" spans="1:22"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49"/>
    </row>
    <row r="452" spans="1:22"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49"/>
    </row>
    <row r="453" spans="1:22"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49"/>
    </row>
    <row r="454" spans="1:22"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49"/>
    </row>
    <row r="455" spans="1:22"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49"/>
    </row>
    <row r="456" spans="1:22"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49"/>
    </row>
    <row r="457" spans="1:22"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49"/>
    </row>
    <row r="458" spans="1:22"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49"/>
    </row>
    <row r="459" spans="1:22"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49"/>
    </row>
    <row r="460" spans="1:22"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49"/>
    </row>
    <row r="461" spans="1:22"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49"/>
    </row>
    <row r="462" spans="1:22"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49"/>
    </row>
    <row r="463" spans="1:22"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49"/>
    </row>
    <row r="464" spans="1:22"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49"/>
    </row>
    <row r="465" spans="1:22"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49"/>
    </row>
    <row r="466" spans="1:22"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49"/>
    </row>
    <row r="467" spans="1:22"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49"/>
    </row>
    <row r="468" spans="1:22"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49"/>
    </row>
    <row r="469" spans="1:22"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49"/>
    </row>
    <row r="470" spans="1:22"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49"/>
    </row>
    <row r="471" spans="1:22"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49"/>
    </row>
    <row r="472" spans="1:22"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49"/>
    </row>
    <row r="473" spans="1:22"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49"/>
    </row>
    <row r="474" spans="1:22"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49"/>
    </row>
    <row r="475" spans="1:22"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49"/>
    </row>
    <row r="476" spans="1:22"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49"/>
    </row>
    <row r="477" spans="1:22"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49"/>
    </row>
    <row r="478" spans="1:22"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49"/>
    </row>
    <row r="479" spans="1:22"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49"/>
    </row>
    <row r="480" spans="1:22"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49"/>
    </row>
    <row r="481" spans="1:22"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49"/>
    </row>
    <row r="482" spans="1:22"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49"/>
    </row>
    <row r="483" spans="1:22"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49"/>
    </row>
    <row r="484" spans="1:22"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49"/>
    </row>
    <row r="485" spans="1:22"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49"/>
    </row>
    <row r="486" spans="1:22"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49"/>
    </row>
    <row r="487" spans="1:22"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49"/>
    </row>
    <row r="488" spans="1:22"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49"/>
    </row>
    <row r="489" spans="1:22"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49"/>
    </row>
    <row r="490" spans="1:22"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49"/>
    </row>
    <row r="491" spans="1:22"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49"/>
    </row>
    <row r="492" spans="1:22"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49"/>
    </row>
    <row r="493" spans="1:22"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49"/>
    </row>
    <row r="494" spans="1:22"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49"/>
    </row>
    <row r="495" spans="1:22"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49"/>
    </row>
    <row r="496" spans="1:22"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49"/>
    </row>
    <row r="497" spans="1:22"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49"/>
    </row>
    <row r="498" spans="1:22"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49"/>
    </row>
    <row r="499" spans="1:22"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49"/>
    </row>
    <row r="500" spans="1:22"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49"/>
    </row>
    <row r="501" spans="1:22"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49"/>
    </row>
    <row r="502" spans="1:22"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49"/>
    </row>
    <row r="503" spans="1:22"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49"/>
    </row>
    <row r="504" spans="1:22"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49"/>
    </row>
    <row r="505" spans="1:22"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49"/>
    </row>
    <row r="506" spans="1:22"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49"/>
    </row>
    <row r="507" spans="1:22"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49"/>
    </row>
    <row r="508" spans="1:22"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49"/>
    </row>
    <row r="509" spans="1:22"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49"/>
    </row>
    <row r="510" spans="1:22"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49"/>
    </row>
    <row r="511" spans="1:22"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49"/>
    </row>
    <row r="512" spans="1:22"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49"/>
    </row>
    <row r="513" spans="1:22"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49"/>
    </row>
    <row r="514" spans="1:22"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49"/>
    </row>
    <row r="515" spans="1:22"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49"/>
    </row>
    <row r="516" spans="1:22"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49"/>
    </row>
    <row r="517" spans="1:22"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49"/>
    </row>
    <row r="518" spans="1:22"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49"/>
    </row>
    <row r="519" spans="1:22"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49"/>
    </row>
    <row r="520" spans="1:22"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49"/>
    </row>
    <row r="521" spans="1:22"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49"/>
    </row>
    <row r="522" spans="1:22"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49"/>
    </row>
    <row r="523" spans="1:22"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49"/>
    </row>
    <row r="524" spans="1:22"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49"/>
    </row>
    <row r="525" spans="1:22"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49"/>
    </row>
    <row r="526" spans="1:22"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49"/>
    </row>
    <row r="527" spans="1:22"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49"/>
    </row>
    <row r="528" spans="1:22"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49"/>
    </row>
    <row r="529" spans="1:22"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49"/>
    </row>
    <row r="530" spans="1:22"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49"/>
    </row>
    <row r="531" spans="1:22"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49"/>
    </row>
    <row r="532" spans="1:22"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49"/>
    </row>
    <row r="533" spans="1:22"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49"/>
    </row>
    <row r="534" spans="1:22"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49"/>
    </row>
    <row r="535" spans="1:22"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49"/>
    </row>
    <row r="536" spans="1:22"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49"/>
    </row>
    <row r="537" spans="1:22"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49"/>
    </row>
    <row r="538" spans="1:22"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49"/>
    </row>
    <row r="539" spans="1:22"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49"/>
    </row>
    <row r="540" spans="1:22"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49"/>
    </row>
    <row r="541" spans="1:22"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49"/>
    </row>
    <row r="542" spans="1:22"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49"/>
    </row>
    <row r="543" spans="1:22"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49"/>
    </row>
    <row r="544" spans="1:22"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49"/>
    </row>
    <row r="545" spans="1:22"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49"/>
    </row>
    <row r="546" spans="1:22"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49"/>
    </row>
    <row r="547" spans="1:22"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49"/>
    </row>
    <row r="548" spans="1:22"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49"/>
    </row>
    <row r="549" spans="1:22"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49"/>
    </row>
    <row r="550" spans="1:22"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49"/>
    </row>
    <row r="551" spans="1:22"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49"/>
    </row>
    <row r="552" spans="1:22"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49"/>
    </row>
    <row r="553" spans="1:22"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49"/>
    </row>
    <row r="554" spans="1:22"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49"/>
    </row>
    <row r="555" spans="1:22"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49"/>
    </row>
    <row r="556" spans="1:22"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49"/>
    </row>
    <row r="557" spans="1:22"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49"/>
    </row>
    <row r="558" spans="1:22"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49"/>
    </row>
    <row r="559" spans="1:22"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49"/>
    </row>
    <row r="560" spans="1:22"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49"/>
    </row>
    <row r="561" spans="1:22"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49"/>
    </row>
    <row r="562" spans="1:22"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49"/>
    </row>
    <row r="563" spans="1:22"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49"/>
    </row>
    <row r="564" spans="1:22"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49"/>
    </row>
    <row r="565" spans="1:22"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49"/>
    </row>
    <row r="566" spans="1:22"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49"/>
    </row>
    <row r="567" spans="1:22"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49"/>
    </row>
    <row r="568" spans="1:22"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49"/>
    </row>
    <row r="569" spans="1:22"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49"/>
    </row>
    <row r="570" spans="1:22"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49"/>
    </row>
    <row r="571" spans="1:22"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49"/>
    </row>
    <row r="572" spans="1:22"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49"/>
    </row>
    <row r="573" spans="1:22"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49"/>
    </row>
    <row r="574" spans="1:22"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49"/>
    </row>
    <row r="575" spans="1:22"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49"/>
    </row>
    <row r="576" spans="1:22"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49"/>
    </row>
    <row r="577" spans="1:22"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49"/>
    </row>
    <row r="578" spans="1:22"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49"/>
    </row>
    <row r="579" spans="1:22"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49"/>
    </row>
    <row r="580" spans="1:22"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49"/>
    </row>
    <row r="581" spans="1:22"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49"/>
    </row>
    <row r="582" spans="1:22"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49"/>
    </row>
    <row r="583" spans="1:22"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49"/>
    </row>
    <row r="584" spans="1:22"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49"/>
    </row>
    <row r="585" spans="1:22"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49"/>
    </row>
    <row r="586" spans="1:22"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49"/>
    </row>
    <row r="587" spans="1:22"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49"/>
    </row>
    <row r="588" spans="1:22"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49"/>
    </row>
    <row r="589" spans="1:22"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49"/>
    </row>
    <row r="590" spans="1:22"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49"/>
    </row>
    <row r="591" spans="1:22"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49"/>
    </row>
    <row r="592" spans="1:22"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49"/>
    </row>
    <row r="593" spans="1:22"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49"/>
    </row>
    <row r="594" spans="1:22"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49"/>
    </row>
    <row r="595" spans="1:22"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49"/>
    </row>
    <row r="596" spans="1:22"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49"/>
    </row>
    <row r="597" spans="1:22"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49"/>
    </row>
    <row r="598" spans="1:22"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49"/>
    </row>
    <row r="599" spans="1:22"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49"/>
    </row>
    <row r="600" spans="1:22"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49"/>
    </row>
    <row r="601" spans="1:22"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49"/>
    </row>
    <row r="602" spans="1:22"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49"/>
    </row>
    <row r="603" spans="1:22"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49"/>
    </row>
    <row r="604" spans="1:22"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49"/>
    </row>
    <row r="605" spans="1:22"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49"/>
    </row>
    <row r="606" spans="1:22"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49"/>
    </row>
    <row r="607" spans="1:22"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49"/>
    </row>
    <row r="608" spans="1:22"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49"/>
    </row>
    <row r="609" spans="1:22"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49"/>
    </row>
    <row r="610" spans="1:22"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49"/>
    </row>
    <row r="611" spans="1:22"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49"/>
    </row>
    <row r="612" spans="1:22"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49"/>
    </row>
    <row r="613" spans="1:22"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49"/>
    </row>
    <row r="614" spans="1:22"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49"/>
    </row>
    <row r="615" spans="1:22"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49"/>
    </row>
    <row r="616" spans="1:22"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49"/>
    </row>
    <row r="617" spans="1:22"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49"/>
    </row>
    <row r="618" spans="1:22"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49"/>
    </row>
    <row r="619" spans="1:22"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49"/>
    </row>
    <row r="620" spans="1:22"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49"/>
    </row>
    <row r="621" spans="1:22"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49"/>
    </row>
    <row r="622" spans="1:22"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49"/>
    </row>
    <row r="623" spans="1:22"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49"/>
    </row>
    <row r="624" spans="1:22"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49"/>
    </row>
    <row r="625" spans="1:22"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49"/>
    </row>
    <row r="626" spans="1:22"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49"/>
    </row>
    <row r="627" spans="1:22"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49"/>
    </row>
    <row r="628" spans="1:22"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49"/>
    </row>
    <row r="629" spans="1:22"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49"/>
    </row>
    <row r="630" spans="1:22"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49"/>
    </row>
    <row r="631" spans="1:22"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49"/>
    </row>
    <row r="632" spans="1:22"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49"/>
    </row>
    <row r="633" spans="1:22"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49"/>
    </row>
    <row r="634" spans="1:22"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49"/>
    </row>
    <row r="635" spans="1:22"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49"/>
    </row>
    <row r="636" spans="1:22"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49"/>
    </row>
    <row r="637" spans="1:22"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49"/>
    </row>
    <row r="638" spans="1:22"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49"/>
    </row>
    <row r="639" spans="1:22"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49"/>
    </row>
    <row r="640" spans="1:22"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49"/>
    </row>
    <row r="641" spans="1:22"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49"/>
    </row>
    <row r="642" spans="1:22"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49"/>
    </row>
    <row r="643" spans="1:22"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49"/>
    </row>
    <row r="644" spans="1:22"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49"/>
    </row>
    <row r="645" spans="1:22"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49"/>
    </row>
    <row r="646" spans="1:22"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49"/>
    </row>
    <row r="647" spans="1:22"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49"/>
    </row>
    <row r="648" spans="1:22"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49"/>
    </row>
    <row r="649" spans="1:22"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49"/>
    </row>
    <row r="650" spans="1:22"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49"/>
    </row>
    <row r="651" spans="1:22"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49"/>
    </row>
    <row r="652" spans="1:22"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49"/>
    </row>
    <row r="653" spans="1:22"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49"/>
    </row>
    <row r="654" spans="1:22"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49"/>
    </row>
    <row r="655" spans="1:22"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49"/>
    </row>
    <row r="656" spans="1:22"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49"/>
    </row>
    <row r="657" spans="1:22"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49"/>
    </row>
    <row r="658" spans="1:22"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49"/>
    </row>
    <row r="659" spans="1:22"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49"/>
    </row>
    <row r="660" spans="1:22"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49"/>
    </row>
    <row r="661" spans="1:22"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49"/>
    </row>
    <row r="662" spans="1:22"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49"/>
    </row>
    <row r="663" spans="1:22"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49"/>
    </row>
    <row r="664" spans="1:22"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49"/>
    </row>
    <row r="665" spans="1:22"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49"/>
    </row>
    <row r="666" spans="1:22"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49"/>
    </row>
    <row r="667" spans="1:22"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49"/>
    </row>
    <row r="668" spans="1:22"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49"/>
    </row>
    <row r="669" spans="1:22"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49"/>
    </row>
    <row r="670" spans="1:22"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49"/>
    </row>
    <row r="671" spans="1:22"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49"/>
    </row>
    <row r="672" spans="1:22"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49"/>
    </row>
    <row r="673" spans="1:22"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49"/>
    </row>
    <row r="674" spans="1:22"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49"/>
    </row>
    <row r="675" spans="1:22"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49"/>
    </row>
    <row r="676" spans="1:22"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49"/>
    </row>
    <row r="677" spans="1:22"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49"/>
    </row>
    <row r="678" spans="1:22"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49"/>
    </row>
    <row r="679" spans="1:22"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49"/>
    </row>
    <row r="680" spans="1:22"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49"/>
    </row>
    <row r="681" spans="1:22"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49"/>
    </row>
    <row r="682" spans="1:22"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49"/>
    </row>
    <row r="683" spans="1:22"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49"/>
    </row>
    <row r="684" spans="1:22"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49"/>
    </row>
    <row r="685" spans="1:22"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49"/>
    </row>
    <row r="686" spans="1:22"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49"/>
    </row>
    <row r="687" spans="1:22"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49"/>
    </row>
    <row r="688" spans="1:22"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49"/>
    </row>
    <row r="689" spans="1:22"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49"/>
    </row>
    <row r="690" spans="1:22"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49"/>
    </row>
    <row r="691" spans="1:22"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49"/>
    </row>
    <row r="692" spans="1:22"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49"/>
    </row>
    <row r="693" spans="1:22"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49"/>
    </row>
    <row r="694" spans="1:22"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49"/>
    </row>
    <row r="695" spans="1:22"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49"/>
    </row>
    <row r="696" spans="1:22"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49"/>
    </row>
    <row r="697" spans="1:22"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49"/>
    </row>
    <row r="698" spans="1:22"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49"/>
    </row>
    <row r="699" spans="1:22"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49"/>
    </row>
    <row r="700" spans="1:22"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49"/>
    </row>
    <row r="701" spans="1:22"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49"/>
    </row>
    <row r="702" spans="1:22"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49"/>
    </row>
    <row r="703" spans="1:22"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49"/>
    </row>
    <row r="704" spans="1:22"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49"/>
    </row>
    <row r="705" spans="1:22"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49"/>
    </row>
    <row r="706" spans="1:22"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49"/>
    </row>
    <row r="707" spans="1:22"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49"/>
    </row>
    <row r="708" spans="1:22"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49"/>
    </row>
    <row r="709" spans="1:22"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49"/>
    </row>
    <row r="710" spans="1:22"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49"/>
    </row>
    <row r="711" spans="1:22"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49"/>
    </row>
    <row r="712" spans="1:22"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49"/>
    </row>
    <row r="713" spans="1:22"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49"/>
    </row>
    <row r="714" spans="1:22"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49"/>
    </row>
    <row r="715" spans="1:22"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49"/>
    </row>
    <row r="716" spans="1:22"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49"/>
    </row>
    <row r="717" spans="1:22"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49"/>
    </row>
    <row r="718" spans="1:22"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49"/>
    </row>
    <row r="719" spans="1:22"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49"/>
    </row>
    <row r="720" spans="1:22"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49"/>
    </row>
    <row r="721" spans="1:22"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49"/>
    </row>
    <row r="722" spans="1:22"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49"/>
    </row>
    <row r="723" spans="1:22"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49"/>
    </row>
    <row r="724" spans="1:22"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49"/>
    </row>
    <row r="725" spans="1:22"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49"/>
    </row>
    <row r="726" spans="1:22"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49"/>
    </row>
    <row r="727" spans="1:22"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49"/>
    </row>
    <row r="728" spans="1:22"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49"/>
    </row>
    <row r="729" spans="1:22"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49"/>
    </row>
    <row r="730" spans="1:22"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49"/>
    </row>
    <row r="731" spans="1:22"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49"/>
    </row>
    <row r="732" spans="1:22"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49"/>
    </row>
    <row r="733" spans="1:22"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49"/>
    </row>
    <row r="734" spans="1:22"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49"/>
    </row>
    <row r="735" spans="1:22"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49"/>
    </row>
    <row r="736" spans="1:22"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49"/>
    </row>
    <row r="737" spans="1:22"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49"/>
    </row>
    <row r="738" spans="1:22"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49"/>
    </row>
    <row r="739" spans="1:22"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49"/>
    </row>
    <row r="740" spans="1:22"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49"/>
    </row>
    <row r="741" spans="1:22"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49"/>
    </row>
    <row r="742" spans="1:22"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49"/>
    </row>
    <row r="743" spans="1:22"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49"/>
    </row>
    <row r="744" spans="1:22"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49"/>
    </row>
    <row r="745" spans="1:22"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49"/>
    </row>
    <row r="746" spans="1:22"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49"/>
    </row>
    <row r="747" spans="1:22"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49"/>
    </row>
    <row r="748" spans="1:22"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49"/>
    </row>
    <row r="749" spans="1:22"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49"/>
    </row>
    <row r="750" spans="1:22"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49"/>
    </row>
    <row r="751" spans="1:22"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49"/>
    </row>
    <row r="752" spans="1:22"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49"/>
    </row>
    <row r="753" spans="1:22"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49"/>
    </row>
    <row r="754" spans="1:22"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49"/>
    </row>
    <row r="755" spans="1:22"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49"/>
    </row>
    <row r="756" spans="1:22"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49"/>
    </row>
    <row r="757" spans="1:22"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49"/>
    </row>
    <row r="758" spans="1:22"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49"/>
    </row>
    <row r="759" spans="1:22"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49"/>
    </row>
    <row r="760" spans="1:22"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49"/>
    </row>
    <row r="761" spans="1:22"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49"/>
    </row>
    <row r="762" spans="1:22"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49"/>
    </row>
    <row r="763" spans="1:22"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49"/>
    </row>
    <row r="764" spans="1:22"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49"/>
    </row>
    <row r="765" spans="1:22"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49"/>
    </row>
    <row r="766" spans="1:22"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49"/>
    </row>
    <row r="767" spans="1:22"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49"/>
    </row>
    <row r="768" spans="1:22"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49"/>
    </row>
    <row r="769" spans="1:22"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49"/>
    </row>
    <row r="770" spans="1:22"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49"/>
    </row>
    <row r="771" spans="1:22"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49"/>
    </row>
    <row r="772" spans="1:22"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49"/>
    </row>
    <row r="773" spans="1:22"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49"/>
    </row>
    <row r="774" spans="1:22"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49"/>
    </row>
    <row r="775" spans="1:22"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49"/>
    </row>
    <row r="776" spans="1:22"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49"/>
    </row>
    <row r="777" spans="1:22"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49"/>
    </row>
    <row r="778" spans="1:22"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49"/>
    </row>
    <row r="779" spans="1:22"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49"/>
    </row>
    <row r="780" spans="1:22"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49"/>
    </row>
    <row r="781" spans="1:22"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49"/>
    </row>
    <row r="782" spans="1:22"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49"/>
    </row>
    <row r="783" spans="1:22"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49"/>
    </row>
    <row r="784" spans="1:22"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49"/>
    </row>
    <row r="785" spans="1:22"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49"/>
    </row>
    <row r="786" spans="1:22"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49"/>
    </row>
    <row r="787" spans="1:22"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49"/>
    </row>
    <row r="788" spans="1:22"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49"/>
    </row>
    <row r="789" spans="1:22"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49"/>
    </row>
    <row r="790" spans="1:22"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49"/>
    </row>
    <row r="791" spans="1:22"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49"/>
    </row>
    <row r="792" spans="1:22"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49"/>
    </row>
    <row r="793" spans="1:22"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49"/>
    </row>
    <row r="794" spans="1:22"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49"/>
    </row>
    <row r="795" spans="1:22"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49"/>
    </row>
    <row r="796" spans="1:22"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49"/>
    </row>
    <row r="797" spans="1:22"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49"/>
    </row>
    <row r="798" spans="1:22"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49"/>
    </row>
    <row r="799" spans="1:22"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49"/>
    </row>
    <row r="800" spans="1:22"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49"/>
    </row>
    <row r="801" spans="1:22"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49"/>
    </row>
    <row r="802" spans="1:22"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49"/>
    </row>
    <row r="803" spans="1:22"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49"/>
    </row>
    <row r="804" spans="1:22"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49"/>
    </row>
    <row r="805" spans="1:22"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49"/>
    </row>
    <row r="806" spans="1:22"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49"/>
    </row>
    <row r="807" spans="1:22"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49"/>
    </row>
    <row r="808" spans="1:22"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49"/>
    </row>
    <row r="809" spans="1:22"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49"/>
    </row>
    <row r="810" spans="1:22"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49"/>
    </row>
    <row r="811" spans="1:22"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49"/>
    </row>
    <row r="812" spans="1:22"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49"/>
    </row>
    <row r="813" spans="1:22"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49"/>
    </row>
    <row r="814" spans="1:22"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49"/>
    </row>
    <row r="815" spans="1:22"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49"/>
    </row>
    <row r="816" spans="1:22"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49"/>
    </row>
    <row r="817" spans="1:22"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49"/>
    </row>
    <row r="818" spans="1:22"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49"/>
    </row>
    <row r="819" spans="1:22"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49"/>
    </row>
    <row r="820" spans="1:22"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49"/>
    </row>
    <row r="821" spans="1:22"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49"/>
    </row>
    <row r="822" spans="1:22"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49"/>
    </row>
    <row r="823" spans="1:22"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49"/>
    </row>
    <row r="824" spans="1:22"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49"/>
    </row>
    <row r="825" spans="1:22"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49"/>
    </row>
    <row r="826" spans="1:22"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49"/>
    </row>
    <row r="827" spans="1:22"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49"/>
    </row>
    <row r="828" spans="1:22"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49"/>
    </row>
    <row r="829" spans="1:22"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49"/>
    </row>
    <row r="830" spans="1:22"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49"/>
    </row>
    <row r="831" spans="1:22"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49"/>
    </row>
    <row r="832" spans="1:22"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49"/>
    </row>
    <row r="833" spans="1:22"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49"/>
    </row>
    <row r="834" spans="1:22"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49"/>
    </row>
    <row r="835" spans="1:22"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49"/>
    </row>
    <row r="836" spans="1:22"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49"/>
    </row>
    <row r="837" spans="1:22"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49"/>
    </row>
    <row r="838" spans="1:22"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49"/>
    </row>
    <row r="839" spans="1:22"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49"/>
    </row>
    <row r="840" spans="1:22"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49"/>
    </row>
    <row r="841" spans="1:22"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49"/>
    </row>
    <row r="842" spans="1:22"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49"/>
    </row>
    <row r="843" spans="1:22"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49"/>
    </row>
    <row r="844" spans="1:22"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49"/>
    </row>
    <row r="845" spans="1:22"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49"/>
    </row>
    <row r="846" spans="1:22"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49"/>
    </row>
    <row r="847" spans="1:22"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49"/>
    </row>
    <row r="848" spans="1:22"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49"/>
    </row>
    <row r="849" spans="1:22"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49"/>
    </row>
    <row r="850" spans="1:22"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49"/>
    </row>
    <row r="851" spans="1:22"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49"/>
    </row>
    <row r="852" spans="1:22"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49"/>
    </row>
    <row r="853" spans="1:22"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49"/>
    </row>
    <row r="854" spans="1:22"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49"/>
    </row>
    <row r="855" spans="1:22"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49"/>
    </row>
    <row r="856" spans="1:22"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49"/>
    </row>
    <row r="857" spans="1:22"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49"/>
    </row>
    <row r="858" spans="1:22"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49"/>
    </row>
    <row r="859" spans="1:22"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49"/>
    </row>
    <row r="860" spans="1:22"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49"/>
    </row>
    <row r="861" spans="1:22"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49"/>
    </row>
    <row r="862" spans="1:22"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49"/>
    </row>
    <row r="863" spans="1:22"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49"/>
    </row>
    <row r="864" spans="1:22"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49"/>
    </row>
    <row r="865" spans="1:22"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49"/>
    </row>
    <row r="866" spans="1:22"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49"/>
    </row>
    <row r="867" spans="1:22"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49"/>
    </row>
    <row r="868" spans="1:22"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49"/>
    </row>
    <row r="869" spans="1:22"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49"/>
    </row>
    <row r="870" spans="1:22"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49"/>
    </row>
    <row r="871" spans="1:22"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49"/>
    </row>
    <row r="872" spans="1:22"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49"/>
    </row>
    <row r="873" spans="1:22"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49"/>
    </row>
    <row r="874" spans="1:22"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49"/>
    </row>
    <row r="875" spans="1:22"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49"/>
    </row>
    <row r="876" spans="1:22"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49"/>
    </row>
    <row r="877" spans="1:22"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49"/>
    </row>
    <row r="878" spans="1:22"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49"/>
    </row>
    <row r="879" spans="1:22"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49"/>
    </row>
    <row r="880" spans="1:22"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49"/>
    </row>
    <row r="881" spans="1:22"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49"/>
    </row>
    <row r="882" spans="1:22"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49"/>
    </row>
    <row r="883" spans="1:22"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49"/>
    </row>
    <row r="884" spans="1:22"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49"/>
    </row>
    <row r="885" spans="1:22"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49"/>
    </row>
    <row r="886" spans="1:22"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49"/>
    </row>
    <row r="887" spans="1:22"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49"/>
    </row>
    <row r="888" spans="1:22"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49"/>
    </row>
    <row r="889" spans="1:22"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49"/>
    </row>
    <row r="890" spans="1:22"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49"/>
    </row>
    <row r="891" spans="1:22"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49"/>
    </row>
    <row r="892" spans="1:22"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49"/>
    </row>
    <row r="893" spans="1:22"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49"/>
    </row>
    <row r="894" spans="1:22"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49"/>
    </row>
    <row r="895" spans="1:22"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49"/>
    </row>
    <row r="896" spans="1:22"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49"/>
    </row>
    <row r="897" spans="1:22"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49"/>
    </row>
    <row r="898" spans="1:22"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49"/>
    </row>
    <row r="899" spans="1:22"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49"/>
    </row>
    <row r="900" spans="1:22"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49"/>
    </row>
    <row r="901" spans="1:22"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49"/>
    </row>
    <row r="902" spans="1:22"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49"/>
    </row>
    <row r="903" spans="1:22"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49"/>
    </row>
    <row r="904" spans="1:22"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49"/>
    </row>
    <row r="905" spans="1:22"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49"/>
    </row>
    <row r="906" spans="1:22"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49"/>
    </row>
    <row r="907" spans="1:22"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49"/>
    </row>
    <row r="908" spans="1:22"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49"/>
    </row>
    <row r="909" spans="1:22"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49"/>
    </row>
    <row r="910" spans="1:22"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49"/>
    </row>
    <row r="911" spans="1:22"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49"/>
    </row>
    <row r="912" spans="1:22"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49"/>
    </row>
    <row r="913" spans="1:22"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49"/>
    </row>
    <row r="914" spans="1:22"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49"/>
    </row>
    <row r="915" spans="1:22"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49"/>
    </row>
    <row r="916" spans="1:22"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49"/>
    </row>
    <row r="917" spans="1:22"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49"/>
    </row>
    <row r="918" spans="1:22"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49"/>
    </row>
    <row r="919" spans="1:22"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49"/>
    </row>
    <row r="920" spans="1:22"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49"/>
    </row>
    <row r="921" spans="1:22"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49"/>
    </row>
    <row r="922" spans="1:22"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49"/>
    </row>
    <row r="923" spans="1:22"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49"/>
    </row>
    <row r="924" spans="1:22"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49"/>
    </row>
    <row r="925" spans="1:22"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49"/>
    </row>
    <row r="926" spans="1:22"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49"/>
    </row>
    <row r="927" spans="1:22"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49"/>
    </row>
    <row r="928" spans="1:22"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49"/>
    </row>
    <row r="929" spans="1:22"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49"/>
    </row>
    <row r="930" spans="1:22"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49"/>
    </row>
    <row r="931" spans="1:22"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49"/>
    </row>
    <row r="932" spans="1:22"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49"/>
    </row>
    <row r="933" spans="1:22"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49"/>
    </row>
    <row r="934" spans="1:22"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49"/>
    </row>
    <row r="935" spans="1:22"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49"/>
    </row>
    <row r="936" spans="1:22"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49"/>
    </row>
    <row r="937" spans="1:22"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49"/>
    </row>
    <row r="938" spans="1:22"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49"/>
    </row>
    <row r="939" spans="1:22"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49"/>
    </row>
    <row r="940" spans="1:22"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49"/>
    </row>
    <row r="941" spans="1:22"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49"/>
    </row>
    <row r="942" spans="1:22"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49"/>
    </row>
    <row r="943" spans="1:22"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49"/>
    </row>
    <row r="944" spans="1:22"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49"/>
    </row>
    <row r="945" spans="1:22"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49"/>
    </row>
    <row r="946" spans="1:22"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49"/>
    </row>
    <row r="947" spans="1:22"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49"/>
    </row>
    <row r="948" spans="1:22"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49"/>
    </row>
    <row r="949" spans="1:22"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49"/>
    </row>
    <row r="950" spans="1:22"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49"/>
    </row>
    <row r="951" spans="1:22"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49"/>
    </row>
    <row r="952" spans="1:22"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49"/>
    </row>
    <row r="953" spans="1:22"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49"/>
    </row>
    <row r="954" spans="1:22"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49"/>
    </row>
    <row r="955" spans="1:22"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49"/>
    </row>
    <row r="956" spans="1:22"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49"/>
    </row>
    <row r="957" spans="1:22"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49"/>
    </row>
    <row r="958" spans="1:22"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49"/>
    </row>
    <row r="959" spans="1:22"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49"/>
    </row>
    <row r="960" spans="1:22"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49"/>
    </row>
    <row r="961" spans="1:22"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49"/>
    </row>
    <row r="962" spans="1:22"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49"/>
    </row>
    <row r="963" spans="1:22"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49"/>
    </row>
    <row r="964" spans="1:22"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49"/>
    </row>
    <row r="965" spans="1:22"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49"/>
    </row>
    <row r="966" spans="1:22"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49"/>
    </row>
    <row r="967" spans="1:22"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49"/>
    </row>
    <row r="968" spans="1:22"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49"/>
    </row>
    <row r="969" spans="1:22"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49"/>
    </row>
    <row r="970" spans="1:22"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49"/>
    </row>
    <row r="971" spans="1:22"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49"/>
    </row>
    <row r="972" spans="1:22"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49"/>
    </row>
    <row r="973" spans="1:22"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49"/>
    </row>
    <row r="974" spans="1:22"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49"/>
    </row>
    <row r="975" spans="1:22"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49"/>
    </row>
    <row r="976" spans="1:22"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49"/>
    </row>
    <row r="977" spans="1:22"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49"/>
    </row>
    <row r="978" spans="1:22"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49"/>
    </row>
    <row r="979" spans="1:22"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49"/>
    </row>
    <row r="980" spans="1:22"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49"/>
    </row>
    <row r="981" spans="1:22"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49"/>
    </row>
    <row r="982" spans="1:22"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49"/>
    </row>
    <row r="983" spans="1:22"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49"/>
    </row>
    <row r="984" spans="1:22"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49"/>
    </row>
    <row r="985" spans="1:22"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49"/>
    </row>
    <row r="986" spans="1:22"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49"/>
    </row>
    <row r="987" spans="1:22"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49"/>
    </row>
    <row r="988" spans="1:22"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49"/>
    </row>
    <row r="989" spans="1:22"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49"/>
    </row>
    <row r="990" spans="1:22"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49"/>
    </row>
    <row r="991" spans="1:22"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49"/>
    </row>
    <row r="992" spans="1:22"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49"/>
    </row>
    <row r="993" spans="1:22"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49"/>
    </row>
    <row r="994" spans="1:22"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49"/>
    </row>
    <row r="995" spans="1:22"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49"/>
    </row>
    <row r="996" spans="1:22"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49"/>
    </row>
    <row r="997" spans="1:22"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49"/>
    </row>
    <row r="998" spans="1:22"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49"/>
    </row>
    <row r="999" spans="1:22"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49"/>
    </row>
    <row r="1000" spans="1:22"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49"/>
    </row>
  </sheetData>
  <mergeCells count="102">
    <mergeCell ref="B204:B206"/>
    <mergeCell ref="C204:C206"/>
    <mergeCell ref="B210:D210"/>
    <mergeCell ref="A211:D211"/>
    <mergeCell ref="R214:S214"/>
    <mergeCell ref="A135:A158"/>
    <mergeCell ref="B135:B136"/>
    <mergeCell ref="B138:B144"/>
    <mergeCell ref="B145:B146"/>
    <mergeCell ref="B147:B149"/>
    <mergeCell ref="B158:D158"/>
    <mergeCell ref="A159:A210"/>
    <mergeCell ref="C135:C136"/>
    <mergeCell ref="C138:C144"/>
    <mergeCell ref="C145:C146"/>
    <mergeCell ref="C147:C149"/>
    <mergeCell ref="C150:C153"/>
    <mergeCell ref="B173:B179"/>
    <mergeCell ref="C173:C179"/>
    <mergeCell ref="B180:B183"/>
    <mergeCell ref="C180:C183"/>
    <mergeCell ref="B184:B186"/>
    <mergeCell ref="C184:C186"/>
    <mergeCell ref="B187:B192"/>
    <mergeCell ref="B150:B153"/>
    <mergeCell ref="B159:B162"/>
    <mergeCell ref="C159:C162"/>
    <mergeCell ref="B163:B167"/>
    <mergeCell ref="C163:C167"/>
    <mergeCell ref="B168:B172"/>
    <mergeCell ref="C168:C172"/>
    <mergeCell ref="B202:B203"/>
    <mergeCell ref="C202:C203"/>
    <mergeCell ref="C187:C192"/>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F4:F5"/>
    <mergeCell ref="A6:A68"/>
    <mergeCell ref="B68:D68"/>
    <mergeCell ref="B79:B85"/>
    <mergeCell ref="C79:C85"/>
    <mergeCell ref="B75:B78"/>
    <mergeCell ref="B57:B66"/>
    <mergeCell ref="C57:C66"/>
    <mergeCell ref="A69:A93"/>
    <mergeCell ref="B70:B74"/>
    <mergeCell ref="C70:C74"/>
    <mergeCell ref="C75:C78"/>
    <mergeCell ref="B47:B56"/>
    <mergeCell ref="C47:C56"/>
    <mergeCell ref="B86:B89"/>
    <mergeCell ref="C86:C89"/>
    <mergeCell ref="B93:D93"/>
    <mergeCell ref="A3:E3"/>
    <mergeCell ref="B4:B5"/>
    <mergeCell ref="B6:B23"/>
    <mergeCell ref="B26:B36"/>
    <mergeCell ref="C26:C36"/>
    <mergeCell ref="B37:B39"/>
    <mergeCell ref="C37:C39"/>
    <mergeCell ref="B40:B46"/>
    <mergeCell ref="C40:C46"/>
    <mergeCell ref="C6:C23"/>
    <mergeCell ref="B24:B25"/>
    <mergeCell ref="C24:C25"/>
    <mergeCell ref="A4:A5"/>
    <mergeCell ref="C4:C5"/>
    <mergeCell ref="D4:D5"/>
    <mergeCell ref="E4:E5"/>
    <mergeCell ref="Q4:Q5"/>
    <mergeCell ref="R4:R5"/>
    <mergeCell ref="S4:S5"/>
    <mergeCell ref="V4:V5"/>
    <mergeCell ref="G4:H4"/>
    <mergeCell ref="I4:I5"/>
    <mergeCell ref="J4:L4"/>
    <mergeCell ref="M4:M5"/>
    <mergeCell ref="N4:N5"/>
    <mergeCell ref="O4:O5"/>
    <mergeCell ref="P4:P5"/>
  </mergeCells>
  <pageMargins left="0.27" right="0.18" top="0.47" bottom="0.31" header="0" footer="0"/>
  <pageSetup paperSize="9" scale="80" orientation="portrait" r:id="rId1"/>
</worksheet>
</file>

<file path=xl/worksheets/sheet10.xml><?xml version="1.0" encoding="utf-8"?>
<worksheet xmlns="http://schemas.openxmlformats.org/spreadsheetml/2006/main" xmlns:r="http://schemas.openxmlformats.org/officeDocument/2006/relationships">
  <dimension ref="A1:AA1000"/>
  <sheetViews>
    <sheetView workbookViewId="0">
      <pane xSplit="4" ySplit="5" topLeftCell="E186" activePane="bottomRight" state="frozen"/>
      <selection pane="topRight" activeCell="E1" sqref="E1"/>
      <selection pane="bottomLeft" activeCell="A6" sqref="A6"/>
      <selection pane="bottomRight" activeCell="P187" sqref="P187:V187"/>
    </sheetView>
  </sheetViews>
  <sheetFormatPr defaultColWidth="14.42578125" defaultRowHeight="15" customHeight="1"/>
  <cols>
    <col min="1" max="1" width="6.7109375" style="731" customWidth="1"/>
    <col min="2" max="2" width="7.28515625" style="731" customWidth="1"/>
    <col min="3" max="3" width="11.28515625" style="731" customWidth="1"/>
    <col min="4" max="4" width="5.85546875" style="731" customWidth="1"/>
    <col min="5" max="5" width="16.28515625" style="731" customWidth="1"/>
    <col min="6" max="6" width="7.42578125" style="731" customWidth="1"/>
    <col min="7" max="7" width="6.7109375" style="731" customWidth="1"/>
    <col min="8" max="8" width="8.28515625" style="731" customWidth="1"/>
    <col min="9" max="9" width="14.85546875" style="731" customWidth="1"/>
    <col min="10" max="10" width="6.7109375" style="731" customWidth="1"/>
    <col min="11" max="11" width="9.28515625" style="731" customWidth="1"/>
    <col min="12" max="12" width="6.7109375" style="731" customWidth="1"/>
    <col min="13" max="13" width="9" style="731" customWidth="1"/>
    <col min="14" max="14" width="9.7109375" style="731" customWidth="1"/>
    <col min="15" max="15" width="12.85546875" style="731" customWidth="1"/>
    <col min="16" max="16" width="11" style="731" customWidth="1"/>
    <col min="17" max="17" width="8.28515625" style="731" customWidth="1"/>
    <col min="18" max="18" width="9.5703125" style="731" customWidth="1"/>
    <col min="19" max="19" width="8.7109375" style="731" customWidth="1"/>
    <col min="20" max="20" width="9.42578125" style="731" customWidth="1"/>
    <col min="21" max="21" width="10.5703125" style="731" customWidth="1"/>
    <col min="22" max="22" width="46.7109375" style="731" customWidth="1"/>
    <col min="23" max="23" width="86.28515625" style="731" customWidth="1"/>
    <col min="24" max="27" width="14.42578125" style="731" customWidth="1"/>
    <col min="28" max="16384" width="14.42578125" style="731"/>
  </cols>
  <sheetData>
    <row r="1" spans="1:27" ht="20.25" customHeight="1">
      <c r="A1" s="522"/>
      <c r="B1" s="730"/>
      <c r="C1" s="730"/>
      <c r="D1" s="730"/>
      <c r="E1" s="523" t="s">
        <v>0</v>
      </c>
      <c r="J1" s="732"/>
      <c r="K1" s="732"/>
      <c r="L1" s="732"/>
      <c r="M1" s="732"/>
      <c r="N1" s="732"/>
      <c r="O1" s="732"/>
      <c r="P1" s="732"/>
      <c r="Q1" s="732"/>
      <c r="R1" s="732"/>
      <c r="S1" s="732"/>
      <c r="T1" s="732"/>
      <c r="U1" s="732"/>
      <c r="V1" s="733"/>
    </row>
    <row r="2" spans="1:27" ht="23.25" customHeight="1">
      <c r="A2" s="732"/>
      <c r="B2" s="732"/>
      <c r="C2" s="732"/>
      <c r="D2" s="732"/>
      <c r="E2" s="732"/>
      <c r="F2" s="732"/>
      <c r="G2" s="732"/>
      <c r="H2" s="732"/>
      <c r="I2" s="732"/>
      <c r="J2" s="732"/>
      <c r="K2" s="732"/>
      <c r="L2" s="732"/>
      <c r="M2" s="732"/>
      <c r="N2" s="732"/>
      <c r="O2" s="732"/>
      <c r="P2" s="732"/>
      <c r="Q2" s="732"/>
      <c r="R2" s="732"/>
      <c r="S2" s="732"/>
      <c r="T2" s="732"/>
      <c r="U2" s="732"/>
      <c r="V2" s="733"/>
    </row>
    <row r="3" spans="1:27" ht="22.5" customHeight="1">
      <c r="A3" s="734" t="s">
        <v>1690</v>
      </c>
      <c r="B3" s="734"/>
      <c r="C3" s="734"/>
      <c r="D3" s="734"/>
      <c r="E3" s="734"/>
      <c r="F3" s="519"/>
      <c r="G3" s="519"/>
      <c r="H3" s="519"/>
      <c r="I3" s="519"/>
      <c r="J3" s="519"/>
      <c r="K3" s="519"/>
      <c r="L3" s="519"/>
      <c r="M3" s="519"/>
      <c r="N3" s="519"/>
      <c r="O3" s="519"/>
      <c r="P3" s="519"/>
      <c r="Q3" s="519"/>
      <c r="R3" s="519"/>
      <c r="S3" s="519"/>
      <c r="T3" s="735"/>
      <c r="U3" s="519"/>
      <c r="V3" s="519" t="s">
        <v>2</v>
      </c>
    </row>
    <row r="4" spans="1:27" ht="24.75" customHeight="1">
      <c r="A4" s="692" t="s">
        <v>3</v>
      </c>
      <c r="B4" s="692" t="s">
        <v>4</v>
      </c>
      <c r="C4" s="692" t="s">
        <v>5</v>
      </c>
      <c r="D4" s="692" t="s">
        <v>6</v>
      </c>
      <c r="E4" s="692" t="s">
        <v>388</v>
      </c>
      <c r="F4" s="692" t="s">
        <v>8</v>
      </c>
      <c r="G4" s="693" t="s">
        <v>9</v>
      </c>
      <c r="H4" s="710"/>
      <c r="I4" s="692" t="s">
        <v>10</v>
      </c>
      <c r="J4" s="693" t="s">
        <v>11</v>
      </c>
      <c r="K4" s="709"/>
      <c r="L4" s="710"/>
      <c r="M4" s="692" t="s">
        <v>12</v>
      </c>
      <c r="N4" s="692" t="s">
        <v>13</v>
      </c>
      <c r="O4" s="692" t="s">
        <v>14</v>
      </c>
      <c r="P4" s="692" t="s">
        <v>445</v>
      </c>
      <c r="Q4" s="692" t="s">
        <v>16</v>
      </c>
      <c r="R4" s="692" t="s">
        <v>17</v>
      </c>
      <c r="S4" s="692" t="s">
        <v>18</v>
      </c>
      <c r="T4" s="536" t="s">
        <v>19</v>
      </c>
      <c r="U4" s="536" t="s">
        <v>19</v>
      </c>
      <c r="V4" s="1239" t="s">
        <v>389</v>
      </c>
      <c r="W4" s="732"/>
      <c r="X4" s="732"/>
      <c r="Y4" s="732"/>
      <c r="Z4" s="732"/>
      <c r="AA4" s="732"/>
    </row>
    <row r="5" spans="1:27" ht="24.75" customHeight="1">
      <c r="A5" s="707"/>
      <c r="B5" s="707"/>
      <c r="C5" s="707"/>
      <c r="D5" s="707"/>
      <c r="E5" s="707"/>
      <c r="F5" s="707"/>
      <c r="G5" s="537" t="s">
        <v>21</v>
      </c>
      <c r="H5" s="537" t="s">
        <v>22</v>
      </c>
      <c r="I5" s="707"/>
      <c r="J5" s="537" t="s">
        <v>1692</v>
      </c>
      <c r="K5" s="537" t="s">
        <v>23</v>
      </c>
      <c r="L5" s="537" t="s">
        <v>24</v>
      </c>
      <c r="M5" s="707"/>
      <c r="N5" s="707"/>
      <c r="O5" s="707"/>
      <c r="P5" s="707"/>
      <c r="Q5" s="707"/>
      <c r="R5" s="707"/>
      <c r="S5" s="707"/>
      <c r="T5" s="536" t="s">
        <v>25</v>
      </c>
      <c r="U5" s="536" t="s">
        <v>26</v>
      </c>
      <c r="V5" s="1240"/>
      <c r="W5" s="732"/>
      <c r="X5" s="732"/>
      <c r="Y5" s="732"/>
      <c r="Z5" s="732"/>
      <c r="AA5" s="732"/>
    </row>
    <row r="6" spans="1:27" ht="24.75" customHeight="1">
      <c r="A6" s="694" t="s">
        <v>27</v>
      </c>
      <c r="B6" s="692" t="s">
        <v>28</v>
      </c>
      <c r="C6" s="692" t="s">
        <v>29</v>
      </c>
      <c r="D6" s="537">
        <v>1</v>
      </c>
      <c r="E6" s="537" t="s">
        <v>30</v>
      </c>
      <c r="F6" s="537"/>
      <c r="G6" s="537"/>
      <c r="H6" s="537"/>
      <c r="I6" s="537"/>
      <c r="J6" s="537"/>
      <c r="K6" s="537"/>
      <c r="L6" s="537"/>
      <c r="M6" s="537"/>
      <c r="N6" s="537"/>
      <c r="O6" s="537"/>
      <c r="P6" s="537"/>
      <c r="Q6" s="537"/>
      <c r="R6" s="537"/>
      <c r="S6" s="537"/>
      <c r="T6" s="538">
        <f t="shared" ref="T6:T103" si="0">SUM(F6:S6)</f>
        <v>0</v>
      </c>
      <c r="U6" s="538"/>
      <c r="V6" s="1065"/>
      <c r="W6" s="732"/>
      <c r="X6" s="732"/>
      <c r="Y6" s="732"/>
      <c r="Z6" s="732"/>
      <c r="AA6" s="732"/>
    </row>
    <row r="7" spans="1:27" ht="24.75" customHeight="1">
      <c r="A7" s="712"/>
      <c r="B7" s="712"/>
      <c r="C7" s="712"/>
      <c r="D7" s="537">
        <v>2</v>
      </c>
      <c r="E7" s="537" t="s">
        <v>31</v>
      </c>
      <c r="F7" s="537"/>
      <c r="G7" s="537"/>
      <c r="H7" s="537"/>
      <c r="I7" s="537"/>
      <c r="J7" s="537"/>
      <c r="K7" s="539"/>
      <c r="L7" s="537"/>
      <c r="M7" s="537"/>
      <c r="N7" s="537"/>
      <c r="O7" s="537"/>
      <c r="P7" s="540"/>
      <c r="Q7" s="537"/>
      <c r="R7" s="537"/>
      <c r="S7" s="537"/>
      <c r="T7" s="538">
        <f t="shared" si="0"/>
        <v>0</v>
      </c>
      <c r="U7" s="538">
        <f>T7*1.05</f>
        <v>0</v>
      </c>
      <c r="V7" s="1065"/>
      <c r="W7" s="732"/>
      <c r="X7" s="732"/>
      <c r="Y7" s="732"/>
      <c r="Z7" s="732"/>
      <c r="AA7" s="732"/>
    </row>
    <row r="8" spans="1:27" ht="75" customHeight="1">
      <c r="A8" s="712"/>
      <c r="B8" s="712"/>
      <c r="C8" s="712"/>
      <c r="D8" s="537">
        <v>3</v>
      </c>
      <c r="E8" s="537" t="s">
        <v>32</v>
      </c>
      <c r="F8" s="540">
        <v>118.02</v>
      </c>
      <c r="G8" s="537"/>
      <c r="H8" s="537"/>
      <c r="I8" s="537"/>
      <c r="J8" s="537"/>
      <c r="K8" s="537"/>
      <c r="L8" s="537"/>
      <c r="M8" s="537"/>
      <c r="N8" s="537"/>
      <c r="O8" s="540">
        <v>95.49</v>
      </c>
      <c r="P8" s="537"/>
      <c r="Q8" s="537"/>
      <c r="R8" s="541">
        <v>4.72</v>
      </c>
      <c r="S8" s="537"/>
      <c r="T8" s="538">
        <f t="shared" si="0"/>
        <v>218.23</v>
      </c>
      <c r="U8" s="538">
        <f t="shared" ref="U8:U12" si="1">T8</f>
        <v>218.23</v>
      </c>
      <c r="V8" s="1065" t="s">
        <v>856</v>
      </c>
      <c r="W8" s="732"/>
      <c r="X8" s="732"/>
      <c r="Y8" s="732"/>
      <c r="Z8" s="732"/>
      <c r="AA8" s="732"/>
    </row>
    <row r="9" spans="1:27" ht="195">
      <c r="A9" s="712"/>
      <c r="B9" s="712"/>
      <c r="C9" s="712"/>
      <c r="D9" s="537">
        <v>4</v>
      </c>
      <c r="E9" s="537" t="s">
        <v>34</v>
      </c>
      <c r="F9" s="537"/>
      <c r="G9" s="537"/>
      <c r="H9" s="537"/>
      <c r="I9" s="537"/>
      <c r="J9" s="537"/>
      <c r="K9" s="537">
        <v>131.13999999999999</v>
      </c>
      <c r="L9" s="537"/>
      <c r="M9" s="538">
        <v>34.47</v>
      </c>
      <c r="N9" s="537"/>
      <c r="O9" s="537"/>
      <c r="P9" s="540">
        <v>79.540000000000006</v>
      </c>
      <c r="Q9" s="537"/>
      <c r="R9" s="537"/>
      <c r="S9" s="537"/>
      <c r="T9" s="538">
        <f t="shared" si="0"/>
        <v>245.14999999999998</v>
      </c>
      <c r="U9" s="538">
        <f t="shared" si="1"/>
        <v>245.14999999999998</v>
      </c>
      <c r="V9" s="1065" t="s">
        <v>857</v>
      </c>
      <c r="W9" s="732"/>
      <c r="X9" s="732"/>
      <c r="Y9" s="732"/>
      <c r="Z9" s="732"/>
      <c r="AA9" s="732"/>
    </row>
    <row r="10" spans="1:27" ht="60">
      <c r="A10" s="712"/>
      <c r="B10" s="712"/>
      <c r="C10" s="712"/>
      <c r="D10" s="537">
        <v>5</v>
      </c>
      <c r="E10" s="537" t="s">
        <v>36</v>
      </c>
      <c r="F10" s="537"/>
      <c r="G10" s="537"/>
      <c r="H10" s="537"/>
      <c r="I10" s="537"/>
      <c r="J10" s="537"/>
      <c r="K10" s="537"/>
      <c r="L10" s="537"/>
      <c r="M10" s="537"/>
      <c r="N10" s="537"/>
      <c r="O10" s="537"/>
      <c r="P10" s="538">
        <v>86.18</v>
      </c>
      <c r="Q10" s="537"/>
      <c r="R10" s="537"/>
      <c r="S10" s="537"/>
      <c r="T10" s="538">
        <f t="shared" si="0"/>
        <v>86.18</v>
      </c>
      <c r="U10" s="538">
        <f t="shared" si="1"/>
        <v>86.18</v>
      </c>
      <c r="V10" s="1065" t="s">
        <v>858</v>
      </c>
      <c r="W10" s="732"/>
      <c r="X10" s="732"/>
      <c r="Y10" s="732"/>
      <c r="Z10" s="732"/>
      <c r="AA10" s="732"/>
    </row>
    <row r="11" spans="1:27" ht="147.75" customHeight="1">
      <c r="A11" s="712"/>
      <c r="B11" s="712"/>
      <c r="C11" s="712"/>
      <c r="D11" s="537">
        <v>6</v>
      </c>
      <c r="E11" s="537" t="s">
        <v>38</v>
      </c>
      <c r="F11" s="537">
        <v>2.67</v>
      </c>
      <c r="G11" s="537"/>
      <c r="H11" s="537"/>
      <c r="I11" s="537"/>
      <c r="J11" s="537"/>
      <c r="K11" s="537"/>
      <c r="L11" s="537"/>
      <c r="M11" s="537"/>
      <c r="N11" s="540"/>
      <c r="O11" s="537">
        <v>8.2449999999999992</v>
      </c>
      <c r="P11" s="540">
        <v>2.11</v>
      </c>
      <c r="Q11" s="537">
        <v>0</v>
      </c>
      <c r="R11" s="537">
        <v>0</v>
      </c>
      <c r="S11" s="537"/>
      <c r="T11" s="538">
        <f t="shared" si="0"/>
        <v>13.024999999999999</v>
      </c>
      <c r="U11" s="538">
        <f t="shared" si="1"/>
        <v>13.024999999999999</v>
      </c>
      <c r="V11" s="1065" t="s">
        <v>859</v>
      </c>
      <c r="W11" s="732"/>
      <c r="X11" s="732"/>
      <c r="Y11" s="732"/>
      <c r="Z11" s="732"/>
      <c r="AA11" s="732"/>
    </row>
    <row r="12" spans="1:27" ht="120">
      <c r="A12" s="712"/>
      <c r="B12" s="712"/>
      <c r="C12" s="712"/>
      <c r="D12" s="537">
        <v>7</v>
      </c>
      <c r="E12" s="537" t="s">
        <v>40</v>
      </c>
      <c r="F12" s="537"/>
      <c r="G12" s="537"/>
      <c r="H12" s="537"/>
      <c r="I12" s="537"/>
      <c r="J12" s="537"/>
      <c r="K12" s="537"/>
      <c r="L12" s="537"/>
      <c r="M12" s="537"/>
      <c r="N12" s="537"/>
      <c r="O12" s="537"/>
      <c r="P12" s="540">
        <v>0</v>
      </c>
      <c r="Q12" s="540">
        <v>2.75</v>
      </c>
      <c r="R12" s="537">
        <v>0.1</v>
      </c>
      <c r="S12" s="537"/>
      <c r="T12" s="538">
        <f t="shared" si="0"/>
        <v>2.85</v>
      </c>
      <c r="U12" s="538">
        <f t="shared" si="1"/>
        <v>2.85</v>
      </c>
      <c r="V12" s="1065" t="s">
        <v>860</v>
      </c>
      <c r="W12" s="732"/>
      <c r="X12" s="732"/>
      <c r="Y12" s="732"/>
      <c r="Z12" s="732"/>
      <c r="AA12" s="732"/>
    </row>
    <row r="13" spans="1:27" ht="24.75" customHeight="1">
      <c r="A13" s="712"/>
      <c r="B13" s="712"/>
      <c r="C13" s="712"/>
      <c r="D13" s="537">
        <v>8</v>
      </c>
      <c r="E13" s="537" t="s">
        <v>42</v>
      </c>
      <c r="F13" s="537"/>
      <c r="G13" s="537"/>
      <c r="H13" s="537"/>
      <c r="I13" s="537"/>
      <c r="J13" s="537"/>
      <c r="K13" s="537"/>
      <c r="L13" s="537"/>
      <c r="M13" s="537"/>
      <c r="N13" s="538"/>
      <c r="O13" s="537"/>
      <c r="P13" s="537"/>
      <c r="Q13" s="537"/>
      <c r="R13" s="537"/>
      <c r="S13" s="537"/>
      <c r="T13" s="538">
        <f t="shared" si="0"/>
        <v>0</v>
      </c>
      <c r="U13" s="538">
        <f>T13*1.05</f>
        <v>0</v>
      </c>
      <c r="V13" s="1065"/>
      <c r="W13" s="732"/>
      <c r="X13" s="732"/>
      <c r="Y13" s="732"/>
      <c r="Z13" s="732"/>
      <c r="AA13" s="732"/>
    </row>
    <row r="14" spans="1:27" ht="90">
      <c r="A14" s="712"/>
      <c r="B14" s="712"/>
      <c r="C14" s="712"/>
      <c r="D14" s="537">
        <v>9</v>
      </c>
      <c r="E14" s="537" t="s">
        <v>43</v>
      </c>
      <c r="F14" s="537"/>
      <c r="G14" s="537"/>
      <c r="H14" s="537"/>
      <c r="I14" s="537"/>
      <c r="J14" s="537"/>
      <c r="K14" s="537"/>
      <c r="L14" s="537"/>
      <c r="M14" s="537"/>
      <c r="N14" s="538"/>
      <c r="O14" s="537"/>
      <c r="P14" s="542">
        <v>0.15851999999999999</v>
      </c>
      <c r="Q14" s="543"/>
      <c r="R14" s="543">
        <v>0.3</v>
      </c>
      <c r="S14" s="543"/>
      <c r="T14" s="538">
        <f t="shared" si="0"/>
        <v>0.45851999999999998</v>
      </c>
      <c r="U14" s="538">
        <f>T14</f>
        <v>0.45851999999999998</v>
      </c>
      <c r="V14" s="1065" t="s">
        <v>861</v>
      </c>
      <c r="W14" s="732"/>
      <c r="X14" s="732"/>
      <c r="Y14" s="732"/>
      <c r="Z14" s="732"/>
      <c r="AA14" s="732"/>
    </row>
    <row r="15" spans="1:27" ht="105">
      <c r="A15" s="712"/>
      <c r="B15" s="712"/>
      <c r="C15" s="712"/>
      <c r="D15" s="537">
        <v>10</v>
      </c>
      <c r="E15" s="537" t="s">
        <v>44</v>
      </c>
      <c r="F15" s="537"/>
      <c r="G15" s="537"/>
      <c r="H15" s="537"/>
      <c r="I15" s="538">
        <v>0.03</v>
      </c>
      <c r="J15" s="537"/>
      <c r="K15" s="537"/>
      <c r="L15" s="537"/>
      <c r="M15" s="537"/>
      <c r="N15" s="538">
        <v>0.82</v>
      </c>
      <c r="O15" s="537"/>
      <c r="P15" s="537"/>
      <c r="Q15" s="537"/>
      <c r="R15" s="537"/>
      <c r="S15" s="537"/>
      <c r="T15" s="538">
        <f t="shared" si="0"/>
        <v>0.85</v>
      </c>
      <c r="U15" s="538">
        <v>0.82</v>
      </c>
      <c r="V15" s="1065" t="s">
        <v>1598</v>
      </c>
      <c r="W15" s="732"/>
      <c r="X15" s="732"/>
      <c r="Y15" s="732"/>
      <c r="Z15" s="732"/>
      <c r="AA15" s="732"/>
    </row>
    <row r="16" spans="1:27" ht="24.75" customHeight="1">
      <c r="A16" s="712"/>
      <c r="B16" s="712"/>
      <c r="C16" s="712"/>
      <c r="D16" s="537">
        <v>11</v>
      </c>
      <c r="E16" s="537" t="s">
        <v>45</v>
      </c>
      <c r="F16" s="537"/>
      <c r="G16" s="540"/>
      <c r="H16" s="540"/>
      <c r="I16" s="537"/>
      <c r="J16" s="537"/>
      <c r="K16" s="537"/>
      <c r="L16" s="537"/>
      <c r="M16" s="537"/>
      <c r="N16" s="537"/>
      <c r="O16" s="537"/>
      <c r="P16" s="537"/>
      <c r="Q16" s="537"/>
      <c r="R16" s="537"/>
      <c r="S16" s="537"/>
      <c r="T16" s="538">
        <f t="shared" si="0"/>
        <v>0</v>
      </c>
      <c r="U16" s="538">
        <f>T16*1.05</f>
        <v>0</v>
      </c>
      <c r="V16" s="1065"/>
      <c r="W16" s="732"/>
      <c r="X16" s="732"/>
      <c r="Y16" s="732"/>
      <c r="Z16" s="732"/>
      <c r="AA16" s="732"/>
    </row>
    <row r="17" spans="1:27" ht="60">
      <c r="A17" s="712"/>
      <c r="B17" s="712"/>
      <c r="C17" s="712"/>
      <c r="D17" s="537">
        <v>12</v>
      </c>
      <c r="E17" s="537" t="s">
        <v>46</v>
      </c>
      <c r="F17" s="537"/>
      <c r="G17" s="537"/>
      <c r="H17" s="537"/>
      <c r="I17" s="537"/>
      <c r="J17" s="537"/>
      <c r="K17" s="537"/>
      <c r="L17" s="537"/>
      <c r="M17" s="537"/>
      <c r="N17" s="538">
        <v>2</v>
      </c>
      <c r="O17" s="537"/>
      <c r="P17" s="537"/>
      <c r="Q17" s="537"/>
      <c r="R17" s="537"/>
      <c r="S17" s="537"/>
      <c r="T17" s="538">
        <f t="shared" si="0"/>
        <v>2</v>
      </c>
      <c r="U17" s="538">
        <v>2</v>
      </c>
      <c r="V17" s="1065" t="s">
        <v>47</v>
      </c>
      <c r="W17" s="732"/>
      <c r="X17" s="732"/>
      <c r="Y17" s="732"/>
      <c r="Z17" s="732"/>
      <c r="AA17" s="732"/>
    </row>
    <row r="18" spans="1:27" ht="24.75" customHeight="1">
      <c r="A18" s="712"/>
      <c r="B18" s="712"/>
      <c r="C18" s="712"/>
      <c r="D18" s="537">
        <v>13</v>
      </c>
      <c r="E18" s="537" t="s">
        <v>48</v>
      </c>
      <c r="F18" s="537"/>
      <c r="G18" s="537"/>
      <c r="H18" s="537"/>
      <c r="I18" s="537"/>
      <c r="J18" s="537"/>
      <c r="K18" s="537"/>
      <c r="L18" s="537"/>
      <c r="M18" s="537"/>
      <c r="N18" s="537"/>
      <c r="O18" s="537"/>
      <c r="P18" s="540"/>
      <c r="Q18" s="537"/>
      <c r="R18" s="537"/>
      <c r="S18" s="537"/>
      <c r="T18" s="538">
        <f t="shared" si="0"/>
        <v>0</v>
      </c>
      <c r="U18" s="538">
        <f t="shared" ref="U18:U19" si="2">T18*1.05</f>
        <v>0</v>
      </c>
      <c r="V18" s="1065"/>
      <c r="W18" s="732"/>
      <c r="X18" s="732"/>
      <c r="Y18" s="732"/>
      <c r="Z18" s="732"/>
      <c r="AA18" s="732"/>
    </row>
    <row r="19" spans="1:27" ht="24.75" customHeight="1">
      <c r="A19" s="712"/>
      <c r="B19" s="712"/>
      <c r="C19" s="712"/>
      <c r="D19" s="537">
        <v>14</v>
      </c>
      <c r="E19" s="537" t="s">
        <v>49</v>
      </c>
      <c r="F19" s="537"/>
      <c r="G19" s="537"/>
      <c r="H19" s="537"/>
      <c r="I19" s="537"/>
      <c r="J19" s="537"/>
      <c r="K19" s="537"/>
      <c r="L19" s="537"/>
      <c r="M19" s="537"/>
      <c r="N19" s="537"/>
      <c r="O19" s="537"/>
      <c r="P19" s="537"/>
      <c r="Q19" s="537"/>
      <c r="R19" s="537"/>
      <c r="S19" s="537"/>
      <c r="T19" s="538">
        <f t="shared" si="0"/>
        <v>0</v>
      </c>
      <c r="U19" s="538">
        <f t="shared" si="2"/>
        <v>0</v>
      </c>
      <c r="V19" s="1065"/>
      <c r="W19" s="732"/>
      <c r="X19" s="732"/>
      <c r="Y19" s="732"/>
      <c r="Z19" s="732"/>
      <c r="AA19" s="732"/>
    </row>
    <row r="20" spans="1:27" ht="360">
      <c r="A20" s="712"/>
      <c r="B20" s="712"/>
      <c r="C20" s="712"/>
      <c r="D20" s="537">
        <v>15</v>
      </c>
      <c r="E20" s="537" t="s">
        <v>50</v>
      </c>
      <c r="F20" s="537"/>
      <c r="G20" s="537"/>
      <c r="H20" s="537"/>
      <c r="I20" s="541">
        <v>1.62</v>
      </c>
      <c r="J20" s="537"/>
      <c r="K20" s="537"/>
      <c r="L20" s="537"/>
      <c r="M20" s="537"/>
      <c r="N20" s="538">
        <v>0.75</v>
      </c>
      <c r="O20" s="537"/>
      <c r="P20" s="540">
        <v>3</v>
      </c>
      <c r="Q20" s="540"/>
      <c r="R20" s="537"/>
      <c r="S20" s="537"/>
      <c r="T20" s="538">
        <f t="shared" si="0"/>
        <v>5.37</v>
      </c>
      <c r="U20" s="538">
        <f>1.77+1+1+2</f>
        <v>5.77</v>
      </c>
      <c r="V20" s="1065" t="s">
        <v>862</v>
      </c>
      <c r="W20" s="732"/>
      <c r="X20" s="732"/>
      <c r="Y20" s="732"/>
      <c r="Z20" s="732"/>
      <c r="AA20" s="732"/>
    </row>
    <row r="21" spans="1:27" ht="24.75" customHeight="1">
      <c r="A21" s="712"/>
      <c r="B21" s="712"/>
      <c r="C21" s="712"/>
      <c r="D21" s="537">
        <v>16</v>
      </c>
      <c r="E21" s="537" t="s">
        <v>51</v>
      </c>
      <c r="F21" s="537"/>
      <c r="G21" s="537"/>
      <c r="H21" s="537"/>
      <c r="I21" s="537"/>
      <c r="J21" s="537"/>
      <c r="K21" s="537"/>
      <c r="L21" s="537"/>
      <c r="M21" s="537"/>
      <c r="N21" s="537"/>
      <c r="O21" s="537"/>
      <c r="P21" s="537"/>
      <c r="Q21" s="537"/>
      <c r="R21" s="537"/>
      <c r="S21" s="537"/>
      <c r="T21" s="538">
        <f t="shared" si="0"/>
        <v>0</v>
      </c>
      <c r="U21" s="538">
        <f>T21*1.05</f>
        <v>0</v>
      </c>
      <c r="V21" s="1065"/>
      <c r="W21" s="732"/>
      <c r="X21" s="732"/>
      <c r="Y21" s="732"/>
      <c r="Z21" s="732"/>
      <c r="AA21" s="732"/>
    </row>
    <row r="22" spans="1:27" ht="90">
      <c r="A22" s="712"/>
      <c r="B22" s="712"/>
      <c r="C22" s="712"/>
      <c r="D22" s="537">
        <v>17</v>
      </c>
      <c r="E22" s="537" t="s">
        <v>52</v>
      </c>
      <c r="F22" s="537"/>
      <c r="G22" s="537"/>
      <c r="H22" s="537"/>
      <c r="I22" s="538"/>
      <c r="J22" s="537"/>
      <c r="K22" s="537"/>
      <c r="L22" s="537"/>
      <c r="M22" s="537"/>
      <c r="N22" s="538"/>
      <c r="O22" s="537"/>
      <c r="P22" s="540">
        <v>1.05</v>
      </c>
      <c r="Q22" s="537">
        <v>3.585</v>
      </c>
      <c r="R22" s="537">
        <v>0</v>
      </c>
      <c r="S22" s="540"/>
      <c r="T22" s="538">
        <f t="shared" si="0"/>
        <v>4.6349999999999998</v>
      </c>
      <c r="U22" s="544">
        <f>T22+0.5</f>
        <v>5.1349999999999998</v>
      </c>
      <c r="V22" s="1071" t="s">
        <v>863</v>
      </c>
      <c r="W22" s="732"/>
      <c r="X22" s="732"/>
      <c r="Y22" s="732"/>
      <c r="Z22" s="732"/>
      <c r="AA22" s="732"/>
    </row>
    <row r="23" spans="1:27" ht="45">
      <c r="A23" s="712"/>
      <c r="B23" s="707"/>
      <c r="C23" s="707"/>
      <c r="D23" s="537">
        <v>18</v>
      </c>
      <c r="E23" s="537" t="s">
        <v>53</v>
      </c>
      <c r="F23" s="537"/>
      <c r="G23" s="537"/>
      <c r="H23" s="537"/>
      <c r="I23" s="537"/>
      <c r="J23" s="537"/>
      <c r="K23" s="537"/>
      <c r="L23" s="537"/>
      <c r="M23" s="537"/>
      <c r="N23" s="537"/>
      <c r="O23" s="537"/>
      <c r="P23" s="540">
        <v>0.75</v>
      </c>
      <c r="Q23" s="540">
        <v>0</v>
      </c>
      <c r="R23" s="537"/>
      <c r="S23" s="540"/>
      <c r="T23" s="538">
        <f t="shared" si="0"/>
        <v>0.75</v>
      </c>
      <c r="U23" s="538">
        <f>T23</f>
        <v>0.75</v>
      </c>
      <c r="V23" s="1065" t="s">
        <v>1693</v>
      </c>
      <c r="W23" s="732"/>
      <c r="X23" s="732"/>
      <c r="Y23" s="732"/>
      <c r="Z23" s="732"/>
      <c r="AA23" s="732"/>
    </row>
    <row r="24" spans="1:27" ht="24.75" customHeight="1">
      <c r="A24" s="712"/>
      <c r="B24" s="692" t="s">
        <v>54</v>
      </c>
      <c r="C24" s="692" t="s">
        <v>55</v>
      </c>
      <c r="D24" s="537">
        <v>19</v>
      </c>
      <c r="E24" s="537" t="s">
        <v>55</v>
      </c>
      <c r="F24" s="537"/>
      <c r="G24" s="537"/>
      <c r="H24" s="537"/>
      <c r="I24" s="537"/>
      <c r="J24" s="537"/>
      <c r="K24" s="537"/>
      <c r="L24" s="537"/>
      <c r="M24" s="537"/>
      <c r="N24" s="537"/>
      <c r="O24" s="537"/>
      <c r="P24" s="537"/>
      <c r="Q24" s="537"/>
      <c r="R24" s="537"/>
      <c r="S24" s="537"/>
      <c r="T24" s="538">
        <f t="shared" si="0"/>
        <v>0</v>
      </c>
      <c r="U24" s="538">
        <f>T24*1.05</f>
        <v>0</v>
      </c>
      <c r="V24" s="1065"/>
      <c r="W24" s="732"/>
      <c r="X24" s="732"/>
      <c r="Y24" s="732"/>
      <c r="Z24" s="732"/>
      <c r="AA24" s="732"/>
    </row>
    <row r="25" spans="1:27" ht="24.75" customHeight="1">
      <c r="A25" s="712"/>
      <c r="B25" s="707"/>
      <c r="C25" s="707"/>
      <c r="D25" s="537">
        <v>20</v>
      </c>
      <c r="E25" s="537" t="s">
        <v>56</v>
      </c>
      <c r="F25" s="537"/>
      <c r="G25" s="537"/>
      <c r="H25" s="537"/>
      <c r="I25" s="537"/>
      <c r="J25" s="537"/>
      <c r="K25" s="537"/>
      <c r="L25" s="537"/>
      <c r="M25" s="537"/>
      <c r="N25" s="537"/>
      <c r="O25" s="537"/>
      <c r="P25" s="537"/>
      <c r="Q25" s="538">
        <v>0.4</v>
      </c>
      <c r="R25" s="537"/>
      <c r="S25" s="537"/>
      <c r="T25" s="538">
        <f t="shared" si="0"/>
        <v>0.4</v>
      </c>
      <c r="U25" s="538">
        <f>0.4</f>
        <v>0.4</v>
      </c>
      <c r="V25" s="1241" t="s">
        <v>455</v>
      </c>
      <c r="W25" s="732"/>
      <c r="X25" s="732"/>
      <c r="Y25" s="732"/>
      <c r="Z25" s="732"/>
      <c r="AA25" s="732"/>
    </row>
    <row r="26" spans="1:27" ht="255">
      <c r="A26" s="712"/>
      <c r="B26" s="692" t="s">
        <v>58</v>
      </c>
      <c r="C26" s="692" t="s">
        <v>59</v>
      </c>
      <c r="D26" s="537">
        <v>21</v>
      </c>
      <c r="E26" s="537" t="s">
        <v>60</v>
      </c>
      <c r="F26" s="545"/>
      <c r="G26" s="545"/>
      <c r="H26" s="546"/>
      <c r="I26" s="547">
        <v>2.5</v>
      </c>
      <c r="J26" s="545"/>
      <c r="K26" s="547"/>
      <c r="L26" s="545"/>
      <c r="M26" s="545"/>
      <c r="N26" s="547">
        <f>1.5+0.42+0.375</f>
        <v>2.2949999999999999</v>
      </c>
      <c r="O26" s="545"/>
      <c r="P26" s="546">
        <f>26.52+4.716</f>
        <v>31.236000000000001</v>
      </c>
      <c r="Q26" s="546">
        <v>0.3125</v>
      </c>
      <c r="R26" s="547">
        <v>0.5</v>
      </c>
      <c r="S26" s="545"/>
      <c r="T26" s="538">
        <f t="shared" si="0"/>
        <v>36.843499999999999</v>
      </c>
      <c r="U26" s="544">
        <f>I26+N26+P26+Q26+R26</f>
        <v>36.843499999999999</v>
      </c>
      <c r="V26" s="1097" t="s">
        <v>864</v>
      </c>
      <c r="W26" s="732"/>
      <c r="X26" s="732"/>
      <c r="Y26" s="732"/>
      <c r="Z26" s="732"/>
      <c r="AA26" s="732"/>
    </row>
    <row r="27" spans="1:27" ht="225">
      <c r="A27" s="712"/>
      <c r="B27" s="712"/>
      <c r="C27" s="712"/>
      <c r="D27" s="537">
        <v>22</v>
      </c>
      <c r="E27" s="537" t="s">
        <v>62</v>
      </c>
      <c r="F27" s="546"/>
      <c r="G27" s="545"/>
      <c r="H27" s="546"/>
      <c r="I27" s="1079">
        <f>1121285/100000</f>
        <v>11.21285</v>
      </c>
      <c r="J27" s="545"/>
      <c r="K27" s="545"/>
      <c r="L27" s="545"/>
      <c r="M27" s="546">
        <v>1</v>
      </c>
      <c r="N27" s="545"/>
      <c r="O27" s="545"/>
      <c r="P27" s="546">
        <f>280.846+2.4</f>
        <v>283.24599999999998</v>
      </c>
      <c r="Q27" s="546">
        <v>1</v>
      </c>
      <c r="R27" s="547"/>
      <c r="S27" s="545"/>
      <c r="T27" s="538">
        <f t="shared" si="0"/>
        <v>296.45884999999998</v>
      </c>
      <c r="U27" s="544">
        <f>M27+P27+Q27</f>
        <v>285.24599999999998</v>
      </c>
      <c r="V27" s="1071" t="s">
        <v>865</v>
      </c>
      <c r="W27" s="732"/>
      <c r="X27" s="732"/>
      <c r="Y27" s="732"/>
      <c r="Z27" s="732"/>
      <c r="AA27" s="732"/>
    </row>
    <row r="28" spans="1:27" ht="165">
      <c r="A28" s="712"/>
      <c r="B28" s="712"/>
      <c r="C28" s="712"/>
      <c r="D28" s="537">
        <v>23</v>
      </c>
      <c r="E28" s="537" t="s">
        <v>64</v>
      </c>
      <c r="F28" s="545"/>
      <c r="G28" s="545"/>
      <c r="H28" s="545"/>
      <c r="I28" s="545"/>
      <c r="J28" s="545"/>
      <c r="K28" s="547"/>
      <c r="L28" s="545"/>
      <c r="M28" s="545"/>
      <c r="N28" s="545">
        <v>0.11</v>
      </c>
      <c r="O28" s="546">
        <v>94.95</v>
      </c>
      <c r="P28" s="545"/>
      <c r="Q28" s="546"/>
      <c r="R28" s="545"/>
      <c r="S28" s="545"/>
      <c r="T28" s="538">
        <f t="shared" si="0"/>
        <v>95.06</v>
      </c>
      <c r="U28" s="544">
        <f>T28</f>
        <v>95.06</v>
      </c>
      <c r="V28" s="1090" t="s">
        <v>866</v>
      </c>
      <c r="W28" s="732"/>
      <c r="X28" s="732"/>
      <c r="Y28" s="732"/>
      <c r="Z28" s="732"/>
      <c r="AA28" s="732"/>
    </row>
    <row r="29" spans="1:27" ht="285">
      <c r="A29" s="712"/>
      <c r="B29" s="712"/>
      <c r="C29" s="712"/>
      <c r="D29" s="537">
        <v>24</v>
      </c>
      <c r="E29" s="537" t="s">
        <v>66</v>
      </c>
      <c r="F29" s="545"/>
      <c r="G29" s="545"/>
      <c r="H29" s="546"/>
      <c r="I29" s="545"/>
      <c r="J29" s="545"/>
      <c r="K29" s="545"/>
      <c r="L29" s="545"/>
      <c r="M29" s="545"/>
      <c r="N29" s="548">
        <f>1+0.688+0.688+0.5+4</f>
        <v>6.8759999999999994</v>
      </c>
      <c r="O29" s="546"/>
      <c r="P29" s="545">
        <v>14.05</v>
      </c>
      <c r="Q29" s="547">
        <v>1</v>
      </c>
      <c r="R29" s="545"/>
      <c r="S29" s="545"/>
      <c r="T29" s="538">
        <f t="shared" si="0"/>
        <v>21.926000000000002</v>
      </c>
      <c r="U29" s="549">
        <v>25.926000000000002</v>
      </c>
      <c r="V29" s="1086" t="s">
        <v>867</v>
      </c>
      <c r="W29" s="732"/>
      <c r="X29" s="732"/>
      <c r="Y29" s="732"/>
      <c r="Z29" s="732"/>
      <c r="AA29" s="732"/>
    </row>
    <row r="30" spans="1:27" ht="225">
      <c r="A30" s="712"/>
      <c r="B30" s="712"/>
      <c r="C30" s="712"/>
      <c r="D30" s="537">
        <v>25</v>
      </c>
      <c r="E30" s="537" t="s">
        <v>68</v>
      </c>
      <c r="F30" s="545"/>
      <c r="G30" s="545"/>
      <c r="H30" s="545"/>
      <c r="I30" s="545"/>
      <c r="J30" s="545"/>
      <c r="K30" s="545"/>
      <c r="L30" s="545"/>
      <c r="M30" s="545"/>
      <c r="N30" s="547">
        <v>0.5</v>
      </c>
      <c r="O30" s="550">
        <v>6.3500000000000001E-2</v>
      </c>
      <c r="P30" s="545">
        <v>0.88500000000000001</v>
      </c>
      <c r="Q30" s="1088"/>
      <c r="R30" s="545"/>
      <c r="S30" s="545"/>
      <c r="T30" s="538">
        <f t="shared" si="0"/>
        <v>1.4485000000000001</v>
      </c>
      <c r="U30" s="544">
        <f>T30</f>
        <v>1.4485000000000001</v>
      </c>
      <c r="V30" s="1086" t="s">
        <v>868</v>
      </c>
      <c r="W30" s="732"/>
      <c r="X30" s="732"/>
      <c r="Y30" s="732"/>
      <c r="Z30" s="732"/>
      <c r="AA30" s="732"/>
    </row>
    <row r="31" spans="1:27" ht="240">
      <c r="A31" s="712"/>
      <c r="B31" s="712"/>
      <c r="C31" s="712"/>
      <c r="D31" s="537">
        <v>26</v>
      </c>
      <c r="E31" s="537" t="s">
        <v>70</v>
      </c>
      <c r="F31" s="545"/>
      <c r="G31" s="545"/>
      <c r="H31" s="545"/>
      <c r="I31" s="547"/>
      <c r="J31" s="545"/>
      <c r="K31" s="545"/>
      <c r="L31" s="545"/>
      <c r="M31" s="545"/>
      <c r="N31" s="547">
        <v>4.8</v>
      </c>
      <c r="O31" s="545"/>
      <c r="P31" s="545"/>
      <c r="Q31" s="551">
        <v>3.2</v>
      </c>
      <c r="R31" s="552">
        <v>0.2</v>
      </c>
      <c r="S31" s="545"/>
      <c r="T31" s="538">
        <f t="shared" si="0"/>
        <v>8.1999999999999993</v>
      </c>
      <c r="U31" s="544">
        <f>T31-0.2</f>
        <v>7.9999999999999991</v>
      </c>
      <c r="V31" s="1086" t="s">
        <v>869</v>
      </c>
      <c r="W31" s="732"/>
      <c r="X31" s="732"/>
      <c r="Y31" s="732"/>
      <c r="Z31" s="732"/>
      <c r="AA31" s="732"/>
    </row>
    <row r="32" spans="1:27" ht="165">
      <c r="A32" s="712"/>
      <c r="B32" s="712"/>
      <c r="C32" s="712"/>
      <c r="D32" s="537">
        <v>27</v>
      </c>
      <c r="E32" s="537" t="s">
        <v>72</v>
      </c>
      <c r="F32" s="545"/>
      <c r="G32" s="545"/>
      <c r="H32" s="546"/>
      <c r="I32" s="547"/>
      <c r="J32" s="545"/>
      <c r="K32" s="545"/>
      <c r="L32" s="545"/>
      <c r="M32" s="545"/>
      <c r="N32" s="547">
        <v>1</v>
      </c>
      <c r="O32" s="546"/>
      <c r="P32" s="546">
        <v>4.5</v>
      </c>
      <c r="Q32" s="545"/>
      <c r="R32" s="545"/>
      <c r="S32" s="545"/>
      <c r="T32" s="538">
        <f t="shared" si="0"/>
        <v>5.5</v>
      </c>
      <c r="U32" s="538">
        <f>T32</f>
        <v>5.5</v>
      </c>
      <c r="V32" s="1090" t="s">
        <v>870</v>
      </c>
      <c r="W32" s="732"/>
      <c r="X32" s="732"/>
      <c r="Y32" s="732"/>
      <c r="Z32" s="732"/>
      <c r="AA32" s="732"/>
    </row>
    <row r="33" spans="1:27" ht="129.75" customHeight="1">
      <c r="A33" s="712"/>
      <c r="B33" s="712"/>
      <c r="C33" s="712"/>
      <c r="D33" s="537">
        <v>28</v>
      </c>
      <c r="E33" s="537" t="s">
        <v>34</v>
      </c>
      <c r="F33" s="545"/>
      <c r="G33" s="545"/>
      <c r="H33" s="545"/>
      <c r="I33" s="545"/>
      <c r="J33" s="545"/>
      <c r="K33" s="553">
        <v>5.17</v>
      </c>
      <c r="L33" s="554"/>
      <c r="M33" s="555">
        <v>5.17</v>
      </c>
      <c r="N33" s="545"/>
      <c r="O33" s="545"/>
      <c r="P33" s="545"/>
      <c r="Q33" s="545"/>
      <c r="R33" s="545"/>
      <c r="S33" s="545"/>
      <c r="T33" s="538">
        <f t="shared" si="0"/>
        <v>10.34</v>
      </c>
      <c r="U33" s="538">
        <f>10.34</f>
        <v>10.34</v>
      </c>
      <c r="V33" s="1065" t="s">
        <v>1694</v>
      </c>
      <c r="W33" s="732"/>
      <c r="X33" s="732"/>
      <c r="Y33" s="732"/>
      <c r="Z33" s="732"/>
      <c r="AA33" s="732"/>
    </row>
    <row r="34" spans="1:27" ht="75.75" customHeight="1">
      <c r="A34" s="712"/>
      <c r="B34" s="712"/>
      <c r="C34" s="712"/>
      <c r="D34" s="537">
        <v>29</v>
      </c>
      <c r="E34" s="537" t="s">
        <v>36</v>
      </c>
      <c r="F34" s="545"/>
      <c r="G34" s="545"/>
      <c r="H34" s="545"/>
      <c r="I34" s="545"/>
      <c r="J34" s="545"/>
      <c r="K34" s="545"/>
      <c r="L34" s="545"/>
      <c r="M34" s="545"/>
      <c r="N34" s="545"/>
      <c r="O34" s="545"/>
      <c r="P34" s="547">
        <v>12.925000000000001</v>
      </c>
      <c r="Q34" s="545"/>
      <c r="R34" s="545"/>
      <c r="S34" s="545"/>
      <c r="T34" s="538">
        <f t="shared" si="0"/>
        <v>12.925000000000001</v>
      </c>
      <c r="U34" s="538">
        <f t="shared" ref="U34:U35" si="3">T34</f>
        <v>12.925000000000001</v>
      </c>
      <c r="V34" s="1065" t="s">
        <v>1695</v>
      </c>
      <c r="W34" s="732"/>
      <c r="X34" s="732"/>
      <c r="Y34" s="732"/>
      <c r="Z34" s="732"/>
      <c r="AA34" s="732"/>
    </row>
    <row r="35" spans="1:27" ht="53.25" customHeight="1">
      <c r="A35" s="712"/>
      <c r="B35" s="712"/>
      <c r="C35" s="712"/>
      <c r="D35" s="537">
        <v>30</v>
      </c>
      <c r="E35" s="537" t="s">
        <v>74</v>
      </c>
      <c r="F35" s="545"/>
      <c r="G35" s="545"/>
      <c r="H35" s="545"/>
      <c r="I35" s="547"/>
      <c r="J35" s="545"/>
      <c r="K35" s="545"/>
      <c r="L35" s="545"/>
      <c r="M35" s="545"/>
      <c r="N35" s="545"/>
      <c r="O35" s="545"/>
      <c r="P35" s="545"/>
      <c r="Q35" s="547">
        <v>3.85</v>
      </c>
      <c r="R35" s="556">
        <v>1.75</v>
      </c>
      <c r="S35" s="545"/>
      <c r="T35" s="538">
        <f t="shared" si="0"/>
        <v>5.6</v>
      </c>
      <c r="U35" s="538">
        <f t="shared" si="3"/>
        <v>5.6</v>
      </c>
      <c r="V35" s="1092" t="s">
        <v>871</v>
      </c>
      <c r="W35" s="732"/>
      <c r="X35" s="732"/>
      <c r="Y35" s="732"/>
      <c r="Z35" s="732"/>
      <c r="AA35" s="732"/>
    </row>
    <row r="36" spans="1:27" ht="24.75" customHeight="1">
      <c r="A36" s="712"/>
      <c r="B36" s="707"/>
      <c r="C36" s="707"/>
      <c r="D36" s="537">
        <v>31</v>
      </c>
      <c r="E36" s="537" t="s">
        <v>53</v>
      </c>
      <c r="F36" s="545"/>
      <c r="G36" s="545"/>
      <c r="H36" s="545"/>
      <c r="I36" s="545"/>
      <c r="J36" s="545"/>
      <c r="K36" s="545"/>
      <c r="L36" s="545"/>
      <c r="M36" s="545"/>
      <c r="N36" s="545"/>
      <c r="O36" s="545"/>
      <c r="P36" s="545"/>
      <c r="Q36" s="545"/>
      <c r="R36" s="545"/>
      <c r="S36" s="545"/>
      <c r="T36" s="538">
        <f t="shared" si="0"/>
        <v>0</v>
      </c>
      <c r="U36" s="538">
        <f>T36*1.05</f>
        <v>0</v>
      </c>
      <c r="V36" s="1065"/>
      <c r="W36" s="732"/>
      <c r="X36" s="732"/>
      <c r="Y36" s="732"/>
      <c r="Z36" s="732"/>
      <c r="AA36" s="732"/>
    </row>
    <row r="37" spans="1:27" ht="120">
      <c r="A37" s="712"/>
      <c r="B37" s="692" t="s">
        <v>76</v>
      </c>
      <c r="C37" s="692" t="s">
        <v>77</v>
      </c>
      <c r="D37" s="537">
        <v>32</v>
      </c>
      <c r="E37" s="537" t="s">
        <v>78</v>
      </c>
      <c r="F37" s="537"/>
      <c r="G37" s="537"/>
      <c r="H37" s="537"/>
      <c r="I37" s="538"/>
      <c r="J37" s="537"/>
      <c r="K37" s="537"/>
      <c r="L37" s="537"/>
      <c r="M37" s="538"/>
      <c r="N37" s="538">
        <v>8.1120000000000001</v>
      </c>
      <c r="O37" s="540">
        <v>221.77995000000001</v>
      </c>
      <c r="P37" s="540">
        <v>19.115359999999999</v>
      </c>
      <c r="Q37" s="538">
        <v>2</v>
      </c>
      <c r="R37" s="540">
        <v>4.8815</v>
      </c>
      <c r="S37" s="537">
        <v>4.5999999999999996</v>
      </c>
      <c r="T37" s="538">
        <f t="shared" si="0"/>
        <v>260.48881</v>
      </c>
      <c r="U37" s="538">
        <f>T37-3.7265</f>
        <v>256.76231000000001</v>
      </c>
      <c r="V37" s="1092" t="s">
        <v>872</v>
      </c>
      <c r="W37" s="732"/>
      <c r="X37" s="732"/>
      <c r="Y37" s="732"/>
      <c r="Z37" s="732"/>
      <c r="AA37" s="732"/>
    </row>
    <row r="38" spans="1:27" ht="24.75" customHeight="1">
      <c r="A38" s="712"/>
      <c r="B38" s="712"/>
      <c r="C38" s="712"/>
      <c r="D38" s="537">
        <v>33</v>
      </c>
      <c r="E38" s="537" t="s">
        <v>80</v>
      </c>
      <c r="F38" s="537"/>
      <c r="G38" s="537"/>
      <c r="H38" s="537"/>
      <c r="I38" s="537"/>
      <c r="J38" s="537"/>
      <c r="K38" s="537"/>
      <c r="L38" s="537"/>
      <c r="M38" s="537"/>
      <c r="N38" s="537"/>
      <c r="O38" s="537"/>
      <c r="P38" s="537"/>
      <c r="Q38" s="537"/>
      <c r="R38" s="537"/>
      <c r="S38" s="537"/>
      <c r="T38" s="538">
        <f t="shared" si="0"/>
        <v>0</v>
      </c>
      <c r="U38" s="538">
        <f t="shared" ref="U38:U39" si="4">T38*1.05</f>
        <v>0</v>
      </c>
      <c r="V38" s="1065"/>
      <c r="W38" s="732"/>
      <c r="X38" s="732"/>
      <c r="Y38" s="732"/>
      <c r="Z38" s="732"/>
      <c r="AA38" s="732"/>
    </row>
    <row r="39" spans="1:27" ht="24.75" customHeight="1">
      <c r="A39" s="712"/>
      <c r="B39" s="707"/>
      <c r="C39" s="707"/>
      <c r="D39" s="537">
        <v>34</v>
      </c>
      <c r="E39" s="537" t="s">
        <v>81</v>
      </c>
      <c r="F39" s="537"/>
      <c r="G39" s="537"/>
      <c r="H39" s="537"/>
      <c r="I39" s="537"/>
      <c r="J39" s="537"/>
      <c r="K39" s="537"/>
      <c r="L39" s="537"/>
      <c r="M39" s="537"/>
      <c r="N39" s="538"/>
      <c r="O39" s="537"/>
      <c r="P39" s="540"/>
      <c r="Q39" s="537"/>
      <c r="R39" s="537"/>
      <c r="S39" s="537"/>
      <c r="T39" s="538">
        <f t="shared" si="0"/>
        <v>0</v>
      </c>
      <c r="U39" s="538">
        <f t="shared" si="4"/>
        <v>0</v>
      </c>
      <c r="V39" s="1065"/>
      <c r="W39" s="732"/>
      <c r="X39" s="732"/>
      <c r="Y39" s="732"/>
      <c r="Z39" s="732"/>
      <c r="AA39" s="732"/>
    </row>
    <row r="40" spans="1:27" ht="315">
      <c r="A40" s="712"/>
      <c r="B40" s="692" t="s">
        <v>82</v>
      </c>
      <c r="C40" s="692" t="s">
        <v>83</v>
      </c>
      <c r="D40" s="537">
        <v>35</v>
      </c>
      <c r="E40" s="537" t="s">
        <v>84</v>
      </c>
      <c r="F40" s="557"/>
      <c r="G40" s="558"/>
      <c r="H40" s="558"/>
      <c r="I40" s="559"/>
      <c r="J40" s="558"/>
      <c r="K40" s="558"/>
      <c r="L40" s="558"/>
      <c r="M40" s="558"/>
      <c r="N40" s="559">
        <v>1.2</v>
      </c>
      <c r="O40" s="558"/>
      <c r="P40" s="560">
        <f>5.76+1.8+0.39+0.1</f>
        <v>8.0499999999999989</v>
      </c>
      <c r="Q40" s="560">
        <v>0.25</v>
      </c>
      <c r="R40" s="558"/>
      <c r="S40" s="558"/>
      <c r="T40" s="538">
        <f t="shared" si="0"/>
        <v>9.4999999999999982</v>
      </c>
      <c r="U40" s="538">
        <v>9.5</v>
      </c>
      <c r="V40" s="1094" t="s">
        <v>1696</v>
      </c>
      <c r="W40" s="732"/>
      <c r="X40" s="732"/>
      <c r="Y40" s="732"/>
      <c r="Z40" s="732"/>
      <c r="AA40" s="732"/>
    </row>
    <row r="41" spans="1:27" ht="60">
      <c r="A41" s="712"/>
      <c r="B41" s="712"/>
      <c r="C41" s="712"/>
      <c r="D41" s="537">
        <v>36</v>
      </c>
      <c r="E41" s="537" t="s">
        <v>85</v>
      </c>
      <c r="F41" s="561"/>
      <c r="G41" s="562"/>
      <c r="H41" s="562"/>
      <c r="I41" s="562"/>
      <c r="J41" s="562"/>
      <c r="K41" s="563"/>
      <c r="L41" s="562"/>
      <c r="M41" s="562"/>
      <c r="N41" s="563">
        <v>0.75</v>
      </c>
      <c r="O41" s="562"/>
      <c r="P41" s="562"/>
      <c r="Q41" s="562"/>
      <c r="R41" s="562"/>
      <c r="S41" s="562"/>
      <c r="T41" s="538">
        <f t="shared" si="0"/>
        <v>0.75</v>
      </c>
      <c r="U41" s="538">
        <v>0.75</v>
      </c>
      <c r="V41" s="1094" t="s">
        <v>873</v>
      </c>
      <c r="W41" s="732"/>
      <c r="X41" s="732"/>
      <c r="Y41" s="732"/>
      <c r="Z41" s="732"/>
      <c r="AA41" s="732"/>
    </row>
    <row r="42" spans="1:27" ht="24.75" customHeight="1">
      <c r="A42" s="712"/>
      <c r="B42" s="712"/>
      <c r="C42" s="712"/>
      <c r="D42" s="537">
        <v>37</v>
      </c>
      <c r="E42" s="537" t="s">
        <v>86</v>
      </c>
      <c r="F42" s="561"/>
      <c r="G42" s="562"/>
      <c r="H42" s="562"/>
      <c r="I42" s="562"/>
      <c r="J42" s="562"/>
      <c r="K42" s="563"/>
      <c r="L42" s="562"/>
      <c r="M42" s="562"/>
      <c r="N42" s="562"/>
      <c r="O42" s="562"/>
      <c r="P42" s="562"/>
      <c r="Q42" s="562"/>
      <c r="R42" s="562"/>
      <c r="S42" s="562"/>
      <c r="T42" s="538">
        <f t="shared" si="0"/>
        <v>0</v>
      </c>
      <c r="U42" s="538">
        <f>T42*1.05</f>
        <v>0</v>
      </c>
      <c r="V42" s="1094"/>
      <c r="W42" s="732"/>
      <c r="X42" s="732"/>
      <c r="Y42" s="732"/>
      <c r="Z42" s="732"/>
      <c r="AA42" s="732"/>
    </row>
    <row r="43" spans="1:27" ht="300">
      <c r="A43" s="712"/>
      <c r="B43" s="712"/>
      <c r="C43" s="712"/>
      <c r="D43" s="537">
        <v>38</v>
      </c>
      <c r="E43" s="537" t="s">
        <v>87</v>
      </c>
      <c r="F43" s="561"/>
      <c r="G43" s="562"/>
      <c r="H43" s="562"/>
      <c r="I43" s="562"/>
      <c r="J43" s="562"/>
      <c r="K43" s="562"/>
      <c r="L43" s="562"/>
      <c r="M43" s="562"/>
      <c r="N43" s="564">
        <v>17.5</v>
      </c>
      <c r="O43" s="565">
        <v>0.48</v>
      </c>
      <c r="P43" s="565">
        <v>26.4</v>
      </c>
      <c r="Q43" s="565">
        <v>3.5</v>
      </c>
      <c r="R43" s="562"/>
      <c r="S43" s="562"/>
      <c r="T43" s="538">
        <f t="shared" si="0"/>
        <v>47.879999999999995</v>
      </c>
      <c r="U43" s="538">
        <v>47.88</v>
      </c>
      <c r="V43" s="1094" t="s">
        <v>1697</v>
      </c>
      <c r="W43" s="732"/>
      <c r="X43" s="732"/>
      <c r="Y43" s="732"/>
      <c r="Z43" s="732"/>
      <c r="AA43" s="732"/>
    </row>
    <row r="44" spans="1:27" ht="90">
      <c r="A44" s="712"/>
      <c r="B44" s="712"/>
      <c r="C44" s="712"/>
      <c r="D44" s="537">
        <v>39</v>
      </c>
      <c r="E44" s="537" t="s">
        <v>88</v>
      </c>
      <c r="F44" s="561"/>
      <c r="G44" s="562"/>
      <c r="H44" s="562"/>
      <c r="I44" s="562"/>
      <c r="J44" s="562"/>
      <c r="K44" s="562"/>
      <c r="L44" s="562"/>
      <c r="M44" s="562"/>
      <c r="N44" s="562">
        <v>1</v>
      </c>
      <c r="O44" s="562"/>
      <c r="P44" s="565">
        <v>0.4</v>
      </c>
      <c r="Q44" s="565"/>
      <c r="R44" s="562"/>
      <c r="S44" s="562"/>
      <c r="T44" s="538">
        <f t="shared" si="0"/>
        <v>1.4</v>
      </c>
      <c r="U44" s="538">
        <v>1.4</v>
      </c>
      <c r="V44" s="1094" t="s">
        <v>401</v>
      </c>
      <c r="W44" s="732"/>
      <c r="X44" s="732"/>
      <c r="Y44" s="732"/>
      <c r="Z44" s="732"/>
      <c r="AA44" s="732"/>
    </row>
    <row r="45" spans="1:27" ht="195">
      <c r="A45" s="712"/>
      <c r="B45" s="712"/>
      <c r="C45" s="712"/>
      <c r="D45" s="537">
        <v>40</v>
      </c>
      <c r="E45" s="537" t="s">
        <v>89</v>
      </c>
      <c r="F45" s="561"/>
      <c r="G45" s="562"/>
      <c r="H45" s="562"/>
      <c r="I45" s="562"/>
      <c r="J45" s="562"/>
      <c r="K45" s="562"/>
      <c r="L45" s="562"/>
      <c r="M45" s="562"/>
      <c r="N45" s="566">
        <v>0.10920000000000001</v>
      </c>
      <c r="O45" s="562"/>
      <c r="P45" s="565"/>
      <c r="Q45" s="563">
        <f>0.62+1.15</f>
        <v>1.77</v>
      </c>
      <c r="R45" s="565"/>
      <c r="S45" s="562"/>
      <c r="T45" s="538">
        <f t="shared" si="0"/>
        <v>1.8792</v>
      </c>
      <c r="U45" s="538">
        <v>1.88</v>
      </c>
      <c r="V45" s="1094" t="s">
        <v>1698</v>
      </c>
      <c r="W45" s="732"/>
      <c r="X45" s="732"/>
      <c r="Y45" s="732"/>
      <c r="Z45" s="732"/>
      <c r="AA45" s="732"/>
    </row>
    <row r="46" spans="1:27" ht="24.75" customHeight="1">
      <c r="A46" s="712"/>
      <c r="B46" s="707"/>
      <c r="C46" s="707"/>
      <c r="D46" s="537">
        <v>41</v>
      </c>
      <c r="E46" s="537" t="s">
        <v>53</v>
      </c>
      <c r="F46" s="561"/>
      <c r="G46" s="562"/>
      <c r="H46" s="562"/>
      <c r="I46" s="562"/>
      <c r="J46" s="562"/>
      <c r="K46" s="562"/>
      <c r="L46" s="562"/>
      <c r="M46" s="562"/>
      <c r="N46" s="562"/>
      <c r="O46" s="562"/>
      <c r="P46" s="562"/>
      <c r="Q46" s="562"/>
      <c r="R46" s="562"/>
      <c r="S46" s="562"/>
      <c r="T46" s="538">
        <f t="shared" si="0"/>
        <v>0</v>
      </c>
      <c r="U46" s="538">
        <f>T46*1.05</f>
        <v>0</v>
      </c>
      <c r="V46" s="1094"/>
      <c r="W46" s="732"/>
      <c r="X46" s="732"/>
      <c r="Y46" s="732"/>
      <c r="Z46" s="732"/>
      <c r="AA46" s="732"/>
    </row>
    <row r="47" spans="1:27" ht="75">
      <c r="A47" s="712"/>
      <c r="B47" s="692" t="s">
        <v>90</v>
      </c>
      <c r="C47" s="692" t="s">
        <v>91</v>
      </c>
      <c r="D47" s="537">
        <v>42</v>
      </c>
      <c r="E47" s="537" t="s">
        <v>92</v>
      </c>
      <c r="F47" s="541">
        <v>12.297000000000001</v>
      </c>
      <c r="G47" s="537"/>
      <c r="H47" s="537"/>
      <c r="I47" s="538"/>
      <c r="J47" s="537"/>
      <c r="K47" s="537"/>
      <c r="L47" s="537"/>
      <c r="M47" s="537"/>
      <c r="N47" s="567">
        <v>1.1000000000000001</v>
      </c>
      <c r="O47" s="537"/>
      <c r="P47" s="540"/>
      <c r="Q47" s="537"/>
      <c r="R47" s="537"/>
      <c r="S47" s="537"/>
      <c r="T47" s="538">
        <f t="shared" si="0"/>
        <v>13.397</v>
      </c>
      <c r="U47" s="538">
        <f t="shared" ref="U47:U50" si="5">T47</f>
        <v>13.397</v>
      </c>
      <c r="V47" s="1065" t="s">
        <v>1699</v>
      </c>
      <c r="W47" s="732"/>
      <c r="X47" s="732"/>
      <c r="Y47" s="732"/>
      <c r="Z47" s="732"/>
      <c r="AA47" s="732"/>
    </row>
    <row r="48" spans="1:27" ht="75">
      <c r="A48" s="712"/>
      <c r="B48" s="712"/>
      <c r="C48" s="712"/>
      <c r="D48" s="537">
        <v>43</v>
      </c>
      <c r="E48" s="537" t="s">
        <v>93</v>
      </c>
      <c r="F48" s="568">
        <v>0.57750000000000001</v>
      </c>
      <c r="G48" s="537"/>
      <c r="H48" s="537"/>
      <c r="I48" s="538"/>
      <c r="J48" s="537"/>
      <c r="K48" s="537"/>
      <c r="L48" s="537"/>
      <c r="M48" s="537"/>
      <c r="N48" s="567">
        <v>0.34499999999999997</v>
      </c>
      <c r="O48" s="537"/>
      <c r="P48" s="540"/>
      <c r="Q48" s="537"/>
      <c r="R48" s="537"/>
      <c r="S48" s="537"/>
      <c r="T48" s="538">
        <f t="shared" si="0"/>
        <v>0.92249999999999999</v>
      </c>
      <c r="U48" s="538">
        <f t="shared" si="5"/>
        <v>0.92249999999999999</v>
      </c>
      <c r="V48" s="1065" t="s">
        <v>874</v>
      </c>
      <c r="W48" s="732"/>
      <c r="X48" s="732"/>
      <c r="Y48" s="732"/>
      <c r="Z48" s="732"/>
      <c r="AA48" s="732"/>
    </row>
    <row r="49" spans="1:27" ht="180">
      <c r="A49" s="712"/>
      <c r="B49" s="712"/>
      <c r="C49" s="712"/>
      <c r="D49" s="537">
        <v>44</v>
      </c>
      <c r="E49" s="537" t="s">
        <v>95</v>
      </c>
      <c r="F49" s="568">
        <v>1.254</v>
      </c>
      <c r="G49" s="537"/>
      <c r="H49" s="537"/>
      <c r="I49" s="538"/>
      <c r="J49" s="537"/>
      <c r="K49" s="537"/>
      <c r="L49" s="537"/>
      <c r="M49" s="537"/>
      <c r="N49" s="1096">
        <v>1.125</v>
      </c>
      <c r="O49" s="540">
        <v>0.318</v>
      </c>
      <c r="P49" s="540"/>
      <c r="Q49" s="537"/>
      <c r="R49" s="537"/>
      <c r="S49" s="537"/>
      <c r="T49" s="538">
        <f t="shared" si="0"/>
        <v>2.6970000000000001</v>
      </c>
      <c r="U49" s="538">
        <f t="shared" si="5"/>
        <v>2.6970000000000001</v>
      </c>
      <c r="V49" s="1065" t="s">
        <v>1700</v>
      </c>
      <c r="W49" s="732"/>
      <c r="X49" s="732"/>
      <c r="Y49" s="732"/>
      <c r="Z49" s="732"/>
      <c r="AA49" s="732"/>
    </row>
    <row r="50" spans="1:27" ht="45">
      <c r="A50" s="712"/>
      <c r="B50" s="712"/>
      <c r="C50" s="712"/>
      <c r="D50" s="537">
        <v>45</v>
      </c>
      <c r="E50" s="537" t="s">
        <v>96</v>
      </c>
      <c r="F50" s="568">
        <v>6.2E-2</v>
      </c>
      <c r="G50" s="537"/>
      <c r="H50" s="537"/>
      <c r="I50" s="537"/>
      <c r="J50" s="537"/>
      <c r="K50" s="537"/>
      <c r="L50" s="537"/>
      <c r="M50" s="537"/>
      <c r="N50" s="538"/>
      <c r="O50" s="540">
        <v>6.2E-2</v>
      </c>
      <c r="P50" s="537"/>
      <c r="Q50" s="537"/>
      <c r="R50" s="537"/>
      <c r="S50" s="537"/>
      <c r="T50" s="538">
        <f t="shared" si="0"/>
        <v>0.124</v>
      </c>
      <c r="U50" s="538">
        <f t="shared" si="5"/>
        <v>0.124</v>
      </c>
      <c r="V50" s="1065" t="s">
        <v>875</v>
      </c>
      <c r="W50" s="732"/>
      <c r="X50" s="732"/>
      <c r="Y50" s="732"/>
      <c r="Z50" s="732"/>
      <c r="AA50" s="732"/>
    </row>
    <row r="51" spans="1:27" ht="24.75" customHeight="1">
      <c r="A51" s="712"/>
      <c r="B51" s="712"/>
      <c r="C51" s="712"/>
      <c r="D51" s="537">
        <v>46</v>
      </c>
      <c r="E51" s="537" t="s">
        <v>98</v>
      </c>
      <c r="F51" s="561"/>
      <c r="G51" s="537"/>
      <c r="H51" s="537"/>
      <c r="I51" s="537"/>
      <c r="J51" s="537"/>
      <c r="K51" s="537"/>
      <c r="L51" s="537"/>
      <c r="M51" s="537"/>
      <c r="N51" s="537"/>
      <c r="O51" s="537"/>
      <c r="P51" s="537"/>
      <c r="Q51" s="537"/>
      <c r="R51" s="537"/>
      <c r="S51" s="537"/>
      <c r="T51" s="538">
        <f t="shared" si="0"/>
        <v>0</v>
      </c>
      <c r="U51" s="538">
        <f>T51*1.05</f>
        <v>0</v>
      </c>
      <c r="V51" s="1065"/>
      <c r="W51" s="732"/>
      <c r="X51" s="732"/>
      <c r="Y51" s="732"/>
      <c r="Z51" s="732"/>
      <c r="AA51" s="732"/>
    </row>
    <row r="52" spans="1:27" ht="45">
      <c r="A52" s="712"/>
      <c r="B52" s="712"/>
      <c r="C52" s="712"/>
      <c r="D52" s="537">
        <v>47</v>
      </c>
      <c r="E52" s="537" t="s">
        <v>99</v>
      </c>
      <c r="F52" s="568">
        <v>2.4</v>
      </c>
      <c r="G52" s="537"/>
      <c r="H52" s="537">
        <v>0</v>
      </c>
      <c r="I52" s="537"/>
      <c r="J52" s="537"/>
      <c r="K52" s="537"/>
      <c r="L52" s="537"/>
      <c r="M52" s="537"/>
      <c r="N52" s="537"/>
      <c r="O52" s="537"/>
      <c r="P52" s="537"/>
      <c r="Q52" s="537"/>
      <c r="R52" s="537"/>
      <c r="S52" s="537"/>
      <c r="T52" s="538">
        <f t="shared" si="0"/>
        <v>2.4</v>
      </c>
      <c r="U52" s="538">
        <f t="shared" ref="U52:U55" si="6">T52</f>
        <v>2.4</v>
      </c>
      <c r="V52" s="1065" t="s">
        <v>876</v>
      </c>
      <c r="W52" s="732"/>
      <c r="X52" s="732"/>
      <c r="Y52" s="732"/>
      <c r="Z52" s="732"/>
      <c r="AA52" s="732"/>
    </row>
    <row r="53" spans="1:27" ht="30">
      <c r="A53" s="712"/>
      <c r="B53" s="712"/>
      <c r="C53" s="712"/>
      <c r="D53" s="537">
        <v>48</v>
      </c>
      <c r="E53" s="537" t="s">
        <v>101</v>
      </c>
      <c r="F53" s="537"/>
      <c r="G53" s="537"/>
      <c r="H53" s="537"/>
      <c r="I53" s="537"/>
      <c r="J53" s="537"/>
      <c r="K53" s="537"/>
      <c r="L53" s="537"/>
      <c r="M53" s="537"/>
      <c r="N53" s="538">
        <v>0.28899999999999998</v>
      </c>
      <c r="O53" s="537"/>
      <c r="P53" s="540"/>
      <c r="Q53" s="537"/>
      <c r="R53" s="537"/>
      <c r="S53" s="537"/>
      <c r="T53" s="538">
        <f t="shared" si="0"/>
        <v>0.28899999999999998</v>
      </c>
      <c r="U53" s="538">
        <f t="shared" si="6"/>
        <v>0.28899999999999998</v>
      </c>
      <c r="V53" s="1065" t="s">
        <v>102</v>
      </c>
      <c r="W53" s="732"/>
      <c r="X53" s="732"/>
      <c r="Y53" s="732"/>
      <c r="Z53" s="732"/>
      <c r="AA53" s="732"/>
    </row>
    <row r="54" spans="1:27" ht="75">
      <c r="A54" s="712"/>
      <c r="B54" s="712"/>
      <c r="C54" s="712"/>
      <c r="D54" s="537">
        <v>49</v>
      </c>
      <c r="E54" s="537" t="s">
        <v>103</v>
      </c>
      <c r="F54" s="537"/>
      <c r="G54" s="537"/>
      <c r="H54" s="537"/>
      <c r="I54" s="537"/>
      <c r="J54" s="537"/>
      <c r="K54" s="537"/>
      <c r="L54" s="537"/>
      <c r="M54" s="537"/>
      <c r="N54" s="537"/>
      <c r="O54" s="537"/>
      <c r="P54" s="537"/>
      <c r="Q54" s="538">
        <v>2.87</v>
      </c>
      <c r="R54" s="540">
        <v>1</v>
      </c>
      <c r="S54" s="537"/>
      <c r="T54" s="538">
        <f t="shared" si="0"/>
        <v>3.87</v>
      </c>
      <c r="U54" s="538">
        <f t="shared" si="6"/>
        <v>3.87</v>
      </c>
      <c r="V54" s="1097" t="s">
        <v>877</v>
      </c>
      <c r="W54" s="732"/>
      <c r="X54" s="732"/>
      <c r="Y54" s="732"/>
      <c r="Z54" s="732"/>
      <c r="AA54" s="732"/>
    </row>
    <row r="55" spans="1:27" ht="120">
      <c r="A55" s="712"/>
      <c r="B55" s="712"/>
      <c r="C55" s="712"/>
      <c r="D55" s="537">
        <v>50</v>
      </c>
      <c r="E55" s="537" t="s">
        <v>105</v>
      </c>
      <c r="F55" s="537"/>
      <c r="G55" s="537"/>
      <c r="H55" s="537"/>
      <c r="I55" s="538"/>
      <c r="J55" s="537"/>
      <c r="K55" s="537">
        <v>0.42</v>
      </c>
      <c r="L55" s="537"/>
      <c r="M55" s="537"/>
      <c r="N55" s="538"/>
      <c r="O55" s="537"/>
      <c r="P55" s="540"/>
      <c r="Q55" s="538">
        <v>5.55</v>
      </c>
      <c r="R55" s="540">
        <v>0.04</v>
      </c>
      <c r="S55" s="537"/>
      <c r="T55" s="538">
        <f t="shared" si="0"/>
        <v>6.01</v>
      </c>
      <c r="U55" s="538">
        <f t="shared" si="6"/>
        <v>6.01</v>
      </c>
      <c r="V55" s="1071" t="s">
        <v>878</v>
      </c>
      <c r="W55" s="732"/>
      <c r="X55" s="732"/>
      <c r="Y55" s="732"/>
      <c r="Z55" s="732"/>
      <c r="AA55" s="732"/>
    </row>
    <row r="56" spans="1:27" ht="24.75" customHeight="1">
      <c r="A56" s="712"/>
      <c r="B56" s="707"/>
      <c r="C56" s="707"/>
      <c r="D56" s="537">
        <v>51</v>
      </c>
      <c r="E56" s="537" t="s">
        <v>53</v>
      </c>
      <c r="F56" s="537"/>
      <c r="G56" s="537"/>
      <c r="H56" s="537"/>
      <c r="I56" s="537"/>
      <c r="J56" s="537"/>
      <c r="K56" s="537"/>
      <c r="L56" s="537"/>
      <c r="M56" s="537"/>
      <c r="N56" s="540"/>
      <c r="O56" s="537"/>
      <c r="P56" s="537"/>
      <c r="Q56" s="537"/>
      <c r="R56" s="537"/>
      <c r="S56" s="537"/>
      <c r="T56" s="538">
        <f t="shared" si="0"/>
        <v>0</v>
      </c>
      <c r="U56" s="538">
        <f>T56*1.05</f>
        <v>0</v>
      </c>
      <c r="V56" s="1065"/>
      <c r="W56" s="732"/>
      <c r="X56" s="732"/>
      <c r="Y56" s="732"/>
      <c r="Z56" s="732"/>
      <c r="AA56" s="732"/>
    </row>
    <row r="57" spans="1:27" ht="255">
      <c r="A57" s="712"/>
      <c r="B57" s="692" t="s">
        <v>107</v>
      </c>
      <c r="C57" s="692" t="s">
        <v>108</v>
      </c>
      <c r="D57" s="537">
        <v>52</v>
      </c>
      <c r="E57" s="537" t="s">
        <v>109</v>
      </c>
      <c r="F57" s="545"/>
      <c r="G57" s="545"/>
      <c r="H57" s="545"/>
      <c r="I57" s="547"/>
      <c r="J57" s="545"/>
      <c r="K57" s="547"/>
      <c r="L57" s="545"/>
      <c r="M57" s="545"/>
      <c r="N57" s="547">
        <v>2</v>
      </c>
      <c r="O57" s="546">
        <v>56.97</v>
      </c>
      <c r="P57" s="545"/>
      <c r="Q57" s="545"/>
      <c r="R57" s="545"/>
      <c r="S57" s="545"/>
      <c r="T57" s="538">
        <f t="shared" si="0"/>
        <v>58.97</v>
      </c>
      <c r="U57" s="544">
        <f>N57+O57</f>
        <v>58.97</v>
      </c>
      <c r="V57" s="1094" t="s">
        <v>879</v>
      </c>
      <c r="W57" s="732"/>
      <c r="X57" s="732"/>
      <c r="Y57" s="732"/>
      <c r="Z57" s="732"/>
      <c r="AA57" s="732"/>
    </row>
    <row r="58" spans="1:27" ht="180">
      <c r="A58" s="712"/>
      <c r="B58" s="712"/>
      <c r="C58" s="712"/>
      <c r="D58" s="537">
        <v>53</v>
      </c>
      <c r="E58" s="537" t="s">
        <v>111</v>
      </c>
      <c r="F58" s="545"/>
      <c r="G58" s="545"/>
      <c r="H58" s="545"/>
      <c r="I58" s="545"/>
      <c r="J58" s="545"/>
      <c r="K58" s="547"/>
      <c r="L58" s="545"/>
      <c r="M58" s="545"/>
      <c r="N58" s="547">
        <v>9.3800000000000008</v>
      </c>
      <c r="O58" s="546">
        <v>6.33</v>
      </c>
      <c r="P58" s="545"/>
      <c r="Q58" s="546">
        <v>3</v>
      </c>
      <c r="R58" s="545"/>
      <c r="S58" s="545"/>
      <c r="T58" s="538">
        <f t="shared" si="0"/>
        <v>18.71</v>
      </c>
      <c r="U58" s="544">
        <f>T58</f>
        <v>18.71</v>
      </c>
      <c r="V58" s="1098" t="s">
        <v>880</v>
      </c>
      <c r="W58" s="732"/>
      <c r="X58" s="732"/>
      <c r="Y58" s="732"/>
      <c r="Z58" s="732"/>
      <c r="AA58" s="732"/>
    </row>
    <row r="59" spans="1:27" ht="36.75" customHeight="1">
      <c r="A59" s="712"/>
      <c r="B59" s="712"/>
      <c r="C59" s="712"/>
      <c r="D59" s="537">
        <v>54</v>
      </c>
      <c r="E59" s="537" t="s">
        <v>113</v>
      </c>
      <c r="F59" s="545"/>
      <c r="G59" s="545"/>
      <c r="H59" s="546"/>
      <c r="I59" s="545"/>
      <c r="J59" s="545"/>
      <c r="K59" s="545"/>
      <c r="L59" s="545"/>
      <c r="M59" s="545"/>
      <c r="N59" s="545"/>
      <c r="O59" s="546"/>
      <c r="P59" s="546"/>
      <c r="Q59" s="545"/>
      <c r="R59" s="545"/>
      <c r="S59" s="545"/>
      <c r="T59" s="538">
        <f t="shared" si="0"/>
        <v>0</v>
      </c>
      <c r="U59" s="538">
        <f t="shared" ref="U59:U60" si="7">T59*1.05</f>
        <v>0</v>
      </c>
      <c r="V59" s="1099"/>
      <c r="W59" s="732"/>
      <c r="X59" s="732"/>
      <c r="Y59" s="732"/>
      <c r="Z59" s="732"/>
      <c r="AA59" s="732"/>
    </row>
    <row r="60" spans="1:27" ht="24.75" customHeight="1">
      <c r="A60" s="712"/>
      <c r="B60" s="712"/>
      <c r="C60" s="712"/>
      <c r="D60" s="537">
        <v>55</v>
      </c>
      <c r="E60" s="537" t="s">
        <v>114</v>
      </c>
      <c r="F60" s="545"/>
      <c r="G60" s="545"/>
      <c r="H60" s="545"/>
      <c r="I60" s="545"/>
      <c r="J60" s="545"/>
      <c r="K60" s="547"/>
      <c r="L60" s="545"/>
      <c r="M60" s="545"/>
      <c r="N60" s="545"/>
      <c r="O60" s="545"/>
      <c r="P60" s="545"/>
      <c r="Q60" s="545"/>
      <c r="R60" s="545"/>
      <c r="S60" s="545"/>
      <c r="T60" s="538">
        <f t="shared" si="0"/>
        <v>0</v>
      </c>
      <c r="U60" s="538">
        <f t="shared" si="7"/>
        <v>0</v>
      </c>
      <c r="V60" s="1086"/>
      <c r="W60" s="732"/>
      <c r="X60" s="732"/>
      <c r="Y60" s="732"/>
      <c r="Z60" s="732"/>
      <c r="AA60" s="732"/>
    </row>
    <row r="61" spans="1:27" ht="90">
      <c r="A61" s="712"/>
      <c r="B61" s="712"/>
      <c r="C61" s="712"/>
      <c r="D61" s="537">
        <v>56</v>
      </c>
      <c r="E61" s="537" t="s">
        <v>115</v>
      </c>
      <c r="F61" s="545"/>
      <c r="G61" s="545"/>
      <c r="H61" s="545"/>
      <c r="I61" s="545"/>
      <c r="J61" s="545"/>
      <c r="K61" s="545"/>
      <c r="L61" s="545"/>
      <c r="M61" s="545"/>
      <c r="N61" s="545"/>
      <c r="O61" s="546">
        <v>12.66</v>
      </c>
      <c r="P61" s="545"/>
      <c r="Q61" s="545">
        <v>0.5</v>
      </c>
      <c r="R61" s="545"/>
      <c r="S61" s="545"/>
      <c r="T61" s="538">
        <f t="shared" si="0"/>
        <v>13.16</v>
      </c>
      <c r="U61" s="538">
        <f>T61</f>
        <v>13.16</v>
      </c>
      <c r="V61" s="1086" t="s">
        <v>881</v>
      </c>
      <c r="W61" s="732"/>
      <c r="X61" s="732"/>
      <c r="Y61" s="732"/>
      <c r="Z61" s="732"/>
      <c r="AA61" s="732"/>
    </row>
    <row r="62" spans="1:27" ht="75">
      <c r="A62" s="712"/>
      <c r="B62" s="712"/>
      <c r="C62" s="712"/>
      <c r="D62" s="537">
        <v>57</v>
      </c>
      <c r="E62" s="537" t="s">
        <v>116</v>
      </c>
      <c r="F62" s="545"/>
      <c r="G62" s="545"/>
      <c r="H62" s="546"/>
      <c r="I62" s="545"/>
      <c r="J62" s="545"/>
      <c r="K62" s="545"/>
      <c r="L62" s="545"/>
      <c r="M62" s="547">
        <v>1.05</v>
      </c>
      <c r="N62" s="545"/>
      <c r="O62" s="545"/>
      <c r="P62" s="545"/>
      <c r="Q62" s="545"/>
      <c r="R62" s="545"/>
      <c r="S62" s="545"/>
      <c r="T62" s="538">
        <f t="shared" si="0"/>
        <v>1.05</v>
      </c>
      <c r="U62" s="538">
        <f>M62</f>
        <v>1.05</v>
      </c>
      <c r="V62" s="1090" t="s">
        <v>882</v>
      </c>
      <c r="W62" s="732"/>
      <c r="X62" s="732"/>
      <c r="Y62" s="732"/>
      <c r="Z62" s="732"/>
      <c r="AA62" s="732"/>
    </row>
    <row r="63" spans="1:27" ht="90">
      <c r="A63" s="712"/>
      <c r="B63" s="712"/>
      <c r="C63" s="712"/>
      <c r="D63" s="537">
        <v>58</v>
      </c>
      <c r="E63" s="537" t="s">
        <v>117</v>
      </c>
      <c r="F63" s="545"/>
      <c r="G63" s="545"/>
      <c r="H63" s="545"/>
      <c r="I63" s="545"/>
      <c r="J63" s="545"/>
      <c r="K63" s="547"/>
      <c r="L63" s="545"/>
      <c r="M63" s="545"/>
      <c r="N63" s="545"/>
      <c r="O63" s="569">
        <v>3.165</v>
      </c>
      <c r="P63" s="545"/>
      <c r="Q63" s="546">
        <v>0.75</v>
      </c>
      <c r="R63" s="545"/>
      <c r="S63" s="545"/>
      <c r="T63" s="538">
        <f t="shared" si="0"/>
        <v>3.915</v>
      </c>
      <c r="U63" s="538">
        <f>T63</f>
        <v>3.915</v>
      </c>
      <c r="V63" s="1090" t="s">
        <v>883</v>
      </c>
      <c r="W63" s="732"/>
      <c r="X63" s="732"/>
      <c r="Y63" s="732"/>
      <c r="Z63" s="732"/>
      <c r="AA63" s="732"/>
    </row>
    <row r="64" spans="1:27" ht="24.75" customHeight="1">
      <c r="A64" s="712"/>
      <c r="B64" s="712"/>
      <c r="C64" s="712"/>
      <c r="D64" s="537">
        <v>59</v>
      </c>
      <c r="E64" s="537" t="s">
        <v>119</v>
      </c>
      <c r="F64" s="545"/>
      <c r="G64" s="545"/>
      <c r="H64" s="545"/>
      <c r="I64" s="545"/>
      <c r="J64" s="545"/>
      <c r="K64" s="545"/>
      <c r="L64" s="545"/>
      <c r="M64" s="545"/>
      <c r="N64" s="545"/>
      <c r="O64" s="545"/>
      <c r="P64" s="545"/>
      <c r="Q64" s="545"/>
      <c r="R64" s="545"/>
      <c r="S64" s="545"/>
      <c r="T64" s="538">
        <f t="shared" si="0"/>
        <v>0</v>
      </c>
      <c r="U64" s="538">
        <f t="shared" ref="U64:U66" si="8">T64*1.05</f>
        <v>0</v>
      </c>
      <c r="V64" s="1065"/>
      <c r="W64" s="732"/>
      <c r="X64" s="732"/>
      <c r="Y64" s="732"/>
      <c r="Z64" s="732"/>
      <c r="AA64" s="732"/>
    </row>
    <row r="65" spans="1:27" ht="24.75" customHeight="1">
      <c r="A65" s="712"/>
      <c r="B65" s="712"/>
      <c r="C65" s="712"/>
      <c r="D65" s="537">
        <v>60</v>
      </c>
      <c r="E65" s="537" t="s">
        <v>120</v>
      </c>
      <c r="F65" s="545"/>
      <c r="G65" s="545"/>
      <c r="H65" s="545"/>
      <c r="I65" s="545"/>
      <c r="J65" s="545"/>
      <c r="K65" s="545"/>
      <c r="L65" s="545"/>
      <c r="M65" s="545"/>
      <c r="N65" s="545"/>
      <c r="O65" s="545"/>
      <c r="P65" s="545"/>
      <c r="Q65" s="545"/>
      <c r="R65" s="545"/>
      <c r="S65" s="545"/>
      <c r="T65" s="538">
        <f t="shared" si="0"/>
        <v>0</v>
      </c>
      <c r="U65" s="538">
        <f t="shared" si="8"/>
        <v>0</v>
      </c>
      <c r="V65" s="1065"/>
      <c r="W65" s="732"/>
      <c r="X65" s="732"/>
      <c r="Y65" s="732"/>
      <c r="Z65" s="732"/>
      <c r="AA65" s="732"/>
    </row>
    <row r="66" spans="1:27" ht="24.75" customHeight="1">
      <c r="A66" s="712"/>
      <c r="B66" s="707"/>
      <c r="C66" s="707"/>
      <c r="D66" s="537">
        <v>61</v>
      </c>
      <c r="E66" s="537" t="s">
        <v>53</v>
      </c>
      <c r="F66" s="545"/>
      <c r="G66" s="545"/>
      <c r="H66" s="545"/>
      <c r="I66" s="545"/>
      <c r="J66" s="545"/>
      <c r="K66" s="545"/>
      <c r="L66" s="545"/>
      <c r="M66" s="545"/>
      <c r="N66" s="545"/>
      <c r="O66" s="545"/>
      <c r="P66" s="545"/>
      <c r="Q66" s="545"/>
      <c r="R66" s="545"/>
      <c r="S66" s="545"/>
      <c r="T66" s="538">
        <f t="shared" si="0"/>
        <v>0</v>
      </c>
      <c r="U66" s="538">
        <f t="shared" si="8"/>
        <v>0</v>
      </c>
      <c r="V66" s="1065"/>
      <c r="W66" s="732"/>
      <c r="X66" s="732"/>
      <c r="Y66" s="732"/>
      <c r="Z66" s="732"/>
      <c r="AA66" s="732"/>
    </row>
    <row r="67" spans="1:27" ht="105">
      <c r="A67" s="712"/>
      <c r="B67" s="537" t="s">
        <v>121</v>
      </c>
      <c r="C67" s="537" t="s">
        <v>122</v>
      </c>
      <c r="D67" s="537">
        <v>62</v>
      </c>
      <c r="E67" s="537" t="s">
        <v>123</v>
      </c>
      <c r="F67" s="537"/>
      <c r="G67" s="537"/>
      <c r="H67" s="537"/>
      <c r="I67" s="537"/>
      <c r="J67" s="537"/>
      <c r="K67" s="537"/>
      <c r="L67" s="537"/>
      <c r="M67" s="538"/>
      <c r="N67" s="537"/>
      <c r="O67" s="540">
        <v>0.5</v>
      </c>
      <c r="P67" s="540"/>
      <c r="Q67" s="538">
        <v>0.2</v>
      </c>
      <c r="R67" s="537"/>
      <c r="S67" s="540"/>
      <c r="T67" s="538">
        <f t="shared" si="0"/>
        <v>0.7</v>
      </c>
      <c r="U67" s="538">
        <f>T67</f>
        <v>0.7</v>
      </c>
      <c r="V67" s="793" t="s">
        <v>124</v>
      </c>
      <c r="W67" s="732"/>
      <c r="X67" s="732"/>
      <c r="Y67" s="732"/>
      <c r="Z67" s="732"/>
      <c r="AA67" s="732"/>
    </row>
    <row r="68" spans="1:27" ht="24.75" customHeight="1">
      <c r="A68" s="707"/>
      <c r="B68" s="695" t="s">
        <v>125</v>
      </c>
      <c r="C68" s="709"/>
      <c r="D68" s="710"/>
      <c r="E68" s="570"/>
      <c r="F68" s="570">
        <f t="shared" ref="F68:S68" si="9">SUM(F6:F67)</f>
        <v>137.28049999999999</v>
      </c>
      <c r="G68" s="570">
        <f t="shared" si="9"/>
        <v>0</v>
      </c>
      <c r="H68" s="570">
        <f t="shared" si="9"/>
        <v>0</v>
      </c>
      <c r="I68" s="570">
        <f t="shared" si="9"/>
        <v>15.36285</v>
      </c>
      <c r="J68" s="570">
        <f t="shared" si="9"/>
        <v>0</v>
      </c>
      <c r="K68" s="570">
        <f t="shared" si="9"/>
        <v>136.72999999999996</v>
      </c>
      <c r="L68" s="570">
        <f t="shared" si="9"/>
        <v>0</v>
      </c>
      <c r="M68" s="570">
        <f t="shared" si="9"/>
        <v>41.69</v>
      </c>
      <c r="N68" s="570">
        <f t="shared" si="9"/>
        <v>62.061199999999999</v>
      </c>
      <c r="O68" s="570">
        <f t="shared" si="9"/>
        <v>501.01345000000009</v>
      </c>
      <c r="P68" s="570">
        <f t="shared" si="9"/>
        <v>573.59587999999997</v>
      </c>
      <c r="Q68" s="570">
        <f t="shared" si="9"/>
        <v>36.487500000000004</v>
      </c>
      <c r="R68" s="570">
        <f t="shared" si="9"/>
        <v>13.491499999999998</v>
      </c>
      <c r="S68" s="570">
        <f t="shared" si="9"/>
        <v>4.5999999999999996</v>
      </c>
      <c r="T68" s="570">
        <f t="shared" si="0"/>
        <v>1522.31288</v>
      </c>
      <c r="U68" s="570">
        <f>SUM(U6:U67)</f>
        <v>1512.0443299999999</v>
      </c>
      <c r="V68" s="1065"/>
      <c r="W68" s="732"/>
      <c r="X68" s="732"/>
      <c r="Y68" s="732"/>
      <c r="Z68" s="732"/>
      <c r="AA68" s="732"/>
    </row>
    <row r="69" spans="1:27" ht="90">
      <c r="A69" s="694" t="s">
        <v>126</v>
      </c>
      <c r="B69" s="537" t="s">
        <v>127</v>
      </c>
      <c r="C69" s="537" t="s">
        <v>128</v>
      </c>
      <c r="D69" s="537">
        <v>63</v>
      </c>
      <c r="E69" s="537" t="s">
        <v>129</v>
      </c>
      <c r="F69" s="557"/>
      <c r="G69" s="558"/>
      <c r="H69" s="558"/>
      <c r="I69" s="558"/>
      <c r="J69" s="558"/>
      <c r="K69" s="558"/>
      <c r="L69" s="558"/>
      <c r="M69" s="560"/>
      <c r="N69" s="559">
        <v>9.1</v>
      </c>
      <c r="O69" s="558"/>
      <c r="P69" s="559"/>
      <c r="Q69" s="558"/>
      <c r="R69" s="560">
        <v>3.75</v>
      </c>
      <c r="S69" s="560">
        <f>2+1</f>
        <v>3</v>
      </c>
      <c r="T69" s="538">
        <f t="shared" si="0"/>
        <v>15.85</v>
      </c>
      <c r="U69" s="538">
        <f t="shared" ref="U69:U74" si="10">T69</f>
        <v>15.85</v>
      </c>
      <c r="V69" s="793" t="s">
        <v>707</v>
      </c>
      <c r="W69" s="733" t="s">
        <v>707</v>
      </c>
      <c r="X69" s="732"/>
      <c r="Y69" s="732"/>
      <c r="Z69" s="732"/>
      <c r="AA69" s="732"/>
    </row>
    <row r="70" spans="1:27" ht="75">
      <c r="A70" s="712"/>
      <c r="B70" s="692" t="s">
        <v>131</v>
      </c>
      <c r="C70" s="692" t="s">
        <v>132</v>
      </c>
      <c r="D70" s="537">
        <v>64</v>
      </c>
      <c r="E70" s="537" t="s">
        <v>133</v>
      </c>
      <c r="F70" s="571"/>
      <c r="G70" s="572"/>
      <c r="H70" s="573"/>
      <c r="I70" s="574">
        <v>0.84</v>
      </c>
      <c r="J70" s="572"/>
      <c r="K70" s="575"/>
      <c r="L70" s="572"/>
      <c r="M70" s="576"/>
      <c r="N70" s="577">
        <v>1.5</v>
      </c>
      <c r="O70" s="578"/>
      <c r="P70" s="577">
        <v>1.83</v>
      </c>
      <c r="Q70" s="577">
        <v>1.05</v>
      </c>
      <c r="R70" s="578">
        <v>3.1</v>
      </c>
      <c r="S70" s="578"/>
      <c r="T70" s="538">
        <f t="shared" si="0"/>
        <v>8.32</v>
      </c>
      <c r="U70" s="538">
        <f t="shared" si="10"/>
        <v>8.32</v>
      </c>
      <c r="V70" s="1065" t="s">
        <v>884</v>
      </c>
      <c r="W70" s="733" t="s">
        <v>884</v>
      </c>
      <c r="X70" s="732"/>
      <c r="Y70" s="732"/>
      <c r="Z70" s="732"/>
      <c r="AA70" s="732"/>
    </row>
    <row r="71" spans="1:27" ht="45">
      <c r="A71" s="712"/>
      <c r="B71" s="712"/>
      <c r="C71" s="712"/>
      <c r="D71" s="537">
        <v>65</v>
      </c>
      <c r="E71" s="537" t="s">
        <v>135</v>
      </c>
      <c r="F71" s="571"/>
      <c r="G71" s="572"/>
      <c r="H71" s="572"/>
      <c r="I71" s="572"/>
      <c r="J71" s="572"/>
      <c r="K71" s="572"/>
      <c r="L71" s="572"/>
      <c r="M71" s="572"/>
      <c r="N71" s="575"/>
      <c r="O71" s="572"/>
      <c r="P71" s="578">
        <v>0.45</v>
      </c>
      <c r="Q71" s="576"/>
      <c r="R71" s="572"/>
      <c r="S71" s="573"/>
      <c r="T71" s="538">
        <f t="shared" si="0"/>
        <v>0.45</v>
      </c>
      <c r="U71" s="538">
        <f t="shared" si="10"/>
        <v>0.45</v>
      </c>
      <c r="V71" s="1065" t="s">
        <v>136</v>
      </c>
      <c r="W71" s="733" t="s">
        <v>136</v>
      </c>
      <c r="X71" s="732"/>
      <c r="Y71" s="732"/>
      <c r="Z71" s="732"/>
      <c r="AA71" s="732"/>
    </row>
    <row r="72" spans="1:27" ht="75">
      <c r="A72" s="712"/>
      <c r="B72" s="712"/>
      <c r="C72" s="712"/>
      <c r="D72" s="537">
        <v>66</v>
      </c>
      <c r="E72" s="537" t="s">
        <v>137</v>
      </c>
      <c r="F72" s="571"/>
      <c r="G72" s="572"/>
      <c r="H72" s="572"/>
      <c r="I72" s="572"/>
      <c r="J72" s="572"/>
      <c r="K72" s="575"/>
      <c r="L72" s="572"/>
      <c r="M72" s="572"/>
      <c r="N72" s="577">
        <v>0.2</v>
      </c>
      <c r="O72" s="572"/>
      <c r="P72" s="578">
        <v>0.09</v>
      </c>
      <c r="Q72" s="577">
        <v>0.05</v>
      </c>
      <c r="R72" s="1242">
        <v>0.15</v>
      </c>
      <c r="S72" s="572"/>
      <c r="T72" s="538">
        <f t="shared" si="0"/>
        <v>0.49</v>
      </c>
      <c r="U72" s="538">
        <f t="shared" si="10"/>
        <v>0.49</v>
      </c>
      <c r="V72" s="1065" t="s">
        <v>545</v>
      </c>
      <c r="W72" s="733" t="s">
        <v>138</v>
      </c>
      <c r="X72" s="732"/>
      <c r="Y72" s="732"/>
      <c r="Z72" s="732"/>
      <c r="AA72" s="732"/>
    </row>
    <row r="73" spans="1:27" ht="90">
      <c r="A73" s="712"/>
      <c r="B73" s="712"/>
      <c r="C73" s="712"/>
      <c r="D73" s="537">
        <v>67</v>
      </c>
      <c r="E73" s="537" t="s">
        <v>139</v>
      </c>
      <c r="F73" s="571"/>
      <c r="G73" s="572"/>
      <c r="H73" s="572"/>
      <c r="I73" s="576"/>
      <c r="J73" s="572"/>
      <c r="K73" s="575"/>
      <c r="L73" s="572"/>
      <c r="M73" s="576"/>
      <c r="N73" s="577">
        <v>0.6</v>
      </c>
      <c r="O73" s="576">
        <v>1.5</v>
      </c>
      <c r="P73" s="578">
        <v>37.590000000000003</v>
      </c>
      <c r="Q73" s="577">
        <v>1.2</v>
      </c>
      <c r="R73" s="578">
        <v>3.75</v>
      </c>
      <c r="S73" s="578">
        <v>4</v>
      </c>
      <c r="T73" s="538">
        <f t="shared" si="0"/>
        <v>48.640000000000008</v>
      </c>
      <c r="U73" s="538">
        <f t="shared" si="10"/>
        <v>48.640000000000008</v>
      </c>
      <c r="V73" s="1065" t="s">
        <v>885</v>
      </c>
      <c r="W73" s="733" t="s">
        <v>885</v>
      </c>
      <c r="X73" s="732"/>
      <c r="Y73" s="732"/>
      <c r="Z73" s="732"/>
      <c r="AA73" s="732"/>
    </row>
    <row r="74" spans="1:27" ht="75">
      <c r="A74" s="712"/>
      <c r="B74" s="707"/>
      <c r="C74" s="707"/>
      <c r="D74" s="537">
        <v>68</v>
      </c>
      <c r="E74" s="537" t="s">
        <v>141</v>
      </c>
      <c r="F74" s="579"/>
      <c r="G74" s="580"/>
      <c r="H74" s="580"/>
      <c r="I74" s="581"/>
      <c r="J74" s="580"/>
      <c r="K74" s="581"/>
      <c r="L74" s="580"/>
      <c r="M74" s="580"/>
      <c r="N74" s="582">
        <v>0.4</v>
      </c>
      <c r="O74" s="583"/>
      <c r="P74" s="584">
        <v>8.94</v>
      </c>
      <c r="Q74" s="582">
        <v>3.5</v>
      </c>
      <c r="R74" s="584">
        <v>5.75</v>
      </c>
      <c r="S74" s="584">
        <v>17.149999999999999</v>
      </c>
      <c r="T74" s="538">
        <f t="shared" si="0"/>
        <v>35.739999999999995</v>
      </c>
      <c r="U74" s="538">
        <f t="shared" si="10"/>
        <v>35.739999999999995</v>
      </c>
      <c r="V74" s="1065" t="s">
        <v>886</v>
      </c>
      <c r="W74" s="733" t="s">
        <v>886</v>
      </c>
      <c r="X74" s="732"/>
      <c r="Y74" s="732"/>
      <c r="Z74" s="732"/>
      <c r="AA74" s="732"/>
    </row>
    <row r="75" spans="1:27" ht="375">
      <c r="A75" s="712"/>
      <c r="B75" s="692" t="s">
        <v>143</v>
      </c>
      <c r="C75" s="692" t="s">
        <v>144</v>
      </c>
      <c r="D75" s="537">
        <v>69</v>
      </c>
      <c r="E75" s="537" t="s">
        <v>145</v>
      </c>
      <c r="F75" s="585"/>
      <c r="G75" s="586"/>
      <c r="H75" s="586"/>
      <c r="I75" s="586"/>
      <c r="J75" s="586"/>
      <c r="K75" s="586"/>
      <c r="L75" s="586"/>
      <c r="M75" s="587">
        <v>0.68</v>
      </c>
      <c r="N75" s="586"/>
      <c r="O75" s="587">
        <v>99.512</v>
      </c>
      <c r="P75" s="587">
        <v>2.4</v>
      </c>
      <c r="Q75" s="586"/>
      <c r="R75" s="586"/>
      <c r="S75" s="586"/>
      <c r="T75" s="538">
        <f t="shared" si="0"/>
        <v>102.59200000000001</v>
      </c>
      <c r="U75" s="538">
        <v>102.59200000000001</v>
      </c>
      <c r="V75" s="1113" t="s">
        <v>887</v>
      </c>
      <c r="W75" s="525" t="s">
        <v>887</v>
      </c>
      <c r="X75" s="732"/>
      <c r="Y75" s="732"/>
      <c r="Z75" s="732"/>
      <c r="AA75" s="732"/>
    </row>
    <row r="76" spans="1:27" ht="180">
      <c r="A76" s="712"/>
      <c r="B76" s="712"/>
      <c r="C76" s="712"/>
      <c r="D76" s="537">
        <v>70</v>
      </c>
      <c r="E76" s="537" t="s">
        <v>147</v>
      </c>
      <c r="F76" s="588"/>
      <c r="G76" s="589"/>
      <c r="H76" s="589"/>
      <c r="I76" s="590">
        <v>0.41199999999999998</v>
      </c>
      <c r="J76" s="589"/>
      <c r="K76" s="589"/>
      <c r="L76" s="589"/>
      <c r="M76" s="589"/>
      <c r="N76" s="589"/>
      <c r="O76" s="589"/>
      <c r="P76" s="542">
        <v>1.1000000000000001</v>
      </c>
      <c r="Q76" s="589"/>
      <c r="R76" s="589"/>
      <c r="S76" s="589"/>
      <c r="T76" s="538">
        <f t="shared" si="0"/>
        <v>1.512</v>
      </c>
      <c r="U76" s="591">
        <v>1.512</v>
      </c>
      <c r="V76" s="1113" t="s">
        <v>888</v>
      </c>
      <c r="W76" s="525" t="s">
        <v>888</v>
      </c>
      <c r="X76" s="732"/>
      <c r="Y76" s="732"/>
      <c r="Z76" s="732"/>
      <c r="AA76" s="732"/>
    </row>
    <row r="77" spans="1:27" ht="39.75" customHeight="1">
      <c r="A77" s="712"/>
      <c r="B77" s="712"/>
      <c r="C77" s="712"/>
      <c r="D77" s="537">
        <v>71</v>
      </c>
      <c r="E77" s="537" t="s">
        <v>149</v>
      </c>
      <c r="F77" s="588"/>
      <c r="G77" s="589"/>
      <c r="H77" s="589"/>
      <c r="I77" s="589"/>
      <c r="J77" s="589"/>
      <c r="K77" s="589"/>
      <c r="L77" s="589"/>
      <c r="M77" s="589"/>
      <c r="N77" s="589"/>
      <c r="O77" s="589"/>
      <c r="P77" s="589"/>
      <c r="Q77" s="589"/>
      <c r="R77" s="589"/>
      <c r="S77" s="589"/>
      <c r="T77" s="538">
        <f t="shared" si="0"/>
        <v>0</v>
      </c>
      <c r="U77" s="591">
        <v>0</v>
      </c>
      <c r="V77" s="525"/>
      <c r="W77" s="525"/>
      <c r="X77" s="732"/>
      <c r="Y77" s="732"/>
      <c r="Z77" s="732"/>
      <c r="AA77" s="732"/>
    </row>
    <row r="78" spans="1:27" ht="300">
      <c r="A78" s="712"/>
      <c r="B78" s="707"/>
      <c r="C78" s="707"/>
      <c r="D78" s="537">
        <v>72</v>
      </c>
      <c r="E78" s="537" t="s">
        <v>150</v>
      </c>
      <c r="F78" s="588"/>
      <c r="G78" s="589"/>
      <c r="H78" s="589"/>
      <c r="I78" s="589"/>
      <c r="J78" s="589"/>
      <c r="K78" s="589"/>
      <c r="L78" s="589"/>
      <c r="M78" s="589"/>
      <c r="N78" s="542">
        <v>5.9509999999999996</v>
      </c>
      <c r="O78" s="589"/>
      <c r="P78" s="589"/>
      <c r="Q78" s="542">
        <v>3.3452999999999999</v>
      </c>
      <c r="R78" s="542">
        <v>3.9481000000000002</v>
      </c>
      <c r="S78" s="589"/>
      <c r="T78" s="538">
        <f t="shared" si="0"/>
        <v>13.244399999999999</v>
      </c>
      <c r="U78" s="591">
        <v>13.244399999999999</v>
      </c>
      <c r="V78" s="1113" t="s">
        <v>889</v>
      </c>
      <c r="W78" s="525" t="s">
        <v>890</v>
      </c>
      <c r="X78" s="732"/>
      <c r="Y78" s="732"/>
      <c r="Z78" s="732"/>
      <c r="AA78" s="732"/>
    </row>
    <row r="79" spans="1:27" ht="409.6">
      <c r="A79" s="712"/>
      <c r="B79" s="692" t="s">
        <v>152</v>
      </c>
      <c r="C79" s="692" t="s">
        <v>153</v>
      </c>
      <c r="D79" s="537">
        <v>73</v>
      </c>
      <c r="E79" s="537" t="s">
        <v>154</v>
      </c>
      <c r="F79" s="1243">
        <v>2.5</v>
      </c>
      <c r="G79" s="1243">
        <v>2.5</v>
      </c>
      <c r="H79" s="1243"/>
      <c r="I79" s="1243">
        <v>8.4</v>
      </c>
      <c r="J79" s="1079"/>
      <c r="K79" s="1243"/>
      <c r="L79" s="1079">
        <v>3.1</v>
      </c>
      <c r="M79" s="1243">
        <v>10.5</v>
      </c>
      <c r="N79" s="1243">
        <v>10</v>
      </c>
      <c r="O79" s="1243"/>
      <c r="P79" s="1243">
        <v>3.1</v>
      </c>
      <c r="Q79" s="1079"/>
      <c r="R79" s="1243">
        <v>17</v>
      </c>
      <c r="S79" s="1243">
        <v>0.7</v>
      </c>
      <c r="T79" s="538">
        <f t="shared" si="0"/>
        <v>57.800000000000004</v>
      </c>
      <c r="U79" s="538">
        <v>61.8</v>
      </c>
      <c r="V79" s="633" t="s">
        <v>891</v>
      </c>
      <c r="W79" s="732"/>
      <c r="X79" s="732"/>
      <c r="Y79" s="732"/>
      <c r="Z79" s="732"/>
      <c r="AA79" s="732"/>
    </row>
    <row r="80" spans="1:27" ht="120">
      <c r="A80" s="712"/>
      <c r="B80" s="712"/>
      <c r="C80" s="712"/>
      <c r="D80" s="537">
        <v>74</v>
      </c>
      <c r="E80" s="537" t="s">
        <v>155</v>
      </c>
      <c r="F80" s="1243">
        <v>58.5</v>
      </c>
      <c r="G80" s="1243"/>
      <c r="H80" s="1079"/>
      <c r="I80" s="1079"/>
      <c r="J80" s="1079"/>
      <c r="K80" s="1079"/>
      <c r="L80" s="1079"/>
      <c r="M80" s="1079"/>
      <c r="N80" s="1079"/>
      <c r="O80" s="1079"/>
      <c r="P80" s="1079"/>
      <c r="Q80" s="1079"/>
      <c r="R80" s="1079"/>
      <c r="S80" s="1079"/>
      <c r="T80" s="538">
        <f t="shared" si="0"/>
        <v>58.5</v>
      </c>
      <c r="U80" s="538">
        <v>61.9</v>
      </c>
      <c r="V80" s="1086" t="s">
        <v>892</v>
      </c>
      <c r="W80" s="732"/>
      <c r="X80" s="732"/>
      <c r="Y80" s="732"/>
      <c r="Z80" s="732"/>
      <c r="AA80" s="732"/>
    </row>
    <row r="81" spans="1:27" ht="195">
      <c r="A81" s="712"/>
      <c r="B81" s="712"/>
      <c r="C81" s="712"/>
      <c r="D81" s="537">
        <v>75</v>
      </c>
      <c r="E81" s="537" t="s">
        <v>157</v>
      </c>
      <c r="F81" s="1243">
        <v>2.67</v>
      </c>
      <c r="G81" s="1243"/>
      <c r="H81" s="1079"/>
      <c r="I81" s="1079"/>
      <c r="J81" s="1079"/>
      <c r="K81" s="1079"/>
      <c r="L81" s="1079"/>
      <c r="M81" s="1079"/>
      <c r="N81" s="1079"/>
      <c r="O81" s="1079"/>
      <c r="P81" s="1243">
        <v>6.5</v>
      </c>
      <c r="Q81" s="1079"/>
      <c r="R81" s="1079"/>
      <c r="S81" s="1079"/>
      <c r="T81" s="538">
        <f t="shared" si="0"/>
        <v>9.17</v>
      </c>
      <c r="U81" s="538">
        <v>10.9</v>
      </c>
      <c r="V81" s="1086" t="s">
        <v>893</v>
      </c>
      <c r="W81" s="732"/>
      <c r="X81" s="732"/>
      <c r="Y81" s="732"/>
      <c r="Z81" s="732"/>
      <c r="AA81" s="732"/>
    </row>
    <row r="82" spans="1:27" ht="90">
      <c r="A82" s="712"/>
      <c r="B82" s="712"/>
      <c r="C82" s="712"/>
      <c r="D82" s="537">
        <v>76</v>
      </c>
      <c r="E82" s="537" t="s">
        <v>159</v>
      </c>
      <c r="F82" s="1079"/>
      <c r="G82" s="1079"/>
      <c r="H82" s="1079"/>
      <c r="I82" s="1079"/>
      <c r="J82" s="1079"/>
      <c r="K82" s="1243"/>
      <c r="L82" s="1079"/>
      <c r="M82" s="1243">
        <v>2.4</v>
      </c>
      <c r="N82" s="1079"/>
      <c r="O82" s="1079"/>
      <c r="P82" s="1079"/>
      <c r="Q82" s="1079"/>
      <c r="R82" s="1079"/>
      <c r="S82" s="1079"/>
      <c r="T82" s="538">
        <f t="shared" si="0"/>
        <v>2.4</v>
      </c>
      <c r="U82" s="538">
        <v>2.8</v>
      </c>
      <c r="V82" s="1086" t="s">
        <v>716</v>
      </c>
      <c r="W82" s="732"/>
      <c r="X82" s="732"/>
      <c r="Y82" s="732"/>
      <c r="Z82" s="732"/>
      <c r="AA82" s="732"/>
    </row>
    <row r="83" spans="1:27" ht="375">
      <c r="A83" s="712"/>
      <c r="B83" s="712"/>
      <c r="C83" s="712"/>
      <c r="D83" s="537">
        <v>77</v>
      </c>
      <c r="E83" s="537" t="s">
        <v>161</v>
      </c>
      <c r="F83" s="1243">
        <v>1.8</v>
      </c>
      <c r="G83" s="1243">
        <v>2</v>
      </c>
      <c r="H83" s="1243"/>
      <c r="I83" s="1243">
        <v>2</v>
      </c>
      <c r="J83" s="1079"/>
      <c r="K83" s="1243"/>
      <c r="L83" s="1079">
        <v>5</v>
      </c>
      <c r="M83" s="1243"/>
      <c r="N83" s="1243">
        <v>0.4</v>
      </c>
      <c r="O83" s="1079"/>
      <c r="P83" s="1079"/>
      <c r="Q83" s="1079"/>
      <c r="R83" s="1079"/>
      <c r="S83" s="1243"/>
      <c r="T83" s="538">
        <f t="shared" si="0"/>
        <v>11.200000000000001</v>
      </c>
      <c r="U83" s="538">
        <v>12.6</v>
      </c>
      <c r="V83" s="1086" t="s">
        <v>894</v>
      </c>
      <c r="W83" s="732"/>
      <c r="X83" s="732"/>
      <c r="Y83" s="732"/>
      <c r="Z83" s="732"/>
      <c r="AA83" s="732"/>
    </row>
    <row r="84" spans="1:27" ht="165">
      <c r="A84" s="712"/>
      <c r="B84" s="712"/>
      <c r="C84" s="712"/>
      <c r="D84" s="537">
        <v>78</v>
      </c>
      <c r="E84" s="537" t="s">
        <v>163</v>
      </c>
      <c r="F84" s="1079"/>
      <c r="G84" s="1079"/>
      <c r="H84" s="1079"/>
      <c r="I84" s="1079"/>
      <c r="J84" s="1079"/>
      <c r="K84" s="1079"/>
      <c r="L84" s="1079"/>
      <c r="M84" s="1079"/>
      <c r="N84" s="1079"/>
      <c r="O84" s="1079"/>
      <c r="P84" s="1079"/>
      <c r="Q84" s="1243">
        <v>10.5</v>
      </c>
      <c r="R84" s="1079"/>
      <c r="S84" s="1079"/>
      <c r="T84" s="538">
        <f t="shared" si="0"/>
        <v>10.5</v>
      </c>
      <c r="U84" s="538">
        <v>10.5</v>
      </c>
      <c r="V84" s="1086" t="s">
        <v>558</v>
      </c>
      <c r="W84" s="732"/>
      <c r="X84" s="732"/>
      <c r="Y84" s="732"/>
      <c r="Z84" s="732"/>
      <c r="AA84" s="732"/>
    </row>
    <row r="85" spans="1:27" ht="18" customHeight="1">
      <c r="A85" s="712"/>
      <c r="B85" s="707"/>
      <c r="C85" s="707"/>
      <c r="D85" s="537">
        <v>79</v>
      </c>
      <c r="E85" s="537" t="s">
        <v>53</v>
      </c>
      <c r="F85" s="1079"/>
      <c r="G85" s="1079"/>
      <c r="H85" s="1079"/>
      <c r="I85" s="1079"/>
      <c r="J85" s="1079"/>
      <c r="K85" s="1079"/>
      <c r="L85" s="1079"/>
      <c r="M85" s="1079"/>
      <c r="N85" s="1079"/>
      <c r="O85" s="1079"/>
      <c r="P85" s="1079"/>
      <c r="Q85" s="1079"/>
      <c r="R85" s="1079"/>
      <c r="S85" s="1079"/>
      <c r="T85" s="538">
        <f t="shared" si="0"/>
        <v>0</v>
      </c>
      <c r="U85" s="538">
        <f>T85*1.05</f>
        <v>0</v>
      </c>
      <c r="V85" s="1120"/>
      <c r="W85" s="732"/>
      <c r="X85" s="732"/>
      <c r="Y85" s="732"/>
      <c r="Z85" s="732"/>
      <c r="AA85" s="732"/>
    </row>
    <row r="86" spans="1:27" ht="90">
      <c r="A86" s="712"/>
      <c r="B86" s="692" t="s">
        <v>165</v>
      </c>
      <c r="C86" s="692" t="s">
        <v>166</v>
      </c>
      <c r="D86" s="537">
        <v>80</v>
      </c>
      <c r="E86" s="537" t="s">
        <v>167</v>
      </c>
      <c r="F86" s="537"/>
      <c r="G86" s="537"/>
      <c r="H86" s="537"/>
      <c r="I86" s="537"/>
      <c r="J86" s="537"/>
      <c r="K86" s="549"/>
      <c r="L86" s="537"/>
      <c r="M86" s="538"/>
      <c r="N86" s="537"/>
      <c r="O86" s="537"/>
      <c r="P86" s="540">
        <v>3.6</v>
      </c>
      <c r="Q86" s="538">
        <v>1</v>
      </c>
      <c r="R86" s="540"/>
      <c r="S86" s="537"/>
      <c r="T86" s="538">
        <f t="shared" si="0"/>
        <v>4.5999999999999996</v>
      </c>
      <c r="U86" s="538">
        <v>4.5999999999999996</v>
      </c>
      <c r="V86" s="1129" t="s">
        <v>1706</v>
      </c>
      <c r="W86" s="732"/>
      <c r="X86" s="732"/>
      <c r="Y86" s="732"/>
      <c r="Z86" s="732"/>
      <c r="AA86" s="732"/>
    </row>
    <row r="87" spans="1:27" ht="45">
      <c r="A87" s="712"/>
      <c r="B87" s="712"/>
      <c r="C87" s="712"/>
      <c r="D87" s="537">
        <v>81</v>
      </c>
      <c r="E87" s="537" t="s">
        <v>168</v>
      </c>
      <c r="F87" s="537"/>
      <c r="G87" s="537"/>
      <c r="H87" s="537"/>
      <c r="I87" s="537"/>
      <c r="J87" s="537"/>
      <c r="K87" s="537"/>
      <c r="L87" s="537"/>
      <c r="M87" s="538"/>
      <c r="N87" s="538">
        <v>0</v>
      </c>
      <c r="O87" s="537"/>
      <c r="P87" s="540">
        <v>0.1</v>
      </c>
      <c r="Q87" s="540"/>
      <c r="R87" s="537"/>
      <c r="S87" s="537"/>
      <c r="T87" s="538">
        <f t="shared" si="0"/>
        <v>0.1</v>
      </c>
      <c r="U87" s="538">
        <v>0.1</v>
      </c>
      <c r="V87" s="1137" t="s">
        <v>169</v>
      </c>
      <c r="W87" s="732"/>
      <c r="X87" s="732"/>
      <c r="Y87" s="732"/>
      <c r="Z87" s="732"/>
      <c r="AA87" s="732"/>
    </row>
    <row r="88" spans="1:27" ht="45">
      <c r="A88" s="712"/>
      <c r="B88" s="712"/>
      <c r="C88" s="712"/>
      <c r="D88" s="537">
        <v>82</v>
      </c>
      <c r="E88" s="537" t="s">
        <v>170</v>
      </c>
      <c r="F88" s="537"/>
      <c r="G88" s="537"/>
      <c r="H88" s="537"/>
      <c r="I88" s="537"/>
      <c r="J88" s="537"/>
      <c r="K88" s="537"/>
      <c r="L88" s="537"/>
      <c r="M88" s="537"/>
      <c r="N88" s="537"/>
      <c r="O88" s="537"/>
      <c r="P88" s="540"/>
      <c r="Q88" s="537"/>
      <c r="R88" s="537"/>
      <c r="S88" s="537"/>
      <c r="T88" s="538">
        <f t="shared" si="0"/>
        <v>0</v>
      </c>
      <c r="U88" s="538">
        <f>T88*1.05</f>
        <v>0</v>
      </c>
      <c r="V88" s="1137"/>
      <c r="W88" s="732"/>
      <c r="X88" s="732"/>
      <c r="Y88" s="732"/>
      <c r="Z88" s="732"/>
      <c r="AA88" s="732"/>
    </row>
    <row r="89" spans="1:27" ht="180">
      <c r="A89" s="712"/>
      <c r="B89" s="707"/>
      <c r="C89" s="707"/>
      <c r="D89" s="537">
        <v>83</v>
      </c>
      <c r="E89" s="537" t="s">
        <v>172</v>
      </c>
      <c r="F89" s="537"/>
      <c r="G89" s="537"/>
      <c r="H89" s="537"/>
      <c r="I89" s="537"/>
      <c r="J89" s="537"/>
      <c r="K89" s="539">
        <v>0.5</v>
      </c>
      <c r="L89" s="537"/>
      <c r="M89" s="540"/>
      <c r="N89" s="538"/>
      <c r="O89" s="537"/>
      <c r="P89" s="592">
        <v>1.5</v>
      </c>
      <c r="Q89" s="538"/>
      <c r="R89" s="540"/>
      <c r="S89" s="537"/>
      <c r="T89" s="538">
        <f t="shared" si="0"/>
        <v>2</v>
      </c>
      <c r="U89" s="538">
        <v>2</v>
      </c>
      <c r="V89" s="1137" t="s">
        <v>1701</v>
      </c>
      <c r="W89" s="732"/>
      <c r="X89" s="732"/>
      <c r="Y89" s="732"/>
      <c r="Z89" s="732"/>
      <c r="AA89" s="732"/>
    </row>
    <row r="90" spans="1:27" ht="107.25" customHeight="1">
      <c r="A90" s="712"/>
      <c r="B90" s="537" t="s">
        <v>173</v>
      </c>
      <c r="C90" s="537" t="s">
        <v>174</v>
      </c>
      <c r="D90" s="537">
        <v>84</v>
      </c>
      <c r="E90" s="537" t="s">
        <v>175</v>
      </c>
      <c r="F90" s="537"/>
      <c r="G90" s="537"/>
      <c r="H90" s="537"/>
      <c r="I90" s="538"/>
      <c r="J90" s="537"/>
      <c r="K90" s="538"/>
      <c r="L90" s="537"/>
      <c r="M90" s="537"/>
      <c r="N90" s="593">
        <v>1</v>
      </c>
      <c r="O90" s="537"/>
      <c r="P90" s="537"/>
      <c r="Q90" s="538">
        <v>1.5</v>
      </c>
      <c r="R90" s="592">
        <v>0.5</v>
      </c>
      <c r="S90" s="537"/>
      <c r="T90" s="538">
        <f t="shared" si="0"/>
        <v>3</v>
      </c>
      <c r="U90" s="538">
        <v>3</v>
      </c>
      <c r="V90" s="1065" t="s">
        <v>1702</v>
      </c>
      <c r="W90" s="732"/>
      <c r="X90" s="732"/>
      <c r="Y90" s="732"/>
      <c r="Z90" s="732"/>
      <c r="AA90" s="732"/>
    </row>
    <row r="91" spans="1:27" ht="105">
      <c r="A91" s="712"/>
      <c r="B91" s="537" t="s">
        <v>176</v>
      </c>
      <c r="C91" s="537" t="s">
        <v>177</v>
      </c>
      <c r="D91" s="537">
        <v>85</v>
      </c>
      <c r="E91" s="537" t="s">
        <v>178</v>
      </c>
      <c r="F91" s="537"/>
      <c r="G91" s="537"/>
      <c r="H91" s="537"/>
      <c r="I91" s="537"/>
      <c r="J91" s="537"/>
      <c r="K91" s="538"/>
      <c r="L91" s="537"/>
      <c r="M91" s="537"/>
      <c r="N91" s="539">
        <v>0.5</v>
      </c>
      <c r="O91" s="537"/>
      <c r="P91" s="537"/>
      <c r="Q91" s="538">
        <v>1</v>
      </c>
      <c r="R91" s="540"/>
      <c r="S91" s="537"/>
      <c r="T91" s="538">
        <f t="shared" si="0"/>
        <v>1.5</v>
      </c>
      <c r="U91" s="538">
        <v>1.5</v>
      </c>
      <c r="V91" s="1065" t="s">
        <v>424</v>
      </c>
      <c r="W91" s="732"/>
      <c r="X91" s="732"/>
      <c r="Y91" s="732"/>
      <c r="Z91" s="732"/>
      <c r="AA91" s="732"/>
    </row>
    <row r="92" spans="1:27" ht="39.75" customHeight="1">
      <c r="A92" s="712"/>
      <c r="B92" s="537" t="s">
        <v>180</v>
      </c>
      <c r="C92" s="537" t="s">
        <v>53</v>
      </c>
      <c r="D92" s="537">
        <v>86</v>
      </c>
      <c r="E92" s="537" t="s">
        <v>181</v>
      </c>
      <c r="F92" s="537"/>
      <c r="G92" s="537"/>
      <c r="H92" s="537"/>
      <c r="I92" s="537"/>
      <c r="J92" s="537"/>
      <c r="K92" s="537"/>
      <c r="L92" s="537"/>
      <c r="M92" s="537"/>
      <c r="N92" s="537"/>
      <c r="O92" s="537"/>
      <c r="P92" s="537"/>
      <c r="Q92" s="537"/>
      <c r="R92" s="537"/>
      <c r="S92" s="537"/>
      <c r="T92" s="538">
        <f t="shared" si="0"/>
        <v>0</v>
      </c>
      <c r="U92" s="538">
        <f>T92*1.05</f>
        <v>0</v>
      </c>
      <c r="V92" s="1065"/>
      <c r="W92" s="732"/>
      <c r="X92" s="732"/>
      <c r="Y92" s="732"/>
      <c r="Z92" s="732"/>
      <c r="AA92" s="732"/>
    </row>
    <row r="93" spans="1:27" ht="39.75" customHeight="1">
      <c r="A93" s="707"/>
      <c r="B93" s="695" t="s">
        <v>182</v>
      </c>
      <c r="C93" s="709"/>
      <c r="D93" s="710"/>
      <c r="E93" s="570"/>
      <c r="F93" s="570">
        <f t="shared" ref="F93:S93" si="11">SUM(F69:F92)</f>
        <v>65.47</v>
      </c>
      <c r="G93" s="570">
        <f t="shared" si="11"/>
        <v>4.5</v>
      </c>
      <c r="H93" s="570">
        <f t="shared" si="11"/>
        <v>0</v>
      </c>
      <c r="I93" s="570">
        <f t="shared" si="11"/>
        <v>11.652000000000001</v>
      </c>
      <c r="J93" s="570">
        <f t="shared" si="11"/>
        <v>0</v>
      </c>
      <c r="K93" s="570">
        <f t="shared" si="11"/>
        <v>0.5</v>
      </c>
      <c r="L93" s="570">
        <f t="shared" si="11"/>
        <v>8.1</v>
      </c>
      <c r="M93" s="594">
        <f t="shared" si="11"/>
        <v>13.58</v>
      </c>
      <c r="N93" s="595">
        <f t="shared" si="11"/>
        <v>29.650999999999996</v>
      </c>
      <c r="O93" s="570">
        <f t="shared" si="11"/>
        <v>101.012</v>
      </c>
      <c r="P93" s="595">
        <f t="shared" si="11"/>
        <v>67.199999999999989</v>
      </c>
      <c r="Q93" s="570">
        <f t="shared" si="11"/>
        <v>23.145299999999999</v>
      </c>
      <c r="R93" s="594">
        <f t="shared" si="11"/>
        <v>37.948099999999997</v>
      </c>
      <c r="S93" s="594">
        <f t="shared" si="11"/>
        <v>24.849999999999998</v>
      </c>
      <c r="T93" s="570">
        <f t="shared" si="0"/>
        <v>387.60840000000002</v>
      </c>
      <c r="U93" s="595">
        <f>SUM(U69:U92)</f>
        <v>398.53840000000002</v>
      </c>
      <c r="V93" s="1065"/>
      <c r="W93" s="732"/>
      <c r="X93" s="732"/>
      <c r="Y93" s="732"/>
      <c r="Z93" s="732"/>
      <c r="AA93" s="732"/>
    </row>
    <row r="94" spans="1:27" ht="39.75" customHeight="1">
      <c r="A94" s="694" t="s">
        <v>183</v>
      </c>
      <c r="B94" s="692" t="s">
        <v>184</v>
      </c>
      <c r="C94" s="692" t="s">
        <v>185</v>
      </c>
      <c r="D94" s="537">
        <v>87</v>
      </c>
      <c r="E94" s="537" t="s">
        <v>186</v>
      </c>
      <c r="F94" s="596">
        <v>0</v>
      </c>
      <c r="G94" s="572"/>
      <c r="H94" s="572"/>
      <c r="I94" s="572"/>
      <c r="J94" s="572"/>
      <c r="K94" s="577">
        <v>6</v>
      </c>
      <c r="L94" s="572"/>
      <c r="M94" s="572"/>
      <c r="N94" s="572"/>
      <c r="O94" s="572"/>
      <c r="P94" s="572"/>
      <c r="Q94" s="572"/>
      <c r="R94" s="572"/>
      <c r="S94" s="572"/>
      <c r="T94" s="538">
        <f t="shared" si="0"/>
        <v>6</v>
      </c>
      <c r="U94" s="597">
        <v>0</v>
      </c>
      <c r="V94" s="526" t="s">
        <v>895</v>
      </c>
      <c r="W94" s="526"/>
      <c r="X94" s="732"/>
      <c r="Y94" s="732"/>
      <c r="Z94" s="732"/>
      <c r="AA94" s="732"/>
    </row>
    <row r="95" spans="1:27" ht="39.75" customHeight="1">
      <c r="A95" s="712"/>
      <c r="B95" s="712"/>
      <c r="C95" s="712"/>
      <c r="D95" s="537">
        <v>88</v>
      </c>
      <c r="E95" s="537" t="s">
        <v>188</v>
      </c>
      <c r="F95" s="588"/>
      <c r="G95" s="589"/>
      <c r="H95" s="589"/>
      <c r="I95" s="589"/>
      <c r="J95" s="589"/>
      <c r="K95" s="589"/>
      <c r="L95" s="589"/>
      <c r="M95" s="589"/>
      <c r="N95" s="589"/>
      <c r="O95" s="589"/>
      <c r="P95" s="598">
        <v>8</v>
      </c>
      <c r="Q95" s="589"/>
      <c r="R95" s="589"/>
      <c r="S95" s="589"/>
      <c r="T95" s="538">
        <f t="shared" si="0"/>
        <v>8</v>
      </c>
      <c r="U95" s="599">
        <v>8</v>
      </c>
      <c r="V95" s="527" t="s">
        <v>896</v>
      </c>
      <c r="W95" s="527" t="s">
        <v>896</v>
      </c>
      <c r="X95" s="732"/>
      <c r="Y95" s="732"/>
      <c r="Z95" s="732"/>
      <c r="AA95" s="732"/>
    </row>
    <row r="96" spans="1:27" ht="39.75" customHeight="1">
      <c r="A96" s="712"/>
      <c r="B96" s="712"/>
      <c r="C96" s="712"/>
      <c r="D96" s="537">
        <v>89</v>
      </c>
      <c r="E96" s="537" t="s">
        <v>190</v>
      </c>
      <c r="F96" s="588"/>
      <c r="G96" s="589"/>
      <c r="H96" s="589"/>
      <c r="I96" s="589"/>
      <c r="J96" s="589"/>
      <c r="K96" s="589"/>
      <c r="L96" s="589"/>
      <c r="M96" s="589"/>
      <c r="N96" s="589"/>
      <c r="O96" s="589"/>
      <c r="P96" s="589"/>
      <c r="Q96" s="589"/>
      <c r="R96" s="589"/>
      <c r="S96" s="589"/>
      <c r="T96" s="538">
        <f t="shared" si="0"/>
        <v>0</v>
      </c>
      <c r="U96" s="599">
        <v>0</v>
      </c>
      <c r="V96" s="527"/>
      <c r="W96" s="527"/>
      <c r="X96" s="732"/>
      <c r="Y96" s="732"/>
      <c r="Z96" s="732"/>
      <c r="AA96" s="732"/>
    </row>
    <row r="97" spans="1:27" ht="39.75" customHeight="1">
      <c r="A97" s="712"/>
      <c r="B97" s="712"/>
      <c r="C97" s="712"/>
      <c r="D97" s="537">
        <v>90</v>
      </c>
      <c r="E97" s="537" t="s">
        <v>191</v>
      </c>
      <c r="F97" s="588"/>
      <c r="G97" s="589"/>
      <c r="H97" s="589"/>
      <c r="I97" s="589"/>
      <c r="J97" s="589"/>
      <c r="K97" s="589"/>
      <c r="L97" s="589"/>
      <c r="M97" s="589"/>
      <c r="N97" s="589"/>
      <c r="O97" s="589"/>
      <c r="P97" s="598"/>
      <c r="Q97" s="589"/>
      <c r="R97" s="589"/>
      <c r="S97" s="589"/>
      <c r="T97" s="538">
        <f t="shared" si="0"/>
        <v>0</v>
      </c>
      <c r="U97" s="599">
        <v>0</v>
      </c>
      <c r="V97" s="527"/>
      <c r="W97" s="527"/>
      <c r="X97" s="732"/>
      <c r="Y97" s="732"/>
      <c r="Z97" s="732"/>
      <c r="AA97" s="732"/>
    </row>
    <row r="98" spans="1:27" ht="39.75" customHeight="1">
      <c r="A98" s="712"/>
      <c r="B98" s="712"/>
      <c r="C98" s="712"/>
      <c r="D98" s="537">
        <v>91</v>
      </c>
      <c r="E98" s="537" t="s">
        <v>192</v>
      </c>
      <c r="F98" s="588"/>
      <c r="G98" s="589"/>
      <c r="H98" s="589"/>
      <c r="I98" s="589"/>
      <c r="J98" s="589"/>
      <c r="K98" s="567">
        <v>0</v>
      </c>
      <c r="L98" s="589"/>
      <c r="M98" s="589"/>
      <c r="N98" s="589"/>
      <c r="O98" s="589"/>
      <c r="P98" s="598">
        <v>0</v>
      </c>
      <c r="Q98" s="589"/>
      <c r="R98" s="589"/>
      <c r="S98" s="589"/>
      <c r="T98" s="538">
        <f t="shared" si="0"/>
        <v>0</v>
      </c>
      <c r="U98" s="599">
        <v>0</v>
      </c>
      <c r="V98" s="528"/>
      <c r="W98" s="528"/>
      <c r="X98" s="732"/>
      <c r="Y98" s="732"/>
      <c r="Z98" s="732"/>
      <c r="AA98" s="732"/>
    </row>
    <row r="99" spans="1:27" ht="39.75" customHeight="1">
      <c r="A99" s="712"/>
      <c r="B99" s="712"/>
      <c r="C99" s="712"/>
      <c r="D99" s="537">
        <v>92</v>
      </c>
      <c r="E99" s="537" t="s">
        <v>193</v>
      </c>
      <c r="F99" s="588"/>
      <c r="G99" s="589"/>
      <c r="H99" s="589"/>
      <c r="I99" s="589"/>
      <c r="J99" s="589"/>
      <c r="K99" s="589"/>
      <c r="L99" s="589"/>
      <c r="M99" s="589"/>
      <c r="N99" s="589"/>
      <c r="O99" s="589"/>
      <c r="P99" s="598">
        <v>0</v>
      </c>
      <c r="Q99" s="589"/>
      <c r="R99" s="589"/>
      <c r="S99" s="589"/>
      <c r="T99" s="538">
        <f t="shared" si="0"/>
        <v>0</v>
      </c>
      <c r="U99" s="599">
        <v>0</v>
      </c>
      <c r="V99" s="528"/>
      <c r="W99" s="528"/>
      <c r="X99" s="732"/>
      <c r="Y99" s="732"/>
      <c r="Z99" s="732"/>
      <c r="AA99" s="732"/>
    </row>
    <row r="100" spans="1:27" ht="39.75" customHeight="1">
      <c r="A100" s="712"/>
      <c r="B100" s="712"/>
      <c r="C100" s="712"/>
      <c r="D100" s="537">
        <v>93</v>
      </c>
      <c r="E100" s="537" t="s">
        <v>195</v>
      </c>
      <c r="F100" s="588"/>
      <c r="G100" s="589"/>
      <c r="H100" s="589"/>
      <c r="I100" s="598"/>
      <c r="J100" s="589"/>
      <c r="K100" s="589"/>
      <c r="L100" s="589"/>
      <c r="M100" s="589"/>
      <c r="N100" s="589"/>
      <c r="O100" s="589"/>
      <c r="P100" s="589"/>
      <c r="Q100" s="589"/>
      <c r="R100" s="589"/>
      <c r="S100" s="589"/>
      <c r="T100" s="538">
        <f t="shared" si="0"/>
        <v>0</v>
      </c>
      <c r="U100" s="599">
        <v>0</v>
      </c>
      <c r="V100" s="528"/>
      <c r="W100" s="528"/>
      <c r="X100" s="732"/>
      <c r="Y100" s="732"/>
      <c r="Z100" s="732"/>
      <c r="AA100" s="732"/>
    </row>
    <row r="101" spans="1:27" ht="39.75" customHeight="1">
      <c r="A101" s="712"/>
      <c r="B101" s="712"/>
      <c r="C101" s="712"/>
      <c r="D101" s="537">
        <v>94</v>
      </c>
      <c r="E101" s="537" t="s">
        <v>196</v>
      </c>
      <c r="F101" s="588"/>
      <c r="G101" s="589"/>
      <c r="H101" s="589"/>
      <c r="I101" s="598"/>
      <c r="J101" s="589"/>
      <c r="K101" s="589"/>
      <c r="L101" s="589"/>
      <c r="M101" s="589"/>
      <c r="N101" s="589"/>
      <c r="O101" s="589"/>
      <c r="P101" s="589"/>
      <c r="Q101" s="589"/>
      <c r="R101" s="589"/>
      <c r="S101" s="589"/>
      <c r="T101" s="538">
        <f t="shared" si="0"/>
        <v>0</v>
      </c>
      <c r="U101" s="599">
        <v>0</v>
      </c>
      <c r="V101" s="528"/>
      <c r="W101" s="528"/>
      <c r="X101" s="732"/>
      <c r="Y101" s="732"/>
      <c r="Z101" s="732"/>
      <c r="AA101" s="732"/>
    </row>
    <row r="102" spans="1:27" ht="39.75" customHeight="1">
      <c r="A102" s="712"/>
      <c r="B102" s="712"/>
      <c r="C102" s="712"/>
      <c r="D102" s="537">
        <v>95</v>
      </c>
      <c r="E102" s="537" t="s">
        <v>197</v>
      </c>
      <c r="F102" s="588"/>
      <c r="G102" s="589"/>
      <c r="H102" s="598"/>
      <c r="I102" s="567">
        <v>3</v>
      </c>
      <c r="J102" s="589"/>
      <c r="K102" s="589"/>
      <c r="L102" s="589"/>
      <c r="M102" s="589"/>
      <c r="N102" s="589"/>
      <c r="O102" s="589"/>
      <c r="P102" s="589"/>
      <c r="Q102" s="589"/>
      <c r="R102" s="589"/>
      <c r="S102" s="589"/>
      <c r="T102" s="538">
        <f t="shared" si="0"/>
        <v>3</v>
      </c>
      <c r="U102" s="599">
        <v>0</v>
      </c>
      <c r="V102" s="1139" t="s">
        <v>897</v>
      </c>
      <c r="W102" s="527"/>
      <c r="X102" s="732"/>
      <c r="Y102" s="732"/>
      <c r="Z102" s="732"/>
      <c r="AA102" s="732"/>
    </row>
    <row r="103" spans="1:27" ht="165">
      <c r="A103" s="712"/>
      <c r="B103" s="707"/>
      <c r="C103" s="707"/>
      <c r="D103" s="537">
        <v>96</v>
      </c>
      <c r="E103" s="537" t="s">
        <v>199</v>
      </c>
      <c r="F103" s="588"/>
      <c r="G103" s="589"/>
      <c r="H103" s="589"/>
      <c r="I103" s="589"/>
      <c r="J103" s="589"/>
      <c r="K103" s="589"/>
      <c r="L103" s="589"/>
      <c r="M103" s="589"/>
      <c r="N103" s="600"/>
      <c r="O103" s="589"/>
      <c r="P103" s="542">
        <v>4</v>
      </c>
      <c r="Q103" s="567">
        <v>1</v>
      </c>
      <c r="R103" s="598">
        <v>1</v>
      </c>
      <c r="S103" s="589"/>
      <c r="T103" s="538">
        <f t="shared" si="0"/>
        <v>6</v>
      </c>
      <c r="U103" s="599">
        <v>6</v>
      </c>
      <c r="V103" s="1139" t="s">
        <v>898</v>
      </c>
      <c r="W103" s="527" t="s">
        <v>898</v>
      </c>
      <c r="X103" s="732"/>
      <c r="Y103" s="732"/>
      <c r="Z103" s="732"/>
      <c r="AA103" s="732"/>
    </row>
    <row r="104" spans="1:27" ht="240">
      <c r="A104" s="712"/>
      <c r="B104" s="692" t="s">
        <v>201</v>
      </c>
      <c r="C104" s="692" t="s">
        <v>202</v>
      </c>
      <c r="D104" s="537">
        <v>97</v>
      </c>
      <c r="E104" s="537" t="s">
        <v>203</v>
      </c>
      <c r="F104" s="601"/>
      <c r="G104" s="602"/>
      <c r="H104" s="602"/>
      <c r="I104" s="603">
        <v>1</v>
      </c>
      <c r="J104" s="602"/>
      <c r="K104" s="603">
        <v>0</v>
      </c>
      <c r="L104" s="602"/>
      <c r="M104" s="603"/>
      <c r="N104" s="603">
        <v>3.75</v>
      </c>
      <c r="O104" s="602">
        <v>5</v>
      </c>
      <c r="P104" s="604">
        <v>15.35</v>
      </c>
      <c r="Q104" s="603">
        <v>2.5</v>
      </c>
      <c r="R104" s="604">
        <v>18</v>
      </c>
      <c r="S104" s="602"/>
      <c r="T104" s="605">
        <v>45.6</v>
      </c>
      <c r="U104" s="605">
        <v>45.6</v>
      </c>
      <c r="V104" s="1140" t="s">
        <v>204</v>
      </c>
      <c r="W104" s="1141"/>
      <c r="X104" s="732"/>
      <c r="Y104" s="732"/>
      <c r="Z104" s="732"/>
      <c r="AA104" s="732"/>
    </row>
    <row r="105" spans="1:27" ht="39.75" customHeight="1">
      <c r="A105" s="712"/>
      <c r="B105" s="707"/>
      <c r="C105" s="707"/>
      <c r="D105" s="537">
        <v>98</v>
      </c>
      <c r="E105" s="537" t="s">
        <v>53</v>
      </c>
      <c r="F105" s="606"/>
      <c r="G105" s="607"/>
      <c r="H105" s="607"/>
      <c r="I105" s="607"/>
      <c r="J105" s="607"/>
      <c r="K105" s="607"/>
      <c r="L105" s="607"/>
      <c r="M105" s="607"/>
      <c r="N105" s="607"/>
      <c r="O105" s="607"/>
      <c r="P105" s="607"/>
      <c r="Q105" s="607"/>
      <c r="R105" s="607"/>
      <c r="S105" s="607"/>
      <c r="T105" s="608">
        <v>0</v>
      </c>
      <c r="U105" s="608">
        <v>0</v>
      </c>
      <c r="V105" s="1142"/>
      <c r="W105" s="1143"/>
      <c r="X105" s="732"/>
      <c r="Y105" s="732"/>
      <c r="Z105" s="732"/>
      <c r="AA105" s="732"/>
    </row>
    <row r="106" spans="1:27" ht="90">
      <c r="A106" s="712"/>
      <c r="B106" s="692" t="s">
        <v>205</v>
      </c>
      <c r="C106" s="692" t="s">
        <v>206</v>
      </c>
      <c r="D106" s="537">
        <v>99</v>
      </c>
      <c r="E106" s="537" t="s">
        <v>207</v>
      </c>
      <c r="F106" s="606"/>
      <c r="G106" s="607"/>
      <c r="H106" s="609"/>
      <c r="I106" s="608">
        <v>9</v>
      </c>
      <c r="J106" s="607"/>
      <c r="K106" s="608"/>
      <c r="L106" s="607"/>
      <c r="M106" s="607"/>
      <c r="N106" s="608">
        <v>1</v>
      </c>
      <c r="O106" s="607"/>
      <c r="P106" s="607"/>
      <c r="Q106" s="608">
        <v>1</v>
      </c>
      <c r="R106" s="607"/>
      <c r="S106" s="607"/>
      <c r="T106" s="608">
        <v>11</v>
      </c>
      <c r="U106" s="608">
        <v>3</v>
      </c>
      <c r="V106" s="1144" t="s">
        <v>899</v>
      </c>
      <c r="W106" s="1145" t="s">
        <v>429</v>
      </c>
      <c r="X106" s="732"/>
      <c r="Y106" s="732"/>
      <c r="Z106" s="732"/>
      <c r="AA106" s="732"/>
    </row>
    <row r="107" spans="1:27" ht="39.75" customHeight="1">
      <c r="A107" s="712"/>
      <c r="B107" s="712"/>
      <c r="C107" s="712"/>
      <c r="D107" s="537">
        <v>100</v>
      </c>
      <c r="E107" s="537" t="s">
        <v>209</v>
      </c>
      <c r="F107" s="610"/>
      <c r="G107" s="611"/>
      <c r="H107" s="611"/>
      <c r="I107" s="612"/>
      <c r="J107" s="611"/>
      <c r="K107" s="612"/>
      <c r="L107" s="611"/>
      <c r="M107" s="611"/>
      <c r="N107" s="611"/>
      <c r="O107" s="611"/>
      <c r="P107" s="611"/>
      <c r="Q107" s="611"/>
      <c r="R107" s="611"/>
      <c r="S107" s="611"/>
      <c r="T107" s="608">
        <v>0</v>
      </c>
      <c r="U107" s="608">
        <v>0</v>
      </c>
      <c r="V107" s="1144"/>
      <c r="W107" s="1143"/>
      <c r="X107" s="732"/>
      <c r="Y107" s="732"/>
      <c r="Z107" s="732"/>
      <c r="AA107" s="732"/>
    </row>
    <row r="108" spans="1:27" ht="39.75" customHeight="1">
      <c r="A108" s="712"/>
      <c r="B108" s="712"/>
      <c r="C108" s="712"/>
      <c r="D108" s="537">
        <v>101</v>
      </c>
      <c r="E108" s="537" t="s">
        <v>210</v>
      </c>
      <c r="F108" s="610"/>
      <c r="G108" s="611"/>
      <c r="H108" s="611"/>
      <c r="I108" s="611"/>
      <c r="J108" s="611"/>
      <c r="K108" s="611"/>
      <c r="L108" s="611"/>
      <c r="M108" s="611"/>
      <c r="N108" s="611"/>
      <c r="O108" s="611"/>
      <c r="P108" s="611"/>
      <c r="Q108" s="611"/>
      <c r="R108" s="611"/>
      <c r="S108" s="611"/>
      <c r="T108" s="608">
        <v>0</v>
      </c>
      <c r="U108" s="608">
        <v>0</v>
      </c>
      <c r="V108" s="1142"/>
      <c r="W108" s="1143"/>
      <c r="X108" s="732"/>
      <c r="Y108" s="732"/>
      <c r="Z108" s="732"/>
      <c r="AA108" s="732"/>
    </row>
    <row r="109" spans="1:27" ht="39.75" customHeight="1">
      <c r="A109" s="712"/>
      <c r="B109" s="712"/>
      <c r="C109" s="712"/>
      <c r="D109" s="537">
        <v>102</v>
      </c>
      <c r="E109" s="537" t="s">
        <v>211</v>
      </c>
      <c r="F109" s="610"/>
      <c r="G109" s="611"/>
      <c r="H109" s="611"/>
      <c r="I109" s="611"/>
      <c r="J109" s="611"/>
      <c r="K109" s="611"/>
      <c r="L109" s="611"/>
      <c r="M109" s="611"/>
      <c r="N109" s="611"/>
      <c r="O109" s="611"/>
      <c r="P109" s="611"/>
      <c r="Q109" s="612"/>
      <c r="R109" s="611"/>
      <c r="S109" s="611"/>
      <c r="T109" s="608">
        <v>0</v>
      </c>
      <c r="U109" s="608">
        <v>0</v>
      </c>
      <c r="V109" s="1142"/>
      <c r="W109" s="1143"/>
      <c r="X109" s="732"/>
      <c r="Y109" s="732"/>
      <c r="Z109" s="732"/>
      <c r="AA109" s="732"/>
    </row>
    <row r="110" spans="1:27" ht="45">
      <c r="A110" s="712"/>
      <c r="B110" s="707"/>
      <c r="C110" s="707"/>
      <c r="D110" s="537">
        <v>103</v>
      </c>
      <c r="E110" s="537" t="s">
        <v>53</v>
      </c>
      <c r="F110" s="610"/>
      <c r="G110" s="611"/>
      <c r="H110" s="611"/>
      <c r="I110" s="611"/>
      <c r="J110" s="611"/>
      <c r="K110" s="611"/>
      <c r="L110" s="611"/>
      <c r="M110" s="611"/>
      <c r="N110" s="611"/>
      <c r="O110" s="611"/>
      <c r="P110" s="613">
        <v>1.1000000000000001</v>
      </c>
      <c r="Q110" s="611"/>
      <c r="R110" s="613">
        <v>0</v>
      </c>
      <c r="S110" s="613"/>
      <c r="T110" s="608">
        <v>1.1000000000000001</v>
      </c>
      <c r="U110" s="608">
        <v>1.1000000000000001</v>
      </c>
      <c r="V110" s="1144" t="s">
        <v>212</v>
      </c>
      <c r="W110" s="1143"/>
      <c r="X110" s="732"/>
      <c r="Y110" s="732"/>
      <c r="Z110" s="732"/>
      <c r="AA110" s="732"/>
    </row>
    <row r="111" spans="1:27" ht="285">
      <c r="A111" s="712"/>
      <c r="B111" s="692" t="s">
        <v>213</v>
      </c>
      <c r="C111" s="692" t="s">
        <v>214</v>
      </c>
      <c r="D111" s="537">
        <v>104</v>
      </c>
      <c r="E111" s="537" t="s">
        <v>215</v>
      </c>
      <c r="F111" s="1145"/>
      <c r="G111" s="773"/>
      <c r="H111" s="773"/>
      <c r="I111" s="773"/>
      <c r="J111" s="773"/>
      <c r="K111" s="773"/>
      <c r="L111" s="773"/>
      <c r="M111" s="773"/>
      <c r="N111" s="604">
        <v>0.8</v>
      </c>
      <c r="O111" s="773"/>
      <c r="P111" s="604"/>
      <c r="Q111" s="604">
        <v>1.5</v>
      </c>
      <c r="R111" s="1244">
        <v>1.5</v>
      </c>
      <c r="S111" s="1244"/>
      <c r="T111" s="608">
        <v>3.8</v>
      </c>
      <c r="U111" s="608">
        <v>3.8</v>
      </c>
      <c r="V111" s="1144" t="s">
        <v>1639</v>
      </c>
      <c r="W111" s="1143"/>
      <c r="X111" s="732"/>
      <c r="Y111" s="732"/>
      <c r="Z111" s="732"/>
      <c r="AA111" s="732"/>
    </row>
    <row r="112" spans="1:27" ht="75">
      <c r="A112" s="712"/>
      <c r="B112" s="712"/>
      <c r="C112" s="712"/>
      <c r="D112" s="537">
        <v>105</v>
      </c>
      <c r="E112" s="537" t="s">
        <v>216</v>
      </c>
      <c r="F112" s="1145"/>
      <c r="G112" s="773"/>
      <c r="H112" s="773"/>
      <c r="I112" s="773"/>
      <c r="J112" s="773"/>
      <c r="K112" s="773"/>
      <c r="L112" s="773"/>
      <c r="M112" s="773"/>
      <c r="N112" s="773"/>
      <c r="O112" s="773"/>
      <c r="P112" s="1245">
        <v>2</v>
      </c>
      <c r="Q112" s="773"/>
      <c r="R112" s="773"/>
      <c r="S112" s="773"/>
      <c r="T112" s="608">
        <v>2</v>
      </c>
      <c r="U112" s="608">
        <v>2</v>
      </c>
      <c r="V112" s="1142" t="s">
        <v>217</v>
      </c>
      <c r="W112" s="1143"/>
      <c r="X112" s="732"/>
      <c r="Y112" s="732"/>
      <c r="Z112" s="732"/>
      <c r="AA112" s="732"/>
    </row>
    <row r="113" spans="1:27" ht="60">
      <c r="A113" s="712"/>
      <c r="B113" s="707"/>
      <c r="C113" s="707"/>
      <c r="D113" s="537">
        <v>106</v>
      </c>
      <c r="E113" s="537" t="s">
        <v>218</v>
      </c>
      <c r="F113" s="1145"/>
      <c r="G113" s="773"/>
      <c r="H113" s="773"/>
      <c r="I113" s="603"/>
      <c r="J113" s="773"/>
      <c r="K113" s="1246"/>
      <c r="L113" s="773"/>
      <c r="M113" s="773"/>
      <c r="N113" s="1247">
        <v>0.2</v>
      </c>
      <c r="O113" s="773"/>
      <c r="P113" s="1244"/>
      <c r="Q113" s="1246"/>
      <c r="R113" s="1244"/>
      <c r="S113" s="1244"/>
      <c r="T113" s="608">
        <v>0.2</v>
      </c>
      <c r="U113" s="608">
        <v>0.2</v>
      </c>
      <c r="V113" s="1144" t="s">
        <v>219</v>
      </c>
      <c r="W113" s="1143"/>
      <c r="X113" s="732"/>
      <c r="Y113" s="732"/>
      <c r="Z113" s="732"/>
      <c r="AA113" s="732"/>
    </row>
    <row r="114" spans="1:27" ht="90">
      <c r="A114" s="712"/>
      <c r="B114" s="692" t="s">
        <v>220</v>
      </c>
      <c r="C114" s="692" t="s">
        <v>221</v>
      </c>
      <c r="D114" s="537">
        <v>107</v>
      </c>
      <c r="E114" s="537" t="s">
        <v>222</v>
      </c>
      <c r="F114" s="606"/>
      <c r="G114" s="607"/>
      <c r="H114" s="607"/>
      <c r="I114" s="608"/>
      <c r="J114" s="607"/>
      <c r="K114" s="608"/>
      <c r="L114" s="607"/>
      <c r="M114" s="607"/>
      <c r="N114" s="608"/>
      <c r="O114" s="607"/>
      <c r="P114" s="604">
        <v>2.5</v>
      </c>
      <c r="Q114" s="602"/>
      <c r="R114" s="604">
        <v>1</v>
      </c>
      <c r="S114" s="607"/>
      <c r="T114" s="608">
        <v>3.5</v>
      </c>
      <c r="U114" s="608">
        <v>3.5</v>
      </c>
      <c r="V114" s="1144" t="s">
        <v>223</v>
      </c>
      <c r="W114" s="1143"/>
      <c r="X114" s="732"/>
      <c r="Y114" s="732"/>
      <c r="Z114" s="732"/>
      <c r="AA114" s="732"/>
    </row>
    <row r="115" spans="1:27" ht="39.75" customHeight="1">
      <c r="A115" s="712"/>
      <c r="B115" s="712"/>
      <c r="C115" s="712"/>
      <c r="D115" s="537">
        <v>108</v>
      </c>
      <c r="E115" s="537" t="s">
        <v>224</v>
      </c>
      <c r="F115" s="606"/>
      <c r="G115" s="607"/>
      <c r="H115" s="607"/>
      <c r="I115" s="608"/>
      <c r="J115" s="607"/>
      <c r="K115" s="608"/>
      <c r="L115" s="607"/>
      <c r="M115" s="607"/>
      <c r="N115" s="607"/>
      <c r="O115" s="607"/>
      <c r="P115" s="609">
        <v>5.25</v>
      </c>
      <c r="Q115" s="607"/>
      <c r="R115" s="607"/>
      <c r="S115" s="607"/>
      <c r="T115" s="608">
        <v>5.25</v>
      </c>
      <c r="U115" s="608">
        <v>5.25</v>
      </c>
      <c r="V115" s="1148" t="s">
        <v>225</v>
      </c>
      <c r="W115" s="1143"/>
      <c r="X115" s="732"/>
      <c r="Y115" s="732"/>
      <c r="Z115" s="732"/>
      <c r="AA115" s="732"/>
    </row>
    <row r="116" spans="1:27" ht="39.75" customHeight="1">
      <c r="A116" s="712"/>
      <c r="B116" s="712"/>
      <c r="C116" s="712"/>
      <c r="D116" s="537">
        <v>109</v>
      </c>
      <c r="E116" s="537" t="s">
        <v>226</v>
      </c>
      <c r="F116" s="606"/>
      <c r="G116" s="607"/>
      <c r="H116" s="609"/>
      <c r="I116" s="608"/>
      <c r="J116" s="607"/>
      <c r="K116" s="608"/>
      <c r="L116" s="607"/>
      <c r="M116" s="607"/>
      <c r="N116" s="607"/>
      <c r="O116" s="607"/>
      <c r="P116" s="607"/>
      <c r="Q116" s="607"/>
      <c r="R116" s="607"/>
      <c r="S116" s="607"/>
      <c r="T116" s="608">
        <v>0</v>
      </c>
      <c r="U116" s="608">
        <v>0</v>
      </c>
      <c r="V116" s="1142"/>
      <c r="W116" s="1143"/>
      <c r="X116" s="732"/>
      <c r="Y116" s="732"/>
      <c r="Z116" s="732"/>
      <c r="AA116" s="732"/>
    </row>
    <row r="117" spans="1:27" ht="150">
      <c r="A117" s="712"/>
      <c r="B117" s="712"/>
      <c r="C117" s="712"/>
      <c r="D117" s="537">
        <v>110</v>
      </c>
      <c r="E117" s="537" t="s">
        <v>227</v>
      </c>
      <c r="F117" s="606"/>
      <c r="G117" s="607"/>
      <c r="H117" s="607"/>
      <c r="I117" s="608"/>
      <c r="J117" s="607"/>
      <c r="K117" s="608"/>
      <c r="L117" s="607"/>
      <c r="M117" s="609"/>
      <c r="N117" s="608">
        <v>3</v>
      </c>
      <c r="O117" s="609">
        <v>80.83</v>
      </c>
      <c r="P117" s="608"/>
      <c r="Q117" s="609">
        <v>6.1</v>
      </c>
      <c r="R117" s="609">
        <v>3</v>
      </c>
      <c r="S117" s="607"/>
      <c r="T117" s="538">
        <f>SUM(F117:S117)</f>
        <v>92.929999999999993</v>
      </c>
      <c r="U117" s="608">
        <f>T117</f>
        <v>92.929999999999993</v>
      </c>
      <c r="V117" s="1147" t="s">
        <v>900</v>
      </c>
      <c r="W117" s="1143"/>
      <c r="X117" s="732"/>
      <c r="Y117" s="732"/>
      <c r="Z117" s="732"/>
      <c r="AA117" s="732"/>
    </row>
    <row r="118" spans="1:27" ht="45">
      <c r="A118" s="712"/>
      <c r="B118" s="707"/>
      <c r="C118" s="707"/>
      <c r="D118" s="537">
        <v>111</v>
      </c>
      <c r="E118" s="537" t="s">
        <v>53</v>
      </c>
      <c r="F118" s="606"/>
      <c r="G118" s="607"/>
      <c r="H118" s="607"/>
      <c r="I118" s="609"/>
      <c r="J118" s="607"/>
      <c r="K118" s="609"/>
      <c r="L118" s="607"/>
      <c r="M118" s="607"/>
      <c r="N118" s="607"/>
      <c r="O118" s="607"/>
      <c r="P118" s="609"/>
      <c r="Q118" s="608"/>
      <c r="R118" s="607"/>
      <c r="S118" s="609"/>
      <c r="T118" s="608">
        <v>0</v>
      </c>
      <c r="U118" s="608">
        <v>0</v>
      </c>
      <c r="V118" s="1144"/>
      <c r="W118" s="1143"/>
      <c r="X118" s="732"/>
      <c r="Y118" s="732"/>
      <c r="Z118" s="732"/>
      <c r="AA118" s="732"/>
    </row>
    <row r="119" spans="1:27" ht="39.75" customHeight="1">
      <c r="A119" s="712"/>
      <c r="B119" s="692" t="s">
        <v>229</v>
      </c>
      <c r="C119" s="692" t="s">
        <v>230</v>
      </c>
      <c r="D119" s="537">
        <v>112</v>
      </c>
      <c r="E119" s="537" t="s">
        <v>231</v>
      </c>
      <c r="F119" s="606"/>
      <c r="G119" s="607"/>
      <c r="H119" s="607"/>
      <c r="I119" s="608"/>
      <c r="J119" s="607"/>
      <c r="K119" s="608"/>
      <c r="L119" s="607"/>
      <c r="M119" s="607"/>
      <c r="N119" s="607"/>
      <c r="O119" s="607"/>
      <c r="P119" s="607"/>
      <c r="Q119" s="608"/>
      <c r="R119" s="607"/>
      <c r="S119" s="607"/>
      <c r="T119" s="608">
        <v>0</v>
      </c>
      <c r="U119" s="608">
        <v>0</v>
      </c>
      <c r="V119" s="1142"/>
      <c r="W119" s="1143"/>
      <c r="X119" s="732"/>
      <c r="Y119" s="732"/>
      <c r="Z119" s="732"/>
      <c r="AA119" s="732"/>
    </row>
    <row r="120" spans="1:27" ht="39.75" customHeight="1">
      <c r="A120" s="712"/>
      <c r="B120" s="707"/>
      <c r="C120" s="707"/>
      <c r="D120" s="537">
        <v>113</v>
      </c>
      <c r="E120" s="537" t="s">
        <v>232</v>
      </c>
      <c r="F120" s="601"/>
      <c r="G120" s="602"/>
      <c r="H120" s="602"/>
      <c r="I120" s="603"/>
      <c r="J120" s="602"/>
      <c r="K120" s="603"/>
      <c r="L120" s="602"/>
      <c r="M120" s="603"/>
      <c r="N120" s="603">
        <v>0.5</v>
      </c>
      <c r="O120" s="602"/>
      <c r="P120" s="602"/>
      <c r="Q120" s="603">
        <v>0.3</v>
      </c>
      <c r="R120" s="602"/>
      <c r="S120" s="602"/>
      <c r="T120" s="608">
        <v>0.8</v>
      </c>
      <c r="U120" s="608">
        <v>0.8</v>
      </c>
      <c r="V120" s="1144" t="s">
        <v>676</v>
      </c>
      <c r="W120" s="1143"/>
      <c r="X120" s="732"/>
      <c r="Y120" s="732"/>
      <c r="Z120" s="732"/>
      <c r="AA120" s="732"/>
    </row>
    <row r="121" spans="1:27" ht="105">
      <c r="A121" s="712"/>
      <c r="B121" s="537" t="s">
        <v>234</v>
      </c>
      <c r="C121" s="537" t="s">
        <v>235</v>
      </c>
      <c r="D121" s="537">
        <v>114</v>
      </c>
      <c r="E121" s="537" t="s">
        <v>236</v>
      </c>
      <c r="F121" s="606"/>
      <c r="G121" s="607"/>
      <c r="H121" s="609"/>
      <c r="I121" s="607">
        <v>0.21</v>
      </c>
      <c r="J121" s="607"/>
      <c r="K121" s="607"/>
      <c r="L121" s="607"/>
      <c r="M121" s="607"/>
      <c r="N121" s="609">
        <v>0.5</v>
      </c>
      <c r="O121" s="607"/>
      <c r="P121" s="609">
        <v>14.9</v>
      </c>
      <c r="Q121" s="608">
        <v>0.5</v>
      </c>
      <c r="R121" s="609">
        <v>0.5</v>
      </c>
      <c r="S121" s="609"/>
      <c r="T121" s="608">
        <v>16.68</v>
      </c>
      <c r="U121" s="608">
        <v>34.68</v>
      </c>
      <c r="V121" s="1144" t="s">
        <v>497</v>
      </c>
      <c r="W121" s="1143"/>
      <c r="X121" s="732"/>
      <c r="Y121" s="732"/>
      <c r="Z121" s="732"/>
      <c r="AA121" s="732"/>
    </row>
    <row r="122" spans="1:27" ht="90">
      <c r="A122" s="712"/>
      <c r="B122" s="692" t="s">
        <v>238</v>
      </c>
      <c r="C122" s="692" t="s">
        <v>239</v>
      </c>
      <c r="D122" s="537">
        <v>115</v>
      </c>
      <c r="E122" s="537" t="s">
        <v>240</v>
      </c>
      <c r="F122" s="606"/>
      <c r="G122" s="607"/>
      <c r="H122" s="607"/>
      <c r="I122" s="607"/>
      <c r="J122" s="607"/>
      <c r="K122" s="607"/>
      <c r="L122" s="607"/>
      <c r="M122" s="608">
        <v>1</v>
      </c>
      <c r="N122" s="607"/>
      <c r="O122" s="607"/>
      <c r="P122" s="607"/>
      <c r="Q122" s="607">
        <v>7.25</v>
      </c>
      <c r="R122" s="607"/>
      <c r="S122" s="607"/>
      <c r="T122" s="608">
        <v>8.25</v>
      </c>
      <c r="U122" s="608">
        <v>8.25</v>
      </c>
      <c r="V122" s="1144" t="s">
        <v>498</v>
      </c>
      <c r="W122" s="1143"/>
      <c r="X122" s="732"/>
      <c r="Y122" s="732"/>
      <c r="Z122" s="732"/>
      <c r="AA122" s="732"/>
    </row>
    <row r="123" spans="1:27" ht="45">
      <c r="A123" s="712"/>
      <c r="B123" s="712"/>
      <c r="C123" s="712"/>
      <c r="D123" s="537">
        <v>116</v>
      </c>
      <c r="E123" s="537" t="s">
        <v>242</v>
      </c>
      <c r="F123" s="606"/>
      <c r="G123" s="607"/>
      <c r="H123" s="607"/>
      <c r="I123" s="607"/>
      <c r="J123" s="607"/>
      <c r="K123" s="607"/>
      <c r="L123" s="607"/>
      <c r="M123" s="608">
        <v>5.65</v>
      </c>
      <c r="N123" s="607"/>
      <c r="O123" s="607"/>
      <c r="P123" s="607"/>
      <c r="Q123" s="608"/>
      <c r="R123" s="607"/>
      <c r="S123" s="607"/>
      <c r="T123" s="608">
        <v>5.65</v>
      </c>
      <c r="U123" s="608">
        <v>5.65</v>
      </c>
      <c r="V123" s="1144" t="s">
        <v>243</v>
      </c>
      <c r="W123" s="1143"/>
      <c r="X123" s="732"/>
      <c r="Y123" s="732"/>
      <c r="Z123" s="732"/>
      <c r="AA123" s="732"/>
    </row>
    <row r="124" spans="1:27" ht="39.75" customHeight="1">
      <c r="A124" s="712"/>
      <c r="B124" s="712"/>
      <c r="C124" s="712"/>
      <c r="D124" s="537">
        <v>117</v>
      </c>
      <c r="E124" s="537" t="s">
        <v>244</v>
      </c>
      <c r="F124" s="606"/>
      <c r="G124" s="607"/>
      <c r="H124" s="607"/>
      <c r="I124" s="607"/>
      <c r="J124" s="607"/>
      <c r="K124" s="607"/>
      <c r="L124" s="607"/>
      <c r="M124" s="607"/>
      <c r="N124" s="607"/>
      <c r="O124" s="607"/>
      <c r="P124" s="607"/>
      <c r="Q124" s="607"/>
      <c r="R124" s="607"/>
      <c r="S124" s="607"/>
      <c r="T124" s="608">
        <v>0</v>
      </c>
      <c r="U124" s="608">
        <v>0</v>
      </c>
      <c r="V124" s="1142"/>
      <c r="W124" s="1143"/>
      <c r="X124" s="732"/>
      <c r="Y124" s="732"/>
      <c r="Z124" s="732"/>
      <c r="AA124" s="732"/>
    </row>
    <row r="125" spans="1:27" ht="39.75" customHeight="1">
      <c r="A125" s="712"/>
      <c r="B125" s="707"/>
      <c r="C125" s="707"/>
      <c r="D125" s="537">
        <v>118</v>
      </c>
      <c r="E125" s="537" t="s">
        <v>53</v>
      </c>
      <c r="F125" s="606"/>
      <c r="G125" s="607"/>
      <c r="H125" s="607"/>
      <c r="I125" s="607"/>
      <c r="J125" s="607"/>
      <c r="K125" s="607"/>
      <c r="L125" s="607"/>
      <c r="M125" s="607"/>
      <c r="N125" s="607"/>
      <c r="O125" s="607"/>
      <c r="P125" s="607"/>
      <c r="Q125" s="608"/>
      <c r="R125" s="607"/>
      <c r="S125" s="607"/>
      <c r="T125" s="608">
        <v>0</v>
      </c>
      <c r="U125" s="608">
        <v>0</v>
      </c>
      <c r="V125" s="1142"/>
      <c r="W125" s="1143"/>
      <c r="X125" s="732"/>
      <c r="Y125" s="732"/>
      <c r="Z125" s="732"/>
      <c r="AA125" s="732"/>
    </row>
    <row r="126" spans="1:27" ht="90">
      <c r="A126" s="712"/>
      <c r="B126" s="537" t="s">
        <v>245</v>
      </c>
      <c r="C126" s="537" t="s">
        <v>246</v>
      </c>
      <c r="D126" s="537">
        <v>119</v>
      </c>
      <c r="E126" s="537" t="s">
        <v>247</v>
      </c>
      <c r="F126" s="601"/>
      <c r="G126" s="602"/>
      <c r="H126" s="604"/>
      <c r="I126" s="603"/>
      <c r="J126" s="602"/>
      <c r="K126" s="602"/>
      <c r="L126" s="602"/>
      <c r="M126" s="602"/>
      <c r="N126" s="603">
        <v>2</v>
      </c>
      <c r="O126" s="602"/>
      <c r="P126" s="604">
        <v>8</v>
      </c>
      <c r="Q126" s="603"/>
      <c r="R126" s="602"/>
      <c r="S126" s="602">
        <v>0</v>
      </c>
      <c r="T126" s="608">
        <v>10</v>
      </c>
      <c r="U126" s="608">
        <v>10</v>
      </c>
      <c r="V126" s="1144" t="s">
        <v>248</v>
      </c>
      <c r="W126" s="1143"/>
      <c r="X126" s="732"/>
      <c r="Y126" s="732"/>
      <c r="Z126" s="732"/>
      <c r="AA126" s="732"/>
    </row>
    <row r="127" spans="1:27" ht="39.75" customHeight="1">
      <c r="A127" s="712"/>
      <c r="B127" s="537" t="s">
        <v>249</v>
      </c>
      <c r="C127" s="537" t="s">
        <v>250</v>
      </c>
      <c r="D127" s="537">
        <v>120</v>
      </c>
      <c r="E127" s="537" t="s">
        <v>251</v>
      </c>
      <c r="F127" s="606"/>
      <c r="G127" s="607"/>
      <c r="H127" s="607"/>
      <c r="I127" s="607"/>
      <c r="J127" s="607"/>
      <c r="K127" s="609"/>
      <c r="L127" s="607"/>
      <c r="M127" s="609"/>
      <c r="N127" s="608"/>
      <c r="O127" s="607"/>
      <c r="P127" s="609"/>
      <c r="Q127" s="608"/>
      <c r="R127" s="609"/>
      <c r="S127" s="607"/>
      <c r="T127" s="608">
        <v>0</v>
      </c>
      <c r="U127" s="608">
        <v>0</v>
      </c>
      <c r="V127" s="1142"/>
      <c r="W127" s="1143"/>
      <c r="X127" s="732"/>
      <c r="Y127" s="732"/>
      <c r="Z127" s="732"/>
      <c r="AA127" s="732"/>
    </row>
    <row r="128" spans="1:27" ht="90">
      <c r="A128" s="712"/>
      <c r="B128" s="692" t="s">
        <v>252</v>
      </c>
      <c r="C128" s="692" t="s">
        <v>253</v>
      </c>
      <c r="D128" s="537">
        <v>121</v>
      </c>
      <c r="E128" s="537" t="s">
        <v>254</v>
      </c>
      <c r="F128" s="596">
        <v>0</v>
      </c>
      <c r="G128" s="576">
        <v>0</v>
      </c>
      <c r="H128" s="576">
        <v>0</v>
      </c>
      <c r="I128" s="577">
        <v>0</v>
      </c>
      <c r="J128" s="576">
        <v>0</v>
      </c>
      <c r="K128" s="576">
        <v>0</v>
      </c>
      <c r="L128" s="576">
        <v>0</v>
      </c>
      <c r="M128" s="576">
        <v>0</v>
      </c>
      <c r="N128" s="576">
        <v>0.96</v>
      </c>
      <c r="O128" s="576">
        <v>0</v>
      </c>
      <c r="P128" s="576">
        <v>0</v>
      </c>
      <c r="Q128" s="576">
        <v>0</v>
      </c>
      <c r="R128" s="576">
        <v>0</v>
      </c>
      <c r="S128" s="576">
        <v>0</v>
      </c>
      <c r="T128" s="538">
        <f t="shared" ref="T128:T130" si="12">SUM(F128:S128)</f>
        <v>0.96</v>
      </c>
      <c r="U128" s="614">
        <v>1.92</v>
      </c>
      <c r="V128" s="1113" t="s">
        <v>433</v>
      </c>
      <c r="W128" s="525" t="s">
        <v>901</v>
      </c>
      <c r="X128" s="732"/>
      <c r="Y128" s="732"/>
      <c r="Z128" s="732"/>
      <c r="AA128" s="732"/>
    </row>
    <row r="129" spans="1:27" ht="39.75" customHeight="1">
      <c r="A129" s="712"/>
      <c r="B129" s="712"/>
      <c r="C129" s="712"/>
      <c r="D129" s="537">
        <v>122</v>
      </c>
      <c r="E129" s="537" t="s">
        <v>256</v>
      </c>
      <c r="F129" s="615">
        <v>0</v>
      </c>
      <c r="G129" s="616">
        <v>0</v>
      </c>
      <c r="H129" s="616">
        <v>0</v>
      </c>
      <c r="I129" s="616">
        <v>0</v>
      </c>
      <c r="J129" s="616">
        <v>0</v>
      </c>
      <c r="K129" s="616">
        <v>0</v>
      </c>
      <c r="L129" s="616">
        <v>0</v>
      </c>
      <c r="M129" s="616">
        <v>0</v>
      </c>
      <c r="N129" s="616">
        <v>0</v>
      </c>
      <c r="O129" s="616">
        <v>0</v>
      </c>
      <c r="P129" s="616">
        <v>0</v>
      </c>
      <c r="Q129" s="616">
        <v>0</v>
      </c>
      <c r="R129" s="616">
        <v>0</v>
      </c>
      <c r="S129" s="616">
        <v>0</v>
      </c>
      <c r="T129" s="538">
        <f t="shared" si="12"/>
        <v>0</v>
      </c>
      <c r="U129" s="599">
        <v>0</v>
      </c>
      <c r="V129" s="529"/>
      <c r="W129" s="529"/>
      <c r="X129" s="732"/>
      <c r="Y129" s="732"/>
      <c r="Z129" s="732"/>
      <c r="AA129" s="732"/>
    </row>
    <row r="130" spans="1:27" ht="90">
      <c r="A130" s="712"/>
      <c r="B130" s="707"/>
      <c r="C130" s="707"/>
      <c r="D130" s="537">
        <v>123</v>
      </c>
      <c r="E130" s="537" t="s">
        <v>257</v>
      </c>
      <c r="F130" s="615">
        <v>0</v>
      </c>
      <c r="G130" s="616">
        <v>0</v>
      </c>
      <c r="H130" s="616">
        <v>0</v>
      </c>
      <c r="I130" s="616">
        <v>0</v>
      </c>
      <c r="J130" s="616">
        <v>0</v>
      </c>
      <c r="K130" s="616">
        <v>0</v>
      </c>
      <c r="L130" s="616">
        <v>0</v>
      </c>
      <c r="M130" s="616">
        <v>0</v>
      </c>
      <c r="N130" s="616">
        <v>0</v>
      </c>
      <c r="O130" s="616">
        <v>0</v>
      </c>
      <c r="P130" s="617">
        <v>0</v>
      </c>
      <c r="Q130" s="582">
        <v>1.5</v>
      </c>
      <c r="R130" s="616">
        <v>0</v>
      </c>
      <c r="S130" s="616">
        <v>0</v>
      </c>
      <c r="T130" s="538">
        <f t="shared" si="12"/>
        <v>1.5</v>
      </c>
      <c r="U130" s="599">
        <v>1.5</v>
      </c>
      <c r="V130" s="1145" t="s">
        <v>258</v>
      </c>
      <c r="W130" s="529" t="s">
        <v>258</v>
      </c>
      <c r="X130" s="732"/>
      <c r="Y130" s="732"/>
      <c r="Z130" s="732"/>
      <c r="AA130" s="732"/>
    </row>
    <row r="131" spans="1:27" ht="39.75" customHeight="1">
      <c r="A131" s="712"/>
      <c r="B131" s="692" t="s">
        <v>259</v>
      </c>
      <c r="C131" s="692" t="s">
        <v>260</v>
      </c>
      <c r="D131" s="537">
        <v>124</v>
      </c>
      <c r="E131" s="537" t="s">
        <v>261</v>
      </c>
      <c r="F131" s="615"/>
      <c r="G131" s="616"/>
      <c r="H131" s="617"/>
      <c r="I131" s="616"/>
      <c r="J131" s="616"/>
      <c r="K131" s="616"/>
      <c r="L131" s="616"/>
      <c r="M131" s="616"/>
      <c r="N131" s="616">
        <v>1</v>
      </c>
      <c r="O131" s="616"/>
      <c r="P131" s="616"/>
      <c r="Q131" s="617">
        <v>0.5</v>
      </c>
      <c r="R131" s="616"/>
      <c r="S131" s="616"/>
      <c r="T131" s="559">
        <v>1.5</v>
      </c>
      <c r="U131" s="559">
        <v>1.5</v>
      </c>
      <c r="V131" s="1248" t="s">
        <v>902</v>
      </c>
      <c r="W131" s="732"/>
      <c r="X131" s="732"/>
      <c r="Y131" s="732"/>
      <c r="Z131" s="732"/>
      <c r="AA131" s="732"/>
    </row>
    <row r="132" spans="1:27" ht="39.75" customHeight="1">
      <c r="A132" s="712"/>
      <c r="B132" s="707"/>
      <c r="C132" s="707"/>
      <c r="D132" s="537">
        <v>125</v>
      </c>
      <c r="E132" s="537" t="s">
        <v>263</v>
      </c>
      <c r="F132" s="615"/>
      <c r="G132" s="616"/>
      <c r="H132" s="617"/>
      <c r="I132" s="616"/>
      <c r="J132" s="616"/>
      <c r="K132" s="616"/>
      <c r="L132" s="616"/>
      <c r="M132" s="616"/>
      <c r="N132" s="616">
        <v>1</v>
      </c>
      <c r="O132" s="616"/>
      <c r="P132" s="616"/>
      <c r="Q132" s="617">
        <v>0.5</v>
      </c>
      <c r="R132" s="616"/>
      <c r="S132" s="616"/>
      <c r="T132" s="563">
        <v>1.5</v>
      </c>
      <c r="U132" s="563">
        <v>1.5</v>
      </c>
      <c r="V132" s="1249" t="s">
        <v>902</v>
      </c>
      <c r="W132" s="732"/>
      <c r="X132" s="732"/>
      <c r="Y132" s="732"/>
      <c r="Z132" s="732"/>
      <c r="AA132" s="732"/>
    </row>
    <row r="133" spans="1:27" ht="39.75" customHeight="1">
      <c r="A133" s="712"/>
      <c r="B133" s="537" t="s">
        <v>264</v>
      </c>
      <c r="C133" s="537" t="s">
        <v>265</v>
      </c>
      <c r="D133" s="537">
        <v>126</v>
      </c>
      <c r="E133" s="537" t="s">
        <v>181</v>
      </c>
      <c r="F133" s="561"/>
      <c r="G133" s="562"/>
      <c r="H133" s="562"/>
      <c r="I133" s="562"/>
      <c r="J133" s="562"/>
      <c r="K133" s="562"/>
      <c r="L133" s="562"/>
      <c r="M133" s="562"/>
      <c r="N133" s="562"/>
      <c r="O133" s="562"/>
      <c r="P133" s="562"/>
      <c r="Q133" s="562"/>
      <c r="R133" s="562"/>
      <c r="S133" s="562"/>
      <c r="T133" s="538">
        <f t="shared" ref="T133:T205" si="13">SUM(F133:S133)</f>
        <v>0</v>
      </c>
      <c r="U133" s="538">
        <f>T133*1.05</f>
        <v>0</v>
      </c>
      <c r="V133" s="1065"/>
      <c r="W133" s="732"/>
      <c r="X133" s="732"/>
      <c r="Y133" s="732"/>
      <c r="Z133" s="732"/>
      <c r="AA133" s="732"/>
    </row>
    <row r="134" spans="1:27" ht="39.75" customHeight="1">
      <c r="A134" s="707"/>
      <c r="B134" s="695" t="s">
        <v>266</v>
      </c>
      <c r="C134" s="709"/>
      <c r="D134" s="710"/>
      <c r="E134" s="570"/>
      <c r="F134" s="570">
        <f t="shared" ref="F134:S134" si="14">SUM(F94:F133)</f>
        <v>0</v>
      </c>
      <c r="G134" s="570">
        <f t="shared" si="14"/>
        <v>0</v>
      </c>
      <c r="H134" s="570">
        <f t="shared" si="14"/>
        <v>0</v>
      </c>
      <c r="I134" s="570">
        <f t="shared" si="14"/>
        <v>13.21</v>
      </c>
      <c r="J134" s="570">
        <f t="shared" si="14"/>
        <v>0</v>
      </c>
      <c r="K134" s="595">
        <f t="shared" si="14"/>
        <v>6</v>
      </c>
      <c r="L134" s="570">
        <f t="shared" si="14"/>
        <v>0</v>
      </c>
      <c r="M134" s="570">
        <f t="shared" si="14"/>
        <v>6.65</v>
      </c>
      <c r="N134" s="570">
        <f t="shared" si="14"/>
        <v>14.71</v>
      </c>
      <c r="O134" s="570">
        <f t="shared" si="14"/>
        <v>85.83</v>
      </c>
      <c r="P134" s="570">
        <f t="shared" si="14"/>
        <v>61.1</v>
      </c>
      <c r="Q134" s="570">
        <f t="shared" si="14"/>
        <v>22.65</v>
      </c>
      <c r="R134" s="570">
        <f t="shared" si="14"/>
        <v>25</v>
      </c>
      <c r="S134" s="570">
        <f t="shared" si="14"/>
        <v>0</v>
      </c>
      <c r="T134" s="570">
        <f t="shared" si="13"/>
        <v>235.15</v>
      </c>
      <c r="U134" s="595">
        <f>SUM(U94:U133)</f>
        <v>237.18</v>
      </c>
      <c r="V134" s="1065"/>
      <c r="W134" s="732"/>
      <c r="X134" s="732"/>
      <c r="Y134" s="732"/>
      <c r="Z134" s="732"/>
      <c r="AA134" s="732"/>
    </row>
    <row r="135" spans="1:27" ht="39.75" customHeight="1">
      <c r="A135" s="694" t="s">
        <v>267</v>
      </c>
      <c r="B135" s="692" t="s">
        <v>268</v>
      </c>
      <c r="C135" s="692" t="s">
        <v>269</v>
      </c>
      <c r="D135" s="537">
        <v>127</v>
      </c>
      <c r="E135" s="537" t="s">
        <v>270</v>
      </c>
      <c r="F135" s="557"/>
      <c r="G135" s="558"/>
      <c r="H135" s="558"/>
      <c r="I135" s="558"/>
      <c r="J135" s="558"/>
      <c r="K135" s="558"/>
      <c r="L135" s="558"/>
      <c r="M135" s="558"/>
      <c r="N135" s="558"/>
      <c r="O135" s="558"/>
      <c r="P135" s="558"/>
      <c r="Q135" s="558"/>
      <c r="R135" s="558"/>
      <c r="S135" s="558"/>
      <c r="T135" s="538">
        <f t="shared" si="13"/>
        <v>0</v>
      </c>
      <c r="U135" s="538">
        <f>T135*1.05</f>
        <v>0</v>
      </c>
      <c r="V135" s="618"/>
      <c r="W135" s="732"/>
      <c r="X135" s="732"/>
      <c r="Y135" s="732"/>
      <c r="Z135" s="732"/>
      <c r="AA135" s="732"/>
    </row>
    <row r="136" spans="1:27" ht="45">
      <c r="A136" s="712"/>
      <c r="B136" s="707"/>
      <c r="C136" s="707"/>
      <c r="D136" s="537">
        <v>128</v>
      </c>
      <c r="E136" s="537" t="s">
        <v>271</v>
      </c>
      <c r="F136" s="561"/>
      <c r="G136" s="562"/>
      <c r="H136" s="562"/>
      <c r="I136" s="562"/>
      <c r="J136" s="562"/>
      <c r="K136" s="563"/>
      <c r="L136" s="562"/>
      <c r="M136" s="562"/>
      <c r="N136" s="563"/>
      <c r="O136" s="562"/>
      <c r="P136" s="538"/>
      <c r="Q136" s="567">
        <f>(0.75*14)</f>
        <v>10.5</v>
      </c>
      <c r="R136" s="542"/>
      <c r="S136" s="542"/>
      <c r="T136" s="538">
        <f t="shared" si="13"/>
        <v>10.5</v>
      </c>
      <c r="U136" s="567">
        <f>T136</f>
        <v>10.5</v>
      </c>
      <c r="V136" s="1152" t="s">
        <v>272</v>
      </c>
      <c r="W136" s="732"/>
      <c r="X136" s="732"/>
      <c r="Y136" s="732"/>
      <c r="Z136" s="732"/>
      <c r="AA136" s="732"/>
    </row>
    <row r="137" spans="1:27" ht="39.75" customHeight="1">
      <c r="A137" s="712"/>
      <c r="B137" s="619"/>
      <c r="C137" s="619"/>
      <c r="D137" s="537">
        <v>129</v>
      </c>
      <c r="E137" s="537" t="s">
        <v>273</v>
      </c>
      <c r="F137" s="561"/>
      <c r="G137" s="562"/>
      <c r="H137" s="562"/>
      <c r="I137" s="562"/>
      <c r="J137" s="562"/>
      <c r="K137" s="562"/>
      <c r="L137" s="562"/>
      <c r="M137" s="562"/>
      <c r="N137" s="562"/>
      <c r="O137" s="562"/>
      <c r="P137" s="562"/>
      <c r="Q137" s="562"/>
      <c r="R137" s="562"/>
      <c r="S137" s="562"/>
      <c r="T137" s="538">
        <f t="shared" si="13"/>
        <v>0</v>
      </c>
      <c r="U137" s="538">
        <f t="shared" ref="U137:U138" si="15">T137*1.05</f>
        <v>0</v>
      </c>
      <c r="V137" s="618"/>
      <c r="W137" s="732"/>
      <c r="X137" s="732"/>
      <c r="Y137" s="732"/>
      <c r="Z137" s="732"/>
      <c r="AA137" s="732"/>
    </row>
    <row r="138" spans="1:27" ht="39.75" customHeight="1">
      <c r="A138" s="712"/>
      <c r="B138" s="692" t="s">
        <v>274</v>
      </c>
      <c r="C138" s="692" t="s">
        <v>275</v>
      </c>
      <c r="D138" s="537">
        <v>130</v>
      </c>
      <c r="E138" s="537" t="s">
        <v>276</v>
      </c>
      <c r="F138" s="561"/>
      <c r="G138" s="562"/>
      <c r="H138" s="562"/>
      <c r="I138" s="562"/>
      <c r="J138" s="562"/>
      <c r="K138" s="562"/>
      <c r="L138" s="562"/>
      <c r="M138" s="562"/>
      <c r="N138" s="562"/>
      <c r="O138" s="562"/>
      <c r="P138" s="562"/>
      <c r="Q138" s="562"/>
      <c r="R138" s="562"/>
      <c r="S138" s="562"/>
      <c r="T138" s="538">
        <f t="shared" si="13"/>
        <v>0</v>
      </c>
      <c r="U138" s="538">
        <f t="shared" si="15"/>
        <v>0</v>
      </c>
      <c r="V138" s="618"/>
      <c r="W138" s="732"/>
      <c r="X138" s="732"/>
      <c r="Y138" s="732"/>
      <c r="Z138" s="732"/>
      <c r="AA138" s="732"/>
    </row>
    <row r="139" spans="1:27" ht="39.75" customHeight="1">
      <c r="A139" s="712"/>
      <c r="B139" s="712"/>
      <c r="C139" s="712"/>
      <c r="D139" s="537">
        <v>131</v>
      </c>
      <c r="E139" s="537" t="s">
        <v>277</v>
      </c>
      <c r="F139" s="561"/>
      <c r="G139" s="562"/>
      <c r="H139" s="562"/>
      <c r="I139" s="562"/>
      <c r="J139" s="562"/>
      <c r="K139" s="562"/>
      <c r="L139" s="562"/>
      <c r="M139" s="562"/>
      <c r="N139" s="563">
        <v>1.66</v>
      </c>
      <c r="O139" s="562"/>
      <c r="P139" s="562"/>
      <c r="Q139" s="562"/>
      <c r="R139" s="562"/>
      <c r="S139" s="562"/>
      <c r="T139" s="538">
        <f t="shared" si="13"/>
        <v>1.66</v>
      </c>
      <c r="U139" s="538">
        <v>1.8</v>
      </c>
      <c r="V139" s="620" t="s">
        <v>629</v>
      </c>
      <c r="W139" s="732"/>
      <c r="X139" s="732"/>
      <c r="Y139" s="732"/>
      <c r="Z139" s="732"/>
      <c r="AA139" s="732"/>
    </row>
    <row r="140" spans="1:27" ht="39.75" customHeight="1">
      <c r="A140" s="712"/>
      <c r="B140" s="712"/>
      <c r="C140" s="712"/>
      <c r="D140" s="537">
        <v>132</v>
      </c>
      <c r="E140" s="537" t="s">
        <v>279</v>
      </c>
      <c r="F140" s="561"/>
      <c r="G140" s="562"/>
      <c r="H140" s="562"/>
      <c r="I140" s="562"/>
      <c r="J140" s="562"/>
      <c r="K140" s="562"/>
      <c r="L140" s="562"/>
      <c r="M140" s="562"/>
      <c r="N140" s="562"/>
      <c r="O140" s="562"/>
      <c r="P140" s="562"/>
      <c r="Q140" s="562"/>
      <c r="R140" s="562"/>
      <c r="S140" s="562"/>
      <c r="T140" s="538">
        <f t="shared" si="13"/>
        <v>0</v>
      </c>
      <c r="U140" s="538">
        <f t="shared" ref="U140:U141" si="16">T140*1.05</f>
        <v>0</v>
      </c>
      <c r="V140" s="618"/>
      <c r="W140" s="732"/>
      <c r="X140" s="732"/>
      <c r="Y140" s="732"/>
      <c r="Z140" s="732"/>
      <c r="AA140" s="732"/>
    </row>
    <row r="141" spans="1:27" ht="39.75" customHeight="1">
      <c r="A141" s="712"/>
      <c r="B141" s="712"/>
      <c r="C141" s="712"/>
      <c r="D141" s="537">
        <v>133</v>
      </c>
      <c r="E141" s="537" t="s">
        <v>280</v>
      </c>
      <c r="F141" s="561"/>
      <c r="G141" s="562"/>
      <c r="H141" s="562"/>
      <c r="I141" s="562"/>
      <c r="J141" s="562"/>
      <c r="K141" s="562"/>
      <c r="L141" s="562"/>
      <c r="M141" s="562"/>
      <c r="N141" s="562"/>
      <c r="O141" s="562"/>
      <c r="P141" s="562"/>
      <c r="Q141" s="562"/>
      <c r="R141" s="562"/>
      <c r="S141" s="562"/>
      <c r="T141" s="538">
        <f t="shared" si="13"/>
        <v>0</v>
      </c>
      <c r="U141" s="538">
        <f t="shared" si="16"/>
        <v>0</v>
      </c>
      <c r="V141" s="618"/>
      <c r="W141" s="732"/>
      <c r="X141" s="732"/>
      <c r="Y141" s="732"/>
      <c r="Z141" s="732"/>
      <c r="AA141" s="732"/>
    </row>
    <row r="142" spans="1:27" ht="39.75" customHeight="1">
      <c r="A142" s="712"/>
      <c r="B142" s="712"/>
      <c r="C142" s="712"/>
      <c r="D142" s="537">
        <v>134</v>
      </c>
      <c r="E142" s="537" t="s">
        <v>281</v>
      </c>
      <c r="F142" s="561"/>
      <c r="G142" s="562"/>
      <c r="H142" s="562"/>
      <c r="I142" s="562"/>
      <c r="J142" s="562"/>
      <c r="K142" s="562"/>
      <c r="L142" s="562"/>
      <c r="M142" s="562"/>
      <c r="N142" s="562"/>
      <c r="O142" s="562"/>
      <c r="P142" s="1153">
        <f>(65*0.005*12)+(65*0.0025*12)</f>
        <v>5.8500000000000005</v>
      </c>
      <c r="Q142" s="562"/>
      <c r="R142" s="562"/>
      <c r="S142" s="562"/>
      <c r="T142" s="538">
        <f t="shared" si="13"/>
        <v>5.8500000000000005</v>
      </c>
      <c r="U142" s="538">
        <f>T142</f>
        <v>5.8500000000000005</v>
      </c>
      <c r="V142" s="618" t="s">
        <v>630</v>
      </c>
      <c r="W142" s="732"/>
      <c r="X142" s="732"/>
      <c r="Y142" s="732"/>
      <c r="Z142" s="732"/>
      <c r="AA142" s="732"/>
    </row>
    <row r="143" spans="1:27" ht="39.75" customHeight="1">
      <c r="A143" s="712"/>
      <c r="B143" s="712"/>
      <c r="C143" s="712"/>
      <c r="D143" s="537">
        <v>135</v>
      </c>
      <c r="E143" s="537" t="s">
        <v>283</v>
      </c>
      <c r="F143" s="561"/>
      <c r="G143" s="562"/>
      <c r="H143" s="562"/>
      <c r="I143" s="562"/>
      <c r="J143" s="562"/>
      <c r="K143" s="562"/>
      <c r="L143" s="562"/>
      <c r="M143" s="562"/>
      <c r="N143" s="562"/>
      <c r="O143" s="562"/>
      <c r="P143" s="562"/>
      <c r="Q143" s="562"/>
      <c r="R143" s="562"/>
      <c r="S143" s="562"/>
      <c r="T143" s="538">
        <f t="shared" si="13"/>
        <v>0</v>
      </c>
      <c r="U143" s="538">
        <f t="shared" ref="U143:U144" si="17">T143*1.05</f>
        <v>0</v>
      </c>
      <c r="V143" s="618"/>
      <c r="W143" s="732"/>
      <c r="X143" s="732"/>
      <c r="Y143" s="732"/>
      <c r="Z143" s="732"/>
      <c r="AA143" s="732"/>
    </row>
    <row r="144" spans="1:27" ht="39.75" customHeight="1">
      <c r="A144" s="712"/>
      <c r="B144" s="707"/>
      <c r="C144" s="707"/>
      <c r="D144" s="537">
        <v>136</v>
      </c>
      <c r="E144" s="537" t="s">
        <v>284</v>
      </c>
      <c r="F144" s="561"/>
      <c r="G144" s="562"/>
      <c r="H144" s="562"/>
      <c r="I144" s="562"/>
      <c r="J144" s="562"/>
      <c r="K144" s="562"/>
      <c r="L144" s="562"/>
      <c r="M144" s="562"/>
      <c r="N144" s="562"/>
      <c r="O144" s="562"/>
      <c r="P144" s="563"/>
      <c r="Q144" s="562"/>
      <c r="R144" s="562"/>
      <c r="S144" s="562"/>
      <c r="T144" s="538">
        <f t="shared" si="13"/>
        <v>0</v>
      </c>
      <c r="U144" s="538">
        <f t="shared" si="17"/>
        <v>0</v>
      </c>
      <c r="V144" s="1152"/>
      <c r="W144" s="732"/>
      <c r="X144" s="732"/>
      <c r="Y144" s="732"/>
      <c r="Z144" s="732"/>
      <c r="AA144" s="732"/>
    </row>
    <row r="145" spans="1:27" ht="39.75" customHeight="1">
      <c r="A145" s="712"/>
      <c r="B145" s="692" t="s">
        <v>285</v>
      </c>
      <c r="C145" s="692" t="s">
        <v>286</v>
      </c>
      <c r="D145" s="537">
        <v>137</v>
      </c>
      <c r="E145" s="537" t="s">
        <v>287</v>
      </c>
      <c r="F145" s="561"/>
      <c r="G145" s="562"/>
      <c r="H145" s="562"/>
      <c r="I145" s="562"/>
      <c r="J145" s="562"/>
      <c r="K145" s="562"/>
      <c r="L145" s="562"/>
      <c r="M145" s="563"/>
      <c r="N145" s="562"/>
      <c r="O145" s="562"/>
      <c r="P145" s="567"/>
      <c r="Q145" s="562"/>
      <c r="R145" s="562"/>
      <c r="S145" s="562"/>
      <c r="T145" s="538">
        <f t="shared" si="13"/>
        <v>0</v>
      </c>
      <c r="U145" s="538">
        <f>T145</f>
        <v>0</v>
      </c>
      <c r="V145" s="1152"/>
      <c r="W145" s="732"/>
      <c r="X145" s="732"/>
      <c r="Y145" s="732"/>
      <c r="Z145" s="732"/>
      <c r="AA145" s="732"/>
    </row>
    <row r="146" spans="1:27" ht="39.75" customHeight="1">
      <c r="A146" s="712"/>
      <c r="B146" s="707"/>
      <c r="C146" s="707"/>
      <c r="D146" s="537">
        <v>138</v>
      </c>
      <c r="E146" s="537" t="s">
        <v>288</v>
      </c>
      <c r="F146" s="561"/>
      <c r="G146" s="562"/>
      <c r="H146" s="563"/>
      <c r="I146" s="563"/>
      <c r="J146" s="562"/>
      <c r="K146" s="563"/>
      <c r="L146" s="562"/>
      <c r="M146" s="563"/>
      <c r="N146" s="562"/>
      <c r="O146" s="562"/>
      <c r="P146" s="562"/>
      <c r="Q146" s="562"/>
      <c r="R146" s="562"/>
      <c r="S146" s="562"/>
      <c r="T146" s="538">
        <f t="shared" si="13"/>
        <v>0</v>
      </c>
      <c r="U146" s="538">
        <f>T146*1.05</f>
        <v>0</v>
      </c>
      <c r="V146" s="1152"/>
      <c r="W146" s="732"/>
      <c r="X146" s="732"/>
      <c r="Y146" s="732"/>
      <c r="Z146" s="732"/>
      <c r="AA146" s="732"/>
    </row>
    <row r="147" spans="1:27" ht="60">
      <c r="A147" s="712"/>
      <c r="B147" s="692" t="s">
        <v>289</v>
      </c>
      <c r="C147" s="692" t="s">
        <v>290</v>
      </c>
      <c r="D147" s="537">
        <v>139</v>
      </c>
      <c r="E147" s="537" t="s">
        <v>291</v>
      </c>
      <c r="F147" s="561"/>
      <c r="G147" s="562"/>
      <c r="H147" s="562"/>
      <c r="I147" s="562"/>
      <c r="J147" s="562"/>
      <c r="K147" s="562"/>
      <c r="L147" s="562"/>
      <c r="M147" s="562"/>
      <c r="N147" s="563"/>
      <c r="O147" s="562"/>
      <c r="P147" s="563">
        <v>14</v>
      </c>
      <c r="Q147" s="562"/>
      <c r="R147" s="563"/>
      <c r="S147" s="562"/>
      <c r="T147" s="538">
        <f t="shared" si="13"/>
        <v>14</v>
      </c>
      <c r="U147" s="538">
        <f t="shared" ref="U147:U148" si="18">T147</f>
        <v>14</v>
      </c>
      <c r="V147" s="1152" t="s">
        <v>786</v>
      </c>
      <c r="W147" s="732"/>
      <c r="X147" s="732"/>
      <c r="Y147" s="732"/>
      <c r="Z147" s="732"/>
      <c r="AA147" s="732"/>
    </row>
    <row r="148" spans="1:27" ht="60">
      <c r="A148" s="712"/>
      <c r="B148" s="712"/>
      <c r="C148" s="712"/>
      <c r="D148" s="537">
        <v>140</v>
      </c>
      <c r="E148" s="537" t="s">
        <v>293</v>
      </c>
      <c r="F148" s="561"/>
      <c r="G148" s="562"/>
      <c r="H148" s="562"/>
      <c r="I148" s="562"/>
      <c r="J148" s="562"/>
      <c r="K148" s="562"/>
      <c r="L148" s="562"/>
      <c r="M148" s="562"/>
      <c r="N148" s="562"/>
      <c r="O148" s="562"/>
      <c r="P148" s="567">
        <f>14+( 14* 0.235)</f>
        <v>17.29</v>
      </c>
      <c r="Q148" s="542"/>
      <c r="R148" s="542"/>
      <c r="S148" s="542"/>
      <c r="T148" s="538">
        <f t="shared" si="13"/>
        <v>17.29</v>
      </c>
      <c r="U148" s="544">
        <f t="shared" si="18"/>
        <v>17.29</v>
      </c>
      <c r="V148" s="1152" t="s">
        <v>294</v>
      </c>
      <c r="W148" s="732"/>
      <c r="X148" s="732"/>
      <c r="Y148" s="732"/>
      <c r="Z148" s="732"/>
      <c r="AA148" s="732"/>
    </row>
    <row r="149" spans="1:27" ht="39.75" customHeight="1">
      <c r="A149" s="712"/>
      <c r="B149" s="707"/>
      <c r="C149" s="707"/>
      <c r="D149" s="537">
        <v>141</v>
      </c>
      <c r="E149" s="537" t="s">
        <v>295</v>
      </c>
      <c r="F149" s="561"/>
      <c r="G149" s="562"/>
      <c r="H149" s="562"/>
      <c r="I149" s="562"/>
      <c r="J149" s="562"/>
      <c r="K149" s="562"/>
      <c r="L149" s="562"/>
      <c r="M149" s="562"/>
      <c r="N149" s="562"/>
      <c r="O149" s="562"/>
      <c r="P149" s="562"/>
      <c r="Q149" s="562"/>
      <c r="R149" s="562"/>
      <c r="S149" s="562"/>
      <c r="T149" s="538">
        <f t="shared" si="13"/>
        <v>0</v>
      </c>
      <c r="U149" s="538">
        <f>T149*1.05</f>
        <v>0</v>
      </c>
      <c r="V149" s="618"/>
      <c r="W149" s="732"/>
      <c r="X149" s="732"/>
      <c r="Y149" s="732"/>
      <c r="Z149" s="732"/>
      <c r="AA149" s="732"/>
    </row>
    <row r="150" spans="1:27" ht="39.75" customHeight="1">
      <c r="A150" s="712"/>
      <c r="B150" s="692" t="s">
        <v>296</v>
      </c>
      <c r="C150" s="692" t="s">
        <v>297</v>
      </c>
      <c r="D150" s="537">
        <v>142</v>
      </c>
      <c r="E150" s="537" t="s">
        <v>298</v>
      </c>
      <c r="F150" s="561"/>
      <c r="G150" s="562"/>
      <c r="H150" s="562"/>
      <c r="I150" s="562"/>
      <c r="J150" s="562"/>
      <c r="K150" s="562"/>
      <c r="L150" s="562"/>
      <c r="M150" s="562"/>
      <c r="N150" s="562"/>
      <c r="O150" s="562"/>
      <c r="P150" s="783">
        <v>1590.7287899999997</v>
      </c>
      <c r="Q150" s="562"/>
      <c r="R150" s="562"/>
      <c r="S150" s="562"/>
      <c r="T150" s="538">
        <f t="shared" si="13"/>
        <v>1590.7287899999997</v>
      </c>
      <c r="U150" s="887">
        <v>1700.860942713</v>
      </c>
      <c r="V150" s="1206" t="s">
        <v>1732</v>
      </c>
      <c r="W150" s="732"/>
      <c r="X150" s="732"/>
      <c r="Y150" s="732"/>
      <c r="Z150" s="732"/>
      <c r="AA150" s="732"/>
    </row>
    <row r="151" spans="1:27" ht="39.75" customHeight="1">
      <c r="A151" s="712"/>
      <c r="B151" s="712"/>
      <c r="C151" s="712"/>
      <c r="D151" s="537">
        <v>143</v>
      </c>
      <c r="E151" s="537" t="s">
        <v>299</v>
      </c>
      <c r="F151" s="561"/>
      <c r="G151" s="562"/>
      <c r="H151" s="562"/>
      <c r="I151" s="562"/>
      <c r="J151" s="562"/>
      <c r="K151" s="562"/>
      <c r="L151" s="562"/>
      <c r="M151" s="562"/>
      <c r="N151" s="562"/>
      <c r="O151" s="562"/>
      <c r="P151" s="562"/>
      <c r="Q151" s="562"/>
      <c r="R151" s="562"/>
      <c r="S151" s="562"/>
      <c r="T151" s="538">
        <f t="shared" si="13"/>
        <v>0</v>
      </c>
      <c r="U151" s="538">
        <f t="shared" ref="U151:U153" si="19">T151*1.05</f>
        <v>0</v>
      </c>
      <c r="V151" s="618"/>
      <c r="W151" s="732"/>
      <c r="X151" s="732"/>
      <c r="Y151" s="732"/>
      <c r="Z151" s="732"/>
      <c r="AA151" s="732"/>
    </row>
    <row r="152" spans="1:27" ht="39.75" customHeight="1">
      <c r="A152" s="712"/>
      <c r="B152" s="712"/>
      <c r="C152" s="712"/>
      <c r="D152" s="537">
        <v>144</v>
      </c>
      <c r="E152" s="537" t="s">
        <v>300</v>
      </c>
      <c r="F152" s="561"/>
      <c r="G152" s="562"/>
      <c r="H152" s="562"/>
      <c r="I152" s="562"/>
      <c r="J152" s="562"/>
      <c r="K152" s="562"/>
      <c r="L152" s="562"/>
      <c r="M152" s="562"/>
      <c r="N152" s="562"/>
      <c r="O152" s="562"/>
      <c r="P152" s="562"/>
      <c r="Q152" s="562"/>
      <c r="R152" s="562"/>
      <c r="S152" s="562"/>
      <c r="T152" s="538">
        <f t="shared" si="13"/>
        <v>0</v>
      </c>
      <c r="U152" s="538">
        <f t="shared" si="19"/>
        <v>0</v>
      </c>
      <c r="V152" s="618"/>
      <c r="W152" s="732"/>
      <c r="X152" s="732"/>
      <c r="Y152" s="732"/>
      <c r="Z152" s="732"/>
      <c r="AA152" s="732"/>
    </row>
    <row r="153" spans="1:27" ht="39.75" customHeight="1">
      <c r="A153" s="712"/>
      <c r="B153" s="707"/>
      <c r="C153" s="707"/>
      <c r="D153" s="537">
        <v>145</v>
      </c>
      <c r="E153" s="537" t="s">
        <v>301</v>
      </c>
      <c r="F153" s="561"/>
      <c r="G153" s="562"/>
      <c r="H153" s="562"/>
      <c r="I153" s="562"/>
      <c r="J153" s="562"/>
      <c r="K153" s="562"/>
      <c r="L153" s="562"/>
      <c r="M153" s="562"/>
      <c r="N153" s="562"/>
      <c r="O153" s="562"/>
      <c r="P153" s="562"/>
      <c r="Q153" s="562"/>
      <c r="R153" s="562"/>
      <c r="S153" s="562"/>
      <c r="T153" s="538">
        <f t="shared" si="13"/>
        <v>0</v>
      </c>
      <c r="U153" s="538">
        <f t="shared" si="19"/>
        <v>0</v>
      </c>
      <c r="V153" s="618"/>
      <c r="W153" s="732"/>
      <c r="X153" s="732"/>
      <c r="Y153" s="732"/>
      <c r="Z153" s="732"/>
      <c r="AA153" s="732"/>
    </row>
    <row r="154" spans="1:27" ht="81.599999999999994" customHeight="1">
      <c r="A154" s="712"/>
      <c r="B154" s="537" t="s">
        <v>302</v>
      </c>
      <c r="C154" s="537" t="s">
        <v>303</v>
      </c>
      <c r="D154" s="537">
        <v>146</v>
      </c>
      <c r="E154" s="537" t="s">
        <v>304</v>
      </c>
      <c r="F154" s="561"/>
      <c r="G154" s="562"/>
      <c r="H154" s="562"/>
      <c r="I154" s="562"/>
      <c r="J154" s="562"/>
      <c r="K154" s="562"/>
      <c r="L154" s="562"/>
      <c r="M154" s="562"/>
      <c r="N154" s="562"/>
      <c r="O154" s="562"/>
      <c r="P154" s="562"/>
      <c r="Q154" s="562"/>
      <c r="R154" s="567">
        <f>(0.4*12)+(12*0.1)</f>
        <v>6.0000000000000009</v>
      </c>
      <c r="S154" s="542"/>
      <c r="T154" s="538">
        <f t="shared" si="13"/>
        <v>6.0000000000000009</v>
      </c>
      <c r="U154" s="567">
        <f>T154</f>
        <v>6.0000000000000009</v>
      </c>
      <c r="V154" s="1152" t="s">
        <v>571</v>
      </c>
      <c r="W154" s="732"/>
      <c r="X154" s="732"/>
      <c r="Y154" s="732"/>
      <c r="Z154" s="732"/>
      <c r="AA154" s="732"/>
    </row>
    <row r="155" spans="1:27" ht="39.75" customHeight="1">
      <c r="A155" s="712"/>
      <c r="B155" s="537" t="s">
        <v>306</v>
      </c>
      <c r="C155" s="537" t="s">
        <v>307</v>
      </c>
      <c r="D155" s="537">
        <v>147</v>
      </c>
      <c r="E155" s="537" t="s">
        <v>157</v>
      </c>
      <c r="F155" s="561"/>
      <c r="G155" s="562"/>
      <c r="H155" s="562"/>
      <c r="I155" s="562"/>
      <c r="J155" s="562"/>
      <c r="K155" s="562"/>
      <c r="L155" s="562"/>
      <c r="M155" s="562"/>
      <c r="N155" s="562"/>
      <c r="O155" s="562"/>
      <c r="P155" s="562"/>
      <c r="Q155" s="562"/>
      <c r="R155" s="562"/>
      <c r="S155" s="562"/>
      <c r="T155" s="538">
        <f t="shared" si="13"/>
        <v>0</v>
      </c>
      <c r="U155" s="538">
        <f t="shared" ref="U155:U156" si="20">T155*1.05</f>
        <v>0</v>
      </c>
      <c r="V155" s="618"/>
      <c r="W155" s="732"/>
      <c r="X155" s="732"/>
      <c r="Y155" s="732"/>
      <c r="Z155" s="732"/>
      <c r="AA155" s="732"/>
    </row>
    <row r="156" spans="1:27" ht="39.75" customHeight="1">
      <c r="A156" s="712"/>
      <c r="B156" s="537" t="s">
        <v>308</v>
      </c>
      <c r="C156" s="537" t="s">
        <v>309</v>
      </c>
      <c r="D156" s="537">
        <v>148</v>
      </c>
      <c r="E156" s="537" t="s">
        <v>310</v>
      </c>
      <c r="F156" s="561"/>
      <c r="G156" s="562"/>
      <c r="H156" s="562"/>
      <c r="I156" s="562"/>
      <c r="J156" s="562"/>
      <c r="K156" s="562"/>
      <c r="L156" s="562"/>
      <c r="M156" s="562"/>
      <c r="N156" s="563"/>
      <c r="O156" s="562"/>
      <c r="P156" s="563"/>
      <c r="Q156" s="562"/>
      <c r="R156" s="562"/>
      <c r="S156" s="562"/>
      <c r="T156" s="538">
        <f t="shared" si="13"/>
        <v>0</v>
      </c>
      <c r="U156" s="538">
        <f t="shared" si="20"/>
        <v>0</v>
      </c>
      <c r="V156" s="1152"/>
      <c r="W156" s="732"/>
      <c r="X156" s="732"/>
      <c r="Y156" s="732"/>
      <c r="Z156" s="732"/>
      <c r="AA156" s="732"/>
    </row>
    <row r="157" spans="1:27" ht="45">
      <c r="A157" s="712"/>
      <c r="B157" s="537" t="s">
        <v>311</v>
      </c>
      <c r="C157" s="537" t="s">
        <v>312</v>
      </c>
      <c r="D157" s="537">
        <v>149</v>
      </c>
      <c r="E157" s="537" t="s">
        <v>313</v>
      </c>
      <c r="F157" s="1150"/>
      <c r="G157" s="1066"/>
      <c r="H157" s="1066"/>
      <c r="I157" s="1066"/>
      <c r="J157" s="1066"/>
      <c r="K157" s="1066"/>
      <c r="L157" s="1066"/>
      <c r="M157" s="1066"/>
      <c r="N157" s="1066"/>
      <c r="O157" s="1066"/>
      <c r="P157" s="621">
        <f>(5*1.75)+(9*1)+(0.05*166)</f>
        <v>26.05</v>
      </c>
      <c r="Q157" s="1066"/>
      <c r="R157" s="1066"/>
      <c r="S157" s="1066"/>
      <c r="T157" s="538">
        <f t="shared" si="13"/>
        <v>26.05</v>
      </c>
      <c r="U157" s="621">
        <f>(5*1.75)+(9*1)+(0.05*180)</f>
        <v>26.75</v>
      </c>
      <c r="V157" s="1152" t="s">
        <v>1660</v>
      </c>
      <c r="W157" s="732"/>
      <c r="X157" s="732"/>
      <c r="Y157" s="732"/>
      <c r="Z157" s="732"/>
      <c r="AA157" s="732"/>
    </row>
    <row r="158" spans="1:27" ht="39.75" customHeight="1">
      <c r="A158" s="707"/>
      <c r="B158" s="695" t="s">
        <v>315</v>
      </c>
      <c r="C158" s="709"/>
      <c r="D158" s="710"/>
      <c r="E158" s="570"/>
      <c r="F158" s="570">
        <f t="shared" ref="F158:S158" si="21">SUM(F135:F157)</f>
        <v>0</v>
      </c>
      <c r="G158" s="570">
        <f t="shared" si="21"/>
        <v>0</v>
      </c>
      <c r="H158" s="570">
        <f t="shared" si="21"/>
        <v>0</v>
      </c>
      <c r="I158" s="570">
        <f t="shared" si="21"/>
        <v>0</v>
      </c>
      <c r="J158" s="570">
        <f t="shared" si="21"/>
        <v>0</v>
      </c>
      <c r="K158" s="570">
        <f t="shared" si="21"/>
        <v>0</v>
      </c>
      <c r="L158" s="570">
        <f t="shared" si="21"/>
        <v>0</v>
      </c>
      <c r="M158" s="570">
        <f t="shared" si="21"/>
        <v>0</v>
      </c>
      <c r="N158" s="570">
        <f t="shared" si="21"/>
        <v>1.66</v>
      </c>
      <c r="O158" s="570">
        <f t="shared" si="21"/>
        <v>0</v>
      </c>
      <c r="P158" s="570">
        <f t="shared" si="21"/>
        <v>1653.9187899999997</v>
      </c>
      <c r="Q158" s="570">
        <f t="shared" si="21"/>
        <v>10.5</v>
      </c>
      <c r="R158" s="570">
        <f t="shared" si="21"/>
        <v>6.0000000000000009</v>
      </c>
      <c r="S158" s="570">
        <f t="shared" si="21"/>
        <v>0</v>
      </c>
      <c r="T158" s="538">
        <f t="shared" si="13"/>
        <v>1672.0787899999998</v>
      </c>
      <c r="U158" s="595">
        <f>SUM(U135:U157)</f>
        <v>1783.050942713</v>
      </c>
      <c r="V158" s="1065"/>
      <c r="W158" s="622"/>
      <c r="X158" s="622"/>
      <c r="Y158" s="622"/>
      <c r="Z158" s="622"/>
      <c r="AA158" s="622"/>
    </row>
    <row r="159" spans="1:27" ht="166.15" customHeight="1">
      <c r="A159" s="694" t="s">
        <v>316</v>
      </c>
      <c r="B159" s="692" t="s">
        <v>317</v>
      </c>
      <c r="C159" s="692" t="s">
        <v>269</v>
      </c>
      <c r="D159" s="537">
        <v>150</v>
      </c>
      <c r="E159" s="537" t="s">
        <v>318</v>
      </c>
      <c r="F159" s="623"/>
      <c r="G159" s="624"/>
      <c r="H159" s="624"/>
      <c r="I159" s="587"/>
      <c r="J159" s="587"/>
      <c r="K159" s="587"/>
      <c r="L159" s="587"/>
      <c r="M159" s="587"/>
      <c r="N159" s="625">
        <v>19.2</v>
      </c>
      <c r="O159" s="587">
        <v>379.78</v>
      </c>
      <c r="P159" s="624"/>
      <c r="Q159" s="587">
        <v>1</v>
      </c>
      <c r="R159" s="587"/>
      <c r="S159" s="587"/>
      <c r="T159" s="538">
        <f t="shared" si="13"/>
        <v>399.97999999999996</v>
      </c>
      <c r="U159" s="538">
        <f t="shared" ref="U159:U160" si="22">T159</f>
        <v>399.97999999999996</v>
      </c>
      <c r="V159" s="1152" t="s">
        <v>1703</v>
      </c>
      <c r="W159" s="732"/>
      <c r="X159" s="732"/>
      <c r="Y159" s="732"/>
      <c r="Z159" s="732"/>
      <c r="AA159" s="732"/>
    </row>
    <row r="160" spans="1:27" ht="114" customHeight="1">
      <c r="A160" s="712"/>
      <c r="B160" s="712"/>
      <c r="C160" s="712"/>
      <c r="D160" s="537">
        <v>151</v>
      </c>
      <c r="E160" s="537" t="s">
        <v>319</v>
      </c>
      <c r="F160" s="626"/>
      <c r="G160" s="543"/>
      <c r="H160" s="543"/>
      <c r="I160" s="567"/>
      <c r="J160" s="542"/>
      <c r="K160" s="542"/>
      <c r="L160" s="542"/>
      <c r="M160" s="542"/>
      <c r="N160" s="567"/>
      <c r="O160" s="543"/>
      <c r="P160" s="543">
        <v>20.190000000000001</v>
      </c>
      <c r="Q160" s="567"/>
      <c r="R160" s="543">
        <v>2.75</v>
      </c>
      <c r="S160" s="542"/>
      <c r="T160" s="538">
        <f t="shared" si="13"/>
        <v>22.94</v>
      </c>
      <c r="U160" s="538">
        <f t="shared" si="22"/>
        <v>22.94</v>
      </c>
      <c r="V160" s="1065" t="s">
        <v>903</v>
      </c>
      <c r="W160" s="732"/>
      <c r="X160" s="732"/>
      <c r="Y160" s="732"/>
      <c r="Z160" s="732"/>
      <c r="AA160" s="732"/>
    </row>
    <row r="161" spans="1:27" ht="39.75" customHeight="1">
      <c r="A161" s="712"/>
      <c r="B161" s="712"/>
      <c r="C161" s="712"/>
      <c r="D161" s="537">
        <v>152</v>
      </c>
      <c r="E161" s="537" t="s">
        <v>321</v>
      </c>
      <c r="F161" s="626"/>
      <c r="G161" s="542"/>
      <c r="H161" s="542"/>
      <c r="I161" s="542"/>
      <c r="J161" s="542"/>
      <c r="K161" s="542"/>
      <c r="L161" s="542"/>
      <c r="M161" s="542"/>
      <c r="N161" s="542"/>
      <c r="O161" s="542"/>
      <c r="P161" s="543"/>
      <c r="Q161" s="542"/>
      <c r="R161" s="542"/>
      <c r="S161" s="542"/>
      <c r="T161" s="538">
        <f t="shared" si="13"/>
        <v>0</v>
      </c>
      <c r="U161" s="538">
        <f t="shared" ref="U161:U162" si="23">T161*1.05</f>
        <v>0</v>
      </c>
      <c r="V161" s="1065"/>
      <c r="W161" s="732"/>
      <c r="X161" s="732"/>
      <c r="Y161" s="732"/>
      <c r="Z161" s="732"/>
      <c r="AA161" s="732"/>
    </row>
    <row r="162" spans="1:27" ht="39.75" customHeight="1">
      <c r="A162" s="712"/>
      <c r="B162" s="712"/>
      <c r="C162" s="712"/>
      <c r="D162" s="537">
        <v>153</v>
      </c>
      <c r="E162" s="537" t="s">
        <v>322</v>
      </c>
      <c r="F162" s="1155"/>
      <c r="G162" s="1156"/>
      <c r="H162" s="1156"/>
      <c r="I162" s="1156"/>
      <c r="J162" s="1156"/>
      <c r="K162" s="1156"/>
      <c r="L162" s="1156"/>
      <c r="M162" s="1156"/>
      <c r="N162" s="567"/>
      <c r="O162" s="1156"/>
      <c r="P162" s="1156"/>
      <c r="Q162" s="1156"/>
      <c r="R162" s="1156"/>
      <c r="S162" s="1156"/>
      <c r="T162" s="538">
        <f t="shared" si="13"/>
        <v>0</v>
      </c>
      <c r="U162" s="538">
        <f t="shared" si="23"/>
        <v>0</v>
      </c>
      <c r="V162" s="1065"/>
      <c r="W162" s="732"/>
      <c r="X162" s="732"/>
      <c r="Y162" s="732"/>
      <c r="Z162" s="732"/>
      <c r="AA162" s="732"/>
    </row>
    <row r="163" spans="1:27" ht="45">
      <c r="A163" s="712"/>
      <c r="B163" s="692" t="s">
        <v>324</v>
      </c>
      <c r="C163" s="692" t="s">
        <v>325</v>
      </c>
      <c r="D163" s="537">
        <v>154</v>
      </c>
      <c r="E163" s="537" t="s">
        <v>326</v>
      </c>
      <c r="F163" s="561"/>
      <c r="G163" s="562"/>
      <c r="H163" s="562"/>
      <c r="I163" s="562"/>
      <c r="J163" s="562"/>
      <c r="K163" s="563"/>
      <c r="L163" s="562"/>
      <c r="M163" s="563"/>
      <c r="N163" s="562"/>
      <c r="O163" s="562"/>
      <c r="P163" s="562"/>
      <c r="Q163" s="565">
        <v>0.17499999999999999</v>
      </c>
      <c r="R163" s="562"/>
      <c r="S163" s="562"/>
      <c r="T163" s="538">
        <f t="shared" si="13"/>
        <v>0.17499999999999999</v>
      </c>
      <c r="U163" s="538">
        <f t="shared" ref="U163:U165" si="24">T163</f>
        <v>0.17499999999999999</v>
      </c>
      <c r="V163" s="1065" t="s">
        <v>904</v>
      </c>
      <c r="W163" s="732"/>
      <c r="X163" s="732"/>
      <c r="Y163" s="732"/>
      <c r="Z163" s="732"/>
      <c r="AA163" s="732"/>
    </row>
    <row r="164" spans="1:27" ht="39.75" customHeight="1">
      <c r="A164" s="712"/>
      <c r="B164" s="712"/>
      <c r="C164" s="712"/>
      <c r="D164" s="537">
        <v>155</v>
      </c>
      <c r="E164" s="537" t="s">
        <v>328</v>
      </c>
      <c r="F164" s="561"/>
      <c r="G164" s="562"/>
      <c r="H164" s="562"/>
      <c r="I164" s="562"/>
      <c r="J164" s="562"/>
      <c r="K164" s="562"/>
      <c r="L164" s="562"/>
      <c r="M164" s="562"/>
      <c r="N164" s="542">
        <v>0.2175</v>
      </c>
      <c r="O164" s="562"/>
      <c r="P164" s="541"/>
      <c r="Q164" s="562"/>
      <c r="R164" s="562"/>
      <c r="S164" s="562"/>
      <c r="T164" s="538">
        <f t="shared" si="13"/>
        <v>0.2175</v>
      </c>
      <c r="U164" s="538">
        <f t="shared" si="24"/>
        <v>0.2175</v>
      </c>
      <c r="V164" s="1065" t="s">
        <v>845</v>
      </c>
      <c r="W164" s="732"/>
      <c r="X164" s="732"/>
      <c r="Y164" s="732"/>
      <c r="Z164" s="732"/>
      <c r="AA164" s="732"/>
    </row>
    <row r="165" spans="1:27" ht="39.75" customHeight="1">
      <c r="A165" s="712"/>
      <c r="B165" s="712"/>
      <c r="C165" s="712"/>
      <c r="D165" s="537">
        <v>156</v>
      </c>
      <c r="E165" s="537" t="s">
        <v>329</v>
      </c>
      <c r="F165" s="561"/>
      <c r="G165" s="562"/>
      <c r="H165" s="565"/>
      <c r="I165" s="563"/>
      <c r="J165" s="562"/>
      <c r="K165" s="562"/>
      <c r="L165" s="562"/>
      <c r="M165" s="562"/>
      <c r="N165" s="562"/>
      <c r="O165" s="562"/>
      <c r="P165" s="568">
        <v>1</v>
      </c>
      <c r="Q165" s="562"/>
      <c r="R165" s="562"/>
      <c r="S165" s="562"/>
      <c r="T165" s="538">
        <f t="shared" si="13"/>
        <v>1</v>
      </c>
      <c r="U165" s="538">
        <f t="shared" si="24"/>
        <v>1</v>
      </c>
      <c r="V165" s="1065" t="s">
        <v>846</v>
      </c>
      <c r="W165" s="732"/>
      <c r="X165" s="732"/>
      <c r="Y165" s="732"/>
      <c r="Z165" s="732"/>
      <c r="AA165" s="732"/>
    </row>
    <row r="166" spans="1:27" ht="39.75" customHeight="1">
      <c r="A166" s="712"/>
      <c r="B166" s="712"/>
      <c r="C166" s="712"/>
      <c r="D166" s="537">
        <v>157</v>
      </c>
      <c r="E166" s="537" t="s">
        <v>331</v>
      </c>
      <c r="F166" s="561"/>
      <c r="G166" s="562"/>
      <c r="H166" s="562"/>
      <c r="I166" s="562"/>
      <c r="J166" s="562"/>
      <c r="K166" s="562"/>
      <c r="L166" s="562"/>
      <c r="M166" s="562"/>
      <c r="N166" s="562"/>
      <c r="O166" s="562"/>
      <c r="P166" s="562"/>
      <c r="Q166" s="562"/>
      <c r="R166" s="562"/>
      <c r="S166" s="562"/>
      <c r="T166" s="538">
        <f t="shared" si="13"/>
        <v>0</v>
      </c>
      <c r="U166" s="538">
        <f t="shared" ref="U166:U167" si="25">T166*1.05</f>
        <v>0</v>
      </c>
      <c r="V166" s="1065"/>
      <c r="W166" s="732"/>
      <c r="X166" s="732"/>
      <c r="Y166" s="732"/>
      <c r="Z166" s="732"/>
      <c r="AA166" s="732"/>
    </row>
    <row r="167" spans="1:27" ht="39.75" customHeight="1">
      <c r="A167" s="712"/>
      <c r="B167" s="707"/>
      <c r="C167" s="707"/>
      <c r="D167" s="537">
        <v>158</v>
      </c>
      <c r="E167" s="537" t="s">
        <v>332</v>
      </c>
      <c r="F167" s="561"/>
      <c r="G167" s="562"/>
      <c r="H167" s="562"/>
      <c r="I167" s="562"/>
      <c r="J167" s="562"/>
      <c r="K167" s="562"/>
      <c r="L167" s="562"/>
      <c r="M167" s="562"/>
      <c r="N167" s="562"/>
      <c r="O167" s="562"/>
      <c r="P167" s="562"/>
      <c r="Q167" s="563"/>
      <c r="R167" s="562"/>
      <c r="S167" s="562"/>
      <c r="T167" s="538">
        <f t="shared" si="13"/>
        <v>0</v>
      </c>
      <c r="U167" s="538">
        <f t="shared" si="25"/>
        <v>0</v>
      </c>
      <c r="V167" s="1065"/>
      <c r="W167" s="732"/>
      <c r="X167" s="732"/>
      <c r="Y167" s="732"/>
      <c r="Z167" s="732"/>
      <c r="AA167" s="732"/>
    </row>
    <row r="168" spans="1:27" ht="409.5">
      <c r="A168" s="712"/>
      <c r="B168" s="692" t="s">
        <v>333</v>
      </c>
      <c r="C168" s="692" t="s">
        <v>275</v>
      </c>
      <c r="D168" s="537">
        <v>159</v>
      </c>
      <c r="E168" s="537" t="s">
        <v>276</v>
      </c>
      <c r="F168" s="561"/>
      <c r="G168" s="562"/>
      <c r="H168" s="562"/>
      <c r="I168" s="562"/>
      <c r="J168" s="562"/>
      <c r="K168" s="563"/>
      <c r="L168" s="562"/>
      <c r="M168" s="562"/>
      <c r="N168" s="565">
        <v>53.91</v>
      </c>
      <c r="O168" s="565">
        <v>823.31</v>
      </c>
      <c r="P168" s="565">
        <v>76.92</v>
      </c>
      <c r="Q168" s="562">
        <v>6.665</v>
      </c>
      <c r="R168" s="562"/>
      <c r="S168" s="562"/>
      <c r="T168" s="538">
        <f t="shared" si="13"/>
        <v>960.80499999999984</v>
      </c>
      <c r="U168" s="544">
        <f>T168+2</f>
        <v>962.80499999999984</v>
      </c>
      <c r="V168" s="905" t="s">
        <v>1704</v>
      </c>
      <c r="W168" s="732"/>
      <c r="X168" s="732"/>
      <c r="Y168" s="732"/>
      <c r="Z168" s="732"/>
      <c r="AA168" s="732"/>
    </row>
    <row r="169" spans="1:27" ht="39.75" customHeight="1">
      <c r="A169" s="712"/>
      <c r="B169" s="712"/>
      <c r="C169" s="712"/>
      <c r="D169" s="537">
        <v>160</v>
      </c>
      <c r="E169" s="537" t="s">
        <v>334</v>
      </c>
      <c r="F169" s="561"/>
      <c r="G169" s="562"/>
      <c r="H169" s="562"/>
      <c r="I169" s="562"/>
      <c r="J169" s="562"/>
      <c r="K169" s="562"/>
      <c r="L169" s="562"/>
      <c r="M169" s="562"/>
      <c r="N169" s="562"/>
      <c r="O169" s="562"/>
      <c r="P169" s="562"/>
      <c r="Q169" s="562"/>
      <c r="R169" s="562"/>
      <c r="S169" s="562"/>
      <c r="T169" s="538">
        <f t="shared" si="13"/>
        <v>0</v>
      </c>
      <c r="U169" s="538">
        <f t="shared" ref="U169:U171" si="26">T169*1.05</f>
        <v>0</v>
      </c>
      <c r="V169" s="1065"/>
      <c r="W169" s="732"/>
      <c r="X169" s="732"/>
      <c r="Y169" s="732"/>
      <c r="Z169" s="732"/>
      <c r="AA169" s="732"/>
    </row>
    <row r="170" spans="1:27" ht="39.75" customHeight="1">
      <c r="A170" s="712"/>
      <c r="B170" s="712"/>
      <c r="C170" s="712"/>
      <c r="D170" s="537">
        <v>161</v>
      </c>
      <c r="E170" s="537" t="s">
        <v>279</v>
      </c>
      <c r="F170" s="561"/>
      <c r="G170" s="562"/>
      <c r="H170" s="562"/>
      <c r="I170" s="562"/>
      <c r="J170" s="562"/>
      <c r="K170" s="562"/>
      <c r="L170" s="562"/>
      <c r="M170" s="562"/>
      <c r="N170" s="562"/>
      <c r="O170" s="562"/>
      <c r="P170" s="562"/>
      <c r="Q170" s="562"/>
      <c r="R170" s="562"/>
      <c r="S170" s="562"/>
      <c r="T170" s="538">
        <f t="shared" si="13"/>
        <v>0</v>
      </c>
      <c r="U170" s="538">
        <f t="shared" si="26"/>
        <v>0</v>
      </c>
      <c r="V170" s="1065"/>
      <c r="W170" s="732"/>
      <c r="X170" s="732"/>
      <c r="Y170" s="732"/>
      <c r="Z170" s="732"/>
      <c r="AA170" s="732"/>
    </row>
    <row r="171" spans="1:27" ht="39.75" customHeight="1">
      <c r="A171" s="712"/>
      <c r="B171" s="712"/>
      <c r="C171" s="712"/>
      <c r="D171" s="537">
        <v>162</v>
      </c>
      <c r="E171" s="537" t="s">
        <v>280</v>
      </c>
      <c r="F171" s="561"/>
      <c r="G171" s="562"/>
      <c r="H171" s="562"/>
      <c r="I171" s="562"/>
      <c r="J171" s="562"/>
      <c r="K171" s="562"/>
      <c r="L171" s="562"/>
      <c r="M171" s="562"/>
      <c r="N171" s="562"/>
      <c r="O171" s="562"/>
      <c r="P171" s="562"/>
      <c r="Q171" s="562"/>
      <c r="R171" s="562"/>
      <c r="S171" s="562"/>
      <c r="T171" s="538">
        <f t="shared" si="13"/>
        <v>0</v>
      </c>
      <c r="U171" s="538">
        <f t="shared" si="26"/>
        <v>0</v>
      </c>
      <c r="V171" s="1065"/>
      <c r="W171" s="732"/>
      <c r="X171" s="732"/>
      <c r="Y171" s="732"/>
      <c r="Z171" s="732"/>
      <c r="AA171" s="732"/>
    </row>
    <row r="172" spans="1:27" ht="195">
      <c r="A172" s="712"/>
      <c r="B172" s="707"/>
      <c r="C172" s="707"/>
      <c r="D172" s="537">
        <v>163</v>
      </c>
      <c r="E172" s="537" t="s">
        <v>335</v>
      </c>
      <c r="F172" s="561"/>
      <c r="G172" s="562"/>
      <c r="H172" s="562"/>
      <c r="I172" s="562"/>
      <c r="J172" s="562"/>
      <c r="K172" s="562"/>
      <c r="L172" s="562"/>
      <c r="M172" s="562"/>
      <c r="N172" s="562"/>
      <c r="O172" s="565">
        <v>18.824999999999999</v>
      </c>
      <c r="P172" s="565">
        <v>1.2</v>
      </c>
      <c r="Q172" s="563">
        <v>4.05</v>
      </c>
      <c r="R172" s="562"/>
      <c r="S172" s="562"/>
      <c r="T172" s="538">
        <f t="shared" si="13"/>
        <v>24.074999999999999</v>
      </c>
      <c r="U172" s="538">
        <f>20.385+4.05</f>
        <v>24.435000000000002</v>
      </c>
      <c r="V172" s="1071" t="s">
        <v>905</v>
      </c>
      <c r="W172" s="732"/>
      <c r="X172" s="732"/>
      <c r="Y172" s="732"/>
      <c r="Z172" s="732"/>
      <c r="AA172" s="732"/>
    </row>
    <row r="173" spans="1:27" ht="39.75" customHeight="1">
      <c r="A173" s="712"/>
      <c r="B173" s="692" t="s">
        <v>336</v>
      </c>
      <c r="C173" s="692" t="s">
        <v>337</v>
      </c>
      <c r="D173" s="537">
        <v>164</v>
      </c>
      <c r="E173" s="537" t="s">
        <v>338</v>
      </c>
      <c r="F173" s="561"/>
      <c r="G173" s="565"/>
      <c r="H173" s="565"/>
      <c r="I173" s="562"/>
      <c r="J173" s="562"/>
      <c r="K173" s="562"/>
      <c r="L173" s="562"/>
      <c r="M173" s="562"/>
      <c r="N173" s="562"/>
      <c r="O173" s="562"/>
      <c r="P173" s="562"/>
      <c r="Q173" s="562"/>
      <c r="R173" s="562"/>
      <c r="S173" s="562"/>
      <c r="T173" s="538">
        <f t="shared" si="13"/>
        <v>0</v>
      </c>
      <c r="U173" s="538">
        <f t="shared" ref="U173:U183" si="27">T173*1.05</f>
        <v>0</v>
      </c>
      <c r="V173" s="1065"/>
      <c r="W173" s="732"/>
      <c r="X173" s="732"/>
      <c r="Y173" s="732"/>
      <c r="Z173" s="732"/>
      <c r="AA173" s="732"/>
    </row>
    <row r="174" spans="1:27" ht="39.75" customHeight="1">
      <c r="A174" s="712"/>
      <c r="B174" s="712"/>
      <c r="C174" s="712"/>
      <c r="D174" s="537">
        <v>165</v>
      </c>
      <c r="E174" s="537" t="s">
        <v>339</v>
      </c>
      <c r="F174" s="561"/>
      <c r="G174" s="565"/>
      <c r="H174" s="565"/>
      <c r="I174" s="562"/>
      <c r="J174" s="562"/>
      <c r="K174" s="562"/>
      <c r="L174" s="562"/>
      <c r="M174" s="562"/>
      <c r="N174" s="562"/>
      <c r="O174" s="562"/>
      <c r="P174" s="562"/>
      <c r="Q174" s="562"/>
      <c r="R174" s="562"/>
      <c r="S174" s="562"/>
      <c r="T174" s="538">
        <f t="shared" si="13"/>
        <v>0</v>
      </c>
      <c r="U174" s="538">
        <f t="shared" si="27"/>
        <v>0</v>
      </c>
      <c r="V174" s="1065"/>
      <c r="W174" s="732"/>
      <c r="X174" s="732"/>
      <c r="Y174" s="732"/>
      <c r="Z174" s="732"/>
      <c r="AA174" s="732"/>
    </row>
    <row r="175" spans="1:27" ht="39.75" customHeight="1">
      <c r="A175" s="712"/>
      <c r="B175" s="712"/>
      <c r="C175" s="712"/>
      <c r="D175" s="537">
        <v>166</v>
      </c>
      <c r="E175" s="537" t="s">
        <v>340</v>
      </c>
      <c r="F175" s="561"/>
      <c r="G175" s="565"/>
      <c r="H175" s="565"/>
      <c r="I175" s="562"/>
      <c r="J175" s="562"/>
      <c r="K175" s="562"/>
      <c r="L175" s="562"/>
      <c r="M175" s="562"/>
      <c r="N175" s="562"/>
      <c r="O175" s="562"/>
      <c r="P175" s="562"/>
      <c r="Q175" s="562"/>
      <c r="R175" s="562"/>
      <c r="S175" s="562"/>
      <c r="T175" s="538">
        <f t="shared" si="13"/>
        <v>0</v>
      </c>
      <c r="U175" s="538">
        <f t="shared" si="27"/>
        <v>0</v>
      </c>
      <c r="V175" s="1065"/>
      <c r="W175" s="732"/>
      <c r="X175" s="732"/>
      <c r="Y175" s="732"/>
      <c r="Z175" s="732"/>
      <c r="AA175" s="732"/>
    </row>
    <row r="176" spans="1:27" ht="39.75" customHeight="1">
      <c r="A176" s="712"/>
      <c r="B176" s="712"/>
      <c r="C176" s="712"/>
      <c r="D176" s="537">
        <v>167</v>
      </c>
      <c r="E176" s="537" t="s">
        <v>341</v>
      </c>
      <c r="F176" s="561"/>
      <c r="G176" s="565"/>
      <c r="H176" s="565"/>
      <c r="I176" s="562"/>
      <c r="J176" s="562"/>
      <c r="K176" s="562"/>
      <c r="L176" s="562"/>
      <c r="M176" s="562"/>
      <c r="N176" s="562"/>
      <c r="O176" s="562"/>
      <c r="P176" s="562"/>
      <c r="Q176" s="562"/>
      <c r="R176" s="562"/>
      <c r="S176" s="562"/>
      <c r="T176" s="538">
        <f t="shared" si="13"/>
        <v>0</v>
      </c>
      <c r="U176" s="538">
        <f t="shared" si="27"/>
        <v>0</v>
      </c>
      <c r="V176" s="1065"/>
      <c r="W176" s="732"/>
      <c r="X176" s="732"/>
      <c r="Y176" s="732"/>
      <c r="Z176" s="732"/>
      <c r="AA176" s="732"/>
    </row>
    <row r="177" spans="1:27" ht="39.75" customHeight="1">
      <c r="A177" s="712"/>
      <c r="B177" s="712"/>
      <c r="C177" s="712"/>
      <c r="D177" s="537">
        <v>168</v>
      </c>
      <c r="E177" s="537" t="s">
        <v>342</v>
      </c>
      <c r="F177" s="561"/>
      <c r="G177" s="565"/>
      <c r="H177" s="565"/>
      <c r="I177" s="562"/>
      <c r="J177" s="562"/>
      <c r="K177" s="562"/>
      <c r="L177" s="562"/>
      <c r="M177" s="562"/>
      <c r="N177" s="562"/>
      <c r="O177" s="562"/>
      <c r="P177" s="562"/>
      <c r="Q177" s="562"/>
      <c r="R177" s="562"/>
      <c r="S177" s="562"/>
      <c r="T177" s="538">
        <f t="shared" si="13"/>
        <v>0</v>
      </c>
      <c r="U177" s="538">
        <f t="shared" si="27"/>
        <v>0</v>
      </c>
      <c r="V177" s="1065"/>
      <c r="W177" s="732"/>
      <c r="X177" s="732"/>
      <c r="Y177" s="732"/>
      <c r="Z177" s="732"/>
      <c r="AA177" s="732"/>
    </row>
    <row r="178" spans="1:27" ht="39.75" customHeight="1">
      <c r="A178" s="712"/>
      <c r="B178" s="712"/>
      <c r="C178" s="712"/>
      <c r="D178" s="537">
        <v>169</v>
      </c>
      <c r="E178" s="537" t="s">
        <v>343</v>
      </c>
      <c r="F178" s="561"/>
      <c r="G178" s="565"/>
      <c r="H178" s="565"/>
      <c r="I178" s="563"/>
      <c r="J178" s="562"/>
      <c r="K178" s="562"/>
      <c r="L178" s="562"/>
      <c r="M178" s="562"/>
      <c r="N178" s="562"/>
      <c r="O178" s="562"/>
      <c r="P178" s="562"/>
      <c r="Q178" s="562"/>
      <c r="R178" s="562"/>
      <c r="S178" s="562"/>
      <c r="T178" s="538">
        <f t="shared" si="13"/>
        <v>0</v>
      </c>
      <c r="U178" s="538">
        <f t="shared" si="27"/>
        <v>0</v>
      </c>
      <c r="V178" s="1065"/>
      <c r="W178" s="732"/>
      <c r="X178" s="732"/>
      <c r="Y178" s="732"/>
      <c r="Z178" s="732"/>
      <c r="AA178" s="732"/>
    </row>
    <row r="179" spans="1:27" ht="39.75" customHeight="1">
      <c r="A179" s="712"/>
      <c r="B179" s="707"/>
      <c r="C179" s="707"/>
      <c r="D179" s="537">
        <v>170</v>
      </c>
      <c r="E179" s="537" t="s">
        <v>344</v>
      </c>
      <c r="F179" s="561"/>
      <c r="G179" s="562"/>
      <c r="H179" s="562"/>
      <c r="I179" s="562"/>
      <c r="J179" s="562"/>
      <c r="K179" s="562"/>
      <c r="L179" s="562"/>
      <c r="M179" s="562"/>
      <c r="N179" s="562"/>
      <c r="O179" s="562"/>
      <c r="P179" s="562"/>
      <c r="Q179" s="562"/>
      <c r="R179" s="562"/>
      <c r="S179" s="562"/>
      <c r="T179" s="538">
        <f t="shared" si="13"/>
        <v>0</v>
      </c>
      <c r="U179" s="538">
        <f t="shared" si="27"/>
        <v>0</v>
      </c>
      <c r="V179" s="1065"/>
      <c r="W179" s="732"/>
      <c r="X179" s="732"/>
      <c r="Y179" s="732"/>
      <c r="Z179" s="732"/>
      <c r="AA179" s="732"/>
    </row>
    <row r="180" spans="1:27" ht="39.75" customHeight="1">
      <c r="A180" s="712"/>
      <c r="B180" s="692" t="s">
        <v>345</v>
      </c>
      <c r="C180" s="692" t="s">
        <v>346</v>
      </c>
      <c r="D180" s="537">
        <v>171</v>
      </c>
      <c r="E180" s="537" t="s">
        <v>347</v>
      </c>
      <c r="F180" s="561"/>
      <c r="G180" s="562"/>
      <c r="H180" s="562"/>
      <c r="I180" s="562"/>
      <c r="J180" s="562"/>
      <c r="K180" s="562"/>
      <c r="L180" s="562"/>
      <c r="M180" s="562"/>
      <c r="N180" s="562"/>
      <c r="O180" s="562"/>
      <c r="P180" s="562"/>
      <c r="Q180" s="562"/>
      <c r="R180" s="562"/>
      <c r="S180" s="562"/>
      <c r="T180" s="538">
        <f t="shared" si="13"/>
        <v>0</v>
      </c>
      <c r="U180" s="538">
        <f t="shared" si="27"/>
        <v>0</v>
      </c>
      <c r="V180" s="1065"/>
      <c r="W180" s="732"/>
      <c r="X180" s="732"/>
      <c r="Y180" s="732"/>
      <c r="Z180" s="732"/>
      <c r="AA180" s="732"/>
    </row>
    <row r="181" spans="1:27" ht="39.75" customHeight="1">
      <c r="A181" s="712"/>
      <c r="B181" s="712"/>
      <c r="C181" s="712"/>
      <c r="D181" s="537">
        <v>172</v>
      </c>
      <c r="E181" s="537" t="s">
        <v>348</v>
      </c>
      <c r="F181" s="561"/>
      <c r="G181" s="562"/>
      <c r="H181" s="562"/>
      <c r="I181" s="562"/>
      <c r="J181" s="562"/>
      <c r="K181" s="562"/>
      <c r="L181" s="562"/>
      <c r="M181" s="562"/>
      <c r="N181" s="562"/>
      <c r="O181" s="562"/>
      <c r="P181" s="563"/>
      <c r="Q181" s="562"/>
      <c r="R181" s="562"/>
      <c r="S181" s="562"/>
      <c r="T181" s="538">
        <f t="shared" si="13"/>
        <v>0</v>
      </c>
      <c r="U181" s="538">
        <f t="shared" si="27"/>
        <v>0</v>
      </c>
      <c r="V181" s="1065"/>
      <c r="W181" s="732"/>
      <c r="X181" s="732"/>
      <c r="Y181" s="732"/>
      <c r="Z181" s="732"/>
      <c r="AA181" s="732"/>
    </row>
    <row r="182" spans="1:27" ht="39.75" customHeight="1">
      <c r="A182" s="712"/>
      <c r="B182" s="712"/>
      <c r="C182" s="712"/>
      <c r="D182" s="537">
        <v>173</v>
      </c>
      <c r="E182" s="537" t="s">
        <v>349</v>
      </c>
      <c r="F182" s="561"/>
      <c r="G182" s="562"/>
      <c r="H182" s="562"/>
      <c r="I182" s="562"/>
      <c r="J182" s="562"/>
      <c r="K182" s="562"/>
      <c r="L182" s="562"/>
      <c r="M182" s="562"/>
      <c r="N182" s="562"/>
      <c r="O182" s="562"/>
      <c r="P182" s="562"/>
      <c r="Q182" s="562"/>
      <c r="R182" s="562"/>
      <c r="S182" s="562"/>
      <c r="T182" s="538">
        <f t="shared" si="13"/>
        <v>0</v>
      </c>
      <c r="U182" s="538">
        <f t="shared" si="27"/>
        <v>0</v>
      </c>
      <c r="V182" s="1065"/>
      <c r="W182" s="732"/>
      <c r="X182" s="732"/>
      <c r="Y182" s="732"/>
      <c r="Z182" s="732"/>
      <c r="AA182" s="732"/>
    </row>
    <row r="183" spans="1:27" ht="39.75" customHeight="1">
      <c r="A183" s="712"/>
      <c r="B183" s="707"/>
      <c r="C183" s="707"/>
      <c r="D183" s="537">
        <v>174</v>
      </c>
      <c r="E183" s="537" t="s">
        <v>350</v>
      </c>
      <c r="F183" s="561"/>
      <c r="G183" s="562"/>
      <c r="H183" s="562"/>
      <c r="I183" s="562"/>
      <c r="J183" s="562"/>
      <c r="K183" s="562"/>
      <c r="L183" s="562"/>
      <c r="M183" s="562"/>
      <c r="N183" s="562"/>
      <c r="O183" s="562"/>
      <c r="P183" s="563"/>
      <c r="Q183" s="562"/>
      <c r="R183" s="562"/>
      <c r="S183" s="562"/>
      <c r="T183" s="538">
        <f t="shared" si="13"/>
        <v>0</v>
      </c>
      <c r="U183" s="538">
        <f t="shared" si="27"/>
        <v>0</v>
      </c>
      <c r="V183" s="1065"/>
      <c r="W183" s="732"/>
      <c r="X183" s="732"/>
      <c r="Y183" s="732"/>
      <c r="Z183" s="732"/>
      <c r="AA183" s="732"/>
    </row>
    <row r="184" spans="1:27" ht="409.5">
      <c r="A184" s="712"/>
      <c r="B184" s="692" t="s">
        <v>351</v>
      </c>
      <c r="C184" s="692" t="s">
        <v>290</v>
      </c>
      <c r="D184" s="537">
        <v>175</v>
      </c>
      <c r="E184" s="537" t="s">
        <v>291</v>
      </c>
      <c r="F184" s="1250"/>
      <c r="G184" s="1251"/>
      <c r="H184" s="1251"/>
      <c r="I184" s="1252">
        <v>12.7</v>
      </c>
      <c r="J184" s="1251"/>
      <c r="K184" s="1251"/>
      <c r="L184" s="1251"/>
      <c r="M184" s="1251"/>
      <c r="N184" s="1253">
        <v>15.185</v>
      </c>
      <c r="O184" s="1251"/>
      <c r="P184" s="627">
        <f>5+27.08</f>
        <v>32.08</v>
      </c>
      <c r="Q184" s="1253">
        <v>1</v>
      </c>
      <c r="R184" s="1252">
        <v>0.79</v>
      </c>
      <c r="S184" s="1252"/>
      <c r="T184" s="538">
        <f t="shared" si="13"/>
        <v>61.754999999999995</v>
      </c>
      <c r="U184" s="538">
        <f t="shared" ref="U184:U186" si="28">T184</f>
        <v>61.754999999999995</v>
      </c>
      <c r="V184" s="1157" t="s">
        <v>906</v>
      </c>
      <c r="W184" s="732"/>
      <c r="X184" s="732"/>
      <c r="Y184" s="732"/>
      <c r="Z184" s="732"/>
      <c r="AA184" s="732"/>
    </row>
    <row r="185" spans="1:27" ht="409.5">
      <c r="A185" s="712"/>
      <c r="B185" s="712"/>
      <c r="C185" s="712"/>
      <c r="D185" s="537">
        <v>176</v>
      </c>
      <c r="E185" s="537" t="s">
        <v>293</v>
      </c>
      <c r="F185" s="1250"/>
      <c r="G185" s="1251"/>
      <c r="H185" s="1251"/>
      <c r="I185" s="1251"/>
      <c r="J185" s="1251"/>
      <c r="K185" s="1251"/>
      <c r="L185" s="1251"/>
      <c r="M185" s="1252">
        <v>27.8</v>
      </c>
      <c r="N185" s="1251"/>
      <c r="O185" s="1251"/>
      <c r="P185" s="1252">
        <v>77.69</v>
      </c>
      <c r="Q185" s="1252">
        <v>10.1</v>
      </c>
      <c r="R185" s="1251"/>
      <c r="S185" s="1251"/>
      <c r="T185" s="538">
        <f t="shared" si="13"/>
        <v>115.58999999999999</v>
      </c>
      <c r="U185" s="538">
        <f t="shared" si="28"/>
        <v>115.58999999999999</v>
      </c>
      <c r="V185" s="1157" t="s">
        <v>907</v>
      </c>
      <c r="W185" s="732"/>
      <c r="X185" s="732"/>
      <c r="Y185" s="732"/>
      <c r="Z185" s="732"/>
      <c r="AA185" s="732"/>
    </row>
    <row r="186" spans="1:27" ht="75">
      <c r="A186" s="712"/>
      <c r="B186" s="707"/>
      <c r="C186" s="707"/>
      <c r="D186" s="537">
        <v>177</v>
      </c>
      <c r="E186" s="537" t="s">
        <v>295</v>
      </c>
      <c r="F186" s="1150"/>
      <c r="G186" s="1066"/>
      <c r="H186" s="1066"/>
      <c r="I186" s="1066"/>
      <c r="J186" s="1066"/>
      <c r="K186" s="1066"/>
      <c r="L186" s="1066"/>
      <c r="M186" s="1066"/>
      <c r="N186" s="1254">
        <v>1</v>
      </c>
      <c r="O186" s="1066"/>
      <c r="P186" s="1066"/>
      <c r="Q186" s="1066"/>
      <c r="R186" s="1066"/>
      <c r="S186" s="1066"/>
      <c r="T186" s="538">
        <f t="shared" si="13"/>
        <v>1</v>
      </c>
      <c r="U186" s="538">
        <f t="shared" si="28"/>
        <v>1</v>
      </c>
      <c r="V186" s="1082" t="s">
        <v>352</v>
      </c>
      <c r="W186" s="732"/>
      <c r="X186" s="732"/>
      <c r="Y186" s="732"/>
      <c r="Z186" s="732"/>
      <c r="AA186" s="732"/>
    </row>
    <row r="187" spans="1:27" ht="39.75" customHeight="1">
      <c r="A187" s="712"/>
      <c r="B187" s="692" t="s">
        <v>353</v>
      </c>
      <c r="C187" s="692" t="s">
        <v>354</v>
      </c>
      <c r="D187" s="537">
        <v>178</v>
      </c>
      <c r="E187" s="537" t="s">
        <v>355</v>
      </c>
      <c r="F187" s="561"/>
      <c r="G187" s="562"/>
      <c r="H187" s="562"/>
      <c r="I187" s="562"/>
      <c r="J187" s="562"/>
      <c r="K187" s="562"/>
      <c r="L187" s="562"/>
      <c r="M187" s="562"/>
      <c r="N187" s="562"/>
      <c r="O187" s="562"/>
      <c r="P187" s="847">
        <v>1.5</v>
      </c>
      <c r="Q187" s="829"/>
      <c r="R187" s="829"/>
      <c r="S187" s="829"/>
      <c r="T187" s="847">
        <f t="shared" ref="T187" si="29">SUM(F187:S187)</f>
        <v>1.5</v>
      </c>
      <c r="U187" s="847">
        <f>T187</f>
        <v>1.5</v>
      </c>
      <c r="V187" s="744" t="s">
        <v>1857</v>
      </c>
      <c r="W187" s="732"/>
      <c r="X187" s="732"/>
      <c r="Y187" s="732"/>
      <c r="Z187" s="732"/>
      <c r="AA187" s="732"/>
    </row>
    <row r="188" spans="1:27" ht="39.75" customHeight="1">
      <c r="A188" s="712"/>
      <c r="B188" s="712"/>
      <c r="C188" s="712"/>
      <c r="D188" s="537">
        <v>179</v>
      </c>
      <c r="E188" s="537" t="s">
        <v>157</v>
      </c>
      <c r="F188" s="561"/>
      <c r="G188" s="562"/>
      <c r="H188" s="562"/>
      <c r="I188" s="562"/>
      <c r="J188" s="562"/>
      <c r="K188" s="562"/>
      <c r="L188" s="562"/>
      <c r="M188" s="562"/>
      <c r="N188" s="562"/>
      <c r="O188" s="562"/>
      <c r="P188" s="562"/>
      <c r="Q188" s="562"/>
      <c r="R188" s="562"/>
      <c r="S188" s="562"/>
      <c r="T188" s="538">
        <f t="shared" si="13"/>
        <v>0</v>
      </c>
      <c r="U188" s="538">
        <f t="shared" ref="U187:U193" si="30">T188*1.05</f>
        <v>0</v>
      </c>
      <c r="V188" s="1065"/>
      <c r="W188" s="732"/>
      <c r="X188" s="732"/>
      <c r="Y188" s="732"/>
      <c r="Z188" s="732"/>
      <c r="AA188" s="732"/>
    </row>
    <row r="189" spans="1:27" ht="39.75" customHeight="1">
      <c r="A189" s="712"/>
      <c r="B189" s="712"/>
      <c r="C189" s="712"/>
      <c r="D189" s="537">
        <v>180</v>
      </c>
      <c r="E189" s="537" t="s">
        <v>356</v>
      </c>
      <c r="F189" s="561"/>
      <c r="G189" s="562"/>
      <c r="H189" s="562"/>
      <c r="I189" s="562"/>
      <c r="J189" s="562"/>
      <c r="K189" s="563"/>
      <c r="L189" s="562"/>
      <c r="M189" s="562"/>
      <c r="N189" s="562"/>
      <c r="O189" s="562"/>
      <c r="P189" s="565"/>
      <c r="Q189" s="562"/>
      <c r="R189" s="562"/>
      <c r="S189" s="562"/>
      <c r="T189" s="538">
        <f t="shared" si="13"/>
        <v>0</v>
      </c>
      <c r="U189" s="538">
        <f t="shared" si="30"/>
        <v>0</v>
      </c>
      <c r="V189" s="1065"/>
      <c r="W189" s="732"/>
      <c r="X189" s="732"/>
      <c r="Y189" s="732"/>
      <c r="Z189" s="732"/>
      <c r="AA189" s="732"/>
    </row>
    <row r="190" spans="1:27" ht="39.75" customHeight="1">
      <c r="A190" s="712"/>
      <c r="B190" s="712"/>
      <c r="C190" s="712"/>
      <c r="D190" s="537">
        <v>181</v>
      </c>
      <c r="E190" s="537" t="s">
        <v>357</v>
      </c>
      <c r="F190" s="561"/>
      <c r="G190" s="562"/>
      <c r="H190" s="562"/>
      <c r="I190" s="562"/>
      <c r="J190" s="562"/>
      <c r="K190" s="562"/>
      <c r="L190" s="562"/>
      <c r="M190" s="562"/>
      <c r="N190" s="562"/>
      <c r="O190" s="562"/>
      <c r="P190" s="562"/>
      <c r="Q190" s="562"/>
      <c r="R190" s="562"/>
      <c r="S190" s="562"/>
      <c r="T190" s="538">
        <f t="shared" si="13"/>
        <v>0</v>
      </c>
      <c r="U190" s="538">
        <f t="shared" si="30"/>
        <v>0</v>
      </c>
      <c r="V190" s="1065"/>
      <c r="W190" s="732"/>
      <c r="X190" s="732"/>
      <c r="Y190" s="732"/>
      <c r="Z190" s="732"/>
      <c r="AA190" s="732"/>
    </row>
    <row r="191" spans="1:27" ht="72" customHeight="1">
      <c r="A191" s="712"/>
      <c r="B191" s="712"/>
      <c r="C191" s="712"/>
      <c r="D191" s="537">
        <v>182</v>
      </c>
      <c r="E191" s="537" t="s">
        <v>358</v>
      </c>
      <c r="F191" s="561"/>
      <c r="G191" s="562"/>
      <c r="H191" s="562"/>
      <c r="I191" s="562"/>
      <c r="J191" s="562"/>
      <c r="K191" s="562"/>
      <c r="L191" s="562"/>
      <c r="M191" s="562"/>
      <c r="N191" s="562"/>
      <c r="O191" s="562"/>
      <c r="P191" s="539">
        <v>24</v>
      </c>
      <c r="Q191" s="562"/>
      <c r="R191" s="562"/>
      <c r="S191" s="562"/>
      <c r="T191" s="538">
        <f t="shared" si="13"/>
        <v>24</v>
      </c>
      <c r="U191" s="544">
        <f t="shared" si="30"/>
        <v>25.200000000000003</v>
      </c>
      <c r="V191" s="1065" t="s">
        <v>908</v>
      </c>
      <c r="W191" s="732">
        <v>4</v>
      </c>
      <c r="X191" s="732"/>
      <c r="Y191" s="732"/>
      <c r="Z191" s="732"/>
      <c r="AA191" s="732"/>
    </row>
    <row r="192" spans="1:27" ht="39.75" customHeight="1">
      <c r="A192" s="712"/>
      <c r="B192" s="707"/>
      <c r="C192" s="707"/>
      <c r="D192" s="537">
        <v>183</v>
      </c>
      <c r="E192" s="537" t="s">
        <v>360</v>
      </c>
      <c r="F192" s="561"/>
      <c r="G192" s="562"/>
      <c r="H192" s="562"/>
      <c r="I192" s="562"/>
      <c r="J192" s="562"/>
      <c r="K192" s="562"/>
      <c r="L192" s="562"/>
      <c r="M192" s="562"/>
      <c r="N192" s="562"/>
      <c r="O192" s="562"/>
      <c r="P192" s="565"/>
      <c r="Q192" s="562"/>
      <c r="R192" s="562"/>
      <c r="S192" s="562"/>
      <c r="T192" s="538">
        <f t="shared" si="13"/>
        <v>0</v>
      </c>
      <c r="U192" s="538">
        <f t="shared" si="30"/>
        <v>0</v>
      </c>
      <c r="V192" s="1065"/>
      <c r="W192" s="732">
        <f>46000*5*12</f>
        <v>2760000</v>
      </c>
      <c r="X192" s="732"/>
      <c r="Y192" s="732"/>
      <c r="Z192" s="732"/>
      <c r="AA192" s="732"/>
    </row>
    <row r="193" spans="1:27" ht="39.75" customHeight="1">
      <c r="A193" s="712"/>
      <c r="B193" s="537" t="s">
        <v>361</v>
      </c>
      <c r="C193" s="537" t="s">
        <v>362</v>
      </c>
      <c r="D193" s="537">
        <v>184</v>
      </c>
      <c r="E193" s="537" t="s">
        <v>363</v>
      </c>
      <c r="F193" s="561"/>
      <c r="G193" s="562"/>
      <c r="H193" s="562"/>
      <c r="I193" s="562"/>
      <c r="J193" s="562"/>
      <c r="K193" s="562"/>
      <c r="L193" s="562"/>
      <c r="M193" s="562"/>
      <c r="N193" s="562"/>
      <c r="O193" s="562"/>
      <c r="P193" s="563"/>
      <c r="Q193" s="562"/>
      <c r="R193" s="562"/>
      <c r="S193" s="562"/>
      <c r="T193" s="538">
        <f t="shared" si="13"/>
        <v>0</v>
      </c>
      <c r="U193" s="538">
        <f t="shared" si="30"/>
        <v>0</v>
      </c>
      <c r="V193" s="1065"/>
      <c r="W193" s="732"/>
      <c r="X193" s="732"/>
      <c r="Y193" s="732"/>
      <c r="Z193" s="732"/>
      <c r="AA193" s="732"/>
    </row>
    <row r="194" spans="1:27" ht="39.75" customHeight="1">
      <c r="A194" s="712"/>
      <c r="B194" s="692" t="s">
        <v>364</v>
      </c>
      <c r="C194" s="692" t="s">
        <v>297</v>
      </c>
      <c r="D194" s="537">
        <v>185</v>
      </c>
      <c r="E194" s="537" t="s">
        <v>298</v>
      </c>
      <c r="F194" s="561"/>
      <c r="G194" s="562"/>
      <c r="H194" s="562"/>
      <c r="I194" s="562"/>
      <c r="J194" s="562"/>
      <c r="K194" s="562"/>
      <c r="L194" s="562"/>
      <c r="M194" s="562"/>
      <c r="N194" s="562"/>
      <c r="O194" s="562"/>
      <c r="P194" s="783">
        <v>3670.7985800000065</v>
      </c>
      <c r="Q194" s="562"/>
      <c r="R194" s="562"/>
      <c r="S194" s="562"/>
      <c r="T194" s="538">
        <f t="shared" si="13"/>
        <v>3670.7985800000065</v>
      </c>
      <c r="U194" s="887">
        <v>3946.7059943520103</v>
      </c>
      <c r="V194" s="1206" t="s">
        <v>1732</v>
      </c>
      <c r="W194" s="732"/>
      <c r="X194" s="732"/>
      <c r="Y194" s="732"/>
      <c r="Z194" s="732"/>
      <c r="AA194" s="732"/>
    </row>
    <row r="195" spans="1:27" ht="105">
      <c r="A195" s="712"/>
      <c r="B195" s="712"/>
      <c r="C195" s="712"/>
      <c r="D195" s="537">
        <v>186</v>
      </c>
      <c r="E195" s="537" t="s">
        <v>299</v>
      </c>
      <c r="F195" s="561"/>
      <c r="G195" s="562"/>
      <c r="H195" s="562"/>
      <c r="I195" s="562"/>
      <c r="J195" s="562"/>
      <c r="K195" s="562"/>
      <c r="L195" s="562"/>
      <c r="M195" s="562"/>
      <c r="N195" s="562"/>
      <c r="O195" s="562"/>
      <c r="P195" s="541">
        <f>3.318+4.02</f>
        <v>7.3379999999999992</v>
      </c>
      <c r="Q195" s="563"/>
      <c r="R195" s="562"/>
      <c r="S195" s="562"/>
      <c r="T195" s="538">
        <f t="shared" si="13"/>
        <v>7.3379999999999992</v>
      </c>
      <c r="U195" s="538">
        <f>T195</f>
        <v>7.3379999999999992</v>
      </c>
      <c r="V195" s="1065" t="s">
        <v>909</v>
      </c>
      <c r="W195" s="732"/>
      <c r="X195" s="732"/>
      <c r="Y195" s="732"/>
      <c r="Z195" s="732"/>
      <c r="AA195" s="732"/>
    </row>
    <row r="196" spans="1:27" ht="39.75" customHeight="1">
      <c r="A196" s="712"/>
      <c r="B196" s="712"/>
      <c r="C196" s="712"/>
      <c r="D196" s="537">
        <v>187</v>
      </c>
      <c r="E196" s="537" t="s">
        <v>367</v>
      </c>
      <c r="F196" s="561"/>
      <c r="G196" s="562"/>
      <c r="H196" s="562"/>
      <c r="I196" s="562"/>
      <c r="J196" s="562"/>
      <c r="K196" s="562"/>
      <c r="L196" s="562"/>
      <c r="M196" s="562"/>
      <c r="N196" s="562"/>
      <c r="O196" s="562"/>
      <c r="P196" s="783">
        <v>1618.0301199999999</v>
      </c>
      <c r="Q196" s="562"/>
      <c r="R196" s="562"/>
      <c r="S196" s="562"/>
      <c r="T196" s="538">
        <f t="shared" si="13"/>
        <v>1618.0301199999999</v>
      </c>
      <c r="U196" s="887">
        <v>1752.973832008</v>
      </c>
      <c r="V196" s="1206" t="s">
        <v>1732</v>
      </c>
      <c r="W196" s="732"/>
      <c r="X196" s="732"/>
      <c r="Y196" s="732"/>
      <c r="Z196" s="732"/>
      <c r="AA196" s="732"/>
    </row>
    <row r="197" spans="1:27" ht="39.75" customHeight="1">
      <c r="A197" s="712"/>
      <c r="B197" s="712"/>
      <c r="C197" s="712"/>
      <c r="D197" s="537">
        <v>188</v>
      </c>
      <c r="E197" s="537" t="s">
        <v>300</v>
      </c>
      <c r="F197" s="561"/>
      <c r="G197" s="562"/>
      <c r="H197" s="562"/>
      <c r="I197" s="562"/>
      <c r="J197" s="562"/>
      <c r="K197" s="562"/>
      <c r="L197" s="562"/>
      <c r="M197" s="562"/>
      <c r="N197" s="562"/>
      <c r="O197" s="562"/>
      <c r="P197" s="562"/>
      <c r="Q197" s="562"/>
      <c r="R197" s="562"/>
      <c r="S197" s="562"/>
      <c r="T197" s="538">
        <f t="shared" si="13"/>
        <v>0</v>
      </c>
      <c r="U197" s="538">
        <f t="shared" ref="U197:U200" si="31">T197*1.05</f>
        <v>0</v>
      </c>
      <c r="V197" s="1065"/>
      <c r="W197" s="732"/>
      <c r="X197" s="732"/>
      <c r="Y197" s="732"/>
      <c r="Z197" s="732"/>
      <c r="AA197" s="732"/>
    </row>
    <row r="198" spans="1:27" ht="39.75" customHeight="1">
      <c r="A198" s="712"/>
      <c r="B198" s="712"/>
      <c r="C198" s="712"/>
      <c r="D198" s="537">
        <v>189</v>
      </c>
      <c r="E198" s="537" t="s">
        <v>301</v>
      </c>
      <c r="F198" s="561"/>
      <c r="G198" s="562"/>
      <c r="H198" s="562"/>
      <c r="I198" s="562"/>
      <c r="J198" s="562"/>
      <c r="K198" s="562"/>
      <c r="L198" s="562"/>
      <c r="M198" s="562"/>
      <c r="N198" s="562"/>
      <c r="O198" s="562"/>
      <c r="P198" s="562"/>
      <c r="Q198" s="562"/>
      <c r="R198" s="562"/>
      <c r="S198" s="562"/>
      <c r="T198" s="538">
        <f t="shared" si="13"/>
        <v>0</v>
      </c>
      <c r="U198" s="538">
        <f t="shared" si="31"/>
        <v>0</v>
      </c>
      <c r="V198" s="1065"/>
      <c r="W198" s="732"/>
      <c r="X198" s="732"/>
      <c r="Y198" s="732"/>
      <c r="Z198" s="732"/>
      <c r="AA198" s="732"/>
    </row>
    <row r="199" spans="1:27" ht="39.75" customHeight="1">
      <c r="A199" s="712"/>
      <c r="B199" s="707"/>
      <c r="C199" s="707"/>
      <c r="D199" s="537">
        <v>190</v>
      </c>
      <c r="E199" s="537" t="s">
        <v>368</v>
      </c>
      <c r="F199" s="561"/>
      <c r="G199" s="562"/>
      <c r="H199" s="562"/>
      <c r="I199" s="562"/>
      <c r="J199" s="562"/>
      <c r="K199" s="562"/>
      <c r="L199" s="562"/>
      <c r="M199" s="562"/>
      <c r="N199" s="562"/>
      <c r="O199" s="562"/>
      <c r="P199" s="565"/>
      <c r="Q199" s="562"/>
      <c r="R199" s="562"/>
      <c r="S199" s="562"/>
      <c r="T199" s="538">
        <f t="shared" si="13"/>
        <v>0</v>
      </c>
      <c r="U199" s="538">
        <f t="shared" si="31"/>
        <v>0</v>
      </c>
      <c r="V199" s="1065" t="s">
        <v>369</v>
      </c>
      <c r="W199" s="732"/>
      <c r="X199" s="732"/>
      <c r="Y199" s="732"/>
      <c r="Z199" s="732"/>
      <c r="AA199" s="732"/>
    </row>
    <row r="200" spans="1:27" ht="39.75" customHeight="1">
      <c r="A200" s="712"/>
      <c r="B200" s="692" t="s">
        <v>370</v>
      </c>
      <c r="C200" s="692" t="s">
        <v>371</v>
      </c>
      <c r="D200" s="537">
        <v>191</v>
      </c>
      <c r="E200" s="537" t="s">
        <v>372</v>
      </c>
      <c r="F200" s="561"/>
      <c r="G200" s="562"/>
      <c r="H200" s="562"/>
      <c r="I200" s="562"/>
      <c r="J200" s="562"/>
      <c r="K200" s="562"/>
      <c r="L200" s="562"/>
      <c r="M200" s="562"/>
      <c r="N200" s="563"/>
      <c r="O200" s="562"/>
      <c r="P200" s="562"/>
      <c r="Q200" s="562"/>
      <c r="R200" s="562"/>
      <c r="S200" s="562"/>
      <c r="T200" s="538">
        <f t="shared" si="13"/>
        <v>0</v>
      </c>
      <c r="U200" s="538">
        <f t="shared" si="31"/>
        <v>0</v>
      </c>
      <c r="V200" s="1065"/>
      <c r="W200" s="732"/>
      <c r="X200" s="732"/>
      <c r="Y200" s="732"/>
      <c r="Z200" s="732"/>
      <c r="AA200" s="732"/>
    </row>
    <row r="201" spans="1:27" ht="77.25" customHeight="1">
      <c r="A201" s="712"/>
      <c r="B201" s="707"/>
      <c r="C201" s="707"/>
      <c r="D201" s="537">
        <v>192</v>
      </c>
      <c r="E201" s="537" t="s">
        <v>373</v>
      </c>
      <c r="F201" s="561"/>
      <c r="G201" s="562"/>
      <c r="H201" s="565"/>
      <c r="I201" s="562"/>
      <c r="J201" s="562"/>
      <c r="K201" s="562"/>
      <c r="L201" s="562"/>
      <c r="M201" s="562"/>
      <c r="N201" s="539">
        <v>0</v>
      </c>
      <c r="O201" s="562"/>
      <c r="P201" s="563"/>
      <c r="Q201" s="565"/>
      <c r="R201" s="562"/>
      <c r="S201" s="562"/>
      <c r="T201" s="538">
        <f t="shared" si="13"/>
        <v>0</v>
      </c>
      <c r="U201" s="538"/>
      <c r="V201" s="793"/>
      <c r="W201" s="732"/>
      <c r="X201" s="732"/>
      <c r="Y201" s="732"/>
      <c r="Z201" s="732"/>
      <c r="AA201" s="732"/>
    </row>
    <row r="202" spans="1:27" ht="39.75" customHeight="1">
      <c r="A202" s="712"/>
      <c r="B202" s="692" t="s">
        <v>374</v>
      </c>
      <c r="C202" s="692" t="s">
        <v>303</v>
      </c>
      <c r="D202" s="537">
        <v>193</v>
      </c>
      <c r="E202" s="537" t="s">
        <v>375</v>
      </c>
      <c r="F202" s="561"/>
      <c r="G202" s="562"/>
      <c r="H202" s="562"/>
      <c r="I202" s="562"/>
      <c r="J202" s="562"/>
      <c r="K202" s="562"/>
      <c r="L202" s="562"/>
      <c r="M202" s="562"/>
      <c r="N202" s="562"/>
      <c r="O202" s="562"/>
      <c r="P202" s="563"/>
      <c r="Q202" s="562"/>
      <c r="R202" s="562"/>
      <c r="S202" s="565"/>
      <c r="T202" s="538">
        <f t="shared" si="13"/>
        <v>0</v>
      </c>
      <c r="U202" s="538">
        <f>T202*1.05</f>
        <v>0</v>
      </c>
      <c r="V202" s="1065"/>
      <c r="W202" s="732"/>
      <c r="X202" s="732"/>
      <c r="Y202" s="732"/>
      <c r="Z202" s="732"/>
      <c r="AA202" s="732"/>
    </row>
    <row r="203" spans="1:27" ht="240">
      <c r="A203" s="712"/>
      <c r="B203" s="707"/>
      <c r="C203" s="707"/>
      <c r="D203" s="537">
        <v>194</v>
      </c>
      <c r="E203" s="537" t="s">
        <v>304</v>
      </c>
      <c r="F203" s="561"/>
      <c r="G203" s="562"/>
      <c r="H203" s="562"/>
      <c r="I203" s="562"/>
      <c r="J203" s="562"/>
      <c r="K203" s="562"/>
      <c r="L203" s="562"/>
      <c r="M203" s="562"/>
      <c r="N203" s="563">
        <v>1.2</v>
      </c>
      <c r="O203" s="562"/>
      <c r="P203" s="562"/>
      <c r="Q203" s="539"/>
      <c r="R203" s="563">
        <v>50</v>
      </c>
      <c r="S203" s="562"/>
      <c r="T203" s="538">
        <f t="shared" si="13"/>
        <v>51.2</v>
      </c>
      <c r="U203" s="544">
        <f>R203*1.05+N203</f>
        <v>53.7</v>
      </c>
      <c r="V203" s="1065" t="s">
        <v>1604</v>
      </c>
      <c r="W203" s="732"/>
      <c r="X203" s="732"/>
      <c r="Y203" s="732"/>
      <c r="Z203" s="732"/>
      <c r="AA203" s="732"/>
    </row>
    <row r="204" spans="1:27" ht="135">
      <c r="A204" s="712"/>
      <c r="B204" s="692" t="s">
        <v>376</v>
      </c>
      <c r="C204" s="692" t="s">
        <v>377</v>
      </c>
      <c r="D204" s="537">
        <v>195</v>
      </c>
      <c r="E204" s="537" t="s">
        <v>378</v>
      </c>
      <c r="F204" s="561"/>
      <c r="G204" s="562"/>
      <c r="H204" s="562"/>
      <c r="I204" s="562"/>
      <c r="J204" s="562"/>
      <c r="K204" s="562"/>
      <c r="L204" s="562"/>
      <c r="M204" s="562"/>
      <c r="N204" s="562"/>
      <c r="O204" s="562"/>
      <c r="P204" s="563"/>
      <c r="Q204" s="565">
        <v>2.4</v>
      </c>
      <c r="R204" s="563">
        <v>2.5</v>
      </c>
      <c r="S204" s="562">
        <v>3.85</v>
      </c>
      <c r="T204" s="538">
        <f t="shared" si="13"/>
        <v>8.75</v>
      </c>
      <c r="U204" s="538">
        <f>T204</f>
        <v>8.75</v>
      </c>
      <c r="V204" s="793" t="s">
        <v>910</v>
      </c>
      <c r="W204" s="732"/>
      <c r="X204" s="732"/>
      <c r="Y204" s="732"/>
      <c r="Z204" s="732"/>
      <c r="AA204" s="732"/>
    </row>
    <row r="205" spans="1:27" ht="39.75" customHeight="1">
      <c r="A205" s="712"/>
      <c r="B205" s="712"/>
      <c r="C205" s="712"/>
      <c r="D205" s="537">
        <v>196</v>
      </c>
      <c r="E205" s="537" t="s">
        <v>379</v>
      </c>
      <c r="F205" s="561"/>
      <c r="G205" s="562"/>
      <c r="H205" s="562"/>
      <c r="I205" s="562"/>
      <c r="J205" s="562"/>
      <c r="K205" s="562"/>
      <c r="L205" s="562"/>
      <c r="M205" s="562"/>
      <c r="N205" s="562"/>
      <c r="O205" s="562"/>
      <c r="P205" s="562"/>
      <c r="Q205" s="562"/>
      <c r="R205" s="562"/>
      <c r="S205" s="562"/>
      <c r="T205" s="538">
        <f t="shared" si="13"/>
        <v>0</v>
      </c>
      <c r="U205" s="538">
        <f>T205*1.05</f>
        <v>0</v>
      </c>
      <c r="V205" s="1065"/>
      <c r="W205" s="732"/>
      <c r="X205" s="732"/>
      <c r="Y205" s="732"/>
      <c r="Z205" s="732"/>
      <c r="AA205" s="732"/>
    </row>
    <row r="206" spans="1:27" ht="409.5">
      <c r="A206" s="712"/>
      <c r="B206" s="707"/>
      <c r="C206" s="707"/>
      <c r="D206" s="537">
        <v>197</v>
      </c>
      <c r="E206" s="537" t="s">
        <v>380</v>
      </c>
      <c r="F206" s="1159"/>
      <c r="G206" s="1063"/>
      <c r="H206" s="1063"/>
      <c r="I206" s="1063"/>
      <c r="J206" s="1063"/>
      <c r="K206" s="1063"/>
      <c r="L206" s="1063"/>
      <c r="M206" s="1063"/>
      <c r="N206" s="1160">
        <v>0.25</v>
      </c>
      <c r="O206" s="1063"/>
      <c r="P206" s="1161">
        <v>41.06</v>
      </c>
      <c r="Q206" s="1064"/>
      <c r="R206" s="1064">
        <v>0.05</v>
      </c>
      <c r="S206" s="1064"/>
      <c r="T206" s="555">
        <f>SUM(N206:S206)</f>
        <v>41.36</v>
      </c>
      <c r="U206" s="1161">
        <v>41.11</v>
      </c>
      <c r="V206" s="1255" t="s">
        <v>1691</v>
      </c>
      <c r="W206" s="1063"/>
      <c r="X206" s="1063"/>
      <c r="Y206" s="732"/>
      <c r="Z206" s="732"/>
      <c r="AA206" s="732"/>
    </row>
    <row r="207" spans="1:27" ht="126.75" customHeight="1">
      <c r="A207" s="712"/>
      <c r="B207" s="537" t="s">
        <v>381</v>
      </c>
      <c r="C207" s="537" t="s">
        <v>309</v>
      </c>
      <c r="D207" s="537">
        <v>198</v>
      </c>
      <c r="E207" s="537" t="s">
        <v>310</v>
      </c>
      <c r="F207" s="561"/>
      <c r="G207" s="562"/>
      <c r="H207" s="562"/>
      <c r="I207" s="562"/>
      <c r="J207" s="562"/>
      <c r="K207" s="562"/>
      <c r="L207" s="562"/>
      <c r="M207" s="562"/>
      <c r="N207" s="562"/>
      <c r="O207" s="562"/>
      <c r="P207" s="562"/>
      <c r="Q207" s="562"/>
      <c r="R207" s="562"/>
      <c r="S207" s="562"/>
      <c r="T207" s="538">
        <f t="shared" ref="T207:T211" si="32">SUM(F207:S207)</f>
        <v>0</v>
      </c>
      <c r="U207" s="538">
        <f t="shared" ref="U207:U208" si="33">T207</f>
        <v>0</v>
      </c>
      <c r="V207" s="1065" t="s">
        <v>911</v>
      </c>
      <c r="W207" s="732"/>
      <c r="X207" s="732"/>
      <c r="Y207" s="732"/>
      <c r="Z207" s="732"/>
      <c r="AA207" s="732"/>
    </row>
    <row r="208" spans="1:27" ht="105">
      <c r="A208" s="712"/>
      <c r="B208" s="537" t="s">
        <v>382</v>
      </c>
      <c r="C208" s="537" t="s">
        <v>312</v>
      </c>
      <c r="D208" s="537">
        <v>199</v>
      </c>
      <c r="E208" s="537" t="s">
        <v>313</v>
      </c>
      <c r="F208" s="1150"/>
      <c r="G208" s="1066"/>
      <c r="H208" s="1066"/>
      <c r="I208" s="1066"/>
      <c r="J208" s="1066"/>
      <c r="K208" s="1066"/>
      <c r="L208" s="1066"/>
      <c r="M208" s="1066"/>
      <c r="N208" s="1066"/>
      <c r="O208" s="1066"/>
      <c r="Q208" s="1066"/>
      <c r="R208" s="1160">
        <v>356.95</v>
      </c>
      <c r="S208" s="1066"/>
      <c r="T208" s="538">
        <f t="shared" si="32"/>
        <v>356.95</v>
      </c>
      <c r="U208" s="538">
        <f t="shared" si="33"/>
        <v>356.95</v>
      </c>
      <c r="V208" s="1065" t="s">
        <v>1705</v>
      </c>
      <c r="W208" s="732"/>
      <c r="X208" s="732"/>
      <c r="Y208" s="732"/>
      <c r="Z208" s="732"/>
      <c r="AA208" s="732"/>
    </row>
    <row r="209" spans="1:27" ht="75">
      <c r="A209" s="712"/>
      <c r="B209" s="636" t="s">
        <v>383</v>
      </c>
      <c r="C209" s="628"/>
      <c r="D209" s="629">
        <v>200</v>
      </c>
      <c r="E209" s="537" t="s">
        <v>384</v>
      </c>
      <c r="F209" s="1120"/>
      <c r="G209" s="1120"/>
      <c r="H209" s="1120"/>
      <c r="I209" s="1120"/>
      <c r="J209" s="1120"/>
      <c r="K209" s="1120"/>
      <c r="L209" s="1120"/>
      <c r="M209" s="1120"/>
      <c r="N209" s="1256">
        <v>0.1956</v>
      </c>
      <c r="O209" s="638"/>
      <c r="P209" s="1257"/>
      <c r="Q209" s="638"/>
      <c r="R209" s="1257">
        <v>1</v>
      </c>
      <c r="S209" s="1163"/>
      <c r="T209" s="538">
        <f t="shared" si="32"/>
        <v>1.1956</v>
      </c>
      <c r="U209" s="544">
        <v>1.1956</v>
      </c>
      <c r="V209" s="1113" t="s">
        <v>385</v>
      </c>
      <c r="W209" s="525" t="s">
        <v>385</v>
      </c>
      <c r="X209" s="732"/>
      <c r="Y209" s="732"/>
      <c r="Z209" s="732"/>
      <c r="AA209" s="732"/>
    </row>
    <row r="210" spans="1:27" ht="39.75" customHeight="1">
      <c r="A210" s="707"/>
      <c r="B210" s="695" t="s">
        <v>386</v>
      </c>
      <c r="C210" s="709"/>
      <c r="D210" s="710"/>
      <c r="E210" s="570"/>
      <c r="F210" s="570">
        <f t="shared" ref="F210:S210" si="34">SUM(F159:F209)</f>
        <v>0</v>
      </c>
      <c r="G210" s="594">
        <f t="shared" si="34"/>
        <v>0</v>
      </c>
      <c r="H210" s="594">
        <f t="shared" si="34"/>
        <v>0</v>
      </c>
      <c r="I210" s="570">
        <f t="shared" si="34"/>
        <v>12.7</v>
      </c>
      <c r="J210" s="570">
        <f t="shared" si="34"/>
        <v>0</v>
      </c>
      <c r="K210" s="570">
        <f t="shared" si="34"/>
        <v>0</v>
      </c>
      <c r="L210" s="570">
        <f t="shared" si="34"/>
        <v>0</v>
      </c>
      <c r="M210" s="570">
        <f t="shared" si="34"/>
        <v>27.8</v>
      </c>
      <c r="N210" s="595">
        <f t="shared" si="34"/>
        <v>91.158100000000005</v>
      </c>
      <c r="O210" s="570">
        <f t="shared" si="34"/>
        <v>1221.915</v>
      </c>
      <c r="P210" s="594">
        <f t="shared" si="34"/>
        <v>5571.8067000000074</v>
      </c>
      <c r="Q210" s="570">
        <f t="shared" si="34"/>
        <v>25.39</v>
      </c>
      <c r="R210" s="570">
        <f t="shared" si="34"/>
        <v>414.03999999999996</v>
      </c>
      <c r="S210" s="570">
        <f t="shared" si="34"/>
        <v>3.85</v>
      </c>
      <c r="T210" s="570">
        <f t="shared" si="32"/>
        <v>7368.6598000000085</v>
      </c>
      <c r="U210" s="595">
        <f>SUM(U159:U209)</f>
        <v>7785.3209263600093</v>
      </c>
      <c r="V210" s="1065"/>
      <c r="W210" s="732"/>
      <c r="X210" s="732"/>
      <c r="Y210" s="732"/>
      <c r="Z210" s="732"/>
      <c r="AA210" s="732"/>
    </row>
    <row r="211" spans="1:27" ht="39.75" customHeight="1">
      <c r="A211" s="696" t="s">
        <v>387</v>
      </c>
      <c r="B211" s="709"/>
      <c r="C211" s="709"/>
      <c r="D211" s="710"/>
      <c r="E211" s="1166"/>
      <c r="F211" s="630">
        <f t="shared" ref="F211:S211" si="35">F210+F158+F134+F93+F68</f>
        <v>202.75049999999999</v>
      </c>
      <c r="G211" s="631">
        <f t="shared" si="35"/>
        <v>4.5</v>
      </c>
      <c r="H211" s="631">
        <f t="shared" si="35"/>
        <v>0</v>
      </c>
      <c r="I211" s="630">
        <f t="shared" si="35"/>
        <v>52.924849999999999</v>
      </c>
      <c r="J211" s="630">
        <f t="shared" si="35"/>
        <v>0</v>
      </c>
      <c r="K211" s="632">
        <f t="shared" si="35"/>
        <v>143.22999999999996</v>
      </c>
      <c r="L211" s="630">
        <f t="shared" si="35"/>
        <v>8.1</v>
      </c>
      <c r="M211" s="631">
        <f t="shared" si="35"/>
        <v>89.72</v>
      </c>
      <c r="N211" s="632">
        <f t="shared" si="35"/>
        <v>199.24029999999999</v>
      </c>
      <c r="O211" s="630">
        <f t="shared" si="35"/>
        <v>1909.77045</v>
      </c>
      <c r="P211" s="631">
        <f t="shared" si="35"/>
        <v>7927.6213700000071</v>
      </c>
      <c r="Q211" s="630">
        <f t="shared" si="35"/>
        <v>118.1728</v>
      </c>
      <c r="R211" s="631">
        <f t="shared" si="35"/>
        <v>496.47959999999995</v>
      </c>
      <c r="S211" s="631">
        <f t="shared" si="35"/>
        <v>33.299999999999997</v>
      </c>
      <c r="T211" s="630">
        <f t="shared" si="32"/>
        <v>11185.809870000006</v>
      </c>
      <c r="U211" s="632">
        <f>U210+U158+U134+U93+U68</f>
        <v>11716.13459907301</v>
      </c>
      <c r="V211" s="1065"/>
      <c r="W211" s="732"/>
      <c r="X211" s="732"/>
      <c r="Y211" s="732"/>
      <c r="Z211" s="732"/>
      <c r="AA211" s="732"/>
    </row>
    <row r="212" spans="1:27" ht="24.75" customHeight="1">
      <c r="A212" s="732"/>
      <c r="B212" s="732"/>
      <c r="C212" s="732"/>
      <c r="D212" s="732"/>
      <c r="E212" s="732"/>
      <c r="F212" s="732"/>
      <c r="G212" s="732"/>
      <c r="H212" s="732"/>
      <c r="I212" s="732"/>
      <c r="J212" s="732"/>
      <c r="K212" s="732"/>
      <c r="L212" s="732"/>
      <c r="M212" s="732"/>
      <c r="N212" s="732"/>
      <c r="O212" s="732"/>
      <c r="P212" s="732"/>
      <c r="Q212" s="732"/>
      <c r="R212" s="732"/>
      <c r="S212" s="732"/>
      <c r="T212" s="1258"/>
      <c r="U212" s="1258"/>
      <c r="V212" s="733"/>
      <c r="W212" s="732"/>
      <c r="X212" s="732"/>
      <c r="Y212" s="732"/>
      <c r="Z212" s="732"/>
      <c r="AA212" s="732"/>
    </row>
    <row r="213" spans="1:27" ht="24.75" customHeight="1">
      <c r="A213" s="732"/>
      <c r="B213" s="732"/>
      <c r="C213" s="732"/>
      <c r="D213" s="732"/>
      <c r="E213" s="732"/>
      <c r="F213" s="732"/>
      <c r="G213" s="732"/>
      <c r="H213" s="732"/>
      <c r="I213" s="732"/>
      <c r="J213" s="732"/>
      <c r="K213" s="732"/>
      <c r="L213" s="732"/>
      <c r="M213" s="732"/>
      <c r="N213" s="732"/>
      <c r="O213" s="732"/>
      <c r="P213" s="732"/>
      <c r="Q213" s="732"/>
      <c r="R213" s="732"/>
      <c r="S213" s="732"/>
      <c r="T213" s="732"/>
      <c r="U213" s="732"/>
      <c r="V213" s="733"/>
      <c r="W213" s="732"/>
      <c r="X213" s="732"/>
      <c r="Y213" s="732"/>
      <c r="Z213" s="732"/>
      <c r="AA213" s="732"/>
    </row>
    <row r="214" spans="1:27" ht="24.75" customHeight="1">
      <c r="A214" s="732"/>
      <c r="B214" s="732"/>
      <c r="C214" s="732"/>
      <c r="D214" s="732"/>
      <c r="E214" s="732"/>
      <c r="F214" s="732"/>
      <c r="G214" s="732"/>
      <c r="H214" s="732"/>
      <c r="I214" s="732"/>
      <c r="J214" s="732"/>
      <c r="K214" s="732"/>
      <c r="L214" s="732"/>
      <c r="M214" s="732"/>
      <c r="N214" s="732"/>
      <c r="O214" s="732"/>
      <c r="P214" s="732"/>
      <c r="Q214" s="732"/>
      <c r="R214" s="732"/>
      <c r="S214" s="732"/>
      <c r="T214" s="732"/>
      <c r="U214" s="732"/>
      <c r="V214" s="733"/>
      <c r="W214" s="732"/>
      <c r="X214" s="732"/>
      <c r="Y214" s="732"/>
      <c r="Z214" s="732"/>
      <c r="AA214" s="732"/>
    </row>
    <row r="215" spans="1:27" ht="24.75" customHeight="1">
      <c r="A215" s="732"/>
      <c r="B215" s="732"/>
      <c r="C215" s="732"/>
      <c r="D215" s="732"/>
      <c r="E215" s="732"/>
      <c r="F215" s="732"/>
      <c r="G215" s="732"/>
      <c r="H215" s="732"/>
      <c r="I215" s="732"/>
      <c r="J215" s="732"/>
      <c r="K215" s="732"/>
      <c r="L215" s="732"/>
      <c r="M215" s="732"/>
      <c r="N215" s="732"/>
      <c r="O215" s="732"/>
      <c r="P215" s="732"/>
      <c r="Q215" s="732"/>
      <c r="R215" s="732"/>
      <c r="S215" s="732"/>
      <c r="T215" s="732"/>
      <c r="U215" s="732"/>
      <c r="V215" s="733"/>
      <c r="W215" s="732"/>
      <c r="X215" s="732"/>
      <c r="Y215" s="732"/>
      <c r="Z215" s="732"/>
      <c r="AA215" s="732"/>
    </row>
    <row r="216" spans="1:27" ht="24.75" customHeight="1">
      <c r="A216" s="732"/>
      <c r="B216" s="732"/>
      <c r="C216" s="732"/>
      <c r="D216" s="732"/>
      <c r="E216" s="732"/>
      <c r="F216" s="732"/>
      <c r="G216" s="732"/>
      <c r="H216" s="732"/>
      <c r="I216" s="732"/>
      <c r="J216" s="732"/>
      <c r="K216" s="732"/>
      <c r="L216" s="732"/>
      <c r="M216" s="732"/>
      <c r="N216" s="732"/>
      <c r="O216" s="732"/>
      <c r="P216" s="732"/>
      <c r="Q216" s="732"/>
      <c r="R216" s="732"/>
      <c r="S216" s="732"/>
      <c r="T216" s="732"/>
      <c r="U216" s="732"/>
      <c r="V216" s="733"/>
      <c r="W216" s="732"/>
      <c r="X216" s="732"/>
      <c r="Y216" s="732"/>
      <c r="Z216" s="732"/>
      <c r="AA216" s="732"/>
    </row>
    <row r="217" spans="1:27" ht="24.75" customHeight="1">
      <c r="A217" s="732"/>
      <c r="B217" s="732"/>
      <c r="C217" s="732"/>
      <c r="D217" s="732"/>
      <c r="E217" s="732"/>
      <c r="F217" s="732"/>
      <c r="G217" s="732"/>
      <c r="H217" s="732"/>
      <c r="I217" s="732"/>
      <c r="J217" s="732"/>
      <c r="K217" s="732"/>
      <c r="L217" s="732"/>
      <c r="M217" s="732"/>
      <c r="N217" s="732"/>
      <c r="O217" s="732"/>
      <c r="P217" s="732"/>
      <c r="Q217" s="732"/>
      <c r="R217" s="732"/>
      <c r="S217" s="732"/>
      <c r="T217" s="732"/>
      <c r="U217" s="732"/>
      <c r="V217" s="733"/>
      <c r="W217" s="732"/>
      <c r="X217" s="732"/>
      <c r="Y217" s="732"/>
      <c r="Z217" s="732"/>
      <c r="AA217" s="732"/>
    </row>
    <row r="218" spans="1:27" ht="24.75" customHeight="1">
      <c r="A218" s="732"/>
      <c r="B218" s="732"/>
      <c r="C218" s="732"/>
      <c r="D218" s="732"/>
      <c r="E218" s="732"/>
      <c r="F218" s="732"/>
      <c r="G218" s="732"/>
      <c r="H218" s="732"/>
      <c r="I218" s="732"/>
      <c r="J218" s="732"/>
      <c r="K218" s="732"/>
      <c r="L218" s="732"/>
      <c r="M218" s="732"/>
      <c r="N218" s="732"/>
      <c r="O218" s="732"/>
      <c r="P218" s="732"/>
      <c r="Q218" s="732"/>
      <c r="R218" s="732"/>
      <c r="S218" s="732"/>
      <c r="T218" s="732"/>
      <c r="U218" s="732"/>
      <c r="V218" s="733"/>
      <c r="W218" s="732"/>
      <c r="X218" s="732"/>
      <c r="Y218" s="732"/>
      <c r="Z218" s="732"/>
      <c r="AA218" s="732"/>
    </row>
    <row r="219" spans="1:27" ht="24.75" customHeight="1">
      <c r="A219" s="732"/>
      <c r="B219" s="732"/>
      <c r="C219" s="732"/>
      <c r="D219" s="732"/>
      <c r="E219" s="732"/>
      <c r="F219" s="732"/>
      <c r="G219" s="732"/>
      <c r="H219" s="732"/>
      <c r="I219" s="732"/>
      <c r="J219" s="732"/>
      <c r="K219" s="732"/>
      <c r="L219" s="732"/>
      <c r="M219" s="732"/>
      <c r="N219" s="732"/>
      <c r="O219" s="732"/>
      <c r="P219" s="732"/>
      <c r="Q219" s="732"/>
      <c r="R219" s="732"/>
      <c r="S219" s="732"/>
      <c r="T219" s="732"/>
      <c r="U219" s="732"/>
      <c r="V219" s="733"/>
      <c r="W219" s="732"/>
      <c r="X219" s="732"/>
      <c r="Y219" s="732"/>
      <c r="Z219" s="732"/>
      <c r="AA219" s="732"/>
    </row>
    <row r="220" spans="1:27" ht="24.75" customHeight="1">
      <c r="A220" s="732"/>
      <c r="B220" s="732"/>
      <c r="C220" s="732"/>
      <c r="D220" s="732"/>
      <c r="E220" s="732"/>
      <c r="F220" s="732"/>
      <c r="G220" s="732"/>
      <c r="H220" s="732"/>
      <c r="I220" s="732"/>
      <c r="J220" s="732"/>
      <c r="K220" s="732"/>
      <c r="L220" s="732"/>
      <c r="M220" s="732"/>
      <c r="N220" s="732"/>
      <c r="O220" s="732"/>
      <c r="P220" s="732"/>
      <c r="Q220" s="732"/>
      <c r="R220" s="732"/>
      <c r="S220" s="732"/>
      <c r="T220" s="732"/>
      <c r="U220" s="732"/>
      <c r="V220" s="733"/>
      <c r="W220" s="732"/>
      <c r="X220" s="732"/>
      <c r="Y220" s="732"/>
      <c r="Z220" s="732"/>
      <c r="AA220" s="732"/>
    </row>
    <row r="221" spans="1:27" ht="24.75" customHeight="1">
      <c r="A221" s="732"/>
      <c r="B221" s="732"/>
      <c r="C221" s="732"/>
      <c r="D221" s="732"/>
      <c r="E221" s="732"/>
      <c r="F221" s="732"/>
      <c r="G221" s="732"/>
      <c r="H221" s="732"/>
      <c r="I221" s="732"/>
      <c r="J221" s="732"/>
      <c r="K221" s="732"/>
      <c r="L221" s="732"/>
      <c r="M221" s="732"/>
      <c r="N221" s="732"/>
      <c r="O221" s="732"/>
      <c r="P221" s="732"/>
      <c r="Q221" s="732"/>
      <c r="R221" s="732"/>
      <c r="S221" s="732"/>
      <c r="T221" s="732"/>
      <c r="U221" s="732"/>
      <c r="V221" s="733"/>
      <c r="W221" s="732"/>
      <c r="X221" s="732"/>
      <c r="Y221" s="732"/>
      <c r="Z221" s="732"/>
      <c r="AA221" s="732"/>
    </row>
    <row r="222" spans="1:27" ht="24.75" customHeight="1">
      <c r="A222" s="732"/>
      <c r="B222" s="732"/>
      <c r="C222" s="732"/>
      <c r="D222" s="732"/>
      <c r="E222" s="732"/>
      <c r="F222" s="732"/>
      <c r="G222" s="732"/>
      <c r="H222" s="732"/>
      <c r="I222" s="732"/>
      <c r="J222" s="732"/>
      <c r="K222" s="732"/>
      <c r="L222" s="732"/>
      <c r="M222" s="732"/>
      <c r="N222" s="732"/>
      <c r="O222" s="732"/>
      <c r="P222" s="732"/>
      <c r="Q222" s="732"/>
      <c r="R222" s="732"/>
      <c r="S222" s="732"/>
      <c r="T222" s="732"/>
      <c r="U222" s="732"/>
      <c r="V222" s="733"/>
      <c r="W222" s="732"/>
      <c r="X222" s="732"/>
      <c r="Y222" s="732"/>
      <c r="Z222" s="732"/>
      <c r="AA222" s="732"/>
    </row>
    <row r="223" spans="1:27" ht="24.75" customHeight="1">
      <c r="A223" s="732"/>
      <c r="B223" s="732"/>
      <c r="C223" s="732"/>
      <c r="D223" s="732"/>
      <c r="E223" s="732"/>
      <c r="F223" s="732"/>
      <c r="G223" s="732"/>
      <c r="H223" s="732"/>
      <c r="I223" s="732"/>
      <c r="J223" s="732"/>
      <c r="K223" s="732"/>
      <c r="L223" s="732"/>
      <c r="M223" s="732"/>
      <c r="N223" s="732"/>
      <c r="O223" s="732"/>
      <c r="P223" s="732"/>
      <c r="Q223" s="732"/>
      <c r="R223" s="732"/>
      <c r="S223" s="732"/>
      <c r="T223" s="732"/>
      <c r="U223" s="732"/>
      <c r="V223" s="733"/>
      <c r="W223" s="732"/>
      <c r="X223" s="732"/>
      <c r="Y223" s="732"/>
      <c r="Z223" s="732"/>
      <c r="AA223" s="732"/>
    </row>
    <row r="224" spans="1:27" ht="24.75" customHeight="1">
      <c r="A224" s="732"/>
      <c r="B224" s="732"/>
      <c r="C224" s="732"/>
      <c r="D224" s="732"/>
      <c r="E224" s="732"/>
      <c r="F224" s="732"/>
      <c r="G224" s="732"/>
      <c r="H224" s="732"/>
      <c r="I224" s="732"/>
      <c r="J224" s="732"/>
      <c r="K224" s="732"/>
      <c r="L224" s="732"/>
      <c r="M224" s="732"/>
      <c r="N224" s="732"/>
      <c r="O224" s="732"/>
      <c r="P224" s="732"/>
      <c r="Q224" s="732"/>
      <c r="R224" s="732"/>
      <c r="S224" s="732"/>
      <c r="T224" s="732"/>
      <c r="U224" s="732"/>
      <c r="V224" s="733"/>
      <c r="W224" s="732"/>
      <c r="X224" s="732"/>
      <c r="Y224" s="732"/>
      <c r="Z224" s="732"/>
      <c r="AA224" s="732"/>
    </row>
    <row r="225" spans="1:27" ht="24.75" customHeight="1">
      <c r="A225" s="732"/>
      <c r="B225" s="732"/>
      <c r="C225" s="732"/>
      <c r="D225" s="732"/>
      <c r="E225" s="732"/>
      <c r="F225" s="732"/>
      <c r="G225" s="732"/>
      <c r="H225" s="732"/>
      <c r="I225" s="732"/>
      <c r="J225" s="732"/>
      <c r="K225" s="732"/>
      <c r="L225" s="732"/>
      <c r="M225" s="732"/>
      <c r="N225" s="732"/>
      <c r="O225" s="732"/>
      <c r="P225" s="732"/>
      <c r="Q225" s="732"/>
      <c r="R225" s="732"/>
      <c r="S225" s="732"/>
      <c r="T225" s="732"/>
      <c r="U225" s="732"/>
      <c r="V225" s="733"/>
      <c r="W225" s="732"/>
      <c r="X225" s="732"/>
      <c r="Y225" s="732"/>
      <c r="Z225" s="732"/>
      <c r="AA225" s="732"/>
    </row>
    <row r="226" spans="1:27" ht="24.75" customHeight="1">
      <c r="A226" s="732"/>
      <c r="B226" s="732"/>
      <c r="C226" s="732"/>
      <c r="D226" s="732"/>
      <c r="E226" s="732"/>
      <c r="F226" s="732"/>
      <c r="G226" s="732"/>
      <c r="H226" s="732"/>
      <c r="I226" s="732"/>
      <c r="J226" s="732"/>
      <c r="K226" s="732"/>
      <c r="L226" s="732"/>
      <c r="M226" s="732"/>
      <c r="N226" s="732"/>
      <c r="O226" s="732"/>
      <c r="P226" s="732"/>
      <c r="Q226" s="732"/>
      <c r="R226" s="732"/>
      <c r="S226" s="732"/>
      <c r="T226" s="732"/>
      <c r="U226" s="732"/>
      <c r="V226" s="733"/>
      <c r="W226" s="732"/>
      <c r="X226" s="732"/>
      <c r="Y226" s="732"/>
      <c r="Z226" s="732"/>
      <c r="AA226" s="732"/>
    </row>
    <row r="227" spans="1:27" ht="24.75" customHeight="1">
      <c r="A227" s="732"/>
      <c r="B227" s="732"/>
      <c r="C227" s="732"/>
      <c r="D227" s="732"/>
      <c r="E227" s="732"/>
      <c r="F227" s="732"/>
      <c r="G227" s="732"/>
      <c r="H227" s="732"/>
      <c r="I227" s="732"/>
      <c r="J227" s="732"/>
      <c r="K227" s="732"/>
      <c r="L227" s="732"/>
      <c r="M227" s="732"/>
      <c r="N227" s="732"/>
      <c r="O227" s="732"/>
      <c r="P227" s="732"/>
      <c r="Q227" s="732"/>
      <c r="R227" s="732"/>
      <c r="S227" s="732"/>
      <c r="T227" s="732"/>
      <c r="U227" s="732"/>
      <c r="V227" s="733"/>
      <c r="W227" s="732"/>
      <c r="X227" s="732"/>
      <c r="Y227" s="732"/>
      <c r="Z227" s="732"/>
      <c r="AA227" s="732"/>
    </row>
    <row r="228" spans="1:27" ht="24.75" customHeight="1">
      <c r="A228" s="732"/>
      <c r="B228" s="732"/>
      <c r="C228" s="732"/>
      <c r="D228" s="732"/>
      <c r="E228" s="732"/>
      <c r="F228" s="732"/>
      <c r="G228" s="732"/>
      <c r="H228" s="732"/>
      <c r="I228" s="732"/>
      <c r="J228" s="732"/>
      <c r="K228" s="732"/>
      <c r="L228" s="732"/>
      <c r="M228" s="732"/>
      <c r="N228" s="732"/>
      <c r="O228" s="732"/>
      <c r="P228" s="732"/>
      <c r="Q228" s="732"/>
      <c r="R228" s="732"/>
      <c r="S228" s="732"/>
      <c r="T228" s="732"/>
      <c r="U228" s="732"/>
      <c r="V228" s="733"/>
      <c r="W228" s="732"/>
      <c r="X228" s="732"/>
      <c r="Y228" s="732"/>
      <c r="Z228" s="732"/>
      <c r="AA228" s="732"/>
    </row>
    <row r="229" spans="1:27" ht="24.75" customHeight="1">
      <c r="A229" s="732"/>
      <c r="B229" s="732"/>
      <c r="C229" s="732"/>
      <c r="D229" s="732"/>
      <c r="E229" s="732"/>
      <c r="F229" s="732"/>
      <c r="G229" s="732"/>
      <c r="H229" s="732"/>
      <c r="I229" s="732"/>
      <c r="J229" s="732"/>
      <c r="K229" s="732"/>
      <c r="L229" s="732"/>
      <c r="M229" s="732"/>
      <c r="N229" s="732"/>
      <c r="O229" s="732"/>
      <c r="P229" s="732"/>
      <c r="Q229" s="732"/>
      <c r="R229" s="732"/>
      <c r="S229" s="732"/>
      <c r="T229" s="732"/>
      <c r="U229" s="732"/>
      <c r="V229" s="733"/>
      <c r="W229" s="732"/>
      <c r="X229" s="732"/>
      <c r="Y229" s="732"/>
      <c r="Z229" s="732"/>
      <c r="AA229" s="732"/>
    </row>
    <row r="230" spans="1:27" ht="24.75" customHeight="1">
      <c r="A230" s="732"/>
      <c r="B230" s="732"/>
      <c r="C230" s="732"/>
      <c r="D230" s="732"/>
      <c r="E230" s="732"/>
      <c r="F230" s="732"/>
      <c r="G230" s="732"/>
      <c r="H230" s="732"/>
      <c r="I230" s="732"/>
      <c r="J230" s="732"/>
      <c r="K230" s="732"/>
      <c r="L230" s="732"/>
      <c r="M230" s="732"/>
      <c r="N230" s="732"/>
      <c r="O230" s="732"/>
      <c r="P230" s="732"/>
      <c r="Q230" s="732"/>
      <c r="R230" s="732"/>
      <c r="S230" s="732"/>
      <c r="T230" s="732"/>
      <c r="U230" s="732"/>
      <c r="V230" s="733"/>
      <c r="W230" s="732"/>
      <c r="X230" s="732"/>
      <c r="Y230" s="732"/>
      <c r="Z230" s="732"/>
      <c r="AA230" s="732"/>
    </row>
    <row r="231" spans="1:27" ht="24.75" customHeight="1">
      <c r="A231" s="732"/>
      <c r="B231" s="732"/>
      <c r="C231" s="732"/>
      <c r="D231" s="732"/>
      <c r="E231" s="732"/>
      <c r="F231" s="732"/>
      <c r="G231" s="732"/>
      <c r="H231" s="732"/>
      <c r="I231" s="732"/>
      <c r="J231" s="732"/>
      <c r="K231" s="732"/>
      <c r="L231" s="732"/>
      <c r="M231" s="732"/>
      <c r="N231" s="732"/>
      <c r="O231" s="732"/>
      <c r="P231" s="732"/>
      <c r="Q231" s="732"/>
      <c r="R231" s="732"/>
      <c r="S231" s="732"/>
      <c r="T231" s="732"/>
      <c r="U231" s="732"/>
      <c r="V231" s="733"/>
      <c r="W231" s="732"/>
      <c r="X231" s="732"/>
      <c r="Y231" s="732"/>
      <c r="Z231" s="732"/>
      <c r="AA231" s="732"/>
    </row>
    <row r="232" spans="1:27" ht="24.75" customHeight="1">
      <c r="A232" s="732"/>
      <c r="B232" s="732"/>
      <c r="C232" s="732"/>
      <c r="D232" s="732"/>
      <c r="E232" s="732"/>
      <c r="F232" s="732"/>
      <c r="G232" s="732"/>
      <c r="H232" s="732"/>
      <c r="I232" s="732"/>
      <c r="J232" s="732"/>
      <c r="K232" s="732"/>
      <c r="L232" s="732"/>
      <c r="M232" s="732"/>
      <c r="N232" s="732"/>
      <c r="O232" s="732"/>
      <c r="P232" s="732"/>
      <c r="Q232" s="732"/>
      <c r="R232" s="732"/>
      <c r="S232" s="732"/>
      <c r="T232" s="732"/>
      <c r="U232" s="732"/>
      <c r="V232" s="733"/>
      <c r="W232" s="732"/>
      <c r="X232" s="732"/>
      <c r="Y232" s="732"/>
      <c r="Z232" s="732"/>
      <c r="AA232" s="732"/>
    </row>
    <row r="233" spans="1:27" ht="24.75" customHeight="1">
      <c r="A233" s="732"/>
      <c r="B233" s="732"/>
      <c r="C233" s="732"/>
      <c r="D233" s="732"/>
      <c r="E233" s="732"/>
      <c r="F233" s="732"/>
      <c r="G233" s="732"/>
      <c r="H233" s="732"/>
      <c r="I233" s="732"/>
      <c r="J233" s="732"/>
      <c r="K233" s="732"/>
      <c r="L233" s="732"/>
      <c r="M233" s="732"/>
      <c r="N233" s="732"/>
      <c r="O233" s="732"/>
      <c r="P233" s="732"/>
      <c r="Q233" s="732"/>
      <c r="R233" s="732"/>
      <c r="S233" s="732"/>
      <c r="T233" s="732"/>
      <c r="U233" s="732"/>
      <c r="V233" s="733"/>
      <c r="W233" s="732"/>
      <c r="X233" s="732"/>
      <c r="Y233" s="732"/>
      <c r="Z233" s="732"/>
      <c r="AA233" s="732"/>
    </row>
    <row r="234" spans="1:27" ht="24.75" customHeight="1">
      <c r="A234" s="732"/>
      <c r="B234" s="732"/>
      <c r="C234" s="732"/>
      <c r="D234" s="732"/>
      <c r="E234" s="732"/>
      <c r="F234" s="732"/>
      <c r="G234" s="732"/>
      <c r="H234" s="732"/>
      <c r="I234" s="732"/>
      <c r="J234" s="732"/>
      <c r="K234" s="732"/>
      <c r="L234" s="732"/>
      <c r="M234" s="732"/>
      <c r="N234" s="732"/>
      <c r="O234" s="732"/>
      <c r="P234" s="732"/>
      <c r="Q234" s="732"/>
      <c r="R234" s="732"/>
      <c r="S234" s="732"/>
      <c r="T234" s="732"/>
      <c r="U234" s="732"/>
      <c r="V234" s="733"/>
      <c r="W234" s="732"/>
      <c r="X234" s="732"/>
      <c r="Y234" s="732"/>
      <c r="Z234" s="732"/>
      <c r="AA234" s="732"/>
    </row>
    <row r="235" spans="1:27" ht="24.75" customHeight="1">
      <c r="A235" s="732"/>
      <c r="B235" s="732"/>
      <c r="C235" s="732"/>
      <c r="D235" s="732"/>
      <c r="E235" s="732"/>
      <c r="F235" s="732"/>
      <c r="G235" s="732"/>
      <c r="H235" s="732"/>
      <c r="I235" s="732"/>
      <c r="J235" s="732"/>
      <c r="K235" s="732"/>
      <c r="L235" s="732"/>
      <c r="M235" s="732"/>
      <c r="N235" s="732"/>
      <c r="O235" s="732"/>
      <c r="P235" s="732"/>
      <c r="Q235" s="732"/>
      <c r="R235" s="732"/>
      <c r="S235" s="732"/>
      <c r="T235" s="732"/>
      <c r="U235" s="732"/>
      <c r="V235" s="733"/>
      <c r="W235" s="732"/>
      <c r="X235" s="732"/>
      <c r="Y235" s="732"/>
      <c r="Z235" s="732"/>
      <c r="AA235" s="732"/>
    </row>
    <row r="236" spans="1:27" ht="24.75" customHeight="1">
      <c r="A236" s="732"/>
      <c r="B236" s="732"/>
      <c r="C236" s="732"/>
      <c r="D236" s="732"/>
      <c r="E236" s="732"/>
      <c r="F236" s="732"/>
      <c r="G236" s="732"/>
      <c r="H236" s="732"/>
      <c r="I236" s="732"/>
      <c r="J236" s="732"/>
      <c r="K236" s="732"/>
      <c r="L236" s="732"/>
      <c r="M236" s="732"/>
      <c r="N236" s="732"/>
      <c r="O236" s="732"/>
      <c r="P236" s="732"/>
      <c r="Q236" s="732"/>
      <c r="R236" s="732"/>
      <c r="S236" s="732"/>
      <c r="T236" s="732"/>
      <c r="U236" s="732"/>
      <c r="V236" s="733"/>
      <c r="W236" s="732"/>
      <c r="X236" s="732"/>
      <c r="Y236" s="732"/>
      <c r="Z236" s="732"/>
      <c r="AA236" s="732"/>
    </row>
    <row r="237" spans="1:27" ht="24.75" customHeight="1">
      <c r="A237" s="732"/>
      <c r="B237" s="732"/>
      <c r="C237" s="732"/>
      <c r="D237" s="732"/>
      <c r="E237" s="732"/>
      <c r="F237" s="732"/>
      <c r="G237" s="732"/>
      <c r="H237" s="732"/>
      <c r="I237" s="732"/>
      <c r="J237" s="732"/>
      <c r="K237" s="732"/>
      <c r="L237" s="732"/>
      <c r="M237" s="732"/>
      <c r="N237" s="732"/>
      <c r="O237" s="732"/>
      <c r="P237" s="732"/>
      <c r="Q237" s="732"/>
      <c r="R237" s="732"/>
      <c r="S237" s="732"/>
      <c r="T237" s="732"/>
      <c r="U237" s="732"/>
      <c r="V237" s="733"/>
      <c r="W237" s="732"/>
      <c r="X237" s="732"/>
      <c r="Y237" s="732"/>
      <c r="Z237" s="732"/>
      <c r="AA237" s="732"/>
    </row>
    <row r="238" spans="1:27" ht="24.75" customHeight="1">
      <c r="A238" s="732"/>
      <c r="B238" s="732"/>
      <c r="C238" s="732"/>
      <c r="D238" s="732"/>
      <c r="E238" s="732"/>
      <c r="F238" s="732"/>
      <c r="G238" s="732"/>
      <c r="H238" s="732"/>
      <c r="I238" s="732"/>
      <c r="J238" s="732"/>
      <c r="K238" s="732"/>
      <c r="L238" s="732"/>
      <c r="M238" s="732"/>
      <c r="N238" s="732"/>
      <c r="O238" s="732"/>
      <c r="P238" s="732"/>
      <c r="Q238" s="732"/>
      <c r="R238" s="732"/>
      <c r="S238" s="732"/>
      <c r="T238" s="732"/>
      <c r="U238" s="732"/>
      <c r="V238" s="733"/>
      <c r="W238" s="732"/>
      <c r="X238" s="732"/>
      <c r="Y238" s="732"/>
      <c r="Z238" s="732"/>
      <c r="AA238" s="732"/>
    </row>
    <row r="239" spans="1:27" ht="24.75" customHeight="1">
      <c r="A239" s="732"/>
      <c r="B239" s="732"/>
      <c r="C239" s="732"/>
      <c r="D239" s="732"/>
      <c r="E239" s="732"/>
      <c r="F239" s="732"/>
      <c r="G239" s="732"/>
      <c r="H239" s="732"/>
      <c r="I239" s="732"/>
      <c r="J239" s="732"/>
      <c r="K239" s="732"/>
      <c r="L239" s="732"/>
      <c r="M239" s="732"/>
      <c r="N239" s="732"/>
      <c r="O239" s="732"/>
      <c r="P239" s="732"/>
      <c r="Q239" s="732"/>
      <c r="R239" s="732"/>
      <c r="S239" s="732"/>
      <c r="T239" s="732"/>
      <c r="U239" s="732"/>
      <c r="V239" s="733"/>
      <c r="W239" s="732"/>
      <c r="X239" s="732"/>
      <c r="Y239" s="732"/>
      <c r="Z239" s="732"/>
      <c r="AA239" s="732"/>
    </row>
    <row r="240" spans="1:27" ht="24.75" customHeight="1">
      <c r="A240" s="732"/>
      <c r="B240" s="732"/>
      <c r="C240" s="732"/>
      <c r="D240" s="732"/>
      <c r="E240" s="732"/>
      <c r="F240" s="732"/>
      <c r="G240" s="732"/>
      <c r="H240" s="732"/>
      <c r="I240" s="732"/>
      <c r="J240" s="732"/>
      <c r="K240" s="732"/>
      <c r="L240" s="732"/>
      <c r="M240" s="732"/>
      <c r="N240" s="732"/>
      <c r="O240" s="732"/>
      <c r="P240" s="732"/>
      <c r="Q240" s="732"/>
      <c r="R240" s="732"/>
      <c r="S240" s="732"/>
      <c r="T240" s="732"/>
      <c r="U240" s="732"/>
      <c r="V240" s="733"/>
      <c r="W240" s="732"/>
      <c r="X240" s="732"/>
      <c r="Y240" s="732"/>
      <c r="Z240" s="732"/>
      <c r="AA240" s="732"/>
    </row>
    <row r="241" spans="1:27" ht="24.75" customHeight="1">
      <c r="A241" s="732"/>
      <c r="B241" s="732"/>
      <c r="C241" s="732"/>
      <c r="D241" s="732"/>
      <c r="E241" s="732"/>
      <c r="F241" s="732"/>
      <c r="G241" s="732"/>
      <c r="H241" s="732"/>
      <c r="I241" s="732"/>
      <c r="J241" s="732"/>
      <c r="K241" s="732"/>
      <c r="L241" s="732"/>
      <c r="M241" s="732"/>
      <c r="N241" s="732"/>
      <c r="O241" s="732"/>
      <c r="P241" s="732"/>
      <c r="Q241" s="732"/>
      <c r="R241" s="732"/>
      <c r="S241" s="732"/>
      <c r="T241" s="732"/>
      <c r="U241" s="732"/>
      <c r="V241" s="733"/>
      <c r="W241" s="732"/>
      <c r="X241" s="732"/>
      <c r="Y241" s="732"/>
      <c r="Z241" s="732"/>
      <c r="AA241" s="732"/>
    </row>
    <row r="242" spans="1:27" ht="24.75" customHeight="1">
      <c r="A242" s="732"/>
      <c r="B242" s="732"/>
      <c r="C242" s="732"/>
      <c r="D242" s="732"/>
      <c r="E242" s="732"/>
      <c r="F242" s="732"/>
      <c r="G242" s="732"/>
      <c r="H242" s="732"/>
      <c r="I242" s="732"/>
      <c r="J242" s="732"/>
      <c r="K242" s="732"/>
      <c r="L242" s="732"/>
      <c r="M242" s="732"/>
      <c r="N242" s="732"/>
      <c r="O242" s="732"/>
      <c r="P242" s="732"/>
      <c r="Q242" s="732"/>
      <c r="R242" s="732"/>
      <c r="S242" s="732"/>
      <c r="T242" s="732"/>
      <c r="U242" s="732"/>
      <c r="V242" s="733"/>
      <c r="W242" s="732"/>
      <c r="X242" s="732"/>
      <c r="Y242" s="732"/>
      <c r="Z242" s="732"/>
      <c r="AA242" s="732"/>
    </row>
    <row r="243" spans="1:27" ht="24.75" customHeight="1">
      <c r="A243" s="732"/>
      <c r="B243" s="732"/>
      <c r="C243" s="732"/>
      <c r="D243" s="732"/>
      <c r="E243" s="732"/>
      <c r="F243" s="732"/>
      <c r="G243" s="732"/>
      <c r="H243" s="732"/>
      <c r="I243" s="732"/>
      <c r="J243" s="732"/>
      <c r="K243" s="732"/>
      <c r="L243" s="732"/>
      <c r="M243" s="732"/>
      <c r="N243" s="732"/>
      <c r="O243" s="732"/>
      <c r="P243" s="732"/>
      <c r="Q243" s="732"/>
      <c r="R243" s="732"/>
      <c r="S243" s="732"/>
      <c r="T243" s="732"/>
      <c r="U243" s="732"/>
      <c r="V243" s="733"/>
      <c r="W243" s="732"/>
      <c r="X243" s="732"/>
      <c r="Y243" s="732"/>
      <c r="Z243" s="732"/>
      <c r="AA243" s="732"/>
    </row>
    <row r="244" spans="1:27" ht="24.75" customHeight="1">
      <c r="A244" s="732"/>
      <c r="B244" s="732"/>
      <c r="C244" s="732"/>
      <c r="D244" s="732"/>
      <c r="E244" s="732"/>
      <c r="F244" s="732"/>
      <c r="G244" s="732"/>
      <c r="H244" s="732"/>
      <c r="I244" s="732"/>
      <c r="J244" s="732"/>
      <c r="K244" s="732"/>
      <c r="L244" s="732"/>
      <c r="M244" s="732"/>
      <c r="N244" s="732"/>
      <c r="O244" s="732"/>
      <c r="P244" s="732"/>
      <c r="Q244" s="732"/>
      <c r="R244" s="732"/>
      <c r="S244" s="732"/>
      <c r="T244" s="732"/>
      <c r="U244" s="732"/>
      <c r="V244" s="733"/>
      <c r="W244" s="732"/>
      <c r="X244" s="732"/>
      <c r="Y244" s="732"/>
      <c r="Z244" s="732"/>
      <c r="AA244" s="732"/>
    </row>
    <row r="245" spans="1:27" ht="24.75" customHeight="1">
      <c r="A245" s="732"/>
      <c r="B245" s="732"/>
      <c r="C245" s="732"/>
      <c r="D245" s="732"/>
      <c r="E245" s="732"/>
      <c r="F245" s="732"/>
      <c r="G245" s="732"/>
      <c r="H245" s="732"/>
      <c r="I245" s="732"/>
      <c r="J245" s="732"/>
      <c r="K245" s="732"/>
      <c r="L245" s="732"/>
      <c r="M245" s="732"/>
      <c r="N245" s="732"/>
      <c r="O245" s="732"/>
      <c r="P245" s="732"/>
      <c r="Q245" s="732"/>
      <c r="R245" s="732"/>
      <c r="S245" s="732"/>
      <c r="T245" s="732"/>
      <c r="U245" s="732"/>
      <c r="V245" s="733"/>
      <c r="W245" s="732"/>
      <c r="X245" s="732"/>
      <c r="Y245" s="732"/>
      <c r="Z245" s="732"/>
      <c r="AA245" s="732"/>
    </row>
    <row r="246" spans="1:27" ht="24.75" customHeight="1">
      <c r="A246" s="732"/>
      <c r="B246" s="732"/>
      <c r="C246" s="732"/>
      <c r="D246" s="732"/>
      <c r="E246" s="732"/>
      <c r="F246" s="732"/>
      <c r="G246" s="732"/>
      <c r="H246" s="732"/>
      <c r="I246" s="732"/>
      <c r="J246" s="732"/>
      <c r="K246" s="732"/>
      <c r="L246" s="732"/>
      <c r="M246" s="732"/>
      <c r="N246" s="732"/>
      <c r="O246" s="732"/>
      <c r="P246" s="732"/>
      <c r="Q246" s="732"/>
      <c r="R246" s="732"/>
      <c r="S246" s="732"/>
      <c r="T246" s="732"/>
      <c r="U246" s="732"/>
      <c r="V246" s="733"/>
      <c r="W246" s="732"/>
      <c r="X246" s="732"/>
      <c r="Y246" s="732"/>
      <c r="Z246" s="732"/>
      <c r="AA246" s="732"/>
    </row>
    <row r="247" spans="1:27" ht="24.75" customHeight="1">
      <c r="A247" s="732"/>
      <c r="B247" s="732"/>
      <c r="C247" s="732"/>
      <c r="D247" s="732"/>
      <c r="E247" s="732"/>
      <c r="F247" s="732"/>
      <c r="G247" s="732"/>
      <c r="H247" s="732"/>
      <c r="I247" s="732"/>
      <c r="J247" s="732"/>
      <c r="K247" s="732"/>
      <c r="L247" s="732"/>
      <c r="M247" s="732"/>
      <c r="N247" s="732"/>
      <c r="O247" s="732"/>
      <c r="P247" s="732"/>
      <c r="Q247" s="732"/>
      <c r="R247" s="732"/>
      <c r="S247" s="732"/>
      <c r="T247" s="732"/>
      <c r="U247" s="732"/>
      <c r="V247" s="733"/>
      <c r="W247" s="732"/>
      <c r="X247" s="732"/>
      <c r="Y247" s="732"/>
      <c r="Z247" s="732"/>
      <c r="AA247" s="732"/>
    </row>
    <row r="248" spans="1:27" ht="24.75" customHeight="1">
      <c r="A248" s="732"/>
      <c r="B248" s="732"/>
      <c r="C248" s="732"/>
      <c r="D248" s="732"/>
      <c r="E248" s="732"/>
      <c r="F248" s="732"/>
      <c r="G248" s="732"/>
      <c r="H248" s="732"/>
      <c r="I248" s="732"/>
      <c r="J248" s="732"/>
      <c r="K248" s="732"/>
      <c r="L248" s="732"/>
      <c r="M248" s="732"/>
      <c r="N248" s="732"/>
      <c r="O248" s="732"/>
      <c r="P248" s="732"/>
      <c r="Q248" s="732"/>
      <c r="R248" s="732"/>
      <c r="S248" s="732"/>
      <c r="T248" s="732"/>
      <c r="U248" s="732"/>
      <c r="V248" s="733"/>
      <c r="W248" s="732"/>
      <c r="X248" s="732"/>
      <c r="Y248" s="732"/>
      <c r="Z248" s="732"/>
      <c r="AA248" s="732"/>
    </row>
    <row r="249" spans="1:27" ht="24.75" customHeight="1">
      <c r="A249" s="732"/>
      <c r="B249" s="732"/>
      <c r="C249" s="732"/>
      <c r="D249" s="732"/>
      <c r="E249" s="732"/>
      <c r="F249" s="732"/>
      <c r="G249" s="732"/>
      <c r="H249" s="732"/>
      <c r="I249" s="732"/>
      <c r="J249" s="732"/>
      <c r="K249" s="732"/>
      <c r="L249" s="732"/>
      <c r="M249" s="732"/>
      <c r="N249" s="732"/>
      <c r="O249" s="732"/>
      <c r="P249" s="732"/>
      <c r="Q249" s="732"/>
      <c r="R249" s="732"/>
      <c r="S249" s="732"/>
      <c r="T249" s="732"/>
      <c r="U249" s="732"/>
      <c r="V249" s="733"/>
      <c r="W249" s="732"/>
      <c r="X249" s="732"/>
      <c r="Y249" s="732"/>
      <c r="Z249" s="732"/>
      <c r="AA249" s="732"/>
    </row>
    <row r="250" spans="1:27" ht="24.75" customHeight="1">
      <c r="A250" s="732"/>
      <c r="B250" s="732"/>
      <c r="C250" s="732"/>
      <c r="D250" s="732"/>
      <c r="E250" s="732"/>
      <c r="F250" s="732"/>
      <c r="G250" s="732"/>
      <c r="H250" s="732"/>
      <c r="I250" s="732"/>
      <c r="J250" s="732"/>
      <c r="K250" s="732"/>
      <c r="L250" s="732"/>
      <c r="M250" s="732"/>
      <c r="N250" s="732"/>
      <c r="O250" s="732"/>
      <c r="P250" s="732"/>
      <c r="Q250" s="732"/>
      <c r="R250" s="732"/>
      <c r="S250" s="732"/>
      <c r="T250" s="732"/>
      <c r="U250" s="732"/>
      <c r="V250" s="733"/>
      <c r="W250" s="732"/>
      <c r="X250" s="732"/>
      <c r="Y250" s="732"/>
      <c r="Z250" s="732"/>
      <c r="AA250" s="732"/>
    </row>
    <row r="251" spans="1:27" ht="24.75" customHeight="1">
      <c r="A251" s="732"/>
      <c r="B251" s="732"/>
      <c r="C251" s="732"/>
      <c r="D251" s="732"/>
      <c r="E251" s="732"/>
      <c r="F251" s="732"/>
      <c r="G251" s="732"/>
      <c r="H251" s="732"/>
      <c r="I251" s="732"/>
      <c r="J251" s="732"/>
      <c r="K251" s="732"/>
      <c r="L251" s="732"/>
      <c r="M251" s="732"/>
      <c r="N251" s="732"/>
      <c r="O251" s="732"/>
      <c r="P251" s="732"/>
      <c r="Q251" s="732"/>
      <c r="R251" s="732"/>
      <c r="S251" s="732"/>
      <c r="T251" s="732"/>
      <c r="U251" s="732"/>
      <c r="V251" s="733"/>
      <c r="W251" s="732"/>
      <c r="X251" s="732"/>
      <c r="Y251" s="732"/>
      <c r="Z251" s="732"/>
      <c r="AA251" s="732"/>
    </row>
    <row r="252" spans="1:27" ht="24.75" customHeight="1">
      <c r="A252" s="732"/>
      <c r="B252" s="732"/>
      <c r="C252" s="732"/>
      <c r="D252" s="732"/>
      <c r="E252" s="732"/>
      <c r="F252" s="732"/>
      <c r="G252" s="732"/>
      <c r="H252" s="732"/>
      <c r="I252" s="732"/>
      <c r="J252" s="732"/>
      <c r="K252" s="732"/>
      <c r="L252" s="732"/>
      <c r="M252" s="732"/>
      <c r="N252" s="732"/>
      <c r="O252" s="732"/>
      <c r="P252" s="732"/>
      <c r="Q252" s="732"/>
      <c r="R252" s="732"/>
      <c r="S252" s="732"/>
      <c r="T252" s="732"/>
      <c r="U252" s="732"/>
      <c r="V252" s="733"/>
      <c r="W252" s="732"/>
      <c r="X252" s="732"/>
      <c r="Y252" s="732"/>
      <c r="Z252" s="732"/>
      <c r="AA252" s="732"/>
    </row>
    <row r="253" spans="1:27" ht="24.75" customHeight="1">
      <c r="A253" s="732"/>
      <c r="B253" s="732"/>
      <c r="C253" s="732"/>
      <c r="D253" s="732"/>
      <c r="E253" s="732"/>
      <c r="F253" s="732"/>
      <c r="G253" s="732"/>
      <c r="H253" s="732"/>
      <c r="I253" s="732"/>
      <c r="J253" s="732"/>
      <c r="K253" s="732"/>
      <c r="L253" s="732"/>
      <c r="M253" s="732"/>
      <c r="N253" s="732"/>
      <c r="O253" s="732"/>
      <c r="P253" s="732"/>
      <c r="Q253" s="732"/>
      <c r="R253" s="732"/>
      <c r="S253" s="732"/>
      <c r="T253" s="732"/>
      <c r="U253" s="732"/>
      <c r="V253" s="733"/>
      <c r="W253" s="732"/>
      <c r="X253" s="732"/>
      <c r="Y253" s="732"/>
      <c r="Z253" s="732"/>
      <c r="AA253" s="732"/>
    </row>
    <row r="254" spans="1:27" ht="24.75" customHeight="1">
      <c r="A254" s="732"/>
      <c r="B254" s="732"/>
      <c r="C254" s="732"/>
      <c r="D254" s="732"/>
      <c r="E254" s="732"/>
      <c r="F254" s="732"/>
      <c r="G254" s="732"/>
      <c r="H254" s="732"/>
      <c r="I254" s="732"/>
      <c r="J254" s="732"/>
      <c r="K254" s="732"/>
      <c r="L254" s="732"/>
      <c r="M254" s="732"/>
      <c r="N254" s="732"/>
      <c r="O254" s="732"/>
      <c r="P254" s="732"/>
      <c r="Q254" s="732"/>
      <c r="R254" s="732"/>
      <c r="S254" s="732"/>
      <c r="T254" s="732"/>
      <c r="U254" s="732"/>
      <c r="V254" s="733"/>
      <c r="W254" s="732"/>
      <c r="X254" s="732"/>
      <c r="Y254" s="732"/>
      <c r="Z254" s="732"/>
      <c r="AA254" s="732"/>
    </row>
    <row r="255" spans="1:27" ht="24.75" customHeight="1">
      <c r="A255" s="732"/>
      <c r="B255" s="732"/>
      <c r="C255" s="732"/>
      <c r="D255" s="732"/>
      <c r="E255" s="732"/>
      <c r="F255" s="732"/>
      <c r="G255" s="732"/>
      <c r="H255" s="732"/>
      <c r="I255" s="732"/>
      <c r="J255" s="732"/>
      <c r="K255" s="732"/>
      <c r="L255" s="732"/>
      <c r="M255" s="732"/>
      <c r="N255" s="732"/>
      <c r="O255" s="732"/>
      <c r="P255" s="732"/>
      <c r="Q255" s="732"/>
      <c r="R255" s="732"/>
      <c r="S255" s="732"/>
      <c r="T255" s="732"/>
      <c r="U255" s="732"/>
      <c r="V255" s="733"/>
      <c r="W255" s="732"/>
      <c r="X255" s="732"/>
      <c r="Y255" s="732"/>
      <c r="Z255" s="732"/>
      <c r="AA255" s="732"/>
    </row>
    <row r="256" spans="1:27" ht="24.75" customHeight="1">
      <c r="A256" s="732"/>
      <c r="B256" s="732"/>
      <c r="C256" s="732"/>
      <c r="D256" s="732"/>
      <c r="E256" s="732"/>
      <c r="F256" s="732"/>
      <c r="G256" s="732"/>
      <c r="H256" s="732"/>
      <c r="I256" s="732"/>
      <c r="J256" s="732"/>
      <c r="K256" s="732"/>
      <c r="L256" s="732"/>
      <c r="M256" s="732"/>
      <c r="N256" s="732"/>
      <c r="O256" s="732"/>
      <c r="P256" s="732"/>
      <c r="Q256" s="732"/>
      <c r="R256" s="732"/>
      <c r="S256" s="732"/>
      <c r="T256" s="732"/>
      <c r="U256" s="732"/>
      <c r="V256" s="733"/>
      <c r="W256" s="732"/>
      <c r="X256" s="732"/>
      <c r="Y256" s="732"/>
      <c r="Z256" s="732"/>
      <c r="AA256" s="732"/>
    </row>
    <row r="257" spans="1:27" ht="24.75" customHeight="1">
      <c r="A257" s="732"/>
      <c r="B257" s="732"/>
      <c r="C257" s="732"/>
      <c r="D257" s="732"/>
      <c r="E257" s="732"/>
      <c r="F257" s="732"/>
      <c r="G257" s="732"/>
      <c r="H257" s="732"/>
      <c r="I257" s="732"/>
      <c r="J257" s="732"/>
      <c r="K257" s="732"/>
      <c r="L257" s="732"/>
      <c r="M257" s="732"/>
      <c r="N257" s="732"/>
      <c r="O257" s="732"/>
      <c r="P257" s="732"/>
      <c r="Q257" s="732"/>
      <c r="R257" s="732"/>
      <c r="S257" s="732"/>
      <c r="T257" s="732"/>
      <c r="U257" s="732"/>
      <c r="V257" s="733"/>
      <c r="W257" s="732"/>
      <c r="X257" s="732"/>
      <c r="Y257" s="732"/>
      <c r="Z257" s="732"/>
      <c r="AA257" s="732"/>
    </row>
    <row r="258" spans="1:27" ht="24.75" customHeight="1">
      <c r="A258" s="732"/>
      <c r="B258" s="732"/>
      <c r="C258" s="732"/>
      <c r="D258" s="732"/>
      <c r="E258" s="732"/>
      <c r="F258" s="732"/>
      <c r="G258" s="732"/>
      <c r="H258" s="732"/>
      <c r="I258" s="732"/>
      <c r="J258" s="732"/>
      <c r="K258" s="732"/>
      <c r="L258" s="732"/>
      <c r="M258" s="732"/>
      <c r="N258" s="732"/>
      <c r="O258" s="732"/>
      <c r="P258" s="732"/>
      <c r="Q258" s="732"/>
      <c r="R258" s="732"/>
      <c r="S258" s="732"/>
      <c r="T258" s="732"/>
      <c r="U258" s="732"/>
      <c r="V258" s="733"/>
      <c r="W258" s="732"/>
      <c r="X258" s="732"/>
      <c r="Y258" s="732"/>
      <c r="Z258" s="732"/>
      <c r="AA258" s="732"/>
    </row>
    <row r="259" spans="1:27" ht="24.75" customHeight="1">
      <c r="A259" s="732"/>
      <c r="B259" s="732"/>
      <c r="C259" s="732"/>
      <c r="D259" s="732"/>
      <c r="E259" s="732"/>
      <c r="F259" s="732"/>
      <c r="G259" s="732"/>
      <c r="H259" s="732"/>
      <c r="I259" s="732"/>
      <c r="J259" s="732"/>
      <c r="K259" s="732"/>
      <c r="L259" s="732"/>
      <c r="M259" s="732"/>
      <c r="N259" s="732"/>
      <c r="O259" s="732"/>
      <c r="P259" s="732"/>
      <c r="Q259" s="732"/>
      <c r="R259" s="732"/>
      <c r="S259" s="732"/>
      <c r="T259" s="732"/>
      <c r="U259" s="732"/>
      <c r="V259" s="733"/>
      <c r="W259" s="732"/>
      <c r="X259" s="732"/>
      <c r="Y259" s="732"/>
      <c r="Z259" s="732"/>
      <c r="AA259" s="732"/>
    </row>
    <row r="260" spans="1:27" ht="24.75" customHeight="1">
      <c r="A260" s="732"/>
      <c r="B260" s="732"/>
      <c r="C260" s="732"/>
      <c r="D260" s="732"/>
      <c r="E260" s="732"/>
      <c r="F260" s="732"/>
      <c r="G260" s="732"/>
      <c r="H260" s="732"/>
      <c r="I260" s="732"/>
      <c r="J260" s="732"/>
      <c r="K260" s="732"/>
      <c r="L260" s="732"/>
      <c r="M260" s="732"/>
      <c r="N260" s="732"/>
      <c r="O260" s="732"/>
      <c r="P260" s="732"/>
      <c r="Q260" s="732"/>
      <c r="R260" s="732"/>
      <c r="S260" s="732"/>
      <c r="T260" s="732"/>
      <c r="U260" s="732"/>
      <c r="V260" s="733"/>
      <c r="W260" s="732"/>
      <c r="X260" s="732"/>
      <c r="Y260" s="732"/>
      <c r="Z260" s="732"/>
      <c r="AA260" s="732"/>
    </row>
    <row r="261" spans="1:27" ht="24.75" customHeight="1">
      <c r="A261" s="732"/>
      <c r="B261" s="732"/>
      <c r="C261" s="732"/>
      <c r="D261" s="732"/>
      <c r="E261" s="732"/>
      <c r="F261" s="732"/>
      <c r="G261" s="732"/>
      <c r="H261" s="732"/>
      <c r="I261" s="732"/>
      <c r="J261" s="732"/>
      <c r="K261" s="732"/>
      <c r="L261" s="732"/>
      <c r="M261" s="732"/>
      <c r="N261" s="732"/>
      <c r="O261" s="732"/>
      <c r="P261" s="732"/>
      <c r="Q261" s="732"/>
      <c r="R261" s="732"/>
      <c r="S261" s="732"/>
      <c r="T261" s="732"/>
      <c r="U261" s="732"/>
      <c r="V261" s="733"/>
      <c r="W261" s="732"/>
      <c r="X261" s="732"/>
      <c r="Y261" s="732"/>
      <c r="Z261" s="732"/>
      <c r="AA261" s="732"/>
    </row>
    <row r="262" spans="1:27" ht="24.75" customHeight="1">
      <c r="A262" s="732"/>
      <c r="B262" s="732"/>
      <c r="C262" s="732"/>
      <c r="D262" s="732"/>
      <c r="E262" s="732"/>
      <c r="F262" s="732"/>
      <c r="G262" s="732"/>
      <c r="H262" s="732"/>
      <c r="I262" s="732"/>
      <c r="J262" s="732"/>
      <c r="K262" s="732"/>
      <c r="L262" s="732"/>
      <c r="M262" s="732"/>
      <c r="N262" s="732"/>
      <c r="O262" s="732"/>
      <c r="P262" s="732"/>
      <c r="Q262" s="732"/>
      <c r="R262" s="732"/>
      <c r="S262" s="732"/>
      <c r="T262" s="732"/>
      <c r="U262" s="732"/>
      <c r="V262" s="733"/>
      <c r="W262" s="732"/>
      <c r="X262" s="732"/>
      <c r="Y262" s="732"/>
      <c r="Z262" s="732"/>
      <c r="AA262" s="732"/>
    </row>
    <row r="263" spans="1:27" ht="24.75" customHeight="1">
      <c r="A263" s="732"/>
      <c r="B263" s="732"/>
      <c r="C263" s="732"/>
      <c r="D263" s="732"/>
      <c r="E263" s="732"/>
      <c r="F263" s="732"/>
      <c r="G263" s="732"/>
      <c r="H263" s="732"/>
      <c r="I263" s="732"/>
      <c r="J263" s="732"/>
      <c r="K263" s="732"/>
      <c r="L263" s="732"/>
      <c r="M263" s="732"/>
      <c r="N263" s="732"/>
      <c r="O263" s="732"/>
      <c r="P263" s="732"/>
      <c r="Q263" s="732"/>
      <c r="R263" s="732"/>
      <c r="S263" s="732"/>
      <c r="T263" s="732"/>
      <c r="U263" s="732"/>
      <c r="V263" s="733"/>
      <c r="W263" s="732"/>
      <c r="X263" s="732"/>
      <c r="Y263" s="732"/>
      <c r="Z263" s="732"/>
      <c r="AA263" s="732"/>
    </row>
    <row r="264" spans="1:27" ht="24.75" customHeight="1">
      <c r="A264" s="732"/>
      <c r="B264" s="732"/>
      <c r="C264" s="732"/>
      <c r="D264" s="732"/>
      <c r="E264" s="732"/>
      <c r="F264" s="732"/>
      <c r="G264" s="732"/>
      <c r="H264" s="732"/>
      <c r="I264" s="732"/>
      <c r="J264" s="732"/>
      <c r="K264" s="732"/>
      <c r="L264" s="732"/>
      <c r="M264" s="732"/>
      <c r="N264" s="732"/>
      <c r="O264" s="732"/>
      <c r="P264" s="732"/>
      <c r="Q264" s="732"/>
      <c r="R264" s="732"/>
      <c r="S264" s="732"/>
      <c r="T264" s="732"/>
      <c r="U264" s="732"/>
      <c r="V264" s="733"/>
      <c r="W264" s="732"/>
      <c r="X264" s="732"/>
      <c r="Y264" s="732"/>
      <c r="Z264" s="732"/>
      <c r="AA264" s="732"/>
    </row>
    <row r="265" spans="1:27" ht="24.75" customHeight="1">
      <c r="A265" s="732"/>
      <c r="B265" s="732"/>
      <c r="C265" s="732"/>
      <c r="D265" s="732"/>
      <c r="E265" s="732"/>
      <c r="F265" s="732"/>
      <c r="G265" s="732"/>
      <c r="H265" s="732"/>
      <c r="I265" s="732"/>
      <c r="J265" s="732"/>
      <c r="K265" s="732"/>
      <c r="L265" s="732"/>
      <c r="M265" s="732"/>
      <c r="N265" s="732"/>
      <c r="O265" s="732"/>
      <c r="P265" s="732"/>
      <c r="Q265" s="732"/>
      <c r="R265" s="732"/>
      <c r="S265" s="732"/>
      <c r="T265" s="732"/>
      <c r="U265" s="732"/>
      <c r="V265" s="733"/>
      <c r="W265" s="732"/>
      <c r="X265" s="732"/>
      <c r="Y265" s="732"/>
      <c r="Z265" s="732"/>
      <c r="AA265" s="732"/>
    </row>
    <row r="266" spans="1:27" ht="24.75" customHeight="1">
      <c r="A266" s="732"/>
      <c r="B266" s="732"/>
      <c r="C266" s="732"/>
      <c r="D266" s="732"/>
      <c r="E266" s="732"/>
      <c r="F266" s="732"/>
      <c r="G266" s="732"/>
      <c r="H266" s="732"/>
      <c r="I266" s="732"/>
      <c r="J266" s="732"/>
      <c r="K266" s="732"/>
      <c r="L266" s="732"/>
      <c r="M266" s="732"/>
      <c r="N266" s="732"/>
      <c r="O266" s="732"/>
      <c r="P266" s="732"/>
      <c r="Q266" s="732"/>
      <c r="R266" s="732"/>
      <c r="S266" s="732"/>
      <c r="T266" s="732"/>
      <c r="U266" s="732"/>
      <c r="V266" s="733"/>
      <c r="W266" s="732"/>
      <c r="X266" s="732"/>
      <c r="Y266" s="732"/>
      <c r="Z266" s="732"/>
      <c r="AA266" s="732"/>
    </row>
    <row r="267" spans="1:27" ht="24.75" customHeight="1">
      <c r="A267" s="732"/>
      <c r="B267" s="732"/>
      <c r="C267" s="732"/>
      <c r="D267" s="732"/>
      <c r="E267" s="732"/>
      <c r="F267" s="732"/>
      <c r="G267" s="732"/>
      <c r="H267" s="732"/>
      <c r="I267" s="732"/>
      <c r="J267" s="732"/>
      <c r="K267" s="732"/>
      <c r="L267" s="732"/>
      <c r="M267" s="732"/>
      <c r="N267" s="732"/>
      <c r="O267" s="732"/>
      <c r="P267" s="732"/>
      <c r="Q267" s="732"/>
      <c r="R267" s="732"/>
      <c r="S267" s="732"/>
      <c r="T267" s="732"/>
      <c r="U267" s="732"/>
      <c r="V267" s="733"/>
      <c r="W267" s="732"/>
      <c r="X267" s="732"/>
      <c r="Y267" s="732"/>
      <c r="Z267" s="732"/>
      <c r="AA267" s="732"/>
    </row>
    <row r="268" spans="1:27" ht="24.75" customHeight="1">
      <c r="A268" s="732"/>
      <c r="B268" s="732"/>
      <c r="C268" s="732"/>
      <c r="D268" s="732"/>
      <c r="E268" s="732"/>
      <c r="F268" s="732"/>
      <c r="G268" s="732"/>
      <c r="H268" s="732"/>
      <c r="I268" s="732"/>
      <c r="J268" s="732"/>
      <c r="K268" s="732"/>
      <c r="L268" s="732"/>
      <c r="M268" s="732"/>
      <c r="N268" s="732"/>
      <c r="O268" s="732"/>
      <c r="P268" s="732"/>
      <c r="Q268" s="732"/>
      <c r="R268" s="732"/>
      <c r="S268" s="732"/>
      <c r="T268" s="732"/>
      <c r="U268" s="732"/>
      <c r="V268" s="733"/>
      <c r="W268" s="732"/>
      <c r="X268" s="732"/>
      <c r="Y268" s="732"/>
      <c r="Z268" s="732"/>
      <c r="AA268" s="732"/>
    </row>
    <row r="269" spans="1:27" ht="24.75" customHeight="1">
      <c r="A269" s="732"/>
      <c r="B269" s="732"/>
      <c r="C269" s="732"/>
      <c r="D269" s="732"/>
      <c r="E269" s="732"/>
      <c r="F269" s="732"/>
      <c r="G269" s="732"/>
      <c r="H269" s="732"/>
      <c r="I269" s="732"/>
      <c r="J269" s="732"/>
      <c r="K269" s="732"/>
      <c r="L269" s="732"/>
      <c r="M269" s="732"/>
      <c r="N269" s="732"/>
      <c r="O269" s="732"/>
      <c r="P269" s="732"/>
      <c r="Q269" s="732"/>
      <c r="R269" s="732"/>
      <c r="S269" s="732"/>
      <c r="T269" s="732"/>
      <c r="U269" s="732"/>
      <c r="V269" s="733"/>
      <c r="W269" s="732"/>
      <c r="X269" s="732"/>
      <c r="Y269" s="732"/>
      <c r="Z269" s="732"/>
      <c r="AA269" s="732"/>
    </row>
    <row r="270" spans="1:27" ht="24.75" customHeight="1">
      <c r="A270" s="732"/>
      <c r="B270" s="732"/>
      <c r="C270" s="732"/>
      <c r="D270" s="732"/>
      <c r="E270" s="732"/>
      <c r="F270" s="732"/>
      <c r="G270" s="732"/>
      <c r="H270" s="732"/>
      <c r="I270" s="732"/>
      <c r="J270" s="732"/>
      <c r="K270" s="732"/>
      <c r="L270" s="732"/>
      <c r="M270" s="732"/>
      <c r="N270" s="732"/>
      <c r="O270" s="732"/>
      <c r="P270" s="732"/>
      <c r="Q270" s="732"/>
      <c r="R270" s="732"/>
      <c r="S270" s="732"/>
      <c r="T270" s="732"/>
      <c r="U270" s="732"/>
      <c r="V270" s="733"/>
      <c r="W270" s="732"/>
      <c r="X270" s="732"/>
      <c r="Y270" s="732"/>
      <c r="Z270" s="732"/>
      <c r="AA270" s="732"/>
    </row>
    <row r="271" spans="1:27" ht="24.75" customHeight="1">
      <c r="A271" s="732"/>
      <c r="B271" s="732"/>
      <c r="C271" s="732"/>
      <c r="D271" s="732"/>
      <c r="E271" s="732"/>
      <c r="F271" s="732"/>
      <c r="G271" s="732"/>
      <c r="H271" s="732"/>
      <c r="I271" s="732"/>
      <c r="J271" s="732"/>
      <c r="K271" s="732"/>
      <c r="L271" s="732"/>
      <c r="M271" s="732"/>
      <c r="N271" s="732"/>
      <c r="O271" s="732"/>
      <c r="P271" s="732"/>
      <c r="Q271" s="732"/>
      <c r="R271" s="732"/>
      <c r="S271" s="732"/>
      <c r="T271" s="732"/>
      <c r="U271" s="732"/>
      <c r="V271" s="733"/>
      <c r="W271" s="732"/>
      <c r="X271" s="732"/>
      <c r="Y271" s="732"/>
      <c r="Z271" s="732"/>
      <c r="AA271" s="732"/>
    </row>
    <row r="272" spans="1:27" ht="24.75" customHeight="1">
      <c r="A272" s="732"/>
      <c r="B272" s="732"/>
      <c r="C272" s="732"/>
      <c r="D272" s="732"/>
      <c r="E272" s="732"/>
      <c r="F272" s="732"/>
      <c r="G272" s="732"/>
      <c r="H272" s="732"/>
      <c r="I272" s="732"/>
      <c r="J272" s="732"/>
      <c r="K272" s="732"/>
      <c r="L272" s="732"/>
      <c r="M272" s="732"/>
      <c r="N272" s="732"/>
      <c r="O272" s="732"/>
      <c r="P272" s="732"/>
      <c r="Q272" s="732"/>
      <c r="R272" s="732"/>
      <c r="S272" s="732"/>
      <c r="T272" s="732"/>
      <c r="U272" s="732"/>
      <c r="V272" s="733"/>
      <c r="W272" s="732"/>
      <c r="X272" s="732"/>
      <c r="Y272" s="732"/>
      <c r="Z272" s="732"/>
      <c r="AA272" s="732"/>
    </row>
    <row r="273" spans="1:27" ht="24.75" customHeight="1">
      <c r="A273" s="732"/>
      <c r="B273" s="732"/>
      <c r="C273" s="732"/>
      <c r="D273" s="732"/>
      <c r="E273" s="732"/>
      <c r="F273" s="732"/>
      <c r="G273" s="732"/>
      <c r="H273" s="732"/>
      <c r="I273" s="732"/>
      <c r="J273" s="732"/>
      <c r="K273" s="732"/>
      <c r="L273" s="732"/>
      <c r="M273" s="732"/>
      <c r="N273" s="732"/>
      <c r="O273" s="732"/>
      <c r="P273" s="732"/>
      <c r="Q273" s="732"/>
      <c r="R273" s="732"/>
      <c r="S273" s="732"/>
      <c r="T273" s="732"/>
      <c r="U273" s="732"/>
      <c r="V273" s="733"/>
      <c r="W273" s="732"/>
      <c r="X273" s="732"/>
      <c r="Y273" s="732"/>
      <c r="Z273" s="732"/>
      <c r="AA273" s="732"/>
    </row>
    <row r="274" spans="1:27" ht="24.75" customHeight="1">
      <c r="A274" s="732"/>
      <c r="B274" s="732"/>
      <c r="C274" s="732"/>
      <c r="D274" s="732"/>
      <c r="E274" s="732"/>
      <c r="F274" s="732"/>
      <c r="G274" s="732"/>
      <c r="H274" s="732"/>
      <c r="I274" s="732"/>
      <c r="J274" s="732"/>
      <c r="K274" s="732"/>
      <c r="L274" s="732"/>
      <c r="M274" s="732"/>
      <c r="N274" s="732"/>
      <c r="O274" s="732"/>
      <c r="P274" s="732"/>
      <c r="Q274" s="732"/>
      <c r="R274" s="732"/>
      <c r="S274" s="732"/>
      <c r="T274" s="732"/>
      <c r="U274" s="732"/>
      <c r="V274" s="733"/>
      <c r="W274" s="732"/>
      <c r="X274" s="732"/>
      <c r="Y274" s="732"/>
      <c r="Z274" s="732"/>
      <c r="AA274" s="732"/>
    </row>
    <row r="275" spans="1:27" ht="24.75" customHeight="1">
      <c r="A275" s="732"/>
      <c r="B275" s="732"/>
      <c r="C275" s="732"/>
      <c r="D275" s="732"/>
      <c r="E275" s="732"/>
      <c r="F275" s="732"/>
      <c r="G275" s="732"/>
      <c r="H275" s="732"/>
      <c r="I275" s="732"/>
      <c r="J275" s="732"/>
      <c r="K275" s="732"/>
      <c r="L275" s="732"/>
      <c r="M275" s="732"/>
      <c r="N275" s="732"/>
      <c r="O275" s="732"/>
      <c r="P275" s="732"/>
      <c r="Q275" s="732"/>
      <c r="R275" s="732"/>
      <c r="S275" s="732"/>
      <c r="T275" s="732"/>
      <c r="U275" s="732"/>
      <c r="V275" s="733"/>
      <c r="W275" s="732"/>
      <c r="X275" s="732"/>
      <c r="Y275" s="732"/>
      <c r="Z275" s="732"/>
      <c r="AA275" s="732"/>
    </row>
    <row r="276" spans="1:27" ht="24.75" customHeight="1">
      <c r="A276" s="732"/>
      <c r="B276" s="732"/>
      <c r="C276" s="732"/>
      <c r="D276" s="732"/>
      <c r="E276" s="732"/>
      <c r="F276" s="732"/>
      <c r="G276" s="732"/>
      <c r="H276" s="732"/>
      <c r="I276" s="732"/>
      <c r="J276" s="732"/>
      <c r="K276" s="732"/>
      <c r="L276" s="732"/>
      <c r="M276" s="732"/>
      <c r="N276" s="732"/>
      <c r="O276" s="732"/>
      <c r="P276" s="732"/>
      <c r="Q276" s="732"/>
      <c r="R276" s="732"/>
      <c r="S276" s="732"/>
      <c r="T276" s="732"/>
      <c r="U276" s="732"/>
      <c r="V276" s="733"/>
      <c r="W276" s="732"/>
      <c r="X276" s="732"/>
      <c r="Y276" s="732"/>
      <c r="Z276" s="732"/>
      <c r="AA276" s="732"/>
    </row>
    <row r="277" spans="1:27" ht="24.75" customHeight="1">
      <c r="A277" s="732"/>
      <c r="B277" s="732"/>
      <c r="C277" s="732"/>
      <c r="D277" s="732"/>
      <c r="E277" s="732"/>
      <c r="F277" s="732"/>
      <c r="G277" s="732"/>
      <c r="H277" s="732"/>
      <c r="I277" s="732"/>
      <c r="J277" s="732"/>
      <c r="K277" s="732"/>
      <c r="L277" s="732"/>
      <c r="M277" s="732"/>
      <c r="N277" s="732"/>
      <c r="O277" s="732"/>
      <c r="P277" s="732"/>
      <c r="Q277" s="732"/>
      <c r="R277" s="732"/>
      <c r="S277" s="732"/>
      <c r="T277" s="732"/>
      <c r="U277" s="732"/>
      <c r="V277" s="733"/>
      <c r="W277" s="732"/>
      <c r="X277" s="732"/>
      <c r="Y277" s="732"/>
      <c r="Z277" s="732"/>
      <c r="AA277" s="732"/>
    </row>
    <row r="278" spans="1:27" ht="24.75" customHeight="1">
      <c r="A278" s="732"/>
      <c r="B278" s="732"/>
      <c r="C278" s="732"/>
      <c r="D278" s="732"/>
      <c r="E278" s="732"/>
      <c r="F278" s="732"/>
      <c r="G278" s="732"/>
      <c r="H278" s="732"/>
      <c r="I278" s="732"/>
      <c r="J278" s="732"/>
      <c r="K278" s="732"/>
      <c r="L278" s="732"/>
      <c r="M278" s="732"/>
      <c r="N278" s="732"/>
      <c r="O278" s="732"/>
      <c r="P278" s="732"/>
      <c r="Q278" s="732"/>
      <c r="R278" s="732"/>
      <c r="S278" s="732"/>
      <c r="T278" s="732"/>
      <c r="U278" s="732"/>
      <c r="V278" s="733"/>
      <c r="W278" s="732"/>
      <c r="X278" s="732"/>
      <c r="Y278" s="732"/>
      <c r="Z278" s="732"/>
      <c r="AA278" s="732"/>
    </row>
    <row r="279" spans="1:27" ht="24.75" customHeight="1">
      <c r="A279" s="732"/>
      <c r="B279" s="732"/>
      <c r="C279" s="732"/>
      <c r="D279" s="732"/>
      <c r="E279" s="732"/>
      <c r="F279" s="732"/>
      <c r="G279" s="732"/>
      <c r="H279" s="732"/>
      <c r="I279" s="732"/>
      <c r="J279" s="732"/>
      <c r="K279" s="732"/>
      <c r="L279" s="732"/>
      <c r="M279" s="732"/>
      <c r="N279" s="732"/>
      <c r="O279" s="732"/>
      <c r="P279" s="732"/>
      <c r="Q279" s="732"/>
      <c r="R279" s="732"/>
      <c r="S279" s="732"/>
      <c r="T279" s="732"/>
      <c r="U279" s="732"/>
      <c r="V279" s="733"/>
      <c r="W279" s="732"/>
      <c r="X279" s="732"/>
      <c r="Y279" s="732"/>
      <c r="Z279" s="732"/>
      <c r="AA279" s="732"/>
    </row>
    <row r="280" spans="1:27" ht="24.75" customHeight="1">
      <c r="A280" s="732"/>
      <c r="B280" s="732"/>
      <c r="C280" s="732"/>
      <c r="D280" s="732"/>
      <c r="E280" s="732"/>
      <c r="F280" s="732"/>
      <c r="G280" s="732"/>
      <c r="H280" s="732"/>
      <c r="I280" s="732"/>
      <c r="J280" s="732"/>
      <c r="K280" s="732"/>
      <c r="L280" s="732"/>
      <c r="M280" s="732"/>
      <c r="N280" s="732"/>
      <c r="O280" s="732"/>
      <c r="P280" s="732"/>
      <c r="Q280" s="732"/>
      <c r="R280" s="732"/>
      <c r="S280" s="732"/>
      <c r="T280" s="732"/>
      <c r="U280" s="732"/>
      <c r="V280" s="733"/>
      <c r="W280" s="732"/>
      <c r="X280" s="732"/>
      <c r="Y280" s="732"/>
      <c r="Z280" s="732"/>
      <c r="AA280" s="732"/>
    </row>
    <row r="281" spans="1:27" ht="24.75" customHeight="1">
      <c r="A281" s="732"/>
      <c r="B281" s="732"/>
      <c r="C281" s="732"/>
      <c r="D281" s="732"/>
      <c r="E281" s="732"/>
      <c r="F281" s="732"/>
      <c r="G281" s="732"/>
      <c r="H281" s="732"/>
      <c r="I281" s="732"/>
      <c r="J281" s="732"/>
      <c r="K281" s="732"/>
      <c r="L281" s="732"/>
      <c r="M281" s="732"/>
      <c r="N281" s="732"/>
      <c r="O281" s="732"/>
      <c r="P281" s="732"/>
      <c r="Q281" s="732"/>
      <c r="R281" s="732"/>
      <c r="S281" s="732"/>
      <c r="T281" s="732"/>
      <c r="U281" s="732"/>
      <c r="V281" s="733"/>
      <c r="W281" s="732"/>
      <c r="X281" s="732"/>
      <c r="Y281" s="732"/>
      <c r="Z281" s="732"/>
      <c r="AA281" s="732"/>
    </row>
    <row r="282" spans="1:27" ht="24.75" customHeight="1">
      <c r="A282" s="732"/>
      <c r="B282" s="732"/>
      <c r="C282" s="732"/>
      <c r="D282" s="732"/>
      <c r="E282" s="732"/>
      <c r="F282" s="732"/>
      <c r="G282" s="732"/>
      <c r="H282" s="732"/>
      <c r="I282" s="732"/>
      <c r="J282" s="732"/>
      <c r="K282" s="732"/>
      <c r="L282" s="732"/>
      <c r="M282" s="732"/>
      <c r="N282" s="732"/>
      <c r="O282" s="732"/>
      <c r="P282" s="732"/>
      <c r="Q282" s="732"/>
      <c r="R282" s="732"/>
      <c r="S282" s="732"/>
      <c r="T282" s="732"/>
      <c r="U282" s="732"/>
      <c r="V282" s="733"/>
      <c r="W282" s="732"/>
      <c r="X282" s="732"/>
      <c r="Y282" s="732"/>
      <c r="Z282" s="732"/>
      <c r="AA282" s="732"/>
    </row>
    <row r="283" spans="1:27" ht="24.75" customHeight="1">
      <c r="A283" s="732"/>
      <c r="B283" s="732"/>
      <c r="C283" s="732"/>
      <c r="D283" s="732"/>
      <c r="E283" s="732"/>
      <c r="F283" s="732"/>
      <c r="G283" s="732"/>
      <c r="H283" s="732"/>
      <c r="I283" s="732"/>
      <c r="J283" s="732"/>
      <c r="K283" s="732"/>
      <c r="L283" s="732"/>
      <c r="M283" s="732"/>
      <c r="N283" s="732"/>
      <c r="O283" s="732"/>
      <c r="P283" s="732"/>
      <c r="Q283" s="732"/>
      <c r="R283" s="732"/>
      <c r="S283" s="732"/>
      <c r="T283" s="732"/>
      <c r="U283" s="732"/>
      <c r="V283" s="733"/>
      <c r="W283" s="732"/>
      <c r="X283" s="732"/>
      <c r="Y283" s="732"/>
      <c r="Z283" s="732"/>
      <c r="AA283" s="732"/>
    </row>
    <row r="284" spans="1:27" ht="24.75" customHeight="1">
      <c r="A284" s="732"/>
      <c r="B284" s="732"/>
      <c r="C284" s="732"/>
      <c r="D284" s="732"/>
      <c r="E284" s="732"/>
      <c r="F284" s="732"/>
      <c r="G284" s="732"/>
      <c r="H284" s="732"/>
      <c r="I284" s="732"/>
      <c r="J284" s="732"/>
      <c r="K284" s="732"/>
      <c r="L284" s="732"/>
      <c r="M284" s="732"/>
      <c r="N284" s="732"/>
      <c r="O284" s="732"/>
      <c r="P284" s="732"/>
      <c r="Q284" s="732"/>
      <c r="R284" s="732"/>
      <c r="S284" s="732"/>
      <c r="T284" s="732"/>
      <c r="U284" s="732"/>
      <c r="V284" s="733"/>
      <c r="W284" s="732"/>
      <c r="X284" s="732"/>
      <c r="Y284" s="732"/>
      <c r="Z284" s="732"/>
      <c r="AA284" s="732"/>
    </row>
    <row r="285" spans="1:27" ht="24.75" customHeight="1">
      <c r="A285" s="732"/>
      <c r="B285" s="732"/>
      <c r="C285" s="732"/>
      <c r="D285" s="732"/>
      <c r="E285" s="732"/>
      <c r="F285" s="732"/>
      <c r="G285" s="732"/>
      <c r="H285" s="732"/>
      <c r="I285" s="732"/>
      <c r="J285" s="732"/>
      <c r="K285" s="732"/>
      <c r="L285" s="732"/>
      <c r="M285" s="732"/>
      <c r="N285" s="732"/>
      <c r="O285" s="732"/>
      <c r="P285" s="732"/>
      <c r="Q285" s="732"/>
      <c r="R285" s="732"/>
      <c r="S285" s="732"/>
      <c r="T285" s="732"/>
      <c r="U285" s="732"/>
      <c r="V285" s="733"/>
      <c r="W285" s="732"/>
      <c r="X285" s="732"/>
      <c r="Y285" s="732"/>
      <c r="Z285" s="732"/>
      <c r="AA285" s="732"/>
    </row>
    <row r="286" spans="1:27" ht="24.75" customHeight="1">
      <c r="A286" s="732"/>
      <c r="B286" s="732"/>
      <c r="C286" s="732"/>
      <c r="D286" s="732"/>
      <c r="E286" s="732"/>
      <c r="F286" s="732"/>
      <c r="G286" s="732"/>
      <c r="H286" s="732"/>
      <c r="I286" s="732"/>
      <c r="J286" s="732"/>
      <c r="K286" s="732"/>
      <c r="L286" s="732"/>
      <c r="M286" s="732"/>
      <c r="N286" s="732"/>
      <c r="O286" s="732"/>
      <c r="P286" s="732"/>
      <c r="Q286" s="732"/>
      <c r="R286" s="732"/>
      <c r="S286" s="732"/>
      <c r="T286" s="732"/>
      <c r="U286" s="732"/>
      <c r="V286" s="733"/>
      <c r="W286" s="732"/>
      <c r="X286" s="732"/>
      <c r="Y286" s="732"/>
      <c r="Z286" s="732"/>
      <c r="AA286" s="732"/>
    </row>
    <row r="287" spans="1:27" ht="24.75" customHeight="1">
      <c r="A287" s="732"/>
      <c r="B287" s="732"/>
      <c r="C287" s="732"/>
      <c r="D287" s="732"/>
      <c r="E287" s="732"/>
      <c r="F287" s="732"/>
      <c r="G287" s="732"/>
      <c r="H287" s="732"/>
      <c r="I287" s="732"/>
      <c r="J287" s="732"/>
      <c r="K287" s="732"/>
      <c r="L287" s="732"/>
      <c r="M287" s="732"/>
      <c r="N287" s="732"/>
      <c r="O287" s="732"/>
      <c r="P287" s="732"/>
      <c r="Q287" s="732"/>
      <c r="R287" s="732"/>
      <c r="S287" s="732"/>
      <c r="T287" s="732"/>
      <c r="U287" s="732"/>
      <c r="V287" s="733"/>
      <c r="W287" s="732"/>
      <c r="X287" s="732"/>
      <c r="Y287" s="732"/>
      <c r="Z287" s="732"/>
      <c r="AA287" s="732"/>
    </row>
    <row r="288" spans="1:27" ht="24.75" customHeight="1">
      <c r="A288" s="732"/>
      <c r="B288" s="732"/>
      <c r="C288" s="732"/>
      <c r="D288" s="732"/>
      <c r="E288" s="732"/>
      <c r="F288" s="732"/>
      <c r="G288" s="732"/>
      <c r="H288" s="732"/>
      <c r="I288" s="732"/>
      <c r="J288" s="732"/>
      <c r="K288" s="732"/>
      <c r="L288" s="732"/>
      <c r="M288" s="732"/>
      <c r="N288" s="732"/>
      <c r="O288" s="732"/>
      <c r="P288" s="732"/>
      <c r="Q288" s="732"/>
      <c r="R288" s="732"/>
      <c r="S288" s="732"/>
      <c r="T288" s="732"/>
      <c r="U288" s="732"/>
      <c r="V288" s="733"/>
      <c r="W288" s="732"/>
      <c r="X288" s="732"/>
      <c r="Y288" s="732"/>
      <c r="Z288" s="732"/>
      <c r="AA288" s="732"/>
    </row>
    <row r="289" spans="1:27" ht="24.75" customHeight="1">
      <c r="A289" s="732"/>
      <c r="B289" s="732"/>
      <c r="C289" s="732"/>
      <c r="D289" s="732"/>
      <c r="E289" s="732"/>
      <c r="F289" s="732"/>
      <c r="G289" s="732"/>
      <c r="H289" s="732"/>
      <c r="I289" s="732"/>
      <c r="J289" s="732"/>
      <c r="K289" s="732"/>
      <c r="L289" s="732"/>
      <c r="M289" s="732"/>
      <c r="N289" s="732"/>
      <c r="O289" s="732"/>
      <c r="P289" s="732"/>
      <c r="Q289" s="732"/>
      <c r="R289" s="732"/>
      <c r="S289" s="732"/>
      <c r="T289" s="732"/>
      <c r="U289" s="732"/>
      <c r="V289" s="733"/>
      <c r="W289" s="732"/>
      <c r="X289" s="732"/>
      <c r="Y289" s="732"/>
      <c r="Z289" s="732"/>
      <c r="AA289" s="732"/>
    </row>
    <row r="290" spans="1:27" ht="24.75" customHeight="1">
      <c r="A290" s="732"/>
      <c r="B290" s="732"/>
      <c r="C290" s="732"/>
      <c r="D290" s="732"/>
      <c r="E290" s="732"/>
      <c r="F290" s="732"/>
      <c r="G290" s="732"/>
      <c r="H290" s="732"/>
      <c r="I290" s="732"/>
      <c r="J290" s="732"/>
      <c r="K290" s="732"/>
      <c r="L290" s="732"/>
      <c r="M290" s="732"/>
      <c r="N290" s="732"/>
      <c r="O290" s="732"/>
      <c r="P290" s="732"/>
      <c r="Q290" s="732"/>
      <c r="R290" s="732"/>
      <c r="S290" s="732"/>
      <c r="T290" s="732"/>
      <c r="U290" s="732"/>
      <c r="V290" s="733"/>
      <c r="W290" s="732"/>
      <c r="X290" s="732"/>
      <c r="Y290" s="732"/>
      <c r="Z290" s="732"/>
      <c r="AA290" s="732"/>
    </row>
    <row r="291" spans="1:27" ht="24.75" customHeight="1">
      <c r="A291" s="732"/>
      <c r="B291" s="732"/>
      <c r="C291" s="732"/>
      <c r="D291" s="732"/>
      <c r="E291" s="732"/>
      <c r="F291" s="732"/>
      <c r="G291" s="732"/>
      <c r="H291" s="732"/>
      <c r="I291" s="732"/>
      <c r="J291" s="732"/>
      <c r="K291" s="732"/>
      <c r="L291" s="732"/>
      <c r="M291" s="732"/>
      <c r="N291" s="732"/>
      <c r="O291" s="732"/>
      <c r="P291" s="732"/>
      <c r="Q291" s="732"/>
      <c r="R291" s="732"/>
      <c r="S291" s="732"/>
      <c r="T291" s="732"/>
      <c r="U291" s="732"/>
      <c r="V291" s="733"/>
      <c r="W291" s="732"/>
      <c r="X291" s="732"/>
      <c r="Y291" s="732"/>
      <c r="Z291" s="732"/>
      <c r="AA291" s="732"/>
    </row>
    <row r="292" spans="1:27" ht="24.75" customHeight="1">
      <c r="A292" s="732"/>
      <c r="B292" s="732"/>
      <c r="C292" s="732"/>
      <c r="D292" s="732"/>
      <c r="E292" s="732"/>
      <c r="F292" s="732"/>
      <c r="G292" s="732"/>
      <c r="H292" s="732"/>
      <c r="I292" s="732"/>
      <c r="J292" s="732"/>
      <c r="K292" s="732"/>
      <c r="L292" s="732"/>
      <c r="M292" s="732"/>
      <c r="N292" s="732"/>
      <c r="O292" s="732"/>
      <c r="P292" s="732"/>
      <c r="Q292" s="732"/>
      <c r="R292" s="732"/>
      <c r="S292" s="732"/>
      <c r="T292" s="732"/>
      <c r="U292" s="732"/>
      <c r="V292" s="733"/>
      <c r="W292" s="732"/>
      <c r="X292" s="732"/>
      <c r="Y292" s="732"/>
      <c r="Z292" s="732"/>
      <c r="AA292" s="732"/>
    </row>
    <row r="293" spans="1:27" ht="24.75" customHeight="1">
      <c r="A293" s="732"/>
      <c r="B293" s="732"/>
      <c r="C293" s="732"/>
      <c r="D293" s="732"/>
      <c r="E293" s="732"/>
      <c r="F293" s="732"/>
      <c r="G293" s="732"/>
      <c r="H293" s="732"/>
      <c r="I293" s="732"/>
      <c r="J293" s="732"/>
      <c r="K293" s="732"/>
      <c r="L293" s="732"/>
      <c r="M293" s="732"/>
      <c r="N293" s="732"/>
      <c r="O293" s="732"/>
      <c r="P293" s="732"/>
      <c r="Q293" s="732"/>
      <c r="R293" s="732"/>
      <c r="S293" s="732"/>
      <c r="T293" s="732"/>
      <c r="U293" s="732"/>
      <c r="V293" s="733"/>
      <c r="W293" s="732"/>
      <c r="X293" s="732"/>
      <c r="Y293" s="732"/>
      <c r="Z293" s="732"/>
      <c r="AA293" s="732"/>
    </row>
    <row r="294" spans="1:27" ht="24.75" customHeight="1">
      <c r="A294" s="732"/>
      <c r="B294" s="732"/>
      <c r="C294" s="732"/>
      <c r="D294" s="732"/>
      <c r="E294" s="732"/>
      <c r="F294" s="732"/>
      <c r="G294" s="732"/>
      <c r="H294" s="732"/>
      <c r="I294" s="732"/>
      <c r="J294" s="732"/>
      <c r="K294" s="732"/>
      <c r="L294" s="732"/>
      <c r="M294" s="732"/>
      <c r="N294" s="732"/>
      <c r="O294" s="732"/>
      <c r="P294" s="732"/>
      <c r="Q294" s="732"/>
      <c r="R294" s="732"/>
      <c r="S294" s="732"/>
      <c r="T294" s="732"/>
      <c r="U294" s="732"/>
      <c r="V294" s="733"/>
      <c r="W294" s="732"/>
      <c r="X294" s="732"/>
      <c r="Y294" s="732"/>
      <c r="Z294" s="732"/>
      <c r="AA294" s="732"/>
    </row>
    <row r="295" spans="1:27" ht="24.75" customHeight="1">
      <c r="A295" s="732"/>
      <c r="B295" s="732"/>
      <c r="C295" s="732"/>
      <c r="D295" s="732"/>
      <c r="E295" s="732"/>
      <c r="F295" s="732"/>
      <c r="G295" s="732"/>
      <c r="H295" s="732"/>
      <c r="I295" s="732"/>
      <c r="J295" s="732"/>
      <c r="K295" s="732"/>
      <c r="L295" s="732"/>
      <c r="M295" s="732"/>
      <c r="N295" s="732"/>
      <c r="O295" s="732"/>
      <c r="P295" s="732"/>
      <c r="Q295" s="732"/>
      <c r="R295" s="732"/>
      <c r="S295" s="732"/>
      <c r="T295" s="732"/>
      <c r="U295" s="732"/>
      <c r="V295" s="733"/>
      <c r="W295" s="732"/>
      <c r="X295" s="732"/>
      <c r="Y295" s="732"/>
      <c r="Z295" s="732"/>
      <c r="AA295" s="732"/>
    </row>
    <row r="296" spans="1:27" ht="24.75" customHeight="1">
      <c r="A296" s="732"/>
      <c r="B296" s="732"/>
      <c r="C296" s="732"/>
      <c r="D296" s="732"/>
      <c r="E296" s="732"/>
      <c r="F296" s="732"/>
      <c r="G296" s="732"/>
      <c r="H296" s="732"/>
      <c r="I296" s="732"/>
      <c r="J296" s="732"/>
      <c r="K296" s="732"/>
      <c r="L296" s="732"/>
      <c r="M296" s="732"/>
      <c r="N296" s="732"/>
      <c r="O296" s="732"/>
      <c r="P296" s="732"/>
      <c r="Q296" s="732"/>
      <c r="R296" s="732"/>
      <c r="S296" s="732"/>
      <c r="T296" s="732"/>
      <c r="U296" s="732"/>
      <c r="V296" s="733"/>
      <c r="W296" s="732"/>
      <c r="X296" s="732"/>
      <c r="Y296" s="732"/>
      <c r="Z296" s="732"/>
      <c r="AA296" s="732"/>
    </row>
    <row r="297" spans="1:27" ht="24.75" customHeight="1">
      <c r="A297" s="732"/>
      <c r="B297" s="732"/>
      <c r="C297" s="732"/>
      <c r="D297" s="732"/>
      <c r="E297" s="732"/>
      <c r="F297" s="732"/>
      <c r="G297" s="732"/>
      <c r="H297" s="732"/>
      <c r="I297" s="732"/>
      <c r="J297" s="732"/>
      <c r="K297" s="732"/>
      <c r="L297" s="732"/>
      <c r="M297" s="732"/>
      <c r="N297" s="732"/>
      <c r="O297" s="732"/>
      <c r="P297" s="732"/>
      <c r="Q297" s="732"/>
      <c r="R297" s="732"/>
      <c r="S297" s="732"/>
      <c r="T297" s="732"/>
      <c r="U297" s="732"/>
      <c r="V297" s="733"/>
      <c r="W297" s="732"/>
      <c r="X297" s="732"/>
      <c r="Y297" s="732"/>
      <c r="Z297" s="732"/>
      <c r="AA297" s="732"/>
    </row>
    <row r="298" spans="1:27" ht="24.75" customHeight="1">
      <c r="A298" s="732"/>
      <c r="B298" s="732"/>
      <c r="C298" s="732"/>
      <c r="D298" s="732"/>
      <c r="E298" s="732"/>
      <c r="F298" s="732"/>
      <c r="G298" s="732"/>
      <c r="H298" s="732"/>
      <c r="I298" s="732"/>
      <c r="J298" s="732"/>
      <c r="K298" s="732"/>
      <c r="L298" s="732"/>
      <c r="M298" s="732"/>
      <c r="N298" s="732"/>
      <c r="O298" s="732"/>
      <c r="P298" s="732"/>
      <c r="Q298" s="732"/>
      <c r="R298" s="732"/>
      <c r="S298" s="732"/>
      <c r="T298" s="732"/>
      <c r="U298" s="732"/>
      <c r="V298" s="733"/>
      <c r="W298" s="732"/>
      <c r="X298" s="732"/>
      <c r="Y298" s="732"/>
      <c r="Z298" s="732"/>
      <c r="AA298" s="732"/>
    </row>
    <row r="299" spans="1:27" ht="24.75" customHeight="1">
      <c r="A299" s="732"/>
      <c r="B299" s="732"/>
      <c r="C299" s="732"/>
      <c r="D299" s="732"/>
      <c r="E299" s="732"/>
      <c r="F299" s="732"/>
      <c r="G299" s="732"/>
      <c r="H299" s="732"/>
      <c r="I299" s="732"/>
      <c r="J299" s="732"/>
      <c r="K299" s="732"/>
      <c r="L299" s="732"/>
      <c r="M299" s="732"/>
      <c r="N299" s="732"/>
      <c r="O299" s="732"/>
      <c r="P299" s="732"/>
      <c r="Q299" s="732"/>
      <c r="R299" s="732"/>
      <c r="S299" s="732"/>
      <c r="T299" s="732"/>
      <c r="U299" s="732"/>
      <c r="V299" s="733"/>
      <c r="W299" s="732"/>
      <c r="X299" s="732"/>
      <c r="Y299" s="732"/>
      <c r="Z299" s="732"/>
      <c r="AA299" s="732"/>
    </row>
    <row r="300" spans="1:27" ht="24.75" customHeight="1">
      <c r="A300" s="732"/>
      <c r="B300" s="732"/>
      <c r="C300" s="732"/>
      <c r="D300" s="732"/>
      <c r="E300" s="732"/>
      <c r="F300" s="732"/>
      <c r="G300" s="732"/>
      <c r="H300" s="732"/>
      <c r="I300" s="732"/>
      <c r="J300" s="732"/>
      <c r="K300" s="732"/>
      <c r="L300" s="732"/>
      <c r="M300" s="732"/>
      <c r="N300" s="732"/>
      <c r="O300" s="732"/>
      <c r="P300" s="732"/>
      <c r="Q300" s="732"/>
      <c r="R300" s="732"/>
      <c r="S300" s="732"/>
      <c r="T300" s="732"/>
      <c r="U300" s="732"/>
      <c r="V300" s="733"/>
      <c r="W300" s="732"/>
      <c r="X300" s="732"/>
      <c r="Y300" s="732"/>
      <c r="Z300" s="732"/>
      <c r="AA300" s="732"/>
    </row>
    <row r="301" spans="1:27" ht="24.75" customHeight="1">
      <c r="A301" s="732"/>
      <c r="B301" s="732"/>
      <c r="C301" s="732"/>
      <c r="D301" s="732"/>
      <c r="E301" s="732"/>
      <c r="F301" s="732"/>
      <c r="G301" s="732"/>
      <c r="H301" s="732"/>
      <c r="I301" s="732"/>
      <c r="J301" s="732"/>
      <c r="K301" s="732"/>
      <c r="L301" s="732"/>
      <c r="M301" s="732"/>
      <c r="N301" s="732"/>
      <c r="O301" s="732"/>
      <c r="P301" s="732"/>
      <c r="Q301" s="732"/>
      <c r="R301" s="732"/>
      <c r="S301" s="732"/>
      <c r="T301" s="732"/>
      <c r="U301" s="732"/>
      <c r="V301" s="733"/>
      <c r="W301" s="732"/>
      <c r="X301" s="732"/>
      <c r="Y301" s="732"/>
      <c r="Z301" s="732"/>
      <c r="AA301" s="732"/>
    </row>
    <row r="302" spans="1:27" ht="24.75" customHeight="1">
      <c r="A302" s="732"/>
      <c r="B302" s="732"/>
      <c r="C302" s="732"/>
      <c r="D302" s="732"/>
      <c r="E302" s="732"/>
      <c r="F302" s="732"/>
      <c r="G302" s="732"/>
      <c r="H302" s="732"/>
      <c r="I302" s="732"/>
      <c r="J302" s="732"/>
      <c r="K302" s="732"/>
      <c r="L302" s="732"/>
      <c r="M302" s="732"/>
      <c r="N302" s="732"/>
      <c r="O302" s="732"/>
      <c r="P302" s="732"/>
      <c r="Q302" s="732"/>
      <c r="R302" s="732"/>
      <c r="S302" s="732"/>
      <c r="T302" s="732"/>
      <c r="U302" s="732"/>
      <c r="V302" s="733"/>
      <c r="W302" s="732"/>
      <c r="X302" s="732"/>
      <c r="Y302" s="732"/>
      <c r="Z302" s="732"/>
      <c r="AA302" s="732"/>
    </row>
    <row r="303" spans="1:27" ht="24.75" customHeight="1">
      <c r="A303" s="732"/>
      <c r="B303" s="732"/>
      <c r="C303" s="732"/>
      <c r="D303" s="732"/>
      <c r="E303" s="732"/>
      <c r="F303" s="732"/>
      <c r="G303" s="732"/>
      <c r="H303" s="732"/>
      <c r="I303" s="732"/>
      <c r="J303" s="732"/>
      <c r="K303" s="732"/>
      <c r="L303" s="732"/>
      <c r="M303" s="732"/>
      <c r="N303" s="732"/>
      <c r="O303" s="732"/>
      <c r="P303" s="732"/>
      <c r="Q303" s="732"/>
      <c r="R303" s="732"/>
      <c r="S303" s="732"/>
      <c r="T303" s="732"/>
      <c r="U303" s="732"/>
      <c r="V303" s="733"/>
      <c r="W303" s="732"/>
      <c r="X303" s="732"/>
      <c r="Y303" s="732"/>
      <c r="Z303" s="732"/>
      <c r="AA303" s="732"/>
    </row>
    <row r="304" spans="1:27" ht="24.75" customHeight="1">
      <c r="A304" s="732"/>
      <c r="B304" s="732"/>
      <c r="C304" s="732"/>
      <c r="D304" s="732"/>
      <c r="E304" s="732"/>
      <c r="F304" s="732"/>
      <c r="G304" s="732"/>
      <c r="H304" s="732"/>
      <c r="I304" s="732"/>
      <c r="J304" s="732"/>
      <c r="K304" s="732"/>
      <c r="L304" s="732"/>
      <c r="M304" s="732"/>
      <c r="N304" s="732"/>
      <c r="O304" s="732"/>
      <c r="P304" s="732"/>
      <c r="Q304" s="732"/>
      <c r="R304" s="732"/>
      <c r="S304" s="732"/>
      <c r="T304" s="732"/>
      <c r="U304" s="732"/>
      <c r="V304" s="733"/>
      <c r="W304" s="732"/>
      <c r="X304" s="732"/>
      <c r="Y304" s="732"/>
      <c r="Z304" s="732"/>
      <c r="AA304" s="732"/>
    </row>
    <row r="305" spans="1:27" ht="24.75" customHeight="1">
      <c r="A305" s="732"/>
      <c r="B305" s="732"/>
      <c r="C305" s="732"/>
      <c r="D305" s="732"/>
      <c r="E305" s="732"/>
      <c r="F305" s="732"/>
      <c r="G305" s="732"/>
      <c r="H305" s="732"/>
      <c r="I305" s="732"/>
      <c r="J305" s="732"/>
      <c r="K305" s="732"/>
      <c r="L305" s="732"/>
      <c r="M305" s="732"/>
      <c r="N305" s="732"/>
      <c r="O305" s="732"/>
      <c r="P305" s="732"/>
      <c r="Q305" s="732"/>
      <c r="R305" s="732"/>
      <c r="S305" s="732"/>
      <c r="T305" s="732"/>
      <c r="U305" s="732"/>
      <c r="V305" s="733"/>
      <c r="W305" s="732"/>
      <c r="X305" s="732"/>
      <c r="Y305" s="732"/>
      <c r="Z305" s="732"/>
      <c r="AA305" s="732"/>
    </row>
    <row r="306" spans="1:27" ht="24.75" customHeight="1">
      <c r="A306" s="732"/>
      <c r="B306" s="732"/>
      <c r="C306" s="732"/>
      <c r="D306" s="732"/>
      <c r="E306" s="732"/>
      <c r="F306" s="732"/>
      <c r="G306" s="732"/>
      <c r="H306" s="732"/>
      <c r="I306" s="732"/>
      <c r="J306" s="732"/>
      <c r="K306" s="732"/>
      <c r="L306" s="732"/>
      <c r="M306" s="732"/>
      <c r="N306" s="732"/>
      <c r="O306" s="732"/>
      <c r="P306" s="732"/>
      <c r="Q306" s="732"/>
      <c r="R306" s="732"/>
      <c r="S306" s="732"/>
      <c r="T306" s="732"/>
      <c r="U306" s="732"/>
      <c r="V306" s="733"/>
      <c r="W306" s="732"/>
      <c r="X306" s="732"/>
      <c r="Y306" s="732"/>
      <c r="Z306" s="732"/>
      <c r="AA306" s="732"/>
    </row>
    <row r="307" spans="1:27" ht="24.75" customHeight="1">
      <c r="A307" s="732"/>
      <c r="B307" s="732"/>
      <c r="C307" s="732"/>
      <c r="D307" s="732"/>
      <c r="E307" s="732"/>
      <c r="F307" s="732"/>
      <c r="G307" s="732"/>
      <c r="H307" s="732"/>
      <c r="I307" s="732"/>
      <c r="J307" s="732"/>
      <c r="K307" s="732"/>
      <c r="L307" s="732"/>
      <c r="M307" s="732"/>
      <c r="N307" s="732"/>
      <c r="O307" s="732"/>
      <c r="P307" s="732"/>
      <c r="Q307" s="732"/>
      <c r="R307" s="732"/>
      <c r="S307" s="732"/>
      <c r="T307" s="732"/>
      <c r="U307" s="732"/>
      <c r="V307" s="733"/>
      <c r="W307" s="732"/>
      <c r="X307" s="732"/>
      <c r="Y307" s="732"/>
      <c r="Z307" s="732"/>
      <c r="AA307" s="732"/>
    </row>
    <row r="308" spans="1:27" ht="24.75" customHeight="1">
      <c r="A308" s="732"/>
      <c r="B308" s="732"/>
      <c r="C308" s="732"/>
      <c r="D308" s="732"/>
      <c r="E308" s="732"/>
      <c r="F308" s="732"/>
      <c r="G308" s="732"/>
      <c r="H308" s="732"/>
      <c r="I308" s="732"/>
      <c r="J308" s="732"/>
      <c r="K308" s="732"/>
      <c r="L308" s="732"/>
      <c r="M308" s="732"/>
      <c r="N308" s="732"/>
      <c r="O308" s="732"/>
      <c r="P308" s="732"/>
      <c r="Q308" s="732"/>
      <c r="R308" s="732"/>
      <c r="S308" s="732"/>
      <c r="T308" s="732"/>
      <c r="U308" s="732"/>
      <c r="V308" s="733"/>
      <c r="W308" s="732"/>
      <c r="X308" s="732"/>
      <c r="Y308" s="732"/>
      <c r="Z308" s="732"/>
      <c r="AA308" s="732"/>
    </row>
    <row r="309" spans="1:27" ht="24.75" customHeight="1">
      <c r="A309" s="732"/>
      <c r="B309" s="732"/>
      <c r="C309" s="732"/>
      <c r="D309" s="732"/>
      <c r="E309" s="732"/>
      <c r="F309" s="732"/>
      <c r="G309" s="732"/>
      <c r="H309" s="732"/>
      <c r="I309" s="732"/>
      <c r="J309" s="732"/>
      <c r="K309" s="732"/>
      <c r="L309" s="732"/>
      <c r="M309" s="732"/>
      <c r="N309" s="732"/>
      <c r="O309" s="732"/>
      <c r="P309" s="732"/>
      <c r="Q309" s="732"/>
      <c r="R309" s="732"/>
      <c r="S309" s="732"/>
      <c r="T309" s="732"/>
      <c r="U309" s="732"/>
      <c r="V309" s="733"/>
      <c r="W309" s="732"/>
      <c r="X309" s="732"/>
      <c r="Y309" s="732"/>
      <c r="Z309" s="732"/>
      <c r="AA309" s="732"/>
    </row>
    <row r="310" spans="1:27" ht="24.75" customHeight="1">
      <c r="A310" s="732"/>
      <c r="B310" s="732"/>
      <c r="C310" s="732"/>
      <c r="D310" s="732"/>
      <c r="E310" s="732"/>
      <c r="F310" s="732"/>
      <c r="G310" s="732"/>
      <c r="H310" s="732"/>
      <c r="I310" s="732"/>
      <c r="J310" s="732"/>
      <c r="K310" s="732"/>
      <c r="L310" s="732"/>
      <c r="M310" s="732"/>
      <c r="N310" s="732"/>
      <c r="O310" s="732"/>
      <c r="P310" s="732"/>
      <c r="Q310" s="732"/>
      <c r="R310" s="732"/>
      <c r="S310" s="732"/>
      <c r="T310" s="732"/>
      <c r="U310" s="732"/>
      <c r="V310" s="733"/>
      <c r="W310" s="732"/>
      <c r="X310" s="732"/>
      <c r="Y310" s="732"/>
      <c r="Z310" s="732"/>
      <c r="AA310" s="732"/>
    </row>
    <row r="311" spans="1:27" ht="24.75" customHeight="1">
      <c r="A311" s="732"/>
      <c r="B311" s="732"/>
      <c r="C311" s="732"/>
      <c r="D311" s="732"/>
      <c r="E311" s="732"/>
      <c r="F311" s="732"/>
      <c r="G311" s="732"/>
      <c r="H311" s="732"/>
      <c r="I311" s="732"/>
      <c r="J311" s="732"/>
      <c r="K311" s="732"/>
      <c r="L311" s="732"/>
      <c r="M311" s="732"/>
      <c r="N311" s="732"/>
      <c r="O311" s="732"/>
      <c r="P311" s="732"/>
      <c r="Q311" s="732"/>
      <c r="R311" s="732"/>
      <c r="S311" s="732"/>
      <c r="T311" s="732"/>
      <c r="U311" s="732"/>
      <c r="V311" s="733"/>
      <c r="W311" s="732"/>
      <c r="X311" s="732"/>
      <c r="Y311" s="732"/>
      <c r="Z311" s="732"/>
      <c r="AA311" s="732"/>
    </row>
    <row r="312" spans="1:27" ht="24.75" customHeight="1">
      <c r="A312" s="732"/>
      <c r="B312" s="732"/>
      <c r="C312" s="732"/>
      <c r="D312" s="732"/>
      <c r="E312" s="732"/>
      <c r="F312" s="732"/>
      <c r="G312" s="732"/>
      <c r="H312" s="732"/>
      <c r="I312" s="732"/>
      <c r="J312" s="732"/>
      <c r="K312" s="732"/>
      <c r="L312" s="732"/>
      <c r="M312" s="732"/>
      <c r="N312" s="732"/>
      <c r="O312" s="732"/>
      <c r="P312" s="732"/>
      <c r="Q312" s="732"/>
      <c r="R312" s="732"/>
      <c r="S312" s="732"/>
      <c r="T312" s="732"/>
      <c r="U312" s="732"/>
      <c r="V312" s="733"/>
      <c r="W312" s="732"/>
      <c r="X312" s="732"/>
      <c r="Y312" s="732"/>
      <c r="Z312" s="732"/>
      <c r="AA312" s="732"/>
    </row>
    <row r="313" spans="1:27" ht="24.75" customHeight="1">
      <c r="A313" s="732"/>
      <c r="B313" s="732"/>
      <c r="C313" s="732"/>
      <c r="D313" s="732"/>
      <c r="E313" s="732"/>
      <c r="F313" s="732"/>
      <c r="G313" s="732"/>
      <c r="H313" s="732"/>
      <c r="I313" s="732"/>
      <c r="J313" s="732"/>
      <c r="K313" s="732"/>
      <c r="L313" s="732"/>
      <c r="M313" s="732"/>
      <c r="N313" s="732"/>
      <c r="O313" s="732"/>
      <c r="P313" s="732"/>
      <c r="Q313" s="732"/>
      <c r="R313" s="732"/>
      <c r="S313" s="732"/>
      <c r="T313" s="732"/>
      <c r="U313" s="732"/>
      <c r="V313" s="733"/>
      <c r="W313" s="732"/>
      <c r="X313" s="732"/>
      <c r="Y313" s="732"/>
      <c r="Z313" s="732"/>
      <c r="AA313" s="732"/>
    </row>
    <row r="314" spans="1:27" ht="24.75" customHeight="1">
      <c r="A314" s="732"/>
      <c r="B314" s="732"/>
      <c r="C314" s="732"/>
      <c r="D314" s="732"/>
      <c r="E314" s="732"/>
      <c r="F314" s="732"/>
      <c r="G314" s="732"/>
      <c r="H314" s="732"/>
      <c r="I314" s="732"/>
      <c r="J314" s="732"/>
      <c r="K314" s="732"/>
      <c r="L314" s="732"/>
      <c r="M314" s="732"/>
      <c r="N314" s="732"/>
      <c r="O314" s="732"/>
      <c r="P314" s="732"/>
      <c r="Q314" s="732"/>
      <c r="R314" s="732"/>
      <c r="S314" s="732"/>
      <c r="T314" s="732"/>
      <c r="U314" s="732"/>
      <c r="V314" s="733"/>
      <c r="W314" s="732"/>
      <c r="X314" s="732"/>
      <c r="Y314" s="732"/>
      <c r="Z314" s="732"/>
      <c r="AA314" s="732"/>
    </row>
    <row r="315" spans="1:27" ht="24.75" customHeight="1">
      <c r="A315" s="732"/>
      <c r="B315" s="732"/>
      <c r="C315" s="732"/>
      <c r="D315" s="732"/>
      <c r="E315" s="732"/>
      <c r="F315" s="732"/>
      <c r="G315" s="732"/>
      <c r="H315" s="732"/>
      <c r="I315" s="732"/>
      <c r="J315" s="732"/>
      <c r="K315" s="732"/>
      <c r="L315" s="732"/>
      <c r="M315" s="732"/>
      <c r="N315" s="732"/>
      <c r="O315" s="732"/>
      <c r="P315" s="732"/>
      <c r="Q315" s="732"/>
      <c r="R315" s="732"/>
      <c r="S315" s="732"/>
      <c r="T315" s="732"/>
      <c r="U315" s="732"/>
      <c r="V315" s="733"/>
      <c r="W315" s="732"/>
      <c r="X315" s="732"/>
      <c r="Y315" s="732"/>
      <c r="Z315" s="732"/>
      <c r="AA315" s="732"/>
    </row>
    <row r="316" spans="1:27" ht="24.75" customHeight="1">
      <c r="A316" s="732"/>
      <c r="B316" s="732"/>
      <c r="C316" s="732"/>
      <c r="D316" s="732"/>
      <c r="E316" s="732"/>
      <c r="F316" s="732"/>
      <c r="G316" s="732"/>
      <c r="H316" s="732"/>
      <c r="I316" s="732"/>
      <c r="J316" s="732"/>
      <c r="K316" s="732"/>
      <c r="L316" s="732"/>
      <c r="M316" s="732"/>
      <c r="N316" s="732"/>
      <c r="O316" s="732"/>
      <c r="P316" s="732"/>
      <c r="Q316" s="732"/>
      <c r="R316" s="732"/>
      <c r="S316" s="732"/>
      <c r="T316" s="732"/>
      <c r="U316" s="732"/>
      <c r="V316" s="733"/>
      <c r="W316" s="732"/>
      <c r="X316" s="732"/>
      <c r="Y316" s="732"/>
      <c r="Z316" s="732"/>
      <c r="AA316" s="732"/>
    </row>
    <row r="317" spans="1:27" ht="24.75" customHeight="1">
      <c r="A317" s="732"/>
      <c r="B317" s="732"/>
      <c r="C317" s="732"/>
      <c r="D317" s="732"/>
      <c r="E317" s="732"/>
      <c r="F317" s="732"/>
      <c r="G317" s="732"/>
      <c r="H317" s="732"/>
      <c r="I317" s="732"/>
      <c r="J317" s="732"/>
      <c r="K317" s="732"/>
      <c r="L317" s="732"/>
      <c r="M317" s="732"/>
      <c r="N317" s="732"/>
      <c r="O317" s="732"/>
      <c r="P317" s="732"/>
      <c r="Q317" s="732"/>
      <c r="R317" s="732"/>
      <c r="S317" s="732"/>
      <c r="T317" s="732"/>
      <c r="U317" s="732"/>
      <c r="V317" s="733"/>
      <c r="W317" s="732"/>
      <c r="X317" s="732"/>
      <c r="Y317" s="732"/>
      <c r="Z317" s="732"/>
      <c r="AA317" s="732"/>
    </row>
    <row r="318" spans="1:27" ht="24.75" customHeight="1">
      <c r="A318" s="732"/>
      <c r="B318" s="732"/>
      <c r="C318" s="732"/>
      <c r="D318" s="732"/>
      <c r="E318" s="732"/>
      <c r="F318" s="732"/>
      <c r="G318" s="732"/>
      <c r="H318" s="732"/>
      <c r="I318" s="732"/>
      <c r="J318" s="732"/>
      <c r="K318" s="732"/>
      <c r="L318" s="732"/>
      <c r="M318" s="732"/>
      <c r="N318" s="732"/>
      <c r="O318" s="732"/>
      <c r="P318" s="732"/>
      <c r="Q318" s="732"/>
      <c r="R318" s="732"/>
      <c r="S318" s="732"/>
      <c r="T318" s="732"/>
      <c r="U318" s="732"/>
      <c r="V318" s="733"/>
      <c r="W318" s="732"/>
      <c r="X318" s="732"/>
      <c r="Y318" s="732"/>
      <c r="Z318" s="732"/>
      <c r="AA318" s="732"/>
    </row>
    <row r="319" spans="1:27" ht="24.75" customHeight="1">
      <c r="A319" s="732"/>
      <c r="B319" s="732"/>
      <c r="C319" s="732"/>
      <c r="D319" s="732"/>
      <c r="E319" s="732"/>
      <c r="F319" s="732"/>
      <c r="G319" s="732"/>
      <c r="H319" s="732"/>
      <c r="I319" s="732"/>
      <c r="J319" s="732"/>
      <c r="K319" s="732"/>
      <c r="L319" s="732"/>
      <c r="M319" s="732"/>
      <c r="N319" s="732"/>
      <c r="O319" s="732"/>
      <c r="P319" s="732"/>
      <c r="Q319" s="732"/>
      <c r="R319" s="732"/>
      <c r="S319" s="732"/>
      <c r="T319" s="732"/>
      <c r="U319" s="732"/>
      <c r="V319" s="733"/>
      <c r="W319" s="732"/>
      <c r="X319" s="732"/>
      <c r="Y319" s="732"/>
      <c r="Z319" s="732"/>
      <c r="AA319" s="732"/>
    </row>
    <row r="320" spans="1:27" ht="24.75" customHeight="1">
      <c r="A320" s="732"/>
      <c r="B320" s="732"/>
      <c r="C320" s="732"/>
      <c r="D320" s="732"/>
      <c r="E320" s="732"/>
      <c r="F320" s="732"/>
      <c r="G320" s="732"/>
      <c r="H320" s="732"/>
      <c r="I320" s="732"/>
      <c r="J320" s="732"/>
      <c r="K320" s="732"/>
      <c r="L320" s="732"/>
      <c r="M320" s="732"/>
      <c r="N320" s="732"/>
      <c r="O320" s="732"/>
      <c r="P320" s="732"/>
      <c r="Q320" s="732"/>
      <c r="R320" s="732"/>
      <c r="S320" s="732"/>
      <c r="T320" s="732"/>
      <c r="U320" s="732"/>
      <c r="V320" s="733"/>
      <c r="W320" s="732"/>
      <c r="X320" s="732"/>
      <c r="Y320" s="732"/>
      <c r="Z320" s="732"/>
      <c r="AA320" s="732"/>
    </row>
    <row r="321" spans="1:27" ht="24.75" customHeight="1">
      <c r="A321" s="732"/>
      <c r="B321" s="732"/>
      <c r="C321" s="732"/>
      <c r="D321" s="732"/>
      <c r="E321" s="732"/>
      <c r="F321" s="732"/>
      <c r="G321" s="732"/>
      <c r="H321" s="732"/>
      <c r="I321" s="732"/>
      <c r="J321" s="732"/>
      <c r="K321" s="732"/>
      <c r="L321" s="732"/>
      <c r="M321" s="732"/>
      <c r="N321" s="732"/>
      <c r="O321" s="732"/>
      <c r="P321" s="732"/>
      <c r="Q321" s="732"/>
      <c r="R321" s="732"/>
      <c r="S321" s="732"/>
      <c r="T321" s="732"/>
      <c r="U321" s="732"/>
      <c r="V321" s="733"/>
      <c r="W321" s="732"/>
      <c r="X321" s="732"/>
      <c r="Y321" s="732"/>
      <c r="Z321" s="732"/>
      <c r="AA321" s="732"/>
    </row>
    <row r="322" spans="1:27" ht="24.75" customHeight="1">
      <c r="A322" s="732"/>
      <c r="B322" s="732"/>
      <c r="C322" s="732"/>
      <c r="D322" s="732"/>
      <c r="E322" s="732"/>
      <c r="F322" s="732"/>
      <c r="G322" s="732"/>
      <c r="H322" s="732"/>
      <c r="I322" s="732"/>
      <c r="J322" s="732"/>
      <c r="K322" s="732"/>
      <c r="L322" s="732"/>
      <c r="M322" s="732"/>
      <c r="N322" s="732"/>
      <c r="O322" s="732"/>
      <c r="P322" s="732"/>
      <c r="Q322" s="732"/>
      <c r="R322" s="732"/>
      <c r="S322" s="732"/>
      <c r="T322" s="732"/>
      <c r="U322" s="732"/>
      <c r="V322" s="733"/>
      <c r="W322" s="732"/>
      <c r="X322" s="732"/>
      <c r="Y322" s="732"/>
      <c r="Z322" s="732"/>
      <c r="AA322" s="732"/>
    </row>
    <row r="323" spans="1:27" ht="24.75" customHeight="1">
      <c r="A323" s="732"/>
      <c r="B323" s="732"/>
      <c r="C323" s="732"/>
      <c r="D323" s="732"/>
      <c r="E323" s="732"/>
      <c r="F323" s="732"/>
      <c r="G323" s="732"/>
      <c r="H323" s="732"/>
      <c r="I323" s="732"/>
      <c r="J323" s="732"/>
      <c r="K323" s="732"/>
      <c r="L323" s="732"/>
      <c r="M323" s="732"/>
      <c r="N323" s="732"/>
      <c r="O323" s="732"/>
      <c r="P323" s="732"/>
      <c r="Q323" s="732"/>
      <c r="R323" s="732"/>
      <c r="S323" s="732"/>
      <c r="T323" s="732"/>
      <c r="U323" s="732"/>
      <c r="V323" s="733"/>
      <c r="W323" s="732"/>
      <c r="X323" s="732"/>
      <c r="Y323" s="732"/>
      <c r="Z323" s="732"/>
      <c r="AA323" s="732"/>
    </row>
    <row r="324" spans="1:27" ht="24.75" customHeight="1">
      <c r="A324" s="732"/>
      <c r="B324" s="732"/>
      <c r="C324" s="732"/>
      <c r="D324" s="732"/>
      <c r="E324" s="732"/>
      <c r="F324" s="732"/>
      <c r="G324" s="732"/>
      <c r="H324" s="732"/>
      <c r="I324" s="732"/>
      <c r="J324" s="732"/>
      <c r="K324" s="732"/>
      <c r="L324" s="732"/>
      <c r="M324" s="732"/>
      <c r="N324" s="732"/>
      <c r="O324" s="732"/>
      <c r="P324" s="732"/>
      <c r="Q324" s="732"/>
      <c r="R324" s="732"/>
      <c r="S324" s="732"/>
      <c r="T324" s="732"/>
      <c r="U324" s="732"/>
      <c r="V324" s="733"/>
      <c r="W324" s="732"/>
      <c r="X324" s="732"/>
      <c r="Y324" s="732"/>
      <c r="Z324" s="732"/>
      <c r="AA324" s="732"/>
    </row>
    <row r="325" spans="1:27" ht="24.75" customHeight="1">
      <c r="A325" s="732"/>
      <c r="B325" s="732"/>
      <c r="C325" s="732"/>
      <c r="D325" s="732"/>
      <c r="E325" s="732"/>
      <c r="F325" s="732"/>
      <c r="G325" s="732"/>
      <c r="H325" s="732"/>
      <c r="I325" s="732"/>
      <c r="J325" s="732"/>
      <c r="K325" s="732"/>
      <c r="L325" s="732"/>
      <c r="M325" s="732"/>
      <c r="N325" s="732"/>
      <c r="O325" s="732"/>
      <c r="P325" s="732"/>
      <c r="Q325" s="732"/>
      <c r="R325" s="732"/>
      <c r="S325" s="732"/>
      <c r="T325" s="732"/>
      <c r="U325" s="732"/>
      <c r="V325" s="733"/>
      <c r="W325" s="732"/>
      <c r="X325" s="732"/>
      <c r="Y325" s="732"/>
      <c r="Z325" s="732"/>
      <c r="AA325" s="732"/>
    </row>
    <row r="326" spans="1:27" ht="24.75" customHeight="1">
      <c r="A326" s="732"/>
      <c r="B326" s="732"/>
      <c r="C326" s="732"/>
      <c r="D326" s="732"/>
      <c r="E326" s="732"/>
      <c r="F326" s="732"/>
      <c r="G326" s="732"/>
      <c r="H326" s="732"/>
      <c r="I326" s="732"/>
      <c r="J326" s="732"/>
      <c r="K326" s="732"/>
      <c r="L326" s="732"/>
      <c r="M326" s="732"/>
      <c r="N326" s="732"/>
      <c r="O326" s="732"/>
      <c r="P326" s="732"/>
      <c r="Q326" s="732"/>
      <c r="R326" s="732"/>
      <c r="S326" s="732"/>
      <c r="T326" s="732"/>
      <c r="U326" s="732"/>
      <c r="V326" s="733"/>
      <c r="W326" s="732"/>
      <c r="X326" s="732"/>
      <c r="Y326" s="732"/>
      <c r="Z326" s="732"/>
      <c r="AA326" s="732"/>
    </row>
    <row r="327" spans="1:27" ht="24.75" customHeight="1">
      <c r="A327" s="732"/>
      <c r="B327" s="732"/>
      <c r="C327" s="732"/>
      <c r="D327" s="732"/>
      <c r="E327" s="732"/>
      <c r="F327" s="732"/>
      <c r="G327" s="732"/>
      <c r="H327" s="732"/>
      <c r="I327" s="732"/>
      <c r="J327" s="732"/>
      <c r="K327" s="732"/>
      <c r="L327" s="732"/>
      <c r="M327" s="732"/>
      <c r="N327" s="732"/>
      <c r="O327" s="732"/>
      <c r="P327" s="732"/>
      <c r="Q327" s="732"/>
      <c r="R327" s="732"/>
      <c r="S327" s="732"/>
      <c r="T327" s="732"/>
      <c r="U327" s="732"/>
      <c r="V327" s="733"/>
      <c r="W327" s="732"/>
      <c r="X327" s="732"/>
      <c r="Y327" s="732"/>
      <c r="Z327" s="732"/>
      <c r="AA327" s="732"/>
    </row>
    <row r="328" spans="1:27" ht="24.75" customHeight="1">
      <c r="A328" s="732"/>
      <c r="B328" s="732"/>
      <c r="C328" s="732"/>
      <c r="D328" s="732"/>
      <c r="E328" s="732"/>
      <c r="F328" s="732"/>
      <c r="G328" s="732"/>
      <c r="H328" s="732"/>
      <c r="I328" s="732"/>
      <c r="J328" s="732"/>
      <c r="K328" s="732"/>
      <c r="L328" s="732"/>
      <c r="M328" s="732"/>
      <c r="N328" s="732"/>
      <c r="O328" s="732"/>
      <c r="P328" s="732"/>
      <c r="Q328" s="732"/>
      <c r="R328" s="732"/>
      <c r="S328" s="732"/>
      <c r="T328" s="732"/>
      <c r="U328" s="732"/>
      <c r="V328" s="733"/>
      <c r="W328" s="732"/>
      <c r="X328" s="732"/>
      <c r="Y328" s="732"/>
      <c r="Z328" s="732"/>
      <c r="AA328" s="732"/>
    </row>
    <row r="329" spans="1:27" ht="24.75" customHeight="1">
      <c r="A329" s="732"/>
      <c r="B329" s="732"/>
      <c r="C329" s="732"/>
      <c r="D329" s="732"/>
      <c r="E329" s="732"/>
      <c r="F329" s="732"/>
      <c r="G329" s="732"/>
      <c r="H329" s="732"/>
      <c r="I329" s="732"/>
      <c r="J329" s="732"/>
      <c r="K329" s="732"/>
      <c r="L329" s="732"/>
      <c r="M329" s="732"/>
      <c r="N329" s="732"/>
      <c r="O329" s="732"/>
      <c r="P329" s="732"/>
      <c r="Q329" s="732"/>
      <c r="R329" s="732"/>
      <c r="S329" s="732"/>
      <c r="T329" s="732"/>
      <c r="U329" s="732"/>
      <c r="V329" s="733"/>
      <c r="W329" s="732"/>
      <c r="X329" s="732"/>
      <c r="Y329" s="732"/>
      <c r="Z329" s="732"/>
      <c r="AA329" s="732"/>
    </row>
    <row r="330" spans="1:27" ht="24.75" customHeight="1">
      <c r="A330" s="732"/>
      <c r="B330" s="732"/>
      <c r="C330" s="732"/>
      <c r="D330" s="732"/>
      <c r="E330" s="732"/>
      <c r="F330" s="732"/>
      <c r="G330" s="732"/>
      <c r="H330" s="732"/>
      <c r="I330" s="732"/>
      <c r="J330" s="732"/>
      <c r="K330" s="732"/>
      <c r="L330" s="732"/>
      <c r="M330" s="732"/>
      <c r="N330" s="732"/>
      <c r="O330" s="732"/>
      <c r="P330" s="732"/>
      <c r="Q330" s="732"/>
      <c r="R330" s="732"/>
      <c r="S330" s="732"/>
      <c r="T330" s="732"/>
      <c r="U330" s="732"/>
      <c r="V330" s="733"/>
      <c r="W330" s="732"/>
      <c r="X330" s="732"/>
      <c r="Y330" s="732"/>
      <c r="Z330" s="732"/>
      <c r="AA330" s="732"/>
    </row>
    <row r="331" spans="1:27" ht="24.75" customHeight="1">
      <c r="A331" s="732"/>
      <c r="B331" s="732"/>
      <c r="C331" s="732"/>
      <c r="D331" s="732"/>
      <c r="E331" s="732"/>
      <c r="F331" s="732"/>
      <c r="G331" s="732"/>
      <c r="H331" s="732"/>
      <c r="I331" s="732"/>
      <c r="J331" s="732"/>
      <c r="K331" s="732"/>
      <c r="L331" s="732"/>
      <c r="M331" s="732"/>
      <c r="N331" s="732"/>
      <c r="O331" s="732"/>
      <c r="P331" s="732"/>
      <c r="Q331" s="732"/>
      <c r="R331" s="732"/>
      <c r="S331" s="732"/>
      <c r="T331" s="732"/>
      <c r="U331" s="732"/>
      <c r="V331" s="733"/>
      <c r="W331" s="732"/>
      <c r="X331" s="732"/>
      <c r="Y331" s="732"/>
      <c r="Z331" s="732"/>
      <c r="AA331" s="732"/>
    </row>
    <row r="332" spans="1:27" ht="24.75" customHeight="1">
      <c r="A332" s="732"/>
      <c r="B332" s="732"/>
      <c r="C332" s="732"/>
      <c r="D332" s="732"/>
      <c r="E332" s="732"/>
      <c r="F332" s="732"/>
      <c r="G332" s="732"/>
      <c r="H332" s="732"/>
      <c r="I332" s="732"/>
      <c r="J332" s="732"/>
      <c r="K332" s="732"/>
      <c r="L332" s="732"/>
      <c r="M332" s="732"/>
      <c r="N332" s="732"/>
      <c r="O332" s="732"/>
      <c r="P332" s="732"/>
      <c r="Q332" s="732"/>
      <c r="R332" s="732"/>
      <c r="S332" s="732"/>
      <c r="T332" s="732"/>
      <c r="U332" s="732"/>
      <c r="V332" s="733"/>
      <c r="W332" s="732"/>
      <c r="X332" s="732"/>
      <c r="Y332" s="732"/>
      <c r="Z332" s="732"/>
      <c r="AA332" s="732"/>
    </row>
    <row r="333" spans="1:27" ht="24.75" customHeight="1">
      <c r="A333" s="732"/>
      <c r="B333" s="732"/>
      <c r="C333" s="732"/>
      <c r="D333" s="732"/>
      <c r="E333" s="732"/>
      <c r="F333" s="732"/>
      <c r="G333" s="732"/>
      <c r="H333" s="732"/>
      <c r="I333" s="732"/>
      <c r="J333" s="732"/>
      <c r="K333" s="732"/>
      <c r="L333" s="732"/>
      <c r="M333" s="732"/>
      <c r="N333" s="732"/>
      <c r="O333" s="732"/>
      <c r="P333" s="732"/>
      <c r="Q333" s="732"/>
      <c r="R333" s="732"/>
      <c r="S333" s="732"/>
      <c r="T333" s="732"/>
      <c r="U333" s="732"/>
      <c r="V333" s="733"/>
      <c r="W333" s="732"/>
      <c r="X333" s="732"/>
      <c r="Y333" s="732"/>
      <c r="Z333" s="732"/>
      <c r="AA333" s="732"/>
    </row>
    <row r="334" spans="1:27" ht="24.75" customHeight="1">
      <c r="A334" s="732"/>
      <c r="B334" s="732"/>
      <c r="C334" s="732"/>
      <c r="D334" s="732"/>
      <c r="E334" s="732"/>
      <c r="F334" s="732"/>
      <c r="G334" s="732"/>
      <c r="H334" s="732"/>
      <c r="I334" s="732"/>
      <c r="J334" s="732"/>
      <c r="K334" s="732"/>
      <c r="L334" s="732"/>
      <c r="M334" s="732"/>
      <c r="N334" s="732"/>
      <c r="O334" s="732"/>
      <c r="P334" s="732"/>
      <c r="Q334" s="732"/>
      <c r="R334" s="732"/>
      <c r="S334" s="732"/>
      <c r="T334" s="732"/>
      <c r="U334" s="732"/>
      <c r="V334" s="733"/>
      <c r="W334" s="732"/>
      <c r="X334" s="732"/>
      <c r="Y334" s="732"/>
      <c r="Z334" s="732"/>
      <c r="AA334" s="732"/>
    </row>
    <row r="335" spans="1:27" ht="24.75" customHeight="1">
      <c r="A335" s="732"/>
      <c r="B335" s="732"/>
      <c r="C335" s="732"/>
      <c r="D335" s="732"/>
      <c r="E335" s="732"/>
      <c r="F335" s="732"/>
      <c r="G335" s="732"/>
      <c r="H335" s="732"/>
      <c r="I335" s="732"/>
      <c r="J335" s="732"/>
      <c r="K335" s="732"/>
      <c r="L335" s="732"/>
      <c r="M335" s="732"/>
      <c r="N335" s="732"/>
      <c r="O335" s="732"/>
      <c r="P335" s="732"/>
      <c r="Q335" s="732"/>
      <c r="R335" s="732"/>
      <c r="S335" s="732"/>
      <c r="T335" s="732"/>
      <c r="U335" s="732"/>
      <c r="V335" s="733"/>
      <c r="W335" s="732"/>
      <c r="X335" s="732"/>
      <c r="Y335" s="732"/>
      <c r="Z335" s="732"/>
      <c r="AA335" s="732"/>
    </row>
    <row r="336" spans="1:27" ht="24.75" customHeight="1">
      <c r="A336" s="732"/>
      <c r="B336" s="732"/>
      <c r="C336" s="732"/>
      <c r="D336" s="732"/>
      <c r="E336" s="732"/>
      <c r="F336" s="732"/>
      <c r="G336" s="732"/>
      <c r="H336" s="732"/>
      <c r="I336" s="732"/>
      <c r="J336" s="732"/>
      <c r="K336" s="732"/>
      <c r="L336" s="732"/>
      <c r="M336" s="732"/>
      <c r="N336" s="732"/>
      <c r="O336" s="732"/>
      <c r="P336" s="732"/>
      <c r="Q336" s="732"/>
      <c r="R336" s="732"/>
      <c r="S336" s="732"/>
      <c r="T336" s="732"/>
      <c r="U336" s="732"/>
      <c r="V336" s="733"/>
      <c r="W336" s="732"/>
      <c r="X336" s="732"/>
      <c r="Y336" s="732"/>
      <c r="Z336" s="732"/>
      <c r="AA336" s="732"/>
    </row>
    <row r="337" spans="1:27" ht="24.75" customHeight="1">
      <c r="A337" s="732"/>
      <c r="B337" s="732"/>
      <c r="C337" s="732"/>
      <c r="D337" s="732"/>
      <c r="E337" s="732"/>
      <c r="F337" s="732"/>
      <c r="G337" s="732"/>
      <c r="H337" s="732"/>
      <c r="I337" s="732"/>
      <c r="J337" s="732"/>
      <c r="K337" s="732"/>
      <c r="L337" s="732"/>
      <c r="M337" s="732"/>
      <c r="N337" s="732"/>
      <c r="O337" s="732"/>
      <c r="P337" s="732"/>
      <c r="Q337" s="732"/>
      <c r="R337" s="732"/>
      <c r="S337" s="732"/>
      <c r="T337" s="732"/>
      <c r="U337" s="732"/>
      <c r="V337" s="733"/>
      <c r="W337" s="732"/>
      <c r="X337" s="732"/>
      <c r="Y337" s="732"/>
      <c r="Z337" s="732"/>
      <c r="AA337" s="732"/>
    </row>
    <row r="338" spans="1:27" ht="24.75" customHeight="1">
      <c r="A338" s="732"/>
      <c r="B338" s="732"/>
      <c r="C338" s="732"/>
      <c r="D338" s="732"/>
      <c r="E338" s="732"/>
      <c r="F338" s="732"/>
      <c r="G338" s="732"/>
      <c r="H338" s="732"/>
      <c r="I338" s="732"/>
      <c r="J338" s="732"/>
      <c r="K338" s="732"/>
      <c r="L338" s="732"/>
      <c r="M338" s="732"/>
      <c r="N338" s="732"/>
      <c r="O338" s="732"/>
      <c r="P338" s="732"/>
      <c r="Q338" s="732"/>
      <c r="R338" s="732"/>
      <c r="S338" s="732"/>
      <c r="T338" s="732"/>
      <c r="U338" s="732"/>
      <c r="V338" s="733"/>
      <c r="W338" s="732"/>
      <c r="X338" s="732"/>
      <c r="Y338" s="732"/>
      <c r="Z338" s="732"/>
      <c r="AA338" s="732"/>
    </row>
    <row r="339" spans="1:27" ht="24.75" customHeight="1">
      <c r="A339" s="732"/>
      <c r="B339" s="732"/>
      <c r="C339" s="732"/>
      <c r="D339" s="732"/>
      <c r="E339" s="732"/>
      <c r="F339" s="732"/>
      <c r="G339" s="732"/>
      <c r="H339" s="732"/>
      <c r="I339" s="732"/>
      <c r="J339" s="732"/>
      <c r="K339" s="732"/>
      <c r="L339" s="732"/>
      <c r="M339" s="732"/>
      <c r="N339" s="732"/>
      <c r="O339" s="732"/>
      <c r="P339" s="732"/>
      <c r="Q339" s="732"/>
      <c r="R339" s="732"/>
      <c r="S339" s="732"/>
      <c r="T339" s="732"/>
      <c r="U339" s="732"/>
      <c r="V339" s="733"/>
      <c r="W339" s="732"/>
      <c r="X339" s="732"/>
      <c r="Y339" s="732"/>
      <c r="Z339" s="732"/>
      <c r="AA339" s="732"/>
    </row>
    <row r="340" spans="1:27" ht="24.75" customHeight="1">
      <c r="A340" s="732"/>
      <c r="B340" s="732"/>
      <c r="C340" s="732"/>
      <c r="D340" s="732"/>
      <c r="E340" s="732"/>
      <c r="F340" s="732"/>
      <c r="G340" s="732"/>
      <c r="H340" s="732"/>
      <c r="I340" s="732"/>
      <c r="J340" s="732"/>
      <c r="K340" s="732"/>
      <c r="L340" s="732"/>
      <c r="M340" s="732"/>
      <c r="N340" s="732"/>
      <c r="O340" s="732"/>
      <c r="P340" s="732"/>
      <c r="Q340" s="732"/>
      <c r="R340" s="732"/>
      <c r="S340" s="732"/>
      <c r="T340" s="732"/>
      <c r="U340" s="732"/>
      <c r="V340" s="733"/>
      <c r="W340" s="732"/>
      <c r="X340" s="732"/>
      <c r="Y340" s="732"/>
      <c r="Z340" s="732"/>
      <c r="AA340" s="732"/>
    </row>
    <row r="341" spans="1:27" ht="24.75" customHeight="1">
      <c r="A341" s="732"/>
      <c r="B341" s="732"/>
      <c r="C341" s="732"/>
      <c r="D341" s="732"/>
      <c r="E341" s="732"/>
      <c r="F341" s="732"/>
      <c r="G341" s="732"/>
      <c r="H341" s="732"/>
      <c r="I341" s="732"/>
      <c r="J341" s="732"/>
      <c r="K341" s="732"/>
      <c r="L341" s="732"/>
      <c r="M341" s="732"/>
      <c r="N341" s="732"/>
      <c r="O341" s="732"/>
      <c r="P341" s="732"/>
      <c r="Q341" s="732"/>
      <c r="R341" s="732"/>
      <c r="S341" s="732"/>
      <c r="T341" s="732"/>
      <c r="U341" s="732"/>
      <c r="V341" s="733"/>
      <c r="W341" s="732"/>
      <c r="X341" s="732"/>
      <c r="Y341" s="732"/>
      <c r="Z341" s="732"/>
      <c r="AA341" s="732"/>
    </row>
    <row r="342" spans="1:27" ht="24.75" customHeight="1">
      <c r="A342" s="732"/>
      <c r="B342" s="732"/>
      <c r="C342" s="732"/>
      <c r="D342" s="732"/>
      <c r="E342" s="732"/>
      <c r="F342" s="732"/>
      <c r="G342" s="732"/>
      <c r="H342" s="732"/>
      <c r="I342" s="732"/>
      <c r="J342" s="732"/>
      <c r="K342" s="732"/>
      <c r="L342" s="732"/>
      <c r="M342" s="732"/>
      <c r="N342" s="732"/>
      <c r="O342" s="732"/>
      <c r="P342" s="732"/>
      <c r="Q342" s="732"/>
      <c r="R342" s="732"/>
      <c r="S342" s="732"/>
      <c r="T342" s="732"/>
      <c r="U342" s="732"/>
      <c r="V342" s="733"/>
      <c r="W342" s="732"/>
      <c r="X342" s="732"/>
      <c r="Y342" s="732"/>
      <c r="Z342" s="732"/>
      <c r="AA342" s="732"/>
    </row>
    <row r="343" spans="1:27" ht="24.75" customHeight="1">
      <c r="A343" s="732"/>
      <c r="B343" s="732"/>
      <c r="C343" s="732"/>
      <c r="D343" s="732"/>
      <c r="E343" s="732"/>
      <c r="F343" s="732"/>
      <c r="G343" s="732"/>
      <c r="H343" s="732"/>
      <c r="I343" s="732"/>
      <c r="J343" s="732"/>
      <c r="K343" s="732"/>
      <c r="L343" s="732"/>
      <c r="M343" s="732"/>
      <c r="N343" s="732"/>
      <c r="O343" s="732"/>
      <c r="P343" s="732"/>
      <c r="Q343" s="732"/>
      <c r="R343" s="732"/>
      <c r="S343" s="732"/>
      <c r="T343" s="732"/>
      <c r="U343" s="732"/>
      <c r="V343" s="733"/>
      <c r="W343" s="732"/>
      <c r="X343" s="732"/>
      <c r="Y343" s="732"/>
      <c r="Z343" s="732"/>
      <c r="AA343" s="732"/>
    </row>
    <row r="344" spans="1:27" ht="24.75" customHeight="1">
      <c r="A344" s="732"/>
      <c r="B344" s="732"/>
      <c r="C344" s="732"/>
      <c r="D344" s="732"/>
      <c r="E344" s="732"/>
      <c r="F344" s="732"/>
      <c r="G344" s="732"/>
      <c r="H344" s="732"/>
      <c r="I344" s="732"/>
      <c r="J344" s="732"/>
      <c r="K344" s="732"/>
      <c r="L344" s="732"/>
      <c r="M344" s="732"/>
      <c r="N344" s="732"/>
      <c r="O344" s="732"/>
      <c r="P344" s="732"/>
      <c r="Q344" s="732"/>
      <c r="R344" s="732"/>
      <c r="S344" s="732"/>
      <c r="T344" s="732"/>
      <c r="U344" s="732"/>
      <c r="V344" s="733"/>
      <c r="W344" s="732"/>
      <c r="X344" s="732"/>
      <c r="Y344" s="732"/>
      <c r="Z344" s="732"/>
      <c r="AA344" s="732"/>
    </row>
    <row r="345" spans="1:27" ht="24.75" customHeight="1">
      <c r="A345" s="732"/>
      <c r="B345" s="732"/>
      <c r="C345" s="732"/>
      <c r="D345" s="732"/>
      <c r="E345" s="732"/>
      <c r="F345" s="732"/>
      <c r="G345" s="732"/>
      <c r="H345" s="732"/>
      <c r="I345" s="732"/>
      <c r="J345" s="732"/>
      <c r="K345" s="732"/>
      <c r="L345" s="732"/>
      <c r="M345" s="732"/>
      <c r="N345" s="732"/>
      <c r="O345" s="732"/>
      <c r="P345" s="732"/>
      <c r="Q345" s="732"/>
      <c r="R345" s="732"/>
      <c r="S345" s="732"/>
      <c r="T345" s="732"/>
      <c r="U345" s="732"/>
      <c r="V345" s="733"/>
      <c r="W345" s="732"/>
      <c r="X345" s="732"/>
      <c r="Y345" s="732"/>
      <c r="Z345" s="732"/>
      <c r="AA345" s="732"/>
    </row>
    <row r="346" spans="1:27" ht="24.75" customHeight="1">
      <c r="A346" s="732"/>
      <c r="B346" s="732"/>
      <c r="C346" s="732"/>
      <c r="D346" s="732"/>
      <c r="E346" s="732"/>
      <c r="F346" s="732"/>
      <c r="G346" s="732"/>
      <c r="H346" s="732"/>
      <c r="I346" s="732"/>
      <c r="J346" s="732"/>
      <c r="K346" s="732"/>
      <c r="L346" s="732"/>
      <c r="M346" s="732"/>
      <c r="N346" s="732"/>
      <c r="O346" s="732"/>
      <c r="P346" s="732"/>
      <c r="Q346" s="732"/>
      <c r="R346" s="732"/>
      <c r="S346" s="732"/>
      <c r="T346" s="732"/>
      <c r="U346" s="732"/>
      <c r="V346" s="733"/>
      <c r="W346" s="732"/>
      <c r="X346" s="732"/>
      <c r="Y346" s="732"/>
      <c r="Z346" s="732"/>
      <c r="AA346" s="732"/>
    </row>
    <row r="347" spans="1:27" ht="24.75" customHeight="1">
      <c r="A347" s="732"/>
      <c r="B347" s="732"/>
      <c r="C347" s="732"/>
      <c r="D347" s="732"/>
      <c r="E347" s="732"/>
      <c r="F347" s="732"/>
      <c r="G347" s="732"/>
      <c r="H347" s="732"/>
      <c r="I347" s="732"/>
      <c r="J347" s="732"/>
      <c r="K347" s="732"/>
      <c r="L347" s="732"/>
      <c r="M347" s="732"/>
      <c r="N347" s="732"/>
      <c r="O347" s="732"/>
      <c r="P347" s="732"/>
      <c r="Q347" s="732"/>
      <c r="R347" s="732"/>
      <c r="S347" s="732"/>
      <c r="T347" s="732"/>
      <c r="U347" s="732"/>
      <c r="V347" s="733"/>
      <c r="W347" s="732"/>
      <c r="X347" s="732"/>
      <c r="Y347" s="732"/>
      <c r="Z347" s="732"/>
      <c r="AA347" s="732"/>
    </row>
    <row r="348" spans="1:27" ht="24.75" customHeight="1">
      <c r="A348" s="732"/>
      <c r="B348" s="732"/>
      <c r="C348" s="732"/>
      <c r="D348" s="732"/>
      <c r="E348" s="732"/>
      <c r="F348" s="732"/>
      <c r="G348" s="732"/>
      <c r="H348" s="732"/>
      <c r="I348" s="732"/>
      <c r="J348" s="732"/>
      <c r="K348" s="732"/>
      <c r="L348" s="732"/>
      <c r="M348" s="732"/>
      <c r="N348" s="732"/>
      <c r="O348" s="732"/>
      <c r="P348" s="732"/>
      <c r="Q348" s="732"/>
      <c r="R348" s="732"/>
      <c r="S348" s="732"/>
      <c r="T348" s="732"/>
      <c r="U348" s="732"/>
      <c r="V348" s="733"/>
      <c r="W348" s="732"/>
      <c r="X348" s="732"/>
      <c r="Y348" s="732"/>
      <c r="Z348" s="732"/>
      <c r="AA348" s="732"/>
    </row>
    <row r="349" spans="1:27" ht="24.75" customHeight="1">
      <c r="A349" s="732"/>
      <c r="B349" s="732"/>
      <c r="C349" s="732"/>
      <c r="D349" s="732"/>
      <c r="E349" s="732"/>
      <c r="F349" s="732"/>
      <c r="G349" s="732"/>
      <c r="H349" s="732"/>
      <c r="I349" s="732"/>
      <c r="J349" s="732"/>
      <c r="K349" s="732"/>
      <c r="L349" s="732"/>
      <c r="M349" s="732"/>
      <c r="N349" s="732"/>
      <c r="O349" s="732"/>
      <c r="P349" s="732"/>
      <c r="Q349" s="732"/>
      <c r="R349" s="732"/>
      <c r="S349" s="732"/>
      <c r="T349" s="732"/>
      <c r="U349" s="732"/>
      <c r="V349" s="733"/>
      <c r="W349" s="732"/>
      <c r="X349" s="732"/>
      <c r="Y349" s="732"/>
      <c r="Z349" s="732"/>
      <c r="AA349" s="732"/>
    </row>
    <row r="350" spans="1:27" ht="24.75" customHeight="1">
      <c r="A350" s="732"/>
      <c r="B350" s="732"/>
      <c r="C350" s="732"/>
      <c r="D350" s="732"/>
      <c r="E350" s="732"/>
      <c r="F350" s="732"/>
      <c r="G350" s="732"/>
      <c r="H350" s="732"/>
      <c r="I350" s="732"/>
      <c r="J350" s="732"/>
      <c r="K350" s="732"/>
      <c r="L350" s="732"/>
      <c r="M350" s="732"/>
      <c r="N350" s="732"/>
      <c r="O350" s="732"/>
      <c r="P350" s="732"/>
      <c r="Q350" s="732"/>
      <c r="R350" s="732"/>
      <c r="S350" s="732"/>
      <c r="T350" s="732"/>
      <c r="U350" s="732"/>
      <c r="V350" s="733"/>
      <c r="W350" s="732"/>
      <c r="X350" s="732"/>
      <c r="Y350" s="732"/>
      <c r="Z350" s="732"/>
      <c r="AA350" s="732"/>
    </row>
    <row r="351" spans="1:27" ht="24.75" customHeight="1">
      <c r="A351" s="732"/>
      <c r="B351" s="732"/>
      <c r="C351" s="732"/>
      <c r="D351" s="732"/>
      <c r="E351" s="732"/>
      <c r="F351" s="732"/>
      <c r="G351" s="732"/>
      <c r="H351" s="732"/>
      <c r="I351" s="732"/>
      <c r="J351" s="732"/>
      <c r="K351" s="732"/>
      <c r="L351" s="732"/>
      <c r="M351" s="732"/>
      <c r="N351" s="732"/>
      <c r="O351" s="732"/>
      <c r="P351" s="732"/>
      <c r="Q351" s="732"/>
      <c r="R351" s="732"/>
      <c r="S351" s="732"/>
      <c r="T351" s="732"/>
      <c r="U351" s="732"/>
      <c r="V351" s="733"/>
      <c r="W351" s="732"/>
      <c r="X351" s="732"/>
      <c r="Y351" s="732"/>
      <c r="Z351" s="732"/>
      <c r="AA351" s="732"/>
    </row>
    <row r="352" spans="1:27" ht="24.75" customHeight="1">
      <c r="A352" s="732"/>
      <c r="B352" s="732"/>
      <c r="C352" s="732"/>
      <c r="D352" s="732"/>
      <c r="E352" s="732"/>
      <c r="F352" s="732"/>
      <c r="G352" s="732"/>
      <c r="H352" s="732"/>
      <c r="I352" s="732"/>
      <c r="J352" s="732"/>
      <c r="K352" s="732"/>
      <c r="L352" s="732"/>
      <c r="M352" s="732"/>
      <c r="N352" s="732"/>
      <c r="O352" s="732"/>
      <c r="P352" s="732"/>
      <c r="Q352" s="732"/>
      <c r="R352" s="732"/>
      <c r="S352" s="732"/>
      <c r="T352" s="732"/>
      <c r="U352" s="732"/>
      <c r="V352" s="733"/>
      <c r="W352" s="732"/>
      <c r="X352" s="732"/>
      <c r="Y352" s="732"/>
      <c r="Z352" s="732"/>
      <c r="AA352" s="732"/>
    </row>
    <row r="353" spans="1:27" ht="24.75" customHeight="1">
      <c r="A353" s="732"/>
      <c r="B353" s="732"/>
      <c r="C353" s="732"/>
      <c r="D353" s="732"/>
      <c r="E353" s="732"/>
      <c r="F353" s="732"/>
      <c r="G353" s="732"/>
      <c r="H353" s="732"/>
      <c r="I353" s="732"/>
      <c r="J353" s="732"/>
      <c r="K353" s="732"/>
      <c r="L353" s="732"/>
      <c r="M353" s="732"/>
      <c r="N353" s="732"/>
      <c r="O353" s="732"/>
      <c r="P353" s="732"/>
      <c r="Q353" s="732"/>
      <c r="R353" s="732"/>
      <c r="S353" s="732"/>
      <c r="T353" s="732"/>
      <c r="U353" s="732"/>
      <c r="V353" s="733"/>
      <c r="W353" s="732"/>
      <c r="X353" s="732"/>
      <c r="Y353" s="732"/>
      <c r="Z353" s="732"/>
      <c r="AA353" s="732"/>
    </row>
    <row r="354" spans="1:27" ht="24.75" customHeight="1">
      <c r="A354" s="732"/>
      <c r="B354" s="732"/>
      <c r="C354" s="732"/>
      <c r="D354" s="732"/>
      <c r="E354" s="732"/>
      <c r="F354" s="732"/>
      <c r="G354" s="732"/>
      <c r="H354" s="732"/>
      <c r="I354" s="732"/>
      <c r="J354" s="732"/>
      <c r="K354" s="732"/>
      <c r="L354" s="732"/>
      <c r="M354" s="732"/>
      <c r="N354" s="732"/>
      <c r="O354" s="732"/>
      <c r="P354" s="732"/>
      <c r="Q354" s="732"/>
      <c r="R354" s="732"/>
      <c r="S354" s="732"/>
      <c r="T354" s="732"/>
      <c r="U354" s="732"/>
      <c r="V354" s="733"/>
      <c r="W354" s="732"/>
      <c r="X354" s="732"/>
      <c r="Y354" s="732"/>
      <c r="Z354" s="732"/>
      <c r="AA354" s="732"/>
    </row>
    <row r="355" spans="1:27" ht="24.75" customHeight="1">
      <c r="A355" s="732"/>
      <c r="B355" s="732"/>
      <c r="C355" s="732"/>
      <c r="D355" s="732"/>
      <c r="E355" s="732"/>
      <c r="F355" s="732"/>
      <c r="G355" s="732"/>
      <c r="H355" s="732"/>
      <c r="I355" s="732"/>
      <c r="J355" s="732"/>
      <c r="K355" s="732"/>
      <c r="L355" s="732"/>
      <c r="M355" s="732"/>
      <c r="N355" s="732"/>
      <c r="O355" s="732"/>
      <c r="P355" s="732"/>
      <c r="Q355" s="732"/>
      <c r="R355" s="732"/>
      <c r="S355" s="732"/>
      <c r="T355" s="732"/>
      <c r="U355" s="732"/>
      <c r="V355" s="733"/>
      <c r="W355" s="732"/>
      <c r="X355" s="732"/>
      <c r="Y355" s="732"/>
      <c r="Z355" s="732"/>
      <c r="AA355" s="732"/>
    </row>
    <row r="356" spans="1:27" ht="24.75" customHeight="1">
      <c r="A356" s="732"/>
      <c r="B356" s="732"/>
      <c r="C356" s="732"/>
      <c r="D356" s="732"/>
      <c r="E356" s="732"/>
      <c r="F356" s="732"/>
      <c r="G356" s="732"/>
      <c r="H356" s="732"/>
      <c r="I356" s="732"/>
      <c r="J356" s="732"/>
      <c r="K356" s="732"/>
      <c r="L356" s="732"/>
      <c r="M356" s="732"/>
      <c r="N356" s="732"/>
      <c r="O356" s="732"/>
      <c r="P356" s="732"/>
      <c r="Q356" s="732"/>
      <c r="R356" s="732"/>
      <c r="S356" s="732"/>
      <c r="T356" s="732"/>
      <c r="U356" s="732"/>
      <c r="V356" s="733"/>
      <c r="W356" s="732"/>
      <c r="X356" s="732"/>
      <c r="Y356" s="732"/>
      <c r="Z356" s="732"/>
      <c r="AA356" s="732"/>
    </row>
    <row r="357" spans="1:27" ht="24.75" customHeight="1">
      <c r="A357" s="732"/>
      <c r="B357" s="732"/>
      <c r="C357" s="732"/>
      <c r="D357" s="732"/>
      <c r="E357" s="732"/>
      <c r="F357" s="732"/>
      <c r="G357" s="732"/>
      <c r="H357" s="732"/>
      <c r="I357" s="732"/>
      <c r="J357" s="732"/>
      <c r="K357" s="732"/>
      <c r="L357" s="732"/>
      <c r="M357" s="732"/>
      <c r="N357" s="732"/>
      <c r="O357" s="732"/>
      <c r="P357" s="732"/>
      <c r="Q357" s="732"/>
      <c r="R357" s="732"/>
      <c r="S357" s="732"/>
      <c r="T357" s="732"/>
      <c r="U357" s="732"/>
      <c r="V357" s="733"/>
      <c r="W357" s="732"/>
      <c r="X357" s="732"/>
      <c r="Y357" s="732"/>
      <c r="Z357" s="732"/>
      <c r="AA357" s="732"/>
    </row>
    <row r="358" spans="1:27" ht="24.75" customHeight="1">
      <c r="A358" s="732"/>
      <c r="B358" s="732"/>
      <c r="C358" s="732"/>
      <c r="D358" s="732"/>
      <c r="E358" s="732"/>
      <c r="F358" s="732"/>
      <c r="G358" s="732"/>
      <c r="H358" s="732"/>
      <c r="I358" s="732"/>
      <c r="J358" s="732"/>
      <c r="K358" s="732"/>
      <c r="L358" s="732"/>
      <c r="M358" s="732"/>
      <c r="N358" s="732"/>
      <c r="O358" s="732"/>
      <c r="P358" s="732"/>
      <c r="Q358" s="732"/>
      <c r="R358" s="732"/>
      <c r="S358" s="732"/>
      <c r="T358" s="732"/>
      <c r="U358" s="732"/>
      <c r="V358" s="733"/>
      <c r="W358" s="732"/>
      <c r="X358" s="732"/>
      <c r="Y358" s="732"/>
      <c r="Z358" s="732"/>
      <c r="AA358" s="732"/>
    </row>
    <row r="359" spans="1:27" ht="24.75" customHeight="1">
      <c r="A359" s="732"/>
      <c r="B359" s="732"/>
      <c r="C359" s="732"/>
      <c r="D359" s="732"/>
      <c r="E359" s="732"/>
      <c r="F359" s="732"/>
      <c r="G359" s="732"/>
      <c r="H359" s="732"/>
      <c r="I359" s="732"/>
      <c r="J359" s="732"/>
      <c r="K359" s="732"/>
      <c r="L359" s="732"/>
      <c r="M359" s="732"/>
      <c r="N359" s="732"/>
      <c r="O359" s="732"/>
      <c r="P359" s="732"/>
      <c r="Q359" s="732"/>
      <c r="R359" s="732"/>
      <c r="S359" s="732"/>
      <c r="T359" s="732"/>
      <c r="U359" s="732"/>
      <c r="V359" s="733"/>
      <c r="W359" s="732"/>
      <c r="X359" s="732"/>
      <c r="Y359" s="732"/>
      <c r="Z359" s="732"/>
      <c r="AA359" s="732"/>
    </row>
    <row r="360" spans="1:27" ht="24.75" customHeight="1">
      <c r="A360" s="732"/>
      <c r="B360" s="732"/>
      <c r="C360" s="732"/>
      <c r="D360" s="732"/>
      <c r="E360" s="732"/>
      <c r="F360" s="732"/>
      <c r="G360" s="732"/>
      <c r="H360" s="732"/>
      <c r="I360" s="732"/>
      <c r="J360" s="732"/>
      <c r="K360" s="732"/>
      <c r="L360" s="732"/>
      <c r="M360" s="732"/>
      <c r="N360" s="732"/>
      <c r="O360" s="732"/>
      <c r="P360" s="732"/>
      <c r="Q360" s="732"/>
      <c r="R360" s="732"/>
      <c r="S360" s="732"/>
      <c r="T360" s="732"/>
      <c r="U360" s="732"/>
      <c r="V360" s="733"/>
      <c r="W360" s="732"/>
      <c r="X360" s="732"/>
      <c r="Y360" s="732"/>
      <c r="Z360" s="732"/>
      <c r="AA360" s="732"/>
    </row>
    <row r="361" spans="1:27" ht="24.75" customHeight="1">
      <c r="A361" s="732"/>
      <c r="B361" s="732"/>
      <c r="C361" s="732"/>
      <c r="D361" s="732"/>
      <c r="E361" s="732"/>
      <c r="F361" s="732"/>
      <c r="G361" s="732"/>
      <c r="H361" s="732"/>
      <c r="I361" s="732"/>
      <c r="J361" s="732"/>
      <c r="K361" s="732"/>
      <c r="L361" s="732"/>
      <c r="M361" s="732"/>
      <c r="N361" s="732"/>
      <c r="O361" s="732"/>
      <c r="P361" s="732"/>
      <c r="Q361" s="732"/>
      <c r="R361" s="732"/>
      <c r="S361" s="732"/>
      <c r="T361" s="732"/>
      <c r="U361" s="732"/>
      <c r="V361" s="733"/>
      <c r="W361" s="732"/>
      <c r="X361" s="732"/>
      <c r="Y361" s="732"/>
      <c r="Z361" s="732"/>
      <c r="AA361" s="732"/>
    </row>
    <row r="362" spans="1:27" ht="24.75" customHeight="1">
      <c r="A362" s="732"/>
      <c r="B362" s="732"/>
      <c r="C362" s="732"/>
      <c r="D362" s="732"/>
      <c r="E362" s="732"/>
      <c r="F362" s="732"/>
      <c r="G362" s="732"/>
      <c r="H362" s="732"/>
      <c r="I362" s="732"/>
      <c r="J362" s="732"/>
      <c r="K362" s="732"/>
      <c r="L362" s="732"/>
      <c r="M362" s="732"/>
      <c r="N362" s="732"/>
      <c r="O362" s="732"/>
      <c r="P362" s="732"/>
      <c r="Q362" s="732"/>
      <c r="R362" s="732"/>
      <c r="S362" s="732"/>
      <c r="T362" s="732"/>
      <c r="U362" s="732"/>
      <c r="V362" s="733"/>
      <c r="W362" s="732"/>
      <c r="X362" s="732"/>
      <c r="Y362" s="732"/>
      <c r="Z362" s="732"/>
      <c r="AA362" s="732"/>
    </row>
    <row r="363" spans="1:27" ht="24.75" customHeight="1">
      <c r="A363" s="732"/>
      <c r="B363" s="732"/>
      <c r="C363" s="732"/>
      <c r="D363" s="732"/>
      <c r="E363" s="732"/>
      <c r="F363" s="732"/>
      <c r="G363" s="732"/>
      <c r="H363" s="732"/>
      <c r="I363" s="732"/>
      <c r="J363" s="732"/>
      <c r="K363" s="732"/>
      <c r="L363" s="732"/>
      <c r="M363" s="732"/>
      <c r="N363" s="732"/>
      <c r="O363" s="732"/>
      <c r="P363" s="732"/>
      <c r="Q363" s="732"/>
      <c r="R363" s="732"/>
      <c r="S363" s="732"/>
      <c r="T363" s="732"/>
      <c r="U363" s="732"/>
      <c r="V363" s="733"/>
      <c r="W363" s="732"/>
      <c r="X363" s="732"/>
      <c r="Y363" s="732"/>
      <c r="Z363" s="732"/>
      <c r="AA363" s="732"/>
    </row>
    <row r="364" spans="1:27" ht="24.75" customHeight="1">
      <c r="A364" s="732"/>
      <c r="B364" s="732"/>
      <c r="C364" s="732"/>
      <c r="D364" s="732"/>
      <c r="E364" s="732"/>
      <c r="F364" s="732"/>
      <c r="G364" s="732"/>
      <c r="H364" s="732"/>
      <c r="I364" s="732"/>
      <c r="J364" s="732"/>
      <c r="K364" s="732"/>
      <c r="L364" s="732"/>
      <c r="M364" s="732"/>
      <c r="N364" s="732"/>
      <c r="O364" s="732"/>
      <c r="P364" s="732"/>
      <c r="Q364" s="732"/>
      <c r="R364" s="732"/>
      <c r="S364" s="732"/>
      <c r="T364" s="732"/>
      <c r="U364" s="732"/>
      <c r="V364" s="733"/>
      <c r="W364" s="732"/>
      <c r="X364" s="732"/>
      <c r="Y364" s="732"/>
      <c r="Z364" s="732"/>
      <c r="AA364" s="732"/>
    </row>
    <row r="365" spans="1:27" ht="24.75" customHeight="1">
      <c r="A365" s="732"/>
      <c r="B365" s="732"/>
      <c r="C365" s="732"/>
      <c r="D365" s="732"/>
      <c r="E365" s="732"/>
      <c r="F365" s="732"/>
      <c r="G365" s="732"/>
      <c r="H365" s="732"/>
      <c r="I365" s="732"/>
      <c r="J365" s="732"/>
      <c r="K365" s="732"/>
      <c r="L365" s="732"/>
      <c r="M365" s="732"/>
      <c r="N365" s="732"/>
      <c r="O365" s="732"/>
      <c r="P365" s="732"/>
      <c r="Q365" s="732"/>
      <c r="R365" s="732"/>
      <c r="S365" s="732"/>
      <c r="T365" s="732"/>
      <c r="U365" s="732"/>
      <c r="V365" s="733"/>
      <c r="W365" s="732"/>
      <c r="X365" s="732"/>
      <c r="Y365" s="732"/>
      <c r="Z365" s="732"/>
      <c r="AA365" s="732"/>
    </row>
    <row r="366" spans="1:27" ht="24.75" customHeight="1">
      <c r="A366" s="732"/>
      <c r="B366" s="732"/>
      <c r="C366" s="732"/>
      <c r="D366" s="732"/>
      <c r="E366" s="732"/>
      <c r="F366" s="732"/>
      <c r="G366" s="732"/>
      <c r="H366" s="732"/>
      <c r="I366" s="732"/>
      <c r="J366" s="732"/>
      <c r="K366" s="732"/>
      <c r="L366" s="732"/>
      <c r="M366" s="732"/>
      <c r="N366" s="732"/>
      <c r="O366" s="732"/>
      <c r="P366" s="732"/>
      <c r="Q366" s="732"/>
      <c r="R366" s="732"/>
      <c r="S366" s="732"/>
      <c r="T366" s="732"/>
      <c r="U366" s="732"/>
      <c r="V366" s="733"/>
      <c r="W366" s="732"/>
      <c r="X366" s="732"/>
      <c r="Y366" s="732"/>
      <c r="Z366" s="732"/>
      <c r="AA366" s="732"/>
    </row>
    <row r="367" spans="1:27" ht="24.75" customHeight="1">
      <c r="A367" s="732"/>
      <c r="B367" s="732"/>
      <c r="C367" s="732"/>
      <c r="D367" s="732"/>
      <c r="E367" s="732"/>
      <c r="F367" s="732"/>
      <c r="G367" s="732"/>
      <c r="H367" s="732"/>
      <c r="I367" s="732"/>
      <c r="J367" s="732"/>
      <c r="K367" s="732"/>
      <c r="L367" s="732"/>
      <c r="M367" s="732"/>
      <c r="N367" s="732"/>
      <c r="O367" s="732"/>
      <c r="P367" s="732"/>
      <c r="Q367" s="732"/>
      <c r="R367" s="732"/>
      <c r="S367" s="732"/>
      <c r="T367" s="732"/>
      <c r="U367" s="732"/>
      <c r="V367" s="733"/>
      <c r="W367" s="732"/>
      <c r="X367" s="732"/>
      <c r="Y367" s="732"/>
      <c r="Z367" s="732"/>
      <c r="AA367" s="732"/>
    </row>
    <row r="368" spans="1:27" ht="24.75" customHeight="1">
      <c r="A368" s="732"/>
      <c r="B368" s="732"/>
      <c r="C368" s="732"/>
      <c r="D368" s="732"/>
      <c r="E368" s="732"/>
      <c r="F368" s="732"/>
      <c r="G368" s="732"/>
      <c r="H368" s="732"/>
      <c r="I368" s="732"/>
      <c r="J368" s="732"/>
      <c r="K368" s="732"/>
      <c r="L368" s="732"/>
      <c r="M368" s="732"/>
      <c r="N368" s="732"/>
      <c r="O368" s="732"/>
      <c r="P368" s="732"/>
      <c r="Q368" s="732"/>
      <c r="R368" s="732"/>
      <c r="S368" s="732"/>
      <c r="T368" s="732"/>
      <c r="U368" s="732"/>
      <c r="V368" s="733"/>
      <c r="W368" s="732"/>
      <c r="X368" s="732"/>
      <c r="Y368" s="732"/>
      <c r="Z368" s="732"/>
      <c r="AA368" s="732"/>
    </row>
    <row r="369" spans="1:27" ht="24.75" customHeight="1">
      <c r="A369" s="732"/>
      <c r="B369" s="732"/>
      <c r="C369" s="732"/>
      <c r="D369" s="732"/>
      <c r="E369" s="732"/>
      <c r="F369" s="732"/>
      <c r="G369" s="732"/>
      <c r="H369" s="732"/>
      <c r="I369" s="732"/>
      <c r="J369" s="732"/>
      <c r="K369" s="732"/>
      <c r="L369" s="732"/>
      <c r="M369" s="732"/>
      <c r="N369" s="732"/>
      <c r="O369" s="732"/>
      <c r="P369" s="732"/>
      <c r="Q369" s="732"/>
      <c r="R369" s="732"/>
      <c r="S369" s="732"/>
      <c r="T369" s="732"/>
      <c r="U369" s="732"/>
      <c r="V369" s="733"/>
      <c r="W369" s="732"/>
      <c r="X369" s="732"/>
      <c r="Y369" s="732"/>
      <c r="Z369" s="732"/>
      <c r="AA369" s="732"/>
    </row>
    <row r="370" spans="1:27" ht="24.75" customHeight="1">
      <c r="A370" s="732"/>
      <c r="B370" s="732"/>
      <c r="C370" s="732"/>
      <c r="D370" s="732"/>
      <c r="E370" s="732"/>
      <c r="F370" s="732"/>
      <c r="G370" s="732"/>
      <c r="H370" s="732"/>
      <c r="I370" s="732"/>
      <c r="J370" s="732"/>
      <c r="K370" s="732"/>
      <c r="L370" s="732"/>
      <c r="M370" s="732"/>
      <c r="N370" s="732"/>
      <c r="O370" s="732"/>
      <c r="P370" s="732"/>
      <c r="Q370" s="732"/>
      <c r="R370" s="732"/>
      <c r="S370" s="732"/>
      <c r="T370" s="732"/>
      <c r="U370" s="732"/>
      <c r="V370" s="733"/>
      <c r="W370" s="732"/>
      <c r="X370" s="732"/>
      <c r="Y370" s="732"/>
      <c r="Z370" s="732"/>
      <c r="AA370" s="732"/>
    </row>
    <row r="371" spans="1:27" ht="24.75" customHeight="1">
      <c r="A371" s="732"/>
      <c r="B371" s="732"/>
      <c r="C371" s="732"/>
      <c r="D371" s="732"/>
      <c r="E371" s="732"/>
      <c r="F371" s="732"/>
      <c r="G371" s="732"/>
      <c r="H371" s="732"/>
      <c r="I371" s="732"/>
      <c r="J371" s="732"/>
      <c r="K371" s="732"/>
      <c r="L371" s="732"/>
      <c r="M371" s="732"/>
      <c r="N371" s="732"/>
      <c r="O371" s="732"/>
      <c r="P371" s="732"/>
      <c r="Q371" s="732"/>
      <c r="R371" s="732"/>
      <c r="S371" s="732"/>
      <c r="T371" s="732"/>
      <c r="U371" s="732"/>
      <c r="V371" s="733"/>
      <c r="W371" s="732"/>
      <c r="X371" s="732"/>
      <c r="Y371" s="732"/>
      <c r="Z371" s="732"/>
      <c r="AA371" s="732"/>
    </row>
    <row r="372" spans="1:27" ht="24.75" customHeight="1">
      <c r="A372" s="732"/>
      <c r="B372" s="732"/>
      <c r="C372" s="732"/>
      <c r="D372" s="732"/>
      <c r="E372" s="732"/>
      <c r="F372" s="732"/>
      <c r="G372" s="732"/>
      <c r="H372" s="732"/>
      <c r="I372" s="732"/>
      <c r="J372" s="732"/>
      <c r="K372" s="732"/>
      <c r="L372" s="732"/>
      <c r="M372" s="732"/>
      <c r="N372" s="732"/>
      <c r="O372" s="732"/>
      <c r="P372" s="732"/>
      <c r="Q372" s="732"/>
      <c r="R372" s="732"/>
      <c r="S372" s="732"/>
      <c r="T372" s="732"/>
      <c r="U372" s="732"/>
      <c r="V372" s="733"/>
      <c r="W372" s="732"/>
      <c r="X372" s="732"/>
      <c r="Y372" s="732"/>
      <c r="Z372" s="732"/>
      <c r="AA372" s="732"/>
    </row>
    <row r="373" spans="1:27" ht="24.75" customHeight="1">
      <c r="A373" s="732"/>
      <c r="B373" s="732"/>
      <c r="C373" s="732"/>
      <c r="D373" s="732"/>
      <c r="E373" s="732"/>
      <c r="F373" s="732"/>
      <c r="G373" s="732"/>
      <c r="H373" s="732"/>
      <c r="I373" s="732"/>
      <c r="J373" s="732"/>
      <c r="K373" s="732"/>
      <c r="L373" s="732"/>
      <c r="M373" s="732"/>
      <c r="N373" s="732"/>
      <c r="O373" s="732"/>
      <c r="P373" s="732"/>
      <c r="Q373" s="732"/>
      <c r="R373" s="732"/>
      <c r="S373" s="732"/>
      <c r="T373" s="732"/>
      <c r="U373" s="732"/>
      <c r="V373" s="733"/>
      <c r="W373" s="732"/>
      <c r="X373" s="732"/>
      <c r="Y373" s="732"/>
      <c r="Z373" s="732"/>
      <c r="AA373" s="732"/>
    </row>
    <row r="374" spans="1:27" ht="24.75" customHeight="1">
      <c r="A374" s="732"/>
      <c r="B374" s="732"/>
      <c r="C374" s="732"/>
      <c r="D374" s="732"/>
      <c r="E374" s="732"/>
      <c r="F374" s="732"/>
      <c r="G374" s="732"/>
      <c r="H374" s="732"/>
      <c r="I374" s="732"/>
      <c r="J374" s="732"/>
      <c r="K374" s="732"/>
      <c r="L374" s="732"/>
      <c r="M374" s="732"/>
      <c r="N374" s="732"/>
      <c r="O374" s="732"/>
      <c r="P374" s="732"/>
      <c r="Q374" s="732"/>
      <c r="R374" s="732"/>
      <c r="S374" s="732"/>
      <c r="T374" s="732"/>
      <c r="U374" s="732"/>
      <c r="V374" s="733"/>
      <c r="W374" s="732"/>
      <c r="X374" s="732"/>
      <c r="Y374" s="732"/>
      <c r="Z374" s="732"/>
      <c r="AA374" s="732"/>
    </row>
    <row r="375" spans="1:27" ht="24.75" customHeight="1">
      <c r="A375" s="732"/>
      <c r="B375" s="732"/>
      <c r="C375" s="732"/>
      <c r="D375" s="732"/>
      <c r="E375" s="732"/>
      <c r="F375" s="732"/>
      <c r="G375" s="732"/>
      <c r="H375" s="732"/>
      <c r="I375" s="732"/>
      <c r="J375" s="732"/>
      <c r="K375" s="732"/>
      <c r="L375" s="732"/>
      <c r="M375" s="732"/>
      <c r="N375" s="732"/>
      <c r="O375" s="732"/>
      <c r="P375" s="732"/>
      <c r="Q375" s="732"/>
      <c r="R375" s="732"/>
      <c r="S375" s="732"/>
      <c r="T375" s="732"/>
      <c r="U375" s="732"/>
      <c r="V375" s="733"/>
      <c r="W375" s="732"/>
      <c r="X375" s="732"/>
      <c r="Y375" s="732"/>
      <c r="Z375" s="732"/>
      <c r="AA375" s="732"/>
    </row>
    <row r="376" spans="1:27" ht="24.75" customHeight="1">
      <c r="A376" s="732"/>
      <c r="B376" s="732"/>
      <c r="C376" s="732"/>
      <c r="D376" s="732"/>
      <c r="E376" s="732"/>
      <c r="F376" s="732"/>
      <c r="G376" s="732"/>
      <c r="H376" s="732"/>
      <c r="I376" s="732"/>
      <c r="J376" s="732"/>
      <c r="K376" s="732"/>
      <c r="L376" s="732"/>
      <c r="M376" s="732"/>
      <c r="N376" s="732"/>
      <c r="O376" s="732"/>
      <c r="P376" s="732"/>
      <c r="Q376" s="732"/>
      <c r="R376" s="732"/>
      <c r="S376" s="732"/>
      <c r="T376" s="732"/>
      <c r="U376" s="732"/>
      <c r="V376" s="733"/>
      <c r="W376" s="732"/>
      <c r="X376" s="732"/>
      <c r="Y376" s="732"/>
      <c r="Z376" s="732"/>
      <c r="AA376" s="732"/>
    </row>
    <row r="377" spans="1:27" ht="24.75" customHeight="1">
      <c r="A377" s="732"/>
      <c r="B377" s="732"/>
      <c r="C377" s="732"/>
      <c r="D377" s="732"/>
      <c r="E377" s="732"/>
      <c r="F377" s="732"/>
      <c r="G377" s="732"/>
      <c r="H377" s="732"/>
      <c r="I377" s="732"/>
      <c r="J377" s="732"/>
      <c r="K377" s="732"/>
      <c r="L377" s="732"/>
      <c r="M377" s="732"/>
      <c r="N377" s="732"/>
      <c r="O377" s="732"/>
      <c r="P377" s="732"/>
      <c r="Q377" s="732"/>
      <c r="R377" s="732"/>
      <c r="S377" s="732"/>
      <c r="T377" s="732"/>
      <c r="U377" s="732"/>
      <c r="V377" s="733"/>
      <c r="W377" s="732"/>
      <c r="X377" s="732"/>
      <c r="Y377" s="732"/>
      <c r="Z377" s="732"/>
      <c r="AA377" s="732"/>
    </row>
    <row r="378" spans="1:27" ht="24.75" customHeight="1">
      <c r="A378" s="732"/>
      <c r="B378" s="732"/>
      <c r="C378" s="732"/>
      <c r="D378" s="732"/>
      <c r="E378" s="732"/>
      <c r="F378" s="732"/>
      <c r="G378" s="732"/>
      <c r="H378" s="732"/>
      <c r="I378" s="732"/>
      <c r="J378" s="732"/>
      <c r="K378" s="732"/>
      <c r="L378" s="732"/>
      <c r="M378" s="732"/>
      <c r="N378" s="732"/>
      <c r="O378" s="732"/>
      <c r="P378" s="732"/>
      <c r="Q378" s="732"/>
      <c r="R378" s="732"/>
      <c r="S378" s="732"/>
      <c r="T378" s="732"/>
      <c r="U378" s="732"/>
      <c r="V378" s="733"/>
      <c r="W378" s="732"/>
      <c r="X378" s="732"/>
      <c r="Y378" s="732"/>
      <c r="Z378" s="732"/>
      <c r="AA378" s="732"/>
    </row>
    <row r="379" spans="1:27" ht="24.75" customHeight="1">
      <c r="A379" s="732"/>
      <c r="B379" s="732"/>
      <c r="C379" s="732"/>
      <c r="D379" s="732"/>
      <c r="E379" s="732"/>
      <c r="F379" s="732"/>
      <c r="G379" s="732"/>
      <c r="H379" s="732"/>
      <c r="I379" s="732"/>
      <c r="J379" s="732"/>
      <c r="K379" s="732"/>
      <c r="L379" s="732"/>
      <c r="M379" s="732"/>
      <c r="N379" s="732"/>
      <c r="O379" s="732"/>
      <c r="P379" s="732"/>
      <c r="Q379" s="732"/>
      <c r="R379" s="732"/>
      <c r="S379" s="732"/>
      <c r="T379" s="732"/>
      <c r="U379" s="732"/>
      <c r="V379" s="733"/>
      <c r="W379" s="732"/>
      <c r="X379" s="732"/>
      <c r="Y379" s="732"/>
      <c r="Z379" s="732"/>
      <c r="AA379" s="732"/>
    </row>
    <row r="380" spans="1:27" ht="24.75" customHeight="1">
      <c r="A380" s="732"/>
      <c r="B380" s="732"/>
      <c r="C380" s="732"/>
      <c r="D380" s="732"/>
      <c r="E380" s="732"/>
      <c r="F380" s="732"/>
      <c r="G380" s="732"/>
      <c r="H380" s="732"/>
      <c r="I380" s="732"/>
      <c r="J380" s="732"/>
      <c r="K380" s="732"/>
      <c r="L380" s="732"/>
      <c r="M380" s="732"/>
      <c r="N380" s="732"/>
      <c r="O380" s="732"/>
      <c r="P380" s="732"/>
      <c r="Q380" s="732"/>
      <c r="R380" s="732"/>
      <c r="S380" s="732"/>
      <c r="T380" s="732"/>
      <c r="U380" s="732"/>
      <c r="V380" s="733"/>
      <c r="W380" s="732"/>
      <c r="X380" s="732"/>
      <c r="Y380" s="732"/>
      <c r="Z380" s="732"/>
      <c r="AA380" s="732"/>
    </row>
    <row r="381" spans="1:27" ht="24.75" customHeight="1">
      <c r="A381" s="732"/>
      <c r="B381" s="732"/>
      <c r="C381" s="732"/>
      <c r="D381" s="732"/>
      <c r="E381" s="732"/>
      <c r="F381" s="732"/>
      <c r="G381" s="732"/>
      <c r="H381" s="732"/>
      <c r="I381" s="732"/>
      <c r="J381" s="732"/>
      <c r="K381" s="732"/>
      <c r="L381" s="732"/>
      <c r="M381" s="732"/>
      <c r="N381" s="732"/>
      <c r="O381" s="732"/>
      <c r="P381" s="732"/>
      <c r="Q381" s="732"/>
      <c r="R381" s="732"/>
      <c r="S381" s="732"/>
      <c r="T381" s="732"/>
      <c r="U381" s="732"/>
      <c r="V381" s="733"/>
      <c r="W381" s="732"/>
      <c r="X381" s="732"/>
      <c r="Y381" s="732"/>
      <c r="Z381" s="732"/>
      <c r="AA381" s="732"/>
    </row>
    <row r="382" spans="1:27" ht="24.75" customHeight="1">
      <c r="A382" s="732"/>
      <c r="B382" s="732"/>
      <c r="C382" s="732"/>
      <c r="D382" s="732"/>
      <c r="E382" s="732"/>
      <c r="F382" s="732"/>
      <c r="G382" s="732"/>
      <c r="H382" s="732"/>
      <c r="I382" s="732"/>
      <c r="J382" s="732"/>
      <c r="K382" s="732"/>
      <c r="L382" s="732"/>
      <c r="M382" s="732"/>
      <c r="N382" s="732"/>
      <c r="O382" s="732"/>
      <c r="P382" s="732"/>
      <c r="Q382" s="732"/>
      <c r="R382" s="732"/>
      <c r="S382" s="732"/>
      <c r="T382" s="732"/>
      <c r="U382" s="732"/>
      <c r="V382" s="733"/>
      <c r="W382" s="732"/>
      <c r="X382" s="732"/>
      <c r="Y382" s="732"/>
      <c r="Z382" s="732"/>
      <c r="AA382" s="732"/>
    </row>
    <row r="383" spans="1:27" ht="24.75" customHeight="1">
      <c r="A383" s="732"/>
      <c r="B383" s="732"/>
      <c r="C383" s="732"/>
      <c r="D383" s="732"/>
      <c r="E383" s="732"/>
      <c r="F383" s="732"/>
      <c r="G383" s="732"/>
      <c r="H383" s="732"/>
      <c r="I383" s="732"/>
      <c r="J383" s="732"/>
      <c r="K383" s="732"/>
      <c r="L383" s="732"/>
      <c r="M383" s="732"/>
      <c r="N383" s="732"/>
      <c r="O383" s="732"/>
      <c r="P383" s="732"/>
      <c r="Q383" s="732"/>
      <c r="R383" s="732"/>
      <c r="S383" s="732"/>
      <c r="T383" s="732"/>
      <c r="U383" s="732"/>
      <c r="V383" s="733"/>
      <c r="W383" s="732"/>
      <c r="X383" s="732"/>
      <c r="Y383" s="732"/>
      <c r="Z383" s="732"/>
      <c r="AA383" s="732"/>
    </row>
    <row r="384" spans="1:27" ht="24.75" customHeight="1">
      <c r="A384" s="732"/>
      <c r="B384" s="732"/>
      <c r="C384" s="732"/>
      <c r="D384" s="732"/>
      <c r="E384" s="732"/>
      <c r="F384" s="732"/>
      <c r="G384" s="732"/>
      <c r="H384" s="732"/>
      <c r="I384" s="732"/>
      <c r="J384" s="732"/>
      <c r="K384" s="732"/>
      <c r="L384" s="732"/>
      <c r="M384" s="732"/>
      <c r="N384" s="732"/>
      <c r="O384" s="732"/>
      <c r="P384" s="732"/>
      <c r="Q384" s="732"/>
      <c r="R384" s="732"/>
      <c r="S384" s="732"/>
      <c r="T384" s="732"/>
      <c r="U384" s="732"/>
      <c r="V384" s="733"/>
      <c r="W384" s="732"/>
      <c r="X384" s="732"/>
      <c r="Y384" s="732"/>
      <c r="Z384" s="732"/>
      <c r="AA384" s="732"/>
    </row>
    <row r="385" spans="1:27" ht="24.75" customHeight="1">
      <c r="A385" s="732"/>
      <c r="B385" s="732"/>
      <c r="C385" s="732"/>
      <c r="D385" s="732"/>
      <c r="E385" s="732"/>
      <c r="F385" s="732"/>
      <c r="G385" s="732"/>
      <c r="H385" s="732"/>
      <c r="I385" s="732"/>
      <c r="J385" s="732"/>
      <c r="K385" s="732"/>
      <c r="L385" s="732"/>
      <c r="M385" s="732"/>
      <c r="N385" s="732"/>
      <c r="O385" s="732"/>
      <c r="P385" s="732"/>
      <c r="Q385" s="732"/>
      <c r="R385" s="732"/>
      <c r="S385" s="732"/>
      <c r="T385" s="732"/>
      <c r="U385" s="732"/>
      <c r="V385" s="733"/>
      <c r="W385" s="732"/>
      <c r="X385" s="732"/>
      <c r="Y385" s="732"/>
      <c r="Z385" s="732"/>
      <c r="AA385" s="732"/>
    </row>
    <row r="386" spans="1:27" ht="24.75" customHeight="1">
      <c r="A386" s="732"/>
      <c r="B386" s="732"/>
      <c r="C386" s="732"/>
      <c r="D386" s="732"/>
      <c r="E386" s="732"/>
      <c r="F386" s="732"/>
      <c r="G386" s="732"/>
      <c r="H386" s="732"/>
      <c r="I386" s="732"/>
      <c r="J386" s="732"/>
      <c r="K386" s="732"/>
      <c r="L386" s="732"/>
      <c r="M386" s="732"/>
      <c r="N386" s="732"/>
      <c r="O386" s="732"/>
      <c r="P386" s="732"/>
      <c r="Q386" s="732"/>
      <c r="R386" s="732"/>
      <c r="S386" s="732"/>
      <c r="T386" s="732"/>
      <c r="U386" s="732"/>
      <c r="V386" s="733"/>
      <c r="W386" s="732"/>
      <c r="X386" s="732"/>
      <c r="Y386" s="732"/>
      <c r="Z386" s="732"/>
      <c r="AA386" s="732"/>
    </row>
    <row r="387" spans="1:27" ht="24.75" customHeight="1">
      <c r="A387" s="732"/>
      <c r="B387" s="732"/>
      <c r="C387" s="732"/>
      <c r="D387" s="732"/>
      <c r="E387" s="732"/>
      <c r="F387" s="732"/>
      <c r="G387" s="732"/>
      <c r="H387" s="732"/>
      <c r="I387" s="732"/>
      <c r="J387" s="732"/>
      <c r="K387" s="732"/>
      <c r="L387" s="732"/>
      <c r="M387" s="732"/>
      <c r="N387" s="732"/>
      <c r="O387" s="732"/>
      <c r="P387" s="732"/>
      <c r="Q387" s="732"/>
      <c r="R387" s="732"/>
      <c r="S387" s="732"/>
      <c r="T387" s="732"/>
      <c r="U387" s="732"/>
      <c r="V387" s="733"/>
      <c r="W387" s="732"/>
      <c r="X387" s="732"/>
      <c r="Y387" s="732"/>
      <c r="Z387" s="732"/>
      <c r="AA387" s="732"/>
    </row>
    <row r="388" spans="1:27" ht="24.75" customHeight="1">
      <c r="A388" s="732"/>
      <c r="B388" s="732"/>
      <c r="C388" s="732"/>
      <c r="D388" s="732"/>
      <c r="E388" s="732"/>
      <c r="F388" s="732"/>
      <c r="G388" s="732"/>
      <c r="H388" s="732"/>
      <c r="I388" s="732"/>
      <c r="J388" s="732"/>
      <c r="K388" s="732"/>
      <c r="L388" s="732"/>
      <c r="M388" s="732"/>
      <c r="N388" s="732"/>
      <c r="O388" s="732"/>
      <c r="P388" s="732"/>
      <c r="Q388" s="732"/>
      <c r="R388" s="732"/>
      <c r="S388" s="732"/>
      <c r="T388" s="732"/>
      <c r="U388" s="732"/>
      <c r="V388" s="733"/>
      <c r="W388" s="732"/>
      <c r="X388" s="732"/>
      <c r="Y388" s="732"/>
      <c r="Z388" s="732"/>
      <c r="AA388" s="732"/>
    </row>
    <row r="389" spans="1:27" ht="24.75" customHeight="1">
      <c r="A389" s="732"/>
      <c r="B389" s="732"/>
      <c r="C389" s="732"/>
      <c r="D389" s="732"/>
      <c r="E389" s="732"/>
      <c r="F389" s="732"/>
      <c r="G389" s="732"/>
      <c r="H389" s="732"/>
      <c r="I389" s="732"/>
      <c r="J389" s="732"/>
      <c r="K389" s="732"/>
      <c r="L389" s="732"/>
      <c r="M389" s="732"/>
      <c r="N389" s="732"/>
      <c r="O389" s="732"/>
      <c r="P389" s="732"/>
      <c r="Q389" s="732"/>
      <c r="R389" s="732"/>
      <c r="S389" s="732"/>
      <c r="T389" s="732"/>
      <c r="U389" s="732"/>
      <c r="V389" s="733"/>
      <c r="W389" s="732"/>
      <c r="X389" s="732"/>
      <c r="Y389" s="732"/>
      <c r="Z389" s="732"/>
      <c r="AA389" s="732"/>
    </row>
    <row r="390" spans="1:27" ht="24.75" customHeight="1">
      <c r="A390" s="732"/>
      <c r="B390" s="732"/>
      <c r="C390" s="732"/>
      <c r="D390" s="732"/>
      <c r="E390" s="732"/>
      <c r="F390" s="732"/>
      <c r="G390" s="732"/>
      <c r="H390" s="732"/>
      <c r="I390" s="732"/>
      <c r="J390" s="732"/>
      <c r="K390" s="732"/>
      <c r="L390" s="732"/>
      <c r="M390" s="732"/>
      <c r="N390" s="732"/>
      <c r="O390" s="732"/>
      <c r="P390" s="732"/>
      <c r="Q390" s="732"/>
      <c r="R390" s="732"/>
      <c r="S390" s="732"/>
      <c r="T390" s="732"/>
      <c r="U390" s="732"/>
      <c r="V390" s="733"/>
      <c r="W390" s="732"/>
      <c r="X390" s="732"/>
      <c r="Y390" s="732"/>
      <c r="Z390" s="732"/>
      <c r="AA390" s="732"/>
    </row>
    <row r="391" spans="1:27" ht="24.75" customHeight="1">
      <c r="A391" s="732"/>
      <c r="B391" s="732"/>
      <c r="C391" s="732"/>
      <c r="D391" s="732"/>
      <c r="E391" s="732"/>
      <c r="F391" s="732"/>
      <c r="G391" s="732"/>
      <c r="H391" s="732"/>
      <c r="I391" s="732"/>
      <c r="J391" s="732"/>
      <c r="K391" s="732"/>
      <c r="L391" s="732"/>
      <c r="M391" s="732"/>
      <c r="N391" s="732"/>
      <c r="O391" s="732"/>
      <c r="P391" s="732"/>
      <c r="Q391" s="732"/>
      <c r="R391" s="732"/>
      <c r="S391" s="732"/>
      <c r="T391" s="732"/>
      <c r="U391" s="732"/>
      <c r="V391" s="733"/>
      <c r="W391" s="732"/>
      <c r="X391" s="732"/>
      <c r="Y391" s="732"/>
      <c r="Z391" s="732"/>
      <c r="AA391" s="732"/>
    </row>
    <row r="392" spans="1:27" ht="24.75" customHeight="1">
      <c r="A392" s="732"/>
      <c r="B392" s="732"/>
      <c r="C392" s="732"/>
      <c r="D392" s="732"/>
      <c r="E392" s="732"/>
      <c r="F392" s="732"/>
      <c r="G392" s="732"/>
      <c r="H392" s="732"/>
      <c r="I392" s="732"/>
      <c r="J392" s="732"/>
      <c r="K392" s="732"/>
      <c r="L392" s="732"/>
      <c r="M392" s="732"/>
      <c r="N392" s="732"/>
      <c r="O392" s="732"/>
      <c r="P392" s="732"/>
      <c r="Q392" s="732"/>
      <c r="R392" s="732"/>
      <c r="S392" s="732"/>
      <c r="T392" s="732"/>
      <c r="U392" s="732"/>
      <c r="V392" s="733"/>
      <c r="W392" s="732"/>
      <c r="X392" s="732"/>
      <c r="Y392" s="732"/>
      <c r="Z392" s="732"/>
      <c r="AA392" s="732"/>
    </row>
    <row r="393" spans="1:27" ht="24.75" customHeight="1">
      <c r="A393" s="732"/>
      <c r="B393" s="732"/>
      <c r="C393" s="732"/>
      <c r="D393" s="732"/>
      <c r="E393" s="732"/>
      <c r="F393" s="732"/>
      <c r="G393" s="732"/>
      <c r="H393" s="732"/>
      <c r="I393" s="732"/>
      <c r="J393" s="732"/>
      <c r="K393" s="732"/>
      <c r="L393" s="732"/>
      <c r="M393" s="732"/>
      <c r="N393" s="732"/>
      <c r="O393" s="732"/>
      <c r="P393" s="732"/>
      <c r="Q393" s="732"/>
      <c r="R393" s="732"/>
      <c r="S393" s="732"/>
      <c r="T393" s="732"/>
      <c r="U393" s="732"/>
      <c r="V393" s="733"/>
      <c r="W393" s="732"/>
      <c r="X393" s="732"/>
      <c r="Y393" s="732"/>
      <c r="Z393" s="732"/>
      <c r="AA393" s="732"/>
    </row>
    <row r="394" spans="1:27" ht="24.75" customHeight="1">
      <c r="A394" s="732"/>
      <c r="B394" s="732"/>
      <c r="C394" s="732"/>
      <c r="D394" s="732"/>
      <c r="E394" s="732"/>
      <c r="F394" s="732"/>
      <c r="G394" s="732"/>
      <c r="H394" s="732"/>
      <c r="I394" s="732"/>
      <c r="J394" s="732"/>
      <c r="K394" s="732"/>
      <c r="L394" s="732"/>
      <c r="M394" s="732"/>
      <c r="N394" s="732"/>
      <c r="O394" s="732"/>
      <c r="P394" s="732"/>
      <c r="Q394" s="732"/>
      <c r="R394" s="732"/>
      <c r="S394" s="732"/>
      <c r="T394" s="732"/>
      <c r="U394" s="732"/>
      <c r="V394" s="733"/>
      <c r="W394" s="732"/>
      <c r="X394" s="732"/>
      <c r="Y394" s="732"/>
      <c r="Z394" s="732"/>
      <c r="AA394" s="732"/>
    </row>
    <row r="395" spans="1:27" ht="24.75" customHeight="1">
      <c r="A395" s="732"/>
      <c r="B395" s="732"/>
      <c r="C395" s="732"/>
      <c r="D395" s="732"/>
      <c r="E395" s="732"/>
      <c r="F395" s="732"/>
      <c r="G395" s="732"/>
      <c r="H395" s="732"/>
      <c r="I395" s="732"/>
      <c r="J395" s="732"/>
      <c r="K395" s="732"/>
      <c r="L395" s="732"/>
      <c r="M395" s="732"/>
      <c r="N395" s="732"/>
      <c r="O395" s="732"/>
      <c r="P395" s="732"/>
      <c r="Q395" s="732"/>
      <c r="R395" s="732"/>
      <c r="S395" s="732"/>
      <c r="T395" s="732"/>
      <c r="U395" s="732"/>
      <c r="V395" s="733"/>
      <c r="W395" s="732"/>
      <c r="X395" s="732"/>
      <c r="Y395" s="732"/>
      <c r="Z395" s="732"/>
      <c r="AA395" s="732"/>
    </row>
    <row r="396" spans="1:27" ht="24.75" customHeight="1">
      <c r="A396" s="732"/>
      <c r="B396" s="732"/>
      <c r="C396" s="732"/>
      <c r="D396" s="732"/>
      <c r="E396" s="732"/>
      <c r="F396" s="732"/>
      <c r="G396" s="732"/>
      <c r="H396" s="732"/>
      <c r="I396" s="732"/>
      <c r="J396" s="732"/>
      <c r="K396" s="732"/>
      <c r="L396" s="732"/>
      <c r="M396" s="732"/>
      <c r="N396" s="732"/>
      <c r="O396" s="732"/>
      <c r="P396" s="732"/>
      <c r="Q396" s="732"/>
      <c r="R396" s="732"/>
      <c r="S396" s="732"/>
      <c r="T396" s="732"/>
      <c r="U396" s="732"/>
      <c r="V396" s="733"/>
      <c r="W396" s="732"/>
      <c r="X396" s="732"/>
      <c r="Y396" s="732"/>
      <c r="Z396" s="732"/>
      <c r="AA396" s="732"/>
    </row>
    <row r="397" spans="1:27" ht="24.75" customHeight="1">
      <c r="A397" s="732"/>
      <c r="B397" s="732"/>
      <c r="C397" s="732"/>
      <c r="D397" s="732"/>
      <c r="E397" s="732"/>
      <c r="F397" s="732"/>
      <c r="G397" s="732"/>
      <c r="H397" s="732"/>
      <c r="I397" s="732"/>
      <c r="J397" s="732"/>
      <c r="K397" s="732"/>
      <c r="L397" s="732"/>
      <c r="M397" s="732"/>
      <c r="N397" s="732"/>
      <c r="O397" s="732"/>
      <c r="P397" s="732"/>
      <c r="Q397" s="732"/>
      <c r="R397" s="732"/>
      <c r="S397" s="732"/>
      <c r="T397" s="732"/>
      <c r="U397" s="732"/>
      <c r="V397" s="733"/>
      <c r="W397" s="732"/>
      <c r="X397" s="732"/>
      <c r="Y397" s="732"/>
      <c r="Z397" s="732"/>
      <c r="AA397" s="732"/>
    </row>
    <row r="398" spans="1:27" ht="24.75" customHeight="1">
      <c r="A398" s="732"/>
      <c r="B398" s="732"/>
      <c r="C398" s="732"/>
      <c r="D398" s="732"/>
      <c r="E398" s="732"/>
      <c r="F398" s="732"/>
      <c r="G398" s="732"/>
      <c r="H398" s="732"/>
      <c r="I398" s="732"/>
      <c r="J398" s="732"/>
      <c r="K398" s="732"/>
      <c r="L398" s="732"/>
      <c r="M398" s="732"/>
      <c r="N398" s="732"/>
      <c r="O398" s="732"/>
      <c r="P398" s="732"/>
      <c r="Q398" s="732"/>
      <c r="R398" s="732"/>
      <c r="S398" s="732"/>
      <c r="T398" s="732"/>
      <c r="U398" s="732"/>
      <c r="V398" s="733"/>
      <c r="W398" s="732"/>
      <c r="X398" s="732"/>
      <c r="Y398" s="732"/>
      <c r="Z398" s="732"/>
      <c r="AA398" s="732"/>
    </row>
    <row r="399" spans="1:27" ht="24.75" customHeight="1">
      <c r="A399" s="732"/>
      <c r="B399" s="732"/>
      <c r="C399" s="732"/>
      <c r="D399" s="732"/>
      <c r="E399" s="732"/>
      <c r="F399" s="732"/>
      <c r="G399" s="732"/>
      <c r="H399" s="732"/>
      <c r="I399" s="732"/>
      <c r="J399" s="732"/>
      <c r="K399" s="732"/>
      <c r="L399" s="732"/>
      <c r="M399" s="732"/>
      <c r="N399" s="732"/>
      <c r="O399" s="732"/>
      <c r="P399" s="732"/>
      <c r="Q399" s="732"/>
      <c r="R399" s="732"/>
      <c r="S399" s="732"/>
      <c r="T399" s="732"/>
      <c r="U399" s="732"/>
      <c r="V399" s="733"/>
      <c r="W399" s="732"/>
      <c r="X399" s="732"/>
      <c r="Y399" s="732"/>
      <c r="Z399" s="732"/>
      <c r="AA399" s="732"/>
    </row>
    <row r="400" spans="1:27" ht="24.75" customHeight="1">
      <c r="A400" s="732"/>
      <c r="B400" s="732"/>
      <c r="C400" s="732"/>
      <c r="D400" s="732"/>
      <c r="E400" s="732"/>
      <c r="F400" s="732"/>
      <c r="G400" s="732"/>
      <c r="H400" s="732"/>
      <c r="I400" s="732"/>
      <c r="J400" s="732"/>
      <c r="K400" s="732"/>
      <c r="L400" s="732"/>
      <c r="M400" s="732"/>
      <c r="N400" s="732"/>
      <c r="O400" s="732"/>
      <c r="P400" s="732"/>
      <c r="Q400" s="732"/>
      <c r="R400" s="732"/>
      <c r="S400" s="732"/>
      <c r="T400" s="732"/>
      <c r="U400" s="732"/>
      <c r="V400" s="733"/>
      <c r="W400" s="732"/>
      <c r="X400" s="732"/>
      <c r="Y400" s="732"/>
      <c r="Z400" s="732"/>
      <c r="AA400" s="732"/>
    </row>
    <row r="401" spans="1:27" ht="24.75" customHeight="1">
      <c r="A401" s="732"/>
      <c r="B401" s="732"/>
      <c r="C401" s="732"/>
      <c r="D401" s="732"/>
      <c r="E401" s="732"/>
      <c r="F401" s="732"/>
      <c r="G401" s="732"/>
      <c r="H401" s="732"/>
      <c r="I401" s="732"/>
      <c r="J401" s="732"/>
      <c r="K401" s="732"/>
      <c r="L401" s="732"/>
      <c r="M401" s="732"/>
      <c r="N401" s="732"/>
      <c r="O401" s="732"/>
      <c r="P401" s="732"/>
      <c r="Q401" s="732"/>
      <c r="R401" s="732"/>
      <c r="S401" s="732"/>
      <c r="T401" s="732"/>
      <c r="U401" s="732"/>
      <c r="V401" s="733"/>
      <c r="W401" s="732"/>
      <c r="X401" s="732"/>
      <c r="Y401" s="732"/>
      <c r="Z401" s="732"/>
      <c r="AA401" s="732"/>
    </row>
    <row r="402" spans="1:27" ht="24.75" customHeight="1">
      <c r="A402" s="732"/>
      <c r="B402" s="732"/>
      <c r="C402" s="732"/>
      <c r="D402" s="732"/>
      <c r="E402" s="732"/>
      <c r="F402" s="732"/>
      <c r="G402" s="732"/>
      <c r="H402" s="732"/>
      <c r="I402" s="732"/>
      <c r="J402" s="732"/>
      <c r="K402" s="732"/>
      <c r="L402" s="732"/>
      <c r="M402" s="732"/>
      <c r="N402" s="732"/>
      <c r="O402" s="732"/>
      <c r="P402" s="732"/>
      <c r="Q402" s="732"/>
      <c r="R402" s="732"/>
      <c r="S402" s="732"/>
      <c r="T402" s="732"/>
      <c r="U402" s="732"/>
      <c r="V402" s="733"/>
      <c r="W402" s="732"/>
      <c r="X402" s="732"/>
      <c r="Y402" s="732"/>
      <c r="Z402" s="732"/>
      <c r="AA402" s="732"/>
    </row>
    <row r="403" spans="1:27" ht="24.75" customHeight="1">
      <c r="A403" s="732"/>
      <c r="B403" s="732"/>
      <c r="C403" s="732"/>
      <c r="D403" s="732"/>
      <c r="E403" s="732"/>
      <c r="F403" s="732"/>
      <c r="G403" s="732"/>
      <c r="H403" s="732"/>
      <c r="I403" s="732"/>
      <c r="J403" s="732"/>
      <c r="K403" s="732"/>
      <c r="L403" s="732"/>
      <c r="M403" s="732"/>
      <c r="N403" s="732"/>
      <c r="O403" s="732"/>
      <c r="P403" s="732"/>
      <c r="Q403" s="732"/>
      <c r="R403" s="732"/>
      <c r="S403" s="732"/>
      <c r="T403" s="732"/>
      <c r="U403" s="732"/>
      <c r="V403" s="733"/>
      <c r="W403" s="732"/>
      <c r="X403" s="732"/>
      <c r="Y403" s="732"/>
      <c r="Z403" s="732"/>
      <c r="AA403" s="732"/>
    </row>
    <row r="404" spans="1:27" ht="24.75" customHeight="1">
      <c r="A404" s="732"/>
      <c r="B404" s="732"/>
      <c r="C404" s="732"/>
      <c r="D404" s="732"/>
      <c r="E404" s="732"/>
      <c r="F404" s="732"/>
      <c r="G404" s="732"/>
      <c r="H404" s="732"/>
      <c r="I404" s="732"/>
      <c r="J404" s="732"/>
      <c r="K404" s="732"/>
      <c r="L404" s="732"/>
      <c r="M404" s="732"/>
      <c r="N404" s="732"/>
      <c r="O404" s="732"/>
      <c r="P404" s="732"/>
      <c r="Q404" s="732"/>
      <c r="R404" s="732"/>
      <c r="S404" s="732"/>
      <c r="T404" s="732"/>
      <c r="U404" s="732"/>
      <c r="V404" s="733"/>
      <c r="W404" s="732"/>
      <c r="X404" s="732"/>
      <c r="Y404" s="732"/>
      <c r="Z404" s="732"/>
      <c r="AA404" s="732"/>
    </row>
    <row r="405" spans="1:27" ht="24.75" customHeight="1">
      <c r="A405" s="732"/>
      <c r="B405" s="732"/>
      <c r="C405" s="732"/>
      <c r="D405" s="732"/>
      <c r="E405" s="732"/>
      <c r="F405" s="732"/>
      <c r="G405" s="732"/>
      <c r="H405" s="732"/>
      <c r="I405" s="732"/>
      <c r="J405" s="732"/>
      <c r="K405" s="732"/>
      <c r="L405" s="732"/>
      <c r="M405" s="732"/>
      <c r="N405" s="732"/>
      <c r="O405" s="732"/>
      <c r="P405" s="732"/>
      <c r="Q405" s="732"/>
      <c r="R405" s="732"/>
      <c r="S405" s="732"/>
      <c r="T405" s="732"/>
      <c r="U405" s="732"/>
      <c r="V405" s="733"/>
      <c r="W405" s="732"/>
      <c r="X405" s="732"/>
      <c r="Y405" s="732"/>
      <c r="Z405" s="732"/>
      <c r="AA405" s="732"/>
    </row>
    <row r="406" spans="1:27" ht="24.75" customHeight="1">
      <c r="A406" s="732"/>
      <c r="B406" s="732"/>
      <c r="C406" s="732"/>
      <c r="D406" s="732"/>
      <c r="E406" s="732"/>
      <c r="F406" s="732"/>
      <c r="G406" s="732"/>
      <c r="H406" s="732"/>
      <c r="I406" s="732"/>
      <c r="J406" s="732"/>
      <c r="K406" s="732"/>
      <c r="L406" s="732"/>
      <c r="M406" s="732"/>
      <c r="N406" s="732"/>
      <c r="O406" s="732"/>
      <c r="P406" s="732"/>
      <c r="Q406" s="732"/>
      <c r="R406" s="732"/>
      <c r="S406" s="732"/>
      <c r="T406" s="732"/>
      <c r="U406" s="732"/>
      <c r="V406" s="733"/>
      <c r="W406" s="732"/>
      <c r="X406" s="732"/>
      <c r="Y406" s="732"/>
      <c r="Z406" s="732"/>
      <c r="AA406" s="732"/>
    </row>
    <row r="407" spans="1:27" ht="24.75" customHeight="1">
      <c r="A407" s="732"/>
      <c r="B407" s="732"/>
      <c r="C407" s="732"/>
      <c r="D407" s="732"/>
      <c r="E407" s="732"/>
      <c r="F407" s="732"/>
      <c r="G407" s="732"/>
      <c r="H407" s="732"/>
      <c r="I407" s="732"/>
      <c r="J407" s="732"/>
      <c r="K407" s="732"/>
      <c r="L407" s="732"/>
      <c r="M407" s="732"/>
      <c r="N407" s="732"/>
      <c r="O407" s="732"/>
      <c r="P407" s="732"/>
      <c r="Q407" s="732"/>
      <c r="R407" s="732"/>
      <c r="S407" s="732"/>
      <c r="T407" s="732"/>
      <c r="U407" s="732"/>
      <c r="V407" s="733"/>
      <c r="W407" s="732"/>
      <c r="X407" s="732"/>
      <c r="Y407" s="732"/>
      <c r="Z407" s="732"/>
      <c r="AA407" s="732"/>
    </row>
    <row r="408" spans="1:27" ht="24.75" customHeight="1">
      <c r="A408" s="732"/>
      <c r="B408" s="732"/>
      <c r="C408" s="732"/>
      <c r="D408" s="732"/>
      <c r="E408" s="732"/>
      <c r="F408" s="732"/>
      <c r="G408" s="732"/>
      <c r="H408" s="732"/>
      <c r="I408" s="732"/>
      <c r="J408" s="732"/>
      <c r="K408" s="732"/>
      <c r="L408" s="732"/>
      <c r="M408" s="732"/>
      <c r="N408" s="732"/>
      <c r="O408" s="732"/>
      <c r="P408" s="732"/>
      <c r="Q408" s="732"/>
      <c r="R408" s="732"/>
      <c r="S408" s="732"/>
      <c r="T408" s="732"/>
      <c r="U408" s="732"/>
      <c r="V408" s="733"/>
      <c r="W408" s="732"/>
      <c r="X408" s="732"/>
      <c r="Y408" s="732"/>
      <c r="Z408" s="732"/>
      <c r="AA408" s="732"/>
    </row>
    <row r="409" spans="1:27" ht="24.75" customHeight="1">
      <c r="A409" s="732"/>
      <c r="B409" s="732"/>
      <c r="C409" s="732"/>
      <c r="D409" s="732"/>
      <c r="E409" s="732"/>
      <c r="F409" s="732"/>
      <c r="G409" s="732"/>
      <c r="H409" s="732"/>
      <c r="I409" s="732"/>
      <c r="J409" s="732"/>
      <c r="K409" s="732"/>
      <c r="L409" s="732"/>
      <c r="M409" s="732"/>
      <c r="N409" s="732"/>
      <c r="O409" s="732"/>
      <c r="P409" s="732"/>
      <c r="Q409" s="732"/>
      <c r="R409" s="732"/>
      <c r="S409" s="732"/>
      <c r="T409" s="732"/>
      <c r="U409" s="732"/>
      <c r="V409" s="733"/>
      <c r="W409" s="732"/>
      <c r="X409" s="732"/>
      <c r="Y409" s="732"/>
      <c r="Z409" s="732"/>
      <c r="AA409" s="732"/>
    </row>
    <row r="410" spans="1:27" ht="24.75" customHeight="1">
      <c r="A410" s="732"/>
      <c r="B410" s="732"/>
      <c r="C410" s="732"/>
      <c r="D410" s="732"/>
      <c r="E410" s="732"/>
      <c r="F410" s="732"/>
      <c r="G410" s="732"/>
      <c r="H410" s="732"/>
      <c r="I410" s="732"/>
      <c r="J410" s="732"/>
      <c r="K410" s="732"/>
      <c r="L410" s="732"/>
      <c r="M410" s="732"/>
      <c r="N410" s="732"/>
      <c r="O410" s="732"/>
      <c r="P410" s="732"/>
      <c r="Q410" s="732"/>
      <c r="R410" s="732"/>
      <c r="S410" s="732"/>
      <c r="T410" s="732"/>
      <c r="U410" s="732"/>
      <c r="V410" s="733"/>
      <c r="W410" s="732"/>
      <c r="X410" s="732"/>
      <c r="Y410" s="732"/>
      <c r="Z410" s="732"/>
      <c r="AA410" s="732"/>
    </row>
    <row r="411" spans="1:27" ht="24.75" customHeight="1">
      <c r="A411" s="732"/>
      <c r="B411" s="732"/>
      <c r="C411" s="732"/>
      <c r="D411" s="732"/>
      <c r="E411" s="732"/>
      <c r="F411" s="732"/>
      <c r="G411" s="732"/>
      <c r="H411" s="732"/>
      <c r="I411" s="732"/>
      <c r="J411" s="732"/>
      <c r="K411" s="732"/>
      <c r="L411" s="732"/>
      <c r="M411" s="732"/>
      <c r="N411" s="732"/>
      <c r="O411" s="732"/>
      <c r="P411" s="732"/>
      <c r="Q411" s="732"/>
      <c r="R411" s="732"/>
      <c r="S411" s="732"/>
      <c r="T411" s="732"/>
      <c r="U411" s="732"/>
      <c r="V411" s="733"/>
      <c r="W411" s="732"/>
      <c r="X411" s="732"/>
      <c r="Y411" s="732"/>
      <c r="Z411" s="732"/>
      <c r="AA411" s="732"/>
    </row>
    <row r="412" spans="1:27" ht="15.75" customHeight="1">
      <c r="A412" s="792"/>
      <c r="B412" s="792"/>
      <c r="C412" s="792"/>
      <c r="D412" s="792"/>
      <c r="E412" s="792"/>
      <c r="F412" s="792"/>
      <c r="G412" s="792"/>
      <c r="H412" s="792"/>
      <c r="I412" s="792"/>
      <c r="J412" s="792"/>
      <c r="K412" s="792"/>
      <c r="L412" s="792"/>
      <c r="M412" s="792"/>
      <c r="N412" s="792"/>
      <c r="O412" s="792"/>
      <c r="P412" s="792"/>
      <c r="Q412" s="792"/>
      <c r="R412" s="792"/>
      <c r="S412" s="792"/>
      <c r="T412" s="792"/>
      <c r="U412" s="792"/>
      <c r="V412" s="793"/>
      <c r="W412" s="792"/>
      <c r="X412" s="792"/>
      <c r="Y412" s="792"/>
      <c r="Z412" s="792"/>
      <c r="AA412" s="792"/>
    </row>
    <row r="413" spans="1:27" ht="15.75" customHeight="1">
      <c r="A413" s="792"/>
      <c r="B413" s="792"/>
      <c r="C413" s="792"/>
      <c r="D413" s="792"/>
      <c r="E413" s="792"/>
      <c r="F413" s="792"/>
      <c r="G413" s="792"/>
      <c r="H413" s="792"/>
      <c r="I413" s="792"/>
      <c r="J413" s="792"/>
      <c r="K413" s="792"/>
      <c r="L413" s="792"/>
      <c r="M413" s="792"/>
      <c r="N413" s="792"/>
      <c r="O413" s="792"/>
      <c r="P413" s="792"/>
      <c r="Q413" s="792"/>
      <c r="R413" s="792"/>
      <c r="S413" s="792"/>
      <c r="T413" s="792"/>
      <c r="U413" s="792"/>
      <c r="V413" s="793"/>
      <c r="W413" s="792"/>
      <c r="X413" s="792"/>
      <c r="Y413" s="792"/>
      <c r="Z413" s="792"/>
      <c r="AA413" s="792"/>
    </row>
    <row r="414" spans="1:27" ht="15.75" customHeight="1">
      <c r="A414" s="792"/>
      <c r="B414" s="792"/>
      <c r="C414" s="792"/>
      <c r="D414" s="792"/>
      <c r="E414" s="792"/>
      <c r="F414" s="792"/>
      <c r="G414" s="792"/>
      <c r="H414" s="792"/>
      <c r="I414" s="792"/>
      <c r="J414" s="792"/>
      <c r="K414" s="792"/>
      <c r="L414" s="792"/>
      <c r="M414" s="792"/>
      <c r="N414" s="792"/>
      <c r="O414" s="792"/>
      <c r="P414" s="792"/>
      <c r="Q414" s="792"/>
      <c r="R414" s="792"/>
      <c r="S414" s="792"/>
      <c r="T414" s="792"/>
      <c r="U414" s="792"/>
      <c r="V414" s="793"/>
      <c r="W414" s="792"/>
      <c r="X414" s="792"/>
      <c r="Y414" s="792"/>
      <c r="Z414" s="792"/>
      <c r="AA414" s="792"/>
    </row>
    <row r="415" spans="1:27" ht="15.75" customHeight="1">
      <c r="A415" s="792"/>
      <c r="B415" s="792"/>
      <c r="C415" s="792"/>
      <c r="D415" s="792"/>
      <c r="E415" s="792"/>
      <c r="F415" s="792"/>
      <c r="G415" s="792"/>
      <c r="H415" s="792"/>
      <c r="I415" s="792"/>
      <c r="J415" s="792"/>
      <c r="K415" s="792"/>
      <c r="L415" s="792"/>
      <c r="M415" s="792"/>
      <c r="N415" s="792"/>
      <c r="O415" s="792"/>
      <c r="P415" s="792"/>
      <c r="Q415" s="792"/>
      <c r="R415" s="792"/>
      <c r="S415" s="792"/>
      <c r="T415" s="792"/>
      <c r="U415" s="792"/>
      <c r="V415" s="793"/>
      <c r="W415" s="792"/>
      <c r="X415" s="792"/>
      <c r="Y415" s="792"/>
      <c r="Z415" s="792"/>
      <c r="AA415" s="792"/>
    </row>
    <row r="416" spans="1:27" ht="15.75" customHeight="1">
      <c r="A416" s="792"/>
      <c r="B416" s="792"/>
      <c r="C416" s="792"/>
      <c r="D416" s="792"/>
      <c r="E416" s="792"/>
      <c r="F416" s="792"/>
      <c r="G416" s="792"/>
      <c r="H416" s="792"/>
      <c r="I416" s="792"/>
      <c r="J416" s="792"/>
      <c r="K416" s="792"/>
      <c r="L416" s="792"/>
      <c r="M416" s="792"/>
      <c r="N416" s="792"/>
      <c r="O416" s="792"/>
      <c r="P416" s="792"/>
      <c r="Q416" s="792"/>
      <c r="R416" s="792"/>
      <c r="S416" s="792"/>
      <c r="T416" s="792"/>
      <c r="U416" s="792"/>
      <c r="V416" s="793"/>
      <c r="W416" s="792"/>
      <c r="X416" s="792"/>
      <c r="Y416" s="792"/>
      <c r="Z416" s="792"/>
      <c r="AA416" s="792"/>
    </row>
    <row r="417" spans="1:27" ht="15.75" customHeight="1">
      <c r="A417" s="792"/>
      <c r="B417" s="792"/>
      <c r="C417" s="792"/>
      <c r="D417" s="792"/>
      <c r="E417" s="792"/>
      <c r="F417" s="792"/>
      <c r="G417" s="792"/>
      <c r="H417" s="792"/>
      <c r="I417" s="792"/>
      <c r="J417" s="792"/>
      <c r="K417" s="792"/>
      <c r="L417" s="792"/>
      <c r="M417" s="792"/>
      <c r="N417" s="792"/>
      <c r="O417" s="792"/>
      <c r="P417" s="792"/>
      <c r="Q417" s="792"/>
      <c r="R417" s="792"/>
      <c r="S417" s="792"/>
      <c r="T417" s="792"/>
      <c r="U417" s="792"/>
      <c r="V417" s="793"/>
      <c r="W417" s="792"/>
      <c r="X417" s="792"/>
      <c r="Y417" s="792"/>
      <c r="Z417" s="792"/>
      <c r="AA417" s="792"/>
    </row>
    <row r="418" spans="1:27" ht="15.75" customHeight="1">
      <c r="A418" s="792"/>
      <c r="B418" s="792"/>
      <c r="C418" s="792"/>
      <c r="D418" s="792"/>
      <c r="E418" s="792"/>
      <c r="F418" s="792"/>
      <c r="G418" s="792"/>
      <c r="H418" s="792"/>
      <c r="I418" s="792"/>
      <c r="J418" s="792"/>
      <c r="K418" s="792"/>
      <c r="L418" s="792"/>
      <c r="M418" s="792"/>
      <c r="N418" s="792"/>
      <c r="O418" s="792"/>
      <c r="P418" s="792"/>
      <c r="Q418" s="792"/>
      <c r="R418" s="792"/>
      <c r="S418" s="792"/>
      <c r="T418" s="792"/>
      <c r="U418" s="792"/>
      <c r="V418" s="793"/>
      <c r="W418" s="792"/>
      <c r="X418" s="792"/>
      <c r="Y418" s="792"/>
      <c r="Z418" s="792"/>
      <c r="AA418" s="792"/>
    </row>
    <row r="419" spans="1:27" ht="15.75" customHeight="1">
      <c r="A419" s="792"/>
      <c r="B419" s="792"/>
      <c r="C419" s="792"/>
      <c r="D419" s="792"/>
      <c r="E419" s="792"/>
      <c r="F419" s="792"/>
      <c r="G419" s="792"/>
      <c r="H419" s="792"/>
      <c r="I419" s="792"/>
      <c r="J419" s="792"/>
      <c r="K419" s="792"/>
      <c r="L419" s="792"/>
      <c r="M419" s="792"/>
      <c r="N419" s="792"/>
      <c r="O419" s="792"/>
      <c r="P419" s="792"/>
      <c r="Q419" s="792"/>
      <c r="R419" s="792"/>
      <c r="S419" s="792"/>
      <c r="T419" s="792"/>
      <c r="U419" s="792"/>
      <c r="V419" s="793"/>
      <c r="W419" s="792"/>
      <c r="X419" s="792"/>
      <c r="Y419" s="792"/>
      <c r="Z419" s="792"/>
      <c r="AA419" s="792"/>
    </row>
    <row r="420" spans="1:27" ht="15.75" customHeight="1">
      <c r="A420" s="792"/>
      <c r="B420" s="792"/>
      <c r="C420" s="792"/>
      <c r="D420" s="792"/>
      <c r="E420" s="792"/>
      <c r="F420" s="792"/>
      <c r="G420" s="792"/>
      <c r="H420" s="792"/>
      <c r="I420" s="792"/>
      <c r="J420" s="792"/>
      <c r="K420" s="792"/>
      <c r="L420" s="792"/>
      <c r="M420" s="792"/>
      <c r="N420" s="792"/>
      <c r="O420" s="792"/>
      <c r="P420" s="792"/>
      <c r="Q420" s="792"/>
      <c r="R420" s="792"/>
      <c r="S420" s="792"/>
      <c r="T420" s="792"/>
      <c r="U420" s="792"/>
      <c r="V420" s="793"/>
      <c r="W420" s="792"/>
      <c r="X420" s="792"/>
      <c r="Y420" s="792"/>
      <c r="Z420" s="792"/>
      <c r="AA420" s="792"/>
    </row>
    <row r="421" spans="1:27" ht="15.75" customHeight="1">
      <c r="A421" s="792"/>
      <c r="B421" s="792"/>
      <c r="C421" s="792"/>
      <c r="D421" s="792"/>
      <c r="E421" s="792"/>
      <c r="F421" s="792"/>
      <c r="G421" s="792"/>
      <c r="H421" s="792"/>
      <c r="I421" s="792"/>
      <c r="J421" s="792"/>
      <c r="K421" s="792"/>
      <c r="L421" s="792"/>
      <c r="M421" s="792"/>
      <c r="N421" s="792"/>
      <c r="O421" s="792"/>
      <c r="P421" s="792"/>
      <c r="Q421" s="792"/>
      <c r="R421" s="792"/>
      <c r="S421" s="792"/>
      <c r="T421" s="792"/>
      <c r="U421" s="792"/>
      <c r="V421" s="793"/>
      <c r="W421" s="792"/>
      <c r="X421" s="792"/>
      <c r="Y421" s="792"/>
      <c r="Z421" s="792"/>
      <c r="AA421" s="792"/>
    </row>
    <row r="422" spans="1:27" ht="15.75" customHeight="1">
      <c r="A422" s="792"/>
      <c r="B422" s="792"/>
      <c r="C422" s="792"/>
      <c r="D422" s="792"/>
      <c r="E422" s="792"/>
      <c r="F422" s="792"/>
      <c r="G422" s="792"/>
      <c r="H422" s="792"/>
      <c r="I422" s="792"/>
      <c r="J422" s="792"/>
      <c r="K422" s="792"/>
      <c r="L422" s="792"/>
      <c r="M422" s="792"/>
      <c r="N422" s="792"/>
      <c r="O422" s="792"/>
      <c r="P422" s="792"/>
      <c r="Q422" s="792"/>
      <c r="R422" s="792"/>
      <c r="S422" s="792"/>
      <c r="T422" s="792"/>
      <c r="U422" s="792"/>
      <c r="V422" s="793"/>
      <c r="W422" s="792"/>
      <c r="X422" s="792"/>
      <c r="Y422" s="792"/>
      <c r="Z422" s="792"/>
      <c r="AA422" s="792"/>
    </row>
    <row r="423" spans="1:27" ht="15.75" customHeight="1">
      <c r="A423" s="792"/>
      <c r="B423" s="792"/>
      <c r="C423" s="792"/>
      <c r="D423" s="792"/>
      <c r="E423" s="792"/>
      <c r="F423" s="792"/>
      <c r="G423" s="792"/>
      <c r="H423" s="792"/>
      <c r="I423" s="792"/>
      <c r="J423" s="792"/>
      <c r="K423" s="792"/>
      <c r="L423" s="792"/>
      <c r="M423" s="792"/>
      <c r="N423" s="792"/>
      <c r="O423" s="792"/>
      <c r="P423" s="792"/>
      <c r="Q423" s="792"/>
      <c r="R423" s="792"/>
      <c r="S423" s="792"/>
      <c r="T423" s="792"/>
      <c r="U423" s="792"/>
      <c r="V423" s="793"/>
      <c r="W423" s="792"/>
      <c r="X423" s="792"/>
      <c r="Y423" s="792"/>
      <c r="Z423" s="792"/>
      <c r="AA423" s="792"/>
    </row>
    <row r="424" spans="1:27" ht="15.75" customHeight="1">
      <c r="A424" s="792"/>
      <c r="B424" s="792"/>
      <c r="C424" s="792"/>
      <c r="D424" s="792"/>
      <c r="E424" s="792"/>
      <c r="F424" s="792"/>
      <c r="G424" s="792"/>
      <c r="H424" s="792"/>
      <c r="I424" s="792"/>
      <c r="J424" s="792"/>
      <c r="K424" s="792"/>
      <c r="L424" s="792"/>
      <c r="M424" s="792"/>
      <c r="N424" s="792"/>
      <c r="O424" s="792"/>
      <c r="P424" s="792"/>
      <c r="Q424" s="792"/>
      <c r="R424" s="792"/>
      <c r="S424" s="792"/>
      <c r="T424" s="792"/>
      <c r="U424" s="792"/>
      <c r="V424" s="793"/>
      <c r="W424" s="792"/>
      <c r="X424" s="792"/>
      <c r="Y424" s="792"/>
      <c r="Z424" s="792"/>
      <c r="AA424" s="792"/>
    </row>
    <row r="425" spans="1:27" ht="15.75" customHeight="1">
      <c r="A425" s="792"/>
      <c r="B425" s="792"/>
      <c r="C425" s="792"/>
      <c r="D425" s="792"/>
      <c r="E425" s="792"/>
      <c r="F425" s="792"/>
      <c r="G425" s="792"/>
      <c r="H425" s="792"/>
      <c r="I425" s="792"/>
      <c r="J425" s="792"/>
      <c r="K425" s="792"/>
      <c r="L425" s="792"/>
      <c r="M425" s="792"/>
      <c r="N425" s="792"/>
      <c r="O425" s="792"/>
      <c r="P425" s="792"/>
      <c r="Q425" s="792"/>
      <c r="R425" s="792"/>
      <c r="S425" s="792"/>
      <c r="T425" s="792"/>
      <c r="U425" s="792"/>
      <c r="V425" s="793"/>
      <c r="W425" s="792"/>
      <c r="X425" s="792"/>
      <c r="Y425" s="792"/>
      <c r="Z425" s="792"/>
      <c r="AA425" s="792"/>
    </row>
    <row r="426" spans="1:27" ht="15.75" customHeight="1">
      <c r="A426" s="792"/>
      <c r="B426" s="792"/>
      <c r="C426" s="792"/>
      <c r="D426" s="792"/>
      <c r="E426" s="792"/>
      <c r="F426" s="792"/>
      <c r="G426" s="792"/>
      <c r="H426" s="792"/>
      <c r="I426" s="792"/>
      <c r="J426" s="792"/>
      <c r="K426" s="792"/>
      <c r="L426" s="792"/>
      <c r="M426" s="792"/>
      <c r="N426" s="792"/>
      <c r="O426" s="792"/>
      <c r="P426" s="792"/>
      <c r="Q426" s="792"/>
      <c r="R426" s="792"/>
      <c r="S426" s="792"/>
      <c r="T426" s="792"/>
      <c r="U426" s="792"/>
      <c r="V426" s="793"/>
      <c r="W426" s="792"/>
      <c r="X426" s="792"/>
      <c r="Y426" s="792"/>
      <c r="Z426" s="792"/>
      <c r="AA426" s="792"/>
    </row>
    <row r="427" spans="1:27" ht="15.75" customHeight="1">
      <c r="A427" s="792"/>
      <c r="B427" s="792"/>
      <c r="C427" s="792"/>
      <c r="D427" s="792"/>
      <c r="E427" s="792"/>
      <c r="F427" s="792"/>
      <c r="G427" s="792"/>
      <c r="H427" s="792"/>
      <c r="I427" s="792"/>
      <c r="J427" s="792"/>
      <c r="K427" s="792"/>
      <c r="L427" s="792"/>
      <c r="M427" s="792"/>
      <c r="N427" s="792"/>
      <c r="O427" s="792"/>
      <c r="P427" s="792"/>
      <c r="Q427" s="792"/>
      <c r="R427" s="792"/>
      <c r="S427" s="792"/>
      <c r="T427" s="792"/>
      <c r="U427" s="792"/>
      <c r="V427" s="793"/>
      <c r="W427" s="792"/>
      <c r="X427" s="792"/>
      <c r="Y427" s="792"/>
      <c r="Z427" s="792"/>
      <c r="AA427" s="792"/>
    </row>
    <row r="428" spans="1:27" ht="15.75" customHeight="1">
      <c r="A428" s="792"/>
      <c r="B428" s="792"/>
      <c r="C428" s="792"/>
      <c r="D428" s="792"/>
      <c r="E428" s="792"/>
      <c r="F428" s="792"/>
      <c r="G428" s="792"/>
      <c r="H428" s="792"/>
      <c r="I428" s="792"/>
      <c r="J428" s="792"/>
      <c r="K428" s="792"/>
      <c r="L428" s="792"/>
      <c r="M428" s="792"/>
      <c r="N428" s="792"/>
      <c r="O428" s="792"/>
      <c r="P428" s="792"/>
      <c r="Q428" s="792"/>
      <c r="R428" s="792"/>
      <c r="S428" s="792"/>
      <c r="T428" s="792"/>
      <c r="U428" s="792"/>
      <c r="V428" s="793"/>
      <c r="W428" s="792"/>
      <c r="X428" s="792"/>
      <c r="Y428" s="792"/>
      <c r="Z428" s="792"/>
      <c r="AA428" s="792"/>
    </row>
    <row r="429" spans="1:27" ht="15.75" customHeight="1">
      <c r="A429" s="792"/>
      <c r="B429" s="792"/>
      <c r="C429" s="792"/>
      <c r="D429" s="792"/>
      <c r="E429" s="792"/>
      <c r="F429" s="792"/>
      <c r="G429" s="792"/>
      <c r="H429" s="792"/>
      <c r="I429" s="792"/>
      <c r="J429" s="792"/>
      <c r="K429" s="792"/>
      <c r="L429" s="792"/>
      <c r="M429" s="792"/>
      <c r="N429" s="792"/>
      <c r="O429" s="792"/>
      <c r="P429" s="792"/>
      <c r="Q429" s="792"/>
      <c r="R429" s="792"/>
      <c r="S429" s="792"/>
      <c r="T429" s="792"/>
      <c r="U429" s="792"/>
      <c r="V429" s="793"/>
      <c r="W429" s="792"/>
      <c r="X429" s="792"/>
      <c r="Y429" s="792"/>
      <c r="Z429" s="792"/>
      <c r="AA429" s="792"/>
    </row>
    <row r="430" spans="1:27" ht="15.75" customHeight="1">
      <c r="A430" s="792"/>
      <c r="B430" s="792"/>
      <c r="C430" s="792"/>
      <c r="D430" s="792"/>
      <c r="E430" s="792"/>
      <c r="F430" s="792"/>
      <c r="G430" s="792"/>
      <c r="H430" s="792"/>
      <c r="I430" s="792"/>
      <c r="J430" s="792"/>
      <c r="K430" s="792"/>
      <c r="L430" s="792"/>
      <c r="M430" s="792"/>
      <c r="N430" s="792"/>
      <c r="O430" s="792"/>
      <c r="P430" s="792"/>
      <c r="Q430" s="792"/>
      <c r="R430" s="792"/>
      <c r="S430" s="792"/>
      <c r="T430" s="792"/>
      <c r="U430" s="792"/>
      <c r="V430" s="793"/>
      <c r="W430" s="792"/>
      <c r="X430" s="792"/>
      <c r="Y430" s="792"/>
      <c r="Z430" s="792"/>
      <c r="AA430" s="792"/>
    </row>
    <row r="431" spans="1:27" ht="15.75" customHeight="1">
      <c r="A431" s="792"/>
      <c r="B431" s="792"/>
      <c r="C431" s="792"/>
      <c r="D431" s="792"/>
      <c r="E431" s="792"/>
      <c r="F431" s="792"/>
      <c r="G431" s="792"/>
      <c r="H431" s="792"/>
      <c r="I431" s="792"/>
      <c r="J431" s="792"/>
      <c r="K431" s="792"/>
      <c r="L431" s="792"/>
      <c r="M431" s="792"/>
      <c r="N431" s="792"/>
      <c r="O431" s="792"/>
      <c r="P431" s="792"/>
      <c r="Q431" s="792"/>
      <c r="R431" s="792"/>
      <c r="S431" s="792"/>
      <c r="T431" s="792"/>
      <c r="U431" s="792"/>
      <c r="V431" s="793"/>
      <c r="W431" s="792"/>
      <c r="X431" s="792"/>
      <c r="Y431" s="792"/>
      <c r="Z431" s="792"/>
      <c r="AA431" s="792"/>
    </row>
    <row r="432" spans="1:27" ht="15.75" customHeight="1">
      <c r="A432" s="792"/>
      <c r="B432" s="792"/>
      <c r="C432" s="792"/>
      <c r="D432" s="792"/>
      <c r="E432" s="792"/>
      <c r="F432" s="792"/>
      <c r="G432" s="792"/>
      <c r="H432" s="792"/>
      <c r="I432" s="792"/>
      <c r="J432" s="792"/>
      <c r="K432" s="792"/>
      <c r="L432" s="792"/>
      <c r="M432" s="792"/>
      <c r="N432" s="792"/>
      <c r="O432" s="792"/>
      <c r="P432" s="792"/>
      <c r="Q432" s="792"/>
      <c r="R432" s="792"/>
      <c r="S432" s="792"/>
      <c r="T432" s="792"/>
      <c r="U432" s="792"/>
      <c r="V432" s="793"/>
      <c r="W432" s="792"/>
      <c r="X432" s="792"/>
      <c r="Y432" s="792"/>
      <c r="Z432" s="792"/>
      <c r="AA432" s="792"/>
    </row>
    <row r="433" spans="1:27" ht="15.75" customHeight="1">
      <c r="A433" s="792"/>
      <c r="B433" s="792"/>
      <c r="C433" s="792"/>
      <c r="D433" s="792"/>
      <c r="E433" s="792"/>
      <c r="F433" s="792"/>
      <c r="G433" s="792"/>
      <c r="H433" s="792"/>
      <c r="I433" s="792"/>
      <c r="J433" s="792"/>
      <c r="K433" s="792"/>
      <c r="L433" s="792"/>
      <c r="M433" s="792"/>
      <c r="N433" s="792"/>
      <c r="O433" s="792"/>
      <c r="P433" s="792"/>
      <c r="Q433" s="792"/>
      <c r="R433" s="792"/>
      <c r="S433" s="792"/>
      <c r="T433" s="792"/>
      <c r="U433" s="792"/>
      <c r="V433" s="793"/>
      <c r="W433" s="792"/>
      <c r="X433" s="792"/>
      <c r="Y433" s="792"/>
      <c r="Z433" s="792"/>
      <c r="AA433" s="792"/>
    </row>
    <row r="434" spans="1:27" ht="15.75" customHeight="1">
      <c r="A434" s="792"/>
      <c r="B434" s="792"/>
      <c r="C434" s="792"/>
      <c r="D434" s="792"/>
      <c r="E434" s="792"/>
      <c r="F434" s="792"/>
      <c r="G434" s="792"/>
      <c r="H434" s="792"/>
      <c r="I434" s="792"/>
      <c r="J434" s="792"/>
      <c r="K434" s="792"/>
      <c r="L434" s="792"/>
      <c r="M434" s="792"/>
      <c r="N434" s="792"/>
      <c r="O434" s="792"/>
      <c r="P434" s="792"/>
      <c r="Q434" s="792"/>
      <c r="R434" s="792"/>
      <c r="S434" s="792"/>
      <c r="T434" s="792"/>
      <c r="U434" s="792"/>
      <c r="V434" s="793"/>
      <c r="W434" s="792"/>
      <c r="X434" s="792"/>
      <c r="Y434" s="792"/>
      <c r="Z434" s="792"/>
      <c r="AA434" s="792"/>
    </row>
    <row r="435" spans="1:27" ht="15.75" customHeight="1">
      <c r="A435" s="792"/>
      <c r="B435" s="792"/>
      <c r="C435" s="792"/>
      <c r="D435" s="792"/>
      <c r="E435" s="792"/>
      <c r="F435" s="792"/>
      <c r="G435" s="792"/>
      <c r="H435" s="792"/>
      <c r="I435" s="792"/>
      <c r="J435" s="792"/>
      <c r="K435" s="792"/>
      <c r="L435" s="792"/>
      <c r="M435" s="792"/>
      <c r="N435" s="792"/>
      <c r="O435" s="792"/>
      <c r="P435" s="792"/>
      <c r="Q435" s="792"/>
      <c r="R435" s="792"/>
      <c r="S435" s="792"/>
      <c r="T435" s="792"/>
      <c r="U435" s="792"/>
      <c r="V435" s="793"/>
      <c r="W435" s="792"/>
      <c r="X435" s="792"/>
      <c r="Y435" s="792"/>
      <c r="Z435" s="792"/>
      <c r="AA435" s="792"/>
    </row>
    <row r="436" spans="1:27" ht="15.75" customHeight="1">
      <c r="A436" s="792"/>
      <c r="B436" s="792"/>
      <c r="C436" s="792"/>
      <c r="D436" s="792"/>
      <c r="E436" s="792"/>
      <c r="F436" s="792"/>
      <c r="G436" s="792"/>
      <c r="H436" s="792"/>
      <c r="I436" s="792"/>
      <c r="J436" s="792"/>
      <c r="K436" s="792"/>
      <c r="L436" s="792"/>
      <c r="M436" s="792"/>
      <c r="N436" s="792"/>
      <c r="O436" s="792"/>
      <c r="P436" s="792"/>
      <c r="Q436" s="792"/>
      <c r="R436" s="792"/>
      <c r="S436" s="792"/>
      <c r="T436" s="792"/>
      <c r="U436" s="792"/>
      <c r="V436" s="793"/>
      <c r="W436" s="792"/>
      <c r="X436" s="792"/>
      <c r="Y436" s="792"/>
      <c r="Z436" s="792"/>
      <c r="AA436" s="792"/>
    </row>
    <row r="437" spans="1:27" ht="15.75" customHeight="1">
      <c r="A437" s="792"/>
      <c r="B437" s="792"/>
      <c r="C437" s="792"/>
      <c r="D437" s="792"/>
      <c r="E437" s="792"/>
      <c r="F437" s="792"/>
      <c r="G437" s="792"/>
      <c r="H437" s="792"/>
      <c r="I437" s="792"/>
      <c r="J437" s="792"/>
      <c r="K437" s="792"/>
      <c r="L437" s="792"/>
      <c r="M437" s="792"/>
      <c r="N437" s="792"/>
      <c r="O437" s="792"/>
      <c r="P437" s="792"/>
      <c r="Q437" s="792"/>
      <c r="R437" s="792"/>
      <c r="S437" s="792"/>
      <c r="T437" s="792"/>
      <c r="U437" s="792"/>
      <c r="V437" s="793"/>
      <c r="W437" s="792"/>
      <c r="X437" s="792"/>
      <c r="Y437" s="792"/>
      <c r="Z437" s="792"/>
      <c r="AA437" s="792"/>
    </row>
    <row r="438" spans="1:27" ht="15.75" customHeight="1">
      <c r="A438" s="792"/>
      <c r="B438" s="792"/>
      <c r="C438" s="792"/>
      <c r="D438" s="792"/>
      <c r="E438" s="792"/>
      <c r="F438" s="792"/>
      <c r="G438" s="792"/>
      <c r="H438" s="792"/>
      <c r="I438" s="792"/>
      <c r="J438" s="792"/>
      <c r="K438" s="792"/>
      <c r="L438" s="792"/>
      <c r="M438" s="792"/>
      <c r="N438" s="792"/>
      <c r="O438" s="792"/>
      <c r="P438" s="792"/>
      <c r="Q438" s="792"/>
      <c r="R438" s="792"/>
      <c r="S438" s="792"/>
      <c r="T438" s="792"/>
      <c r="U438" s="792"/>
      <c r="V438" s="793"/>
      <c r="W438" s="792"/>
      <c r="X438" s="792"/>
      <c r="Y438" s="792"/>
      <c r="Z438" s="792"/>
      <c r="AA438" s="792"/>
    </row>
    <row r="439" spans="1:27" ht="15.75" customHeight="1">
      <c r="A439" s="792"/>
      <c r="B439" s="792"/>
      <c r="C439" s="792"/>
      <c r="D439" s="792"/>
      <c r="E439" s="792"/>
      <c r="F439" s="792"/>
      <c r="G439" s="792"/>
      <c r="H439" s="792"/>
      <c r="I439" s="792"/>
      <c r="J439" s="792"/>
      <c r="K439" s="792"/>
      <c r="L439" s="792"/>
      <c r="M439" s="792"/>
      <c r="N439" s="792"/>
      <c r="O439" s="792"/>
      <c r="P439" s="792"/>
      <c r="Q439" s="792"/>
      <c r="R439" s="792"/>
      <c r="S439" s="792"/>
      <c r="T439" s="792"/>
      <c r="U439" s="792"/>
      <c r="V439" s="793"/>
      <c r="W439" s="792"/>
      <c r="X439" s="792"/>
      <c r="Y439" s="792"/>
      <c r="Z439" s="792"/>
      <c r="AA439" s="792"/>
    </row>
    <row r="440" spans="1:27" ht="15.75" customHeight="1">
      <c r="A440" s="792"/>
      <c r="B440" s="792"/>
      <c r="C440" s="792"/>
      <c r="D440" s="792"/>
      <c r="E440" s="792"/>
      <c r="F440" s="792"/>
      <c r="G440" s="792"/>
      <c r="H440" s="792"/>
      <c r="I440" s="792"/>
      <c r="J440" s="792"/>
      <c r="K440" s="792"/>
      <c r="L440" s="792"/>
      <c r="M440" s="792"/>
      <c r="N440" s="792"/>
      <c r="O440" s="792"/>
      <c r="P440" s="792"/>
      <c r="Q440" s="792"/>
      <c r="R440" s="792"/>
      <c r="S440" s="792"/>
      <c r="T440" s="792"/>
      <c r="U440" s="792"/>
      <c r="V440" s="793"/>
      <c r="W440" s="792"/>
      <c r="X440" s="792"/>
      <c r="Y440" s="792"/>
      <c r="Z440" s="792"/>
      <c r="AA440" s="792"/>
    </row>
    <row r="441" spans="1:27" ht="15.75" customHeight="1">
      <c r="A441" s="792"/>
      <c r="B441" s="792"/>
      <c r="C441" s="792"/>
      <c r="D441" s="792"/>
      <c r="E441" s="792"/>
      <c r="F441" s="792"/>
      <c r="G441" s="792"/>
      <c r="H441" s="792"/>
      <c r="I441" s="792"/>
      <c r="J441" s="792"/>
      <c r="K441" s="792"/>
      <c r="L441" s="792"/>
      <c r="M441" s="792"/>
      <c r="N441" s="792"/>
      <c r="O441" s="792"/>
      <c r="P441" s="792"/>
      <c r="Q441" s="792"/>
      <c r="R441" s="792"/>
      <c r="S441" s="792"/>
      <c r="T441" s="792"/>
      <c r="U441" s="792"/>
      <c r="V441" s="793"/>
      <c r="W441" s="792"/>
      <c r="X441" s="792"/>
      <c r="Y441" s="792"/>
      <c r="Z441" s="792"/>
      <c r="AA441" s="792"/>
    </row>
    <row r="442" spans="1:27" ht="15.75" customHeight="1">
      <c r="A442" s="792"/>
      <c r="B442" s="792"/>
      <c r="C442" s="792"/>
      <c r="D442" s="792"/>
      <c r="E442" s="792"/>
      <c r="F442" s="792"/>
      <c r="G442" s="792"/>
      <c r="H442" s="792"/>
      <c r="I442" s="792"/>
      <c r="J442" s="792"/>
      <c r="K442" s="792"/>
      <c r="L442" s="792"/>
      <c r="M442" s="792"/>
      <c r="N442" s="792"/>
      <c r="O442" s="792"/>
      <c r="P442" s="792"/>
      <c r="Q442" s="792"/>
      <c r="R442" s="792"/>
      <c r="S442" s="792"/>
      <c r="T442" s="792"/>
      <c r="U442" s="792"/>
      <c r="V442" s="793"/>
      <c r="W442" s="792"/>
      <c r="X442" s="792"/>
      <c r="Y442" s="792"/>
      <c r="Z442" s="792"/>
      <c r="AA442" s="792"/>
    </row>
    <row r="443" spans="1:27" ht="15.75" customHeight="1">
      <c r="A443" s="792"/>
      <c r="B443" s="792"/>
      <c r="C443" s="792"/>
      <c r="D443" s="792"/>
      <c r="E443" s="792"/>
      <c r="F443" s="792"/>
      <c r="G443" s="792"/>
      <c r="H443" s="792"/>
      <c r="I443" s="792"/>
      <c r="J443" s="792"/>
      <c r="K443" s="792"/>
      <c r="L443" s="792"/>
      <c r="M443" s="792"/>
      <c r="N443" s="792"/>
      <c r="O443" s="792"/>
      <c r="P443" s="792"/>
      <c r="Q443" s="792"/>
      <c r="R443" s="792"/>
      <c r="S443" s="792"/>
      <c r="T443" s="792"/>
      <c r="U443" s="792"/>
      <c r="V443" s="793"/>
      <c r="W443" s="792"/>
      <c r="X443" s="792"/>
      <c r="Y443" s="792"/>
      <c r="Z443" s="792"/>
      <c r="AA443" s="792"/>
    </row>
    <row r="444" spans="1:27" ht="15.75" customHeight="1">
      <c r="A444" s="792"/>
      <c r="B444" s="792"/>
      <c r="C444" s="792"/>
      <c r="D444" s="792"/>
      <c r="E444" s="792"/>
      <c r="F444" s="792"/>
      <c r="G444" s="792"/>
      <c r="H444" s="792"/>
      <c r="I444" s="792"/>
      <c r="J444" s="792"/>
      <c r="K444" s="792"/>
      <c r="L444" s="792"/>
      <c r="M444" s="792"/>
      <c r="N444" s="792"/>
      <c r="O444" s="792"/>
      <c r="P444" s="792"/>
      <c r="Q444" s="792"/>
      <c r="R444" s="792"/>
      <c r="S444" s="792"/>
      <c r="T444" s="792"/>
      <c r="U444" s="792"/>
      <c r="V444" s="793"/>
      <c r="W444" s="792"/>
      <c r="X444" s="792"/>
      <c r="Y444" s="792"/>
      <c r="Z444" s="792"/>
      <c r="AA444" s="792"/>
    </row>
    <row r="445" spans="1:27" ht="15.75" customHeight="1">
      <c r="A445" s="792"/>
      <c r="B445" s="792"/>
      <c r="C445" s="792"/>
      <c r="D445" s="792"/>
      <c r="E445" s="792"/>
      <c r="F445" s="792"/>
      <c r="G445" s="792"/>
      <c r="H445" s="792"/>
      <c r="I445" s="792"/>
      <c r="J445" s="792"/>
      <c r="K445" s="792"/>
      <c r="L445" s="792"/>
      <c r="M445" s="792"/>
      <c r="N445" s="792"/>
      <c r="O445" s="792"/>
      <c r="P445" s="792"/>
      <c r="Q445" s="792"/>
      <c r="R445" s="792"/>
      <c r="S445" s="792"/>
      <c r="T445" s="792"/>
      <c r="U445" s="792"/>
      <c r="V445" s="793"/>
      <c r="W445" s="792"/>
      <c r="X445" s="792"/>
      <c r="Y445" s="792"/>
      <c r="Z445" s="792"/>
      <c r="AA445" s="792"/>
    </row>
    <row r="446" spans="1:27" ht="15.75" customHeight="1">
      <c r="A446" s="792"/>
      <c r="B446" s="792"/>
      <c r="C446" s="792"/>
      <c r="D446" s="792"/>
      <c r="E446" s="792"/>
      <c r="F446" s="792"/>
      <c r="G446" s="792"/>
      <c r="H446" s="792"/>
      <c r="I446" s="792"/>
      <c r="J446" s="792"/>
      <c r="K446" s="792"/>
      <c r="L446" s="792"/>
      <c r="M446" s="792"/>
      <c r="N446" s="792"/>
      <c r="O446" s="792"/>
      <c r="P446" s="792"/>
      <c r="Q446" s="792"/>
      <c r="R446" s="792"/>
      <c r="S446" s="792"/>
      <c r="T446" s="792"/>
      <c r="U446" s="792"/>
      <c r="V446" s="793"/>
      <c r="W446" s="792"/>
      <c r="X446" s="792"/>
      <c r="Y446" s="792"/>
      <c r="Z446" s="792"/>
      <c r="AA446" s="792"/>
    </row>
    <row r="447" spans="1:27" ht="15.75" customHeight="1">
      <c r="A447" s="792"/>
      <c r="B447" s="792"/>
      <c r="C447" s="792"/>
      <c r="D447" s="792"/>
      <c r="E447" s="792"/>
      <c r="F447" s="792"/>
      <c r="G447" s="792"/>
      <c r="H447" s="792"/>
      <c r="I447" s="792"/>
      <c r="J447" s="792"/>
      <c r="K447" s="792"/>
      <c r="L447" s="792"/>
      <c r="M447" s="792"/>
      <c r="N447" s="792"/>
      <c r="O447" s="792"/>
      <c r="P447" s="792"/>
      <c r="Q447" s="792"/>
      <c r="R447" s="792"/>
      <c r="S447" s="792"/>
      <c r="T447" s="792"/>
      <c r="U447" s="792"/>
      <c r="V447" s="793"/>
      <c r="W447" s="792"/>
      <c r="X447" s="792"/>
      <c r="Y447" s="792"/>
      <c r="Z447" s="792"/>
      <c r="AA447" s="792"/>
    </row>
    <row r="448" spans="1:27" ht="15.75" customHeight="1">
      <c r="A448" s="792"/>
      <c r="B448" s="792"/>
      <c r="C448" s="792"/>
      <c r="D448" s="792"/>
      <c r="E448" s="792"/>
      <c r="F448" s="792"/>
      <c r="G448" s="792"/>
      <c r="H448" s="792"/>
      <c r="I448" s="792"/>
      <c r="J448" s="792"/>
      <c r="K448" s="792"/>
      <c r="L448" s="792"/>
      <c r="M448" s="792"/>
      <c r="N448" s="792"/>
      <c r="O448" s="792"/>
      <c r="P448" s="792"/>
      <c r="Q448" s="792"/>
      <c r="R448" s="792"/>
      <c r="S448" s="792"/>
      <c r="T448" s="792"/>
      <c r="U448" s="792"/>
      <c r="V448" s="793"/>
      <c r="W448" s="792"/>
      <c r="X448" s="792"/>
      <c r="Y448" s="792"/>
      <c r="Z448" s="792"/>
      <c r="AA448" s="792"/>
    </row>
    <row r="449" spans="1:27" ht="15.75" customHeight="1">
      <c r="A449" s="792"/>
      <c r="B449" s="792"/>
      <c r="C449" s="792"/>
      <c r="D449" s="792"/>
      <c r="E449" s="792"/>
      <c r="F449" s="792"/>
      <c r="G449" s="792"/>
      <c r="H449" s="792"/>
      <c r="I449" s="792"/>
      <c r="J449" s="792"/>
      <c r="K449" s="792"/>
      <c r="L449" s="792"/>
      <c r="M449" s="792"/>
      <c r="N449" s="792"/>
      <c r="O449" s="792"/>
      <c r="P449" s="792"/>
      <c r="Q449" s="792"/>
      <c r="R449" s="792"/>
      <c r="S449" s="792"/>
      <c r="T449" s="792"/>
      <c r="U449" s="792"/>
      <c r="V449" s="793"/>
      <c r="W449" s="792"/>
      <c r="X449" s="792"/>
      <c r="Y449" s="792"/>
      <c r="Z449" s="792"/>
      <c r="AA449" s="792"/>
    </row>
    <row r="450" spans="1:27" ht="15.75" customHeight="1">
      <c r="A450" s="792"/>
      <c r="B450" s="792"/>
      <c r="C450" s="792"/>
      <c r="D450" s="792"/>
      <c r="E450" s="792"/>
      <c r="F450" s="792"/>
      <c r="G450" s="792"/>
      <c r="H450" s="792"/>
      <c r="I450" s="792"/>
      <c r="J450" s="792"/>
      <c r="K450" s="792"/>
      <c r="L450" s="792"/>
      <c r="M450" s="792"/>
      <c r="N450" s="792"/>
      <c r="O450" s="792"/>
      <c r="P450" s="792"/>
      <c r="Q450" s="792"/>
      <c r="R450" s="792"/>
      <c r="S450" s="792"/>
      <c r="T450" s="792"/>
      <c r="U450" s="792"/>
      <c r="V450" s="793"/>
      <c r="W450" s="792"/>
      <c r="X450" s="792"/>
      <c r="Y450" s="792"/>
      <c r="Z450" s="792"/>
      <c r="AA450" s="792"/>
    </row>
    <row r="451" spans="1:27" ht="15.75" customHeight="1">
      <c r="A451" s="792"/>
      <c r="B451" s="792"/>
      <c r="C451" s="792"/>
      <c r="D451" s="792"/>
      <c r="E451" s="792"/>
      <c r="F451" s="792"/>
      <c r="G451" s="792"/>
      <c r="H451" s="792"/>
      <c r="I451" s="792"/>
      <c r="J451" s="792"/>
      <c r="K451" s="792"/>
      <c r="L451" s="792"/>
      <c r="M451" s="792"/>
      <c r="N451" s="792"/>
      <c r="O451" s="792"/>
      <c r="P451" s="792"/>
      <c r="Q451" s="792"/>
      <c r="R451" s="792"/>
      <c r="S451" s="792"/>
      <c r="T451" s="792"/>
      <c r="U451" s="792"/>
      <c r="V451" s="793"/>
      <c r="W451" s="792"/>
      <c r="X451" s="792"/>
      <c r="Y451" s="792"/>
      <c r="Z451" s="792"/>
      <c r="AA451" s="792"/>
    </row>
    <row r="452" spans="1:27" ht="15.75" customHeight="1">
      <c r="A452" s="792"/>
      <c r="B452" s="792"/>
      <c r="C452" s="792"/>
      <c r="D452" s="792"/>
      <c r="E452" s="792"/>
      <c r="F452" s="792"/>
      <c r="G452" s="792"/>
      <c r="H452" s="792"/>
      <c r="I452" s="792"/>
      <c r="J452" s="792"/>
      <c r="K452" s="792"/>
      <c r="L452" s="792"/>
      <c r="M452" s="792"/>
      <c r="N452" s="792"/>
      <c r="O452" s="792"/>
      <c r="P452" s="792"/>
      <c r="Q452" s="792"/>
      <c r="R452" s="792"/>
      <c r="S452" s="792"/>
      <c r="T452" s="792"/>
      <c r="U452" s="792"/>
      <c r="V452" s="793"/>
      <c r="W452" s="792"/>
      <c r="X452" s="792"/>
      <c r="Y452" s="792"/>
      <c r="Z452" s="792"/>
      <c r="AA452" s="792"/>
    </row>
    <row r="453" spans="1:27" ht="15.75" customHeight="1">
      <c r="A453" s="792"/>
      <c r="B453" s="792"/>
      <c r="C453" s="792"/>
      <c r="D453" s="792"/>
      <c r="E453" s="792"/>
      <c r="F453" s="792"/>
      <c r="G453" s="792"/>
      <c r="H453" s="792"/>
      <c r="I453" s="792"/>
      <c r="J453" s="792"/>
      <c r="K453" s="792"/>
      <c r="L453" s="792"/>
      <c r="M453" s="792"/>
      <c r="N453" s="792"/>
      <c r="O453" s="792"/>
      <c r="P453" s="792"/>
      <c r="Q453" s="792"/>
      <c r="R453" s="792"/>
      <c r="S453" s="792"/>
      <c r="T453" s="792"/>
      <c r="U453" s="792"/>
      <c r="V453" s="793"/>
      <c r="W453" s="792"/>
      <c r="X453" s="792"/>
      <c r="Y453" s="792"/>
      <c r="Z453" s="792"/>
      <c r="AA453" s="792"/>
    </row>
    <row r="454" spans="1:27" ht="15.75" customHeight="1">
      <c r="A454" s="792"/>
      <c r="B454" s="792"/>
      <c r="C454" s="792"/>
      <c r="D454" s="792"/>
      <c r="E454" s="792"/>
      <c r="F454" s="792"/>
      <c r="G454" s="792"/>
      <c r="H454" s="792"/>
      <c r="I454" s="792"/>
      <c r="J454" s="792"/>
      <c r="K454" s="792"/>
      <c r="L454" s="792"/>
      <c r="M454" s="792"/>
      <c r="N454" s="792"/>
      <c r="O454" s="792"/>
      <c r="P454" s="792"/>
      <c r="Q454" s="792"/>
      <c r="R454" s="792"/>
      <c r="S454" s="792"/>
      <c r="T454" s="792"/>
      <c r="U454" s="792"/>
      <c r="V454" s="793"/>
      <c r="W454" s="792"/>
      <c r="X454" s="792"/>
      <c r="Y454" s="792"/>
      <c r="Z454" s="792"/>
      <c r="AA454" s="792"/>
    </row>
    <row r="455" spans="1:27" ht="15.75" customHeight="1">
      <c r="A455" s="792"/>
      <c r="B455" s="792"/>
      <c r="C455" s="792"/>
      <c r="D455" s="792"/>
      <c r="E455" s="792"/>
      <c r="F455" s="792"/>
      <c r="G455" s="792"/>
      <c r="H455" s="792"/>
      <c r="I455" s="792"/>
      <c r="J455" s="792"/>
      <c r="K455" s="792"/>
      <c r="L455" s="792"/>
      <c r="M455" s="792"/>
      <c r="N455" s="792"/>
      <c r="O455" s="792"/>
      <c r="P455" s="792"/>
      <c r="Q455" s="792"/>
      <c r="R455" s="792"/>
      <c r="S455" s="792"/>
      <c r="T455" s="792"/>
      <c r="U455" s="792"/>
      <c r="V455" s="793"/>
      <c r="W455" s="792"/>
      <c r="X455" s="792"/>
      <c r="Y455" s="792"/>
      <c r="Z455" s="792"/>
      <c r="AA455" s="792"/>
    </row>
    <row r="456" spans="1:27" ht="15.75" customHeight="1">
      <c r="A456" s="792"/>
      <c r="B456" s="792"/>
      <c r="C456" s="792"/>
      <c r="D456" s="792"/>
      <c r="E456" s="792"/>
      <c r="F456" s="792"/>
      <c r="G456" s="792"/>
      <c r="H456" s="792"/>
      <c r="I456" s="792"/>
      <c r="J456" s="792"/>
      <c r="K456" s="792"/>
      <c r="L456" s="792"/>
      <c r="M456" s="792"/>
      <c r="N456" s="792"/>
      <c r="O456" s="792"/>
      <c r="P456" s="792"/>
      <c r="Q456" s="792"/>
      <c r="R456" s="792"/>
      <c r="S456" s="792"/>
      <c r="T456" s="792"/>
      <c r="U456" s="792"/>
      <c r="V456" s="793"/>
      <c r="W456" s="792"/>
      <c r="X456" s="792"/>
      <c r="Y456" s="792"/>
      <c r="Z456" s="792"/>
      <c r="AA456" s="792"/>
    </row>
    <row r="457" spans="1:27" ht="15.75" customHeight="1">
      <c r="A457" s="792"/>
      <c r="B457" s="792"/>
      <c r="C457" s="792"/>
      <c r="D457" s="792"/>
      <c r="E457" s="792"/>
      <c r="F457" s="792"/>
      <c r="G457" s="792"/>
      <c r="H457" s="792"/>
      <c r="I457" s="792"/>
      <c r="J457" s="792"/>
      <c r="K457" s="792"/>
      <c r="L457" s="792"/>
      <c r="M457" s="792"/>
      <c r="N457" s="792"/>
      <c r="O457" s="792"/>
      <c r="P457" s="792"/>
      <c r="Q457" s="792"/>
      <c r="R457" s="792"/>
      <c r="S457" s="792"/>
      <c r="T457" s="792"/>
      <c r="U457" s="792"/>
      <c r="V457" s="793"/>
      <c r="W457" s="792"/>
      <c r="X457" s="792"/>
      <c r="Y457" s="792"/>
      <c r="Z457" s="792"/>
      <c r="AA457" s="792"/>
    </row>
    <row r="458" spans="1:27" ht="15.75" customHeight="1">
      <c r="A458" s="792"/>
      <c r="B458" s="792"/>
      <c r="C458" s="792"/>
      <c r="D458" s="792"/>
      <c r="E458" s="792"/>
      <c r="F458" s="792"/>
      <c r="G458" s="792"/>
      <c r="H458" s="792"/>
      <c r="I458" s="792"/>
      <c r="J458" s="792"/>
      <c r="K458" s="792"/>
      <c r="L458" s="792"/>
      <c r="M458" s="792"/>
      <c r="N458" s="792"/>
      <c r="O458" s="792"/>
      <c r="P458" s="792"/>
      <c r="Q458" s="792"/>
      <c r="R458" s="792"/>
      <c r="S458" s="792"/>
      <c r="T458" s="792"/>
      <c r="U458" s="792"/>
      <c r="V458" s="793"/>
      <c r="W458" s="792"/>
      <c r="X458" s="792"/>
      <c r="Y458" s="792"/>
      <c r="Z458" s="792"/>
      <c r="AA458" s="792"/>
    </row>
    <row r="459" spans="1:27" ht="15.75" customHeigh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3"/>
      <c r="W459" s="792"/>
      <c r="X459" s="792"/>
      <c r="Y459" s="792"/>
      <c r="Z459" s="792"/>
      <c r="AA459" s="792"/>
    </row>
    <row r="460" spans="1:27" ht="15.75" customHeight="1">
      <c r="A460" s="792"/>
      <c r="B460" s="792"/>
      <c r="C460" s="792"/>
      <c r="D460" s="792"/>
      <c r="E460" s="792"/>
      <c r="F460" s="792"/>
      <c r="G460" s="792"/>
      <c r="H460" s="792"/>
      <c r="I460" s="792"/>
      <c r="J460" s="792"/>
      <c r="K460" s="792"/>
      <c r="L460" s="792"/>
      <c r="M460" s="792"/>
      <c r="N460" s="792"/>
      <c r="O460" s="792"/>
      <c r="P460" s="792"/>
      <c r="Q460" s="792"/>
      <c r="R460" s="792"/>
      <c r="S460" s="792"/>
      <c r="T460" s="792"/>
      <c r="U460" s="792"/>
      <c r="V460" s="793"/>
      <c r="W460" s="792"/>
      <c r="X460" s="792"/>
      <c r="Y460" s="792"/>
      <c r="Z460" s="792"/>
      <c r="AA460" s="792"/>
    </row>
    <row r="461" spans="1:27" ht="15.75" customHeight="1">
      <c r="A461" s="792"/>
      <c r="B461" s="792"/>
      <c r="C461" s="792"/>
      <c r="D461" s="792"/>
      <c r="E461" s="792"/>
      <c r="F461" s="792"/>
      <c r="G461" s="792"/>
      <c r="H461" s="792"/>
      <c r="I461" s="792"/>
      <c r="J461" s="792"/>
      <c r="K461" s="792"/>
      <c r="L461" s="792"/>
      <c r="M461" s="792"/>
      <c r="N461" s="792"/>
      <c r="O461" s="792"/>
      <c r="P461" s="792"/>
      <c r="Q461" s="792"/>
      <c r="R461" s="792"/>
      <c r="S461" s="792"/>
      <c r="T461" s="792"/>
      <c r="U461" s="792"/>
      <c r="V461" s="793"/>
      <c r="W461" s="792"/>
      <c r="X461" s="792"/>
      <c r="Y461" s="792"/>
      <c r="Z461" s="792"/>
      <c r="AA461" s="792"/>
    </row>
    <row r="462" spans="1:27" ht="15.75" customHeight="1">
      <c r="A462" s="792"/>
      <c r="B462" s="792"/>
      <c r="C462" s="792"/>
      <c r="D462" s="792"/>
      <c r="E462" s="792"/>
      <c r="F462" s="792"/>
      <c r="G462" s="792"/>
      <c r="H462" s="792"/>
      <c r="I462" s="792"/>
      <c r="J462" s="792"/>
      <c r="K462" s="792"/>
      <c r="L462" s="792"/>
      <c r="M462" s="792"/>
      <c r="N462" s="792"/>
      <c r="O462" s="792"/>
      <c r="P462" s="792"/>
      <c r="Q462" s="792"/>
      <c r="R462" s="792"/>
      <c r="S462" s="792"/>
      <c r="T462" s="792"/>
      <c r="U462" s="792"/>
      <c r="V462" s="793"/>
      <c r="W462" s="792"/>
      <c r="X462" s="792"/>
      <c r="Y462" s="792"/>
      <c r="Z462" s="792"/>
      <c r="AA462" s="792"/>
    </row>
    <row r="463" spans="1:27" ht="15.75" customHeight="1">
      <c r="A463" s="792"/>
      <c r="B463" s="792"/>
      <c r="C463" s="792"/>
      <c r="D463" s="792"/>
      <c r="E463" s="792"/>
      <c r="F463" s="792"/>
      <c r="G463" s="792"/>
      <c r="H463" s="792"/>
      <c r="I463" s="792"/>
      <c r="J463" s="792"/>
      <c r="K463" s="792"/>
      <c r="L463" s="792"/>
      <c r="M463" s="792"/>
      <c r="N463" s="792"/>
      <c r="O463" s="792"/>
      <c r="P463" s="792"/>
      <c r="Q463" s="792"/>
      <c r="R463" s="792"/>
      <c r="S463" s="792"/>
      <c r="T463" s="792"/>
      <c r="U463" s="792"/>
      <c r="V463" s="793"/>
      <c r="W463" s="792"/>
      <c r="X463" s="792"/>
      <c r="Y463" s="792"/>
      <c r="Z463" s="792"/>
      <c r="AA463" s="792"/>
    </row>
    <row r="464" spans="1:27" ht="15.75" customHeight="1">
      <c r="A464" s="792"/>
      <c r="B464" s="792"/>
      <c r="C464" s="792"/>
      <c r="D464" s="792"/>
      <c r="E464" s="792"/>
      <c r="F464" s="792"/>
      <c r="G464" s="792"/>
      <c r="H464" s="792"/>
      <c r="I464" s="792"/>
      <c r="J464" s="792"/>
      <c r="K464" s="792"/>
      <c r="L464" s="792"/>
      <c r="M464" s="792"/>
      <c r="N464" s="792"/>
      <c r="O464" s="792"/>
      <c r="P464" s="792"/>
      <c r="Q464" s="792"/>
      <c r="R464" s="792"/>
      <c r="S464" s="792"/>
      <c r="T464" s="792"/>
      <c r="U464" s="792"/>
      <c r="V464" s="793"/>
      <c r="W464" s="792"/>
      <c r="X464" s="792"/>
      <c r="Y464" s="792"/>
      <c r="Z464" s="792"/>
      <c r="AA464" s="792"/>
    </row>
    <row r="465" spans="1:27" ht="15.75" customHeight="1">
      <c r="A465" s="792"/>
      <c r="B465" s="792"/>
      <c r="C465" s="792"/>
      <c r="D465" s="792"/>
      <c r="E465" s="792"/>
      <c r="F465" s="792"/>
      <c r="G465" s="792"/>
      <c r="H465" s="792"/>
      <c r="I465" s="792"/>
      <c r="J465" s="792"/>
      <c r="K465" s="792"/>
      <c r="L465" s="792"/>
      <c r="M465" s="792"/>
      <c r="N465" s="792"/>
      <c r="O465" s="792"/>
      <c r="P465" s="792"/>
      <c r="Q465" s="792"/>
      <c r="R465" s="792"/>
      <c r="S465" s="792"/>
      <c r="T465" s="792"/>
      <c r="U465" s="792"/>
      <c r="V465" s="793"/>
      <c r="W465" s="792"/>
      <c r="X465" s="792"/>
      <c r="Y465" s="792"/>
      <c r="Z465" s="792"/>
      <c r="AA465" s="792"/>
    </row>
    <row r="466" spans="1:27" ht="15.75" customHeight="1">
      <c r="A466" s="792"/>
      <c r="B466" s="792"/>
      <c r="C466" s="792"/>
      <c r="D466" s="792"/>
      <c r="E466" s="792"/>
      <c r="F466" s="792"/>
      <c r="G466" s="792"/>
      <c r="H466" s="792"/>
      <c r="I466" s="792"/>
      <c r="J466" s="792"/>
      <c r="K466" s="792"/>
      <c r="L466" s="792"/>
      <c r="M466" s="792"/>
      <c r="N466" s="792"/>
      <c r="O466" s="792"/>
      <c r="P466" s="792"/>
      <c r="Q466" s="792"/>
      <c r="R466" s="792"/>
      <c r="S466" s="792"/>
      <c r="T466" s="792"/>
      <c r="U466" s="792"/>
      <c r="V466" s="793"/>
      <c r="W466" s="792"/>
      <c r="X466" s="792"/>
      <c r="Y466" s="792"/>
      <c r="Z466" s="792"/>
      <c r="AA466" s="792"/>
    </row>
    <row r="467" spans="1:27" ht="15.75" customHeight="1">
      <c r="A467" s="792"/>
      <c r="B467" s="792"/>
      <c r="C467" s="792"/>
      <c r="D467" s="792"/>
      <c r="E467" s="792"/>
      <c r="F467" s="792"/>
      <c r="G467" s="792"/>
      <c r="H467" s="792"/>
      <c r="I467" s="792"/>
      <c r="J467" s="792"/>
      <c r="K467" s="792"/>
      <c r="L467" s="792"/>
      <c r="M467" s="792"/>
      <c r="N467" s="792"/>
      <c r="O467" s="792"/>
      <c r="P467" s="792"/>
      <c r="Q467" s="792"/>
      <c r="R467" s="792"/>
      <c r="S467" s="792"/>
      <c r="T467" s="792"/>
      <c r="U467" s="792"/>
      <c r="V467" s="793"/>
      <c r="W467" s="792"/>
      <c r="X467" s="792"/>
      <c r="Y467" s="792"/>
      <c r="Z467" s="792"/>
      <c r="AA467" s="792"/>
    </row>
    <row r="468" spans="1:27" ht="15.75" customHeight="1">
      <c r="A468" s="792"/>
      <c r="B468" s="792"/>
      <c r="C468" s="792"/>
      <c r="D468" s="792"/>
      <c r="E468" s="792"/>
      <c r="F468" s="792"/>
      <c r="G468" s="792"/>
      <c r="H468" s="792"/>
      <c r="I468" s="792"/>
      <c r="J468" s="792"/>
      <c r="K468" s="792"/>
      <c r="L468" s="792"/>
      <c r="M468" s="792"/>
      <c r="N468" s="792"/>
      <c r="O468" s="792"/>
      <c r="P468" s="792"/>
      <c r="Q468" s="792"/>
      <c r="R468" s="792"/>
      <c r="S468" s="792"/>
      <c r="T468" s="792"/>
      <c r="U468" s="792"/>
      <c r="V468" s="793"/>
      <c r="W468" s="792"/>
      <c r="X468" s="792"/>
      <c r="Y468" s="792"/>
      <c r="Z468" s="792"/>
      <c r="AA468" s="792"/>
    </row>
    <row r="469" spans="1:27" ht="15.75" customHeight="1">
      <c r="A469" s="792"/>
      <c r="B469" s="792"/>
      <c r="C469" s="792"/>
      <c r="D469" s="792"/>
      <c r="E469" s="792"/>
      <c r="F469" s="792"/>
      <c r="G469" s="792"/>
      <c r="H469" s="792"/>
      <c r="I469" s="792"/>
      <c r="J469" s="792"/>
      <c r="K469" s="792"/>
      <c r="L469" s="792"/>
      <c r="M469" s="792"/>
      <c r="N469" s="792"/>
      <c r="O469" s="792"/>
      <c r="P469" s="792"/>
      <c r="Q469" s="792"/>
      <c r="R469" s="792"/>
      <c r="S469" s="792"/>
      <c r="T469" s="792"/>
      <c r="U469" s="792"/>
      <c r="V469" s="793"/>
      <c r="W469" s="792"/>
      <c r="X469" s="792"/>
      <c r="Y469" s="792"/>
      <c r="Z469" s="792"/>
      <c r="AA469" s="792"/>
    </row>
    <row r="470" spans="1:27" ht="15.75" customHeight="1">
      <c r="A470" s="792"/>
      <c r="B470" s="792"/>
      <c r="C470" s="792"/>
      <c r="D470" s="792"/>
      <c r="E470" s="792"/>
      <c r="F470" s="792"/>
      <c r="G470" s="792"/>
      <c r="H470" s="792"/>
      <c r="I470" s="792"/>
      <c r="J470" s="792"/>
      <c r="K470" s="792"/>
      <c r="L470" s="792"/>
      <c r="M470" s="792"/>
      <c r="N470" s="792"/>
      <c r="O470" s="792"/>
      <c r="P470" s="792"/>
      <c r="Q470" s="792"/>
      <c r="R470" s="792"/>
      <c r="S470" s="792"/>
      <c r="T470" s="792"/>
      <c r="U470" s="792"/>
      <c r="V470" s="793"/>
      <c r="W470" s="792"/>
      <c r="X470" s="792"/>
      <c r="Y470" s="792"/>
      <c r="Z470" s="792"/>
      <c r="AA470" s="792"/>
    </row>
    <row r="471" spans="1:27" ht="15.75" customHeight="1">
      <c r="A471" s="792"/>
      <c r="B471" s="792"/>
      <c r="C471" s="792"/>
      <c r="D471" s="792"/>
      <c r="E471" s="792"/>
      <c r="F471" s="792"/>
      <c r="G471" s="792"/>
      <c r="H471" s="792"/>
      <c r="I471" s="792"/>
      <c r="J471" s="792"/>
      <c r="K471" s="792"/>
      <c r="L471" s="792"/>
      <c r="M471" s="792"/>
      <c r="N471" s="792"/>
      <c r="O471" s="792"/>
      <c r="P471" s="792"/>
      <c r="Q471" s="792"/>
      <c r="R471" s="792"/>
      <c r="S471" s="792"/>
      <c r="T471" s="792"/>
      <c r="U471" s="792"/>
      <c r="V471" s="793"/>
      <c r="W471" s="792"/>
      <c r="X471" s="792"/>
      <c r="Y471" s="792"/>
      <c r="Z471" s="792"/>
      <c r="AA471" s="792"/>
    </row>
    <row r="472" spans="1:27" ht="15.75" customHeight="1">
      <c r="A472" s="792"/>
      <c r="B472" s="792"/>
      <c r="C472" s="792"/>
      <c r="D472" s="792"/>
      <c r="E472" s="792"/>
      <c r="F472" s="792"/>
      <c r="G472" s="792"/>
      <c r="H472" s="792"/>
      <c r="I472" s="792"/>
      <c r="J472" s="792"/>
      <c r="K472" s="792"/>
      <c r="L472" s="792"/>
      <c r="M472" s="792"/>
      <c r="N472" s="792"/>
      <c r="O472" s="792"/>
      <c r="P472" s="792"/>
      <c r="Q472" s="792"/>
      <c r="R472" s="792"/>
      <c r="S472" s="792"/>
      <c r="T472" s="792"/>
      <c r="U472" s="792"/>
      <c r="V472" s="793"/>
      <c r="W472" s="792"/>
      <c r="X472" s="792"/>
      <c r="Y472" s="792"/>
      <c r="Z472" s="792"/>
      <c r="AA472" s="792"/>
    </row>
    <row r="473" spans="1:27" ht="15.75" customHeight="1">
      <c r="A473" s="792"/>
      <c r="B473" s="792"/>
      <c r="C473" s="792"/>
      <c r="D473" s="792"/>
      <c r="E473" s="792"/>
      <c r="F473" s="792"/>
      <c r="G473" s="792"/>
      <c r="H473" s="792"/>
      <c r="I473" s="792"/>
      <c r="J473" s="792"/>
      <c r="K473" s="792"/>
      <c r="L473" s="792"/>
      <c r="M473" s="792"/>
      <c r="N473" s="792"/>
      <c r="O473" s="792"/>
      <c r="P473" s="792"/>
      <c r="Q473" s="792"/>
      <c r="R473" s="792"/>
      <c r="S473" s="792"/>
      <c r="T473" s="792"/>
      <c r="U473" s="792"/>
      <c r="V473" s="793"/>
      <c r="W473" s="792"/>
      <c r="X473" s="792"/>
      <c r="Y473" s="792"/>
      <c r="Z473" s="792"/>
      <c r="AA473" s="792"/>
    </row>
    <row r="474" spans="1:27" ht="15.75" customHeight="1">
      <c r="A474" s="792"/>
      <c r="B474" s="792"/>
      <c r="C474" s="792"/>
      <c r="D474" s="792"/>
      <c r="E474" s="792"/>
      <c r="F474" s="792"/>
      <c r="G474" s="792"/>
      <c r="H474" s="792"/>
      <c r="I474" s="792"/>
      <c r="J474" s="792"/>
      <c r="K474" s="792"/>
      <c r="L474" s="792"/>
      <c r="M474" s="792"/>
      <c r="N474" s="792"/>
      <c r="O474" s="792"/>
      <c r="P474" s="792"/>
      <c r="Q474" s="792"/>
      <c r="R474" s="792"/>
      <c r="S474" s="792"/>
      <c r="T474" s="792"/>
      <c r="U474" s="792"/>
      <c r="V474" s="793"/>
      <c r="W474" s="792"/>
      <c r="X474" s="792"/>
      <c r="Y474" s="792"/>
      <c r="Z474" s="792"/>
      <c r="AA474" s="792"/>
    </row>
    <row r="475" spans="1:27" ht="15.75" customHeight="1">
      <c r="A475" s="792"/>
      <c r="B475" s="792"/>
      <c r="C475" s="792"/>
      <c r="D475" s="792"/>
      <c r="E475" s="792"/>
      <c r="F475" s="792"/>
      <c r="G475" s="792"/>
      <c r="H475" s="792"/>
      <c r="I475" s="792"/>
      <c r="J475" s="792"/>
      <c r="K475" s="792"/>
      <c r="L475" s="792"/>
      <c r="M475" s="792"/>
      <c r="N475" s="792"/>
      <c r="O475" s="792"/>
      <c r="P475" s="792"/>
      <c r="Q475" s="792"/>
      <c r="R475" s="792"/>
      <c r="S475" s="792"/>
      <c r="T475" s="792"/>
      <c r="U475" s="792"/>
      <c r="V475" s="793"/>
      <c r="W475" s="792"/>
      <c r="X475" s="792"/>
      <c r="Y475" s="792"/>
      <c r="Z475" s="792"/>
      <c r="AA475" s="792"/>
    </row>
    <row r="476" spans="1:27" ht="15.75" customHeight="1">
      <c r="A476" s="792"/>
      <c r="B476" s="792"/>
      <c r="C476" s="792"/>
      <c r="D476" s="792"/>
      <c r="E476" s="792"/>
      <c r="F476" s="792"/>
      <c r="G476" s="792"/>
      <c r="H476" s="792"/>
      <c r="I476" s="792"/>
      <c r="J476" s="792"/>
      <c r="K476" s="792"/>
      <c r="L476" s="792"/>
      <c r="M476" s="792"/>
      <c r="N476" s="792"/>
      <c r="O476" s="792"/>
      <c r="P476" s="792"/>
      <c r="Q476" s="792"/>
      <c r="R476" s="792"/>
      <c r="S476" s="792"/>
      <c r="T476" s="792"/>
      <c r="U476" s="792"/>
      <c r="V476" s="793"/>
      <c r="W476" s="792"/>
      <c r="X476" s="792"/>
      <c r="Y476" s="792"/>
      <c r="Z476" s="792"/>
      <c r="AA476" s="792"/>
    </row>
    <row r="477" spans="1:27" ht="15.75" customHeight="1">
      <c r="A477" s="792"/>
      <c r="B477" s="792"/>
      <c r="C477" s="792"/>
      <c r="D477" s="792"/>
      <c r="E477" s="792"/>
      <c r="F477" s="792"/>
      <c r="G477" s="792"/>
      <c r="H477" s="792"/>
      <c r="I477" s="792"/>
      <c r="J477" s="792"/>
      <c r="K477" s="792"/>
      <c r="L477" s="792"/>
      <c r="M477" s="792"/>
      <c r="N477" s="792"/>
      <c r="O477" s="792"/>
      <c r="P477" s="792"/>
      <c r="Q477" s="792"/>
      <c r="R477" s="792"/>
      <c r="S477" s="792"/>
      <c r="T477" s="792"/>
      <c r="U477" s="792"/>
      <c r="V477" s="793"/>
      <c r="W477" s="792"/>
      <c r="X477" s="792"/>
      <c r="Y477" s="792"/>
      <c r="Z477" s="792"/>
      <c r="AA477" s="792"/>
    </row>
    <row r="478" spans="1:27" ht="15.75" customHeight="1">
      <c r="A478" s="792"/>
      <c r="B478" s="792"/>
      <c r="C478" s="792"/>
      <c r="D478" s="792"/>
      <c r="E478" s="792"/>
      <c r="F478" s="792"/>
      <c r="G478" s="792"/>
      <c r="H478" s="792"/>
      <c r="I478" s="792"/>
      <c r="J478" s="792"/>
      <c r="K478" s="792"/>
      <c r="L478" s="792"/>
      <c r="M478" s="792"/>
      <c r="N478" s="792"/>
      <c r="O478" s="792"/>
      <c r="P478" s="792"/>
      <c r="Q478" s="792"/>
      <c r="R478" s="792"/>
      <c r="S478" s="792"/>
      <c r="T478" s="792"/>
      <c r="U478" s="792"/>
      <c r="V478" s="793"/>
      <c r="W478" s="792"/>
      <c r="X478" s="792"/>
      <c r="Y478" s="792"/>
      <c r="Z478" s="792"/>
      <c r="AA478" s="792"/>
    </row>
    <row r="479" spans="1:27" ht="15.75" customHeight="1">
      <c r="A479" s="792"/>
      <c r="B479" s="792"/>
      <c r="C479" s="792"/>
      <c r="D479" s="792"/>
      <c r="E479" s="792"/>
      <c r="F479" s="792"/>
      <c r="G479" s="792"/>
      <c r="H479" s="792"/>
      <c r="I479" s="792"/>
      <c r="J479" s="792"/>
      <c r="K479" s="792"/>
      <c r="L479" s="792"/>
      <c r="M479" s="792"/>
      <c r="N479" s="792"/>
      <c r="O479" s="792"/>
      <c r="P479" s="792"/>
      <c r="Q479" s="792"/>
      <c r="R479" s="792"/>
      <c r="S479" s="792"/>
      <c r="T479" s="792"/>
      <c r="U479" s="792"/>
      <c r="V479" s="793"/>
      <c r="W479" s="792"/>
      <c r="X479" s="792"/>
      <c r="Y479" s="792"/>
      <c r="Z479" s="792"/>
      <c r="AA479" s="792"/>
    </row>
    <row r="480" spans="1:27" ht="15.75" customHeight="1">
      <c r="A480" s="792"/>
      <c r="B480" s="792"/>
      <c r="C480" s="792"/>
      <c r="D480" s="792"/>
      <c r="E480" s="792"/>
      <c r="F480" s="792"/>
      <c r="G480" s="792"/>
      <c r="H480" s="792"/>
      <c r="I480" s="792"/>
      <c r="J480" s="792"/>
      <c r="K480" s="792"/>
      <c r="L480" s="792"/>
      <c r="M480" s="792"/>
      <c r="N480" s="792"/>
      <c r="O480" s="792"/>
      <c r="P480" s="792"/>
      <c r="Q480" s="792"/>
      <c r="R480" s="792"/>
      <c r="S480" s="792"/>
      <c r="T480" s="792"/>
      <c r="U480" s="792"/>
      <c r="V480" s="793"/>
      <c r="W480" s="792"/>
      <c r="X480" s="792"/>
      <c r="Y480" s="792"/>
      <c r="Z480" s="792"/>
      <c r="AA480" s="792"/>
    </row>
    <row r="481" spans="1:27" ht="15.75" customHeight="1">
      <c r="A481" s="792"/>
      <c r="B481" s="792"/>
      <c r="C481" s="792"/>
      <c r="D481" s="792"/>
      <c r="E481" s="792"/>
      <c r="F481" s="792"/>
      <c r="G481" s="792"/>
      <c r="H481" s="792"/>
      <c r="I481" s="792"/>
      <c r="J481" s="792"/>
      <c r="K481" s="792"/>
      <c r="L481" s="792"/>
      <c r="M481" s="792"/>
      <c r="N481" s="792"/>
      <c r="O481" s="792"/>
      <c r="P481" s="792"/>
      <c r="Q481" s="792"/>
      <c r="R481" s="792"/>
      <c r="S481" s="792"/>
      <c r="T481" s="792"/>
      <c r="U481" s="792"/>
      <c r="V481" s="793"/>
      <c r="W481" s="792"/>
      <c r="X481" s="792"/>
      <c r="Y481" s="792"/>
      <c r="Z481" s="792"/>
      <c r="AA481" s="792"/>
    </row>
    <row r="482" spans="1:27" ht="15.75" customHeight="1">
      <c r="A482" s="792"/>
      <c r="B482" s="792"/>
      <c r="C482" s="792"/>
      <c r="D482" s="792"/>
      <c r="E482" s="792"/>
      <c r="F482" s="792"/>
      <c r="G482" s="792"/>
      <c r="H482" s="792"/>
      <c r="I482" s="792"/>
      <c r="J482" s="792"/>
      <c r="K482" s="792"/>
      <c r="L482" s="792"/>
      <c r="M482" s="792"/>
      <c r="N482" s="792"/>
      <c r="O482" s="792"/>
      <c r="P482" s="792"/>
      <c r="Q482" s="792"/>
      <c r="R482" s="792"/>
      <c r="S482" s="792"/>
      <c r="T482" s="792"/>
      <c r="U482" s="792"/>
      <c r="V482" s="793"/>
      <c r="W482" s="792"/>
      <c r="X482" s="792"/>
      <c r="Y482" s="792"/>
      <c r="Z482" s="792"/>
      <c r="AA482" s="792"/>
    </row>
    <row r="483" spans="1:27" ht="15.75" customHeight="1">
      <c r="A483" s="792"/>
      <c r="B483" s="792"/>
      <c r="C483" s="792"/>
      <c r="D483" s="792"/>
      <c r="E483" s="792"/>
      <c r="F483" s="792"/>
      <c r="G483" s="792"/>
      <c r="H483" s="792"/>
      <c r="I483" s="792"/>
      <c r="J483" s="792"/>
      <c r="K483" s="792"/>
      <c r="L483" s="792"/>
      <c r="M483" s="792"/>
      <c r="N483" s="792"/>
      <c r="O483" s="792"/>
      <c r="P483" s="792"/>
      <c r="Q483" s="792"/>
      <c r="R483" s="792"/>
      <c r="S483" s="792"/>
      <c r="T483" s="792"/>
      <c r="U483" s="792"/>
      <c r="V483" s="793"/>
      <c r="W483" s="792"/>
      <c r="X483" s="792"/>
      <c r="Y483" s="792"/>
      <c r="Z483" s="792"/>
      <c r="AA483" s="792"/>
    </row>
    <row r="484" spans="1:27" ht="15.75" customHeight="1">
      <c r="A484" s="792"/>
      <c r="B484" s="792"/>
      <c r="C484" s="792"/>
      <c r="D484" s="792"/>
      <c r="E484" s="792"/>
      <c r="F484" s="792"/>
      <c r="G484" s="792"/>
      <c r="H484" s="792"/>
      <c r="I484" s="792"/>
      <c r="J484" s="792"/>
      <c r="K484" s="792"/>
      <c r="L484" s="792"/>
      <c r="M484" s="792"/>
      <c r="N484" s="792"/>
      <c r="O484" s="792"/>
      <c r="P484" s="792"/>
      <c r="Q484" s="792"/>
      <c r="R484" s="792"/>
      <c r="S484" s="792"/>
      <c r="T484" s="792"/>
      <c r="U484" s="792"/>
      <c r="V484" s="793"/>
      <c r="W484" s="792"/>
      <c r="X484" s="792"/>
      <c r="Y484" s="792"/>
      <c r="Z484" s="792"/>
      <c r="AA484" s="792"/>
    </row>
    <row r="485" spans="1:27" ht="15.75" customHeight="1">
      <c r="A485" s="792"/>
      <c r="B485" s="792"/>
      <c r="C485" s="792"/>
      <c r="D485" s="792"/>
      <c r="E485" s="792"/>
      <c r="F485" s="792"/>
      <c r="G485" s="792"/>
      <c r="H485" s="792"/>
      <c r="I485" s="792"/>
      <c r="J485" s="792"/>
      <c r="K485" s="792"/>
      <c r="L485" s="792"/>
      <c r="M485" s="792"/>
      <c r="N485" s="792"/>
      <c r="O485" s="792"/>
      <c r="P485" s="792"/>
      <c r="Q485" s="792"/>
      <c r="R485" s="792"/>
      <c r="S485" s="792"/>
      <c r="T485" s="792"/>
      <c r="U485" s="792"/>
      <c r="V485" s="793"/>
      <c r="W485" s="792"/>
      <c r="X485" s="792"/>
      <c r="Y485" s="792"/>
      <c r="Z485" s="792"/>
      <c r="AA485" s="792"/>
    </row>
    <row r="486" spans="1:27" ht="15.75" customHeight="1">
      <c r="A486" s="792"/>
      <c r="B486" s="792"/>
      <c r="C486" s="792"/>
      <c r="D486" s="792"/>
      <c r="E486" s="792"/>
      <c r="F486" s="792"/>
      <c r="G486" s="792"/>
      <c r="H486" s="792"/>
      <c r="I486" s="792"/>
      <c r="J486" s="792"/>
      <c r="K486" s="792"/>
      <c r="L486" s="792"/>
      <c r="M486" s="792"/>
      <c r="N486" s="792"/>
      <c r="O486" s="792"/>
      <c r="P486" s="792"/>
      <c r="Q486" s="792"/>
      <c r="R486" s="792"/>
      <c r="S486" s="792"/>
      <c r="T486" s="792"/>
      <c r="U486" s="792"/>
      <c r="V486" s="793"/>
      <c r="W486" s="792"/>
      <c r="X486" s="792"/>
      <c r="Y486" s="792"/>
      <c r="Z486" s="792"/>
      <c r="AA486" s="792"/>
    </row>
    <row r="487" spans="1:27" ht="15.75" customHeight="1">
      <c r="A487" s="792"/>
      <c r="B487" s="792"/>
      <c r="C487" s="792"/>
      <c r="D487" s="792"/>
      <c r="E487" s="792"/>
      <c r="F487" s="792"/>
      <c r="G487" s="792"/>
      <c r="H487" s="792"/>
      <c r="I487" s="792"/>
      <c r="J487" s="792"/>
      <c r="K487" s="792"/>
      <c r="L487" s="792"/>
      <c r="M487" s="792"/>
      <c r="N487" s="792"/>
      <c r="O487" s="792"/>
      <c r="P487" s="792"/>
      <c r="Q487" s="792"/>
      <c r="R487" s="792"/>
      <c r="S487" s="792"/>
      <c r="T487" s="792"/>
      <c r="U487" s="792"/>
      <c r="V487" s="793"/>
      <c r="W487" s="792"/>
      <c r="X487" s="792"/>
      <c r="Y487" s="792"/>
      <c r="Z487" s="792"/>
      <c r="AA487" s="792"/>
    </row>
    <row r="488" spans="1:27" ht="15.75" customHeight="1">
      <c r="A488" s="792"/>
      <c r="B488" s="792"/>
      <c r="C488" s="792"/>
      <c r="D488" s="792"/>
      <c r="E488" s="792"/>
      <c r="F488" s="792"/>
      <c r="G488" s="792"/>
      <c r="H488" s="792"/>
      <c r="I488" s="792"/>
      <c r="J488" s="792"/>
      <c r="K488" s="792"/>
      <c r="L488" s="792"/>
      <c r="M488" s="792"/>
      <c r="N488" s="792"/>
      <c r="O488" s="792"/>
      <c r="P488" s="792"/>
      <c r="Q488" s="792"/>
      <c r="R488" s="792"/>
      <c r="S488" s="792"/>
      <c r="T488" s="792"/>
      <c r="U488" s="792"/>
      <c r="V488" s="793"/>
      <c r="W488" s="792"/>
      <c r="X488" s="792"/>
      <c r="Y488" s="792"/>
      <c r="Z488" s="792"/>
      <c r="AA488" s="792"/>
    </row>
    <row r="489" spans="1:27" ht="15.75" customHeight="1">
      <c r="A489" s="792"/>
      <c r="B489" s="792"/>
      <c r="C489" s="792"/>
      <c r="D489" s="792"/>
      <c r="E489" s="792"/>
      <c r="F489" s="792"/>
      <c r="G489" s="792"/>
      <c r="H489" s="792"/>
      <c r="I489" s="792"/>
      <c r="J489" s="792"/>
      <c r="K489" s="792"/>
      <c r="L489" s="792"/>
      <c r="M489" s="792"/>
      <c r="N489" s="792"/>
      <c r="O489" s="792"/>
      <c r="P489" s="792"/>
      <c r="Q489" s="792"/>
      <c r="R489" s="792"/>
      <c r="S489" s="792"/>
      <c r="T489" s="792"/>
      <c r="U489" s="792"/>
      <c r="V489" s="793"/>
      <c r="W489" s="792"/>
      <c r="X489" s="792"/>
      <c r="Y489" s="792"/>
      <c r="Z489" s="792"/>
      <c r="AA489" s="792"/>
    </row>
    <row r="490" spans="1:27" ht="15.75" customHeight="1">
      <c r="A490" s="792"/>
      <c r="B490" s="792"/>
      <c r="C490" s="792"/>
      <c r="D490" s="792"/>
      <c r="E490" s="792"/>
      <c r="F490" s="792"/>
      <c r="G490" s="792"/>
      <c r="H490" s="792"/>
      <c r="I490" s="792"/>
      <c r="J490" s="792"/>
      <c r="K490" s="792"/>
      <c r="L490" s="792"/>
      <c r="M490" s="792"/>
      <c r="N490" s="792"/>
      <c r="O490" s="792"/>
      <c r="P490" s="792"/>
      <c r="Q490" s="792"/>
      <c r="R490" s="792"/>
      <c r="S490" s="792"/>
      <c r="T490" s="792"/>
      <c r="U490" s="792"/>
      <c r="V490" s="793"/>
      <c r="W490" s="792"/>
      <c r="X490" s="792"/>
      <c r="Y490" s="792"/>
      <c r="Z490" s="792"/>
      <c r="AA490" s="792"/>
    </row>
    <row r="491" spans="1:27" ht="15.75" customHeight="1">
      <c r="A491" s="792"/>
      <c r="B491" s="792"/>
      <c r="C491" s="792"/>
      <c r="D491" s="792"/>
      <c r="E491" s="792"/>
      <c r="F491" s="792"/>
      <c r="G491" s="792"/>
      <c r="H491" s="792"/>
      <c r="I491" s="792"/>
      <c r="J491" s="792"/>
      <c r="K491" s="792"/>
      <c r="L491" s="792"/>
      <c r="M491" s="792"/>
      <c r="N491" s="792"/>
      <c r="O491" s="792"/>
      <c r="P491" s="792"/>
      <c r="Q491" s="792"/>
      <c r="R491" s="792"/>
      <c r="S491" s="792"/>
      <c r="T491" s="792"/>
      <c r="U491" s="792"/>
      <c r="V491" s="793"/>
      <c r="W491" s="792"/>
      <c r="X491" s="792"/>
      <c r="Y491" s="792"/>
      <c r="Z491" s="792"/>
      <c r="AA491" s="792"/>
    </row>
    <row r="492" spans="1:27" ht="15.75" customHeight="1">
      <c r="A492" s="792"/>
      <c r="B492" s="792"/>
      <c r="C492" s="792"/>
      <c r="D492" s="792"/>
      <c r="E492" s="792"/>
      <c r="F492" s="792"/>
      <c r="G492" s="792"/>
      <c r="H492" s="792"/>
      <c r="I492" s="792"/>
      <c r="J492" s="792"/>
      <c r="K492" s="792"/>
      <c r="L492" s="792"/>
      <c r="M492" s="792"/>
      <c r="N492" s="792"/>
      <c r="O492" s="792"/>
      <c r="P492" s="792"/>
      <c r="Q492" s="792"/>
      <c r="R492" s="792"/>
      <c r="S492" s="792"/>
      <c r="T492" s="792"/>
      <c r="U492" s="792"/>
      <c r="V492" s="793"/>
      <c r="W492" s="792"/>
      <c r="X492" s="792"/>
      <c r="Y492" s="792"/>
      <c r="Z492" s="792"/>
      <c r="AA492" s="792"/>
    </row>
    <row r="493" spans="1:27" ht="15.75" customHeight="1">
      <c r="A493" s="792"/>
      <c r="B493" s="792"/>
      <c r="C493" s="792"/>
      <c r="D493" s="792"/>
      <c r="E493" s="792"/>
      <c r="F493" s="792"/>
      <c r="G493" s="792"/>
      <c r="H493" s="792"/>
      <c r="I493" s="792"/>
      <c r="J493" s="792"/>
      <c r="K493" s="792"/>
      <c r="L493" s="792"/>
      <c r="M493" s="792"/>
      <c r="N493" s="792"/>
      <c r="O493" s="792"/>
      <c r="P493" s="792"/>
      <c r="Q493" s="792"/>
      <c r="R493" s="792"/>
      <c r="S493" s="792"/>
      <c r="T493" s="792"/>
      <c r="U493" s="792"/>
      <c r="V493" s="793"/>
      <c r="W493" s="792"/>
      <c r="X493" s="792"/>
      <c r="Y493" s="792"/>
      <c r="Z493" s="792"/>
      <c r="AA493" s="792"/>
    </row>
    <row r="494" spans="1:27" ht="15.75" customHeight="1">
      <c r="A494" s="792"/>
      <c r="B494" s="792"/>
      <c r="C494" s="792"/>
      <c r="D494" s="792"/>
      <c r="E494" s="792"/>
      <c r="F494" s="792"/>
      <c r="G494" s="792"/>
      <c r="H494" s="792"/>
      <c r="I494" s="792"/>
      <c r="J494" s="792"/>
      <c r="K494" s="792"/>
      <c r="L494" s="792"/>
      <c r="M494" s="792"/>
      <c r="N494" s="792"/>
      <c r="O494" s="792"/>
      <c r="P494" s="792"/>
      <c r="Q494" s="792"/>
      <c r="R494" s="792"/>
      <c r="S494" s="792"/>
      <c r="T494" s="792"/>
      <c r="U494" s="792"/>
      <c r="V494" s="793"/>
      <c r="W494" s="792"/>
      <c r="X494" s="792"/>
      <c r="Y494" s="792"/>
      <c r="Z494" s="792"/>
      <c r="AA494" s="792"/>
    </row>
    <row r="495" spans="1:27" ht="15.75" customHeight="1">
      <c r="A495" s="792"/>
      <c r="B495" s="792"/>
      <c r="C495" s="792"/>
      <c r="D495" s="792"/>
      <c r="E495" s="792"/>
      <c r="F495" s="792"/>
      <c r="G495" s="792"/>
      <c r="H495" s="792"/>
      <c r="I495" s="792"/>
      <c r="J495" s="792"/>
      <c r="K495" s="792"/>
      <c r="L495" s="792"/>
      <c r="M495" s="792"/>
      <c r="N495" s="792"/>
      <c r="O495" s="792"/>
      <c r="P495" s="792"/>
      <c r="Q495" s="792"/>
      <c r="R495" s="792"/>
      <c r="S495" s="792"/>
      <c r="T495" s="792"/>
      <c r="U495" s="792"/>
      <c r="V495" s="793"/>
      <c r="W495" s="792"/>
      <c r="X495" s="792"/>
      <c r="Y495" s="792"/>
      <c r="Z495" s="792"/>
      <c r="AA495" s="792"/>
    </row>
    <row r="496" spans="1:27" ht="15.75" customHeight="1">
      <c r="A496" s="792"/>
      <c r="B496" s="792"/>
      <c r="C496" s="792"/>
      <c r="D496" s="792"/>
      <c r="E496" s="792"/>
      <c r="F496" s="792"/>
      <c r="G496" s="792"/>
      <c r="H496" s="792"/>
      <c r="I496" s="792"/>
      <c r="J496" s="792"/>
      <c r="K496" s="792"/>
      <c r="L496" s="792"/>
      <c r="M496" s="792"/>
      <c r="N496" s="792"/>
      <c r="O496" s="792"/>
      <c r="P496" s="792"/>
      <c r="Q496" s="792"/>
      <c r="R496" s="792"/>
      <c r="S496" s="792"/>
      <c r="T496" s="792"/>
      <c r="U496" s="792"/>
      <c r="V496" s="793"/>
      <c r="W496" s="792"/>
      <c r="X496" s="792"/>
      <c r="Y496" s="792"/>
      <c r="Z496" s="792"/>
      <c r="AA496" s="792"/>
    </row>
    <row r="497" spans="1:27" ht="15.75" customHeight="1">
      <c r="A497" s="792"/>
      <c r="B497" s="792"/>
      <c r="C497" s="792"/>
      <c r="D497" s="792"/>
      <c r="E497" s="792"/>
      <c r="F497" s="792"/>
      <c r="G497" s="792"/>
      <c r="H497" s="792"/>
      <c r="I497" s="792"/>
      <c r="J497" s="792"/>
      <c r="K497" s="792"/>
      <c r="L497" s="792"/>
      <c r="M497" s="792"/>
      <c r="N497" s="792"/>
      <c r="O497" s="792"/>
      <c r="P497" s="792"/>
      <c r="Q497" s="792"/>
      <c r="R497" s="792"/>
      <c r="S497" s="792"/>
      <c r="T497" s="792"/>
      <c r="U497" s="792"/>
      <c r="V497" s="793"/>
      <c r="W497" s="792"/>
      <c r="X497" s="792"/>
      <c r="Y497" s="792"/>
      <c r="Z497" s="792"/>
      <c r="AA497" s="792"/>
    </row>
    <row r="498" spans="1:27" ht="15.75" customHeight="1">
      <c r="A498" s="792"/>
      <c r="B498" s="792"/>
      <c r="C498" s="792"/>
      <c r="D498" s="792"/>
      <c r="E498" s="792"/>
      <c r="F498" s="792"/>
      <c r="G498" s="792"/>
      <c r="H498" s="792"/>
      <c r="I498" s="792"/>
      <c r="J498" s="792"/>
      <c r="K498" s="792"/>
      <c r="L498" s="792"/>
      <c r="M498" s="792"/>
      <c r="N498" s="792"/>
      <c r="O498" s="792"/>
      <c r="P498" s="792"/>
      <c r="Q498" s="792"/>
      <c r="R498" s="792"/>
      <c r="S498" s="792"/>
      <c r="T498" s="792"/>
      <c r="U498" s="792"/>
      <c r="V498" s="793"/>
      <c r="W498" s="792"/>
      <c r="X498" s="792"/>
      <c r="Y498" s="792"/>
      <c r="Z498" s="792"/>
      <c r="AA498" s="792"/>
    </row>
    <row r="499" spans="1:27" ht="15.75" customHeight="1">
      <c r="A499" s="792"/>
      <c r="B499" s="792"/>
      <c r="C499" s="792"/>
      <c r="D499" s="792"/>
      <c r="E499" s="792"/>
      <c r="F499" s="792"/>
      <c r="G499" s="792"/>
      <c r="H499" s="792"/>
      <c r="I499" s="792"/>
      <c r="J499" s="792"/>
      <c r="K499" s="792"/>
      <c r="L499" s="792"/>
      <c r="M499" s="792"/>
      <c r="N499" s="792"/>
      <c r="O499" s="792"/>
      <c r="P499" s="792"/>
      <c r="Q499" s="792"/>
      <c r="R499" s="792"/>
      <c r="S499" s="792"/>
      <c r="T499" s="792"/>
      <c r="U499" s="792"/>
      <c r="V499" s="793"/>
      <c r="W499" s="792"/>
      <c r="X499" s="792"/>
      <c r="Y499" s="792"/>
      <c r="Z499" s="792"/>
      <c r="AA499" s="792"/>
    </row>
    <row r="500" spans="1:27" ht="15.75" customHeight="1">
      <c r="A500" s="792"/>
      <c r="B500" s="792"/>
      <c r="C500" s="792"/>
      <c r="D500" s="792"/>
      <c r="E500" s="792"/>
      <c r="F500" s="792"/>
      <c r="G500" s="792"/>
      <c r="H500" s="792"/>
      <c r="I500" s="792"/>
      <c r="J500" s="792"/>
      <c r="K500" s="792"/>
      <c r="L500" s="792"/>
      <c r="M500" s="792"/>
      <c r="N500" s="792"/>
      <c r="O500" s="792"/>
      <c r="P500" s="792"/>
      <c r="Q500" s="792"/>
      <c r="R500" s="792"/>
      <c r="S500" s="792"/>
      <c r="T500" s="792"/>
      <c r="U500" s="792"/>
      <c r="V500" s="793"/>
      <c r="W500" s="792"/>
      <c r="X500" s="792"/>
      <c r="Y500" s="792"/>
      <c r="Z500" s="792"/>
      <c r="AA500" s="792"/>
    </row>
    <row r="501" spans="1:27" ht="15.75" customHeight="1">
      <c r="A501" s="792"/>
      <c r="B501" s="792"/>
      <c r="C501" s="792"/>
      <c r="D501" s="792"/>
      <c r="E501" s="792"/>
      <c r="F501" s="792"/>
      <c r="G501" s="792"/>
      <c r="H501" s="792"/>
      <c r="I501" s="792"/>
      <c r="J501" s="792"/>
      <c r="K501" s="792"/>
      <c r="L501" s="792"/>
      <c r="M501" s="792"/>
      <c r="N501" s="792"/>
      <c r="O501" s="792"/>
      <c r="P501" s="792"/>
      <c r="Q501" s="792"/>
      <c r="R501" s="792"/>
      <c r="S501" s="792"/>
      <c r="T501" s="792"/>
      <c r="U501" s="792"/>
      <c r="V501" s="793"/>
      <c r="W501" s="792"/>
      <c r="X501" s="792"/>
      <c r="Y501" s="792"/>
      <c r="Z501" s="792"/>
      <c r="AA501" s="792"/>
    </row>
    <row r="502" spans="1:27" ht="15.75" customHeight="1">
      <c r="A502" s="792"/>
      <c r="B502" s="792"/>
      <c r="C502" s="792"/>
      <c r="D502" s="792"/>
      <c r="E502" s="792"/>
      <c r="F502" s="792"/>
      <c r="G502" s="792"/>
      <c r="H502" s="792"/>
      <c r="I502" s="792"/>
      <c r="J502" s="792"/>
      <c r="K502" s="792"/>
      <c r="L502" s="792"/>
      <c r="M502" s="792"/>
      <c r="N502" s="792"/>
      <c r="O502" s="792"/>
      <c r="P502" s="792"/>
      <c r="Q502" s="792"/>
      <c r="R502" s="792"/>
      <c r="S502" s="792"/>
      <c r="T502" s="792"/>
      <c r="U502" s="792"/>
      <c r="V502" s="793"/>
      <c r="W502" s="792"/>
      <c r="X502" s="792"/>
      <c r="Y502" s="792"/>
      <c r="Z502" s="792"/>
      <c r="AA502" s="792"/>
    </row>
    <row r="503" spans="1:27" ht="15.75" customHeight="1">
      <c r="A503" s="792"/>
      <c r="B503" s="792"/>
      <c r="C503" s="792"/>
      <c r="D503" s="792"/>
      <c r="E503" s="792"/>
      <c r="F503" s="792"/>
      <c r="G503" s="792"/>
      <c r="H503" s="792"/>
      <c r="I503" s="792"/>
      <c r="J503" s="792"/>
      <c r="K503" s="792"/>
      <c r="L503" s="792"/>
      <c r="M503" s="792"/>
      <c r="N503" s="792"/>
      <c r="O503" s="792"/>
      <c r="P503" s="792"/>
      <c r="Q503" s="792"/>
      <c r="R503" s="792"/>
      <c r="S503" s="792"/>
      <c r="T503" s="792"/>
      <c r="U503" s="792"/>
      <c r="V503" s="793"/>
      <c r="W503" s="792"/>
      <c r="X503" s="792"/>
      <c r="Y503" s="792"/>
      <c r="Z503" s="792"/>
      <c r="AA503" s="792"/>
    </row>
    <row r="504" spans="1:27" ht="15.75" customHeight="1">
      <c r="A504" s="792"/>
      <c r="B504" s="792"/>
      <c r="C504" s="792"/>
      <c r="D504" s="792"/>
      <c r="E504" s="792"/>
      <c r="F504" s="792"/>
      <c r="G504" s="792"/>
      <c r="H504" s="792"/>
      <c r="I504" s="792"/>
      <c r="J504" s="792"/>
      <c r="K504" s="792"/>
      <c r="L504" s="792"/>
      <c r="M504" s="792"/>
      <c r="N504" s="792"/>
      <c r="O504" s="792"/>
      <c r="P504" s="792"/>
      <c r="Q504" s="792"/>
      <c r="R504" s="792"/>
      <c r="S504" s="792"/>
      <c r="T504" s="792"/>
      <c r="U504" s="792"/>
      <c r="V504" s="793"/>
      <c r="W504" s="792"/>
      <c r="X504" s="792"/>
      <c r="Y504" s="792"/>
      <c r="Z504" s="792"/>
      <c r="AA504" s="792"/>
    </row>
    <row r="505" spans="1:27" ht="15.75" customHeight="1">
      <c r="A505" s="792"/>
      <c r="B505" s="792"/>
      <c r="C505" s="792"/>
      <c r="D505" s="792"/>
      <c r="E505" s="792"/>
      <c r="F505" s="792"/>
      <c r="G505" s="792"/>
      <c r="H505" s="792"/>
      <c r="I505" s="792"/>
      <c r="J505" s="792"/>
      <c r="K505" s="792"/>
      <c r="L505" s="792"/>
      <c r="M505" s="792"/>
      <c r="N505" s="792"/>
      <c r="O505" s="792"/>
      <c r="P505" s="792"/>
      <c r="Q505" s="792"/>
      <c r="R505" s="792"/>
      <c r="S505" s="792"/>
      <c r="T505" s="792"/>
      <c r="U505" s="792"/>
      <c r="V505" s="793"/>
      <c r="W505" s="792"/>
      <c r="X505" s="792"/>
      <c r="Y505" s="792"/>
      <c r="Z505" s="792"/>
      <c r="AA505" s="792"/>
    </row>
    <row r="506" spans="1:27" ht="15.75" customHeight="1">
      <c r="A506" s="792"/>
      <c r="B506" s="792"/>
      <c r="C506" s="792"/>
      <c r="D506" s="792"/>
      <c r="E506" s="792"/>
      <c r="F506" s="792"/>
      <c r="G506" s="792"/>
      <c r="H506" s="792"/>
      <c r="I506" s="792"/>
      <c r="J506" s="792"/>
      <c r="K506" s="792"/>
      <c r="L506" s="792"/>
      <c r="M506" s="792"/>
      <c r="N506" s="792"/>
      <c r="O506" s="792"/>
      <c r="P506" s="792"/>
      <c r="Q506" s="792"/>
      <c r="R506" s="792"/>
      <c r="S506" s="792"/>
      <c r="T506" s="792"/>
      <c r="U506" s="792"/>
      <c r="V506" s="793"/>
      <c r="W506" s="792"/>
      <c r="X506" s="792"/>
      <c r="Y506" s="792"/>
      <c r="Z506" s="792"/>
      <c r="AA506" s="792"/>
    </row>
    <row r="507" spans="1:27" ht="15.75" customHeight="1">
      <c r="A507" s="792"/>
      <c r="B507" s="792"/>
      <c r="C507" s="792"/>
      <c r="D507" s="792"/>
      <c r="E507" s="792"/>
      <c r="F507" s="792"/>
      <c r="G507" s="792"/>
      <c r="H507" s="792"/>
      <c r="I507" s="792"/>
      <c r="J507" s="792"/>
      <c r="K507" s="792"/>
      <c r="L507" s="792"/>
      <c r="M507" s="792"/>
      <c r="N507" s="792"/>
      <c r="O507" s="792"/>
      <c r="P507" s="792"/>
      <c r="Q507" s="792"/>
      <c r="R507" s="792"/>
      <c r="S507" s="792"/>
      <c r="T507" s="792"/>
      <c r="U507" s="792"/>
      <c r="V507" s="793"/>
      <c r="W507" s="792"/>
      <c r="X507" s="792"/>
      <c r="Y507" s="792"/>
      <c r="Z507" s="792"/>
      <c r="AA507" s="792"/>
    </row>
    <row r="508" spans="1:27" ht="15.75" customHeight="1">
      <c r="A508" s="792"/>
      <c r="B508" s="792"/>
      <c r="C508" s="792"/>
      <c r="D508" s="792"/>
      <c r="E508" s="792"/>
      <c r="F508" s="792"/>
      <c r="G508" s="792"/>
      <c r="H508" s="792"/>
      <c r="I508" s="792"/>
      <c r="J508" s="792"/>
      <c r="K508" s="792"/>
      <c r="L508" s="792"/>
      <c r="M508" s="792"/>
      <c r="N508" s="792"/>
      <c r="O508" s="792"/>
      <c r="P508" s="792"/>
      <c r="Q508" s="792"/>
      <c r="R508" s="792"/>
      <c r="S508" s="792"/>
      <c r="T508" s="792"/>
      <c r="U508" s="792"/>
      <c r="V508" s="793"/>
      <c r="W508" s="792"/>
      <c r="X508" s="792"/>
      <c r="Y508" s="792"/>
      <c r="Z508" s="792"/>
      <c r="AA508" s="792"/>
    </row>
    <row r="509" spans="1:27" ht="15.75" customHeight="1">
      <c r="A509" s="792"/>
      <c r="B509" s="792"/>
      <c r="C509" s="792"/>
      <c r="D509" s="792"/>
      <c r="E509" s="792"/>
      <c r="F509" s="792"/>
      <c r="G509" s="792"/>
      <c r="H509" s="792"/>
      <c r="I509" s="792"/>
      <c r="J509" s="792"/>
      <c r="K509" s="792"/>
      <c r="L509" s="792"/>
      <c r="M509" s="792"/>
      <c r="N509" s="792"/>
      <c r="O509" s="792"/>
      <c r="P509" s="792"/>
      <c r="Q509" s="792"/>
      <c r="R509" s="792"/>
      <c r="S509" s="792"/>
      <c r="T509" s="792"/>
      <c r="U509" s="792"/>
      <c r="V509" s="793"/>
      <c r="W509" s="792"/>
      <c r="X509" s="792"/>
      <c r="Y509" s="792"/>
      <c r="Z509" s="792"/>
      <c r="AA509" s="792"/>
    </row>
    <row r="510" spans="1:27" ht="15.75" customHeight="1">
      <c r="A510" s="792"/>
      <c r="B510" s="792"/>
      <c r="C510" s="792"/>
      <c r="D510" s="792"/>
      <c r="E510" s="792"/>
      <c r="F510" s="792"/>
      <c r="G510" s="792"/>
      <c r="H510" s="792"/>
      <c r="I510" s="792"/>
      <c r="J510" s="792"/>
      <c r="K510" s="792"/>
      <c r="L510" s="792"/>
      <c r="M510" s="792"/>
      <c r="N510" s="792"/>
      <c r="O510" s="792"/>
      <c r="P510" s="792"/>
      <c r="Q510" s="792"/>
      <c r="R510" s="792"/>
      <c r="S510" s="792"/>
      <c r="T510" s="792"/>
      <c r="U510" s="792"/>
      <c r="V510" s="793"/>
      <c r="W510" s="792"/>
      <c r="X510" s="792"/>
      <c r="Y510" s="792"/>
      <c r="Z510" s="792"/>
      <c r="AA510" s="792"/>
    </row>
    <row r="511" spans="1:27" ht="15.75" customHeight="1">
      <c r="A511" s="792"/>
      <c r="B511" s="792"/>
      <c r="C511" s="792"/>
      <c r="D511" s="792"/>
      <c r="E511" s="792"/>
      <c r="F511" s="792"/>
      <c r="G511" s="792"/>
      <c r="H511" s="792"/>
      <c r="I511" s="792"/>
      <c r="J511" s="792"/>
      <c r="K511" s="792"/>
      <c r="L511" s="792"/>
      <c r="M511" s="792"/>
      <c r="N511" s="792"/>
      <c r="O511" s="792"/>
      <c r="P511" s="792"/>
      <c r="Q511" s="792"/>
      <c r="R511" s="792"/>
      <c r="S511" s="792"/>
      <c r="T511" s="792"/>
      <c r="U511" s="792"/>
      <c r="V511" s="793"/>
      <c r="W511" s="792"/>
      <c r="X511" s="792"/>
      <c r="Y511" s="792"/>
      <c r="Z511" s="792"/>
      <c r="AA511" s="792"/>
    </row>
    <row r="512" spans="1:27" ht="15.75" customHeight="1">
      <c r="A512" s="792"/>
      <c r="B512" s="792"/>
      <c r="C512" s="792"/>
      <c r="D512" s="792"/>
      <c r="E512" s="792"/>
      <c r="F512" s="792"/>
      <c r="G512" s="792"/>
      <c r="H512" s="792"/>
      <c r="I512" s="792"/>
      <c r="J512" s="792"/>
      <c r="K512" s="792"/>
      <c r="L512" s="792"/>
      <c r="M512" s="792"/>
      <c r="N512" s="792"/>
      <c r="O512" s="792"/>
      <c r="P512" s="792"/>
      <c r="Q512" s="792"/>
      <c r="R512" s="792"/>
      <c r="S512" s="792"/>
      <c r="T512" s="792"/>
      <c r="U512" s="792"/>
      <c r="V512" s="793"/>
      <c r="W512" s="792"/>
      <c r="X512" s="792"/>
      <c r="Y512" s="792"/>
      <c r="Z512" s="792"/>
      <c r="AA512" s="792"/>
    </row>
    <row r="513" spans="1:27" ht="15.75" customHeight="1">
      <c r="A513" s="792"/>
      <c r="B513" s="792"/>
      <c r="C513" s="792"/>
      <c r="D513" s="792"/>
      <c r="E513" s="792"/>
      <c r="F513" s="792"/>
      <c r="G513" s="792"/>
      <c r="H513" s="792"/>
      <c r="I513" s="792"/>
      <c r="J513" s="792"/>
      <c r="K513" s="792"/>
      <c r="L513" s="792"/>
      <c r="M513" s="792"/>
      <c r="N513" s="792"/>
      <c r="O513" s="792"/>
      <c r="P513" s="792"/>
      <c r="Q513" s="792"/>
      <c r="R513" s="792"/>
      <c r="S513" s="792"/>
      <c r="T513" s="792"/>
      <c r="U513" s="792"/>
      <c r="V513" s="793"/>
      <c r="W513" s="792"/>
      <c r="X513" s="792"/>
      <c r="Y513" s="792"/>
      <c r="Z513" s="792"/>
      <c r="AA513" s="792"/>
    </row>
    <row r="514" spans="1:27" ht="15.75" customHeight="1">
      <c r="A514" s="792"/>
      <c r="B514" s="792"/>
      <c r="C514" s="792"/>
      <c r="D514" s="792"/>
      <c r="E514" s="792"/>
      <c r="F514" s="792"/>
      <c r="G514" s="792"/>
      <c r="H514" s="792"/>
      <c r="I514" s="792"/>
      <c r="J514" s="792"/>
      <c r="K514" s="792"/>
      <c r="L514" s="792"/>
      <c r="M514" s="792"/>
      <c r="N514" s="792"/>
      <c r="O514" s="792"/>
      <c r="P514" s="792"/>
      <c r="Q514" s="792"/>
      <c r="R514" s="792"/>
      <c r="S514" s="792"/>
      <c r="T514" s="792"/>
      <c r="U514" s="792"/>
      <c r="V514" s="793"/>
      <c r="W514" s="792"/>
      <c r="X514" s="792"/>
      <c r="Y514" s="792"/>
      <c r="Z514" s="792"/>
      <c r="AA514" s="792"/>
    </row>
    <row r="515" spans="1:27" ht="15.75" customHeight="1">
      <c r="A515" s="792"/>
      <c r="B515" s="792"/>
      <c r="C515" s="792"/>
      <c r="D515" s="792"/>
      <c r="E515" s="792"/>
      <c r="F515" s="792"/>
      <c r="G515" s="792"/>
      <c r="H515" s="792"/>
      <c r="I515" s="792"/>
      <c r="J515" s="792"/>
      <c r="K515" s="792"/>
      <c r="L515" s="792"/>
      <c r="M515" s="792"/>
      <c r="N515" s="792"/>
      <c r="O515" s="792"/>
      <c r="P515" s="792"/>
      <c r="Q515" s="792"/>
      <c r="R515" s="792"/>
      <c r="S515" s="792"/>
      <c r="T515" s="792"/>
      <c r="U515" s="792"/>
      <c r="V515" s="793"/>
      <c r="W515" s="792"/>
      <c r="X515" s="792"/>
      <c r="Y515" s="792"/>
      <c r="Z515" s="792"/>
      <c r="AA515" s="792"/>
    </row>
    <row r="516" spans="1:27" ht="15.75" customHeight="1">
      <c r="A516" s="792"/>
      <c r="B516" s="792"/>
      <c r="C516" s="792"/>
      <c r="D516" s="792"/>
      <c r="E516" s="792"/>
      <c r="F516" s="792"/>
      <c r="G516" s="792"/>
      <c r="H516" s="792"/>
      <c r="I516" s="792"/>
      <c r="J516" s="792"/>
      <c r="K516" s="792"/>
      <c r="L516" s="792"/>
      <c r="M516" s="792"/>
      <c r="N516" s="792"/>
      <c r="O516" s="792"/>
      <c r="P516" s="792"/>
      <c r="Q516" s="792"/>
      <c r="R516" s="792"/>
      <c r="S516" s="792"/>
      <c r="T516" s="792"/>
      <c r="U516" s="792"/>
      <c r="V516" s="793"/>
      <c r="W516" s="792"/>
      <c r="X516" s="792"/>
      <c r="Y516" s="792"/>
      <c r="Z516" s="792"/>
      <c r="AA516" s="792"/>
    </row>
    <row r="517" spans="1:27" ht="15.75" customHeight="1">
      <c r="A517" s="792"/>
      <c r="B517" s="792"/>
      <c r="C517" s="792"/>
      <c r="D517" s="792"/>
      <c r="E517" s="792"/>
      <c r="F517" s="792"/>
      <c r="G517" s="792"/>
      <c r="H517" s="792"/>
      <c r="I517" s="792"/>
      <c r="J517" s="792"/>
      <c r="K517" s="792"/>
      <c r="L517" s="792"/>
      <c r="M517" s="792"/>
      <c r="N517" s="792"/>
      <c r="O517" s="792"/>
      <c r="P517" s="792"/>
      <c r="Q517" s="792"/>
      <c r="R517" s="792"/>
      <c r="S517" s="792"/>
      <c r="T517" s="792"/>
      <c r="U517" s="792"/>
      <c r="V517" s="793"/>
      <c r="W517" s="792"/>
      <c r="X517" s="792"/>
      <c r="Y517" s="792"/>
      <c r="Z517" s="792"/>
      <c r="AA517" s="792"/>
    </row>
    <row r="518" spans="1:27" ht="15.75" customHeight="1">
      <c r="A518" s="792"/>
      <c r="B518" s="792"/>
      <c r="C518" s="792"/>
      <c r="D518" s="792"/>
      <c r="E518" s="792"/>
      <c r="F518" s="792"/>
      <c r="G518" s="792"/>
      <c r="H518" s="792"/>
      <c r="I518" s="792"/>
      <c r="J518" s="792"/>
      <c r="K518" s="792"/>
      <c r="L518" s="792"/>
      <c r="M518" s="792"/>
      <c r="N518" s="792"/>
      <c r="O518" s="792"/>
      <c r="P518" s="792"/>
      <c r="Q518" s="792"/>
      <c r="R518" s="792"/>
      <c r="S518" s="792"/>
      <c r="T518" s="792"/>
      <c r="U518" s="792"/>
      <c r="V518" s="793"/>
      <c r="W518" s="792"/>
      <c r="X518" s="792"/>
      <c r="Y518" s="792"/>
      <c r="Z518" s="792"/>
      <c r="AA518" s="792"/>
    </row>
    <row r="519" spans="1:27" ht="15.75" customHeight="1">
      <c r="A519" s="792"/>
      <c r="B519" s="792"/>
      <c r="C519" s="792"/>
      <c r="D519" s="792"/>
      <c r="E519" s="792"/>
      <c r="F519" s="792"/>
      <c r="G519" s="792"/>
      <c r="H519" s="792"/>
      <c r="I519" s="792"/>
      <c r="J519" s="792"/>
      <c r="K519" s="792"/>
      <c r="L519" s="792"/>
      <c r="M519" s="792"/>
      <c r="N519" s="792"/>
      <c r="O519" s="792"/>
      <c r="P519" s="792"/>
      <c r="Q519" s="792"/>
      <c r="R519" s="792"/>
      <c r="S519" s="792"/>
      <c r="T519" s="792"/>
      <c r="U519" s="792"/>
      <c r="V519" s="793"/>
      <c r="W519" s="792"/>
      <c r="X519" s="792"/>
      <c r="Y519" s="792"/>
      <c r="Z519" s="792"/>
      <c r="AA519" s="792"/>
    </row>
    <row r="520" spans="1:27" ht="15.75" customHeight="1">
      <c r="A520" s="792"/>
      <c r="B520" s="792"/>
      <c r="C520" s="792"/>
      <c r="D520" s="792"/>
      <c r="E520" s="792"/>
      <c r="F520" s="792"/>
      <c r="G520" s="792"/>
      <c r="H520" s="792"/>
      <c r="I520" s="792"/>
      <c r="J520" s="792"/>
      <c r="K520" s="792"/>
      <c r="L520" s="792"/>
      <c r="M520" s="792"/>
      <c r="N520" s="792"/>
      <c r="O520" s="792"/>
      <c r="P520" s="792"/>
      <c r="Q520" s="792"/>
      <c r="R520" s="792"/>
      <c r="S520" s="792"/>
      <c r="T520" s="792"/>
      <c r="U520" s="792"/>
      <c r="V520" s="793"/>
      <c r="W520" s="792"/>
      <c r="X520" s="792"/>
      <c r="Y520" s="792"/>
      <c r="Z520" s="792"/>
      <c r="AA520" s="792"/>
    </row>
    <row r="521" spans="1:27" ht="15.75" customHeight="1">
      <c r="A521" s="792"/>
      <c r="B521" s="792"/>
      <c r="C521" s="792"/>
      <c r="D521" s="792"/>
      <c r="E521" s="792"/>
      <c r="F521" s="792"/>
      <c r="G521" s="792"/>
      <c r="H521" s="792"/>
      <c r="I521" s="792"/>
      <c r="J521" s="792"/>
      <c r="K521" s="792"/>
      <c r="L521" s="792"/>
      <c r="M521" s="792"/>
      <c r="N521" s="792"/>
      <c r="O521" s="792"/>
      <c r="P521" s="792"/>
      <c r="Q521" s="792"/>
      <c r="R521" s="792"/>
      <c r="S521" s="792"/>
      <c r="T521" s="792"/>
      <c r="U521" s="792"/>
      <c r="V521" s="793"/>
      <c r="W521" s="792"/>
      <c r="X521" s="792"/>
      <c r="Y521" s="792"/>
      <c r="Z521" s="792"/>
      <c r="AA521" s="792"/>
    </row>
    <row r="522" spans="1:27" ht="15.75" customHeight="1">
      <c r="A522" s="792"/>
      <c r="B522" s="792"/>
      <c r="C522" s="792"/>
      <c r="D522" s="792"/>
      <c r="E522" s="792"/>
      <c r="F522" s="792"/>
      <c r="G522" s="792"/>
      <c r="H522" s="792"/>
      <c r="I522" s="792"/>
      <c r="J522" s="792"/>
      <c r="K522" s="792"/>
      <c r="L522" s="792"/>
      <c r="M522" s="792"/>
      <c r="N522" s="792"/>
      <c r="O522" s="792"/>
      <c r="P522" s="792"/>
      <c r="Q522" s="792"/>
      <c r="R522" s="792"/>
      <c r="S522" s="792"/>
      <c r="T522" s="792"/>
      <c r="U522" s="792"/>
      <c r="V522" s="793"/>
      <c r="W522" s="792"/>
      <c r="X522" s="792"/>
      <c r="Y522" s="792"/>
      <c r="Z522" s="792"/>
      <c r="AA522" s="792"/>
    </row>
    <row r="523" spans="1:27" ht="15.75" customHeight="1">
      <c r="A523" s="792"/>
      <c r="B523" s="792"/>
      <c r="C523" s="792"/>
      <c r="D523" s="792"/>
      <c r="E523" s="792"/>
      <c r="F523" s="792"/>
      <c r="G523" s="792"/>
      <c r="H523" s="792"/>
      <c r="I523" s="792"/>
      <c r="J523" s="792"/>
      <c r="K523" s="792"/>
      <c r="L523" s="792"/>
      <c r="M523" s="792"/>
      <c r="N523" s="792"/>
      <c r="O523" s="792"/>
      <c r="P523" s="792"/>
      <c r="Q523" s="792"/>
      <c r="R523" s="792"/>
      <c r="S523" s="792"/>
      <c r="T523" s="792"/>
      <c r="U523" s="792"/>
      <c r="V523" s="793"/>
      <c r="W523" s="792"/>
      <c r="X523" s="792"/>
      <c r="Y523" s="792"/>
      <c r="Z523" s="792"/>
      <c r="AA523" s="792"/>
    </row>
    <row r="524" spans="1:27" ht="15.75" customHeight="1">
      <c r="A524" s="792"/>
      <c r="B524" s="792"/>
      <c r="C524" s="792"/>
      <c r="D524" s="792"/>
      <c r="E524" s="792"/>
      <c r="F524" s="792"/>
      <c r="G524" s="792"/>
      <c r="H524" s="792"/>
      <c r="I524" s="792"/>
      <c r="J524" s="792"/>
      <c r="K524" s="792"/>
      <c r="L524" s="792"/>
      <c r="M524" s="792"/>
      <c r="N524" s="792"/>
      <c r="O524" s="792"/>
      <c r="P524" s="792"/>
      <c r="Q524" s="792"/>
      <c r="R524" s="792"/>
      <c r="S524" s="792"/>
      <c r="T524" s="792"/>
      <c r="U524" s="792"/>
      <c r="V524" s="793"/>
      <c r="W524" s="792"/>
      <c r="X524" s="792"/>
      <c r="Y524" s="792"/>
      <c r="Z524" s="792"/>
      <c r="AA524" s="792"/>
    </row>
    <row r="525" spans="1:27" ht="15.75" customHeight="1">
      <c r="A525" s="792"/>
      <c r="B525" s="792"/>
      <c r="C525" s="792"/>
      <c r="D525" s="792"/>
      <c r="E525" s="792"/>
      <c r="F525" s="792"/>
      <c r="G525" s="792"/>
      <c r="H525" s="792"/>
      <c r="I525" s="792"/>
      <c r="J525" s="792"/>
      <c r="K525" s="792"/>
      <c r="L525" s="792"/>
      <c r="M525" s="792"/>
      <c r="N525" s="792"/>
      <c r="O525" s="792"/>
      <c r="P525" s="792"/>
      <c r="Q525" s="792"/>
      <c r="R525" s="792"/>
      <c r="S525" s="792"/>
      <c r="T525" s="792"/>
      <c r="U525" s="792"/>
      <c r="V525" s="793"/>
      <c r="W525" s="792"/>
      <c r="X525" s="792"/>
      <c r="Y525" s="792"/>
      <c r="Z525" s="792"/>
      <c r="AA525" s="792"/>
    </row>
    <row r="526" spans="1:27" ht="15.75" customHeight="1">
      <c r="A526" s="792"/>
      <c r="B526" s="792"/>
      <c r="C526" s="792"/>
      <c r="D526" s="792"/>
      <c r="E526" s="792"/>
      <c r="F526" s="792"/>
      <c r="G526" s="792"/>
      <c r="H526" s="792"/>
      <c r="I526" s="792"/>
      <c r="J526" s="792"/>
      <c r="K526" s="792"/>
      <c r="L526" s="792"/>
      <c r="M526" s="792"/>
      <c r="N526" s="792"/>
      <c r="O526" s="792"/>
      <c r="P526" s="792"/>
      <c r="Q526" s="792"/>
      <c r="R526" s="792"/>
      <c r="S526" s="792"/>
      <c r="T526" s="792"/>
      <c r="U526" s="792"/>
      <c r="V526" s="793"/>
      <c r="W526" s="792"/>
      <c r="X526" s="792"/>
      <c r="Y526" s="792"/>
      <c r="Z526" s="792"/>
      <c r="AA526" s="792"/>
    </row>
    <row r="527" spans="1:27" ht="15.75" customHeight="1">
      <c r="A527" s="792"/>
      <c r="B527" s="792"/>
      <c r="C527" s="792"/>
      <c r="D527" s="792"/>
      <c r="E527" s="792"/>
      <c r="F527" s="792"/>
      <c r="G527" s="792"/>
      <c r="H527" s="792"/>
      <c r="I527" s="792"/>
      <c r="J527" s="792"/>
      <c r="K527" s="792"/>
      <c r="L527" s="792"/>
      <c r="M527" s="792"/>
      <c r="N527" s="792"/>
      <c r="O527" s="792"/>
      <c r="P527" s="792"/>
      <c r="Q527" s="792"/>
      <c r="R527" s="792"/>
      <c r="S527" s="792"/>
      <c r="T527" s="792"/>
      <c r="U527" s="792"/>
      <c r="V527" s="793"/>
      <c r="W527" s="792"/>
      <c r="X527" s="792"/>
      <c r="Y527" s="792"/>
      <c r="Z527" s="792"/>
      <c r="AA527" s="792"/>
    </row>
    <row r="528" spans="1:27" ht="15.75" customHeight="1">
      <c r="A528" s="792"/>
      <c r="B528" s="792"/>
      <c r="C528" s="792"/>
      <c r="D528" s="792"/>
      <c r="E528" s="792"/>
      <c r="F528" s="792"/>
      <c r="G528" s="792"/>
      <c r="H528" s="792"/>
      <c r="I528" s="792"/>
      <c r="J528" s="792"/>
      <c r="K528" s="792"/>
      <c r="L528" s="792"/>
      <c r="M528" s="792"/>
      <c r="N528" s="792"/>
      <c r="O528" s="792"/>
      <c r="P528" s="792"/>
      <c r="Q528" s="792"/>
      <c r="R528" s="792"/>
      <c r="S528" s="792"/>
      <c r="T528" s="792"/>
      <c r="U528" s="792"/>
      <c r="V528" s="793"/>
      <c r="W528" s="792"/>
      <c r="X528" s="792"/>
      <c r="Y528" s="792"/>
      <c r="Z528" s="792"/>
      <c r="AA528" s="792"/>
    </row>
    <row r="529" spans="1:27" ht="15.75" customHeight="1">
      <c r="A529" s="792"/>
      <c r="B529" s="792"/>
      <c r="C529" s="792"/>
      <c r="D529" s="792"/>
      <c r="E529" s="792"/>
      <c r="F529" s="792"/>
      <c r="G529" s="792"/>
      <c r="H529" s="792"/>
      <c r="I529" s="792"/>
      <c r="J529" s="792"/>
      <c r="K529" s="792"/>
      <c r="L529" s="792"/>
      <c r="M529" s="792"/>
      <c r="N529" s="792"/>
      <c r="O529" s="792"/>
      <c r="P529" s="792"/>
      <c r="Q529" s="792"/>
      <c r="R529" s="792"/>
      <c r="S529" s="792"/>
      <c r="T529" s="792"/>
      <c r="U529" s="792"/>
      <c r="V529" s="793"/>
      <c r="W529" s="792"/>
      <c r="X529" s="792"/>
      <c r="Y529" s="792"/>
      <c r="Z529" s="792"/>
      <c r="AA529" s="792"/>
    </row>
    <row r="530" spans="1:27" ht="15.75" customHeight="1">
      <c r="A530" s="792"/>
      <c r="B530" s="792"/>
      <c r="C530" s="792"/>
      <c r="D530" s="792"/>
      <c r="E530" s="792"/>
      <c r="F530" s="792"/>
      <c r="G530" s="792"/>
      <c r="H530" s="792"/>
      <c r="I530" s="792"/>
      <c r="J530" s="792"/>
      <c r="K530" s="792"/>
      <c r="L530" s="792"/>
      <c r="M530" s="792"/>
      <c r="N530" s="792"/>
      <c r="O530" s="792"/>
      <c r="P530" s="792"/>
      <c r="Q530" s="792"/>
      <c r="R530" s="792"/>
      <c r="S530" s="792"/>
      <c r="T530" s="792"/>
      <c r="U530" s="792"/>
      <c r="V530" s="793"/>
      <c r="W530" s="792"/>
      <c r="X530" s="792"/>
      <c r="Y530" s="792"/>
      <c r="Z530" s="792"/>
      <c r="AA530" s="792"/>
    </row>
    <row r="531" spans="1:27" ht="15.75" customHeight="1">
      <c r="A531" s="792"/>
      <c r="B531" s="792"/>
      <c r="C531" s="792"/>
      <c r="D531" s="792"/>
      <c r="E531" s="792"/>
      <c r="F531" s="792"/>
      <c r="G531" s="792"/>
      <c r="H531" s="792"/>
      <c r="I531" s="792"/>
      <c r="J531" s="792"/>
      <c r="K531" s="792"/>
      <c r="L531" s="792"/>
      <c r="M531" s="792"/>
      <c r="N531" s="792"/>
      <c r="O531" s="792"/>
      <c r="P531" s="792"/>
      <c r="Q531" s="792"/>
      <c r="R531" s="792"/>
      <c r="S531" s="792"/>
      <c r="T531" s="792"/>
      <c r="U531" s="792"/>
      <c r="V531" s="793"/>
      <c r="W531" s="792"/>
      <c r="X531" s="792"/>
      <c r="Y531" s="792"/>
      <c r="Z531" s="792"/>
      <c r="AA531" s="792"/>
    </row>
    <row r="532" spans="1:27" ht="15.75" customHeight="1">
      <c r="A532" s="792"/>
      <c r="B532" s="792"/>
      <c r="C532" s="792"/>
      <c r="D532" s="792"/>
      <c r="E532" s="792"/>
      <c r="F532" s="792"/>
      <c r="G532" s="792"/>
      <c r="H532" s="792"/>
      <c r="I532" s="792"/>
      <c r="J532" s="792"/>
      <c r="K532" s="792"/>
      <c r="L532" s="792"/>
      <c r="M532" s="792"/>
      <c r="N532" s="792"/>
      <c r="O532" s="792"/>
      <c r="P532" s="792"/>
      <c r="Q532" s="792"/>
      <c r="R532" s="792"/>
      <c r="S532" s="792"/>
      <c r="T532" s="792"/>
      <c r="U532" s="792"/>
      <c r="V532" s="793"/>
      <c r="W532" s="792"/>
      <c r="X532" s="792"/>
      <c r="Y532" s="792"/>
      <c r="Z532" s="792"/>
      <c r="AA532" s="792"/>
    </row>
    <row r="533" spans="1:27" ht="15.75" customHeight="1">
      <c r="A533" s="792"/>
      <c r="B533" s="792"/>
      <c r="C533" s="792"/>
      <c r="D533" s="792"/>
      <c r="E533" s="792"/>
      <c r="F533" s="792"/>
      <c r="G533" s="792"/>
      <c r="H533" s="792"/>
      <c r="I533" s="792"/>
      <c r="J533" s="792"/>
      <c r="K533" s="792"/>
      <c r="L533" s="792"/>
      <c r="M533" s="792"/>
      <c r="N533" s="792"/>
      <c r="O533" s="792"/>
      <c r="P533" s="792"/>
      <c r="Q533" s="792"/>
      <c r="R533" s="792"/>
      <c r="S533" s="792"/>
      <c r="T533" s="792"/>
      <c r="U533" s="792"/>
      <c r="V533" s="793"/>
      <c r="W533" s="792"/>
      <c r="X533" s="792"/>
      <c r="Y533" s="792"/>
      <c r="Z533" s="792"/>
      <c r="AA533" s="792"/>
    </row>
    <row r="534" spans="1:27" ht="15.75" customHeight="1">
      <c r="A534" s="792"/>
      <c r="B534" s="792"/>
      <c r="C534" s="792"/>
      <c r="D534" s="792"/>
      <c r="E534" s="792"/>
      <c r="F534" s="792"/>
      <c r="G534" s="792"/>
      <c r="H534" s="792"/>
      <c r="I534" s="792"/>
      <c r="J534" s="792"/>
      <c r="K534" s="792"/>
      <c r="L534" s="792"/>
      <c r="M534" s="792"/>
      <c r="N534" s="792"/>
      <c r="O534" s="792"/>
      <c r="P534" s="792"/>
      <c r="Q534" s="792"/>
      <c r="R534" s="792"/>
      <c r="S534" s="792"/>
      <c r="T534" s="792"/>
      <c r="U534" s="792"/>
      <c r="V534" s="793"/>
      <c r="W534" s="792"/>
      <c r="X534" s="792"/>
      <c r="Y534" s="792"/>
      <c r="Z534" s="792"/>
      <c r="AA534" s="792"/>
    </row>
    <row r="535" spans="1:27" ht="15.75" customHeight="1">
      <c r="A535" s="792"/>
      <c r="B535" s="792"/>
      <c r="C535" s="792"/>
      <c r="D535" s="792"/>
      <c r="E535" s="792"/>
      <c r="F535" s="792"/>
      <c r="G535" s="792"/>
      <c r="H535" s="792"/>
      <c r="I535" s="792"/>
      <c r="J535" s="792"/>
      <c r="K535" s="792"/>
      <c r="L535" s="792"/>
      <c r="M535" s="792"/>
      <c r="N535" s="792"/>
      <c r="O535" s="792"/>
      <c r="P535" s="792"/>
      <c r="Q535" s="792"/>
      <c r="R535" s="792"/>
      <c r="S535" s="792"/>
      <c r="T535" s="792"/>
      <c r="U535" s="792"/>
      <c r="V535" s="793"/>
      <c r="W535" s="792"/>
      <c r="X535" s="792"/>
      <c r="Y535" s="792"/>
      <c r="Z535" s="792"/>
      <c r="AA535" s="792"/>
    </row>
    <row r="536" spans="1:27" ht="15.75" customHeight="1">
      <c r="A536" s="792"/>
      <c r="B536" s="792"/>
      <c r="C536" s="792"/>
      <c r="D536" s="792"/>
      <c r="E536" s="792"/>
      <c r="F536" s="792"/>
      <c r="G536" s="792"/>
      <c r="H536" s="792"/>
      <c r="I536" s="792"/>
      <c r="J536" s="792"/>
      <c r="K536" s="792"/>
      <c r="L536" s="792"/>
      <c r="M536" s="792"/>
      <c r="N536" s="792"/>
      <c r="O536" s="792"/>
      <c r="P536" s="792"/>
      <c r="Q536" s="792"/>
      <c r="R536" s="792"/>
      <c r="S536" s="792"/>
      <c r="T536" s="792"/>
      <c r="U536" s="792"/>
      <c r="V536" s="793"/>
      <c r="W536" s="792"/>
      <c r="X536" s="792"/>
      <c r="Y536" s="792"/>
      <c r="Z536" s="792"/>
      <c r="AA536" s="792"/>
    </row>
    <row r="537" spans="1:27" ht="15.75" customHeight="1">
      <c r="A537" s="792"/>
      <c r="B537" s="792"/>
      <c r="C537" s="792"/>
      <c r="D537" s="792"/>
      <c r="E537" s="792"/>
      <c r="F537" s="792"/>
      <c r="G537" s="792"/>
      <c r="H537" s="792"/>
      <c r="I537" s="792"/>
      <c r="J537" s="792"/>
      <c r="K537" s="792"/>
      <c r="L537" s="792"/>
      <c r="M537" s="792"/>
      <c r="N537" s="792"/>
      <c r="O537" s="792"/>
      <c r="P537" s="792"/>
      <c r="Q537" s="792"/>
      <c r="R537" s="792"/>
      <c r="S537" s="792"/>
      <c r="T537" s="792"/>
      <c r="U537" s="792"/>
      <c r="V537" s="793"/>
      <c r="W537" s="792"/>
      <c r="X537" s="792"/>
      <c r="Y537" s="792"/>
      <c r="Z537" s="792"/>
      <c r="AA537" s="792"/>
    </row>
    <row r="538" spans="1:27" ht="15.75" customHeight="1">
      <c r="A538" s="792"/>
      <c r="B538" s="792"/>
      <c r="C538" s="792"/>
      <c r="D538" s="792"/>
      <c r="E538" s="792"/>
      <c r="F538" s="792"/>
      <c r="G538" s="792"/>
      <c r="H538" s="792"/>
      <c r="I538" s="792"/>
      <c r="J538" s="792"/>
      <c r="K538" s="792"/>
      <c r="L538" s="792"/>
      <c r="M538" s="792"/>
      <c r="N538" s="792"/>
      <c r="O538" s="792"/>
      <c r="P538" s="792"/>
      <c r="Q538" s="792"/>
      <c r="R538" s="792"/>
      <c r="S538" s="792"/>
      <c r="T538" s="792"/>
      <c r="U538" s="792"/>
      <c r="V538" s="793"/>
      <c r="W538" s="792"/>
      <c r="X538" s="792"/>
      <c r="Y538" s="792"/>
      <c r="Z538" s="792"/>
      <c r="AA538" s="792"/>
    </row>
    <row r="539" spans="1:27" ht="15.75" customHeight="1">
      <c r="A539" s="792"/>
      <c r="B539" s="792"/>
      <c r="C539" s="792"/>
      <c r="D539" s="792"/>
      <c r="E539" s="792"/>
      <c r="F539" s="792"/>
      <c r="G539" s="792"/>
      <c r="H539" s="792"/>
      <c r="I539" s="792"/>
      <c r="J539" s="792"/>
      <c r="K539" s="792"/>
      <c r="L539" s="792"/>
      <c r="M539" s="792"/>
      <c r="N539" s="792"/>
      <c r="O539" s="792"/>
      <c r="P539" s="792"/>
      <c r="Q539" s="792"/>
      <c r="R539" s="792"/>
      <c r="S539" s="792"/>
      <c r="T539" s="792"/>
      <c r="U539" s="792"/>
      <c r="V539" s="793"/>
      <c r="W539" s="792"/>
      <c r="X539" s="792"/>
      <c r="Y539" s="792"/>
      <c r="Z539" s="792"/>
      <c r="AA539" s="792"/>
    </row>
    <row r="540" spans="1:27" ht="15.75" customHeight="1">
      <c r="A540" s="792"/>
      <c r="B540" s="792"/>
      <c r="C540" s="792"/>
      <c r="D540" s="792"/>
      <c r="E540" s="792"/>
      <c r="F540" s="792"/>
      <c r="G540" s="792"/>
      <c r="H540" s="792"/>
      <c r="I540" s="792"/>
      <c r="J540" s="792"/>
      <c r="K540" s="792"/>
      <c r="L540" s="792"/>
      <c r="M540" s="792"/>
      <c r="N540" s="792"/>
      <c r="O540" s="792"/>
      <c r="P540" s="792"/>
      <c r="Q540" s="792"/>
      <c r="R540" s="792"/>
      <c r="S540" s="792"/>
      <c r="T540" s="792"/>
      <c r="U540" s="792"/>
      <c r="V540" s="793"/>
      <c r="W540" s="792"/>
      <c r="X540" s="792"/>
      <c r="Y540" s="792"/>
      <c r="Z540" s="792"/>
      <c r="AA540" s="792"/>
    </row>
    <row r="541" spans="1:27" ht="15.75" customHeight="1">
      <c r="A541" s="792"/>
      <c r="B541" s="792"/>
      <c r="C541" s="792"/>
      <c r="D541" s="792"/>
      <c r="E541" s="792"/>
      <c r="F541" s="792"/>
      <c r="G541" s="792"/>
      <c r="H541" s="792"/>
      <c r="I541" s="792"/>
      <c r="J541" s="792"/>
      <c r="K541" s="792"/>
      <c r="L541" s="792"/>
      <c r="M541" s="792"/>
      <c r="N541" s="792"/>
      <c r="O541" s="792"/>
      <c r="P541" s="792"/>
      <c r="Q541" s="792"/>
      <c r="R541" s="792"/>
      <c r="S541" s="792"/>
      <c r="T541" s="792"/>
      <c r="U541" s="792"/>
      <c r="V541" s="793"/>
      <c r="W541" s="792"/>
      <c r="X541" s="792"/>
      <c r="Y541" s="792"/>
      <c r="Z541" s="792"/>
      <c r="AA541" s="792"/>
    </row>
    <row r="542" spans="1:27" ht="15.75" customHeight="1">
      <c r="A542" s="792"/>
      <c r="B542" s="792"/>
      <c r="C542" s="792"/>
      <c r="D542" s="792"/>
      <c r="E542" s="792"/>
      <c r="F542" s="792"/>
      <c r="G542" s="792"/>
      <c r="H542" s="792"/>
      <c r="I542" s="792"/>
      <c r="J542" s="792"/>
      <c r="K542" s="792"/>
      <c r="L542" s="792"/>
      <c r="M542" s="792"/>
      <c r="N542" s="792"/>
      <c r="O542" s="792"/>
      <c r="P542" s="792"/>
      <c r="Q542" s="792"/>
      <c r="R542" s="792"/>
      <c r="S542" s="792"/>
      <c r="T542" s="792"/>
      <c r="U542" s="792"/>
      <c r="V542" s="793"/>
      <c r="W542" s="792"/>
      <c r="X542" s="792"/>
      <c r="Y542" s="792"/>
      <c r="Z542" s="792"/>
      <c r="AA542" s="792"/>
    </row>
    <row r="543" spans="1:27" ht="15.75" customHeight="1">
      <c r="A543" s="792"/>
      <c r="B543" s="792"/>
      <c r="C543" s="792"/>
      <c r="D543" s="792"/>
      <c r="E543" s="792"/>
      <c r="F543" s="792"/>
      <c r="G543" s="792"/>
      <c r="H543" s="792"/>
      <c r="I543" s="792"/>
      <c r="J543" s="792"/>
      <c r="K543" s="792"/>
      <c r="L543" s="792"/>
      <c r="M543" s="792"/>
      <c r="N543" s="792"/>
      <c r="O543" s="792"/>
      <c r="P543" s="792"/>
      <c r="Q543" s="792"/>
      <c r="R543" s="792"/>
      <c r="S543" s="792"/>
      <c r="T543" s="792"/>
      <c r="U543" s="792"/>
      <c r="V543" s="793"/>
      <c r="W543" s="792"/>
      <c r="X543" s="792"/>
      <c r="Y543" s="792"/>
      <c r="Z543" s="792"/>
      <c r="AA543" s="792"/>
    </row>
    <row r="544" spans="1:27" ht="15.75" customHeight="1">
      <c r="A544" s="792"/>
      <c r="B544" s="792"/>
      <c r="C544" s="792"/>
      <c r="D544" s="792"/>
      <c r="E544" s="792"/>
      <c r="F544" s="792"/>
      <c r="G544" s="792"/>
      <c r="H544" s="792"/>
      <c r="I544" s="792"/>
      <c r="J544" s="792"/>
      <c r="K544" s="792"/>
      <c r="L544" s="792"/>
      <c r="M544" s="792"/>
      <c r="N544" s="792"/>
      <c r="O544" s="792"/>
      <c r="P544" s="792"/>
      <c r="Q544" s="792"/>
      <c r="R544" s="792"/>
      <c r="S544" s="792"/>
      <c r="T544" s="792"/>
      <c r="U544" s="792"/>
      <c r="V544" s="793"/>
      <c r="W544" s="792"/>
      <c r="X544" s="792"/>
      <c r="Y544" s="792"/>
      <c r="Z544" s="792"/>
      <c r="AA544" s="792"/>
    </row>
    <row r="545" spans="1:27" ht="15.75" customHeight="1">
      <c r="A545" s="792"/>
      <c r="B545" s="792"/>
      <c r="C545" s="792"/>
      <c r="D545" s="792"/>
      <c r="E545" s="792"/>
      <c r="F545" s="792"/>
      <c r="G545" s="792"/>
      <c r="H545" s="792"/>
      <c r="I545" s="792"/>
      <c r="J545" s="792"/>
      <c r="K545" s="792"/>
      <c r="L545" s="792"/>
      <c r="M545" s="792"/>
      <c r="N545" s="792"/>
      <c r="O545" s="792"/>
      <c r="P545" s="792"/>
      <c r="Q545" s="792"/>
      <c r="R545" s="792"/>
      <c r="S545" s="792"/>
      <c r="T545" s="792"/>
      <c r="U545" s="792"/>
      <c r="V545" s="793"/>
      <c r="W545" s="792"/>
      <c r="X545" s="792"/>
      <c r="Y545" s="792"/>
      <c r="Z545" s="792"/>
      <c r="AA545" s="792"/>
    </row>
    <row r="546" spans="1:27" ht="15.75" customHeight="1">
      <c r="A546" s="792"/>
      <c r="B546" s="792"/>
      <c r="C546" s="792"/>
      <c r="D546" s="792"/>
      <c r="E546" s="792"/>
      <c r="F546" s="792"/>
      <c r="G546" s="792"/>
      <c r="H546" s="792"/>
      <c r="I546" s="792"/>
      <c r="J546" s="792"/>
      <c r="K546" s="792"/>
      <c r="L546" s="792"/>
      <c r="M546" s="792"/>
      <c r="N546" s="792"/>
      <c r="O546" s="792"/>
      <c r="P546" s="792"/>
      <c r="Q546" s="792"/>
      <c r="R546" s="792"/>
      <c r="S546" s="792"/>
      <c r="T546" s="792"/>
      <c r="U546" s="792"/>
      <c r="V546" s="793"/>
      <c r="W546" s="792"/>
      <c r="X546" s="792"/>
      <c r="Y546" s="792"/>
      <c r="Z546" s="792"/>
      <c r="AA546" s="792"/>
    </row>
    <row r="547" spans="1:27" ht="15.75" customHeight="1">
      <c r="A547" s="792"/>
      <c r="B547" s="792"/>
      <c r="C547" s="792"/>
      <c r="D547" s="792"/>
      <c r="E547" s="792"/>
      <c r="F547" s="792"/>
      <c r="G547" s="792"/>
      <c r="H547" s="792"/>
      <c r="I547" s="792"/>
      <c r="J547" s="792"/>
      <c r="K547" s="792"/>
      <c r="L547" s="792"/>
      <c r="M547" s="792"/>
      <c r="N547" s="792"/>
      <c r="O547" s="792"/>
      <c r="P547" s="792"/>
      <c r="Q547" s="792"/>
      <c r="R547" s="792"/>
      <c r="S547" s="792"/>
      <c r="T547" s="792"/>
      <c r="U547" s="792"/>
      <c r="V547" s="793"/>
      <c r="W547" s="792"/>
      <c r="X547" s="792"/>
      <c r="Y547" s="792"/>
      <c r="Z547" s="792"/>
      <c r="AA547" s="792"/>
    </row>
    <row r="548" spans="1:27" ht="15.75" customHeight="1">
      <c r="A548" s="792"/>
      <c r="B548" s="792"/>
      <c r="C548" s="792"/>
      <c r="D548" s="792"/>
      <c r="E548" s="792"/>
      <c r="F548" s="792"/>
      <c r="G548" s="792"/>
      <c r="H548" s="792"/>
      <c r="I548" s="792"/>
      <c r="J548" s="792"/>
      <c r="K548" s="792"/>
      <c r="L548" s="792"/>
      <c r="M548" s="792"/>
      <c r="N548" s="792"/>
      <c r="O548" s="792"/>
      <c r="P548" s="792"/>
      <c r="Q548" s="792"/>
      <c r="R548" s="792"/>
      <c r="S548" s="792"/>
      <c r="T548" s="792"/>
      <c r="U548" s="792"/>
      <c r="V548" s="793"/>
      <c r="W548" s="792"/>
      <c r="X548" s="792"/>
      <c r="Y548" s="792"/>
      <c r="Z548" s="792"/>
      <c r="AA548" s="792"/>
    </row>
    <row r="549" spans="1:27" ht="15.75" customHeigh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3"/>
      <c r="W549" s="792"/>
      <c r="X549" s="792"/>
      <c r="Y549" s="792"/>
      <c r="Z549" s="792"/>
      <c r="AA549" s="792"/>
    </row>
    <row r="550" spans="1:27" ht="15.75" customHeight="1">
      <c r="A550" s="792"/>
      <c r="B550" s="792"/>
      <c r="C550" s="792"/>
      <c r="D550" s="792"/>
      <c r="E550" s="792"/>
      <c r="F550" s="792"/>
      <c r="G550" s="792"/>
      <c r="H550" s="792"/>
      <c r="I550" s="792"/>
      <c r="J550" s="792"/>
      <c r="K550" s="792"/>
      <c r="L550" s="792"/>
      <c r="M550" s="792"/>
      <c r="N550" s="792"/>
      <c r="O550" s="792"/>
      <c r="P550" s="792"/>
      <c r="Q550" s="792"/>
      <c r="R550" s="792"/>
      <c r="S550" s="792"/>
      <c r="T550" s="792"/>
      <c r="U550" s="792"/>
      <c r="V550" s="793"/>
      <c r="W550" s="792"/>
      <c r="X550" s="792"/>
      <c r="Y550" s="792"/>
      <c r="Z550" s="792"/>
      <c r="AA550" s="792"/>
    </row>
    <row r="551" spans="1:27" ht="15.75" customHeight="1">
      <c r="A551" s="792"/>
      <c r="B551" s="792"/>
      <c r="C551" s="792"/>
      <c r="D551" s="792"/>
      <c r="E551" s="792"/>
      <c r="F551" s="792"/>
      <c r="G551" s="792"/>
      <c r="H551" s="792"/>
      <c r="I551" s="792"/>
      <c r="J551" s="792"/>
      <c r="K551" s="792"/>
      <c r="L551" s="792"/>
      <c r="M551" s="792"/>
      <c r="N551" s="792"/>
      <c r="O551" s="792"/>
      <c r="P551" s="792"/>
      <c r="Q551" s="792"/>
      <c r="R551" s="792"/>
      <c r="S551" s="792"/>
      <c r="T551" s="792"/>
      <c r="U551" s="792"/>
      <c r="V551" s="793"/>
      <c r="W551" s="792"/>
      <c r="X551" s="792"/>
      <c r="Y551" s="792"/>
      <c r="Z551" s="792"/>
      <c r="AA551" s="792"/>
    </row>
    <row r="552" spans="1:27" ht="15.75" customHeight="1">
      <c r="A552" s="792"/>
      <c r="B552" s="792"/>
      <c r="C552" s="792"/>
      <c r="D552" s="792"/>
      <c r="E552" s="792"/>
      <c r="F552" s="792"/>
      <c r="G552" s="792"/>
      <c r="H552" s="792"/>
      <c r="I552" s="792"/>
      <c r="J552" s="792"/>
      <c r="K552" s="792"/>
      <c r="L552" s="792"/>
      <c r="M552" s="792"/>
      <c r="N552" s="792"/>
      <c r="O552" s="792"/>
      <c r="P552" s="792"/>
      <c r="Q552" s="792"/>
      <c r="R552" s="792"/>
      <c r="S552" s="792"/>
      <c r="T552" s="792"/>
      <c r="U552" s="792"/>
      <c r="V552" s="793"/>
      <c r="W552" s="792"/>
      <c r="X552" s="792"/>
      <c r="Y552" s="792"/>
      <c r="Z552" s="792"/>
      <c r="AA552" s="792"/>
    </row>
    <row r="553" spans="1:27" ht="15.75" customHeight="1">
      <c r="A553" s="792"/>
      <c r="B553" s="792"/>
      <c r="C553" s="792"/>
      <c r="D553" s="792"/>
      <c r="E553" s="792"/>
      <c r="F553" s="792"/>
      <c r="G553" s="792"/>
      <c r="H553" s="792"/>
      <c r="I553" s="792"/>
      <c r="J553" s="792"/>
      <c r="K553" s="792"/>
      <c r="L553" s="792"/>
      <c r="M553" s="792"/>
      <c r="N553" s="792"/>
      <c r="O553" s="792"/>
      <c r="P553" s="792"/>
      <c r="Q553" s="792"/>
      <c r="R553" s="792"/>
      <c r="S553" s="792"/>
      <c r="T553" s="792"/>
      <c r="U553" s="792"/>
      <c r="V553" s="793"/>
      <c r="W553" s="792"/>
      <c r="X553" s="792"/>
      <c r="Y553" s="792"/>
      <c r="Z553" s="792"/>
      <c r="AA553" s="792"/>
    </row>
    <row r="554" spans="1:27" ht="15.75" customHeight="1">
      <c r="A554" s="792"/>
      <c r="B554" s="792"/>
      <c r="C554" s="792"/>
      <c r="D554" s="792"/>
      <c r="E554" s="792"/>
      <c r="F554" s="792"/>
      <c r="G554" s="792"/>
      <c r="H554" s="792"/>
      <c r="I554" s="792"/>
      <c r="J554" s="792"/>
      <c r="K554" s="792"/>
      <c r="L554" s="792"/>
      <c r="M554" s="792"/>
      <c r="N554" s="792"/>
      <c r="O554" s="792"/>
      <c r="P554" s="792"/>
      <c r="Q554" s="792"/>
      <c r="R554" s="792"/>
      <c r="S554" s="792"/>
      <c r="T554" s="792"/>
      <c r="U554" s="792"/>
      <c r="V554" s="793"/>
      <c r="W554" s="792"/>
      <c r="X554" s="792"/>
      <c r="Y554" s="792"/>
      <c r="Z554" s="792"/>
      <c r="AA554" s="792"/>
    </row>
    <row r="555" spans="1:27" ht="15.75" customHeight="1">
      <c r="A555" s="792"/>
      <c r="B555" s="792"/>
      <c r="C555" s="792"/>
      <c r="D555" s="792"/>
      <c r="E555" s="792"/>
      <c r="F555" s="792"/>
      <c r="G555" s="792"/>
      <c r="H555" s="792"/>
      <c r="I555" s="792"/>
      <c r="J555" s="792"/>
      <c r="K555" s="792"/>
      <c r="L555" s="792"/>
      <c r="M555" s="792"/>
      <c r="N555" s="792"/>
      <c r="O555" s="792"/>
      <c r="P555" s="792"/>
      <c r="Q555" s="792"/>
      <c r="R555" s="792"/>
      <c r="S555" s="792"/>
      <c r="T555" s="792"/>
      <c r="U555" s="792"/>
      <c r="V555" s="793"/>
      <c r="W555" s="792"/>
      <c r="X555" s="792"/>
      <c r="Y555" s="792"/>
      <c r="Z555" s="792"/>
      <c r="AA555" s="792"/>
    </row>
    <row r="556" spans="1:27" ht="15.75" customHeight="1">
      <c r="A556" s="792"/>
      <c r="B556" s="792"/>
      <c r="C556" s="792"/>
      <c r="D556" s="792"/>
      <c r="E556" s="792"/>
      <c r="F556" s="792"/>
      <c r="G556" s="792"/>
      <c r="H556" s="792"/>
      <c r="I556" s="792"/>
      <c r="J556" s="792"/>
      <c r="K556" s="792"/>
      <c r="L556" s="792"/>
      <c r="M556" s="792"/>
      <c r="N556" s="792"/>
      <c r="O556" s="792"/>
      <c r="P556" s="792"/>
      <c r="Q556" s="792"/>
      <c r="R556" s="792"/>
      <c r="S556" s="792"/>
      <c r="T556" s="792"/>
      <c r="U556" s="792"/>
      <c r="V556" s="793"/>
      <c r="W556" s="792"/>
      <c r="X556" s="792"/>
      <c r="Y556" s="792"/>
      <c r="Z556" s="792"/>
      <c r="AA556" s="792"/>
    </row>
    <row r="557" spans="1:27" ht="15.75" customHeight="1">
      <c r="A557" s="792"/>
      <c r="B557" s="792"/>
      <c r="C557" s="792"/>
      <c r="D557" s="792"/>
      <c r="E557" s="792"/>
      <c r="F557" s="792"/>
      <c r="G557" s="792"/>
      <c r="H557" s="792"/>
      <c r="I557" s="792"/>
      <c r="J557" s="792"/>
      <c r="K557" s="792"/>
      <c r="L557" s="792"/>
      <c r="M557" s="792"/>
      <c r="N557" s="792"/>
      <c r="O557" s="792"/>
      <c r="P557" s="792"/>
      <c r="Q557" s="792"/>
      <c r="R557" s="792"/>
      <c r="S557" s="792"/>
      <c r="T557" s="792"/>
      <c r="U557" s="792"/>
      <c r="V557" s="793"/>
      <c r="W557" s="792"/>
      <c r="X557" s="792"/>
      <c r="Y557" s="792"/>
      <c r="Z557" s="792"/>
      <c r="AA557" s="792"/>
    </row>
    <row r="558" spans="1:27" ht="15.75" customHeight="1">
      <c r="A558" s="792"/>
      <c r="B558" s="792"/>
      <c r="C558" s="792"/>
      <c r="D558" s="792"/>
      <c r="E558" s="792"/>
      <c r="F558" s="792"/>
      <c r="G558" s="792"/>
      <c r="H558" s="792"/>
      <c r="I558" s="792"/>
      <c r="J558" s="792"/>
      <c r="K558" s="792"/>
      <c r="L558" s="792"/>
      <c r="M558" s="792"/>
      <c r="N558" s="792"/>
      <c r="O558" s="792"/>
      <c r="P558" s="792"/>
      <c r="Q558" s="792"/>
      <c r="R558" s="792"/>
      <c r="S558" s="792"/>
      <c r="T558" s="792"/>
      <c r="U558" s="792"/>
      <c r="V558" s="793"/>
      <c r="W558" s="792"/>
      <c r="X558" s="792"/>
      <c r="Y558" s="792"/>
      <c r="Z558" s="792"/>
      <c r="AA558" s="792"/>
    </row>
    <row r="559" spans="1:27" ht="15.75" customHeight="1">
      <c r="A559" s="792"/>
      <c r="B559" s="792"/>
      <c r="C559" s="792"/>
      <c r="D559" s="792"/>
      <c r="E559" s="792"/>
      <c r="F559" s="792"/>
      <c r="G559" s="792"/>
      <c r="H559" s="792"/>
      <c r="I559" s="792"/>
      <c r="J559" s="792"/>
      <c r="K559" s="792"/>
      <c r="L559" s="792"/>
      <c r="M559" s="792"/>
      <c r="N559" s="792"/>
      <c r="O559" s="792"/>
      <c r="P559" s="792"/>
      <c r="Q559" s="792"/>
      <c r="R559" s="792"/>
      <c r="S559" s="792"/>
      <c r="T559" s="792"/>
      <c r="U559" s="792"/>
      <c r="V559" s="793"/>
      <c r="W559" s="792"/>
      <c r="X559" s="792"/>
      <c r="Y559" s="792"/>
      <c r="Z559" s="792"/>
      <c r="AA559" s="792"/>
    </row>
    <row r="560" spans="1:27" ht="15.75" customHeight="1">
      <c r="A560" s="792"/>
      <c r="B560" s="792"/>
      <c r="C560" s="792"/>
      <c r="D560" s="792"/>
      <c r="E560" s="792"/>
      <c r="F560" s="792"/>
      <c r="G560" s="792"/>
      <c r="H560" s="792"/>
      <c r="I560" s="792"/>
      <c r="J560" s="792"/>
      <c r="K560" s="792"/>
      <c r="L560" s="792"/>
      <c r="M560" s="792"/>
      <c r="N560" s="792"/>
      <c r="O560" s="792"/>
      <c r="P560" s="792"/>
      <c r="Q560" s="792"/>
      <c r="R560" s="792"/>
      <c r="S560" s="792"/>
      <c r="T560" s="792"/>
      <c r="U560" s="792"/>
      <c r="V560" s="793"/>
      <c r="W560" s="792"/>
      <c r="X560" s="792"/>
      <c r="Y560" s="792"/>
      <c r="Z560" s="792"/>
      <c r="AA560" s="792"/>
    </row>
    <row r="561" spans="1:27" ht="15.75" customHeight="1">
      <c r="A561" s="792"/>
      <c r="B561" s="792"/>
      <c r="C561" s="792"/>
      <c r="D561" s="792"/>
      <c r="E561" s="792"/>
      <c r="F561" s="792"/>
      <c r="G561" s="792"/>
      <c r="H561" s="792"/>
      <c r="I561" s="792"/>
      <c r="J561" s="792"/>
      <c r="K561" s="792"/>
      <c r="L561" s="792"/>
      <c r="M561" s="792"/>
      <c r="N561" s="792"/>
      <c r="O561" s="792"/>
      <c r="P561" s="792"/>
      <c r="Q561" s="792"/>
      <c r="R561" s="792"/>
      <c r="S561" s="792"/>
      <c r="T561" s="792"/>
      <c r="U561" s="792"/>
      <c r="V561" s="793"/>
      <c r="W561" s="792"/>
      <c r="X561" s="792"/>
      <c r="Y561" s="792"/>
      <c r="Z561" s="792"/>
      <c r="AA561" s="792"/>
    </row>
    <row r="562" spans="1:27" ht="15.75" customHeight="1">
      <c r="A562" s="792"/>
      <c r="B562" s="792"/>
      <c r="C562" s="792"/>
      <c r="D562" s="792"/>
      <c r="E562" s="792"/>
      <c r="F562" s="792"/>
      <c r="G562" s="792"/>
      <c r="H562" s="792"/>
      <c r="I562" s="792"/>
      <c r="J562" s="792"/>
      <c r="K562" s="792"/>
      <c r="L562" s="792"/>
      <c r="M562" s="792"/>
      <c r="N562" s="792"/>
      <c r="O562" s="792"/>
      <c r="P562" s="792"/>
      <c r="Q562" s="792"/>
      <c r="R562" s="792"/>
      <c r="S562" s="792"/>
      <c r="T562" s="792"/>
      <c r="U562" s="792"/>
      <c r="V562" s="793"/>
      <c r="W562" s="792"/>
      <c r="X562" s="792"/>
      <c r="Y562" s="792"/>
      <c r="Z562" s="792"/>
      <c r="AA562" s="792"/>
    </row>
    <row r="563" spans="1:27" ht="15.75" customHeight="1">
      <c r="A563" s="792"/>
      <c r="B563" s="792"/>
      <c r="C563" s="792"/>
      <c r="D563" s="792"/>
      <c r="E563" s="792"/>
      <c r="F563" s="792"/>
      <c r="G563" s="792"/>
      <c r="H563" s="792"/>
      <c r="I563" s="792"/>
      <c r="J563" s="792"/>
      <c r="K563" s="792"/>
      <c r="L563" s="792"/>
      <c r="M563" s="792"/>
      <c r="N563" s="792"/>
      <c r="O563" s="792"/>
      <c r="P563" s="792"/>
      <c r="Q563" s="792"/>
      <c r="R563" s="792"/>
      <c r="S563" s="792"/>
      <c r="T563" s="792"/>
      <c r="U563" s="792"/>
      <c r="V563" s="793"/>
      <c r="W563" s="792"/>
      <c r="X563" s="792"/>
      <c r="Y563" s="792"/>
      <c r="Z563" s="792"/>
      <c r="AA563" s="792"/>
    </row>
    <row r="564" spans="1:27" ht="15.75" customHeight="1">
      <c r="A564" s="792"/>
      <c r="B564" s="792"/>
      <c r="C564" s="792"/>
      <c r="D564" s="792"/>
      <c r="E564" s="792"/>
      <c r="F564" s="792"/>
      <c r="G564" s="792"/>
      <c r="H564" s="792"/>
      <c r="I564" s="792"/>
      <c r="J564" s="792"/>
      <c r="K564" s="792"/>
      <c r="L564" s="792"/>
      <c r="M564" s="792"/>
      <c r="N564" s="792"/>
      <c r="O564" s="792"/>
      <c r="P564" s="792"/>
      <c r="Q564" s="792"/>
      <c r="R564" s="792"/>
      <c r="S564" s="792"/>
      <c r="T564" s="792"/>
      <c r="U564" s="792"/>
      <c r="V564" s="793"/>
      <c r="W564" s="792"/>
      <c r="X564" s="792"/>
      <c r="Y564" s="792"/>
      <c r="Z564" s="792"/>
      <c r="AA564" s="792"/>
    </row>
    <row r="565" spans="1:27" ht="15.75" customHeight="1">
      <c r="A565" s="792"/>
      <c r="B565" s="792"/>
      <c r="C565" s="792"/>
      <c r="D565" s="792"/>
      <c r="E565" s="792"/>
      <c r="F565" s="792"/>
      <c r="G565" s="792"/>
      <c r="H565" s="792"/>
      <c r="I565" s="792"/>
      <c r="J565" s="792"/>
      <c r="K565" s="792"/>
      <c r="L565" s="792"/>
      <c r="M565" s="792"/>
      <c r="N565" s="792"/>
      <c r="O565" s="792"/>
      <c r="P565" s="792"/>
      <c r="Q565" s="792"/>
      <c r="R565" s="792"/>
      <c r="S565" s="792"/>
      <c r="T565" s="792"/>
      <c r="U565" s="792"/>
      <c r="V565" s="793"/>
      <c r="W565" s="792"/>
      <c r="X565" s="792"/>
      <c r="Y565" s="792"/>
      <c r="Z565" s="792"/>
      <c r="AA565" s="792"/>
    </row>
    <row r="566" spans="1:27" ht="15.75" customHeight="1">
      <c r="A566" s="792"/>
      <c r="B566" s="792"/>
      <c r="C566" s="792"/>
      <c r="D566" s="792"/>
      <c r="E566" s="792"/>
      <c r="F566" s="792"/>
      <c r="G566" s="792"/>
      <c r="H566" s="792"/>
      <c r="I566" s="792"/>
      <c r="J566" s="792"/>
      <c r="K566" s="792"/>
      <c r="L566" s="792"/>
      <c r="M566" s="792"/>
      <c r="N566" s="792"/>
      <c r="O566" s="792"/>
      <c r="P566" s="792"/>
      <c r="Q566" s="792"/>
      <c r="R566" s="792"/>
      <c r="S566" s="792"/>
      <c r="T566" s="792"/>
      <c r="U566" s="792"/>
      <c r="V566" s="793"/>
      <c r="W566" s="792"/>
      <c r="X566" s="792"/>
      <c r="Y566" s="792"/>
      <c r="Z566" s="792"/>
      <c r="AA566" s="792"/>
    </row>
    <row r="567" spans="1:27" ht="15.75" customHeight="1">
      <c r="A567" s="792"/>
      <c r="B567" s="792"/>
      <c r="C567" s="792"/>
      <c r="D567" s="792"/>
      <c r="E567" s="792"/>
      <c r="F567" s="792"/>
      <c r="G567" s="792"/>
      <c r="H567" s="792"/>
      <c r="I567" s="792"/>
      <c r="J567" s="792"/>
      <c r="K567" s="792"/>
      <c r="L567" s="792"/>
      <c r="M567" s="792"/>
      <c r="N567" s="792"/>
      <c r="O567" s="792"/>
      <c r="P567" s="792"/>
      <c r="Q567" s="792"/>
      <c r="R567" s="792"/>
      <c r="S567" s="792"/>
      <c r="T567" s="792"/>
      <c r="U567" s="792"/>
      <c r="V567" s="793"/>
      <c r="W567" s="792"/>
      <c r="X567" s="792"/>
      <c r="Y567" s="792"/>
      <c r="Z567" s="792"/>
      <c r="AA567" s="792"/>
    </row>
    <row r="568" spans="1:27" ht="15.75" customHeight="1">
      <c r="A568" s="792"/>
      <c r="B568" s="792"/>
      <c r="C568" s="792"/>
      <c r="D568" s="792"/>
      <c r="E568" s="792"/>
      <c r="F568" s="792"/>
      <c r="G568" s="792"/>
      <c r="H568" s="792"/>
      <c r="I568" s="792"/>
      <c r="J568" s="792"/>
      <c r="K568" s="792"/>
      <c r="L568" s="792"/>
      <c r="M568" s="792"/>
      <c r="N568" s="792"/>
      <c r="O568" s="792"/>
      <c r="P568" s="792"/>
      <c r="Q568" s="792"/>
      <c r="R568" s="792"/>
      <c r="S568" s="792"/>
      <c r="T568" s="792"/>
      <c r="U568" s="792"/>
      <c r="V568" s="793"/>
      <c r="W568" s="792"/>
      <c r="X568" s="792"/>
      <c r="Y568" s="792"/>
      <c r="Z568" s="792"/>
      <c r="AA568" s="792"/>
    </row>
    <row r="569" spans="1:27" ht="15.75" customHeight="1">
      <c r="A569" s="792"/>
      <c r="B569" s="792"/>
      <c r="C569" s="792"/>
      <c r="D569" s="792"/>
      <c r="E569" s="792"/>
      <c r="F569" s="792"/>
      <c r="G569" s="792"/>
      <c r="H569" s="792"/>
      <c r="I569" s="792"/>
      <c r="J569" s="792"/>
      <c r="K569" s="792"/>
      <c r="L569" s="792"/>
      <c r="M569" s="792"/>
      <c r="N569" s="792"/>
      <c r="O569" s="792"/>
      <c r="P569" s="792"/>
      <c r="Q569" s="792"/>
      <c r="R569" s="792"/>
      <c r="S569" s="792"/>
      <c r="T569" s="792"/>
      <c r="U569" s="792"/>
      <c r="V569" s="793"/>
      <c r="W569" s="792"/>
      <c r="X569" s="792"/>
      <c r="Y569" s="792"/>
      <c r="Z569" s="792"/>
      <c r="AA569" s="792"/>
    </row>
    <row r="570" spans="1:27" ht="15.75" customHeight="1">
      <c r="A570" s="792"/>
      <c r="B570" s="792"/>
      <c r="C570" s="792"/>
      <c r="D570" s="792"/>
      <c r="E570" s="792"/>
      <c r="F570" s="792"/>
      <c r="G570" s="792"/>
      <c r="H570" s="792"/>
      <c r="I570" s="792"/>
      <c r="J570" s="792"/>
      <c r="K570" s="792"/>
      <c r="L570" s="792"/>
      <c r="M570" s="792"/>
      <c r="N570" s="792"/>
      <c r="O570" s="792"/>
      <c r="P570" s="792"/>
      <c r="Q570" s="792"/>
      <c r="R570" s="792"/>
      <c r="S570" s="792"/>
      <c r="T570" s="792"/>
      <c r="U570" s="792"/>
      <c r="V570" s="793"/>
      <c r="W570" s="792"/>
      <c r="X570" s="792"/>
      <c r="Y570" s="792"/>
      <c r="Z570" s="792"/>
      <c r="AA570" s="792"/>
    </row>
    <row r="571" spans="1:27" ht="15.75" customHeight="1">
      <c r="A571" s="792"/>
      <c r="B571" s="792"/>
      <c r="C571" s="792"/>
      <c r="D571" s="792"/>
      <c r="E571" s="792"/>
      <c r="F571" s="792"/>
      <c r="G571" s="792"/>
      <c r="H571" s="792"/>
      <c r="I571" s="792"/>
      <c r="J571" s="792"/>
      <c r="K571" s="792"/>
      <c r="L571" s="792"/>
      <c r="M571" s="792"/>
      <c r="N571" s="792"/>
      <c r="O571" s="792"/>
      <c r="P571" s="792"/>
      <c r="Q571" s="792"/>
      <c r="R571" s="792"/>
      <c r="S571" s="792"/>
      <c r="T571" s="792"/>
      <c r="U571" s="792"/>
      <c r="V571" s="793"/>
      <c r="W571" s="792"/>
      <c r="X571" s="792"/>
      <c r="Y571" s="792"/>
      <c r="Z571" s="792"/>
      <c r="AA571" s="792"/>
    </row>
    <row r="572" spans="1:27" ht="15.75" customHeight="1">
      <c r="A572" s="792"/>
      <c r="B572" s="792"/>
      <c r="C572" s="792"/>
      <c r="D572" s="792"/>
      <c r="E572" s="792"/>
      <c r="F572" s="792"/>
      <c r="G572" s="792"/>
      <c r="H572" s="792"/>
      <c r="I572" s="792"/>
      <c r="J572" s="792"/>
      <c r="K572" s="792"/>
      <c r="L572" s="792"/>
      <c r="M572" s="792"/>
      <c r="N572" s="792"/>
      <c r="O572" s="792"/>
      <c r="P572" s="792"/>
      <c r="Q572" s="792"/>
      <c r="R572" s="792"/>
      <c r="S572" s="792"/>
      <c r="T572" s="792"/>
      <c r="U572" s="792"/>
      <c r="V572" s="793"/>
      <c r="W572" s="792"/>
      <c r="X572" s="792"/>
      <c r="Y572" s="792"/>
      <c r="Z572" s="792"/>
      <c r="AA572" s="792"/>
    </row>
    <row r="573" spans="1:27" ht="15.75" customHeight="1">
      <c r="A573" s="792"/>
      <c r="B573" s="792"/>
      <c r="C573" s="792"/>
      <c r="D573" s="792"/>
      <c r="E573" s="792"/>
      <c r="F573" s="792"/>
      <c r="G573" s="792"/>
      <c r="H573" s="792"/>
      <c r="I573" s="792"/>
      <c r="J573" s="792"/>
      <c r="K573" s="792"/>
      <c r="L573" s="792"/>
      <c r="M573" s="792"/>
      <c r="N573" s="792"/>
      <c r="O573" s="792"/>
      <c r="P573" s="792"/>
      <c r="Q573" s="792"/>
      <c r="R573" s="792"/>
      <c r="S573" s="792"/>
      <c r="T573" s="792"/>
      <c r="U573" s="792"/>
      <c r="V573" s="793"/>
      <c r="W573" s="792"/>
      <c r="X573" s="792"/>
      <c r="Y573" s="792"/>
      <c r="Z573" s="792"/>
      <c r="AA573" s="792"/>
    </row>
    <row r="574" spans="1:27" ht="15.75" customHeight="1">
      <c r="A574" s="792"/>
      <c r="B574" s="792"/>
      <c r="C574" s="792"/>
      <c r="D574" s="792"/>
      <c r="E574" s="792"/>
      <c r="F574" s="792"/>
      <c r="G574" s="792"/>
      <c r="H574" s="792"/>
      <c r="I574" s="792"/>
      <c r="J574" s="792"/>
      <c r="K574" s="792"/>
      <c r="L574" s="792"/>
      <c r="M574" s="792"/>
      <c r="N574" s="792"/>
      <c r="O574" s="792"/>
      <c r="P574" s="792"/>
      <c r="Q574" s="792"/>
      <c r="R574" s="792"/>
      <c r="S574" s="792"/>
      <c r="T574" s="792"/>
      <c r="U574" s="792"/>
      <c r="V574" s="793"/>
      <c r="W574" s="792"/>
      <c r="X574" s="792"/>
      <c r="Y574" s="792"/>
      <c r="Z574" s="792"/>
      <c r="AA574" s="792"/>
    </row>
    <row r="575" spans="1:27" ht="15.75" customHeight="1">
      <c r="A575" s="792"/>
      <c r="B575" s="792"/>
      <c r="C575" s="792"/>
      <c r="D575" s="792"/>
      <c r="E575" s="792"/>
      <c r="F575" s="792"/>
      <c r="G575" s="792"/>
      <c r="H575" s="792"/>
      <c r="I575" s="792"/>
      <c r="J575" s="792"/>
      <c r="K575" s="792"/>
      <c r="L575" s="792"/>
      <c r="M575" s="792"/>
      <c r="N575" s="792"/>
      <c r="O575" s="792"/>
      <c r="P575" s="792"/>
      <c r="Q575" s="792"/>
      <c r="R575" s="792"/>
      <c r="S575" s="792"/>
      <c r="T575" s="792"/>
      <c r="U575" s="792"/>
      <c r="V575" s="793"/>
      <c r="W575" s="792"/>
      <c r="X575" s="792"/>
      <c r="Y575" s="792"/>
      <c r="Z575" s="792"/>
      <c r="AA575" s="792"/>
    </row>
    <row r="576" spans="1:27" ht="15.75" customHeight="1">
      <c r="A576" s="792"/>
      <c r="B576" s="792"/>
      <c r="C576" s="792"/>
      <c r="D576" s="792"/>
      <c r="E576" s="792"/>
      <c r="F576" s="792"/>
      <c r="G576" s="792"/>
      <c r="H576" s="792"/>
      <c r="I576" s="792"/>
      <c r="J576" s="792"/>
      <c r="K576" s="792"/>
      <c r="L576" s="792"/>
      <c r="M576" s="792"/>
      <c r="N576" s="792"/>
      <c r="O576" s="792"/>
      <c r="P576" s="792"/>
      <c r="Q576" s="792"/>
      <c r="R576" s="792"/>
      <c r="S576" s="792"/>
      <c r="T576" s="792"/>
      <c r="U576" s="792"/>
      <c r="V576" s="793"/>
      <c r="W576" s="792"/>
      <c r="X576" s="792"/>
      <c r="Y576" s="792"/>
      <c r="Z576" s="792"/>
      <c r="AA576" s="792"/>
    </row>
    <row r="577" spans="1:27" ht="15.75" customHeight="1">
      <c r="A577" s="792"/>
      <c r="B577" s="792"/>
      <c r="C577" s="792"/>
      <c r="D577" s="792"/>
      <c r="E577" s="792"/>
      <c r="F577" s="792"/>
      <c r="G577" s="792"/>
      <c r="H577" s="792"/>
      <c r="I577" s="792"/>
      <c r="J577" s="792"/>
      <c r="K577" s="792"/>
      <c r="L577" s="792"/>
      <c r="M577" s="792"/>
      <c r="N577" s="792"/>
      <c r="O577" s="792"/>
      <c r="P577" s="792"/>
      <c r="Q577" s="792"/>
      <c r="R577" s="792"/>
      <c r="S577" s="792"/>
      <c r="T577" s="792"/>
      <c r="U577" s="792"/>
      <c r="V577" s="793"/>
      <c r="W577" s="792"/>
      <c r="X577" s="792"/>
      <c r="Y577" s="792"/>
      <c r="Z577" s="792"/>
      <c r="AA577" s="792"/>
    </row>
    <row r="578" spans="1:27" ht="15.75" customHeight="1">
      <c r="A578" s="792"/>
      <c r="B578" s="792"/>
      <c r="C578" s="792"/>
      <c r="D578" s="792"/>
      <c r="E578" s="792"/>
      <c r="F578" s="792"/>
      <c r="G578" s="792"/>
      <c r="H578" s="792"/>
      <c r="I578" s="792"/>
      <c r="J578" s="792"/>
      <c r="K578" s="792"/>
      <c r="L578" s="792"/>
      <c r="M578" s="792"/>
      <c r="N578" s="792"/>
      <c r="O578" s="792"/>
      <c r="P578" s="792"/>
      <c r="Q578" s="792"/>
      <c r="R578" s="792"/>
      <c r="S578" s="792"/>
      <c r="T578" s="792"/>
      <c r="U578" s="792"/>
      <c r="V578" s="793"/>
      <c r="W578" s="792"/>
      <c r="X578" s="792"/>
      <c r="Y578" s="792"/>
      <c r="Z578" s="792"/>
      <c r="AA578" s="792"/>
    </row>
    <row r="579" spans="1:27" ht="15.75" customHeight="1">
      <c r="A579" s="792"/>
      <c r="B579" s="792"/>
      <c r="C579" s="792"/>
      <c r="D579" s="792"/>
      <c r="E579" s="792"/>
      <c r="F579" s="792"/>
      <c r="G579" s="792"/>
      <c r="H579" s="792"/>
      <c r="I579" s="792"/>
      <c r="J579" s="792"/>
      <c r="K579" s="792"/>
      <c r="L579" s="792"/>
      <c r="M579" s="792"/>
      <c r="N579" s="792"/>
      <c r="O579" s="792"/>
      <c r="P579" s="792"/>
      <c r="Q579" s="792"/>
      <c r="R579" s="792"/>
      <c r="S579" s="792"/>
      <c r="T579" s="792"/>
      <c r="U579" s="792"/>
      <c r="V579" s="793"/>
      <c r="W579" s="792"/>
      <c r="X579" s="792"/>
      <c r="Y579" s="792"/>
      <c r="Z579" s="792"/>
      <c r="AA579" s="792"/>
    </row>
    <row r="580" spans="1:27" ht="15.75" customHeight="1">
      <c r="A580" s="792"/>
      <c r="B580" s="792"/>
      <c r="C580" s="792"/>
      <c r="D580" s="792"/>
      <c r="E580" s="792"/>
      <c r="F580" s="792"/>
      <c r="G580" s="792"/>
      <c r="H580" s="792"/>
      <c r="I580" s="792"/>
      <c r="J580" s="792"/>
      <c r="K580" s="792"/>
      <c r="L580" s="792"/>
      <c r="M580" s="792"/>
      <c r="N580" s="792"/>
      <c r="O580" s="792"/>
      <c r="P580" s="792"/>
      <c r="Q580" s="792"/>
      <c r="R580" s="792"/>
      <c r="S580" s="792"/>
      <c r="T580" s="792"/>
      <c r="U580" s="792"/>
      <c r="V580" s="793"/>
      <c r="W580" s="792"/>
      <c r="X580" s="792"/>
      <c r="Y580" s="792"/>
      <c r="Z580" s="792"/>
      <c r="AA580" s="792"/>
    </row>
    <row r="581" spans="1:27" ht="15.75" customHeight="1">
      <c r="A581" s="792"/>
      <c r="B581" s="792"/>
      <c r="C581" s="792"/>
      <c r="D581" s="792"/>
      <c r="E581" s="792"/>
      <c r="F581" s="792"/>
      <c r="G581" s="792"/>
      <c r="H581" s="792"/>
      <c r="I581" s="792"/>
      <c r="J581" s="792"/>
      <c r="K581" s="792"/>
      <c r="L581" s="792"/>
      <c r="M581" s="792"/>
      <c r="N581" s="792"/>
      <c r="O581" s="792"/>
      <c r="P581" s="792"/>
      <c r="Q581" s="792"/>
      <c r="R581" s="792"/>
      <c r="S581" s="792"/>
      <c r="T581" s="792"/>
      <c r="U581" s="792"/>
      <c r="V581" s="793"/>
      <c r="W581" s="792"/>
      <c r="X581" s="792"/>
      <c r="Y581" s="792"/>
      <c r="Z581" s="792"/>
      <c r="AA581" s="792"/>
    </row>
    <row r="582" spans="1:27" ht="15.75" customHeight="1">
      <c r="A582" s="792"/>
      <c r="B582" s="792"/>
      <c r="C582" s="792"/>
      <c r="D582" s="792"/>
      <c r="E582" s="792"/>
      <c r="F582" s="792"/>
      <c r="G582" s="792"/>
      <c r="H582" s="792"/>
      <c r="I582" s="792"/>
      <c r="J582" s="792"/>
      <c r="K582" s="792"/>
      <c r="L582" s="792"/>
      <c r="M582" s="792"/>
      <c r="N582" s="792"/>
      <c r="O582" s="792"/>
      <c r="P582" s="792"/>
      <c r="Q582" s="792"/>
      <c r="R582" s="792"/>
      <c r="S582" s="792"/>
      <c r="T582" s="792"/>
      <c r="U582" s="792"/>
      <c r="V582" s="793"/>
      <c r="W582" s="792"/>
      <c r="X582" s="792"/>
      <c r="Y582" s="792"/>
      <c r="Z582" s="792"/>
      <c r="AA582" s="792"/>
    </row>
    <row r="583" spans="1:27" ht="15.75" customHeight="1">
      <c r="A583" s="792"/>
      <c r="B583" s="792"/>
      <c r="C583" s="792"/>
      <c r="D583" s="792"/>
      <c r="E583" s="792"/>
      <c r="F583" s="792"/>
      <c r="G583" s="792"/>
      <c r="H583" s="792"/>
      <c r="I583" s="792"/>
      <c r="J583" s="792"/>
      <c r="K583" s="792"/>
      <c r="L583" s="792"/>
      <c r="M583" s="792"/>
      <c r="N583" s="792"/>
      <c r="O583" s="792"/>
      <c r="P583" s="792"/>
      <c r="Q583" s="792"/>
      <c r="R583" s="792"/>
      <c r="S583" s="792"/>
      <c r="T583" s="792"/>
      <c r="U583" s="792"/>
      <c r="V583" s="793"/>
      <c r="W583" s="792"/>
      <c r="X583" s="792"/>
      <c r="Y583" s="792"/>
      <c r="Z583" s="792"/>
      <c r="AA583" s="792"/>
    </row>
    <row r="584" spans="1:27" ht="15.75" customHeight="1">
      <c r="A584" s="792"/>
      <c r="B584" s="792"/>
      <c r="C584" s="792"/>
      <c r="D584" s="792"/>
      <c r="E584" s="792"/>
      <c r="F584" s="792"/>
      <c r="G584" s="792"/>
      <c r="H584" s="792"/>
      <c r="I584" s="792"/>
      <c r="J584" s="792"/>
      <c r="K584" s="792"/>
      <c r="L584" s="792"/>
      <c r="M584" s="792"/>
      <c r="N584" s="792"/>
      <c r="O584" s="792"/>
      <c r="P584" s="792"/>
      <c r="Q584" s="792"/>
      <c r="R584" s="792"/>
      <c r="S584" s="792"/>
      <c r="T584" s="792"/>
      <c r="U584" s="792"/>
      <c r="V584" s="793"/>
      <c r="W584" s="792"/>
      <c r="X584" s="792"/>
      <c r="Y584" s="792"/>
      <c r="Z584" s="792"/>
      <c r="AA584" s="792"/>
    </row>
    <row r="585" spans="1:27" ht="15.75" customHeight="1">
      <c r="A585" s="792"/>
      <c r="B585" s="792"/>
      <c r="C585" s="792"/>
      <c r="D585" s="792"/>
      <c r="E585" s="792"/>
      <c r="F585" s="792"/>
      <c r="G585" s="792"/>
      <c r="H585" s="792"/>
      <c r="I585" s="792"/>
      <c r="J585" s="792"/>
      <c r="K585" s="792"/>
      <c r="L585" s="792"/>
      <c r="M585" s="792"/>
      <c r="N585" s="792"/>
      <c r="O585" s="792"/>
      <c r="P585" s="792"/>
      <c r="Q585" s="792"/>
      <c r="R585" s="792"/>
      <c r="S585" s="792"/>
      <c r="T585" s="792"/>
      <c r="U585" s="792"/>
      <c r="V585" s="793"/>
      <c r="W585" s="792"/>
      <c r="X585" s="792"/>
      <c r="Y585" s="792"/>
      <c r="Z585" s="792"/>
      <c r="AA585" s="792"/>
    </row>
    <row r="586" spans="1:27" ht="15.75" customHeight="1">
      <c r="A586" s="792"/>
      <c r="B586" s="792"/>
      <c r="C586" s="792"/>
      <c r="D586" s="792"/>
      <c r="E586" s="792"/>
      <c r="F586" s="792"/>
      <c r="G586" s="792"/>
      <c r="H586" s="792"/>
      <c r="I586" s="792"/>
      <c r="J586" s="792"/>
      <c r="K586" s="792"/>
      <c r="L586" s="792"/>
      <c r="M586" s="792"/>
      <c r="N586" s="792"/>
      <c r="O586" s="792"/>
      <c r="P586" s="792"/>
      <c r="Q586" s="792"/>
      <c r="R586" s="792"/>
      <c r="S586" s="792"/>
      <c r="T586" s="792"/>
      <c r="U586" s="792"/>
      <c r="V586" s="793"/>
      <c r="W586" s="792"/>
      <c r="X586" s="792"/>
      <c r="Y586" s="792"/>
      <c r="Z586" s="792"/>
      <c r="AA586" s="792"/>
    </row>
    <row r="587" spans="1:27" ht="15.75" customHeight="1">
      <c r="A587" s="792"/>
      <c r="B587" s="792"/>
      <c r="C587" s="792"/>
      <c r="D587" s="792"/>
      <c r="E587" s="792"/>
      <c r="F587" s="792"/>
      <c r="G587" s="792"/>
      <c r="H587" s="792"/>
      <c r="I587" s="792"/>
      <c r="J587" s="792"/>
      <c r="K587" s="792"/>
      <c r="L587" s="792"/>
      <c r="M587" s="792"/>
      <c r="N587" s="792"/>
      <c r="O587" s="792"/>
      <c r="P587" s="792"/>
      <c r="Q587" s="792"/>
      <c r="R587" s="792"/>
      <c r="S587" s="792"/>
      <c r="T587" s="792"/>
      <c r="U587" s="792"/>
      <c r="V587" s="793"/>
      <c r="W587" s="792"/>
      <c r="X587" s="792"/>
      <c r="Y587" s="792"/>
      <c r="Z587" s="792"/>
      <c r="AA587" s="792"/>
    </row>
    <row r="588" spans="1:27" ht="15.75" customHeight="1">
      <c r="A588" s="792"/>
      <c r="B588" s="792"/>
      <c r="C588" s="792"/>
      <c r="D588" s="792"/>
      <c r="E588" s="792"/>
      <c r="F588" s="792"/>
      <c r="G588" s="792"/>
      <c r="H588" s="792"/>
      <c r="I588" s="792"/>
      <c r="J588" s="792"/>
      <c r="K588" s="792"/>
      <c r="L588" s="792"/>
      <c r="M588" s="792"/>
      <c r="N588" s="792"/>
      <c r="O588" s="792"/>
      <c r="P588" s="792"/>
      <c r="Q588" s="792"/>
      <c r="R588" s="792"/>
      <c r="S588" s="792"/>
      <c r="T588" s="792"/>
      <c r="U588" s="792"/>
      <c r="V588" s="793"/>
      <c r="W588" s="792"/>
      <c r="X588" s="792"/>
      <c r="Y588" s="792"/>
      <c r="Z588" s="792"/>
      <c r="AA588" s="792"/>
    </row>
    <row r="589" spans="1:27" ht="15.75" customHeight="1">
      <c r="A589" s="792"/>
      <c r="B589" s="792"/>
      <c r="C589" s="792"/>
      <c r="D589" s="792"/>
      <c r="E589" s="792"/>
      <c r="F589" s="792"/>
      <c r="G589" s="792"/>
      <c r="H589" s="792"/>
      <c r="I589" s="792"/>
      <c r="J589" s="792"/>
      <c r="K589" s="792"/>
      <c r="L589" s="792"/>
      <c r="M589" s="792"/>
      <c r="N589" s="792"/>
      <c r="O589" s="792"/>
      <c r="P589" s="792"/>
      <c r="Q589" s="792"/>
      <c r="R589" s="792"/>
      <c r="S589" s="792"/>
      <c r="T589" s="792"/>
      <c r="U589" s="792"/>
      <c r="V589" s="793"/>
      <c r="W589" s="792"/>
      <c r="X589" s="792"/>
      <c r="Y589" s="792"/>
      <c r="Z589" s="792"/>
      <c r="AA589" s="792"/>
    </row>
    <row r="590" spans="1:27" ht="15.75" customHeight="1">
      <c r="A590" s="792"/>
      <c r="B590" s="792"/>
      <c r="C590" s="792"/>
      <c r="D590" s="792"/>
      <c r="E590" s="792"/>
      <c r="F590" s="792"/>
      <c r="G590" s="792"/>
      <c r="H590" s="792"/>
      <c r="I590" s="792"/>
      <c r="J590" s="792"/>
      <c r="K590" s="792"/>
      <c r="L590" s="792"/>
      <c r="M590" s="792"/>
      <c r="N590" s="792"/>
      <c r="O590" s="792"/>
      <c r="P590" s="792"/>
      <c r="Q590" s="792"/>
      <c r="R590" s="792"/>
      <c r="S590" s="792"/>
      <c r="T590" s="792"/>
      <c r="U590" s="792"/>
      <c r="V590" s="793"/>
      <c r="W590" s="792"/>
      <c r="X590" s="792"/>
      <c r="Y590" s="792"/>
      <c r="Z590" s="792"/>
      <c r="AA590" s="792"/>
    </row>
    <row r="591" spans="1:27" ht="15.75" customHeight="1">
      <c r="A591" s="792"/>
      <c r="B591" s="792"/>
      <c r="C591" s="792"/>
      <c r="D591" s="792"/>
      <c r="E591" s="792"/>
      <c r="F591" s="792"/>
      <c r="G591" s="792"/>
      <c r="H591" s="792"/>
      <c r="I591" s="792"/>
      <c r="J591" s="792"/>
      <c r="K591" s="792"/>
      <c r="L591" s="792"/>
      <c r="M591" s="792"/>
      <c r="N591" s="792"/>
      <c r="O591" s="792"/>
      <c r="P591" s="792"/>
      <c r="Q591" s="792"/>
      <c r="R591" s="792"/>
      <c r="S591" s="792"/>
      <c r="T591" s="792"/>
      <c r="U591" s="792"/>
      <c r="V591" s="793"/>
      <c r="W591" s="792"/>
      <c r="X591" s="792"/>
      <c r="Y591" s="792"/>
      <c r="Z591" s="792"/>
      <c r="AA591" s="792"/>
    </row>
    <row r="592" spans="1:27" ht="15.75" customHeight="1">
      <c r="A592" s="792"/>
      <c r="B592" s="792"/>
      <c r="C592" s="792"/>
      <c r="D592" s="792"/>
      <c r="E592" s="792"/>
      <c r="F592" s="792"/>
      <c r="G592" s="792"/>
      <c r="H592" s="792"/>
      <c r="I592" s="792"/>
      <c r="J592" s="792"/>
      <c r="K592" s="792"/>
      <c r="L592" s="792"/>
      <c r="M592" s="792"/>
      <c r="N592" s="792"/>
      <c r="O592" s="792"/>
      <c r="P592" s="792"/>
      <c r="Q592" s="792"/>
      <c r="R592" s="792"/>
      <c r="S592" s="792"/>
      <c r="T592" s="792"/>
      <c r="U592" s="792"/>
      <c r="V592" s="793"/>
      <c r="W592" s="792"/>
      <c r="X592" s="792"/>
      <c r="Y592" s="792"/>
      <c r="Z592" s="792"/>
      <c r="AA592" s="792"/>
    </row>
    <row r="593" spans="1:27" ht="15.75" customHeight="1">
      <c r="A593" s="792"/>
      <c r="B593" s="792"/>
      <c r="C593" s="792"/>
      <c r="D593" s="792"/>
      <c r="E593" s="792"/>
      <c r="F593" s="792"/>
      <c r="G593" s="792"/>
      <c r="H593" s="792"/>
      <c r="I593" s="792"/>
      <c r="J593" s="792"/>
      <c r="K593" s="792"/>
      <c r="L593" s="792"/>
      <c r="M593" s="792"/>
      <c r="N593" s="792"/>
      <c r="O593" s="792"/>
      <c r="P593" s="792"/>
      <c r="Q593" s="792"/>
      <c r="R593" s="792"/>
      <c r="S593" s="792"/>
      <c r="T593" s="792"/>
      <c r="U593" s="792"/>
      <c r="V593" s="793"/>
      <c r="W593" s="792"/>
      <c r="X593" s="792"/>
      <c r="Y593" s="792"/>
      <c r="Z593" s="792"/>
      <c r="AA593" s="792"/>
    </row>
    <row r="594" spans="1:27" ht="15.75" customHeight="1">
      <c r="A594" s="792"/>
      <c r="B594" s="792"/>
      <c r="C594" s="792"/>
      <c r="D594" s="792"/>
      <c r="E594" s="792"/>
      <c r="F594" s="792"/>
      <c r="G594" s="792"/>
      <c r="H594" s="792"/>
      <c r="I594" s="792"/>
      <c r="J594" s="792"/>
      <c r="K594" s="792"/>
      <c r="L594" s="792"/>
      <c r="M594" s="792"/>
      <c r="N594" s="792"/>
      <c r="O594" s="792"/>
      <c r="P594" s="792"/>
      <c r="Q594" s="792"/>
      <c r="R594" s="792"/>
      <c r="S594" s="792"/>
      <c r="T594" s="792"/>
      <c r="U594" s="792"/>
      <c r="V594" s="793"/>
      <c r="W594" s="792"/>
      <c r="X594" s="792"/>
      <c r="Y594" s="792"/>
      <c r="Z594" s="792"/>
      <c r="AA594" s="792"/>
    </row>
    <row r="595" spans="1:27" ht="15.75" customHeight="1">
      <c r="A595" s="792"/>
      <c r="B595" s="792"/>
      <c r="C595" s="792"/>
      <c r="D595" s="792"/>
      <c r="E595" s="792"/>
      <c r="F595" s="792"/>
      <c r="G595" s="792"/>
      <c r="H595" s="792"/>
      <c r="I595" s="792"/>
      <c r="J595" s="792"/>
      <c r="K595" s="792"/>
      <c r="L595" s="792"/>
      <c r="M595" s="792"/>
      <c r="N595" s="792"/>
      <c r="O595" s="792"/>
      <c r="P595" s="792"/>
      <c r="Q595" s="792"/>
      <c r="R595" s="792"/>
      <c r="S595" s="792"/>
      <c r="T595" s="792"/>
      <c r="U595" s="792"/>
      <c r="V595" s="793"/>
      <c r="W595" s="792"/>
      <c r="X595" s="792"/>
      <c r="Y595" s="792"/>
      <c r="Z595" s="792"/>
      <c r="AA595" s="792"/>
    </row>
    <row r="596" spans="1:27" ht="15.75" customHeight="1">
      <c r="A596" s="792"/>
      <c r="B596" s="792"/>
      <c r="C596" s="792"/>
      <c r="D596" s="792"/>
      <c r="E596" s="792"/>
      <c r="F596" s="792"/>
      <c r="G596" s="792"/>
      <c r="H596" s="792"/>
      <c r="I596" s="792"/>
      <c r="J596" s="792"/>
      <c r="K596" s="792"/>
      <c r="L596" s="792"/>
      <c r="M596" s="792"/>
      <c r="N596" s="792"/>
      <c r="O596" s="792"/>
      <c r="P596" s="792"/>
      <c r="Q596" s="792"/>
      <c r="R596" s="792"/>
      <c r="S596" s="792"/>
      <c r="T596" s="792"/>
      <c r="U596" s="792"/>
      <c r="V596" s="793"/>
      <c r="W596" s="792"/>
      <c r="X596" s="792"/>
      <c r="Y596" s="792"/>
      <c r="Z596" s="792"/>
      <c r="AA596" s="792"/>
    </row>
    <row r="597" spans="1:27" ht="15.75" customHeight="1">
      <c r="A597" s="792"/>
      <c r="B597" s="792"/>
      <c r="C597" s="792"/>
      <c r="D597" s="792"/>
      <c r="E597" s="792"/>
      <c r="F597" s="792"/>
      <c r="G597" s="792"/>
      <c r="H597" s="792"/>
      <c r="I597" s="792"/>
      <c r="J597" s="792"/>
      <c r="K597" s="792"/>
      <c r="L597" s="792"/>
      <c r="M597" s="792"/>
      <c r="N597" s="792"/>
      <c r="O597" s="792"/>
      <c r="P597" s="792"/>
      <c r="Q597" s="792"/>
      <c r="R597" s="792"/>
      <c r="S597" s="792"/>
      <c r="T597" s="792"/>
      <c r="U597" s="792"/>
      <c r="V597" s="793"/>
      <c r="W597" s="792"/>
      <c r="X597" s="792"/>
      <c r="Y597" s="792"/>
      <c r="Z597" s="792"/>
      <c r="AA597" s="792"/>
    </row>
    <row r="598" spans="1:27" ht="15.75" customHeight="1">
      <c r="A598" s="792"/>
      <c r="B598" s="792"/>
      <c r="C598" s="792"/>
      <c r="D598" s="792"/>
      <c r="E598" s="792"/>
      <c r="F598" s="792"/>
      <c r="G598" s="792"/>
      <c r="H598" s="792"/>
      <c r="I598" s="792"/>
      <c r="J598" s="792"/>
      <c r="K598" s="792"/>
      <c r="L598" s="792"/>
      <c r="M598" s="792"/>
      <c r="N598" s="792"/>
      <c r="O598" s="792"/>
      <c r="P598" s="792"/>
      <c r="Q598" s="792"/>
      <c r="R598" s="792"/>
      <c r="S598" s="792"/>
      <c r="T598" s="792"/>
      <c r="U598" s="792"/>
      <c r="V598" s="793"/>
      <c r="W598" s="792"/>
      <c r="X598" s="792"/>
      <c r="Y598" s="792"/>
      <c r="Z598" s="792"/>
      <c r="AA598" s="792"/>
    </row>
    <row r="599" spans="1:27" ht="15.75" customHeight="1">
      <c r="A599" s="792"/>
      <c r="B599" s="792"/>
      <c r="C599" s="792"/>
      <c r="D599" s="792"/>
      <c r="E599" s="792"/>
      <c r="F599" s="792"/>
      <c r="G599" s="792"/>
      <c r="H599" s="792"/>
      <c r="I599" s="792"/>
      <c r="J599" s="792"/>
      <c r="K599" s="792"/>
      <c r="L599" s="792"/>
      <c r="M599" s="792"/>
      <c r="N599" s="792"/>
      <c r="O599" s="792"/>
      <c r="P599" s="792"/>
      <c r="Q599" s="792"/>
      <c r="R599" s="792"/>
      <c r="S599" s="792"/>
      <c r="T599" s="792"/>
      <c r="U599" s="792"/>
      <c r="V599" s="793"/>
      <c r="W599" s="792"/>
      <c r="X599" s="792"/>
      <c r="Y599" s="792"/>
      <c r="Z599" s="792"/>
      <c r="AA599" s="792"/>
    </row>
    <row r="600" spans="1:27" ht="15.75" customHeight="1">
      <c r="A600" s="792"/>
      <c r="B600" s="792"/>
      <c r="C600" s="792"/>
      <c r="D600" s="792"/>
      <c r="E600" s="792"/>
      <c r="F600" s="792"/>
      <c r="G600" s="792"/>
      <c r="H600" s="792"/>
      <c r="I600" s="792"/>
      <c r="J600" s="792"/>
      <c r="K600" s="792"/>
      <c r="L600" s="792"/>
      <c r="M600" s="792"/>
      <c r="N600" s="792"/>
      <c r="O600" s="792"/>
      <c r="P600" s="792"/>
      <c r="Q600" s="792"/>
      <c r="R600" s="792"/>
      <c r="S600" s="792"/>
      <c r="T600" s="792"/>
      <c r="U600" s="792"/>
      <c r="V600" s="793"/>
      <c r="W600" s="792"/>
      <c r="X600" s="792"/>
      <c r="Y600" s="792"/>
      <c r="Z600" s="792"/>
      <c r="AA600" s="792"/>
    </row>
    <row r="601" spans="1:27" ht="15.75" customHeight="1">
      <c r="A601" s="792"/>
      <c r="B601" s="792"/>
      <c r="C601" s="792"/>
      <c r="D601" s="792"/>
      <c r="E601" s="792"/>
      <c r="F601" s="792"/>
      <c r="G601" s="792"/>
      <c r="H601" s="792"/>
      <c r="I601" s="792"/>
      <c r="J601" s="792"/>
      <c r="K601" s="792"/>
      <c r="L601" s="792"/>
      <c r="M601" s="792"/>
      <c r="N601" s="792"/>
      <c r="O601" s="792"/>
      <c r="P601" s="792"/>
      <c r="Q601" s="792"/>
      <c r="R601" s="792"/>
      <c r="S601" s="792"/>
      <c r="T601" s="792"/>
      <c r="U601" s="792"/>
      <c r="V601" s="793"/>
      <c r="W601" s="792"/>
      <c r="X601" s="792"/>
      <c r="Y601" s="792"/>
      <c r="Z601" s="792"/>
      <c r="AA601" s="792"/>
    </row>
    <row r="602" spans="1:27" ht="15.75" customHeight="1">
      <c r="A602" s="792"/>
      <c r="B602" s="792"/>
      <c r="C602" s="792"/>
      <c r="D602" s="792"/>
      <c r="E602" s="792"/>
      <c r="F602" s="792"/>
      <c r="G602" s="792"/>
      <c r="H602" s="792"/>
      <c r="I602" s="792"/>
      <c r="J602" s="792"/>
      <c r="K602" s="792"/>
      <c r="L602" s="792"/>
      <c r="M602" s="792"/>
      <c r="N602" s="792"/>
      <c r="O602" s="792"/>
      <c r="P602" s="792"/>
      <c r="Q602" s="792"/>
      <c r="R602" s="792"/>
      <c r="S602" s="792"/>
      <c r="T602" s="792"/>
      <c r="U602" s="792"/>
      <c r="V602" s="793"/>
      <c r="W602" s="792"/>
      <c r="X602" s="792"/>
      <c r="Y602" s="792"/>
      <c r="Z602" s="792"/>
      <c r="AA602" s="792"/>
    </row>
    <row r="603" spans="1:27" ht="15.75" customHeight="1">
      <c r="A603" s="792"/>
      <c r="B603" s="792"/>
      <c r="C603" s="792"/>
      <c r="D603" s="792"/>
      <c r="E603" s="792"/>
      <c r="F603" s="792"/>
      <c r="G603" s="792"/>
      <c r="H603" s="792"/>
      <c r="I603" s="792"/>
      <c r="J603" s="792"/>
      <c r="K603" s="792"/>
      <c r="L603" s="792"/>
      <c r="M603" s="792"/>
      <c r="N603" s="792"/>
      <c r="O603" s="792"/>
      <c r="P603" s="792"/>
      <c r="Q603" s="792"/>
      <c r="R603" s="792"/>
      <c r="S603" s="792"/>
      <c r="T603" s="792"/>
      <c r="U603" s="792"/>
      <c r="V603" s="793"/>
      <c r="W603" s="792"/>
      <c r="X603" s="792"/>
      <c r="Y603" s="792"/>
      <c r="Z603" s="792"/>
      <c r="AA603" s="792"/>
    </row>
    <row r="604" spans="1:27" ht="15.75" customHeight="1">
      <c r="A604" s="792"/>
      <c r="B604" s="792"/>
      <c r="C604" s="792"/>
      <c r="D604" s="792"/>
      <c r="E604" s="792"/>
      <c r="F604" s="792"/>
      <c r="G604" s="792"/>
      <c r="H604" s="792"/>
      <c r="I604" s="792"/>
      <c r="J604" s="792"/>
      <c r="K604" s="792"/>
      <c r="L604" s="792"/>
      <c r="M604" s="792"/>
      <c r="N604" s="792"/>
      <c r="O604" s="792"/>
      <c r="P604" s="792"/>
      <c r="Q604" s="792"/>
      <c r="R604" s="792"/>
      <c r="S604" s="792"/>
      <c r="T604" s="792"/>
      <c r="U604" s="792"/>
      <c r="V604" s="793"/>
      <c r="W604" s="792"/>
      <c r="X604" s="792"/>
      <c r="Y604" s="792"/>
      <c r="Z604" s="792"/>
      <c r="AA604" s="792"/>
    </row>
    <row r="605" spans="1:27" ht="15.75" customHeight="1">
      <c r="A605" s="792"/>
      <c r="B605" s="792"/>
      <c r="C605" s="792"/>
      <c r="D605" s="792"/>
      <c r="E605" s="792"/>
      <c r="F605" s="792"/>
      <c r="G605" s="792"/>
      <c r="H605" s="792"/>
      <c r="I605" s="792"/>
      <c r="J605" s="792"/>
      <c r="K605" s="792"/>
      <c r="L605" s="792"/>
      <c r="M605" s="792"/>
      <c r="N605" s="792"/>
      <c r="O605" s="792"/>
      <c r="P605" s="792"/>
      <c r="Q605" s="792"/>
      <c r="R605" s="792"/>
      <c r="S605" s="792"/>
      <c r="T605" s="792"/>
      <c r="U605" s="792"/>
      <c r="V605" s="793"/>
      <c r="W605" s="792"/>
      <c r="X605" s="792"/>
      <c r="Y605" s="792"/>
      <c r="Z605" s="792"/>
      <c r="AA605" s="792"/>
    </row>
    <row r="606" spans="1:27" ht="15.75" customHeight="1">
      <c r="A606" s="792"/>
      <c r="B606" s="792"/>
      <c r="C606" s="792"/>
      <c r="D606" s="792"/>
      <c r="E606" s="792"/>
      <c r="F606" s="792"/>
      <c r="G606" s="792"/>
      <c r="H606" s="792"/>
      <c r="I606" s="792"/>
      <c r="J606" s="792"/>
      <c r="K606" s="792"/>
      <c r="L606" s="792"/>
      <c r="M606" s="792"/>
      <c r="N606" s="792"/>
      <c r="O606" s="792"/>
      <c r="P606" s="792"/>
      <c r="Q606" s="792"/>
      <c r="R606" s="792"/>
      <c r="S606" s="792"/>
      <c r="T606" s="792"/>
      <c r="U606" s="792"/>
      <c r="V606" s="793"/>
      <c r="W606" s="792"/>
      <c r="X606" s="792"/>
      <c r="Y606" s="792"/>
      <c r="Z606" s="792"/>
      <c r="AA606" s="792"/>
    </row>
    <row r="607" spans="1:27" ht="15.75" customHeight="1">
      <c r="A607" s="792"/>
      <c r="B607" s="792"/>
      <c r="C607" s="792"/>
      <c r="D607" s="792"/>
      <c r="E607" s="792"/>
      <c r="F607" s="792"/>
      <c r="G607" s="792"/>
      <c r="H607" s="792"/>
      <c r="I607" s="792"/>
      <c r="J607" s="792"/>
      <c r="K607" s="792"/>
      <c r="L607" s="792"/>
      <c r="M607" s="792"/>
      <c r="N607" s="792"/>
      <c r="O607" s="792"/>
      <c r="P607" s="792"/>
      <c r="Q607" s="792"/>
      <c r="R607" s="792"/>
      <c r="S607" s="792"/>
      <c r="T607" s="792"/>
      <c r="U607" s="792"/>
      <c r="V607" s="793"/>
      <c r="W607" s="792"/>
      <c r="X607" s="792"/>
      <c r="Y607" s="792"/>
      <c r="Z607" s="792"/>
      <c r="AA607" s="792"/>
    </row>
    <row r="608" spans="1:27" ht="15.75" customHeight="1">
      <c r="A608" s="792"/>
      <c r="B608" s="792"/>
      <c r="C608" s="792"/>
      <c r="D608" s="792"/>
      <c r="E608" s="792"/>
      <c r="F608" s="792"/>
      <c r="G608" s="792"/>
      <c r="H608" s="792"/>
      <c r="I608" s="792"/>
      <c r="J608" s="792"/>
      <c r="K608" s="792"/>
      <c r="L608" s="792"/>
      <c r="M608" s="792"/>
      <c r="N608" s="792"/>
      <c r="O608" s="792"/>
      <c r="P608" s="792"/>
      <c r="Q608" s="792"/>
      <c r="R608" s="792"/>
      <c r="S608" s="792"/>
      <c r="T608" s="792"/>
      <c r="U608" s="792"/>
      <c r="V608" s="793"/>
      <c r="W608" s="792"/>
      <c r="X608" s="792"/>
      <c r="Y608" s="792"/>
      <c r="Z608" s="792"/>
      <c r="AA608" s="792"/>
    </row>
    <row r="609" spans="1:27" ht="15.75" customHeight="1">
      <c r="A609" s="792"/>
      <c r="B609" s="792"/>
      <c r="C609" s="792"/>
      <c r="D609" s="792"/>
      <c r="E609" s="792"/>
      <c r="F609" s="792"/>
      <c r="G609" s="792"/>
      <c r="H609" s="792"/>
      <c r="I609" s="792"/>
      <c r="J609" s="792"/>
      <c r="K609" s="792"/>
      <c r="L609" s="792"/>
      <c r="M609" s="792"/>
      <c r="N609" s="792"/>
      <c r="O609" s="792"/>
      <c r="P609" s="792"/>
      <c r="Q609" s="792"/>
      <c r="R609" s="792"/>
      <c r="S609" s="792"/>
      <c r="T609" s="792"/>
      <c r="U609" s="792"/>
      <c r="V609" s="793"/>
      <c r="W609" s="792"/>
      <c r="X609" s="792"/>
      <c r="Y609" s="792"/>
      <c r="Z609" s="792"/>
      <c r="AA609" s="792"/>
    </row>
    <row r="610" spans="1:27" ht="15.75" customHeight="1">
      <c r="A610" s="792"/>
      <c r="B610" s="792"/>
      <c r="C610" s="792"/>
      <c r="D610" s="792"/>
      <c r="E610" s="792"/>
      <c r="F610" s="792"/>
      <c r="G610" s="792"/>
      <c r="H610" s="792"/>
      <c r="I610" s="792"/>
      <c r="J610" s="792"/>
      <c r="K610" s="792"/>
      <c r="L610" s="792"/>
      <c r="M610" s="792"/>
      <c r="N610" s="792"/>
      <c r="O610" s="792"/>
      <c r="P610" s="792"/>
      <c r="Q610" s="792"/>
      <c r="R610" s="792"/>
      <c r="S610" s="792"/>
      <c r="T610" s="792"/>
      <c r="U610" s="792"/>
      <c r="V610" s="793"/>
      <c r="W610" s="792"/>
      <c r="X610" s="792"/>
      <c r="Y610" s="792"/>
      <c r="Z610" s="792"/>
      <c r="AA610" s="792"/>
    </row>
    <row r="611" spans="1:27" ht="15.75" customHeight="1">
      <c r="A611" s="792"/>
      <c r="B611" s="792"/>
      <c r="C611" s="792"/>
      <c r="D611" s="792"/>
      <c r="E611" s="792"/>
      <c r="F611" s="792"/>
      <c r="G611" s="792"/>
      <c r="H611" s="792"/>
      <c r="I611" s="792"/>
      <c r="J611" s="792"/>
      <c r="K611" s="792"/>
      <c r="L611" s="792"/>
      <c r="M611" s="792"/>
      <c r="N611" s="792"/>
      <c r="O611" s="792"/>
      <c r="P611" s="792"/>
      <c r="Q611" s="792"/>
      <c r="R611" s="792"/>
      <c r="S611" s="792"/>
      <c r="T611" s="792"/>
      <c r="U611" s="792"/>
      <c r="V611" s="793"/>
      <c r="W611" s="792"/>
      <c r="X611" s="792"/>
      <c r="Y611" s="792"/>
      <c r="Z611" s="792"/>
      <c r="AA611" s="792"/>
    </row>
    <row r="612" spans="1:27" ht="15.75" customHeight="1">
      <c r="A612" s="792"/>
      <c r="B612" s="792"/>
      <c r="C612" s="792"/>
      <c r="D612" s="792"/>
      <c r="E612" s="792"/>
      <c r="F612" s="792"/>
      <c r="G612" s="792"/>
      <c r="H612" s="792"/>
      <c r="I612" s="792"/>
      <c r="J612" s="792"/>
      <c r="K612" s="792"/>
      <c r="L612" s="792"/>
      <c r="M612" s="792"/>
      <c r="N612" s="792"/>
      <c r="O612" s="792"/>
      <c r="P612" s="792"/>
      <c r="Q612" s="792"/>
      <c r="R612" s="792"/>
      <c r="S612" s="792"/>
      <c r="T612" s="792"/>
      <c r="U612" s="792"/>
      <c r="V612" s="793"/>
      <c r="W612" s="792"/>
      <c r="X612" s="792"/>
      <c r="Y612" s="792"/>
      <c r="Z612" s="792"/>
      <c r="AA612" s="792"/>
    </row>
    <row r="613" spans="1:27" ht="15.75" customHeight="1">
      <c r="A613" s="792"/>
      <c r="B613" s="792"/>
      <c r="C613" s="792"/>
      <c r="D613" s="792"/>
      <c r="E613" s="792"/>
      <c r="F613" s="792"/>
      <c r="G613" s="792"/>
      <c r="H613" s="792"/>
      <c r="I613" s="792"/>
      <c r="J613" s="792"/>
      <c r="K613" s="792"/>
      <c r="L613" s="792"/>
      <c r="M613" s="792"/>
      <c r="N613" s="792"/>
      <c r="O613" s="792"/>
      <c r="P613" s="792"/>
      <c r="Q613" s="792"/>
      <c r="R613" s="792"/>
      <c r="S613" s="792"/>
      <c r="T613" s="792"/>
      <c r="U613" s="792"/>
      <c r="V613" s="793"/>
      <c r="W613" s="792"/>
      <c r="X613" s="792"/>
      <c r="Y613" s="792"/>
      <c r="Z613" s="792"/>
      <c r="AA613" s="792"/>
    </row>
    <row r="614" spans="1:27" ht="15.75" customHeight="1">
      <c r="A614" s="792"/>
      <c r="B614" s="792"/>
      <c r="C614" s="792"/>
      <c r="D614" s="792"/>
      <c r="E614" s="792"/>
      <c r="F614" s="792"/>
      <c r="G614" s="792"/>
      <c r="H614" s="792"/>
      <c r="I614" s="792"/>
      <c r="J614" s="792"/>
      <c r="K614" s="792"/>
      <c r="L614" s="792"/>
      <c r="M614" s="792"/>
      <c r="N614" s="792"/>
      <c r="O614" s="792"/>
      <c r="P614" s="792"/>
      <c r="Q614" s="792"/>
      <c r="R614" s="792"/>
      <c r="S614" s="792"/>
      <c r="T614" s="792"/>
      <c r="U614" s="792"/>
      <c r="V614" s="793"/>
      <c r="W614" s="792"/>
      <c r="X614" s="792"/>
      <c r="Y614" s="792"/>
      <c r="Z614" s="792"/>
      <c r="AA614" s="792"/>
    </row>
    <row r="615" spans="1:27" ht="15.75" customHeight="1">
      <c r="A615" s="792"/>
      <c r="B615" s="792"/>
      <c r="C615" s="792"/>
      <c r="D615" s="792"/>
      <c r="E615" s="792"/>
      <c r="F615" s="792"/>
      <c r="G615" s="792"/>
      <c r="H615" s="792"/>
      <c r="I615" s="792"/>
      <c r="J615" s="792"/>
      <c r="K615" s="792"/>
      <c r="L615" s="792"/>
      <c r="M615" s="792"/>
      <c r="N615" s="792"/>
      <c r="O615" s="792"/>
      <c r="P615" s="792"/>
      <c r="Q615" s="792"/>
      <c r="R615" s="792"/>
      <c r="S615" s="792"/>
      <c r="T615" s="792"/>
      <c r="U615" s="792"/>
      <c r="V615" s="793"/>
      <c r="W615" s="792"/>
      <c r="X615" s="792"/>
      <c r="Y615" s="792"/>
      <c r="Z615" s="792"/>
      <c r="AA615" s="792"/>
    </row>
    <row r="616" spans="1:27" ht="15.75" customHeight="1">
      <c r="A616" s="792"/>
      <c r="B616" s="792"/>
      <c r="C616" s="792"/>
      <c r="D616" s="792"/>
      <c r="E616" s="792"/>
      <c r="F616" s="792"/>
      <c r="G616" s="792"/>
      <c r="H616" s="792"/>
      <c r="I616" s="792"/>
      <c r="J616" s="792"/>
      <c r="K616" s="792"/>
      <c r="L616" s="792"/>
      <c r="M616" s="792"/>
      <c r="N616" s="792"/>
      <c r="O616" s="792"/>
      <c r="P616" s="792"/>
      <c r="Q616" s="792"/>
      <c r="R616" s="792"/>
      <c r="S616" s="792"/>
      <c r="T616" s="792"/>
      <c r="U616" s="792"/>
      <c r="V616" s="793"/>
      <c r="W616" s="792"/>
      <c r="X616" s="792"/>
      <c r="Y616" s="792"/>
      <c r="Z616" s="792"/>
      <c r="AA616" s="792"/>
    </row>
    <row r="617" spans="1:27" ht="15.75" customHeight="1">
      <c r="A617" s="792"/>
      <c r="B617" s="792"/>
      <c r="C617" s="792"/>
      <c r="D617" s="792"/>
      <c r="E617" s="792"/>
      <c r="F617" s="792"/>
      <c r="G617" s="792"/>
      <c r="H617" s="792"/>
      <c r="I617" s="792"/>
      <c r="J617" s="792"/>
      <c r="K617" s="792"/>
      <c r="L617" s="792"/>
      <c r="M617" s="792"/>
      <c r="N617" s="792"/>
      <c r="O617" s="792"/>
      <c r="P617" s="792"/>
      <c r="Q617" s="792"/>
      <c r="R617" s="792"/>
      <c r="S617" s="792"/>
      <c r="T617" s="792"/>
      <c r="U617" s="792"/>
      <c r="V617" s="793"/>
      <c r="W617" s="792"/>
      <c r="X617" s="792"/>
      <c r="Y617" s="792"/>
      <c r="Z617" s="792"/>
      <c r="AA617" s="792"/>
    </row>
    <row r="618" spans="1:27" ht="15.75" customHeight="1">
      <c r="A618" s="792"/>
      <c r="B618" s="792"/>
      <c r="C618" s="792"/>
      <c r="D618" s="792"/>
      <c r="E618" s="792"/>
      <c r="F618" s="792"/>
      <c r="G618" s="792"/>
      <c r="H618" s="792"/>
      <c r="I618" s="792"/>
      <c r="J618" s="792"/>
      <c r="K618" s="792"/>
      <c r="L618" s="792"/>
      <c r="M618" s="792"/>
      <c r="N618" s="792"/>
      <c r="O618" s="792"/>
      <c r="P618" s="792"/>
      <c r="Q618" s="792"/>
      <c r="R618" s="792"/>
      <c r="S618" s="792"/>
      <c r="T618" s="792"/>
      <c r="U618" s="792"/>
      <c r="V618" s="793"/>
      <c r="W618" s="792"/>
      <c r="X618" s="792"/>
      <c r="Y618" s="792"/>
      <c r="Z618" s="792"/>
      <c r="AA618" s="792"/>
    </row>
    <row r="619" spans="1:27" ht="15.75" customHeight="1">
      <c r="A619" s="792"/>
      <c r="B619" s="792"/>
      <c r="C619" s="792"/>
      <c r="D619" s="792"/>
      <c r="E619" s="792"/>
      <c r="F619" s="792"/>
      <c r="G619" s="792"/>
      <c r="H619" s="792"/>
      <c r="I619" s="792"/>
      <c r="J619" s="792"/>
      <c r="K619" s="792"/>
      <c r="L619" s="792"/>
      <c r="M619" s="792"/>
      <c r="N619" s="792"/>
      <c r="O619" s="792"/>
      <c r="P619" s="792"/>
      <c r="Q619" s="792"/>
      <c r="R619" s="792"/>
      <c r="S619" s="792"/>
      <c r="T619" s="792"/>
      <c r="U619" s="792"/>
      <c r="V619" s="793"/>
      <c r="W619" s="792"/>
      <c r="X619" s="792"/>
      <c r="Y619" s="792"/>
      <c r="Z619" s="792"/>
      <c r="AA619" s="792"/>
    </row>
    <row r="620" spans="1:27" ht="15.75" customHeight="1">
      <c r="A620" s="792"/>
      <c r="B620" s="792"/>
      <c r="C620" s="792"/>
      <c r="D620" s="792"/>
      <c r="E620" s="792"/>
      <c r="F620" s="792"/>
      <c r="G620" s="792"/>
      <c r="H620" s="792"/>
      <c r="I620" s="792"/>
      <c r="J620" s="792"/>
      <c r="K620" s="792"/>
      <c r="L620" s="792"/>
      <c r="M620" s="792"/>
      <c r="N620" s="792"/>
      <c r="O620" s="792"/>
      <c r="P620" s="792"/>
      <c r="Q620" s="792"/>
      <c r="R620" s="792"/>
      <c r="S620" s="792"/>
      <c r="T620" s="792"/>
      <c r="U620" s="792"/>
      <c r="V620" s="793"/>
      <c r="W620" s="792"/>
      <c r="X620" s="792"/>
      <c r="Y620" s="792"/>
      <c r="Z620" s="792"/>
      <c r="AA620" s="792"/>
    </row>
    <row r="621" spans="1:27" ht="15.75" customHeight="1">
      <c r="A621" s="792"/>
      <c r="B621" s="792"/>
      <c r="C621" s="792"/>
      <c r="D621" s="792"/>
      <c r="E621" s="792"/>
      <c r="F621" s="792"/>
      <c r="G621" s="792"/>
      <c r="H621" s="792"/>
      <c r="I621" s="792"/>
      <c r="J621" s="792"/>
      <c r="K621" s="792"/>
      <c r="L621" s="792"/>
      <c r="M621" s="792"/>
      <c r="N621" s="792"/>
      <c r="O621" s="792"/>
      <c r="P621" s="792"/>
      <c r="Q621" s="792"/>
      <c r="R621" s="792"/>
      <c r="S621" s="792"/>
      <c r="T621" s="792"/>
      <c r="U621" s="792"/>
      <c r="V621" s="793"/>
      <c r="W621" s="792"/>
      <c r="X621" s="792"/>
      <c r="Y621" s="792"/>
      <c r="Z621" s="792"/>
      <c r="AA621" s="792"/>
    </row>
    <row r="622" spans="1:27" ht="15.75" customHeight="1">
      <c r="A622" s="792"/>
      <c r="B622" s="792"/>
      <c r="C622" s="792"/>
      <c r="D622" s="792"/>
      <c r="E622" s="792"/>
      <c r="F622" s="792"/>
      <c r="G622" s="792"/>
      <c r="H622" s="792"/>
      <c r="I622" s="792"/>
      <c r="J622" s="792"/>
      <c r="K622" s="792"/>
      <c r="L622" s="792"/>
      <c r="M622" s="792"/>
      <c r="N622" s="792"/>
      <c r="O622" s="792"/>
      <c r="P622" s="792"/>
      <c r="Q622" s="792"/>
      <c r="R622" s="792"/>
      <c r="S622" s="792"/>
      <c r="T622" s="792"/>
      <c r="U622" s="792"/>
      <c r="V622" s="793"/>
      <c r="W622" s="792"/>
      <c r="X622" s="792"/>
      <c r="Y622" s="792"/>
      <c r="Z622" s="792"/>
      <c r="AA622" s="792"/>
    </row>
    <row r="623" spans="1:27" ht="15.75" customHeight="1">
      <c r="A623" s="792"/>
      <c r="B623" s="792"/>
      <c r="C623" s="792"/>
      <c r="D623" s="792"/>
      <c r="E623" s="792"/>
      <c r="F623" s="792"/>
      <c r="G623" s="792"/>
      <c r="H623" s="792"/>
      <c r="I623" s="792"/>
      <c r="J623" s="792"/>
      <c r="K623" s="792"/>
      <c r="L623" s="792"/>
      <c r="M623" s="792"/>
      <c r="N623" s="792"/>
      <c r="O623" s="792"/>
      <c r="P623" s="792"/>
      <c r="Q623" s="792"/>
      <c r="R623" s="792"/>
      <c r="S623" s="792"/>
      <c r="T623" s="792"/>
      <c r="U623" s="792"/>
      <c r="V623" s="793"/>
      <c r="W623" s="792"/>
      <c r="X623" s="792"/>
      <c r="Y623" s="792"/>
      <c r="Z623" s="792"/>
      <c r="AA623" s="792"/>
    </row>
    <row r="624" spans="1:27" ht="15.75" customHeight="1">
      <c r="A624" s="792"/>
      <c r="B624" s="792"/>
      <c r="C624" s="792"/>
      <c r="D624" s="792"/>
      <c r="E624" s="792"/>
      <c r="F624" s="792"/>
      <c r="G624" s="792"/>
      <c r="H624" s="792"/>
      <c r="I624" s="792"/>
      <c r="J624" s="792"/>
      <c r="K624" s="792"/>
      <c r="L624" s="792"/>
      <c r="M624" s="792"/>
      <c r="N624" s="792"/>
      <c r="O624" s="792"/>
      <c r="P624" s="792"/>
      <c r="Q624" s="792"/>
      <c r="R624" s="792"/>
      <c r="S624" s="792"/>
      <c r="T624" s="792"/>
      <c r="U624" s="792"/>
      <c r="V624" s="793"/>
      <c r="W624" s="792"/>
      <c r="X624" s="792"/>
      <c r="Y624" s="792"/>
      <c r="Z624" s="792"/>
      <c r="AA624" s="792"/>
    </row>
    <row r="625" spans="1:27" ht="15.75" customHeight="1">
      <c r="A625" s="792"/>
      <c r="B625" s="792"/>
      <c r="C625" s="792"/>
      <c r="D625" s="792"/>
      <c r="E625" s="792"/>
      <c r="F625" s="792"/>
      <c r="G625" s="792"/>
      <c r="H625" s="792"/>
      <c r="I625" s="792"/>
      <c r="J625" s="792"/>
      <c r="K625" s="792"/>
      <c r="L625" s="792"/>
      <c r="M625" s="792"/>
      <c r="N625" s="792"/>
      <c r="O625" s="792"/>
      <c r="P625" s="792"/>
      <c r="Q625" s="792"/>
      <c r="R625" s="792"/>
      <c r="S625" s="792"/>
      <c r="T625" s="792"/>
      <c r="U625" s="792"/>
      <c r="V625" s="793"/>
      <c r="W625" s="792"/>
      <c r="X625" s="792"/>
      <c r="Y625" s="792"/>
      <c r="Z625" s="792"/>
      <c r="AA625" s="792"/>
    </row>
    <row r="626" spans="1:27" ht="15.75" customHeight="1">
      <c r="A626" s="792"/>
      <c r="B626" s="792"/>
      <c r="C626" s="792"/>
      <c r="D626" s="792"/>
      <c r="E626" s="792"/>
      <c r="F626" s="792"/>
      <c r="G626" s="792"/>
      <c r="H626" s="792"/>
      <c r="I626" s="792"/>
      <c r="J626" s="792"/>
      <c r="K626" s="792"/>
      <c r="L626" s="792"/>
      <c r="M626" s="792"/>
      <c r="N626" s="792"/>
      <c r="O626" s="792"/>
      <c r="P626" s="792"/>
      <c r="Q626" s="792"/>
      <c r="R626" s="792"/>
      <c r="S626" s="792"/>
      <c r="T626" s="792"/>
      <c r="U626" s="792"/>
      <c r="V626" s="793"/>
      <c r="W626" s="792"/>
      <c r="X626" s="792"/>
      <c r="Y626" s="792"/>
      <c r="Z626" s="792"/>
      <c r="AA626" s="792"/>
    </row>
    <row r="627" spans="1:27" ht="15.75" customHeight="1">
      <c r="A627" s="792"/>
      <c r="B627" s="792"/>
      <c r="C627" s="792"/>
      <c r="D627" s="792"/>
      <c r="E627" s="792"/>
      <c r="F627" s="792"/>
      <c r="G627" s="792"/>
      <c r="H627" s="792"/>
      <c r="I627" s="792"/>
      <c r="J627" s="792"/>
      <c r="K627" s="792"/>
      <c r="L627" s="792"/>
      <c r="M627" s="792"/>
      <c r="N627" s="792"/>
      <c r="O627" s="792"/>
      <c r="P627" s="792"/>
      <c r="Q627" s="792"/>
      <c r="R627" s="792"/>
      <c r="S627" s="792"/>
      <c r="T627" s="792"/>
      <c r="U627" s="792"/>
      <c r="V627" s="793"/>
      <c r="W627" s="792"/>
      <c r="X627" s="792"/>
      <c r="Y627" s="792"/>
      <c r="Z627" s="792"/>
      <c r="AA627" s="792"/>
    </row>
    <row r="628" spans="1:27" ht="15.75" customHeight="1">
      <c r="A628" s="792"/>
      <c r="B628" s="792"/>
      <c r="C628" s="792"/>
      <c r="D628" s="792"/>
      <c r="E628" s="792"/>
      <c r="F628" s="792"/>
      <c r="G628" s="792"/>
      <c r="H628" s="792"/>
      <c r="I628" s="792"/>
      <c r="J628" s="792"/>
      <c r="K628" s="792"/>
      <c r="L628" s="792"/>
      <c r="M628" s="792"/>
      <c r="N628" s="792"/>
      <c r="O628" s="792"/>
      <c r="P628" s="792"/>
      <c r="Q628" s="792"/>
      <c r="R628" s="792"/>
      <c r="S628" s="792"/>
      <c r="T628" s="792"/>
      <c r="U628" s="792"/>
      <c r="V628" s="793"/>
      <c r="W628" s="792"/>
      <c r="X628" s="792"/>
      <c r="Y628" s="792"/>
      <c r="Z628" s="792"/>
      <c r="AA628" s="792"/>
    </row>
    <row r="629" spans="1:27" ht="15.75" customHeight="1">
      <c r="A629" s="792"/>
      <c r="B629" s="792"/>
      <c r="C629" s="792"/>
      <c r="D629" s="792"/>
      <c r="E629" s="792"/>
      <c r="F629" s="792"/>
      <c r="G629" s="792"/>
      <c r="H629" s="792"/>
      <c r="I629" s="792"/>
      <c r="J629" s="792"/>
      <c r="K629" s="792"/>
      <c r="L629" s="792"/>
      <c r="M629" s="792"/>
      <c r="N629" s="792"/>
      <c r="O629" s="792"/>
      <c r="P629" s="792"/>
      <c r="Q629" s="792"/>
      <c r="R629" s="792"/>
      <c r="S629" s="792"/>
      <c r="T629" s="792"/>
      <c r="U629" s="792"/>
      <c r="V629" s="793"/>
      <c r="W629" s="792"/>
      <c r="X629" s="792"/>
      <c r="Y629" s="792"/>
      <c r="Z629" s="792"/>
      <c r="AA629" s="792"/>
    </row>
    <row r="630" spans="1:27" ht="15.75" customHeight="1">
      <c r="A630" s="792"/>
      <c r="B630" s="792"/>
      <c r="C630" s="792"/>
      <c r="D630" s="792"/>
      <c r="E630" s="792"/>
      <c r="F630" s="792"/>
      <c r="G630" s="792"/>
      <c r="H630" s="792"/>
      <c r="I630" s="792"/>
      <c r="J630" s="792"/>
      <c r="K630" s="792"/>
      <c r="L630" s="792"/>
      <c r="M630" s="792"/>
      <c r="N630" s="792"/>
      <c r="O630" s="792"/>
      <c r="P630" s="792"/>
      <c r="Q630" s="792"/>
      <c r="R630" s="792"/>
      <c r="S630" s="792"/>
      <c r="T630" s="792"/>
      <c r="U630" s="792"/>
      <c r="V630" s="793"/>
      <c r="W630" s="792"/>
      <c r="X630" s="792"/>
      <c r="Y630" s="792"/>
      <c r="Z630" s="792"/>
      <c r="AA630" s="792"/>
    </row>
    <row r="631" spans="1:27" ht="15.75" customHeight="1">
      <c r="A631" s="792"/>
      <c r="B631" s="792"/>
      <c r="C631" s="792"/>
      <c r="D631" s="792"/>
      <c r="E631" s="792"/>
      <c r="F631" s="792"/>
      <c r="G631" s="792"/>
      <c r="H631" s="792"/>
      <c r="I631" s="792"/>
      <c r="J631" s="792"/>
      <c r="K631" s="792"/>
      <c r="L631" s="792"/>
      <c r="M631" s="792"/>
      <c r="N631" s="792"/>
      <c r="O631" s="792"/>
      <c r="P631" s="792"/>
      <c r="Q631" s="792"/>
      <c r="R631" s="792"/>
      <c r="S631" s="792"/>
      <c r="T631" s="792"/>
      <c r="U631" s="792"/>
      <c r="V631" s="793"/>
      <c r="W631" s="792"/>
      <c r="X631" s="792"/>
      <c r="Y631" s="792"/>
      <c r="Z631" s="792"/>
      <c r="AA631" s="792"/>
    </row>
    <row r="632" spans="1:27" ht="15.75" customHeight="1">
      <c r="A632" s="792"/>
      <c r="B632" s="792"/>
      <c r="C632" s="792"/>
      <c r="D632" s="792"/>
      <c r="E632" s="792"/>
      <c r="F632" s="792"/>
      <c r="G632" s="792"/>
      <c r="H632" s="792"/>
      <c r="I632" s="792"/>
      <c r="J632" s="792"/>
      <c r="K632" s="792"/>
      <c r="L632" s="792"/>
      <c r="M632" s="792"/>
      <c r="N632" s="792"/>
      <c r="O632" s="792"/>
      <c r="P632" s="792"/>
      <c r="Q632" s="792"/>
      <c r="R632" s="792"/>
      <c r="S632" s="792"/>
      <c r="T632" s="792"/>
      <c r="U632" s="792"/>
      <c r="V632" s="793"/>
      <c r="W632" s="792"/>
      <c r="X632" s="792"/>
      <c r="Y632" s="792"/>
      <c r="Z632" s="792"/>
      <c r="AA632" s="792"/>
    </row>
    <row r="633" spans="1:27" ht="15.75" customHeight="1">
      <c r="A633" s="792"/>
      <c r="B633" s="792"/>
      <c r="C633" s="792"/>
      <c r="D633" s="792"/>
      <c r="E633" s="792"/>
      <c r="F633" s="792"/>
      <c r="G633" s="792"/>
      <c r="H633" s="792"/>
      <c r="I633" s="792"/>
      <c r="J633" s="792"/>
      <c r="K633" s="792"/>
      <c r="L633" s="792"/>
      <c r="M633" s="792"/>
      <c r="N633" s="792"/>
      <c r="O633" s="792"/>
      <c r="P633" s="792"/>
      <c r="Q633" s="792"/>
      <c r="R633" s="792"/>
      <c r="S633" s="792"/>
      <c r="T633" s="792"/>
      <c r="U633" s="792"/>
      <c r="V633" s="793"/>
      <c r="W633" s="792"/>
      <c r="X633" s="792"/>
      <c r="Y633" s="792"/>
      <c r="Z633" s="792"/>
      <c r="AA633" s="792"/>
    </row>
    <row r="634" spans="1:27" ht="15.75" customHeight="1">
      <c r="A634" s="792"/>
      <c r="B634" s="792"/>
      <c r="C634" s="792"/>
      <c r="D634" s="792"/>
      <c r="E634" s="792"/>
      <c r="F634" s="792"/>
      <c r="G634" s="792"/>
      <c r="H634" s="792"/>
      <c r="I634" s="792"/>
      <c r="J634" s="792"/>
      <c r="K634" s="792"/>
      <c r="L634" s="792"/>
      <c r="M634" s="792"/>
      <c r="N634" s="792"/>
      <c r="O634" s="792"/>
      <c r="P634" s="792"/>
      <c r="Q634" s="792"/>
      <c r="R634" s="792"/>
      <c r="S634" s="792"/>
      <c r="T634" s="792"/>
      <c r="U634" s="792"/>
      <c r="V634" s="793"/>
      <c r="W634" s="792"/>
      <c r="X634" s="792"/>
      <c r="Y634" s="792"/>
      <c r="Z634" s="792"/>
      <c r="AA634" s="792"/>
    </row>
    <row r="635" spans="1:27" ht="15.75" customHeight="1">
      <c r="A635" s="792"/>
      <c r="B635" s="792"/>
      <c r="C635" s="792"/>
      <c r="D635" s="792"/>
      <c r="E635" s="792"/>
      <c r="F635" s="792"/>
      <c r="G635" s="792"/>
      <c r="H635" s="792"/>
      <c r="I635" s="792"/>
      <c r="J635" s="792"/>
      <c r="K635" s="792"/>
      <c r="L635" s="792"/>
      <c r="M635" s="792"/>
      <c r="N635" s="792"/>
      <c r="O635" s="792"/>
      <c r="P635" s="792"/>
      <c r="Q635" s="792"/>
      <c r="R635" s="792"/>
      <c r="S635" s="792"/>
      <c r="T635" s="792"/>
      <c r="U635" s="792"/>
      <c r="V635" s="793"/>
      <c r="W635" s="792"/>
      <c r="X635" s="792"/>
      <c r="Y635" s="792"/>
      <c r="Z635" s="792"/>
      <c r="AA635" s="792"/>
    </row>
    <row r="636" spans="1:27" ht="15.75" customHeight="1">
      <c r="A636" s="792"/>
      <c r="B636" s="792"/>
      <c r="C636" s="792"/>
      <c r="D636" s="792"/>
      <c r="E636" s="792"/>
      <c r="F636" s="792"/>
      <c r="G636" s="792"/>
      <c r="H636" s="792"/>
      <c r="I636" s="792"/>
      <c r="J636" s="792"/>
      <c r="K636" s="792"/>
      <c r="L636" s="792"/>
      <c r="M636" s="792"/>
      <c r="N636" s="792"/>
      <c r="O636" s="792"/>
      <c r="P636" s="792"/>
      <c r="Q636" s="792"/>
      <c r="R636" s="792"/>
      <c r="S636" s="792"/>
      <c r="T636" s="792"/>
      <c r="U636" s="792"/>
      <c r="V636" s="793"/>
      <c r="W636" s="792"/>
      <c r="X636" s="792"/>
      <c r="Y636" s="792"/>
      <c r="Z636" s="792"/>
      <c r="AA636" s="792"/>
    </row>
    <row r="637" spans="1:27" ht="15.75" customHeight="1">
      <c r="A637" s="792"/>
      <c r="B637" s="792"/>
      <c r="C637" s="792"/>
      <c r="D637" s="792"/>
      <c r="E637" s="792"/>
      <c r="F637" s="792"/>
      <c r="G637" s="792"/>
      <c r="H637" s="792"/>
      <c r="I637" s="792"/>
      <c r="J637" s="792"/>
      <c r="K637" s="792"/>
      <c r="L637" s="792"/>
      <c r="M637" s="792"/>
      <c r="N637" s="792"/>
      <c r="O637" s="792"/>
      <c r="P637" s="792"/>
      <c r="Q637" s="792"/>
      <c r="R637" s="792"/>
      <c r="S637" s="792"/>
      <c r="T637" s="792"/>
      <c r="U637" s="792"/>
      <c r="V637" s="793"/>
      <c r="W637" s="792"/>
      <c r="X637" s="792"/>
      <c r="Y637" s="792"/>
      <c r="Z637" s="792"/>
      <c r="AA637" s="792"/>
    </row>
    <row r="638" spans="1:27" ht="15.75" customHeight="1">
      <c r="A638" s="792"/>
      <c r="B638" s="792"/>
      <c r="C638" s="792"/>
      <c r="D638" s="792"/>
      <c r="E638" s="792"/>
      <c r="F638" s="792"/>
      <c r="G638" s="792"/>
      <c r="H638" s="792"/>
      <c r="I638" s="792"/>
      <c r="J638" s="792"/>
      <c r="K638" s="792"/>
      <c r="L638" s="792"/>
      <c r="M638" s="792"/>
      <c r="N638" s="792"/>
      <c r="O638" s="792"/>
      <c r="P638" s="792"/>
      <c r="Q638" s="792"/>
      <c r="R638" s="792"/>
      <c r="S638" s="792"/>
      <c r="T638" s="792"/>
      <c r="U638" s="792"/>
      <c r="V638" s="793"/>
      <c r="W638" s="792"/>
      <c r="X638" s="792"/>
      <c r="Y638" s="792"/>
      <c r="Z638" s="792"/>
      <c r="AA638" s="792"/>
    </row>
    <row r="639" spans="1:27" ht="15.75" customHeight="1">
      <c r="A639" s="792"/>
      <c r="B639" s="792"/>
      <c r="C639" s="792"/>
      <c r="D639" s="792"/>
      <c r="E639" s="792"/>
      <c r="F639" s="792"/>
      <c r="G639" s="792"/>
      <c r="H639" s="792"/>
      <c r="I639" s="792"/>
      <c r="J639" s="792"/>
      <c r="K639" s="792"/>
      <c r="L639" s="792"/>
      <c r="M639" s="792"/>
      <c r="N639" s="792"/>
      <c r="O639" s="792"/>
      <c r="P639" s="792"/>
      <c r="Q639" s="792"/>
      <c r="R639" s="792"/>
      <c r="S639" s="792"/>
      <c r="T639" s="792"/>
      <c r="U639" s="792"/>
      <c r="V639" s="793"/>
      <c r="W639" s="792"/>
      <c r="X639" s="792"/>
      <c r="Y639" s="792"/>
      <c r="Z639" s="792"/>
      <c r="AA639" s="792"/>
    </row>
    <row r="640" spans="1:27" ht="15.75" customHeight="1">
      <c r="A640" s="792"/>
      <c r="B640" s="792"/>
      <c r="C640" s="792"/>
      <c r="D640" s="792"/>
      <c r="E640" s="792"/>
      <c r="F640" s="792"/>
      <c r="G640" s="792"/>
      <c r="H640" s="792"/>
      <c r="I640" s="792"/>
      <c r="J640" s="792"/>
      <c r="K640" s="792"/>
      <c r="L640" s="792"/>
      <c r="M640" s="792"/>
      <c r="N640" s="792"/>
      <c r="O640" s="792"/>
      <c r="P640" s="792"/>
      <c r="Q640" s="792"/>
      <c r="R640" s="792"/>
      <c r="S640" s="792"/>
      <c r="T640" s="792"/>
      <c r="U640" s="792"/>
      <c r="V640" s="793"/>
      <c r="W640" s="792"/>
      <c r="X640" s="792"/>
      <c r="Y640" s="792"/>
      <c r="Z640" s="792"/>
      <c r="AA640" s="792"/>
    </row>
    <row r="641" spans="1:27" ht="15.75" customHeight="1">
      <c r="A641" s="792"/>
      <c r="B641" s="792"/>
      <c r="C641" s="792"/>
      <c r="D641" s="792"/>
      <c r="E641" s="792"/>
      <c r="F641" s="792"/>
      <c r="G641" s="792"/>
      <c r="H641" s="792"/>
      <c r="I641" s="792"/>
      <c r="J641" s="792"/>
      <c r="K641" s="792"/>
      <c r="L641" s="792"/>
      <c r="M641" s="792"/>
      <c r="N641" s="792"/>
      <c r="O641" s="792"/>
      <c r="P641" s="792"/>
      <c r="Q641" s="792"/>
      <c r="R641" s="792"/>
      <c r="S641" s="792"/>
      <c r="T641" s="792"/>
      <c r="U641" s="792"/>
      <c r="V641" s="793"/>
      <c r="W641" s="792"/>
      <c r="X641" s="792"/>
      <c r="Y641" s="792"/>
      <c r="Z641" s="792"/>
      <c r="AA641" s="792"/>
    </row>
    <row r="642" spans="1:27" ht="15.75" customHeight="1">
      <c r="A642" s="792"/>
      <c r="B642" s="792"/>
      <c r="C642" s="792"/>
      <c r="D642" s="792"/>
      <c r="E642" s="792"/>
      <c r="F642" s="792"/>
      <c r="G642" s="792"/>
      <c r="H642" s="792"/>
      <c r="I642" s="792"/>
      <c r="J642" s="792"/>
      <c r="K642" s="792"/>
      <c r="L642" s="792"/>
      <c r="M642" s="792"/>
      <c r="N642" s="792"/>
      <c r="O642" s="792"/>
      <c r="P642" s="792"/>
      <c r="Q642" s="792"/>
      <c r="R642" s="792"/>
      <c r="S642" s="792"/>
      <c r="T642" s="792"/>
      <c r="U642" s="792"/>
      <c r="V642" s="793"/>
      <c r="W642" s="792"/>
      <c r="X642" s="792"/>
      <c r="Y642" s="792"/>
      <c r="Z642" s="792"/>
      <c r="AA642" s="792"/>
    </row>
    <row r="643" spans="1:27" ht="15.75" customHeight="1">
      <c r="A643" s="792"/>
      <c r="B643" s="792"/>
      <c r="C643" s="792"/>
      <c r="D643" s="792"/>
      <c r="E643" s="792"/>
      <c r="F643" s="792"/>
      <c r="G643" s="792"/>
      <c r="H643" s="792"/>
      <c r="I643" s="792"/>
      <c r="J643" s="792"/>
      <c r="K643" s="792"/>
      <c r="L643" s="792"/>
      <c r="M643" s="792"/>
      <c r="N643" s="792"/>
      <c r="O643" s="792"/>
      <c r="P643" s="792"/>
      <c r="Q643" s="792"/>
      <c r="R643" s="792"/>
      <c r="S643" s="792"/>
      <c r="T643" s="792"/>
      <c r="U643" s="792"/>
      <c r="V643" s="793"/>
      <c r="W643" s="792"/>
      <c r="X643" s="792"/>
      <c r="Y643" s="792"/>
      <c r="Z643" s="792"/>
      <c r="AA643" s="792"/>
    </row>
    <row r="644" spans="1:27" ht="15.75" customHeight="1">
      <c r="A644" s="792"/>
      <c r="B644" s="792"/>
      <c r="C644" s="792"/>
      <c r="D644" s="792"/>
      <c r="E644" s="792"/>
      <c r="F644" s="792"/>
      <c r="G644" s="792"/>
      <c r="H644" s="792"/>
      <c r="I644" s="792"/>
      <c r="J644" s="792"/>
      <c r="K644" s="792"/>
      <c r="L644" s="792"/>
      <c r="M644" s="792"/>
      <c r="N644" s="792"/>
      <c r="O644" s="792"/>
      <c r="P644" s="792"/>
      <c r="Q644" s="792"/>
      <c r="R644" s="792"/>
      <c r="S644" s="792"/>
      <c r="T644" s="792"/>
      <c r="U644" s="792"/>
      <c r="V644" s="793"/>
      <c r="W644" s="792"/>
      <c r="X644" s="792"/>
      <c r="Y644" s="792"/>
      <c r="Z644" s="792"/>
      <c r="AA644" s="792"/>
    </row>
    <row r="645" spans="1:27" ht="15.75" customHeight="1">
      <c r="A645" s="792"/>
      <c r="B645" s="792"/>
      <c r="C645" s="792"/>
      <c r="D645" s="792"/>
      <c r="E645" s="792"/>
      <c r="F645" s="792"/>
      <c r="G645" s="792"/>
      <c r="H645" s="792"/>
      <c r="I645" s="792"/>
      <c r="J645" s="792"/>
      <c r="K645" s="792"/>
      <c r="L645" s="792"/>
      <c r="M645" s="792"/>
      <c r="N645" s="792"/>
      <c r="O645" s="792"/>
      <c r="P645" s="792"/>
      <c r="Q645" s="792"/>
      <c r="R645" s="792"/>
      <c r="S645" s="792"/>
      <c r="T645" s="792"/>
      <c r="U645" s="792"/>
      <c r="V645" s="793"/>
      <c r="W645" s="792"/>
      <c r="X645" s="792"/>
      <c r="Y645" s="792"/>
      <c r="Z645" s="792"/>
      <c r="AA645" s="792"/>
    </row>
    <row r="646" spans="1:27" ht="15.75" customHeight="1">
      <c r="A646" s="792"/>
      <c r="B646" s="792"/>
      <c r="C646" s="792"/>
      <c r="D646" s="792"/>
      <c r="E646" s="792"/>
      <c r="F646" s="792"/>
      <c r="G646" s="792"/>
      <c r="H646" s="792"/>
      <c r="I646" s="792"/>
      <c r="J646" s="792"/>
      <c r="K646" s="792"/>
      <c r="L646" s="792"/>
      <c r="M646" s="792"/>
      <c r="N646" s="792"/>
      <c r="O646" s="792"/>
      <c r="P646" s="792"/>
      <c r="Q646" s="792"/>
      <c r="R646" s="792"/>
      <c r="S646" s="792"/>
      <c r="T646" s="792"/>
      <c r="U646" s="792"/>
      <c r="V646" s="793"/>
      <c r="W646" s="792"/>
      <c r="X646" s="792"/>
      <c r="Y646" s="792"/>
      <c r="Z646" s="792"/>
      <c r="AA646" s="792"/>
    </row>
    <row r="647" spans="1:27" ht="15.75" customHeight="1">
      <c r="A647" s="792"/>
      <c r="B647" s="792"/>
      <c r="C647" s="792"/>
      <c r="D647" s="792"/>
      <c r="E647" s="792"/>
      <c r="F647" s="792"/>
      <c r="G647" s="792"/>
      <c r="H647" s="792"/>
      <c r="I647" s="792"/>
      <c r="J647" s="792"/>
      <c r="K647" s="792"/>
      <c r="L647" s="792"/>
      <c r="M647" s="792"/>
      <c r="N647" s="792"/>
      <c r="O647" s="792"/>
      <c r="P647" s="792"/>
      <c r="Q647" s="792"/>
      <c r="R647" s="792"/>
      <c r="S647" s="792"/>
      <c r="T647" s="792"/>
      <c r="U647" s="792"/>
      <c r="V647" s="793"/>
      <c r="W647" s="792"/>
      <c r="X647" s="792"/>
      <c r="Y647" s="792"/>
      <c r="Z647" s="792"/>
      <c r="AA647" s="792"/>
    </row>
    <row r="648" spans="1:27" ht="15.75" customHeight="1">
      <c r="A648" s="792"/>
      <c r="B648" s="792"/>
      <c r="C648" s="792"/>
      <c r="D648" s="792"/>
      <c r="E648" s="792"/>
      <c r="F648" s="792"/>
      <c r="G648" s="792"/>
      <c r="H648" s="792"/>
      <c r="I648" s="792"/>
      <c r="J648" s="792"/>
      <c r="K648" s="792"/>
      <c r="L648" s="792"/>
      <c r="M648" s="792"/>
      <c r="N648" s="792"/>
      <c r="O648" s="792"/>
      <c r="P648" s="792"/>
      <c r="Q648" s="792"/>
      <c r="R648" s="792"/>
      <c r="S648" s="792"/>
      <c r="T648" s="792"/>
      <c r="U648" s="792"/>
      <c r="V648" s="793"/>
      <c r="W648" s="792"/>
      <c r="X648" s="792"/>
      <c r="Y648" s="792"/>
      <c r="Z648" s="792"/>
      <c r="AA648" s="792"/>
    </row>
    <row r="649" spans="1:27" ht="15.75" customHeight="1">
      <c r="A649" s="792"/>
      <c r="B649" s="792"/>
      <c r="C649" s="792"/>
      <c r="D649" s="792"/>
      <c r="E649" s="792"/>
      <c r="F649" s="792"/>
      <c r="G649" s="792"/>
      <c r="H649" s="792"/>
      <c r="I649" s="792"/>
      <c r="J649" s="792"/>
      <c r="K649" s="792"/>
      <c r="L649" s="792"/>
      <c r="M649" s="792"/>
      <c r="N649" s="792"/>
      <c r="O649" s="792"/>
      <c r="P649" s="792"/>
      <c r="Q649" s="792"/>
      <c r="R649" s="792"/>
      <c r="S649" s="792"/>
      <c r="T649" s="792"/>
      <c r="U649" s="792"/>
      <c r="V649" s="793"/>
      <c r="W649" s="792"/>
      <c r="X649" s="792"/>
      <c r="Y649" s="792"/>
      <c r="Z649" s="792"/>
      <c r="AA649" s="792"/>
    </row>
    <row r="650" spans="1:27" ht="15.75" customHeight="1">
      <c r="A650" s="792"/>
      <c r="B650" s="792"/>
      <c r="C650" s="792"/>
      <c r="D650" s="792"/>
      <c r="E650" s="792"/>
      <c r="F650" s="792"/>
      <c r="G650" s="792"/>
      <c r="H650" s="792"/>
      <c r="I650" s="792"/>
      <c r="J650" s="792"/>
      <c r="K650" s="792"/>
      <c r="L650" s="792"/>
      <c r="M650" s="792"/>
      <c r="N650" s="792"/>
      <c r="O650" s="792"/>
      <c r="P650" s="792"/>
      <c r="Q650" s="792"/>
      <c r="R650" s="792"/>
      <c r="S650" s="792"/>
      <c r="T650" s="792"/>
      <c r="U650" s="792"/>
      <c r="V650" s="793"/>
      <c r="W650" s="792"/>
      <c r="X650" s="792"/>
      <c r="Y650" s="792"/>
      <c r="Z650" s="792"/>
      <c r="AA650" s="792"/>
    </row>
    <row r="651" spans="1:27" ht="15.75" customHeight="1">
      <c r="A651" s="792"/>
      <c r="B651" s="792"/>
      <c r="C651" s="792"/>
      <c r="D651" s="792"/>
      <c r="E651" s="792"/>
      <c r="F651" s="792"/>
      <c r="G651" s="792"/>
      <c r="H651" s="792"/>
      <c r="I651" s="792"/>
      <c r="J651" s="792"/>
      <c r="K651" s="792"/>
      <c r="L651" s="792"/>
      <c r="M651" s="792"/>
      <c r="N651" s="792"/>
      <c r="O651" s="792"/>
      <c r="P651" s="792"/>
      <c r="Q651" s="792"/>
      <c r="R651" s="792"/>
      <c r="S651" s="792"/>
      <c r="T651" s="792"/>
      <c r="U651" s="792"/>
      <c r="V651" s="793"/>
      <c r="W651" s="792"/>
      <c r="X651" s="792"/>
      <c r="Y651" s="792"/>
      <c r="Z651" s="792"/>
      <c r="AA651" s="792"/>
    </row>
    <row r="652" spans="1:27" ht="15.75" customHeight="1">
      <c r="A652" s="792"/>
      <c r="B652" s="792"/>
      <c r="C652" s="792"/>
      <c r="D652" s="792"/>
      <c r="E652" s="792"/>
      <c r="F652" s="792"/>
      <c r="G652" s="792"/>
      <c r="H652" s="792"/>
      <c r="I652" s="792"/>
      <c r="J652" s="792"/>
      <c r="K652" s="792"/>
      <c r="L652" s="792"/>
      <c r="M652" s="792"/>
      <c r="N652" s="792"/>
      <c r="O652" s="792"/>
      <c r="P652" s="792"/>
      <c r="Q652" s="792"/>
      <c r="R652" s="792"/>
      <c r="S652" s="792"/>
      <c r="T652" s="792"/>
      <c r="U652" s="792"/>
      <c r="V652" s="793"/>
      <c r="W652" s="792"/>
      <c r="X652" s="792"/>
      <c r="Y652" s="792"/>
      <c r="Z652" s="792"/>
      <c r="AA652" s="792"/>
    </row>
    <row r="653" spans="1:27" ht="15.75" customHeight="1">
      <c r="A653" s="792"/>
      <c r="B653" s="792"/>
      <c r="C653" s="792"/>
      <c r="D653" s="792"/>
      <c r="E653" s="792"/>
      <c r="F653" s="792"/>
      <c r="G653" s="792"/>
      <c r="H653" s="792"/>
      <c r="I653" s="792"/>
      <c r="J653" s="792"/>
      <c r="K653" s="792"/>
      <c r="L653" s="792"/>
      <c r="M653" s="792"/>
      <c r="N653" s="792"/>
      <c r="O653" s="792"/>
      <c r="P653" s="792"/>
      <c r="Q653" s="792"/>
      <c r="R653" s="792"/>
      <c r="S653" s="792"/>
      <c r="T653" s="792"/>
      <c r="U653" s="792"/>
      <c r="V653" s="793"/>
      <c r="W653" s="792"/>
      <c r="X653" s="792"/>
      <c r="Y653" s="792"/>
      <c r="Z653" s="792"/>
      <c r="AA653" s="792"/>
    </row>
    <row r="654" spans="1:27" ht="15.75" customHeight="1">
      <c r="A654" s="792"/>
      <c r="B654" s="792"/>
      <c r="C654" s="792"/>
      <c r="D654" s="792"/>
      <c r="E654" s="792"/>
      <c r="F654" s="792"/>
      <c r="G654" s="792"/>
      <c r="H654" s="792"/>
      <c r="I654" s="792"/>
      <c r="J654" s="792"/>
      <c r="K654" s="792"/>
      <c r="L654" s="792"/>
      <c r="M654" s="792"/>
      <c r="N654" s="792"/>
      <c r="O654" s="792"/>
      <c r="P654" s="792"/>
      <c r="Q654" s="792"/>
      <c r="R654" s="792"/>
      <c r="S654" s="792"/>
      <c r="T654" s="792"/>
      <c r="U654" s="792"/>
      <c r="V654" s="793"/>
      <c r="W654" s="792"/>
      <c r="X654" s="792"/>
      <c r="Y654" s="792"/>
      <c r="Z654" s="792"/>
      <c r="AA654" s="792"/>
    </row>
    <row r="655" spans="1:27" ht="15.75" customHeight="1">
      <c r="A655" s="792"/>
      <c r="B655" s="792"/>
      <c r="C655" s="792"/>
      <c r="D655" s="792"/>
      <c r="E655" s="792"/>
      <c r="F655" s="792"/>
      <c r="G655" s="792"/>
      <c r="H655" s="792"/>
      <c r="I655" s="792"/>
      <c r="J655" s="792"/>
      <c r="K655" s="792"/>
      <c r="L655" s="792"/>
      <c r="M655" s="792"/>
      <c r="N655" s="792"/>
      <c r="O655" s="792"/>
      <c r="P655" s="792"/>
      <c r="Q655" s="792"/>
      <c r="R655" s="792"/>
      <c r="S655" s="792"/>
      <c r="T655" s="792"/>
      <c r="U655" s="792"/>
      <c r="V655" s="793"/>
      <c r="W655" s="792"/>
      <c r="X655" s="792"/>
      <c r="Y655" s="792"/>
      <c r="Z655" s="792"/>
      <c r="AA655" s="792"/>
    </row>
    <row r="656" spans="1:27" ht="15.75" customHeight="1">
      <c r="A656" s="792"/>
      <c r="B656" s="792"/>
      <c r="C656" s="792"/>
      <c r="D656" s="792"/>
      <c r="E656" s="792"/>
      <c r="F656" s="792"/>
      <c r="G656" s="792"/>
      <c r="H656" s="792"/>
      <c r="I656" s="792"/>
      <c r="J656" s="792"/>
      <c r="K656" s="792"/>
      <c r="L656" s="792"/>
      <c r="M656" s="792"/>
      <c r="N656" s="792"/>
      <c r="O656" s="792"/>
      <c r="P656" s="792"/>
      <c r="Q656" s="792"/>
      <c r="R656" s="792"/>
      <c r="S656" s="792"/>
      <c r="T656" s="792"/>
      <c r="U656" s="792"/>
      <c r="V656" s="793"/>
      <c r="W656" s="792"/>
      <c r="X656" s="792"/>
      <c r="Y656" s="792"/>
      <c r="Z656" s="792"/>
      <c r="AA656" s="792"/>
    </row>
    <row r="657" spans="1:27" ht="15.75" customHeight="1">
      <c r="A657" s="792"/>
      <c r="B657" s="792"/>
      <c r="C657" s="792"/>
      <c r="D657" s="792"/>
      <c r="E657" s="792"/>
      <c r="F657" s="792"/>
      <c r="G657" s="792"/>
      <c r="H657" s="792"/>
      <c r="I657" s="792"/>
      <c r="J657" s="792"/>
      <c r="K657" s="792"/>
      <c r="L657" s="792"/>
      <c r="M657" s="792"/>
      <c r="N657" s="792"/>
      <c r="O657" s="792"/>
      <c r="P657" s="792"/>
      <c r="Q657" s="792"/>
      <c r="R657" s="792"/>
      <c r="S657" s="792"/>
      <c r="T657" s="792"/>
      <c r="U657" s="792"/>
      <c r="V657" s="793"/>
      <c r="W657" s="792"/>
      <c r="X657" s="792"/>
      <c r="Y657" s="792"/>
      <c r="Z657" s="792"/>
      <c r="AA657" s="792"/>
    </row>
    <row r="658" spans="1:27" ht="15.75" customHeight="1">
      <c r="A658" s="792"/>
      <c r="B658" s="792"/>
      <c r="C658" s="792"/>
      <c r="D658" s="792"/>
      <c r="E658" s="792"/>
      <c r="F658" s="792"/>
      <c r="G658" s="792"/>
      <c r="H658" s="792"/>
      <c r="I658" s="792"/>
      <c r="J658" s="792"/>
      <c r="K658" s="792"/>
      <c r="L658" s="792"/>
      <c r="M658" s="792"/>
      <c r="N658" s="792"/>
      <c r="O658" s="792"/>
      <c r="P658" s="792"/>
      <c r="Q658" s="792"/>
      <c r="R658" s="792"/>
      <c r="S658" s="792"/>
      <c r="T658" s="792"/>
      <c r="U658" s="792"/>
      <c r="V658" s="793"/>
      <c r="W658" s="792"/>
      <c r="X658" s="792"/>
      <c r="Y658" s="792"/>
      <c r="Z658" s="792"/>
      <c r="AA658" s="792"/>
    </row>
    <row r="659" spans="1:27" ht="15.75" customHeight="1">
      <c r="A659" s="792"/>
      <c r="B659" s="792"/>
      <c r="C659" s="792"/>
      <c r="D659" s="792"/>
      <c r="E659" s="792"/>
      <c r="F659" s="792"/>
      <c r="G659" s="792"/>
      <c r="H659" s="792"/>
      <c r="I659" s="792"/>
      <c r="J659" s="792"/>
      <c r="K659" s="792"/>
      <c r="L659" s="792"/>
      <c r="M659" s="792"/>
      <c r="N659" s="792"/>
      <c r="O659" s="792"/>
      <c r="P659" s="792"/>
      <c r="Q659" s="792"/>
      <c r="R659" s="792"/>
      <c r="S659" s="792"/>
      <c r="T659" s="792"/>
      <c r="U659" s="792"/>
      <c r="V659" s="793"/>
      <c r="W659" s="792"/>
      <c r="X659" s="792"/>
      <c r="Y659" s="792"/>
      <c r="Z659" s="792"/>
      <c r="AA659" s="792"/>
    </row>
    <row r="660" spans="1:27" ht="15.75" customHeight="1">
      <c r="A660" s="792"/>
      <c r="B660" s="792"/>
      <c r="C660" s="792"/>
      <c r="D660" s="792"/>
      <c r="E660" s="792"/>
      <c r="F660" s="792"/>
      <c r="G660" s="792"/>
      <c r="H660" s="792"/>
      <c r="I660" s="792"/>
      <c r="J660" s="792"/>
      <c r="K660" s="792"/>
      <c r="L660" s="792"/>
      <c r="M660" s="792"/>
      <c r="N660" s="792"/>
      <c r="O660" s="792"/>
      <c r="P660" s="792"/>
      <c r="Q660" s="792"/>
      <c r="R660" s="792"/>
      <c r="S660" s="792"/>
      <c r="T660" s="792"/>
      <c r="U660" s="792"/>
      <c r="V660" s="793"/>
      <c r="W660" s="792"/>
      <c r="X660" s="792"/>
      <c r="Y660" s="792"/>
      <c r="Z660" s="792"/>
      <c r="AA660" s="792"/>
    </row>
    <row r="661" spans="1:27" ht="15.75" customHeight="1">
      <c r="A661" s="792"/>
      <c r="B661" s="792"/>
      <c r="C661" s="792"/>
      <c r="D661" s="792"/>
      <c r="E661" s="792"/>
      <c r="F661" s="792"/>
      <c r="G661" s="792"/>
      <c r="H661" s="792"/>
      <c r="I661" s="792"/>
      <c r="J661" s="792"/>
      <c r="K661" s="792"/>
      <c r="L661" s="792"/>
      <c r="M661" s="792"/>
      <c r="N661" s="792"/>
      <c r="O661" s="792"/>
      <c r="P661" s="792"/>
      <c r="Q661" s="792"/>
      <c r="R661" s="792"/>
      <c r="S661" s="792"/>
      <c r="T661" s="792"/>
      <c r="U661" s="792"/>
      <c r="V661" s="793"/>
      <c r="W661" s="792"/>
      <c r="X661" s="792"/>
      <c r="Y661" s="792"/>
      <c r="Z661" s="792"/>
      <c r="AA661" s="792"/>
    </row>
    <row r="662" spans="1:27" ht="15.75" customHeight="1">
      <c r="A662" s="792"/>
      <c r="B662" s="792"/>
      <c r="C662" s="792"/>
      <c r="D662" s="792"/>
      <c r="E662" s="792"/>
      <c r="F662" s="792"/>
      <c r="G662" s="792"/>
      <c r="H662" s="792"/>
      <c r="I662" s="792"/>
      <c r="J662" s="792"/>
      <c r="K662" s="792"/>
      <c r="L662" s="792"/>
      <c r="M662" s="792"/>
      <c r="N662" s="792"/>
      <c r="O662" s="792"/>
      <c r="P662" s="792"/>
      <c r="Q662" s="792"/>
      <c r="R662" s="792"/>
      <c r="S662" s="792"/>
      <c r="T662" s="792"/>
      <c r="U662" s="792"/>
      <c r="V662" s="793"/>
      <c r="W662" s="792"/>
      <c r="X662" s="792"/>
      <c r="Y662" s="792"/>
      <c r="Z662" s="792"/>
      <c r="AA662" s="792"/>
    </row>
    <row r="663" spans="1:27" ht="15.75" customHeight="1">
      <c r="A663" s="792"/>
      <c r="B663" s="792"/>
      <c r="C663" s="792"/>
      <c r="D663" s="792"/>
      <c r="E663" s="792"/>
      <c r="F663" s="792"/>
      <c r="G663" s="792"/>
      <c r="H663" s="792"/>
      <c r="I663" s="792"/>
      <c r="J663" s="792"/>
      <c r="K663" s="792"/>
      <c r="L663" s="792"/>
      <c r="M663" s="792"/>
      <c r="N663" s="792"/>
      <c r="O663" s="792"/>
      <c r="P663" s="792"/>
      <c r="Q663" s="792"/>
      <c r="R663" s="792"/>
      <c r="S663" s="792"/>
      <c r="T663" s="792"/>
      <c r="U663" s="792"/>
      <c r="V663" s="793"/>
      <c r="W663" s="792"/>
      <c r="X663" s="792"/>
      <c r="Y663" s="792"/>
      <c r="Z663" s="792"/>
      <c r="AA663" s="792"/>
    </row>
    <row r="664" spans="1:27" ht="15.75" customHeight="1">
      <c r="A664" s="792"/>
      <c r="B664" s="792"/>
      <c r="C664" s="792"/>
      <c r="D664" s="792"/>
      <c r="E664" s="792"/>
      <c r="F664" s="792"/>
      <c r="G664" s="792"/>
      <c r="H664" s="792"/>
      <c r="I664" s="792"/>
      <c r="J664" s="792"/>
      <c r="K664" s="792"/>
      <c r="L664" s="792"/>
      <c r="M664" s="792"/>
      <c r="N664" s="792"/>
      <c r="O664" s="792"/>
      <c r="P664" s="792"/>
      <c r="Q664" s="792"/>
      <c r="R664" s="792"/>
      <c r="S664" s="792"/>
      <c r="T664" s="792"/>
      <c r="U664" s="792"/>
      <c r="V664" s="793"/>
      <c r="W664" s="792"/>
      <c r="X664" s="792"/>
      <c r="Y664" s="792"/>
      <c r="Z664" s="792"/>
      <c r="AA664" s="792"/>
    </row>
    <row r="665" spans="1:27" ht="15.75" customHeight="1">
      <c r="A665" s="792"/>
      <c r="B665" s="792"/>
      <c r="C665" s="792"/>
      <c r="D665" s="792"/>
      <c r="E665" s="792"/>
      <c r="F665" s="792"/>
      <c r="G665" s="792"/>
      <c r="H665" s="792"/>
      <c r="I665" s="792"/>
      <c r="J665" s="792"/>
      <c r="K665" s="792"/>
      <c r="L665" s="792"/>
      <c r="M665" s="792"/>
      <c r="N665" s="792"/>
      <c r="O665" s="792"/>
      <c r="P665" s="792"/>
      <c r="Q665" s="792"/>
      <c r="R665" s="792"/>
      <c r="S665" s="792"/>
      <c r="T665" s="792"/>
      <c r="U665" s="792"/>
      <c r="V665" s="793"/>
      <c r="W665" s="792"/>
      <c r="X665" s="792"/>
      <c r="Y665" s="792"/>
      <c r="Z665" s="792"/>
      <c r="AA665" s="792"/>
    </row>
    <row r="666" spans="1:27" ht="15.75" customHeight="1">
      <c r="A666" s="792"/>
      <c r="B666" s="792"/>
      <c r="C666" s="792"/>
      <c r="D666" s="792"/>
      <c r="E666" s="792"/>
      <c r="F666" s="792"/>
      <c r="G666" s="792"/>
      <c r="H666" s="792"/>
      <c r="I666" s="792"/>
      <c r="J666" s="792"/>
      <c r="K666" s="792"/>
      <c r="L666" s="792"/>
      <c r="M666" s="792"/>
      <c r="N666" s="792"/>
      <c r="O666" s="792"/>
      <c r="P666" s="792"/>
      <c r="Q666" s="792"/>
      <c r="R666" s="792"/>
      <c r="S666" s="792"/>
      <c r="T666" s="792"/>
      <c r="U666" s="792"/>
      <c r="V666" s="793"/>
      <c r="W666" s="792"/>
      <c r="X666" s="792"/>
      <c r="Y666" s="792"/>
      <c r="Z666" s="792"/>
      <c r="AA666" s="792"/>
    </row>
    <row r="667" spans="1:27" ht="15.75" customHeight="1">
      <c r="A667" s="792"/>
      <c r="B667" s="792"/>
      <c r="C667" s="792"/>
      <c r="D667" s="792"/>
      <c r="E667" s="792"/>
      <c r="F667" s="792"/>
      <c r="G667" s="792"/>
      <c r="H667" s="792"/>
      <c r="I667" s="792"/>
      <c r="J667" s="792"/>
      <c r="K667" s="792"/>
      <c r="L667" s="792"/>
      <c r="M667" s="792"/>
      <c r="N667" s="792"/>
      <c r="O667" s="792"/>
      <c r="P667" s="792"/>
      <c r="Q667" s="792"/>
      <c r="R667" s="792"/>
      <c r="S667" s="792"/>
      <c r="T667" s="792"/>
      <c r="U667" s="792"/>
      <c r="V667" s="793"/>
      <c r="W667" s="792"/>
      <c r="X667" s="792"/>
      <c r="Y667" s="792"/>
      <c r="Z667" s="792"/>
      <c r="AA667" s="792"/>
    </row>
    <row r="668" spans="1:27" ht="15.75" customHeight="1">
      <c r="A668" s="792"/>
      <c r="B668" s="792"/>
      <c r="C668" s="792"/>
      <c r="D668" s="792"/>
      <c r="E668" s="792"/>
      <c r="F668" s="792"/>
      <c r="G668" s="792"/>
      <c r="H668" s="792"/>
      <c r="I668" s="792"/>
      <c r="J668" s="792"/>
      <c r="K668" s="792"/>
      <c r="L668" s="792"/>
      <c r="M668" s="792"/>
      <c r="N668" s="792"/>
      <c r="O668" s="792"/>
      <c r="P668" s="792"/>
      <c r="Q668" s="792"/>
      <c r="R668" s="792"/>
      <c r="S668" s="792"/>
      <c r="T668" s="792"/>
      <c r="U668" s="792"/>
      <c r="V668" s="793"/>
      <c r="W668" s="792"/>
      <c r="X668" s="792"/>
      <c r="Y668" s="792"/>
      <c r="Z668" s="792"/>
      <c r="AA668" s="792"/>
    </row>
    <row r="669" spans="1:27" ht="15.75" customHeight="1">
      <c r="A669" s="792"/>
      <c r="B669" s="792"/>
      <c r="C669" s="792"/>
      <c r="D669" s="792"/>
      <c r="E669" s="792"/>
      <c r="F669" s="792"/>
      <c r="G669" s="792"/>
      <c r="H669" s="792"/>
      <c r="I669" s="792"/>
      <c r="J669" s="792"/>
      <c r="K669" s="792"/>
      <c r="L669" s="792"/>
      <c r="M669" s="792"/>
      <c r="N669" s="792"/>
      <c r="O669" s="792"/>
      <c r="P669" s="792"/>
      <c r="Q669" s="792"/>
      <c r="R669" s="792"/>
      <c r="S669" s="792"/>
      <c r="T669" s="792"/>
      <c r="U669" s="792"/>
      <c r="V669" s="793"/>
      <c r="W669" s="792"/>
      <c r="X669" s="792"/>
      <c r="Y669" s="792"/>
      <c r="Z669" s="792"/>
      <c r="AA669" s="792"/>
    </row>
    <row r="670" spans="1:27" ht="15.75" customHeight="1">
      <c r="A670" s="792"/>
      <c r="B670" s="792"/>
      <c r="C670" s="792"/>
      <c r="D670" s="792"/>
      <c r="E670" s="792"/>
      <c r="F670" s="792"/>
      <c r="G670" s="792"/>
      <c r="H670" s="792"/>
      <c r="I670" s="792"/>
      <c r="J670" s="792"/>
      <c r="K670" s="792"/>
      <c r="L670" s="792"/>
      <c r="M670" s="792"/>
      <c r="N670" s="792"/>
      <c r="O670" s="792"/>
      <c r="P670" s="792"/>
      <c r="Q670" s="792"/>
      <c r="R670" s="792"/>
      <c r="S670" s="792"/>
      <c r="T670" s="792"/>
      <c r="U670" s="792"/>
      <c r="V670" s="793"/>
      <c r="W670" s="792"/>
      <c r="X670" s="792"/>
      <c r="Y670" s="792"/>
      <c r="Z670" s="792"/>
      <c r="AA670" s="792"/>
    </row>
    <row r="671" spans="1:27" ht="15.75" customHeight="1">
      <c r="A671" s="792"/>
      <c r="B671" s="792"/>
      <c r="C671" s="792"/>
      <c r="D671" s="792"/>
      <c r="E671" s="792"/>
      <c r="F671" s="792"/>
      <c r="G671" s="792"/>
      <c r="H671" s="792"/>
      <c r="I671" s="792"/>
      <c r="J671" s="792"/>
      <c r="K671" s="792"/>
      <c r="L671" s="792"/>
      <c r="M671" s="792"/>
      <c r="N671" s="792"/>
      <c r="O671" s="792"/>
      <c r="P671" s="792"/>
      <c r="Q671" s="792"/>
      <c r="R671" s="792"/>
      <c r="S671" s="792"/>
      <c r="T671" s="792"/>
      <c r="U671" s="792"/>
      <c r="V671" s="793"/>
      <c r="W671" s="792"/>
      <c r="X671" s="792"/>
      <c r="Y671" s="792"/>
      <c r="Z671" s="792"/>
      <c r="AA671" s="792"/>
    </row>
    <row r="672" spans="1:27" ht="15.75" customHeight="1">
      <c r="A672" s="792"/>
      <c r="B672" s="792"/>
      <c r="C672" s="792"/>
      <c r="D672" s="792"/>
      <c r="E672" s="792"/>
      <c r="F672" s="792"/>
      <c r="G672" s="792"/>
      <c r="H672" s="792"/>
      <c r="I672" s="792"/>
      <c r="J672" s="792"/>
      <c r="K672" s="792"/>
      <c r="L672" s="792"/>
      <c r="M672" s="792"/>
      <c r="N672" s="792"/>
      <c r="O672" s="792"/>
      <c r="P672" s="792"/>
      <c r="Q672" s="792"/>
      <c r="R672" s="792"/>
      <c r="S672" s="792"/>
      <c r="T672" s="792"/>
      <c r="U672" s="792"/>
      <c r="V672" s="793"/>
      <c r="W672" s="792"/>
      <c r="X672" s="792"/>
      <c r="Y672" s="792"/>
      <c r="Z672" s="792"/>
      <c r="AA672" s="792"/>
    </row>
    <row r="673" spans="1:27" ht="15.75" customHeight="1">
      <c r="A673" s="792"/>
      <c r="B673" s="792"/>
      <c r="C673" s="792"/>
      <c r="D673" s="792"/>
      <c r="E673" s="792"/>
      <c r="F673" s="792"/>
      <c r="G673" s="792"/>
      <c r="H673" s="792"/>
      <c r="I673" s="792"/>
      <c r="J673" s="792"/>
      <c r="K673" s="792"/>
      <c r="L673" s="792"/>
      <c r="M673" s="792"/>
      <c r="N673" s="792"/>
      <c r="O673" s="792"/>
      <c r="P673" s="792"/>
      <c r="Q673" s="792"/>
      <c r="R673" s="792"/>
      <c r="S673" s="792"/>
      <c r="T673" s="792"/>
      <c r="U673" s="792"/>
      <c r="V673" s="793"/>
      <c r="W673" s="792"/>
      <c r="X673" s="792"/>
      <c r="Y673" s="792"/>
      <c r="Z673" s="792"/>
      <c r="AA673" s="792"/>
    </row>
    <row r="674" spans="1:27" ht="15.75" customHeight="1">
      <c r="A674" s="792"/>
      <c r="B674" s="792"/>
      <c r="C674" s="792"/>
      <c r="D674" s="792"/>
      <c r="E674" s="792"/>
      <c r="F674" s="792"/>
      <c r="G674" s="792"/>
      <c r="H674" s="792"/>
      <c r="I674" s="792"/>
      <c r="J674" s="792"/>
      <c r="K674" s="792"/>
      <c r="L674" s="792"/>
      <c r="M674" s="792"/>
      <c r="N674" s="792"/>
      <c r="O674" s="792"/>
      <c r="P674" s="792"/>
      <c r="Q674" s="792"/>
      <c r="R674" s="792"/>
      <c r="S674" s="792"/>
      <c r="T674" s="792"/>
      <c r="U674" s="792"/>
      <c r="V674" s="793"/>
      <c r="W674" s="792"/>
      <c r="X674" s="792"/>
      <c r="Y674" s="792"/>
      <c r="Z674" s="792"/>
      <c r="AA674" s="792"/>
    </row>
    <row r="675" spans="1:27" ht="15.75" customHeight="1">
      <c r="A675" s="792"/>
      <c r="B675" s="792"/>
      <c r="C675" s="792"/>
      <c r="D675" s="792"/>
      <c r="E675" s="792"/>
      <c r="F675" s="792"/>
      <c r="G675" s="792"/>
      <c r="H675" s="792"/>
      <c r="I675" s="792"/>
      <c r="J675" s="792"/>
      <c r="K675" s="792"/>
      <c r="L675" s="792"/>
      <c r="M675" s="792"/>
      <c r="N675" s="792"/>
      <c r="O675" s="792"/>
      <c r="P675" s="792"/>
      <c r="Q675" s="792"/>
      <c r="R675" s="792"/>
      <c r="S675" s="792"/>
      <c r="T675" s="792"/>
      <c r="U675" s="792"/>
      <c r="V675" s="793"/>
      <c r="W675" s="792"/>
      <c r="X675" s="792"/>
      <c r="Y675" s="792"/>
      <c r="Z675" s="792"/>
      <c r="AA675" s="792"/>
    </row>
    <row r="676" spans="1:27" ht="15.75" customHeight="1">
      <c r="A676" s="792"/>
      <c r="B676" s="792"/>
      <c r="C676" s="792"/>
      <c r="D676" s="792"/>
      <c r="E676" s="792"/>
      <c r="F676" s="792"/>
      <c r="G676" s="792"/>
      <c r="H676" s="792"/>
      <c r="I676" s="792"/>
      <c r="J676" s="792"/>
      <c r="K676" s="792"/>
      <c r="L676" s="792"/>
      <c r="M676" s="792"/>
      <c r="N676" s="792"/>
      <c r="O676" s="792"/>
      <c r="P676" s="792"/>
      <c r="Q676" s="792"/>
      <c r="R676" s="792"/>
      <c r="S676" s="792"/>
      <c r="T676" s="792"/>
      <c r="U676" s="792"/>
      <c r="V676" s="793"/>
      <c r="W676" s="792"/>
      <c r="X676" s="792"/>
      <c r="Y676" s="792"/>
      <c r="Z676" s="792"/>
      <c r="AA676" s="792"/>
    </row>
    <row r="677" spans="1:27" ht="15.75" customHeight="1">
      <c r="A677" s="792"/>
      <c r="B677" s="792"/>
      <c r="C677" s="792"/>
      <c r="D677" s="792"/>
      <c r="E677" s="792"/>
      <c r="F677" s="792"/>
      <c r="G677" s="792"/>
      <c r="H677" s="792"/>
      <c r="I677" s="792"/>
      <c r="J677" s="792"/>
      <c r="K677" s="792"/>
      <c r="L677" s="792"/>
      <c r="M677" s="792"/>
      <c r="N677" s="792"/>
      <c r="O677" s="792"/>
      <c r="P677" s="792"/>
      <c r="Q677" s="792"/>
      <c r="R677" s="792"/>
      <c r="S677" s="792"/>
      <c r="T677" s="792"/>
      <c r="U677" s="792"/>
      <c r="V677" s="793"/>
      <c r="W677" s="792"/>
      <c r="X677" s="792"/>
      <c r="Y677" s="792"/>
      <c r="Z677" s="792"/>
      <c r="AA677" s="792"/>
    </row>
    <row r="678" spans="1:27" ht="15.75" customHeight="1">
      <c r="A678" s="792"/>
      <c r="B678" s="792"/>
      <c r="C678" s="792"/>
      <c r="D678" s="792"/>
      <c r="E678" s="792"/>
      <c r="F678" s="792"/>
      <c r="G678" s="792"/>
      <c r="H678" s="792"/>
      <c r="I678" s="792"/>
      <c r="J678" s="792"/>
      <c r="K678" s="792"/>
      <c r="L678" s="792"/>
      <c r="M678" s="792"/>
      <c r="N678" s="792"/>
      <c r="O678" s="792"/>
      <c r="P678" s="792"/>
      <c r="Q678" s="792"/>
      <c r="R678" s="792"/>
      <c r="S678" s="792"/>
      <c r="T678" s="792"/>
      <c r="U678" s="792"/>
      <c r="V678" s="793"/>
      <c r="W678" s="792"/>
      <c r="X678" s="792"/>
      <c r="Y678" s="792"/>
      <c r="Z678" s="792"/>
      <c r="AA678" s="792"/>
    </row>
    <row r="679" spans="1:27" ht="15.75" customHeight="1">
      <c r="A679" s="792"/>
      <c r="B679" s="792"/>
      <c r="C679" s="792"/>
      <c r="D679" s="792"/>
      <c r="E679" s="792"/>
      <c r="F679" s="792"/>
      <c r="G679" s="792"/>
      <c r="H679" s="792"/>
      <c r="I679" s="792"/>
      <c r="J679" s="792"/>
      <c r="K679" s="792"/>
      <c r="L679" s="792"/>
      <c r="M679" s="792"/>
      <c r="N679" s="792"/>
      <c r="O679" s="792"/>
      <c r="P679" s="792"/>
      <c r="Q679" s="792"/>
      <c r="R679" s="792"/>
      <c r="S679" s="792"/>
      <c r="T679" s="792"/>
      <c r="U679" s="792"/>
      <c r="V679" s="793"/>
      <c r="W679" s="792"/>
      <c r="X679" s="792"/>
      <c r="Y679" s="792"/>
      <c r="Z679" s="792"/>
      <c r="AA679" s="792"/>
    </row>
    <row r="680" spans="1:27" ht="15.75" customHeight="1">
      <c r="A680" s="792"/>
      <c r="B680" s="792"/>
      <c r="C680" s="792"/>
      <c r="D680" s="792"/>
      <c r="E680" s="792"/>
      <c r="F680" s="792"/>
      <c r="G680" s="792"/>
      <c r="H680" s="792"/>
      <c r="I680" s="792"/>
      <c r="J680" s="792"/>
      <c r="K680" s="792"/>
      <c r="L680" s="792"/>
      <c r="M680" s="792"/>
      <c r="N680" s="792"/>
      <c r="O680" s="792"/>
      <c r="P680" s="792"/>
      <c r="Q680" s="792"/>
      <c r="R680" s="792"/>
      <c r="S680" s="792"/>
      <c r="T680" s="792"/>
      <c r="U680" s="792"/>
      <c r="V680" s="793"/>
      <c r="W680" s="792"/>
      <c r="X680" s="792"/>
      <c r="Y680" s="792"/>
      <c r="Z680" s="792"/>
      <c r="AA680" s="792"/>
    </row>
    <row r="681" spans="1:27" ht="15.75" customHeight="1">
      <c r="A681" s="792"/>
      <c r="B681" s="792"/>
      <c r="C681" s="792"/>
      <c r="D681" s="792"/>
      <c r="E681" s="792"/>
      <c r="F681" s="792"/>
      <c r="G681" s="792"/>
      <c r="H681" s="792"/>
      <c r="I681" s="792"/>
      <c r="J681" s="792"/>
      <c r="K681" s="792"/>
      <c r="L681" s="792"/>
      <c r="M681" s="792"/>
      <c r="N681" s="792"/>
      <c r="O681" s="792"/>
      <c r="P681" s="792"/>
      <c r="Q681" s="792"/>
      <c r="R681" s="792"/>
      <c r="S681" s="792"/>
      <c r="T681" s="792"/>
      <c r="U681" s="792"/>
      <c r="V681" s="793"/>
      <c r="W681" s="792"/>
      <c r="X681" s="792"/>
      <c r="Y681" s="792"/>
      <c r="Z681" s="792"/>
      <c r="AA681" s="792"/>
    </row>
    <row r="682" spans="1:27" ht="15.75" customHeight="1">
      <c r="A682" s="792"/>
      <c r="B682" s="792"/>
      <c r="C682" s="792"/>
      <c r="D682" s="792"/>
      <c r="E682" s="792"/>
      <c r="F682" s="792"/>
      <c r="G682" s="792"/>
      <c r="H682" s="792"/>
      <c r="I682" s="792"/>
      <c r="J682" s="792"/>
      <c r="K682" s="792"/>
      <c r="L682" s="792"/>
      <c r="M682" s="792"/>
      <c r="N682" s="792"/>
      <c r="O682" s="792"/>
      <c r="P682" s="792"/>
      <c r="Q682" s="792"/>
      <c r="R682" s="792"/>
      <c r="S682" s="792"/>
      <c r="T682" s="792"/>
      <c r="U682" s="792"/>
      <c r="V682" s="793"/>
      <c r="W682" s="792"/>
      <c r="X682" s="792"/>
      <c r="Y682" s="792"/>
      <c r="Z682" s="792"/>
      <c r="AA682" s="792"/>
    </row>
    <row r="683" spans="1:27" ht="15.75" customHeight="1">
      <c r="A683" s="792"/>
      <c r="B683" s="792"/>
      <c r="C683" s="792"/>
      <c r="D683" s="792"/>
      <c r="E683" s="792"/>
      <c r="F683" s="792"/>
      <c r="G683" s="792"/>
      <c r="H683" s="792"/>
      <c r="I683" s="792"/>
      <c r="J683" s="792"/>
      <c r="K683" s="792"/>
      <c r="L683" s="792"/>
      <c r="M683" s="792"/>
      <c r="N683" s="792"/>
      <c r="O683" s="792"/>
      <c r="P683" s="792"/>
      <c r="Q683" s="792"/>
      <c r="R683" s="792"/>
      <c r="S683" s="792"/>
      <c r="T683" s="792"/>
      <c r="U683" s="792"/>
      <c r="V683" s="793"/>
      <c r="W683" s="792"/>
      <c r="X683" s="792"/>
      <c r="Y683" s="792"/>
      <c r="Z683" s="792"/>
      <c r="AA683" s="792"/>
    </row>
    <row r="684" spans="1:27" ht="15.75" customHeight="1">
      <c r="A684" s="792"/>
      <c r="B684" s="792"/>
      <c r="C684" s="792"/>
      <c r="D684" s="792"/>
      <c r="E684" s="792"/>
      <c r="F684" s="792"/>
      <c r="G684" s="792"/>
      <c r="H684" s="792"/>
      <c r="I684" s="792"/>
      <c r="J684" s="792"/>
      <c r="K684" s="792"/>
      <c r="L684" s="792"/>
      <c r="M684" s="792"/>
      <c r="N684" s="792"/>
      <c r="O684" s="792"/>
      <c r="P684" s="792"/>
      <c r="Q684" s="792"/>
      <c r="R684" s="792"/>
      <c r="S684" s="792"/>
      <c r="T684" s="792"/>
      <c r="U684" s="792"/>
      <c r="V684" s="793"/>
      <c r="W684" s="792"/>
      <c r="X684" s="792"/>
      <c r="Y684" s="792"/>
      <c r="Z684" s="792"/>
      <c r="AA684" s="792"/>
    </row>
    <row r="685" spans="1:27" ht="15.75" customHeight="1">
      <c r="A685" s="792"/>
      <c r="B685" s="792"/>
      <c r="C685" s="792"/>
      <c r="D685" s="792"/>
      <c r="E685" s="792"/>
      <c r="F685" s="792"/>
      <c r="G685" s="792"/>
      <c r="H685" s="792"/>
      <c r="I685" s="792"/>
      <c r="J685" s="792"/>
      <c r="K685" s="792"/>
      <c r="L685" s="792"/>
      <c r="M685" s="792"/>
      <c r="N685" s="792"/>
      <c r="O685" s="792"/>
      <c r="P685" s="792"/>
      <c r="Q685" s="792"/>
      <c r="R685" s="792"/>
      <c r="S685" s="792"/>
      <c r="T685" s="792"/>
      <c r="U685" s="792"/>
      <c r="V685" s="793"/>
      <c r="W685" s="792"/>
      <c r="X685" s="792"/>
      <c r="Y685" s="792"/>
      <c r="Z685" s="792"/>
      <c r="AA685" s="792"/>
    </row>
    <row r="686" spans="1:27" ht="15.75" customHeight="1">
      <c r="A686" s="792"/>
      <c r="B686" s="792"/>
      <c r="C686" s="792"/>
      <c r="D686" s="792"/>
      <c r="E686" s="792"/>
      <c r="F686" s="792"/>
      <c r="G686" s="792"/>
      <c r="H686" s="792"/>
      <c r="I686" s="792"/>
      <c r="J686" s="792"/>
      <c r="K686" s="792"/>
      <c r="L686" s="792"/>
      <c r="M686" s="792"/>
      <c r="N686" s="792"/>
      <c r="O686" s="792"/>
      <c r="P686" s="792"/>
      <c r="Q686" s="792"/>
      <c r="R686" s="792"/>
      <c r="S686" s="792"/>
      <c r="T686" s="792"/>
      <c r="U686" s="792"/>
      <c r="V686" s="793"/>
      <c r="W686" s="792"/>
      <c r="X686" s="792"/>
      <c r="Y686" s="792"/>
      <c r="Z686" s="792"/>
      <c r="AA686" s="792"/>
    </row>
    <row r="687" spans="1:27" ht="15.75" customHeight="1">
      <c r="A687" s="792"/>
      <c r="B687" s="792"/>
      <c r="C687" s="792"/>
      <c r="D687" s="792"/>
      <c r="E687" s="792"/>
      <c r="F687" s="792"/>
      <c r="G687" s="792"/>
      <c r="H687" s="792"/>
      <c r="I687" s="792"/>
      <c r="J687" s="792"/>
      <c r="K687" s="792"/>
      <c r="L687" s="792"/>
      <c r="M687" s="792"/>
      <c r="N687" s="792"/>
      <c r="O687" s="792"/>
      <c r="P687" s="792"/>
      <c r="Q687" s="792"/>
      <c r="R687" s="792"/>
      <c r="S687" s="792"/>
      <c r="T687" s="792"/>
      <c r="U687" s="792"/>
      <c r="V687" s="793"/>
      <c r="W687" s="792"/>
      <c r="X687" s="792"/>
      <c r="Y687" s="792"/>
      <c r="Z687" s="792"/>
      <c r="AA687" s="792"/>
    </row>
    <row r="688" spans="1:27" ht="15.75" customHeight="1">
      <c r="A688" s="792"/>
      <c r="B688" s="792"/>
      <c r="C688" s="792"/>
      <c r="D688" s="792"/>
      <c r="E688" s="792"/>
      <c r="F688" s="792"/>
      <c r="G688" s="792"/>
      <c r="H688" s="792"/>
      <c r="I688" s="792"/>
      <c r="J688" s="792"/>
      <c r="K688" s="792"/>
      <c r="L688" s="792"/>
      <c r="M688" s="792"/>
      <c r="N688" s="792"/>
      <c r="O688" s="792"/>
      <c r="P688" s="792"/>
      <c r="Q688" s="792"/>
      <c r="R688" s="792"/>
      <c r="S688" s="792"/>
      <c r="T688" s="792"/>
      <c r="U688" s="792"/>
      <c r="V688" s="793"/>
      <c r="W688" s="792"/>
      <c r="X688" s="792"/>
      <c r="Y688" s="792"/>
      <c r="Z688" s="792"/>
      <c r="AA688" s="792"/>
    </row>
    <row r="689" spans="1:27" ht="15.75" customHeight="1">
      <c r="A689" s="792"/>
      <c r="B689" s="792"/>
      <c r="C689" s="792"/>
      <c r="D689" s="792"/>
      <c r="E689" s="792"/>
      <c r="F689" s="792"/>
      <c r="G689" s="792"/>
      <c r="H689" s="792"/>
      <c r="I689" s="792"/>
      <c r="J689" s="792"/>
      <c r="K689" s="792"/>
      <c r="L689" s="792"/>
      <c r="M689" s="792"/>
      <c r="N689" s="792"/>
      <c r="O689" s="792"/>
      <c r="P689" s="792"/>
      <c r="Q689" s="792"/>
      <c r="R689" s="792"/>
      <c r="S689" s="792"/>
      <c r="T689" s="792"/>
      <c r="U689" s="792"/>
      <c r="V689" s="793"/>
      <c r="W689" s="792"/>
      <c r="X689" s="792"/>
      <c r="Y689" s="792"/>
      <c r="Z689" s="792"/>
      <c r="AA689" s="792"/>
    </row>
    <row r="690" spans="1:27" ht="15.75" customHeight="1">
      <c r="A690" s="792"/>
      <c r="B690" s="792"/>
      <c r="C690" s="792"/>
      <c r="D690" s="792"/>
      <c r="E690" s="792"/>
      <c r="F690" s="792"/>
      <c r="G690" s="792"/>
      <c r="H690" s="792"/>
      <c r="I690" s="792"/>
      <c r="J690" s="792"/>
      <c r="K690" s="792"/>
      <c r="L690" s="792"/>
      <c r="M690" s="792"/>
      <c r="N690" s="792"/>
      <c r="O690" s="792"/>
      <c r="P690" s="792"/>
      <c r="Q690" s="792"/>
      <c r="R690" s="792"/>
      <c r="S690" s="792"/>
      <c r="T690" s="792"/>
      <c r="U690" s="792"/>
      <c r="V690" s="793"/>
      <c r="W690" s="792"/>
      <c r="X690" s="792"/>
      <c r="Y690" s="792"/>
      <c r="Z690" s="792"/>
      <c r="AA690" s="792"/>
    </row>
    <row r="691" spans="1:27" ht="15.75" customHeight="1">
      <c r="A691" s="792"/>
      <c r="B691" s="792"/>
      <c r="C691" s="792"/>
      <c r="D691" s="792"/>
      <c r="E691" s="792"/>
      <c r="F691" s="792"/>
      <c r="G691" s="792"/>
      <c r="H691" s="792"/>
      <c r="I691" s="792"/>
      <c r="J691" s="792"/>
      <c r="K691" s="792"/>
      <c r="L691" s="792"/>
      <c r="M691" s="792"/>
      <c r="N691" s="792"/>
      <c r="O691" s="792"/>
      <c r="P691" s="792"/>
      <c r="Q691" s="792"/>
      <c r="R691" s="792"/>
      <c r="S691" s="792"/>
      <c r="T691" s="792"/>
      <c r="U691" s="792"/>
      <c r="V691" s="793"/>
      <c r="W691" s="792"/>
      <c r="X691" s="792"/>
      <c r="Y691" s="792"/>
      <c r="Z691" s="792"/>
      <c r="AA691" s="792"/>
    </row>
    <row r="692" spans="1:27" ht="15.75" customHeight="1">
      <c r="A692" s="792"/>
      <c r="B692" s="792"/>
      <c r="C692" s="792"/>
      <c r="D692" s="792"/>
      <c r="E692" s="792"/>
      <c r="F692" s="792"/>
      <c r="G692" s="792"/>
      <c r="H692" s="792"/>
      <c r="I692" s="792"/>
      <c r="J692" s="792"/>
      <c r="K692" s="792"/>
      <c r="L692" s="792"/>
      <c r="M692" s="792"/>
      <c r="N692" s="792"/>
      <c r="O692" s="792"/>
      <c r="P692" s="792"/>
      <c r="Q692" s="792"/>
      <c r="R692" s="792"/>
      <c r="S692" s="792"/>
      <c r="T692" s="792"/>
      <c r="U692" s="792"/>
      <c r="V692" s="793"/>
      <c r="W692" s="792"/>
      <c r="X692" s="792"/>
      <c r="Y692" s="792"/>
      <c r="Z692" s="792"/>
      <c r="AA692" s="792"/>
    </row>
    <row r="693" spans="1:27" ht="15.75" customHeight="1">
      <c r="A693" s="792"/>
      <c r="B693" s="792"/>
      <c r="C693" s="792"/>
      <c r="D693" s="792"/>
      <c r="E693" s="792"/>
      <c r="F693" s="792"/>
      <c r="G693" s="792"/>
      <c r="H693" s="792"/>
      <c r="I693" s="792"/>
      <c r="J693" s="792"/>
      <c r="K693" s="792"/>
      <c r="L693" s="792"/>
      <c r="M693" s="792"/>
      <c r="N693" s="792"/>
      <c r="O693" s="792"/>
      <c r="P693" s="792"/>
      <c r="Q693" s="792"/>
      <c r="R693" s="792"/>
      <c r="S693" s="792"/>
      <c r="T693" s="792"/>
      <c r="U693" s="792"/>
      <c r="V693" s="793"/>
      <c r="W693" s="792"/>
      <c r="X693" s="792"/>
      <c r="Y693" s="792"/>
      <c r="Z693" s="792"/>
      <c r="AA693" s="792"/>
    </row>
    <row r="694" spans="1:27" ht="15.75" customHeight="1">
      <c r="A694" s="792"/>
      <c r="B694" s="792"/>
      <c r="C694" s="792"/>
      <c r="D694" s="792"/>
      <c r="E694" s="792"/>
      <c r="F694" s="792"/>
      <c r="G694" s="792"/>
      <c r="H694" s="792"/>
      <c r="I694" s="792"/>
      <c r="J694" s="792"/>
      <c r="K694" s="792"/>
      <c r="L694" s="792"/>
      <c r="M694" s="792"/>
      <c r="N694" s="792"/>
      <c r="O694" s="792"/>
      <c r="P694" s="792"/>
      <c r="Q694" s="792"/>
      <c r="R694" s="792"/>
      <c r="S694" s="792"/>
      <c r="T694" s="792"/>
      <c r="U694" s="792"/>
      <c r="V694" s="793"/>
      <c r="W694" s="792"/>
      <c r="X694" s="792"/>
      <c r="Y694" s="792"/>
      <c r="Z694" s="792"/>
      <c r="AA694" s="792"/>
    </row>
    <row r="695" spans="1:27" ht="15.75" customHeight="1">
      <c r="A695" s="792"/>
      <c r="B695" s="792"/>
      <c r="C695" s="792"/>
      <c r="D695" s="792"/>
      <c r="E695" s="792"/>
      <c r="F695" s="792"/>
      <c r="G695" s="792"/>
      <c r="H695" s="792"/>
      <c r="I695" s="792"/>
      <c r="J695" s="792"/>
      <c r="K695" s="792"/>
      <c r="L695" s="792"/>
      <c r="M695" s="792"/>
      <c r="N695" s="792"/>
      <c r="O695" s="792"/>
      <c r="P695" s="792"/>
      <c r="Q695" s="792"/>
      <c r="R695" s="792"/>
      <c r="S695" s="792"/>
      <c r="T695" s="792"/>
      <c r="U695" s="792"/>
      <c r="V695" s="793"/>
      <c r="W695" s="792"/>
      <c r="X695" s="792"/>
      <c r="Y695" s="792"/>
      <c r="Z695" s="792"/>
      <c r="AA695" s="792"/>
    </row>
    <row r="696" spans="1:27" ht="15.75" customHeight="1">
      <c r="A696" s="792"/>
      <c r="B696" s="792"/>
      <c r="C696" s="792"/>
      <c r="D696" s="792"/>
      <c r="E696" s="792"/>
      <c r="F696" s="792"/>
      <c r="G696" s="792"/>
      <c r="H696" s="792"/>
      <c r="I696" s="792"/>
      <c r="J696" s="792"/>
      <c r="K696" s="792"/>
      <c r="L696" s="792"/>
      <c r="M696" s="792"/>
      <c r="N696" s="792"/>
      <c r="O696" s="792"/>
      <c r="P696" s="792"/>
      <c r="Q696" s="792"/>
      <c r="R696" s="792"/>
      <c r="S696" s="792"/>
      <c r="T696" s="792"/>
      <c r="U696" s="792"/>
      <c r="V696" s="793"/>
      <c r="W696" s="792"/>
      <c r="X696" s="792"/>
      <c r="Y696" s="792"/>
      <c r="Z696" s="792"/>
      <c r="AA696" s="792"/>
    </row>
    <row r="697" spans="1:27" ht="15.75" customHeight="1">
      <c r="A697" s="792"/>
      <c r="B697" s="792"/>
      <c r="C697" s="792"/>
      <c r="D697" s="792"/>
      <c r="E697" s="792"/>
      <c r="F697" s="792"/>
      <c r="G697" s="792"/>
      <c r="H697" s="792"/>
      <c r="I697" s="792"/>
      <c r="J697" s="792"/>
      <c r="K697" s="792"/>
      <c r="L697" s="792"/>
      <c r="M697" s="792"/>
      <c r="N697" s="792"/>
      <c r="O697" s="792"/>
      <c r="P697" s="792"/>
      <c r="Q697" s="792"/>
      <c r="R697" s="792"/>
      <c r="S697" s="792"/>
      <c r="T697" s="792"/>
      <c r="U697" s="792"/>
      <c r="V697" s="793"/>
      <c r="W697" s="792"/>
      <c r="X697" s="792"/>
      <c r="Y697" s="792"/>
      <c r="Z697" s="792"/>
      <c r="AA697" s="792"/>
    </row>
    <row r="698" spans="1:27" ht="15.75" customHeight="1">
      <c r="A698" s="792"/>
      <c r="B698" s="792"/>
      <c r="C698" s="792"/>
      <c r="D698" s="792"/>
      <c r="E698" s="792"/>
      <c r="F698" s="792"/>
      <c r="G698" s="792"/>
      <c r="H698" s="792"/>
      <c r="I698" s="792"/>
      <c r="J698" s="792"/>
      <c r="K698" s="792"/>
      <c r="L698" s="792"/>
      <c r="M698" s="792"/>
      <c r="N698" s="792"/>
      <c r="O698" s="792"/>
      <c r="P698" s="792"/>
      <c r="Q698" s="792"/>
      <c r="R698" s="792"/>
      <c r="S698" s="792"/>
      <c r="T698" s="792"/>
      <c r="U698" s="792"/>
      <c r="V698" s="793"/>
      <c r="W698" s="792"/>
      <c r="X698" s="792"/>
      <c r="Y698" s="792"/>
      <c r="Z698" s="792"/>
      <c r="AA698" s="792"/>
    </row>
    <row r="699" spans="1:27" ht="15.75" customHeight="1">
      <c r="A699" s="792"/>
      <c r="B699" s="792"/>
      <c r="C699" s="792"/>
      <c r="D699" s="792"/>
      <c r="E699" s="792"/>
      <c r="F699" s="792"/>
      <c r="G699" s="792"/>
      <c r="H699" s="792"/>
      <c r="I699" s="792"/>
      <c r="J699" s="792"/>
      <c r="K699" s="792"/>
      <c r="L699" s="792"/>
      <c r="M699" s="792"/>
      <c r="N699" s="792"/>
      <c r="O699" s="792"/>
      <c r="P699" s="792"/>
      <c r="Q699" s="792"/>
      <c r="R699" s="792"/>
      <c r="S699" s="792"/>
      <c r="T699" s="792"/>
      <c r="U699" s="792"/>
      <c r="V699" s="793"/>
      <c r="W699" s="792"/>
      <c r="X699" s="792"/>
      <c r="Y699" s="792"/>
      <c r="Z699" s="792"/>
      <c r="AA699" s="792"/>
    </row>
    <row r="700" spans="1:27" ht="15.75" customHeight="1">
      <c r="A700" s="792"/>
      <c r="B700" s="792"/>
      <c r="C700" s="792"/>
      <c r="D700" s="792"/>
      <c r="E700" s="792"/>
      <c r="F700" s="792"/>
      <c r="G700" s="792"/>
      <c r="H700" s="792"/>
      <c r="I700" s="792"/>
      <c r="J700" s="792"/>
      <c r="K700" s="792"/>
      <c r="L700" s="792"/>
      <c r="M700" s="792"/>
      <c r="N700" s="792"/>
      <c r="O700" s="792"/>
      <c r="P700" s="792"/>
      <c r="Q700" s="792"/>
      <c r="R700" s="792"/>
      <c r="S700" s="792"/>
      <c r="T700" s="792"/>
      <c r="U700" s="792"/>
      <c r="V700" s="793"/>
      <c r="W700" s="792"/>
      <c r="X700" s="792"/>
      <c r="Y700" s="792"/>
      <c r="Z700" s="792"/>
      <c r="AA700" s="792"/>
    </row>
    <row r="701" spans="1:27" ht="15.75" customHeight="1">
      <c r="A701" s="792"/>
      <c r="B701" s="792"/>
      <c r="C701" s="792"/>
      <c r="D701" s="792"/>
      <c r="E701" s="792"/>
      <c r="F701" s="792"/>
      <c r="G701" s="792"/>
      <c r="H701" s="792"/>
      <c r="I701" s="792"/>
      <c r="J701" s="792"/>
      <c r="K701" s="792"/>
      <c r="L701" s="792"/>
      <c r="M701" s="792"/>
      <c r="N701" s="792"/>
      <c r="O701" s="792"/>
      <c r="P701" s="792"/>
      <c r="Q701" s="792"/>
      <c r="R701" s="792"/>
      <c r="S701" s="792"/>
      <c r="T701" s="792"/>
      <c r="U701" s="792"/>
      <c r="V701" s="793"/>
      <c r="W701" s="792"/>
      <c r="X701" s="792"/>
      <c r="Y701" s="792"/>
      <c r="Z701" s="792"/>
      <c r="AA701" s="792"/>
    </row>
    <row r="702" spans="1:27" ht="15.75" customHeight="1">
      <c r="A702" s="792"/>
      <c r="B702" s="792"/>
      <c r="C702" s="792"/>
      <c r="D702" s="792"/>
      <c r="E702" s="792"/>
      <c r="F702" s="792"/>
      <c r="G702" s="792"/>
      <c r="H702" s="792"/>
      <c r="I702" s="792"/>
      <c r="J702" s="792"/>
      <c r="K702" s="792"/>
      <c r="L702" s="792"/>
      <c r="M702" s="792"/>
      <c r="N702" s="792"/>
      <c r="O702" s="792"/>
      <c r="P702" s="792"/>
      <c r="Q702" s="792"/>
      <c r="R702" s="792"/>
      <c r="S702" s="792"/>
      <c r="T702" s="792"/>
      <c r="U702" s="792"/>
      <c r="V702" s="793"/>
      <c r="W702" s="792"/>
      <c r="X702" s="792"/>
      <c r="Y702" s="792"/>
      <c r="Z702" s="792"/>
      <c r="AA702" s="792"/>
    </row>
    <row r="703" spans="1:27" ht="15.75" customHeight="1">
      <c r="A703" s="792"/>
      <c r="B703" s="792"/>
      <c r="C703" s="792"/>
      <c r="D703" s="792"/>
      <c r="E703" s="792"/>
      <c r="F703" s="792"/>
      <c r="G703" s="792"/>
      <c r="H703" s="792"/>
      <c r="I703" s="792"/>
      <c r="J703" s="792"/>
      <c r="K703" s="792"/>
      <c r="L703" s="792"/>
      <c r="M703" s="792"/>
      <c r="N703" s="792"/>
      <c r="O703" s="792"/>
      <c r="P703" s="792"/>
      <c r="Q703" s="792"/>
      <c r="R703" s="792"/>
      <c r="S703" s="792"/>
      <c r="T703" s="792"/>
      <c r="U703" s="792"/>
      <c r="V703" s="793"/>
      <c r="W703" s="792"/>
      <c r="X703" s="792"/>
      <c r="Y703" s="792"/>
      <c r="Z703" s="792"/>
      <c r="AA703" s="792"/>
    </row>
    <row r="704" spans="1:27" ht="15.75" customHeight="1">
      <c r="A704" s="792"/>
      <c r="B704" s="792"/>
      <c r="C704" s="792"/>
      <c r="D704" s="792"/>
      <c r="E704" s="792"/>
      <c r="F704" s="792"/>
      <c r="G704" s="792"/>
      <c r="H704" s="792"/>
      <c r="I704" s="792"/>
      <c r="J704" s="792"/>
      <c r="K704" s="792"/>
      <c r="L704" s="792"/>
      <c r="M704" s="792"/>
      <c r="N704" s="792"/>
      <c r="O704" s="792"/>
      <c r="P704" s="792"/>
      <c r="Q704" s="792"/>
      <c r="R704" s="792"/>
      <c r="S704" s="792"/>
      <c r="T704" s="792"/>
      <c r="U704" s="792"/>
      <c r="V704" s="793"/>
      <c r="W704" s="792"/>
      <c r="X704" s="792"/>
      <c r="Y704" s="792"/>
      <c r="Z704" s="792"/>
      <c r="AA704" s="792"/>
    </row>
    <row r="705" spans="1:27" ht="15.75" customHeight="1">
      <c r="A705" s="792"/>
      <c r="B705" s="792"/>
      <c r="C705" s="792"/>
      <c r="D705" s="792"/>
      <c r="E705" s="792"/>
      <c r="F705" s="792"/>
      <c r="G705" s="792"/>
      <c r="H705" s="792"/>
      <c r="I705" s="792"/>
      <c r="J705" s="792"/>
      <c r="K705" s="792"/>
      <c r="L705" s="792"/>
      <c r="M705" s="792"/>
      <c r="N705" s="792"/>
      <c r="O705" s="792"/>
      <c r="P705" s="792"/>
      <c r="Q705" s="792"/>
      <c r="R705" s="792"/>
      <c r="S705" s="792"/>
      <c r="T705" s="792"/>
      <c r="U705" s="792"/>
      <c r="V705" s="793"/>
      <c r="W705" s="792"/>
      <c r="X705" s="792"/>
      <c r="Y705" s="792"/>
      <c r="Z705" s="792"/>
      <c r="AA705" s="792"/>
    </row>
    <row r="706" spans="1:27" ht="15.75" customHeight="1">
      <c r="A706" s="792"/>
      <c r="B706" s="792"/>
      <c r="C706" s="792"/>
      <c r="D706" s="792"/>
      <c r="E706" s="792"/>
      <c r="F706" s="792"/>
      <c r="G706" s="792"/>
      <c r="H706" s="792"/>
      <c r="I706" s="792"/>
      <c r="J706" s="792"/>
      <c r="K706" s="792"/>
      <c r="L706" s="792"/>
      <c r="M706" s="792"/>
      <c r="N706" s="792"/>
      <c r="O706" s="792"/>
      <c r="P706" s="792"/>
      <c r="Q706" s="792"/>
      <c r="R706" s="792"/>
      <c r="S706" s="792"/>
      <c r="T706" s="792"/>
      <c r="U706" s="792"/>
      <c r="V706" s="793"/>
      <c r="W706" s="792"/>
      <c r="X706" s="792"/>
      <c r="Y706" s="792"/>
      <c r="Z706" s="792"/>
      <c r="AA706" s="792"/>
    </row>
    <row r="707" spans="1:27" ht="15.75" customHeight="1">
      <c r="A707" s="792"/>
      <c r="B707" s="792"/>
      <c r="C707" s="792"/>
      <c r="D707" s="792"/>
      <c r="E707" s="792"/>
      <c r="F707" s="792"/>
      <c r="G707" s="792"/>
      <c r="H707" s="792"/>
      <c r="I707" s="792"/>
      <c r="J707" s="792"/>
      <c r="K707" s="792"/>
      <c r="L707" s="792"/>
      <c r="M707" s="792"/>
      <c r="N707" s="792"/>
      <c r="O707" s="792"/>
      <c r="P707" s="792"/>
      <c r="Q707" s="792"/>
      <c r="R707" s="792"/>
      <c r="S707" s="792"/>
      <c r="T707" s="792"/>
      <c r="U707" s="792"/>
      <c r="V707" s="793"/>
      <c r="W707" s="792"/>
      <c r="X707" s="792"/>
      <c r="Y707" s="792"/>
      <c r="Z707" s="792"/>
      <c r="AA707" s="792"/>
    </row>
    <row r="708" spans="1:27" ht="15.75" customHeight="1">
      <c r="A708" s="792"/>
      <c r="B708" s="792"/>
      <c r="C708" s="792"/>
      <c r="D708" s="792"/>
      <c r="E708" s="792"/>
      <c r="F708" s="792"/>
      <c r="G708" s="792"/>
      <c r="H708" s="792"/>
      <c r="I708" s="792"/>
      <c r="J708" s="792"/>
      <c r="K708" s="792"/>
      <c r="L708" s="792"/>
      <c r="M708" s="792"/>
      <c r="N708" s="792"/>
      <c r="O708" s="792"/>
      <c r="P708" s="792"/>
      <c r="Q708" s="792"/>
      <c r="R708" s="792"/>
      <c r="S708" s="792"/>
      <c r="T708" s="792"/>
      <c r="U708" s="792"/>
      <c r="V708" s="793"/>
      <c r="W708" s="792"/>
      <c r="X708" s="792"/>
      <c r="Y708" s="792"/>
      <c r="Z708" s="792"/>
      <c r="AA708" s="792"/>
    </row>
    <row r="709" spans="1:27" ht="15.75" customHeight="1">
      <c r="A709" s="792"/>
      <c r="B709" s="792"/>
      <c r="C709" s="792"/>
      <c r="D709" s="792"/>
      <c r="E709" s="792"/>
      <c r="F709" s="792"/>
      <c r="G709" s="792"/>
      <c r="H709" s="792"/>
      <c r="I709" s="792"/>
      <c r="J709" s="792"/>
      <c r="K709" s="792"/>
      <c r="L709" s="792"/>
      <c r="M709" s="792"/>
      <c r="N709" s="792"/>
      <c r="O709" s="792"/>
      <c r="P709" s="792"/>
      <c r="Q709" s="792"/>
      <c r="R709" s="792"/>
      <c r="S709" s="792"/>
      <c r="T709" s="792"/>
      <c r="U709" s="792"/>
      <c r="V709" s="793"/>
      <c r="W709" s="792"/>
      <c r="X709" s="792"/>
      <c r="Y709" s="792"/>
      <c r="Z709" s="792"/>
      <c r="AA709" s="792"/>
    </row>
    <row r="710" spans="1:27" ht="15.75" customHeight="1">
      <c r="A710" s="792"/>
      <c r="B710" s="792"/>
      <c r="C710" s="792"/>
      <c r="D710" s="792"/>
      <c r="E710" s="792"/>
      <c r="F710" s="792"/>
      <c r="G710" s="792"/>
      <c r="H710" s="792"/>
      <c r="I710" s="792"/>
      <c r="J710" s="792"/>
      <c r="K710" s="792"/>
      <c r="L710" s="792"/>
      <c r="M710" s="792"/>
      <c r="N710" s="792"/>
      <c r="O710" s="792"/>
      <c r="P710" s="792"/>
      <c r="Q710" s="792"/>
      <c r="R710" s="792"/>
      <c r="S710" s="792"/>
      <c r="T710" s="792"/>
      <c r="U710" s="792"/>
      <c r="V710" s="793"/>
      <c r="W710" s="792"/>
      <c r="X710" s="792"/>
      <c r="Y710" s="792"/>
      <c r="Z710" s="792"/>
      <c r="AA710" s="792"/>
    </row>
    <row r="711" spans="1:27" ht="15.75" customHeight="1">
      <c r="A711" s="792"/>
      <c r="B711" s="792"/>
      <c r="C711" s="792"/>
      <c r="D711" s="792"/>
      <c r="E711" s="792"/>
      <c r="F711" s="792"/>
      <c r="G711" s="792"/>
      <c r="H711" s="792"/>
      <c r="I711" s="792"/>
      <c r="J711" s="792"/>
      <c r="K711" s="792"/>
      <c r="L711" s="792"/>
      <c r="M711" s="792"/>
      <c r="N711" s="792"/>
      <c r="O711" s="792"/>
      <c r="P711" s="792"/>
      <c r="Q711" s="792"/>
      <c r="R711" s="792"/>
      <c r="S711" s="792"/>
      <c r="T711" s="792"/>
      <c r="U711" s="792"/>
      <c r="V711" s="793"/>
      <c r="W711" s="792"/>
      <c r="X711" s="792"/>
      <c r="Y711" s="792"/>
      <c r="Z711" s="792"/>
      <c r="AA711" s="792"/>
    </row>
    <row r="712" spans="1:27" ht="15.75" customHeight="1">
      <c r="A712" s="792"/>
      <c r="B712" s="792"/>
      <c r="C712" s="792"/>
      <c r="D712" s="792"/>
      <c r="E712" s="792"/>
      <c r="F712" s="792"/>
      <c r="G712" s="792"/>
      <c r="H712" s="792"/>
      <c r="I712" s="792"/>
      <c r="J712" s="792"/>
      <c r="K712" s="792"/>
      <c r="L712" s="792"/>
      <c r="M712" s="792"/>
      <c r="N712" s="792"/>
      <c r="O712" s="792"/>
      <c r="P712" s="792"/>
      <c r="Q712" s="792"/>
      <c r="R712" s="792"/>
      <c r="S712" s="792"/>
      <c r="T712" s="792"/>
      <c r="U712" s="792"/>
      <c r="V712" s="793"/>
      <c r="W712" s="792"/>
      <c r="X712" s="792"/>
      <c r="Y712" s="792"/>
      <c r="Z712" s="792"/>
      <c r="AA712" s="792"/>
    </row>
    <row r="713" spans="1:27" ht="15.75" customHeight="1">
      <c r="A713" s="792"/>
      <c r="B713" s="792"/>
      <c r="C713" s="792"/>
      <c r="D713" s="792"/>
      <c r="E713" s="792"/>
      <c r="F713" s="792"/>
      <c r="G713" s="792"/>
      <c r="H713" s="792"/>
      <c r="I713" s="792"/>
      <c r="J713" s="792"/>
      <c r="K713" s="792"/>
      <c r="L713" s="792"/>
      <c r="M713" s="792"/>
      <c r="N713" s="792"/>
      <c r="O713" s="792"/>
      <c r="P713" s="792"/>
      <c r="Q713" s="792"/>
      <c r="R713" s="792"/>
      <c r="S713" s="792"/>
      <c r="T713" s="792"/>
      <c r="U713" s="792"/>
      <c r="V713" s="793"/>
      <c r="W713" s="792"/>
      <c r="X713" s="792"/>
      <c r="Y713" s="792"/>
      <c r="Z713" s="792"/>
      <c r="AA713" s="792"/>
    </row>
    <row r="714" spans="1:27" ht="15.75" customHeight="1">
      <c r="A714" s="792"/>
      <c r="B714" s="792"/>
      <c r="C714" s="792"/>
      <c r="D714" s="792"/>
      <c r="E714" s="792"/>
      <c r="F714" s="792"/>
      <c r="G714" s="792"/>
      <c r="H714" s="792"/>
      <c r="I714" s="792"/>
      <c r="J714" s="792"/>
      <c r="K714" s="792"/>
      <c r="L714" s="792"/>
      <c r="M714" s="792"/>
      <c r="N714" s="792"/>
      <c r="O714" s="792"/>
      <c r="P714" s="792"/>
      <c r="Q714" s="792"/>
      <c r="R714" s="792"/>
      <c r="S714" s="792"/>
      <c r="T714" s="792"/>
      <c r="U714" s="792"/>
      <c r="V714" s="793"/>
      <c r="W714" s="792"/>
      <c r="X714" s="792"/>
      <c r="Y714" s="792"/>
      <c r="Z714" s="792"/>
      <c r="AA714" s="792"/>
    </row>
    <row r="715" spans="1:27" ht="15.75" customHeight="1">
      <c r="A715" s="792"/>
      <c r="B715" s="792"/>
      <c r="C715" s="792"/>
      <c r="D715" s="792"/>
      <c r="E715" s="792"/>
      <c r="F715" s="792"/>
      <c r="G715" s="792"/>
      <c r="H715" s="792"/>
      <c r="I715" s="792"/>
      <c r="J715" s="792"/>
      <c r="K715" s="792"/>
      <c r="L715" s="792"/>
      <c r="M715" s="792"/>
      <c r="N715" s="792"/>
      <c r="O715" s="792"/>
      <c r="P715" s="792"/>
      <c r="Q715" s="792"/>
      <c r="R715" s="792"/>
      <c r="S715" s="792"/>
      <c r="T715" s="792"/>
      <c r="U715" s="792"/>
      <c r="V715" s="793"/>
      <c r="W715" s="792"/>
      <c r="X715" s="792"/>
      <c r="Y715" s="792"/>
      <c r="Z715" s="792"/>
      <c r="AA715" s="792"/>
    </row>
    <row r="716" spans="1:27" ht="15.75" customHeight="1">
      <c r="A716" s="792"/>
      <c r="B716" s="792"/>
      <c r="C716" s="792"/>
      <c r="D716" s="792"/>
      <c r="E716" s="792"/>
      <c r="F716" s="792"/>
      <c r="G716" s="792"/>
      <c r="H716" s="792"/>
      <c r="I716" s="792"/>
      <c r="J716" s="792"/>
      <c r="K716" s="792"/>
      <c r="L716" s="792"/>
      <c r="M716" s="792"/>
      <c r="N716" s="792"/>
      <c r="O716" s="792"/>
      <c r="P716" s="792"/>
      <c r="Q716" s="792"/>
      <c r="R716" s="792"/>
      <c r="S716" s="792"/>
      <c r="T716" s="792"/>
      <c r="U716" s="792"/>
      <c r="V716" s="793"/>
      <c r="W716" s="792"/>
      <c r="X716" s="792"/>
      <c r="Y716" s="792"/>
      <c r="Z716" s="792"/>
      <c r="AA716" s="792"/>
    </row>
    <row r="717" spans="1:27" ht="15.75" customHeight="1">
      <c r="A717" s="792"/>
      <c r="B717" s="792"/>
      <c r="C717" s="792"/>
      <c r="D717" s="792"/>
      <c r="E717" s="792"/>
      <c r="F717" s="792"/>
      <c r="G717" s="792"/>
      <c r="H717" s="792"/>
      <c r="I717" s="792"/>
      <c r="J717" s="792"/>
      <c r="K717" s="792"/>
      <c r="L717" s="792"/>
      <c r="M717" s="792"/>
      <c r="N717" s="792"/>
      <c r="O717" s="792"/>
      <c r="P717" s="792"/>
      <c r="Q717" s="792"/>
      <c r="R717" s="792"/>
      <c r="S717" s="792"/>
      <c r="T717" s="792"/>
      <c r="U717" s="792"/>
      <c r="V717" s="793"/>
      <c r="W717" s="792"/>
      <c r="X717" s="792"/>
      <c r="Y717" s="792"/>
      <c r="Z717" s="792"/>
      <c r="AA717" s="792"/>
    </row>
    <row r="718" spans="1:27" ht="15.75" customHeight="1">
      <c r="A718" s="792"/>
      <c r="B718" s="792"/>
      <c r="C718" s="792"/>
      <c r="D718" s="792"/>
      <c r="E718" s="792"/>
      <c r="F718" s="792"/>
      <c r="G718" s="792"/>
      <c r="H718" s="792"/>
      <c r="I718" s="792"/>
      <c r="J718" s="792"/>
      <c r="K718" s="792"/>
      <c r="L718" s="792"/>
      <c r="M718" s="792"/>
      <c r="N718" s="792"/>
      <c r="O718" s="792"/>
      <c r="P718" s="792"/>
      <c r="Q718" s="792"/>
      <c r="R718" s="792"/>
      <c r="S718" s="792"/>
      <c r="T718" s="792"/>
      <c r="U718" s="792"/>
      <c r="V718" s="793"/>
      <c r="W718" s="792"/>
      <c r="X718" s="792"/>
      <c r="Y718" s="792"/>
      <c r="Z718" s="792"/>
      <c r="AA718" s="792"/>
    </row>
    <row r="719" spans="1:27" ht="15.75" customHeight="1">
      <c r="A719" s="792"/>
      <c r="B719" s="792"/>
      <c r="C719" s="792"/>
      <c r="D719" s="792"/>
      <c r="E719" s="792"/>
      <c r="F719" s="792"/>
      <c r="G719" s="792"/>
      <c r="H719" s="792"/>
      <c r="I719" s="792"/>
      <c r="J719" s="792"/>
      <c r="K719" s="792"/>
      <c r="L719" s="792"/>
      <c r="M719" s="792"/>
      <c r="N719" s="792"/>
      <c r="O719" s="792"/>
      <c r="P719" s="792"/>
      <c r="Q719" s="792"/>
      <c r="R719" s="792"/>
      <c r="S719" s="792"/>
      <c r="T719" s="792"/>
      <c r="U719" s="792"/>
      <c r="V719" s="793"/>
      <c r="W719" s="792"/>
      <c r="X719" s="792"/>
      <c r="Y719" s="792"/>
      <c r="Z719" s="792"/>
      <c r="AA719" s="792"/>
    </row>
    <row r="720" spans="1:27" ht="15.75" customHeight="1">
      <c r="A720" s="792"/>
      <c r="B720" s="792"/>
      <c r="C720" s="792"/>
      <c r="D720" s="792"/>
      <c r="E720" s="792"/>
      <c r="F720" s="792"/>
      <c r="G720" s="792"/>
      <c r="H720" s="792"/>
      <c r="I720" s="792"/>
      <c r="J720" s="792"/>
      <c r="K720" s="792"/>
      <c r="L720" s="792"/>
      <c r="M720" s="792"/>
      <c r="N720" s="792"/>
      <c r="O720" s="792"/>
      <c r="P720" s="792"/>
      <c r="Q720" s="792"/>
      <c r="R720" s="792"/>
      <c r="S720" s="792"/>
      <c r="T720" s="792"/>
      <c r="U720" s="792"/>
      <c r="V720" s="793"/>
      <c r="W720" s="792"/>
      <c r="X720" s="792"/>
      <c r="Y720" s="792"/>
      <c r="Z720" s="792"/>
      <c r="AA720" s="792"/>
    </row>
    <row r="721" spans="1:27" ht="15.75" customHeight="1">
      <c r="A721" s="792"/>
      <c r="B721" s="792"/>
      <c r="C721" s="792"/>
      <c r="D721" s="792"/>
      <c r="E721" s="792"/>
      <c r="F721" s="792"/>
      <c r="G721" s="792"/>
      <c r="H721" s="792"/>
      <c r="I721" s="792"/>
      <c r="J721" s="792"/>
      <c r="K721" s="792"/>
      <c r="L721" s="792"/>
      <c r="M721" s="792"/>
      <c r="N721" s="792"/>
      <c r="O721" s="792"/>
      <c r="P721" s="792"/>
      <c r="Q721" s="792"/>
      <c r="R721" s="792"/>
      <c r="S721" s="792"/>
      <c r="T721" s="792"/>
      <c r="U721" s="792"/>
      <c r="V721" s="793"/>
      <c r="W721" s="792"/>
      <c r="X721" s="792"/>
      <c r="Y721" s="792"/>
      <c r="Z721" s="792"/>
      <c r="AA721" s="792"/>
    </row>
    <row r="722" spans="1:27" ht="15.75" customHeight="1">
      <c r="A722" s="792"/>
      <c r="B722" s="792"/>
      <c r="C722" s="792"/>
      <c r="D722" s="792"/>
      <c r="E722" s="792"/>
      <c r="F722" s="792"/>
      <c r="G722" s="792"/>
      <c r="H722" s="792"/>
      <c r="I722" s="792"/>
      <c r="J722" s="792"/>
      <c r="K722" s="792"/>
      <c r="L722" s="792"/>
      <c r="M722" s="792"/>
      <c r="N722" s="792"/>
      <c r="O722" s="792"/>
      <c r="P722" s="792"/>
      <c r="Q722" s="792"/>
      <c r="R722" s="792"/>
      <c r="S722" s="792"/>
      <c r="T722" s="792"/>
      <c r="U722" s="792"/>
      <c r="V722" s="793"/>
      <c r="W722" s="792"/>
      <c r="X722" s="792"/>
      <c r="Y722" s="792"/>
      <c r="Z722" s="792"/>
      <c r="AA722" s="792"/>
    </row>
    <row r="723" spans="1:27" ht="15.75" customHeight="1">
      <c r="A723" s="792"/>
      <c r="B723" s="792"/>
      <c r="C723" s="792"/>
      <c r="D723" s="792"/>
      <c r="E723" s="792"/>
      <c r="F723" s="792"/>
      <c r="G723" s="792"/>
      <c r="H723" s="792"/>
      <c r="I723" s="792"/>
      <c r="J723" s="792"/>
      <c r="K723" s="792"/>
      <c r="L723" s="792"/>
      <c r="M723" s="792"/>
      <c r="N723" s="792"/>
      <c r="O723" s="792"/>
      <c r="P723" s="792"/>
      <c r="Q723" s="792"/>
      <c r="R723" s="792"/>
      <c r="S723" s="792"/>
      <c r="T723" s="792"/>
      <c r="U723" s="792"/>
      <c r="V723" s="793"/>
      <c r="W723" s="792"/>
      <c r="X723" s="792"/>
      <c r="Y723" s="792"/>
      <c r="Z723" s="792"/>
      <c r="AA723" s="792"/>
    </row>
    <row r="724" spans="1:27" ht="15.75" customHeight="1">
      <c r="A724" s="792"/>
      <c r="B724" s="792"/>
      <c r="C724" s="792"/>
      <c r="D724" s="792"/>
      <c r="E724" s="792"/>
      <c r="F724" s="792"/>
      <c r="G724" s="792"/>
      <c r="H724" s="792"/>
      <c r="I724" s="792"/>
      <c r="J724" s="792"/>
      <c r="K724" s="792"/>
      <c r="L724" s="792"/>
      <c r="M724" s="792"/>
      <c r="N724" s="792"/>
      <c r="O724" s="792"/>
      <c r="P724" s="792"/>
      <c r="Q724" s="792"/>
      <c r="R724" s="792"/>
      <c r="S724" s="792"/>
      <c r="T724" s="792"/>
      <c r="U724" s="792"/>
      <c r="V724" s="793"/>
      <c r="W724" s="792"/>
      <c r="X724" s="792"/>
      <c r="Y724" s="792"/>
      <c r="Z724" s="792"/>
      <c r="AA724" s="792"/>
    </row>
    <row r="725" spans="1:27" ht="15.75" customHeight="1">
      <c r="A725" s="792"/>
      <c r="B725" s="792"/>
      <c r="C725" s="792"/>
      <c r="D725" s="792"/>
      <c r="E725" s="792"/>
      <c r="F725" s="792"/>
      <c r="G725" s="792"/>
      <c r="H725" s="792"/>
      <c r="I725" s="792"/>
      <c r="J725" s="792"/>
      <c r="K725" s="792"/>
      <c r="L725" s="792"/>
      <c r="M725" s="792"/>
      <c r="N725" s="792"/>
      <c r="O725" s="792"/>
      <c r="P725" s="792"/>
      <c r="Q725" s="792"/>
      <c r="R725" s="792"/>
      <c r="S725" s="792"/>
      <c r="T725" s="792"/>
      <c r="U725" s="792"/>
      <c r="V725" s="793"/>
      <c r="W725" s="792"/>
      <c r="X725" s="792"/>
      <c r="Y725" s="792"/>
      <c r="Z725" s="792"/>
      <c r="AA725" s="792"/>
    </row>
    <row r="726" spans="1:27" ht="15.75" customHeight="1">
      <c r="A726" s="792"/>
      <c r="B726" s="792"/>
      <c r="C726" s="792"/>
      <c r="D726" s="792"/>
      <c r="E726" s="792"/>
      <c r="F726" s="792"/>
      <c r="G726" s="792"/>
      <c r="H726" s="792"/>
      <c r="I726" s="792"/>
      <c r="J726" s="792"/>
      <c r="K726" s="792"/>
      <c r="L726" s="792"/>
      <c r="M726" s="792"/>
      <c r="N726" s="792"/>
      <c r="O726" s="792"/>
      <c r="P726" s="792"/>
      <c r="Q726" s="792"/>
      <c r="R726" s="792"/>
      <c r="S726" s="792"/>
      <c r="T726" s="792"/>
      <c r="U726" s="792"/>
      <c r="V726" s="793"/>
      <c r="W726" s="792"/>
      <c r="X726" s="792"/>
      <c r="Y726" s="792"/>
      <c r="Z726" s="792"/>
      <c r="AA726" s="792"/>
    </row>
    <row r="727" spans="1:27" ht="15.75" customHeight="1">
      <c r="A727" s="792"/>
      <c r="B727" s="792"/>
      <c r="C727" s="792"/>
      <c r="D727" s="792"/>
      <c r="E727" s="792"/>
      <c r="F727" s="792"/>
      <c r="G727" s="792"/>
      <c r="H727" s="792"/>
      <c r="I727" s="792"/>
      <c r="J727" s="792"/>
      <c r="K727" s="792"/>
      <c r="L727" s="792"/>
      <c r="M727" s="792"/>
      <c r="N727" s="792"/>
      <c r="O727" s="792"/>
      <c r="P727" s="792"/>
      <c r="Q727" s="792"/>
      <c r="R727" s="792"/>
      <c r="S727" s="792"/>
      <c r="T727" s="792"/>
      <c r="U727" s="792"/>
      <c r="V727" s="793"/>
      <c r="W727" s="792"/>
      <c r="X727" s="792"/>
      <c r="Y727" s="792"/>
      <c r="Z727" s="792"/>
      <c r="AA727" s="792"/>
    </row>
    <row r="728" spans="1:27" ht="15.75" customHeight="1">
      <c r="A728" s="792"/>
      <c r="B728" s="792"/>
      <c r="C728" s="792"/>
      <c r="D728" s="792"/>
      <c r="E728" s="792"/>
      <c r="F728" s="792"/>
      <c r="G728" s="792"/>
      <c r="H728" s="792"/>
      <c r="I728" s="792"/>
      <c r="J728" s="792"/>
      <c r="K728" s="792"/>
      <c r="L728" s="792"/>
      <c r="M728" s="792"/>
      <c r="N728" s="792"/>
      <c r="O728" s="792"/>
      <c r="P728" s="792"/>
      <c r="Q728" s="792"/>
      <c r="R728" s="792"/>
      <c r="S728" s="792"/>
      <c r="T728" s="792"/>
      <c r="U728" s="792"/>
      <c r="V728" s="793"/>
      <c r="W728" s="792"/>
      <c r="X728" s="792"/>
      <c r="Y728" s="792"/>
      <c r="Z728" s="792"/>
      <c r="AA728" s="792"/>
    </row>
    <row r="729" spans="1:27" ht="15.75" customHeight="1">
      <c r="A729" s="792"/>
      <c r="B729" s="792"/>
      <c r="C729" s="792"/>
      <c r="D729" s="792"/>
      <c r="E729" s="792"/>
      <c r="F729" s="792"/>
      <c r="G729" s="792"/>
      <c r="H729" s="792"/>
      <c r="I729" s="792"/>
      <c r="J729" s="792"/>
      <c r="K729" s="792"/>
      <c r="L729" s="792"/>
      <c r="M729" s="792"/>
      <c r="N729" s="792"/>
      <c r="O729" s="792"/>
      <c r="P729" s="792"/>
      <c r="Q729" s="792"/>
      <c r="R729" s="792"/>
      <c r="S729" s="792"/>
      <c r="T729" s="792"/>
      <c r="U729" s="792"/>
      <c r="V729" s="793"/>
      <c r="W729" s="792"/>
      <c r="X729" s="792"/>
      <c r="Y729" s="792"/>
      <c r="Z729" s="792"/>
      <c r="AA729" s="792"/>
    </row>
    <row r="730" spans="1:27" ht="15.75" customHeight="1">
      <c r="A730" s="792"/>
      <c r="B730" s="792"/>
      <c r="C730" s="792"/>
      <c r="D730" s="792"/>
      <c r="E730" s="792"/>
      <c r="F730" s="792"/>
      <c r="G730" s="792"/>
      <c r="H730" s="792"/>
      <c r="I730" s="792"/>
      <c r="J730" s="792"/>
      <c r="K730" s="792"/>
      <c r="L730" s="792"/>
      <c r="M730" s="792"/>
      <c r="N730" s="792"/>
      <c r="O730" s="792"/>
      <c r="P730" s="792"/>
      <c r="Q730" s="792"/>
      <c r="R730" s="792"/>
      <c r="S730" s="792"/>
      <c r="T730" s="792"/>
      <c r="U730" s="792"/>
      <c r="V730" s="793"/>
      <c r="W730" s="792"/>
      <c r="X730" s="792"/>
      <c r="Y730" s="792"/>
      <c r="Z730" s="792"/>
      <c r="AA730" s="792"/>
    </row>
    <row r="731" spans="1:27" ht="15.75" customHeight="1">
      <c r="A731" s="792"/>
      <c r="B731" s="792"/>
      <c r="C731" s="792"/>
      <c r="D731" s="792"/>
      <c r="E731" s="792"/>
      <c r="F731" s="792"/>
      <c r="G731" s="792"/>
      <c r="H731" s="792"/>
      <c r="I731" s="792"/>
      <c r="J731" s="792"/>
      <c r="K731" s="792"/>
      <c r="L731" s="792"/>
      <c r="M731" s="792"/>
      <c r="N731" s="792"/>
      <c r="O731" s="792"/>
      <c r="P731" s="792"/>
      <c r="Q731" s="792"/>
      <c r="R731" s="792"/>
      <c r="S731" s="792"/>
      <c r="T731" s="792"/>
      <c r="U731" s="792"/>
      <c r="V731" s="793"/>
      <c r="W731" s="792"/>
      <c r="X731" s="792"/>
      <c r="Y731" s="792"/>
      <c r="Z731" s="792"/>
      <c r="AA731" s="792"/>
    </row>
    <row r="732" spans="1:27" ht="15.75" customHeight="1">
      <c r="A732" s="792"/>
      <c r="B732" s="792"/>
      <c r="C732" s="792"/>
      <c r="D732" s="792"/>
      <c r="E732" s="792"/>
      <c r="F732" s="792"/>
      <c r="G732" s="792"/>
      <c r="H732" s="792"/>
      <c r="I732" s="792"/>
      <c r="J732" s="792"/>
      <c r="K732" s="792"/>
      <c r="L732" s="792"/>
      <c r="M732" s="792"/>
      <c r="N732" s="792"/>
      <c r="O732" s="792"/>
      <c r="P732" s="792"/>
      <c r="Q732" s="792"/>
      <c r="R732" s="792"/>
      <c r="S732" s="792"/>
      <c r="T732" s="792"/>
      <c r="U732" s="792"/>
      <c r="V732" s="793"/>
      <c r="W732" s="792"/>
      <c r="X732" s="792"/>
      <c r="Y732" s="792"/>
      <c r="Z732" s="792"/>
      <c r="AA732" s="792"/>
    </row>
    <row r="733" spans="1:27" ht="15.75" customHeight="1">
      <c r="A733" s="792"/>
      <c r="B733" s="792"/>
      <c r="C733" s="792"/>
      <c r="D733" s="792"/>
      <c r="E733" s="792"/>
      <c r="F733" s="792"/>
      <c r="G733" s="792"/>
      <c r="H733" s="792"/>
      <c r="I733" s="792"/>
      <c r="J733" s="792"/>
      <c r="K733" s="792"/>
      <c r="L733" s="792"/>
      <c r="M733" s="792"/>
      <c r="N733" s="792"/>
      <c r="O733" s="792"/>
      <c r="P733" s="792"/>
      <c r="Q733" s="792"/>
      <c r="R733" s="792"/>
      <c r="S733" s="792"/>
      <c r="T733" s="792"/>
      <c r="U733" s="792"/>
      <c r="V733" s="793"/>
      <c r="W733" s="792"/>
      <c r="X733" s="792"/>
      <c r="Y733" s="792"/>
      <c r="Z733" s="792"/>
      <c r="AA733" s="792"/>
    </row>
    <row r="734" spans="1:27" ht="15.75" customHeight="1">
      <c r="A734" s="792"/>
      <c r="B734" s="792"/>
      <c r="C734" s="792"/>
      <c r="D734" s="792"/>
      <c r="E734" s="792"/>
      <c r="F734" s="792"/>
      <c r="G734" s="792"/>
      <c r="H734" s="792"/>
      <c r="I734" s="792"/>
      <c r="J734" s="792"/>
      <c r="K734" s="792"/>
      <c r="L734" s="792"/>
      <c r="M734" s="792"/>
      <c r="N734" s="792"/>
      <c r="O734" s="792"/>
      <c r="P734" s="792"/>
      <c r="Q734" s="792"/>
      <c r="R734" s="792"/>
      <c r="S734" s="792"/>
      <c r="T734" s="792"/>
      <c r="U734" s="792"/>
      <c r="V734" s="793"/>
      <c r="W734" s="792"/>
      <c r="X734" s="792"/>
      <c r="Y734" s="792"/>
      <c r="Z734" s="792"/>
      <c r="AA734" s="792"/>
    </row>
    <row r="735" spans="1:27" ht="15.75" customHeight="1">
      <c r="A735" s="792"/>
      <c r="B735" s="792"/>
      <c r="C735" s="792"/>
      <c r="D735" s="792"/>
      <c r="E735" s="792"/>
      <c r="F735" s="792"/>
      <c r="G735" s="792"/>
      <c r="H735" s="792"/>
      <c r="I735" s="792"/>
      <c r="J735" s="792"/>
      <c r="K735" s="792"/>
      <c r="L735" s="792"/>
      <c r="M735" s="792"/>
      <c r="N735" s="792"/>
      <c r="O735" s="792"/>
      <c r="P735" s="792"/>
      <c r="Q735" s="792"/>
      <c r="R735" s="792"/>
      <c r="S735" s="792"/>
      <c r="T735" s="792"/>
      <c r="U735" s="792"/>
      <c r="V735" s="793"/>
      <c r="W735" s="792"/>
      <c r="X735" s="792"/>
      <c r="Y735" s="792"/>
      <c r="Z735" s="792"/>
      <c r="AA735" s="792"/>
    </row>
    <row r="736" spans="1:27" ht="15.75" customHeight="1">
      <c r="A736" s="792"/>
      <c r="B736" s="792"/>
      <c r="C736" s="792"/>
      <c r="D736" s="792"/>
      <c r="E736" s="792"/>
      <c r="F736" s="792"/>
      <c r="G736" s="792"/>
      <c r="H736" s="792"/>
      <c r="I736" s="792"/>
      <c r="J736" s="792"/>
      <c r="K736" s="792"/>
      <c r="L736" s="792"/>
      <c r="M736" s="792"/>
      <c r="N736" s="792"/>
      <c r="O736" s="792"/>
      <c r="P736" s="792"/>
      <c r="Q736" s="792"/>
      <c r="R736" s="792"/>
      <c r="S736" s="792"/>
      <c r="T736" s="792"/>
      <c r="U736" s="792"/>
      <c r="V736" s="793"/>
      <c r="W736" s="792"/>
      <c r="X736" s="792"/>
      <c r="Y736" s="792"/>
      <c r="Z736" s="792"/>
      <c r="AA736" s="792"/>
    </row>
    <row r="737" spans="1:27" ht="15.75" customHeight="1">
      <c r="A737" s="792"/>
      <c r="B737" s="792"/>
      <c r="C737" s="792"/>
      <c r="D737" s="792"/>
      <c r="E737" s="792"/>
      <c r="F737" s="792"/>
      <c r="G737" s="792"/>
      <c r="H737" s="792"/>
      <c r="I737" s="792"/>
      <c r="J737" s="792"/>
      <c r="K737" s="792"/>
      <c r="L737" s="792"/>
      <c r="M737" s="792"/>
      <c r="N737" s="792"/>
      <c r="O737" s="792"/>
      <c r="P737" s="792"/>
      <c r="Q737" s="792"/>
      <c r="R737" s="792"/>
      <c r="S737" s="792"/>
      <c r="T737" s="792"/>
      <c r="U737" s="792"/>
      <c r="V737" s="793"/>
      <c r="W737" s="792"/>
      <c r="X737" s="792"/>
      <c r="Y737" s="792"/>
      <c r="Z737" s="792"/>
      <c r="AA737" s="792"/>
    </row>
    <row r="738" spans="1:27" ht="15.75" customHeight="1">
      <c r="A738" s="792"/>
      <c r="B738" s="792"/>
      <c r="C738" s="792"/>
      <c r="D738" s="792"/>
      <c r="E738" s="792"/>
      <c r="F738" s="792"/>
      <c r="G738" s="792"/>
      <c r="H738" s="792"/>
      <c r="I738" s="792"/>
      <c r="J738" s="792"/>
      <c r="K738" s="792"/>
      <c r="L738" s="792"/>
      <c r="M738" s="792"/>
      <c r="N738" s="792"/>
      <c r="O738" s="792"/>
      <c r="P738" s="792"/>
      <c r="Q738" s="792"/>
      <c r="R738" s="792"/>
      <c r="S738" s="792"/>
      <c r="T738" s="792"/>
      <c r="U738" s="792"/>
      <c r="V738" s="793"/>
      <c r="W738" s="792"/>
      <c r="X738" s="792"/>
      <c r="Y738" s="792"/>
      <c r="Z738" s="792"/>
      <c r="AA738" s="792"/>
    </row>
    <row r="739" spans="1:27" ht="15.75" customHeight="1">
      <c r="A739" s="792"/>
      <c r="B739" s="792"/>
      <c r="C739" s="792"/>
      <c r="D739" s="792"/>
      <c r="E739" s="792"/>
      <c r="F739" s="792"/>
      <c r="G739" s="792"/>
      <c r="H739" s="792"/>
      <c r="I739" s="792"/>
      <c r="J739" s="792"/>
      <c r="K739" s="792"/>
      <c r="L739" s="792"/>
      <c r="M739" s="792"/>
      <c r="N739" s="792"/>
      <c r="O739" s="792"/>
      <c r="P739" s="792"/>
      <c r="Q739" s="792"/>
      <c r="R739" s="792"/>
      <c r="S739" s="792"/>
      <c r="T739" s="792"/>
      <c r="U739" s="792"/>
      <c r="V739" s="793"/>
      <c r="W739" s="792"/>
      <c r="X739" s="792"/>
      <c r="Y739" s="792"/>
      <c r="Z739" s="792"/>
      <c r="AA739" s="792"/>
    </row>
    <row r="740" spans="1:27" ht="15.75" customHeight="1">
      <c r="A740" s="792"/>
      <c r="B740" s="792"/>
      <c r="C740" s="792"/>
      <c r="D740" s="792"/>
      <c r="E740" s="792"/>
      <c r="F740" s="792"/>
      <c r="G740" s="792"/>
      <c r="H740" s="792"/>
      <c r="I740" s="792"/>
      <c r="J740" s="792"/>
      <c r="K740" s="792"/>
      <c r="L740" s="792"/>
      <c r="M740" s="792"/>
      <c r="N740" s="792"/>
      <c r="O740" s="792"/>
      <c r="P740" s="792"/>
      <c r="Q740" s="792"/>
      <c r="R740" s="792"/>
      <c r="S740" s="792"/>
      <c r="T740" s="792"/>
      <c r="U740" s="792"/>
      <c r="V740" s="793"/>
      <c r="W740" s="792"/>
      <c r="X740" s="792"/>
      <c r="Y740" s="792"/>
      <c r="Z740" s="792"/>
      <c r="AA740" s="792"/>
    </row>
    <row r="741" spans="1:27" ht="15.75" customHeight="1">
      <c r="A741" s="792"/>
      <c r="B741" s="792"/>
      <c r="C741" s="792"/>
      <c r="D741" s="792"/>
      <c r="E741" s="792"/>
      <c r="F741" s="792"/>
      <c r="G741" s="792"/>
      <c r="H741" s="792"/>
      <c r="I741" s="792"/>
      <c r="J741" s="792"/>
      <c r="K741" s="792"/>
      <c r="L741" s="792"/>
      <c r="M741" s="792"/>
      <c r="N741" s="792"/>
      <c r="O741" s="792"/>
      <c r="P741" s="792"/>
      <c r="Q741" s="792"/>
      <c r="R741" s="792"/>
      <c r="S741" s="792"/>
      <c r="T741" s="792"/>
      <c r="U741" s="792"/>
      <c r="V741" s="793"/>
      <c r="W741" s="792"/>
      <c r="X741" s="792"/>
      <c r="Y741" s="792"/>
      <c r="Z741" s="792"/>
      <c r="AA741" s="792"/>
    </row>
    <row r="742" spans="1:27" ht="15.75" customHeight="1">
      <c r="A742" s="792"/>
      <c r="B742" s="792"/>
      <c r="C742" s="792"/>
      <c r="D742" s="792"/>
      <c r="E742" s="792"/>
      <c r="F742" s="792"/>
      <c r="G742" s="792"/>
      <c r="H742" s="792"/>
      <c r="I742" s="792"/>
      <c r="J742" s="792"/>
      <c r="K742" s="792"/>
      <c r="L742" s="792"/>
      <c r="M742" s="792"/>
      <c r="N742" s="792"/>
      <c r="O742" s="792"/>
      <c r="P742" s="792"/>
      <c r="Q742" s="792"/>
      <c r="R742" s="792"/>
      <c r="S742" s="792"/>
      <c r="T742" s="792"/>
      <c r="U742" s="792"/>
      <c r="V742" s="793"/>
      <c r="W742" s="792"/>
      <c r="X742" s="792"/>
      <c r="Y742" s="792"/>
      <c r="Z742" s="792"/>
      <c r="AA742" s="792"/>
    </row>
    <row r="743" spans="1:27" ht="15.75" customHeight="1">
      <c r="A743" s="792"/>
      <c r="B743" s="792"/>
      <c r="C743" s="792"/>
      <c r="D743" s="792"/>
      <c r="E743" s="792"/>
      <c r="F743" s="792"/>
      <c r="G743" s="792"/>
      <c r="H743" s="792"/>
      <c r="I743" s="792"/>
      <c r="J743" s="792"/>
      <c r="K743" s="792"/>
      <c r="L743" s="792"/>
      <c r="M743" s="792"/>
      <c r="N743" s="792"/>
      <c r="O743" s="792"/>
      <c r="P743" s="792"/>
      <c r="Q743" s="792"/>
      <c r="R743" s="792"/>
      <c r="S743" s="792"/>
      <c r="T743" s="792"/>
      <c r="U743" s="792"/>
      <c r="V743" s="793"/>
      <c r="W743" s="792"/>
      <c r="X743" s="792"/>
      <c r="Y743" s="792"/>
      <c r="Z743" s="792"/>
      <c r="AA743" s="792"/>
    </row>
    <row r="744" spans="1:27" ht="15.75" customHeight="1">
      <c r="A744" s="792"/>
      <c r="B744" s="792"/>
      <c r="C744" s="792"/>
      <c r="D744" s="792"/>
      <c r="E744" s="792"/>
      <c r="F744" s="792"/>
      <c r="G744" s="792"/>
      <c r="H744" s="792"/>
      <c r="I744" s="792"/>
      <c r="J744" s="792"/>
      <c r="K744" s="792"/>
      <c r="L744" s="792"/>
      <c r="M744" s="792"/>
      <c r="N744" s="792"/>
      <c r="O744" s="792"/>
      <c r="P744" s="792"/>
      <c r="Q744" s="792"/>
      <c r="R744" s="792"/>
      <c r="S744" s="792"/>
      <c r="T744" s="792"/>
      <c r="U744" s="792"/>
      <c r="V744" s="793"/>
      <c r="W744" s="792"/>
      <c r="X744" s="792"/>
      <c r="Y744" s="792"/>
      <c r="Z744" s="792"/>
      <c r="AA744" s="792"/>
    </row>
    <row r="745" spans="1:27" ht="15.75" customHeight="1">
      <c r="A745" s="792"/>
      <c r="B745" s="792"/>
      <c r="C745" s="792"/>
      <c r="D745" s="792"/>
      <c r="E745" s="792"/>
      <c r="F745" s="792"/>
      <c r="G745" s="792"/>
      <c r="H745" s="792"/>
      <c r="I745" s="792"/>
      <c r="J745" s="792"/>
      <c r="K745" s="792"/>
      <c r="L745" s="792"/>
      <c r="M745" s="792"/>
      <c r="N745" s="792"/>
      <c r="O745" s="792"/>
      <c r="P745" s="792"/>
      <c r="Q745" s="792"/>
      <c r="R745" s="792"/>
      <c r="S745" s="792"/>
      <c r="T745" s="792"/>
      <c r="U745" s="792"/>
      <c r="V745" s="793"/>
      <c r="W745" s="792"/>
      <c r="X745" s="792"/>
      <c r="Y745" s="792"/>
      <c r="Z745" s="792"/>
      <c r="AA745" s="792"/>
    </row>
    <row r="746" spans="1:27" ht="15.75" customHeight="1">
      <c r="A746" s="792"/>
      <c r="B746" s="792"/>
      <c r="C746" s="792"/>
      <c r="D746" s="792"/>
      <c r="E746" s="792"/>
      <c r="F746" s="792"/>
      <c r="G746" s="792"/>
      <c r="H746" s="792"/>
      <c r="I746" s="792"/>
      <c r="J746" s="792"/>
      <c r="K746" s="792"/>
      <c r="L746" s="792"/>
      <c r="M746" s="792"/>
      <c r="N746" s="792"/>
      <c r="O746" s="792"/>
      <c r="P746" s="792"/>
      <c r="Q746" s="792"/>
      <c r="R746" s="792"/>
      <c r="S746" s="792"/>
      <c r="T746" s="792"/>
      <c r="U746" s="792"/>
      <c r="V746" s="793"/>
      <c r="W746" s="792"/>
      <c r="X746" s="792"/>
      <c r="Y746" s="792"/>
      <c r="Z746" s="792"/>
      <c r="AA746" s="792"/>
    </row>
    <row r="747" spans="1:27" ht="15.75" customHeight="1">
      <c r="A747" s="792"/>
      <c r="B747" s="792"/>
      <c r="C747" s="792"/>
      <c r="D747" s="792"/>
      <c r="E747" s="792"/>
      <c r="F747" s="792"/>
      <c r="G747" s="792"/>
      <c r="H747" s="792"/>
      <c r="I747" s="792"/>
      <c r="J747" s="792"/>
      <c r="K747" s="792"/>
      <c r="L747" s="792"/>
      <c r="M747" s="792"/>
      <c r="N747" s="792"/>
      <c r="O747" s="792"/>
      <c r="P747" s="792"/>
      <c r="Q747" s="792"/>
      <c r="R747" s="792"/>
      <c r="S747" s="792"/>
      <c r="T747" s="792"/>
      <c r="U747" s="792"/>
      <c r="V747" s="793"/>
      <c r="W747" s="792"/>
      <c r="X747" s="792"/>
      <c r="Y747" s="792"/>
      <c r="Z747" s="792"/>
      <c r="AA747" s="792"/>
    </row>
    <row r="748" spans="1:27" ht="15.75" customHeight="1">
      <c r="A748" s="792"/>
      <c r="B748" s="792"/>
      <c r="C748" s="792"/>
      <c r="D748" s="792"/>
      <c r="E748" s="792"/>
      <c r="F748" s="792"/>
      <c r="G748" s="792"/>
      <c r="H748" s="792"/>
      <c r="I748" s="792"/>
      <c r="J748" s="792"/>
      <c r="K748" s="792"/>
      <c r="L748" s="792"/>
      <c r="M748" s="792"/>
      <c r="N748" s="792"/>
      <c r="O748" s="792"/>
      <c r="P748" s="792"/>
      <c r="Q748" s="792"/>
      <c r="R748" s="792"/>
      <c r="S748" s="792"/>
      <c r="T748" s="792"/>
      <c r="U748" s="792"/>
      <c r="V748" s="793"/>
      <c r="W748" s="792"/>
      <c r="X748" s="792"/>
      <c r="Y748" s="792"/>
      <c r="Z748" s="792"/>
      <c r="AA748" s="792"/>
    </row>
    <row r="749" spans="1:27" ht="15.75" customHeight="1">
      <c r="A749" s="792"/>
      <c r="B749" s="792"/>
      <c r="C749" s="792"/>
      <c r="D749" s="792"/>
      <c r="E749" s="792"/>
      <c r="F749" s="792"/>
      <c r="G749" s="792"/>
      <c r="H749" s="792"/>
      <c r="I749" s="792"/>
      <c r="J749" s="792"/>
      <c r="K749" s="792"/>
      <c r="L749" s="792"/>
      <c r="M749" s="792"/>
      <c r="N749" s="792"/>
      <c r="O749" s="792"/>
      <c r="P749" s="792"/>
      <c r="Q749" s="792"/>
      <c r="R749" s="792"/>
      <c r="S749" s="792"/>
      <c r="T749" s="792"/>
      <c r="U749" s="792"/>
      <c r="V749" s="793"/>
      <c r="W749" s="792"/>
      <c r="X749" s="792"/>
      <c r="Y749" s="792"/>
      <c r="Z749" s="792"/>
      <c r="AA749" s="792"/>
    </row>
    <row r="750" spans="1:27" ht="15.75" customHeight="1">
      <c r="A750" s="792"/>
      <c r="B750" s="792"/>
      <c r="C750" s="792"/>
      <c r="D750" s="792"/>
      <c r="E750" s="792"/>
      <c r="F750" s="792"/>
      <c r="G750" s="792"/>
      <c r="H750" s="792"/>
      <c r="I750" s="792"/>
      <c r="J750" s="792"/>
      <c r="K750" s="792"/>
      <c r="L750" s="792"/>
      <c r="M750" s="792"/>
      <c r="N750" s="792"/>
      <c r="O750" s="792"/>
      <c r="P750" s="792"/>
      <c r="Q750" s="792"/>
      <c r="R750" s="792"/>
      <c r="S750" s="792"/>
      <c r="T750" s="792"/>
      <c r="U750" s="792"/>
      <c r="V750" s="793"/>
      <c r="W750" s="792"/>
      <c r="X750" s="792"/>
      <c r="Y750" s="792"/>
      <c r="Z750" s="792"/>
      <c r="AA750" s="792"/>
    </row>
    <row r="751" spans="1:27" ht="15.75" customHeight="1">
      <c r="A751" s="792"/>
      <c r="B751" s="792"/>
      <c r="C751" s="792"/>
      <c r="D751" s="792"/>
      <c r="E751" s="792"/>
      <c r="F751" s="792"/>
      <c r="G751" s="792"/>
      <c r="H751" s="792"/>
      <c r="I751" s="792"/>
      <c r="J751" s="792"/>
      <c r="K751" s="792"/>
      <c r="L751" s="792"/>
      <c r="M751" s="792"/>
      <c r="N751" s="792"/>
      <c r="O751" s="792"/>
      <c r="P751" s="792"/>
      <c r="Q751" s="792"/>
      <c r="R751" s="792"/>
      <c r="S751" s="792"/>
      <c r="T751" s="792"/>
      <c r="U751" s="792"/>
      <c r="V751" s="793"/>
      <c r="W751" s="792"/>
      <c r="X751" s="792"/>
      <c r="Y751" s="792"/>
      <c r="Z751" s="792"/>
      <c r="AA751" s="792"/>
    </row>
    <row r="752" spans="1:27" ht="15.75" customHeight="1">
      <c r="A752" s="792"/>
      <c r="B752" s="792"/>
      <c r="C752" s="792"/>
      <c r="D752" s="792"/>
      <c r="E752" s="792"/>
      <c r="F752" s="792"/>
      <c r="G752" s="792"/>
      <c r="H752" s="792"/>
      <c r="I752" s="792"/>
      <c r="J752" s="792"/>
      <c r="K752" s="792"/>
      <c r="L752" s="792"/>
      <c r="M752" s="792"/>
      <c r="N752" s="792"/>
      <c r="O752" s="792"/>
      <c r="P752" s="792"/>
      <c r="Q752" s="792"/>
      <c r="R752" s="792"/>
      <c r="S752" s="792"/>
      <c r="T752" s="792"/>
      <c r="U752" s="792"/>
      <c r="V752" s="793"/>
      <c r="W752" s="792"/>
      <c r="X752" s="792"/>
      <c r="Y752" s="792"/>
      <c r="Z752" s="792"/>
      <c r="AA752" s="792"/>
    </row>
    <row r="753" spans="1:27" ht="15.75" customHeight="1">
      <c r="A753" s="792"/>
      <c r="B753" s="792"/>
      <c r="C753" s="792"/>
      <c r="D753" s="792"/>
      <c r="E753" s="792"/>
      <c r="F753" s="792"/>
      <c r="G753" s="792"/>
      <c r="H753" s="792"/>
      <c r="I753" s="792"/>
      <c r="J753" s="792"/>
      <c r="K753" s="792"/>
      <c r="L753" s="792"/>
      <c r="M753" s="792"/>
      <c r="N753" s="792"/>
      <c r="O753" s="792"/>
      <c r="P753" s="792"/>
      <c r="Q753" s="792"/>
      <c r="R753" s="792"/>
      <c r="S753" s="792"/>
      <c r="T753" s="792"/>
      <c r="U753" s="792"/>
      <c r="V753" s="793"/>
      <c r="W753" s="792"/>
      <c r="X753" s="792"/>
      <c r="Y753" s="792"/>
      <c r="Z753" s="792"/>
      <c r="AA753" s="792"/>
    </row>
    <row r="754" spans="1:27" ht="15.75" customHeight="1">
      <c r="A754" s="792"/>
      <c r="B754" s="792"/>
      <c r="C754" s="792"/>
      <c r="D754" s="792"/>
      <c r="E754" s="792"/>
      <c r="F754" s="792"/>
      <c r="G754" s="792"/>
      <c r="H754" s="792"/>
      <c r="I754" s="792"/>
      <c r="J754" s="792"/>
      <c r="K754" s="792"/>
      <c r="L754" s="792"/>
      <c r="M754" s="792"/>
      <c r="N754" s="792"/>
      <c r="O754" s="792"/>
      <c r="P754" s="792"/>
      <c r="Q754" s="792"/>
      <c r="R754" s="792"/>
      <c r="S754" s="792"/>
      <c r="T754" s="792"/>
      <c r="U754" s="792"/>
      <c r="V754" s="793"/>
      <c r="W754" s="792"/>
      <c r="X754" s="792"/>
      <c r="Y754" s="792"/>
      <c r="Z754" s="792"/>
      <c r="AA754" s="792"/>
    </row>
    <row r="755" spans="1:27" ht="15.75" customHeight="1">
      <c r="A755" s="792"/>
      <c r="B755" s="792"/>
      <c r="C755" s="792"/>
      <c r="D755" s="792"/>
      <c r="E755" s="792"/>
      <c r="F755" s="792"/>
      <c r="G755" s="792"/>
      <c r="H755" s="792"/>
      <c r="I755" s="792"/>
      <c r="J755" s="792"/>
      <c r="K755" s="792"/>
      <c r="L755" s="792"/>
      <c r="M755" s="792"/>
      <c r="N755" s="792"/>
      <c r="O755" s="792"/>
      <c r="P755" s="792"/>
      <c r="Q755" s="792"/>
      <c r="R755" s="792"/>
      <c r="S755" s="792"/>
      <c r="T755" s="792"/>
      <c r="U755" s="792"/>
      <c r="V755" s="793"/>
      <c r="W755" s="792"/>
      <c r="X755" s="792"/>
      <c r="Y755" s="792"/>
      <c r="Z755" s="792"/>
      <c r="AA755" s="792"/>
    </row>
    <row r="756" spans="1:27" ht="15.75" customHeight="1">
      <c r="A756" s="792"/>
      <c r="B756" s="792"/>
      <c r="C756" s="792"/>
      <c r="D756" s="792"/>
      <c r="E756" s="792"/>
      <c r="F756" s="792"/>
      <c r="G756" s="792"/>
      <c r="H756" s="792"/>
      <c r="I756" s="792"/>
      <c r="J756" s="792"/>
      <c r="K756" s="792"/>
      <c r="L756" s="792"/>
      <c r="M756" s="792"/>
      <c r="N756" s="792"/>
      <c r="O756" s="792"/>
      <c r="P756" s="792"/>
      <c r="Q756" s="792"/>
      <c r="R756" s="792"/>
      <c r="S756" s="792"/>
      <c r="T756" s="792"/>
      <c r="U756" s="792"/>
      <c r="V756" s="793"/>
      <c r="W756" s="792"/>
      <c r="X756" s="792"/>
      <c r="Y756" s="792"/>
      <c r="Z756" s="792"/>
      <c r="AA756" s="792"/>
    </row>
    <row r="757" spans="1:27" ht="15.75" customHeight="1">
      <c r="A757" s="792"/>
      <c r="B757" s="792"/>
      <c r="C757" s="792"/>
      <c r="D757" s="792"/>
      <c r="E757" s="792"/>
      <c r="F757" s="792"/>
      <c r="G757" s="792"/>
      <c r="H757" s="792"/>
      <c r="I757" s="792"/>
      <c r="J757" s="792"/>
      <c r="K757" s="792"/>
      <c r="L757" s="792"/>
      <c r="M757" s="792"/>
      <c r="N757" s="792"/>
      <c r="O757" s="792"/>
      <c r="P757" s="792"/>
      <c r="Q757" s="792"/>
      <c r="R757" s="792"/>
      <c r="S757" s="792"/>
      <c r="T757" s="792"/>
      <c r="U757" s="792"/>
      <c r="V757" s="793"/>
      <c r="W757" s="792"/>
      <c r="X757" s="792"/>
      <c r="Y757" s="792"/>
      <c r="Z757" s="792"/>
      <c r="AA757" s="792"/>
    </row>
    <row r="758" spans="1:27" ht="15.75" customHeight="1">
      <c r="A758" s="792"/>
      <c r="B758" s="792"/>
      <c r="C758" s="792"/>
      <c r="D758" s="792"/>
      <c r="E758" s="792"/>
      <c r="F758" s="792"/>
      <c r="G758" s="792"/>
      <c r="H758" s="792"/>
      <c r="I758" s="792"/>
      <c r="J758" s="792"/>
      <c r="K758" s="792"/>
      <c r="L758" s="792"/>
      <c r="M758" s="792"/>
      <c r="N758" s="792"/>
      <c r="O758" s="792"/>
      <c r="P758" s="792"/>
      <c r="Q758" s="792"/>
      <c r="R758" s="792"/>
      <c r="S758" s="792"/>
      <c r="T758" s="792"/>
      <c r="U758" s="792"/>
      <c r="V758" s="793"/>
      <c r="W758" s="792"/>
      <c r="X758" s="792"/>
      <c r="Y758" s="792"/>
      <c r="Z758" s="792"/>
      <c r="AA758" s="792"/>
    </row>
    <row r="759" spans="1:27" ht="15.75" customHeight="1">
      <c r="A759" s="792"/>
      <c r="B759" s="792"/>
      <c r="C759" s="792"/>
      <c r="D759" s="792"/>
      <c r="E759" s="792"/>
      <c r="F759" s="792"/>
      <c r="G759" s="792"/>
      <c r="H759" s="792"/>
      <c r="I759" s="792"/>
      <c r="J759" s="792"/>
      <c r="K759" s="792"/>
      <c r="L759" s="792"/>
      <c r="M759" s="792"/>
      <c r="N759" s="792"/>
      <c r="O759" s="792"/>
      <c r="P759" s="792"/>
      <c r="Q759" s="792"/>
      <c r="R759" s="792"/>
      <c r="S759" s="792"/>
      <c r="T759" s="792"/>
      <c r="U759" s="792"/>
      <c r="V759" s="793"/>
      <c r="W759" s="792"/>
      <c r="X759" s="792"/>
      <c r="Y759" s="792"/>
      <c r="Z759" s="792"/>
      <c r="AA759" s="792"/>
    </row>
    <row r="760" spans="1:27" ht="15.75" customHeight="1">
      <c r="A760" s="792"/>
      <c r="B760" s="792"/>
      <c r="C760" s="792"/>
      <c r="D760" s="792"/>
      <c r="E760" s="792"/>
      <c r="F760" s="792"/>
      <c r="G760" s="792"/>
      <c r="H760" s="792"/>
      <c r="I760" s="792"/>
      <c r="J760" s="792"/>
      <c r="K760" s="792"/>
      <c r="L760" s="792"/>
      <c r="M760" s="792"/>
      <c r="N760" s="792"/>
      <c r="O760" s="792"/>
      <c r="P760" s="792"/>
      <c r="Q760" s="792"/>
      <c r="R760" s="792"/>
      <c r="S760" s="792"/>
      <c r="T760" s="792"/>
      <c r="U760" s="792"/>
      <c r="V760" s="793"/>
      <c r="W760" s="792"/>
      <c r="X760" s="792"/>
      <c r="Y760" s="792"/>
      <c r="Z760" s="792"/>
      <c r="AA760" s="792"/>
    </row>
    <row r="761" spans="1:27" ht="15.75" customHeight="1">
      <c r="A761" s="792"/>
      <c r="B761" s="792"/>
      <c r="C761" s="792"/>
      <c r="D761" s="792"/>
      <c r="E761" s="792"/>
      <c r="F761" s="792"/>
      <c r="G761" s="792"/>
      <c r="H761" s="792"/>
      <c r="I761" s="792"/>
      <c r="J761" s="792"/>
      <c r="K761" s="792"/>
      <c r="L761" s="792"/>
      <c r="M761" s="792"/>
      <c r="N761" s="792"/>
      <c r="O761" s="792"/>
      <c r="P761" s="792"/>
      <c r="Q761" s="792"/>
      <c r="R761" s="792"/>
      <c r="S761" s="792"/>
      <c r="T761" s="792"/>
      <c r="U761" s="792"/>
      <c r="V761" s="793"/>
      <c r="W761" s="792"/>
      <c r="X761" s="792"/>
      <c r="Y761" s="792"/>
      <c r="Z761" s="792"/>
      <c r="AA761" s="792"/>
    </row>
    <row r="762" spans="1:27" ht="15.75" customHeight="1">
      <c r="A762" s="792"/>
      <c r="B762" s="792"/>
      <c r="C762" s="792"/>
      <c r="D762" s="792"/>
      <c r="E762" s="792"/>
      <c r="F762" s="792"/>
      <c r="G762" s="792"/>
      <c r="H762" s="792"/>
      <c r="I762" s="792"/>
      <c r="J762" s="792"/>
      <c r="K762" s="792"/>
      <c r="L762" s="792"/>
      <c r="M762" s="792"/>
      <c r="N762" s="792"/>
      <c r="O762" s="792"/>
      <c r="P762" s="792"/>
      <c r="Q762" s="792"/>
      <c r="R762" s="792"/>
      <c r="S762" s="792"/>
      <c r="T762" s="792"/>
      <c r="U762" s="792"/>
      <c r="V762" s="793"/>
      <c r="W762" s="792"/>
      <c r="X762" s="792"/>
      <c r="Y762" s="792"/>
      <c r="Z762" s="792"/>
      <c r="AA762" s="792"/>
    </row>
    <row r="763" spans="1:27" ht="15.75" customHeight="1">
      <c r="A763" s="792"/>
      <c r="B763" s="792"/>
      <c r="C763" s="792"/>
      <c r="D763" s="792"/>
      <c r="E763" s="792"/>
      <c r="F763" s="792"/>
      <c r="G763" s="792"/>
      <c r="H763" s="792"/>
      <c r="I763" s="792"/>
      <c r="J763" s="792"/>
      <c r="K763" s="792"/>
      <c r="L763" s="792"/>
      <c r="M763" s="792"/>
      <c r="N763" s="792"/>
      <c r="O763" s="792"/>
      <c r="P763" s="792"/>
      <c r="Q763" s="792"/>
      <c r="R763" s="792"/>
      <c r="S763" s="792"/>
      <c r="T763" s="792"/>
      <c r="U763" s="792"/>
      <c r="V763" s="793"/>
      <c r="W763" s="792"/>
      <c r="X763" s="792"/>
      <c r="Y763" s="792"/>
      <c r="Z763" s="792"/>
      <c r="AA763" s="792"/>
    </row>
    <row r="764" spans="1:27" ht="15.75" customHeight="1">
      <c r="A764" s="792"/>
      <c r="B764" s="792"/>
      <c r="C764" s="792"/>
      <c r="D764" s="792"/>
      <c r="E764" s="792"/>
      <c r="F764" s="792"/>
      <c r="G764" s="792"/>
      <c r="H764" s="792"/>
      <c r="I764" s="792"/>
      <c r="J764" s="792"/>
      <c r="K764" s="792"/>
      <c r="L764" s="792"/>
      <c r="M764" s="792"/>
      <c r="N764" s="792"/>
      <c r="O764" s="792"/>
      <c r="P764" s="792"/>
      <c r="Q764" s="792"/>
      <c r="R764" s="792"/>
      <c r="S764" s="792"/>
      <c r="T764" s="792"/>
      <c r="U764" s="792"/>
      <c r="V764" s="793"/>
      <c r="W764" s="792"/>
      <c r="X764" s="792"/>
      <c r="Y764" s="792"/>
      <c r="Z764" s="792"/>
      <c r="AA764" s="792"/>
    </row>
    <row r="765" spans="1:27" ht="15.75" customHeight="1">
      <c r="A765" s="792"/>
      <c r="B765" s="792"/>
      <c r="C765" s="792"/>
      <c r="D765" s="792"/>
      <c r="E765" s="792"/>
      <c r="F765" s="792"/>
      <c r="G765" s="792"/>
      <c r="H765" s="792"/>
      <c r="I765" s="792"/>
      <c r="J765" s="792"/>
      <c r="K765" s="792"/>
      <c r="L765" s="792"/>
      <c r="M765" s="792"/>
      <c r="N765" s="792"/>
      <c r="O765" s="792"/>
      <c r="P765" s="792"/>
      <c r="Q765" s="792"/>
      <c r="R765" s="792"/>
      <c r="S765" s="792"/>
      <c r="T765" s="792"/>
      <c r="U765" s="792"/>
      <c r="V765" s="793"/>
      <c r="W765" s="792"/>
      <c r="X765" s="792"/>
      <c r="Y765" s="792"/>
      <c r="Z765" s="792"/>
      <c r="AA765" s="792"/>
    </row>
    <row r="766" spans="1:27" ht="15.75" customHeight="1">
      <c r="A766" s="792"/>
      <c r="B766" s="792"/>
      <c r="C766" s="792"/>
      <c r="D766" s="792"/>
      <c r="E766" s="792"/>
      <c r="F766" s="792"/>
      <c r="G766" s="792"/>
      <c r="H766" s="792"/>
      <c r="I766" s="792"/>
      <c r="J766" s="792"/>
      <c r="K766" s="792"/>
      <c r="L766" s="792"/>
      <c r="M766" s="792"/>
      <c r="N766" s="792"/>
      <c r="O766" s="792"/>
      <c r="P766" s="792"/>
      <c r="Q766" s="792"/>
      <c r="R766" s="792"/>
      <c r="S766" s="792"/>
      <c r="T766" s="792"/>
      <c r="U766" s="792"/>
      <c r="V766" s="793"/>
      <c r="W766" s="792"/>
      <c r="X766" s="792"/>
      <c r="Y766" s="792"/>
      <c r="Z766" s="792"/>
      <c r="AA766" s="792"/>
    </row>
    <row r="767" spans="1:27" ht="15.75" customHeight="1">
      <c r="A767" s="792"/>
      <c r="B767" s="792"/>
      <c r="C767" s="792"/>
      <c r="D767" s="792"/>
      <c r="E767" s="792"/>
      <c r="F767" s="792"/>
      <c r="G767" s="792"/>
      <c r="H767" s="792"/>
      <c r="I767" s="792"/>
      <c r="J767" s="792"/>
      <c r="K767" s="792"/>
      <c r="L767" s="792"/>
      <c r="M767" s="792"/>
      <c r="N767" s="792"/>
      <c r="O767" s="792"/>
      <c r="P767" s="792"/>
      <c r="Q767" s="792"/>
      <c r="R767" s="792"/>
      <c r="S767" s="792"/>
      <c r="T767" s="792"/>
      <c r="U767" s="792"/>
      <c r="V767" s="793"/>
      <c r="W767" s="792"/>
      <c r="X767" s="792"/>
      <c r="Y767" s="792"/>
      <c r="Z767" s="792"/>
      <c r="AA767" s="792"/>
    </row>
    <row r="768" spans="1:27" ht="15.75" customHeight="1">
      <c r="A768" s="792"/>
      <c r="B768" s="792"/>
      <c r="C768" s="792"/>
      <c r="D768" s="792"/>
      <c r="E768" s="792"/>
      <c r="F768" s="792"/>
      <c r="G768" s="792"/>
      <c r="H768" s="792"/>
      <c r="I768" s="792"/>
      <c r="J768" s="792"/>
      <c r="K768" s="792"/>
      <c r="L768" s="792"/>
      <c r="M768" s="792"/>
      <c r="N768" s="792"/>
      <c r="O768" s="792"/>
      <c r="P768" s="792"/>
      <c r="Q768" s="792"/>
      <c r="R768" s="792"/>
      <c r="S768" s="792"/>
      <c r="T768" s="792"/>
      <c r="U768" s="792"/>
      <c r="V768" s="793"/>
      <c r="W768" s="792"/>
      <c r="X768" s="792"/>
      <c r="Y768" s="792"/>
      <c r="Z768" s="792"/>
      <c r="AA768" s="792"/>
    </row>
    <row r="769" spans="1:27" ht="15.75" customHeight="1">
      <c r="A769" s="792"/>
      <c r="B769" s="792"/>
      <c r="C769" s="792"/>
      <c r="D769" s="792"/>
      <c r="E769" s="792"/>
      <c r="F769" s="792"/>
      <c r="G769" s="792"/>
      <c r="H769" s="792"/>
      <c r="I769" s="792"/>
      <c r="J769" s="792"/>
      <c r="K769" s="792"/>
      <c r="L769" s="792"/>
      <c r="M769" s="792"/>
      <c r="N769" s="792"/>
      <c r="O769" s="792"/>
      <c r="P769" s="792"/>
      <c r="Q769" s="792"/>
      <c r="R769" s="792"/>
      <c r="S769" s="792"/>
      <c r="T769" s="792"/>
      <c r="U769" s="792"/>
      <c r="V769" s="793"/>
      <c r="W769" s="792"/>
      <c r="X769" s="792"/>
      <c r="Y769" s="792"/>
      <c r="Z769" s="792"/>
      <c r="AA769" s="792"/>
    </row>
    <row r="770" spans="1:27" ht="15.75" customHeight="1">
      <c r="A770" s="792"/>
      <c r="B770" s="792"/>
      <c r="C770" s="792"/>
      <c r="D770" s="792"/>
      <c r="E770" s="792"/>
      <c r="F770" s="792"/>
      <c r="G770" s="792"/>
      <c r="H770" s="792"/>
      <c r="I770" s="792"/>
      <c r="J770" s="792"/>
      <c r="K770" s="792"/>
      <c r="L770" s="792"/>
      <c r="M770" s="792"/>
      <c r="N770" s="792"/>
      <c r="O770" s="792"/>
      <c r="P770" s="792"/>
      <c r="Q770" s="792"/>
      <c r="R770" s="792"/>
      <c r="S770" s="792"/>
      <c r="T770" s="792"/>
      <c r="U770" s="792"/>
      <c r="V770" s="793"/>
      <c r="W770" s="792"/>
      <c r="X770" s="792"/>
      <c r="Y770" s="792"/>
      <c r="Z770" s="792"/>
      <c r="AA770" s="792"/>
    </row>
    <row r="771" spans="1:27" ht="15.75" customHeight="1">
      <c r="A771" s="792"/>
      <c r="B771" s="792"/>
      <c r="C771" s="792"/>
      <c r="D771" s="792"/>
      <c r="E771" s="792"/>
      <c r="F771" s="792"/>
      <c r="G771" s="792"/>
      <c r="H771" s="792"/>
      <c r="I771" s="792"/>
      <c r="J771" s="792"/>
      <c r="K771" s="792"/>
      <c r="L771" s="792"/>
      <c r="M771" s="792"/>
      <c r="N771" s="792"/>
      <c r="O771" s="792"/>
      <c r="P771" s="792"/>
      <c r="Q771" s="792"/>
      <c r="R771" s="792"/>
      <c r="S771" s="792"/>
      <c r="T771" s="792"/>
      <c r="U771" s="792"/>
      <c r="V771" s="793"/>
      <c r="W771" s="792"/>
      <c r="X771" s="792"/>
      <c r="Y771" s="792"/>
      <c r="Z771" s="792"/>
      <c r="AA771" s="792"/>
    </row>
    <row r="772" spans="1:27" ht="15.75" customHeight="1">
      <c r="A772" s="792"/>
      <c r="B772" s="792"/>
      <c r="C772" s="792"/>
      <c r="D772" s="792"/>
      <c r="E772" s="792"/>
      <c r="F772" s="792"/>
      <c r="G772" s="792"/>
      <c r="H772" s="792"/>
      <c r="I772" s="792"/>
      <c r="J772" s="792"/>
      <c r="K772" s="792"/>
      <c r="L772" s="792"/>
      <c r="M772" s="792"/>
      <c r="N772" s="792"/>
      <c r="O772" s="792"/>
      <c r="P772" s="792"/>
      <c r="Q772" s="792"/>
      <c r="R772" s="792"/>
      <c r="S772" s="792"/>
      <c r="T772" s="792"/>
      <c r="U772" s="792"/>
      <c r="V772" s="793"/>
      <c r="W772" s="792"/>
      <c r="X772" s="792"/>
      <c r="Y772" s="792"/>
      <c r="Z772" s="792"/>
      <c r="AA772" s="792"/>
    </row>
    <row r="773" spans="1:27" ht="15.75" customHeight="1">
      <c r="A773" s="792"/>
      <c r="B773" s="792"/>
      <c r="C773" s="792"/>
      <c r="D773" s="792"/>
      <c r="E773" s="792"/>
      <c r="F773" s="792"/>
      <c r="G773" s="792"/>
      <c r="H773" s="792"/>
      <c r="I773" s="792"/>
      <c r="J773" s="792"/>
      <c r="K773" s="792"/>
      <c r="L773" s="792"/>
      <c r="M773" s="792"/>
      <c r="N773" s="792"/>
      <c r="O773" s="792"/>
      <c r="P773" s="792"/>
      <c r="Q773" s="792"/>
      <c r="R773" s="792"/>
      <c r="S773" s="792"/>
      <c r="T773" s="792"/>
      <c r="U773" s="792"/>
      <c r="V773" s="793"/>
      <c r="W773" s="792"/>
      <c r="X773" s="792"/>
      <c r="Y773" s="792"/>
      <c r="Z773" s="792"/>
      <c r="AA773" s="792"/>
    </row>
    <row r="774" spans="1:27" ht="15.75" customHeight="1">
      <c r="A774" s="792"/>
      <c r="B774" s="792"/>
      <c r="C774" s="792"/>
      <c r="D774" s="792"/>
      <c r="E774" s="792"/>
      <c r="F774" s="792"/>
      <c r="G774" s="792"/>
      <c r="H774" s="792"/>
      <c r="I774" s="792"/>
      <c r="J774" s="792"/>
      <c r="K774" s="792"/>
      <c r="L774" s="792"/>
      <c r="M774" s="792"/>
      <c r="N774" s="792"/>
      <c r="O774" s="792"/>
      <c r="P774" s="792"/>
      <c r="Q774" s="792"/>
      <c r="R774" s="792"/>
      <c r="S774" s="792"/>
      <c r="T774" s="792"/>
      <c r="U774" s="792"/>
      <c r="V774" s="793"/>
      <c r="W774" s="792"/>
      <c r="X774" s="792"/>
      <c r="Y774" s="792"/>
      <c r="Z774" s="792"/>
      <c r="AA774" s="792"/>
    </row>
    <row r="775" spans="1:27" ht="15.75" customHeight="1">
      <c r="A775" s="792"/>
      <c r="B775" s="792"/>
      <c r="C775" s="792"/>
      <c r="D775" s="792"/>
      <c r="E775" s="792"/>
      <c r="F775" s="792"/>
      <c r="G775" s="792"/>
      <c r="H775" s="792"/>
      <c r="I775" s="792"/>
      <c r="J775" s="792"/>
      <c r="K775" s="792"/>
      <c r="L775" s="792"/>
      <c r="M775" s="792"/>
      <c r="N775" s="792"/>
      <c r="O775" s="792"/>
      <c r="P775" s="792"/>
      <c r="Q775" s="792"/>
      <c r="R775" s="792"/>
      <c r="S775" s="792"/>
      <c r="T775" s="792"/>
      <c r="U775" s="792"/>
      <c r="V775" s="793"/>
      <c r="W775" s="792"/>
      <c r="X775" s="792"/>
      <c r="Y775" s="792"/>
      <c r="Z775" s="792"/>
      <c r="AA775" s="792"/>
    </row>
    <row r="776" spans="1:27" ht="15.75" customHeight="1">
      <c r="A776" s="792"/>
      <c r="B776" s="792"/>
      <c r="C776" s="792"/>
      <c r="D776" s="792"/>
      <c r="E776" s="792"/>
      <c r="F776" s="792"/>
      <c r="G776" s="792"/>
      <c r="H776" s="792"/>
      <c r="I776" s="792"/>
      <c r="J776" s="792"/>
      <c r="K776" s="792"/>
      <c r="L776" s="792"/>
      <c r="M776" s="792"/>
      <c r="N776" s="792"/>
      <c r="O776" s="792"/>
      <c r="P776" s="792"/>
      <c r="Q776" s="792"/>
      <c r="R776" s="792"/>
      <c r="S776" s="792"/>
      <c r="T776" s="792"/>
      <c r="U776" s="792"/>
      <c r="V776" s="793"/>
      <c r="W776" s="792"/>
      <c r="X776" s="792"/>
      <c r="Y776" s="792"/>
      <c r="Z776" s="792"/>
      <c r="AA776" s="792"/>
    </row>
    <row r="777" spans="1:27" ht="15.75" customHeight="1">
      <c r="A777" s="792"/>
      <c r="B777" s="792"/>
      <c r="C777" s="792"/>
      <c r="D777" s="792"/>
      <c r="E777" s="792"/>
      <c r="F777" s="792"/>
      <c r="G777" s="792"/>
      <c r="H777" s="792"/>
      <c r="I777" s="792"/>
      <c r="J777" s="792"/>
      <c r="K777" s="792"/>
      <c r="L777" s="792"/>
      <c r="M777" s="792"/>
      <c r="N777" s="792"/>
      <c r="O777" s="792"/>
      <c r="P777" s="792"/>
      <c r="Q777" s="792"/>
      <c r="R777" s="792"/>
      <c r="S777" s="792"/>
      <c r="T777" s="792"/>
      <c r="U777" s="792"/>
      <c r="V777" s="793"/>
      <c r="W777" s="792"/>
      <c r="X777" s="792"/>
      <c r="Y777" s="792"/>
      <c r="Z777" s="792"/>
      <c r="AA777" s="792"/>
    </row>
    <row r="778" spans="1:27" ht="15.75" customHeight="1">
      <c r="A778" s="792"/>
      <c r="B778" s="792"/>
      <c r="C778" s="792"/>
      <c r="D778" s="792"/>
      <c r="E778" s="792"/>
      <c r="F778" s="792"/>
      <c r="G778" s="792"/>
      <c r="H778" s="792"/>
      <c r="I778" s="792"/>
      <c r="J778" s="792"/>
      <c r="K778" s="792"/>
      <c r="L778" s="792"/>
      <c r="M778" s="792"/>
      <c r="N778" s="792"/>
      <c r="O778" s="792"/>
      <c r="P778" s="792"/>
      <c r="Q778" s="792"/>
      <c r="R778" s="792"/>
      <c r="S778" s="792"/>
      <c r="T778" s="792"/>
      <c r="U778" s="792"/>
      <c r="V778" s="793"/>
      <c r="W778" s="792"/>
      <c r="X778" s="792"/>
      <c r="Y778" s="792"/>
      <c r="Z778" s="792"/>
      <c r="AA778" s="792"/>
    </row>
    <row r="779" spans="1:27" ht="15.75" customHeight="1">
      <c r="A779" s="792"/>
      <c r="B779" s="792"/>
      <c r="C779" s="792"/>
      <c r="D779" s="792"/>
      <c r="E779" s="792"/>
      <c r="F779" s="792"/>
      <c r="G779" s="792"/>
      <c r="H779" s="792"/>
      <c r="I779" s="792"/>
      <c r="J779" s="792"/>
      <c r="K779" s="792"/>
      <c r="L779" s="792"/>
      <c r="M779" s="792"/>
      <c r="N779" s="792"/>
      <c r="O779" s="792"/>
      <c r="P779" s="792"/>
      <c r="Q779" s="792"/>
      <c r="R779" s="792"/>
      <c r="S779" s="792"/>
      <c r="T779" s="792"/>
      <c r="U779" s="792"/>
      <c r="V779" s="793"/>
      <c r="W779" s="792"/>
      <c r="X779" s="792"/>
      <c r="Y779" s="792"/>
      <c r="Z779" s="792"/>
      <c r="AA779" s="792"/>
    </row>
    <row r="780" spans="1:27" ht="15.75" customHeight="1">
      <c r="A780" s="792"/>
      <c r="B780" s="792"/>
      <c r="C780" s="792"/>
      <c r="D780" s="792"/>
      <c r="E780" s="792"/>
      <c r="F780" s="792"/>
      <c r="G780" s="792"/>
      <c r="H780" s="792"/>
      <c r="I780" s="792"/>
      <c r="J780" s="792"/>
      <c r="K780" s="792"/>
      <c r="L780" s="792"/>
      <c r="M780" s="792"/>
      <c r="N780" s="792"/>
      <c r="O780" s="792"/>
      <c r="P780" s="792"/>
      <c r="Q780" s="792"/>
      <c r="R780" s="792"/>
      <c r="S780" s="792"/>
      <c r="T780" s="792"/>
      <c r="U780" s="792"/>
      <c r="V780" s="793"/>
      <c r="W780" s="792"/>
      <c r="X780" s="792"/>
      <c r="Y780" s="792"/>
      <c r="Z780" s="792"/>
      <c r="AA780" s="792"/>
    </row>
    <row r="781" spans="1:27" ht="15.75" customHeight="1">
      <c r="A781" s="792"/>
      <c r="B781" s="792"/>
      <c r="C781" s="792"/>
      <c r="D781" s="792"/>
      <c r="E781" s="792"/>
      <c r="F781" s="792"/>
      <c r="G781" s="792"/>
      <c r="H781" s="792"/>
      <c r="I781" s="792"/>
      <c r="J781" s="792"/>
      <c r="K781" s="792"/>
      <c r="L781" s="792"/>
      <c r="M781" s="792"/>
      <c r="N781" s="792"/>
      <c r="O781" s="792"/>
      <c r="P781" s="792"/>
      <c r="Q781" s="792"/>
      <c r="R781" s="792"/>
      <c r="S781" s="792"/>
      <c r="T781" s="792"/>
      <c r="U781" s="792"/>
      <c r="V781" s="793"/>
      <c r="W781" s="792"/>
      <c r="X781" s="792"/>
      <c r="Y781" s="792"/>
      <c r="Z781" s="792"/>
      <c r="AA781" s="792"/>
    </row>
    <row r="782" spans="1:27" ht="15.75" customHeight="1">
      <c r="A782" s="792"/>
      <c r="B782" s="792"/>
      <c r="C782" s="792"/>
      <c r="D782" s="792"/>
      <c r="E782" s="792"/>
      <c r="F782" s="792"/>
      <c r="G782" s="792"/>
      <c r="H782" s="792"/>
      <c r="I782" s="792"/>
      <c r="J782" s="792"/>
      <c r="K782" s="792"/>
      <c r="L782" s="792"/>
      <c r="M782" s="792"/>
      <c r="N782" s="792"/>
      <c r="O782" s="792"/>
      <c r="P782" s="792"/>
      <c r="Q782" s="792"/>
      <c r="R782" s="792"/>
      <c r="S782" s="792"/>
      <c r="T782" s="792"/>
      <c r="U782" s="792"/>
      <c r="V782" s="793"/>
      <c r="W782" s="792"/>
      <c r="X782" s="792"/>
      <c r="Y782" s="792"/>
      <c r="Z782" s="792"/>
      <c r="AA782" s="792"/>
    </row>
    <row r="783" spans="1:27" ht="15.75" customHeight="1">
      <c r="A783" s="792"/>
      <c r="B783" s="792"/>
      <c r="C783" s="792"/>
      <c r="D783" s="792"/>
      <c r="E783" s="792"/>
      <c r="F783" s="792"/>
      <c r="G783" s="792"/>
      <c r="H783" s="792"/>
      <c r="I783" s="792"/>
      <c r="J783" s="792"/>
      <c r="K783" s="792"/>
      <c r="L783" s="792"/>
      <c r="M783" s="792"/>
      <c r="N783" s="792"/>
      <c r="O783" s="792"/>
      <c r="P783" s="792"/>
      <c r="Q783" s="792"/>
      <c r="R783" s="792"/>
      <c r="S783" s="792"/>
      <c r="T783" s="792"/>
      <c r="U783" s="792"/>
      <c r="V783" s="793"/>
      <c r="W783" s="792"/>
      <c r="X783" s="792"/>
      <c r="Y783" s="792"/>
      <c r="Z783" s="792"/>
      <c r="AA783" s="792"/>
    </row>
    <row r="784" spans="1:27" ht="15.75" customHeight="1">
      <c r="A784" s="792"/>
      <c r="B784" s="792"/>
      <c r="C784" s="792"/>
      <c r="D784" s="792"/>
      <c r="E784" s="792"/>
      <c r="F784" s="792"/>
      <c r="G784" s="792"/>
      <c r="H784" s="792"/>
      <c r="I784" s="792"/>
      <c r="J784" s="792"/>
      <c r="K784" s="792"/>
      <c r="L784" s="792"/>
      <c r="M784" s="792"/>
      <c r="N784" s="792"/>
      <c r="O784" s="792"/>
      <c r="P784" s="792"/>
      <c r="Q784" s="792"/>
      <c r="R784" s="792"/>
      <c r="S784" s="792"/>
      <c r="T784" s="792"/>
      <c r="U784" s="792"/>
      <c r="V784" s="793"/>
      <c r="W784" s="792"/>
      <c r="X784" s="792"/>
      <c r="Y784" s="792"/>
      <c r="Z784" s="792"/>
      <c r="AA784" s="792"/>
    </row>
    <row r="785" spans="1:27" ht="15.75" customHeight="1">
      <c r="A785" s="792"/>
      <c r="B785" s="792"/>
      <c r="C785" s="792"/>
      <c r="D785" s="792"/>
      <c r="E785" s="792"/>
      <c r="F785" s="792"/>
      <c r="G785" s="792"/>
      <c r="H785" s="792"/>
      <c r="I785" s="792"/>
      <c r="J785" s="792"/>
      <c r="K785" s="792"/>
      <c r="L785" s="792"/>
      <c r="M785" s="792"/>
      <c r="N785" s="792"/>
      <c r="O785" s="792"/>
      <c r="P785" s="792"/>
      <c r="Q785" s="792"/>
      <c r="R785" s="792"/>
      <c r="S785" s="792"/>
      <c r="T785" s="792"/>
      <c r="U785" s="792"/>
      <c r="V785" s="793"/>
      <c r="W785" s="792"/>
      <c r="X785" s="792"/>
      <c r="Y785" s="792"/>
      <c r="Z785" s="792"/>
      <c r="AA785" s="792"/>
    </row>
    <row r="786" spans="1:27" ht="15.75" customHeight="1">
      <c r="A786" s="792"/>
      <c r="B786" s="792"/>
      <c r="C786" s="792"/>
      <c r="D786" s="792"/>
      <c r="E786" s="792"/>
      <c r="F786" s="792"/>
      <c r="G786" s="792"/>
      <c r="H786" s="792"/>
      <c r="I786" s="792"/>
      <c r="J786" s="792"/>
      <c r="K786" s="792"/>
      <c r="L786" s="792"/>
      <c r="M786" s="792"/>
      <c r="N786" s="792"/>
      <c r="O786" s="792"/>
      <c r="P786" s="792"/>
      <c r="Q786" s="792"/>
      <c r="R786" s="792"/>
      <c r="S786" s="792"/>
      <c r="T786" s="792"/>
      <c r="U786" s="792"/>
      <c r="V786" s="793"/>
      <c r="W786" s="792"/>
      <c r="X786" s="792"/>
      <c r="Y786" s="792"/>
      <c r="Z786" s="792"/>
      <c r="AA786" s="792"/>
    </row>
    <row r="787" spans="1:27" ht="15.75" customHeight="1">
      <c r="A787" s="792"/>
      <c r="B787" s="792"/>
      <c r="C787" s="792"/>
      <c r="D787" s="792"/>
      <c r="E787" s="792"/>
      <c r="F787" s="792"/>
      <c r="G787" s="792"/>
      <c r="H787" s="792"/>
      <c r="I787" s="792"/>
      <c r="J787" s="792"/>
      <c r="K787" s="792"/>
      <c r="L787" s="792"/>
      <c r="M787" s="792"/>
      <c r="N787" s="792"/>
      <c r="O787" s="792"/>
      <c r="P787" s="792"/>
      <c r="Q787" s="792"/>
      <c r="R787" s="792"/>
      <c r="S787" s="792"/>
      <c r="T787" s="792"/>
      <c r="U787" s="792"/>
      <c r="V787" s="793"/>
      <c r="W787" s="792"/>
      <c r="X787" s="792"/>
      <c r="Y787" s="792"/>
      <c r="Z787" s="792"/>
      <c r="AA787" s="792"/>
    </row>
    <row r="788" spans="1:27" ht="15.75" customHeight="1">
      <c r="A788" s="792"/>
      <c r="B788" s="792"/>
      <c r="C788" s="792"/>
      <c r="D788" s="792"/>
      <c r="E788" s="792"/>
      <c r="F788" s="792"/>
      <c r="G788" s="792"/>
      <c r="H788" s="792"/>
      <c r="I788" s="792"/>
      <c r="J788" s="792"/>
      <c r="K788" s="792"/>
      <c r="L788" s="792"/>
      <c r="M788" s="792"/>
      <c r="N788" s="792"/>
      <c r="O788" s="792"/>
      <c r="P788" s="792"/>
      <c r="Q788" s="792"/>
      <c r="R788" s="792"/>
      <c r="S788" s="792"/>
      <c r="T788" s="792"/>
      <c r="U788" s="792"/>
      <c r="V788" s="793"/>
      <c r="W788" s="792"/>
      <c r="X788" s="792"/>
      <c r="Y788" s="792"/>
      <c r="Z788" s="792"/>
      <c r="AA788" s="792"/>
    </row>
    <row r="789" spans="1:27" ht="15.75" customHeight="1">
      <c r="A789" s="792"/>
      <c r="B789" s="792"/>
      <c r="C789" s="792"/>
      <c r="D789" s="792"/>
      <c r="E789" s="792"/>
      <c r="F789" s="792"/>
      <c r="G789" s="792"/>
      <c r="H789" s="792"/>
      <c r="I789" s="792"/>
      <c r="J789" s="792"/>
      <c r="K789" s="792"/>
      <c r="L789" s="792"/>
      <c r="M789" s="792"/>
      <c r="N789" s="792"/>
      <c r="O789" s="792"/>
      <c r="P789" s="792"/>
      <c r="Q789" s="792"/>
      <c r="R789" s="792"/>
      <c r="S789" s="792"/>
      <c r="T789" s="792"/>
      <c r="U789" s="792"/>
      <c r="V789" s="793"/>
      <c r="W789" s="792"/>
      <c r="X789" s="792"/>
      <c r="Y789" s="792"/>
      <c r="Z789" s="792"/>
      <c r="AA789" s="792"/>
    </row>
    <row r="790" spans="1:27" ht="15.75" customHeight="1">
      <c r="A790" s="792"/>
      <c r="B790" s="792"/>
      <c r="C790" s="792"/>
      <c r="D790" s="792"/>
      <c r="E790" s="792"/>
      <c r="F790" s="792"/>
      <c r="G790" s="792"/>
      <c r="H790" s="792"/>
      <c r="I790" s="792"/>
      <c r="J790" s="792"/>
      <c r="K790" s="792"/>
      <c r="L790" s="792"/>
      <c r="M790" s="792"/>
      <c r="N790" s="792"/>
      <c r="O790" s="792"/>
      <c r="P790" s="792"/>
      <c r="Q790" s="792"/>
      <c r="R790" s="792"/>
      <c r="S790" s="792"/>
      <c r="T790" s="792"/>
      <c r="U790" s="792"/>
      <c r="V790" s="793"/>
      <c r="W790" s="792"/>
      <c r="X790" s="792"/>
      <c r="Y790" s="792"/>
      <c r="Z790" s="792"/>
      <c r="AA790" s="792"/>
    </row>
    <row r="791" spans="1:27" ht="15.75" customHeight="1">
      <c r="A791" s="792"/>
      <c r="B791" s="792"/>
      <c r="C791" s="792"/>
      <c r="D791" s="792"/>
      <c r="E791" s="792"/>
      <c r="F791" s="792"/>
      <c r="G791" s="792"/>
      <c r="H791" s="792"/>
      <c r="I791" s="792"/>
      <c r="J791" s="792"/>
      <c r="K791" s="792"/>
      <c r="L791" s="792"/>
      <c r="M791" s="792"/>
      <c r="N791" s="792"/>
      <c r="O791" s="792"/>
      <c r="P791" s="792"/>
      <c r="Q791" s="792"/>
      <c r="R791" s="792"/>
      <c r="S791" s="792"/>
      <c r="T791" s="792"/>
      <c r="U791" s="792"/>
      <c r="V791" s="793"/>
      <c r="W791" s="792"/>
      <c r="X791" s="792"/>
      <c r="Y791" s="792"/>
      <c r="Z791" s="792"/>
      <c r="AA791" s="792"/>
    </row>
    <row r="792" spans="1:27" ht="15.75" customHeight="1">
      <c r="A792" s="792"/>
      <c r="B792" s="792"/>
      <c r="C792" s="792"/>
      <c r="D792" s="792"/>
      <c r="E792" s="792"/>
      <c r="F792" s="792"/>
      <c r="G792" s="792"/>
      <c r="H792" s="792"/>
      <c r="I792" s="792"/>
      <c r="J792" s="792"/>
      <c r="K792" s="792"/>
      <c r="L792" s="792"/>
      <c r="M792" s="792"/>
      <c r="N792" s="792"/>
      <c r="O792" s="792"/>
      <c r="P792" s="792"/>
      <c r="Q792" s="792"/>
      <c r="R792" s="792"/>
      <c r="S792" s="792"/>
      <c r="T792" s="792"/>
      <c r="U792" s="792"/>
      <c r="V792" s="793"/>
      <c r="W792" s="792"/>
      <c r="X792" s="792"/>
      <c r="Y792" s="792"/>
      <c r="Z792" s="792"/>
      <c r="AA792" s="792"/>
    </row>
    <row r="793" spans="1:27" ht="15.75" customHeight="1">
      <c r="A793" s="792"/>
      <c r="B793" s="792"/>
      <c r="C793" s="792"/>
      <c r="D793" s="792"/>
      <c r="E793" s="792"/>
      <c r="F793" s="792"/>
      <c r="G793" s="792"/>
      <c r="H793" s="792"/>
      <c r="I793" s="792"/>
      <c r="J793" s="792"/>
      <c r="K793" s="792"/>
      <c r="L793" s="792"/>
      <c r="M793" s="792"/>
      <c r="N793" s="792"/>
      <c r="O793" s="792"/>
      <c r="P793" s="792"/>
      <c r="Q793" s="792"/>
      <c r="R793" s="792"/>
      <c r="S793" s="792"/>
      <c r="T793" s="792"/>
      <c r="U793" s="792"/>
      <c r="V793" s="793"/>
      <c r="W793" s="792"/>
      <c r="X793" s="792"/>
      <c r="Y793" s="792"/>
      <c r="Z793" s="792"/>
      <c r="AA793" s="792"/>
    </row>
    <row r="794" spans="1:27" ht="15.75" customHeight="1">
      <c r="A794" s="792"/>
      <c r="B794" s="792"/>
      <c r="C794" s="792"/>
      <c r="D794" s="792"/>
      <c r="E794" s="792"/>
      <c r="F794" s="792"/>
      <c r="G794" s="792"/>
      <c r="H794" s="792"/>
      <c r="I794" s="792"/>
      <c r="J794" s="792"/>
      <c r="K794" s="792"/>
      <c r="L794" s="792"/>
      <c r="M794" s="792"/>
      <c r="N794" s="792"/>
      <c r="O794" s="792"/>
      <c r="P794" s="792"/>
      <c r="Q794" s="792"/>
      <c r="R794" s="792"/>
      <c r="S794" s="792"/>
      <c r="T794" s="792"/>
      <c r="U794" s="792"/>
      <c r="V794" s="793"/>
      <c r="W794" s="792"/>
      <c r="X794" s="792"/>
      <c r="Y794" s="792"/>
      <c r="Z794" s="792"/>
      <c r="AA794" s="792"/>
    </row>
    <row r="795" spans="1:27" ht="15.75" customHeight="1">
      <c r="A795" s="792"/>
      <c r="B795" s="792"/>
      <c r="C795" s="792"/>
      <c r="D795" s="792"/>
      <c r="E795" s="792"/>
      <c r="F795" s="792"/>
      <c r="G795" s="792"/>
      <c r="H795" s="792"/>
      <c r="I795" s="792"/>
      <c r="J795" s="792"/>
      <c r="K795" s="792"/>
      <c r="L795" s="792"/>
      <c r="M795" s="792"/>
      <c r="N795" s="792"/>
      <c r="O795" s="792"/>
      <c r="P795" s="792"/>
      <c r="Q795" s="792"/>
      <c r="R795" s="792"/>
      <c r="S795" s="792"/>
      <c r="T795" s="792"/>
      <c r="U795" s="792"/>
      <c r="V795" s="793"/>
      <c r="W795" s="792"/>
      <c r="X795" s="792"/>
      <c r="Y795" s="792"/>
      <c r="Z795" s="792"/>
      <c r="AA795" s="792"/>
    </row>
    <row r="796" spans="1:27" ht="15.75" customHeight="1">
      <c r="A796" s="792"/>
      <c r="B796" s="792"/>
      <c r="C796" s="792"/>
      <c r="D796" s="792"/>
      <c r="E796" s="792"/>
      <c r="F796" s="792"/>
      <c r="G796" s="792"/>
      <c r="H796" s="792"/>
      <c r="I796" s="792"/>
      <c r="J796" s="792"/>
      <c r="K796" s="792"/>
      <c r="L796" s="792"/>
      <c r="M796" s="792"/>
      <c r="N796" s="792"/>
      <c r="O796" s="792"/>
      <c r="P796" s="792"/>
      <c r="Q796" s="792"/>
      <c r="R796" s="792"/>
      <c r="S796" s="792"/>
      <c r="T796" s="792"/>
      <c r="U796" s="792"/>
      <c r="V796" s="793"/>
      <c r="W796" s="792"/>
      <c r="X796" s="792"/>
      <c r="Y796" s="792"/>
      <c r="Z796" s="792"/>
      <c r="AA796" s="792"/>
    </row>
    <row r="797" spans="1:27" ht="15.75" customHeight="1">
      <c r="A797" s="792"/>
      <c r="B797" s="792"/>
      <c r="C797" s="792"/>
      <c r="D797" s="792"/>
      <c r="E797" s="792"/>
      <c r="F797" s="792"/>
      <c r="G797" s="792"/>
      <c r="H797" s="792"/>
      <c r="I797" s="792"/>
      <c r="J797" s="792"/>
      <c r="K797" s="792"/>
      <c r="L797" s="792"/>
      <c r="M797" s="792"/>
      <c r="N797" s="792"/>
      <c r="O797" s="792"/>
      <c r="P797" s="792"/>
      <c r="Q797" s="792"/>
      <c r="R797" s="792"/>
      <c r="S797" s="792"/>
      <c r="T797" s="792"/>
      <c r="U797" s="792"/>
      <c r="V797" s="793"/>
      <c r="W797" s="792"/>
      <c r="X797" s="792"/>
      <c r="Y797" s="792"/>
      <c r="Z797" s="792"/>
      <c r="AA797" s="792"/>
    </row>
    <row r="798" spans="1:27" ht="15.75" customHeight="1">
      <c r="A798" s="792"/>
      <c r="B798" s="792"/>
      <c r="C798" s="792"/>
      <c r="D798" s="792"/>
      <c r="E798" s="792"/>
      <c r="F798" s="792"/>
      <c r="G798" s="792"/>
      <c r="H798" s="792"/>
      <c r="I798" s="792"/>
      <c r="J798" s="792"/>
      <c r="K798" s="792"/>
      <c r="L798" s="792"/>
      <c r="M798" s="792"/>
      <c r="N798" s="792"/>
      <c r="O798" s="792"/>
      <c r="P798" s="792"/>
      <c r="Q798" s="792"/>
      <c r="R798" s="792"/>
      <c r="S798" s="792"/>
      <c r="T798" s="792"/>
      <c r="U798" s="792"/>
      <c r="V798" s="793"/>
      <c r="W798" s="792"/>
      <c r="X798" s="792"/>
      <c r="Y798" s="792"/>
      <c r="Z798" s="792"/>
      <c r="AA798" s="792"/>
    </row>
    <row r="799" spans="1:27" ht="15.75" customHeight="1">
      <c r="A799" s="792"/>
      <c r="B799" s="792"/>
      <c r="C799" s="792"/>
      <c r="D799" s="792"/>
      <c r="E799" s="792"/>
      <c r="F799" s="792"/>
      <c r="G799" s="792"/>
      <c r="H799" s="792"/>
      <c r="I799" s="792"/>
      <c r="J799" s="792"/>
      <c r="K799" s="792"/>
      <c r="L799" s="792"/>
      <c r="M799" s="792"/>
      <c r="N799" s="792"/>
      <c r="O799" s="792"/>
      <c r="P799" s="792"/>
      <c r="Q799" s="792"/>
      <c r="R799" s="792"/>
      <c r="S799" s="792"/>
      <c r="T799" s="792"/>
      <c r="U799" s="792"/>
      <c r="V799" s="793"/>
      <c r="W799" s="792"/>
      <c r="X799" s="792"/>
      <c r="Y799" s="792"/>
      <c r="Z799" s="792"/>
      <c r="AA799" s="792"/>
    </row>
    <row r="800" spans="1:27" ht="15.75" customHeight="1">
      <c r="A800" s="792"/>
      <c r="B800" s="792"/>
      <c r="C800" s="792"/>
      <c r="D800" s="792"/>
      <c r="E800" s="792"/>
      <c r="F800" s="792"/>
      <c r="G800" s="792"/>
      <c r="H800" s="792"/>
      <c r="I800" s="792"/>
      <c r="J800" s="792"/>
      <c r="K800" s="792"/>
      <c r="L800" s="792"/>
      <c r="M800" s="792"/>
      <c r="N800" s="792"/>
      <c r="O800" s="792"/>
      <c r="P800" s="792"/>
      <c r="Q800" s="792"/>
      <c r="R800" s="792"/>
      <c r="S800" s="792"/>
      <c r="T800" s="792"/>
      <c r="U800" s="792"/>
      <c r="V800" s="793"/>
      <c r="W800" s="792"/>
      <c r="X800" s="792"/>
      <c r="Y800" s="792"/>
      <c r="Z800" s="792"/>
      <c r="AA800" s="792"/>
    </row>
    <row r="801" spans="1:27" ht="15.75" customHeight="1">
      <c r="A801" s="792"/>
      <c r="B801" s="792"/>
      <c r="C801" s="792"/>
      <c r="D801" s="792"/>
      <c r="E801" s="792"/>
      <c r="F801" s="792"/>
      <c r="G801" s="792"/>
      <c r="H801" s="792"/>
      <c r="I801" s="792"/>
      <c r="J801" s="792"/>
      <c r="K801" s="792"/>
      <c r="L801" s="792"/>
      <c r="M801" s="792"/>
      <c r="N801" s="792"/>
      <c r="O801" s="792"/>
      <c r="P801" s="792"/>
      <c r="Q801" s="792"/>
      <c r="R801" s="792"/>
      <c r="S801" s="792"/>
      <c r="T801" s="792"/>
      <c r="U801" s="792"/>
      <c r="V801" s="793"/>
      <c r="W801" s="792"/>
      <c r="X801" s="792"/>
      <c r="Y801" s="792"/>
      <c r="Z801" s="792"/>
      <c r="AA801" s="792"/>
    </row>
    <row r="802" spans="1:27" ht="15.75" customHeight="1">
      <c r="A802" s="792"/>
      <c r="B802" s="792"/>
      <c r="C802" s="792"/>
      <c r="D802" s="792"/>
      <c r="E802" s="792"/>
      <c r="F802" s="792"/>
      <c r="G802" s="792"/>
      <c r="H802" s="792"/>
      <c r="I802" s="792"/>
      <c r="J802" s="792"/>
      <c r="K802" s="792"/>
      <c r="L802" s="792"/>
      <c r="M802" s="792"/>
      <c r="N802" s="792"/>
      <c r="O802" s="792"/>
      <c r="P802" s="792"/>
      <c r="Q802" s="792"/>
      <c r="R802" s="792"/>
      <c r="S802" s="792"/>
      <c r="T802" s="792"/>
      <c r="U802" s="792"/>
      <c r="V802" s="793"/>
      <c r="W802" s="792"/>
      <c r="X802" s="792"/>
      <c r="Y802" s="792"/>
      <c r="Z802" s="792"/>
      <c r="AA802" s="792"/>
    </row>
    <row r="803" spans="1:27" ht="15.75" customHeight="1">
      <c r="A803" s="792"/>
      <c r="B803" s="792"/>
      <c r="C803" s="792"/>
      <c r="D803" s="792"/>
      <c r="E803" s="792"/>
      <c r="F803" s="792"/>
      <c r="G803" s="792"/>
      <c r="H803" s="792"/>
      <c r="I803" s="792"/>
      <c r="J803" s="792"/>
      <c r="K803" s="792"/>
      <c r="L803" s="792"/>
      <c r="M803" s="792"/>
      <c r="N803" s="792"/>
      <c r="O803" s="792"/>
      <c r="P803" s="792"/>
      <c r="Q803" s="792"/>
      <c r="R803" s="792"/>
      <c r="S803" s="792"/>
      <c r="T803" s="792"/>
      <c r="U803" s="792"/>
      <c r="V803" s="793"/>
      <c r="W803" s="792"/>
      <c r="X803" s="792"/>
      <c r="Y803" s="792"/>
      <c r="Z803" s="792"/>
      <c r="AA803" s="792"/>
    </row>
    <row r="804" spans="1:27" ht="15.75" customHeight="1">
      <c r="A804" s="792"/>
      <c r="B804" s="792"/>
      <c r="C804" s="792"/>
      <c r="D804" s="792"/>
      <c r="E804" s="792"/>
      <c r="F804" s="792"/>
      <c r="G804" s="792"/>
      <c r="H804" s="792"/>
      <c r="I804" s="792"/>
      <c r="J804" s="792"/>
      <c r="K804" s="792"/>
      <c r="L804" s="792"/>
      <c r="M804" s="792"/>
      <c r="N804" s="792"/>
      <c r="O804" s="792"/>
      <c r="P804" s="792"/>
      <c r="Q804" s="792"/>
      <c r="R804" s="792"/>
      <c r="S804" s="792"/>
      <c r="T804" s="792"/>
      <c r="U804" s="792"/>
      <c r="V804" s="793"/>
      <c r="W804" s="792"/>
      <c r="X804" s="792"/>
      <c r="Y804" s="792"/>
      <c r="Z804" s="792"/>
      <c r="AA804" s="792"/>
    </row>
    <row r="805" spans="1:27" ht="15.75" customHeight="1">
      <c r="A805" s="792"/>
      <c r="B805" s="792"/>
      <c r="C805" s="792"/>
      <c r="D805" s="792"/>
      <c r="E805" s="792"/>
      <c r="F805" s="792"/>
      <c r="G805" s="792"/>
      <c r="H805" s="792"/>
      <c r="I805" s="792"/>
      <c r="J805" s="792"/>
      <c r="K805" s="792"/>
      <c r="L805" s="792"/>
      <c r="M805" s="792"/>
      <c r="N805" s="792"/>
      <c r="O805" s="792"/>
      <c r="P805" s="792"/>
      <c r="Q805" s="792"/>
      <c r="R805" s="792"/>
      <c r="S805" s="792"/>
      <c r="T805" s="792"/>
      <c r="U805" s="792"/>
      <c r="V805" s="793"/>
      <c r="W805" s="792"/>
      <c r="X805" s="792"/>
      <c r="Y805" s="792"/>
      <c r="Z805" s="792"/>
      <c r="AA805" s="792"/>
    </row>
    <row r="806" spans="1:27" ht="15.75" customHeight="1">
      <c r="A806" s="792"/>
      <c r="B806" s="792"/>
      <c r="C806" s="792"/>
      <c r="D806" s="792"/>
      <c r="E806" s="792"/>
      <c r="F806" s="792"/>
      <c r="G806" s="792"/>
      <c r="H806" s="792"/>
      <c r="I806" s="792"/>
      <c r="J806" s="792"/>
      <c r="K806" s="792"/>
      <c r="L806" s="792"/>
      <c r="M806" s="792"/>
      <c r="N806" s="792"/>
      <c r="O806" s="792"/>
      <c r="P806" s="792"/>
      <c r="Q806" s="792"/>
      <c r="R806" s="792"/>
      <c r="S806" s="792"/>
      <c r="T806" s="792"/>
      <c r="U806" s="792"/>
      <c r="V806" s="793"/>
      <c r="W806" s="792"/>
      <c r="X806" s="792"/>
      <c r="Y806" s="792"/>
      <c r="Z806" s="792"/>
      <c r="AA806" s="792"/>
    </row>
    <row r="807" spans="1:27" ht="15.75" customHeight="1">
      <c r="A807" s="792"/>
      <c r="B807" s="792"/>
      <c r="C807" s="792"/>
      <c r="D807" s="792"/>
      <c r="E807" s="792"/>
      <c r="F807" s="792"/>
      <c r="G807" s="792"/>
      <c r="H807" s="792"/>
      <c r="I807" s="792"/>
      <c r="J807" s="792"/>
      <c r="K807" s="792"/>
      <c r="L807" s="792"/>
      <c r="M807" s="792"/>
      <c r="N807" s="792"/>
      <c r="O807" s="792"/>
      <c r="P807" s="792"/>
      <c r="Q807" s="792"/>
      <c r="R807" s="792"/>
      <c r="S807" s="792"/>
      <c r="T807" s="792"/>
      <c r="U807" s="792"/>
      <c r="V807" s="793"/>
      <c r="W807" s="792"/>
      <c r="X807" s="792"/>
      <c r="Y807" s="792"/>
      <c r="Z807" s="792"/>
      <c r="AA807" s="792"/>
    </row>
    <row r="808" spans="1:27" ht="15.75" customHeight="1">
      <c r="A808" s="792"/>
      <c r="B808" s="792"/>
      <c r="C808" s="792"/>
      <c r="D808" s="792"/>
      <c r="E808" s="792"/>
      <c r="F808" s="792"/>
      <c r="G808" s="792"/>
      <c r="H808" s="792"/>
      <c r="I808" s="792"/>
      <c r="J808" s="792"/>
      <c r="K808" s="792"/>
      <c r="L808" s="792"/>
      <c r="M808" s="792"/>
      <c r="N808" s="792"/>
      <c r="O808" s="792"/>
      <c r="P808" s="792"/>
      <c r="Q808" s="792"/>
      <c r="R808" s="792"/>
      <c r="S808" s="792"/>
      <c r="T808" s="792"/>
      <c r="U808" s="792"/>
      <c r="V808" s="793"/>
      <c r="W808" s="792"/>
      <c r="X808" s="792"/>
      <c r="Y808" s="792"/>
      <c r="Z808" s="792"/>
      <c r="AA808" s="792"/>
    </row>
    <row r="809" spans="1:27" ht="15.75" customHeight="1">
      <c r="A809" s="792"/>
      <c r="B809" s="792"/>
      <c r="C809" s="792"/>
      <c r="D809" s="792"/>
      <c r="E809" s="792"/>
      <c r="F809" s="792"/>
      <c r="G809" s="792"/>
      <c r="H809" s="792"/>
      <c r="I809" s="792"/>
      <c r="J809" s="792"/>
      <c r="K809" s="792"/>
      <c r="L809" s="792"/>
      <c r="M809" s="792"/>
      <c r="N809" s="792"/>
      <c r="O809" s="792"/>
      <c r="P809" s="792"/>
      <c r="Q809" s="792"/>
      <c r="R809" s="792"/>
      <c r="S809" s="792"/>
      <c r="T809" s="792"/>
      <c r="U809" s="792"/>
      <c r="V809" s="793"/>
      <c r="W809" s="792"/>
      <c r="X809" s="792"/>
      <c r="Y809" s="792"/>
      <c r="Z809" s="792"/>
      <c r="AA809" s="792"/>
    </row>
    <row r="810" spans="1:27" ht="15.75" customHeight="1">
      <c r="A810" s="792"/>
      <c r="B810" s="792"/>
      <c r="C810" s="792"/>
      <c r="D810" s="792"/>
      <c r="E810" s="792"/>
      <c r="F810" s="792"/>
      <c r="G810" s="792"/>
      <c r="H810" s="792"/>
      <c r="I810" s="792"/>
      <c r="J810" s="792"/>
      <c r="K810" s="792"/>
      <c r="L810" s="792"/>
      <c r="M810" s="792"/>
      <c r="N810" s="792"/>
      <c r="O810" s="792"/>
      <c r="P810" s="792"/>
      <c r="Q810" s="792"/>
      <c r="R810" s="792"/>
      <c r="S810" s="792"/>
      <c r="T810" s="792"/>
      <c r="U810" s="792"/>
      <c r="V810" s="793"/>
      <c r="W810" s="792"/>
      <c r="X810" s="792"/>
      <c r="Y810" s="792"/>
      <c r="Z810" s="792"/>
      <c r="AA810" s="792"/>
    </row>
    <row r="811" spans="1:27" ht="15.75" customHeight="1">
      <c r="A811" s="792"/>
      <c r="B811" s="792"/>
      <c r="C811" s="792"/>
      <c r="D811" s="792"/>
      <c r="E811" s="792"/>
      <c r="F811" s="792"/>
      <c r="G811" s="792"/>
      <c r="H811" s="792"/>
      <c r="I811" s="792"/>
      <c r="J811" s="792"/>
      <c r="K811" s="792"/>
      <c r="L811" s="792"/>
      <c r="M811" s="792"/>
      <c r="N811" s="792"/>
      <c r="O811" s="792"/>
      <c r="P811" s="792"/>
      <c r="Q811" s="792"/>
      <c r="R811" s="792"/>
      <c r="S811" s="792"/>
      <c r="T811" s="792"/>
      <c r="U811" s="792"/>
      <c r="V811" s="793"/>
      <c r="W811" s="792"/>
      <c r="X811" s="792"/>
      <c r="Y811" s="792"/>
      <c r="Z811" s="792"/>
      <c r="AA811" s="792"/>
    </row>
    <row r="812" spans="1:27" ht="15.75" customHeight="1">
      <c r="A812" s="792"/>
      <c r="B812" s="792"/>
      <c r="C812" s="792"/>
      <c r="D812" s="792"/>
      <c r="E812" s="792"/>
      <c r="F812" s="792"/>
      <c r="G812" s="792"/>
      <c r="H812" s="792"/>
      <c r="I812" s="792"/>
      <c r="J812" s="792"/>
      <c r="K812" s="792"/>
      <c r="L812" s="792"/>
      <c r="M812" s="792"/>
      <c r="N812" s="792"/>
      <c r="O812" s="792"/>
      <c r="P812" s="792"/>
      <c r="Q812" s="792"/>
      <c r="R812" s="792"/>
      <c r="S812" s="792"/>
      <c r="T812" s="792"/>
      <c r="U812" s="792"/>
      <c r="V812" s="793"/>
      <c r="W812" s="792"/>
      <c r="X812" s="792"/>
      <c r="Y812" s="792"/>
      <c r="Z812" s="792"/>
      <c r="AA812" s="792"/>
    </row>
    <row r="813" spans="1:27" ht="15.75" customHeight="1">
      <c r="A813" s="792"/>
      <c r="B813" s="792"/>
      <c r="C813" s="792"/>
      <c r="D813" s="792"/>
      <c r="E813" s="792"/>
      <c r="F813" s="792"/>
      <c r="G813" s="792"/>
      <c r="H813" s="792"/>
      <c r="I813" s="792"/>
      <c r="J813" s="792"/>
      <c r="K813" s="792"/>
      <c r="L813" s="792"/>
      <c r="M813" s="792"/>
      <c r="N813" s="792"/>
      <c r="O813" s="792"/>
      <c r="P813" s="792"/>
      <c r="Q813" s="792"/>
      <c r="R813" s="792"/>
      <c r="S813" s="792"/>
      <c r="T813" s="792"/>
      <c r="U813" s="792"/>
      <c r="V813" s="793"/>
      <c r="W813" s="792"/>
      <c r="X813" s="792"/>
      <c r="Y813" s="792"/>
      <c r="Z813" s="792"/>
      <c r="AA813" s="792"/>
    </row>
    <row r="814" spans="1:27" ht="15.75" customHeight="1">
      <c r="A814" s="792"/>
      <c r="B814" s="792"/>
      <c r="C814" s="792"/>
      <c r="D814" s="792"/>
      <c r="E814" s="792"/>
      <c r="F814" s="792"/>
      <c r="G814" s="792"/>
      <c r="H814" s="792"/>
      <c r="I814" s="792"/>
      <c r="J814" s="792"/>
      <c r="K814" s="792"/>
      <c r="L814" s="792"/>
      <c r="M814" s="792"/>
      <c r="N814" s="792"/>
      <c r="O814" s="792"/>
      <c r="P814" s="792"/>
      <c r="Q814" s="792"/>
      <c r="R814" s="792"/>
      <c r="S814" s="792"/>
      <c r="T814" s="792"/>
      <c r="U814" s="792"/>
      <c r="V814" s="793"/>
      <c r="W814" s="792"/>
      <c r="X814" s="792"/>
      <c r="Y814" s="792"/>
      <c r="Z814" s="792"/>
      <c r="AA814" s="792"/>
    </row>
    <row r="815" spans="1:27" ht="15.75" customHeight="1">
      <c r="A815" s="792"/>
      <c r="B815" s="792"/>
      <c r="C815" s="792"/>
      <c r="D815" s="792"/>
      <c r="E815" s="792"/>
      <c r="F815" s="792"/>
      <c r="G815" s="792"/>
      <c r="H815" s="792"/>
      <c r="I815" s="792"/>
      <c r="J815" s="792"/>
      <c r="K815" s="792"/>
      <c r="L815" s="792"/>
      <c r="M815" s="792"/>
      <c r="N815" s="792"/>
      <c r="O815" s="792"/>
      <c r="P815" s="792"/>
      <c r="Q815" s="792"/>
      <c r="R815" s="792"/>
      <c r="S815" s="792"/>
      <c r="T815" s="792"/>
      <c r="U815" s="792"/>
      <c r="V815" s="793"/>
      <c r="W815" s="792"/>
      <c r="X815" s="792"/>
      <c r="Y815" s="792"/>
      <c r="Z815" s="792"/>
      <c r="AA815" s="792"/>
    </row>
    <row r="816" spans="1:27" ht="15.75" customHeight="1">
      <c r="A816" s="792"/>
      <c r="B816" s="792"/>
      <c r="C816" s="792"/>
      <c r="D816" s="792"/>
      <c r="E816" s="792"/>
      <c r="F816" s="792"/>
      <c r="G816" s="792"/>
      <c r="H816" s="792"/>
      <c r="I816" s="792"/>
      <c r="J816" s="792"/>
      <c r="K816" s="792"/>
      <c r="L816" s="792"/>
      <c r="M816" s="792"/>
      <c r="N816" s="792"/>
      <c r="O816" s="792"/>
      <c r="P816" s="792"/>
      <c r="Q816" s="792"/>
      <c r="R816" s="792"/>
      <c r="S816" s="792"/>
      <c r="T816" s="792"/>
      <c r="U816" s="792"/>
      <c r="V816" s="793"/>
      <c r="W816" s="792"/>
      <c r="X816" s="792"/>
      <c r="Y816" s="792"/>
      <c r="Z816" s="792"/>
      <c r="AA816" s="792"/>
    </row>
    <row r="817" spans="1:27" ht="15.75" customHeight="1">
      <c r="A817" s="792"/>
      <c r="B817" s="792"/>
      <c r="C817" s="792"/>
      <c r="D817" s="792"/>
      <c r="E817" s="792"/>
      <c r="F817" s="792"/>
      <c r="G817" s="792"/>
      <c r="H817" s="792"/>
      <c r="I817" s="792"/>
      <c r="J817" s="792"/>
      <c r="K817" s="792"/>
      <c r="L817" s="792"/>
      <c r="M817" s="792"/>
      <c r="N817" s="792"/>
      <c r="O817" s="792"/>
      <c r="P817" s="792"/>
      <c r="Q817" s="792"/>
      <c r="R817" s="792"/>
      <c r="S817" s="792"/>
      <c r="T817" s="792"/>
      <c r="U817" s="792"/>
      <c r="V817" s="793"/>
      <c r="W817" s="792"/>
      <c r="X817" s="792"/>
      <c r="Y817" s="792"/>
      <c r="Z817" s="792"/>
      <c r="AA817" s="792"/>
    </row>
    <row r="818" spans="1:27" ht="15.75" customHeight="1">
      <c r="A818" s="792"/>
      <c r="B818" s="792"/>
      <c r="C818" s="792"/>
      <c r="D818" s="792"/>
      <c r="E818" s="792"/>
      <c r="F818" s="792"/>
      <c r="G818" s="792"/>
      <c r="H818" s="792"/>
      <c r="I818" s="792"/>
      <c r="J818" s="792"/>
      <c r="K818" s="792"/>
      <c r="L818" s="792"/>
      <c r="M818" s="792"/>
      <c r="N818" s="792"/>
      <c r="O818" s="792"/>
      <c r="P818" s="792"/>
      <c r="Q818" s="792"/>
      <c r="R818" s="792"/>
      <c r="S818" s="792"/>
      <c r="T818" s="792"/>
      <c r="U818" s="792"/>
      <c r="V818" s="793"/>
      <c r="W818" s="792"/>
      <c r="X818" s="792"/>
      <c r="Y818" s="792"/>
      <c r="Z818" s="792"/>
      <c r="AA818" s="792"/>
    </row>
    <row r="819" spans="1:27" ht="15.75" customHeight="1">
      <c r="A819" s="792"/>
      <c r="B819" s="792"/>
      <c r="C819" s="792"/>
      <c r="D819" s="792"/>
      <c r="E819" s="792"/>
      <c r="F819" s="792"/>
      <c r="G819" s="792"/>
      <c r="H819" s="792"/>
      <c r="I819" s="792"/>
      <c r="J819" s="792"/>
      <c r="K819" s="792"/>
      <c r="L819" s="792"/>
      <c r="M819" s="792"/>
      <c r="N819" s="792"/>
      <c r="O819" s="792"/>
      <c r="P819" s="792"/>
      <c r="Q819" s="792"/>
      <c r="R819" s="792"/>
      <c r="S819" s="792"/>
      <c r="T819" s="792"/>
      <c r="U819" s="792"/>
      <c r="V819" s="793"/>
      <c r="W819" s="792"/>
      <c r="X819" s="792"/>
      <c r="Y819" s="792"/>
      <c r="Z819" s="792"/>
      <c r="AA819" s="792"/>
    </row>
    <row r="820" spans="1:27" ht="15.75" customHeight="1">
      <c r="A820" s="792"/>
      <c r="B820" s="792"/>
      <c r="C820" s="792"/>
      <c r="D820" s="792"/>
      <c r="E820" s="792"/>
      <c r="F820" s="792"/>
      <c r="G820" s="792"/>
      <c r="H820" s="792"/>
      <c r="I820" s="792"/>
      <c r="J820" s="792"/>
      <c r="K820" s="792"/>
      <c r="L820" s="792"/>
      <c r="M820" s="792"/>
      <c r="N820" s="792"/>
      <c r="O820" s="792"/>
      <c r="P820" s="792"/>
      <c r="Q820" s="792"/>
      <c r="R820" s="792"/>
      <c r="S820" s="792"/>
      <c r="T820" s="792"/>
      <c r="U820" s="792"/>
      <c r="V820" s="793"/>
      <c r="W820" s="792"/>
      <c r="X820" s="792"/>
      <c r="Y820" s="792"/>
      <c r="Z820" s="792"/>
      <c r="AA820" s="792"/>
    </row>
    <row r="821" spans="1:27" ht="15.75" customHeight="1">
      <c r="A821" s="792"/>
      <c r="B821" s="792"/>
      <c r="C821" s="792"/>
      <c r="D821" s="792"/>
      <c r="E821" s="792"/>
      <c r="F821" s="792"/>
      <c r="G821" s="792"/>
      <c r="H821" s="792"/>
      <c r="I821" s="792"/>
      <c r="J821" s="792"/>
      <c r="K821" s="792"/>
      <c r="L821" s="792"/>
      <c r="M821" s="792"/>
      <c r="N821" s="792"/>
      <c r="O821" s="792"/>
      <c r="P821" s="792"/>
      <c r="Q821" s="792"/>
      <c r="R821" s="792"/>
      <c r="S821" s="792"/>
      <c r="T821" s="792"/>
      <c r="U821" s="792"/>
      <c r="V821" s="793"/>
      <c r="W821" s="792"/>
      <c r="X821" s="792"/>
      <c r="Y821" s="792"/>
      <c r="Z821" s="792"/>
      <c r="AA821" s="792"/>
    </row>
    <row r="822" spans="1:27" ht="15.75" customHeight="1">
      <c r="A822" s="792"/>
      <c r="B822" s="792"/>
      <c r="C822" s="792"/>
      <c r="D822" s="792"/>
      <c r="E822" s="792"/>
      <c r="F822" s="792"/>
      <c r="G822" s="792"/>
      <c r="H822" s="792"/>
      <c r="I822" s="792"/>
      <c r="J822" s="792"/>
      <c r="K822" s="792"/>
      <c r="L822" s="792"/>
      <c r="M822" s="792"/>
      <c r="N822" s="792"/>
      <c r="O822" s="792"/>
      <c r="P822" s="792"/>
      <c r="Q822" s="792"/>
      <c r="R822" s="792"/>
      <c r="S822" s="792"/>
      <c r="T822" s="792"/>
      <c r="U822" s="792"/>
      <c r="V822" s="793"/>
      <c r="W822" s="792"/>
      <c r="X822" s="792"/>
      <c r="Y822" s="792"/>
      <c r="Z822" s="792"/>
      <c r="AA822" s="792"/>
    </row>
    <row r="823" spans="1:27" ht="15.75" customHeight="1">
      <c r="A823" s="792"/>
      <c r="B823" s="792"/>
      <c r="C823" s="792"/>
      <c r="D823" s="792"/>
      <c r="E823" s="792"/>
      <c r="F823" s="792"/>
      <c r="G823" s="792"/>
      <c r="H823" s="792"/>
      <c r="I823" s="792"/>
      <c r="J823" s="792"/>
      <c r="K823" s="792"/>
      <c r="L823" s="792"/>
      <c r="M823" s="792"/>
      <c r="N823" s="792"/>
      <c r="O823" s="792"/>
      <c r="P823" s="792"/>
      <c r="Q823" s="792"/>
      <c r="R823" s="792"/>
      <c r="S823" s="792"/>
      <c r="T823" s="792"/>
      <c r="U823" s="792"/>
      <c r="V823" s="793"/>
      <c r="W823" s="792"/>
      <c r="X823" s="792"/>
      <c r="Y823" s="792"/>
      <c r="Z823" s="792"/>
      <c r="AA823" s="792"/>
    </row>
    <row r="824" spans="1:27" ht="15.75" customHeight="1">
      <c r="A824" s="792"/>
      <c r="B824" s="792"/>
      <c r="C824" s="792"/>
      <c r="D824" s="792"/>
      <c r="E824" s="792"/>
      <c r="F824" s="792"/>
      <c r="G824" s="792"/>
      <c r="H824" s="792"/>
      <c r="I824" s="792"/>
      <c r="J824" s="792"/>
      <c r="K824" s="792"/>
      <c r="L824" s="792"/>
      <c r="M824" s="792"/>
      <c r="N824" s="792"/>
      <c r="O824" s="792"/>
      <c r="P824" s="792"/>
      <c r="Q824" s="792"/>
      <c r="R824" s="792"/>
      <c r="S824" s="792"/>
      <c r="T824" s="792"/>
      <c r="U824" s="792"/>
      <c r="V824" s="793"/>
      <c r="W824" s="792"/>
      <c r="X824" s="792"/>
      <c r="Y824" s="792"/>
      <c r="Z824" s="792"/>
      <c r="AA824" s="792"/>
    </row>
    <row r="825" spans="1:27" ht="15.75" customHeight="1">
      <c r="A825" s="792"/>
      <c r="B825" s="792"/>
      <c r="C825" s="792"/>
      <c r="D825" s="792"/>
      <c r="E825" s="792"/>
      <c r="F825" s="792"/>
      <c r="G825" s="792"/>
      <c r="H825" s="792"/>
      <c r="I825" s="792"/>
      <c r="J825" s="792"/>
      <c r="K825" s="792"/>
      <c r="L825" s="792"/>
      <c r="M825" s="792"/>
      <c r="N825" s="792"/>
      <c r="O825" s="792"/>
      <c r="P825" s="792"/>
      <c r="Q825" s="792"/>
      <c r="R825" s="792"/>
      <c r="S825" s="792"/>
      <c r="T825" s="792"/>
      <c r="U825" s="792"/>
      <c r="V825" s="793"/>
      <c r="W825" s="792"/>
      <c r="X825" s="792"/>
      <c r="Y825" s="792"/>
      <c r="Z825" s="792"/>
      <c r="AA825" s="792"/>
    </row>
    <row r="826" spans="1:27" ht="15.75" customHeight="1">
      <c r="A826" s="792"/>
      <c r="B826" s="792"/>
      <c r="C826" s="792"/>
      <c r="D826" s="792"/>
      <c r="E826" s="792"/>
      <c r="F826" s="792"/>
      <c r="G826" s="792"/>
      <c r="H826" s="792"/>
      <c r="I826" s="792"/>
      <c r="J826" s="792"/>
      <c r="K826" s="792"/>
      <c r="L826" s="792"/>
      <c r="M826" s="792"/>
      <c r="N826" s="792"/>
      <c r="O826" s="792"/>
      <c r="P826" s="792"/>
      <c r="Q826" s="792"/>
      <c r="R826" s="792"/>
      <c r="S826" s="792"/>
      <c r="T826" s="792"/>
      <c r="U826" s="792"/>
      <c r="V826" s="793"/>
      <c r="W826" s="792"/>
      <c r="X826" s="792"/>
      <c r="Y826" s="792"/>
      <c r="Z826" s="792"/>
      <c r="AA826" s="792"/>
    </row>
    <row r="827" spans="1:27" ht="15.75" customHeight="1">
      <c r="A827" s="792"/>
      <c r="B827" s="792"/>
      <c r="C827" s="792"/>
      <c r="D827" s="792"/>
      <c r="E827" s="792"/>
      <c r="F827" s="792"/>
      <c r="G827" s="792"/>
      <c r="H827" s="792"/>
      <c r="I827" s="792"/>
      <c r="J827" s="792"/>
      <c r="K827" s="792"/>
      <c r="L827" s="792"/>
      <c r="M827" s="792"/>
      <c r="N827" s="792"/>
      <c r="O827" s="792"/>
      <c r="P827" s="792"/>
      <c r="Q827" s="792"/>
      <c r="R827" s="792"/>
      <c r="S827" s="792"/>
      <c r="T827" s="792"/>
      <c r="U827" s="792"/>
      <c r="V827" s="793"/>
      <c r="W827" s="792"/>
      <c r="X827" s="792"/>
      <c r="Y827" s="792"/>
      <c r="Z827" s="792"/>
      <c r="AA827" s="792"/>
    </row>
    <row r="828" spans="1:27" ht="15.75" customHeight="1">
      <c r="A828" s="792"/>
      <c r="B828" s="792"/>
      <c r="C828" s="792"/>
      <c r="D828" s="792"/>
      <c r="E828" s="792"/>
      <c r="F828" s="792"/>
      <c r="G828" s="792"/>
      <c r="H828" s="792"/>
      <c r="I828" s="792"/>
      <c r="J828" s="792"/>
      <c r="K828" s="792"/>
      <c r="L828" s="792"/>
      <c r="M828" s="792"/>
      <c r="N828" s="792"/>
      <c r="O828" s="792"/>
      <c r="P828" s="792"/>
      <c r="Q828" s="792"/>
      <c r="R828" s="792"/>
      <c r="S828" s="792"/>
      <c r="T828" s="792"/>
      <c r="U828" s="792"/>
      <c r="V828" s="793"/>
      <c r="W828" s="792"/>
      <c r="X828" s="792"/>
      <c r="Y828" s="792"/>
      <c r="Z828" s="792"/>
      <c r="AA828" s="792"/>
    </row>
    <row r="829" spans="1:27" ht="15.75" customHeight="1">
      <c r="A829" s="792"/>
      <c r="B829" s="792"/>
      <c r="C829" s="792"/>
      <c r="D829" s="792"/>
      <c r="E829" s="792"/>
      <c r="F829" s="792"/>
      <c r="G829" s="792"/>
      <c r="H829" s="792"/>
      <c r="I829" s="792"/>
      <c r="J829" s="792"/>
      <c r="K829" s="792"/>
      <c r="L829" s="792"/>
      <c r="M829" s="792"/>
      <c r="N829" s="792"/>
      <c r="O829" s="792"/>
      <c r="P829" s="792"/>
      <c r="Q829" s="792"/>
      <c r="R829" s="792"/>
      <c r="S829" s="792"/>
      <c r="T829" s="792"/>
      <c r="U829" s="792"/>
      <c r="V829" s="793"/>
      <c r="W829" s="792"/>
      <c r="X829" s="792"/>
      <c r="Y829" s="792"/>
      <c r="Z829" s="792"/>
      <c r="AA829" s="792"/>
    </row>
    <row r="830" spans="1:27" ht="15.75" customHeight="1">
      <c r="A830" s="792"/>
      <c r="B830" s="792"/>
      <c r="C830" s="792"/>
      <c r="D830" s="792"/>
      <c r="E830" s="792"/>
      <c r="F830" s="792"/>
      <c r="G830" s="792"/>
      <c r="H830" s="792"/>
      <c r="I830" s="792"/>
      <c r="J830" s="792"/>
      <c r="K830" s="792"/>
      <c r="L830" s="792"/>
      <c r="M830" s="792"/>
      <c r="N830" s="792"/>
      <c r="O830" s="792"/>
      <c r="P830" s="792"/>
      <c r="Q830" s="792"/>
      <c r="R830" s="792"/>
      <c r="S830" s="792"/>
      <c r="T830" s="792"/>
      <c r="U830" s="792"/>
      <c r="V830" s="793"/>
      <c r="W830" s="792"/>
      <c r="X830" s="792"/>
      <c r="Y830" s="792"/>
      <c r="Z830" s="792"/>
      <c r="AA830" s="792"/>
    </row>
    <row r="831" spans="1:27" ht="15.75" customHeight="1">
      <c r="A831" s="792"/>
      <c r="B831" s="792"/>
      <c r="C831" s="792"/>
      <c r="D831" s="792"/>
      <c r="E831" s="792"/>
      <c r="F831" s="792"/>
      <c r="G831" s="792"/>
      <c r="H831" s="792"/>
      <c r="I831" s="792"/>
      <c r="J831" s="792"/>
      <c r="K831" s="792"/>
      <c r="L831" s="792"/>
      <c r="M831" s="792"/>
      <c r="N831" s="792"/>
      <c r="O831" s="792"/>
      <c r="P831" s="792"/>
      <c r="Q831" s="792"/>
      <c r="R831" s="792"/>
      <c r="S831" s="792"/>
      <c r="T831" s="792"/>
      <c r="U831" s="792"/>
      <c r="V831" s="793"/>
      <c r="W831" s="792"/>
      <c r="X831" s="792"/>
      <c r="Y831" s="792"/>
      <c r="Z831" s="792"/>
      <c r="AA831" s="792"/>
    </row>
    <row r="832" spans="1:27" ht="15.75" customHeight="1">
      <c r="A832" s="792"/>
      <c r="B832" s="792"/>
      <c r="C832" s="792"/>
      <c r="D832" s="792"/>
      <c r="E832" s="792"/>
      <c r="F832" s="792"/>
      <c r="G832" s="792"/>
      <c r="H832" s="792"/>
      <c r="I832" s="792"/>
      <c r="J832" s="792"/>
      <c r="K832" s="792"/>
      <c r="L832" s="792"/>
      <c r="M832" s="792"/>
      <c r="N832" s="792"/>
      <c r="O832" s="792"/>
      <c r="P832" s="792"/>
      <c r="Q832" s="792"/>
      <c r="R832" s="792"/>
      <c r="S832" s="792"/>
      <c r="T832" s="792"/>
      <c r="U832" s="792"/>
      <c r="V832" s="793"/>
      <c r="W832" s="792"/>
      <c r="X832" s="792"/>
      <c r="Y832" s="792"/>
      <c r="Z832" s="792"/>
      <c r="AA832" s="792"/>
    </row>
    <row r="833" spans="1:27" ht="15.75" customHeight="1">
      <c r="A833" s="792"/>
      <c r="B833" s="792"/>
      <c r="C833" s="792"/>
      <c r="D833" s="792"/>
      <c r="E833" s="792"/>
      <c r="F833" s="792"/>
      <c r="G833" s="792"/>
      <c r="H833" s="792"/>
      <c r="I833" s="792"/>
      <c r="J833" s="792"/>
      <c r="K833" s="792"/>
      <c r="L833" s="792"/>
      <c r="M833" s="792"/>
      <c r="N833" s="792"/>
      <c r="O833" s="792"/>
      <c r="P833" s="792"/>
      <c r="Q833" s="792"/>
      <c r="R833" s="792"/>
      <c r="S833" s="792"/>
      <c r="T833" s="792"/>
      <c r="U833" s="792"/>
      <c r="V833" s="793"/>
      <c r="W833" s="792"/>
      <c r="X833" s="792"/>
      <c r="Y833" s="792"/>
      <c r="Z833" s="792"/>
      <c r="AA833" s="792"/>
    </row>
    <row r="834" spans="1:27" ht="15.75" customHeight="1">
      <c r="A834" s="792"/>
      <c r="B834" s="792"/>
      <c r="C834" s="792"/>
      <c r="D834" s="792"/>
      <c r="E834" s="792"/>
      <c r="F834" s="792"/>
      <c r="G834" s="792"/>
      <c r="H834" s="792"/>
      <c r="I834" s="792"/>
      <c r="J834" s="792"/>
      <c r="K834" s="792"/>
      <c r="L834" s="792"/>
      <c r="M834" s="792"/>
      <c r="N834" s="792"/>
      <c r="O834" s="792"/>
      <c r="P834" s="792"/>
      <c r="Q834" s="792"/>
      <c r="R834" s="792"/>
      <c r="S834" s="792"/>
      <c r="T834" s="792"/>
      <c r="U834" s="792"/>
      <c r="V834" s="793"/>
      <c r="W834" s="792"/>
      <c r="X834" s="792"/>
      <c r="Y834" s="792"/>
      <c r="Z834" s="792"/>
      <c r="AA834" s="792"/>
    </row>
    <row r="835" spans="1:27" ht="15.75" customHeight="1">
      <c r="A835" s="792"/>
      <c r="B835" s="792"/>
      <c r="C835" s="792"/>
      <c r="D835" s="792"/>
      <c r="E835" s="792"/>
      <c r="F835" s="792"/>
      <c r="G835" s="792"/>
      <c r="H835" s="792"/>
      <c r="I835" s="792"/>
      <c r="J835" s="792"/>
      <c r="K835" s="792"/>
      <c r="L835" s="792"/>
      <c r="M835" s="792"/>
      <c r="N835" s="792"/>
      <c r="O835" s="792"/>
      <c r="P835" s="792"/>
      <c r="Q835" s="792"/>
      <c r="R835" s="792"/>
      <c r="S835" s="792"/>
      <c r="T835" s="792"/>
      <c r="U835" s="792"/>
      <c r="V835" s="793"/>
      <c r="W835" s="792"/>
      <c r="X835" s="792"/>
      <c r="Y835" s="792"/>
      <c r="Z835" s="792"/>
      <c r="AA835" s="792"/>
    </row>
    <row r="836" spans="1:27" ht="15.75" customHeight="1">
      <c r="A836" s="792"/>
      <c r="B836" s="792"/>
      <c r="C836" s="792"/>
      <c r="D836" s="792"/>
      <c r="E836" s="792"/>
      <c r="F836" s="792"/>
      <c r="G836" s="792"/>
      <c r="H836" s="792"/>
      <c r="I836" s="792"/>
      <c r="J836" s="792"/>
      <c r="K836" s="792"/>
      <c r="L836" s="792"/>
      <c r="M836" s="792"/>
      <c r="N836" s="792"/>
      <c r="O836" s="792"/>
      <c r="P836" s="792"/>
      <c r="Q836" s="792"/>
      <c r="R836" s="792"/>
      <c r="S836" s="792"/>
      <c r="T836" s="792"/>
      <c r="U836" s="792"/>
      <c r="V836" s="793"/>
      <c r="W836" s="792"/>
      <c r="X836" s="792"/>
      <c r="Y836" s="792"/>
      <c r="Z836" s="792"/>
      <c r="AA836" s="792"/>
    </row>
    <row r="837" spans="1:27" ht="15.75" customHeight="1">
      <c r="A837" s="792"/>
      <c r="B837" s="792"/>
      <c r="C837" s="792"/>
      <c r="D837" s="792"/>
      <c r="E837" s="792"/>
      <c r="F837" s="792"/>
      <c r="G837" s="792"/>
      <c r="H837" s="792"/>
      <c r="I837" s="792"/>
      <c r="J837" s="792"/>
      <c r="K837" s="792"/>
      <c r="L837" s="792"/>
      <c r="M837" s="792"/>
      <c r="N837" s="792"/>
      <c r="O837" s="792"/>
      <c r="P837" s="792"/>
      <c r="Q837" s="792"/>
      <c r="R837" s="792"/>
      <c r="S837" s="792"/>
      <c r="T837" s="792"/>
      <c r="U837" s="792"/>
      <c r="V837" s="793"/>
      <c r="W837" s="792"/>
      <c r="X837" s="792"/>
      <c r="Y837" s="792"/>
      <c r="Z837" s="792"/>
      <c r="AA837" s="792"/>
    </row>
    <row r="838" spans="1:27" ht="15.75" customHeight="1">
      <c r="A838" s="792"/>
      <c r="B838" s="792"/>
      <c r="C838" s="792"/>
      <c r="D838" s="792"/>
      <c r="E838" s="792"/>
      <c r="F838" s="792"/>
      <c r="G838" s="792"/>
      <c r="H838" s="792"/>
      <c r="I838" s="792"/>
      <c r="J838" s="792"/>
      <c r="K838" s="792"/>
      <c r="L838" s="792"/>
      <c r="M838" s="792"/>
      <c r="N838" s="792"/>
      <c r="O838" s="792"/>
      <c r="P838" s="792"/>
      <c r="Q838" s="792"/>
      <c r="R838" s="792"/>
      <c r="S838" s="792"/>
      <c r="T838" s="792"/>
      <c r="U838" s="792"/>
      <c r="V838" s="793"/>
      <c r="W838" s="792"/>
      <c r="X838" s="792"/>
      <c r="Y838" s="792"/>
      <c r="Z838" s="792"/>
      <c r="AA838" s="792"/>
    </row>
    <row r="839" spans="1:27" ht="15.75" customHeight="1">
      <c r="A839" s="792"/>
      <c r="B839" s="792"/>
      <c r="C839" s="792"/>
      <c r="D839" s="792"/>
      <c r="E839" s="792"/>
      <c r="F839" s="792"/>
      <c r="G839" s="792"/>
      <c r="H839" s="792"/>
      <c r="I839" s="792"/>
      <c r="J839" s="792"/>
      <c r="K839" s="792"/>
      <c r="L839" s="792"/>
      <c r="M839" s="792"/>
      <c r="N839" s="792"/>
      <c r="O839" s="792"/>
      <c r="P839" s="792"/>
      <c r="Q839" s="792"/>
      <c r="R839" s="792"/>
      <c r="S839" s="792"/>
      <c r="T839" s="792"/>
      <c r="U839" s="792"/>
      <c r="V839" s="793"/>
      <c r="W839" s="792"/>
      <c r="X839" s="792"/>
      <c r="Y839" s="792"/>
      <c r="Z839" s="792"/>
      <c r="AA839" s="792"/>
    </row>
    <row r="840" spans="1:27" ht="15.75" customHeight="1">
      <c r="A840" s="792"/>
      <c r="B840" s="792"/>
      <c r="C840" s="792"/>
      <c r="D840" s="792"/>
      <c r="E840" s="792"/>
      <c r="F840" s="792"/>
      <c r="G840" s="792"/>
      <c r="H840" s="792"/>
      <c r="I840" s="792"/>
      <c r="J840" s="792"/>
      <c r="K840" s="792"/>
      <c r="L840" s="792"/>
      <c r="M840" s="792"/>
      <c r="N840" s="792"/>
      <c r="O840" s="792"/>
      <c r="P840" s="792"/>
      <c r="Q840" s="792"/>
      <c r="R840" s="792"/>
      <c r="S840" s="792"/>
      <c r="T840" s="792"/>
      <c r="U840" s="792"/>
      <c r="V840" s="793"/>
      <c r="W840" s="792"/>
      <c r="X840" s="792"/>
      <c r="Y840" s="792"/>
      <c r="Z840" s="792"/>
      <c r="AA840" s="792"/>
    </row>
    <row r="841" spans="1:27" ht="15.75" customHeight="1">
      <c r="A841" s="792"/>
      <c r="B841" s="792"/>
      <c r="C841" s="792"/>
      <c r="D841" s="792"/>
      <c r="E841" s="792"/>
      <c r="F841" s="792"/>
      <c r="G841" s="792"/>
      <c r="H841" s="792"/>
      <c r="I841" s="792"/>
      <c r="J841" s="792"/>
      <c r="K841" s="792"/>
      <c r="L841" s="792"/>
      <c r="M841" s="792"/>
      <c r="N841" s="792"/>
      <c r="O841" s="792"/>
      <c r="P841" s="792"/>
      <c r="Q841" s="792"/>
      <c r="R841" s="792"/>
      <c r="S841" s="792"/>
      <c r="T841" s="792"/>
      <c r="U841" s="792"/>
      <c r="V841" s="793"/>
      <c r="W841" s="792"/>
      <c r="X841" s="792"/>
      <c r="Y841" s="792"/>
      <c r="Z841" s="792"/>
      <c r="AA841" s="792"/>
    </row>
    <row r="842" spans="1:27" ht="15.75" customHeight="1">
      <c r="A842" s="792"/>
      <c r="B842" s="792"/>
      <c r="C842" s="792"/>
      <c r="D842" s="792"/>
      <c r="E842" s="792"/>
      <c r="F842" s="792"/>
      <c r="G842" s="792"/>
      <c r="H842" s="792"/>
      <c r="I842" s="792"/>
      <c r="J842" s="792"/>
      <c r="K842" s="792"/>
      <c r="L842" s="792"/>
      <c r="M842" s="792"/>
      <c r="N842" s="792"/>
      <c r="O842" s="792"/>
      <c r="P842" s="792"/>
      <c r="Q842" s="792"/>
      <c r="R842" s="792"/>
      <c r="S842" s="792"/>
      <c r="T842" s="792"/>
      <c r="U842" s="792"/>
      <c r="V842" s="793"/>
      <c r="W842" s="792"/>
      <c r="X842" s="792"/>
      <c r="Y842" s="792"/>
      <c r="Z842" s="792"/>
      <c r="AA842" s="792"/>
    </row>
    <row r="843" spans="1:27" ht="15.75" customHeight="1">
      <c r="A843" s="792"/>
      <c r="B843" s="792"/>
      <c r="C843" s="792"/>
      <c r="D843" s="792"/>
      <c r="E843" s="792"/>
      <c r="F843" s="792"/>
      <c r="G843" s="792"/>
      <c r="H843" s="792"/>
      <c r="I843" s="792"/>
      <c r="J843" s="792"/>
      <c r="K843" s="792"/>
      <c r="L843" s="792"/>
      <c r="M843" s="792"/>
      <c r="N843" s="792"/>
      <c r="O843" s="792"/>
      <c r="P843" s="792"/>
      <c r="Q843" s="792"/>
      <c r="R843" s="792"/>
      <c r="S843" s="792"/>
      <c r="T843" s="792"/>
      <c r="U843" s="792"/>
      <c r="V843" s="793"/>
      <c r="W843" s="792"/>
      <c r="X843" s="792"/>
      <c r="Y843" s="792"/>
      <c r="Z843" s="792"/>
      <c r="AA843" s="792"/>
    </row>
    <row r="844" spans="1:27" ht="15.75" customHeight="1">
      <c r="A844" s="792"/>
      <c r="B844" s="792"/>
      <c r="C844" s="792"/>
      <c r="D844" s="792"/>
      <c r="E844" s="792"/>
      <c r="F844" s="792"/>
      <c r="G844" s="792"/>
      <c r="H844" s="792"/>
      <c r="I844" s="792"/>
      <c r="J844" s="792"/>
      <c r="K844" s="792"/>
      <c r="L844" s="792"/>
      <c r="M844" s="792"/>
      <c r="N844" s="792"/>
      <c r="O844" s="792"/>
      <c r="P844" s="792"/>
      <c r="Q844" s="792"/>
      <c r="R844" s="792"/>
      <c r="S844" s="792"/>
      <c r="T844" s="792"/>
      <c r="U844" s="792"/>
      <c r="V844" s="793"/>
      <c r="W844" s="792"/>
      <c r="X844" s="792"/>
      <c r="Y844" s="792"/>
      <c r="Z844" s="792"/>
      <c r="AA844" s="792"/>
    </row>
    <row r="845" spans="1:27" ht="15.75" customHeight="1">
      <c r="A845" s="792"/>
      <c r="B845" s="792"/>
      <c r="C845" s="792"/>
      <c r="D845" s="792"/>
      <c r="E845" s="792"/>
      <c r="F845" s="792"/>
      <c r="G845" s="792"/>
      <c r="H845" s="792"/>
      <c r="I845" s="792"/>
      <c r="J845" s="792"/>
      <c r="K845" s="792"/>
      <c r="L845" s="792"/>
      <c r="M845" s="792"/>
      <c r="N845" s="792"/>
      <c r="O845" s="792"/>
      <c r="P845" s="792"/>
      <c r="Q845" s="792"/>
      <c r="R845" s="792"/>
      <c r="S845" s="792"/>
      <c r="T845" s="792"/>
      <c r="U845" s="792"/>
      <c r="V845" s="793"/>
      <c r="W845" s="792"/>
      <c r="X845" s="792"/>
      <c r="Y845" s="792"/>
      <c r="Z845" s="792"/>
      <c r="AA845" s="792"/>
    </row>
    <row r="846" spans="1:27" ht="15.75" customHeight="1">
      <c r="A846" s="792"/>
      <c r="B846" s="792"/>
      <c r="C846" s="792"/>
      <c r="D846" s="792"/>
      <c r="E846" s="792"/>
      <c r="F846" s="792"/>
      <c r="G846" s="792"/>
      <c r="H846" s="792"/>
      <c r="I846" s="792"/>
      <c r="J846" s="792"/>
      <c r="K846" s="792"/>
      <c r="L846" s="792"/>
      <c r="M846" s="792"/>
      <c r="N846" s="792"/>
      <c r="O846" s="792"/>
      <c r="P846" s="792"/>
      <c r="Q846" s="792"/>
      <c r="R846" s="792"/>
      <c r="S846" s="792"/>
      <c r="T846" s="792"/>
      <c r="U846" s="792"/>
      <c r="V846" s="793"/>
      <c r="W846" s="792"/>
      <c r="X846" s="792"/>
      <c r="Y846" s="792"/>
      <c r="Z846" s="792"/>
      <c r="AA846" s="792"/>
    </row>
    <row r="847" spans="1:27" ht="15.75" customHeight="1">
      <c r="A847" s="792"/>
      <c r="B847" s="792"/>
      <c r="C847" s="792"/>
      <c r="D847" s="792"/>
      <c r="E847" s="792"/>
      <c r="F847" s="792"/>
      <c r="G847" s="792"/>
      <c r="H847" s="792"/>
      <c r="I847" s="792"/>
      <c r="J847" s="792"/>
      <c r="K847" s="792"/>
      <c r="L847" s="792"/>
      <c r="M847" s="792"/>
      <c r="N847" s="792"/>
      <c r="O847" s="792"/>
      <c r="P847" s="792"/>
      <c r="Q847" s="792"/>
      <c r="R847" s="792"/>
      <c r="S847" s="792"/>
      <c r="T847" s="792"/>
      <c r="U847" s="792"/>
      <c r="V847" s="793"/>
      <c r="W847" s="792"/>
      <c r="X847" s="792"/>
      <c r="Y847" s="792"/>
      <c r="Z847" s="792"/>
      <c r="AA847" s="792"/>
    </row>
    <row r="848" spans="1:27" ht="15.75" customHeight="1">
      <c r="A848" s="792"/>
      <c r="B848" s="792"/>
      <c r="C848" s="792"/>
      <c r="D848" s="792"/>
      <c r="E848" s="792"/>
      <c r="F848" s="792"/>
      <c r="G848" s="792"/>
      <c r="H848" s="792"/>
      <c r="I848" s="792"/>
      <c r="J848" s="792"/>
      <c r="K848" s="792"/>
      <c r="L848" s="792"/>
      <c r="M848" s="792"/>
      <c r="N848" s="792"/>
      <c r="O848" s="792"/>
      <c r="P848" s="792"/>
      <c r="Q848" s="792"/>
      <c r="R848" s="792"/>
      <c r="S848" s="792"/>
      <c r="T848" s="792"/>
      <c r="U848" s="792"/>
      <c r="V848" s="793"/>
      <c r="W848" s="792"/>
      <c r="X848" s="792"/>
      <c r="Y848" s="792"/>
      <c r="Z848" s="792"/>
      <c r="AA848" s="792"/>
    </row>
    <row r="849" spans="1:27" ht="15.75" customHeight="1">
      <c r="A849" s="792"/>
      <c r="B849" s="792"/>
      <c r="C849" s="792"/>
      <c r="D849" s="792"/>
      <c r="E849" s="792"/>
      <c r="F849" s="792"/>
      <c r="G849" s="792"/>
      <c r="H849" s="792"/>
      <c r="I849" s="792"/>
      <c r="J849" s="792"/>
      <c r="K849" s="792"/>
      <c r="L849" s="792"/>
      <c r="M849" s="792"/>
      <c r="N849" s="792"/>
      <c r="O849" s="792"/>
      <c r="P849" s="792"/>
      <c r="Q849" s="792"/>
      <c r="R849" s="792"/>
      <c r="S849" s="792"/>
      <c r="T849" s="792"/>
      <c r="U849" s="792"/>
      <c r="V849" s="793"/>
      <c r="W849" s="792"/>
      <c r="X849" s="792"/>
      <c r="Y849" s="792"/>
      <c r="Z849" s="792"/>
      <c r="AA849" s="792"/>
    </row>
    <row r="850" spans="1:27" ht="15.75" customHeight="1">
      <c r="A850" s="792"/>
      <c r="B850" s="792"/>
      <c r="C850" s="792"/>
      <c r="D850" s="792"/>
      <c r="E850" s="792"/>
      <c r="F850" s="792"/>
      <c r="G850" s="792"/>
      <c r="H850" s="792"/>
      <c r="I850" s="792"/>
      <c r="J850" s="792"/>
      <c r="K850" s="792"/>
      <c r="L850" s="792"/>
      <c r="M850" s="792"/>
      <c r="N850" s="792"/>
      <c r="O850" s="792"/>
      <c r="P850" s="792"/>
      <c r="Q850" s="792"/>
      <c r="R850" s="792"/>
      <c r="S850" s="792"/>
      <c r="T850" s="792"/>
      <c r="U850" s="792"/>
      <c r="V850" s="793"/>
      <c r="W850" s="792"/>
      <c r="X850" s="792"/>
      <c r="Y850" s="792"/>
      <c r="Z850" s="792"/>
      <c r="AA850" s="792"/>
    </row>
    <row r="851" spans="1:27" ht="15.75" customHeight="1">
      <c r="A851" s="792"/>
      <c r="B851" s="792"/>
      <c r="C851" s="792"/>
      <c r="D851" s="792"/>
      <c r="E851" s="792"/>
      <c r="F851" s="792"/>
      <c r="G851" s="792"/>
      <c r="H851" s="792"/>
      <c r="I851" s="792"/>
      <c r="J851" s="792"/>
      <c r="K851" s="792"/>
      <c r="L851" s="792"/>
      <c r="M851" s="792"/>
      <c r="N851" s="792"/>
      <c r="O851" s="792"/>
      <c r="P851" s="792"/>
      <c r="Q851" s="792"/>
      <c r="R851" s="792"/>
      <c r="S851" s="792"/>
      <c r="T851" s="792"/>
      <c r="U851" s="792"/>
      <c r="V851" s="793"/>
      <c r="W851" s="792"/>
      <c r="X851" s="792"/>
      <c r="Y851" s="792"/>
      <c r="Z851" s="792"/>
      <c r="AA851" s="792"/>
    </row>
    <row r="852" spans="1:27" ht="15.75" customHeight="1">
      <c r="A852" s="792"/>
      <c r="B852" s="792"/>
      <c r="C852" s="792"/>
      <c r="D852" s="792"/>
      <c r="E852" s="792"/>
      <c r="F852" s="792"/>
      <c r="G852" s="792"/>
      <c r="H852" s="792"/>
      <c r="I852" s="792"/>
      <c r="J852" s="792"/>
      <c r="K852" s="792"/>
      <c r="L852" s="792"/>
      <c r="M852" s="792"/>
      <c r="N852" s="792"/>
      <c r="O852" s="792"/>
      <c r="P852" s="792"/>
      <c r="Q852" s="792"/>
      <c r="R852" s="792"/>
      <c r="S852" s="792"/>
      <c r="T852" s="792"/>
      <c r="U852" s="792"/>
      <c r="V852" s="793"/>
      <c r="W852" s="792"/>
      <c r="X852" s="792"/>
      <c r="Y852" s="792"/>
      <c r="Z852" s="792"/>
      <c r="AA852" s="792"/>
    </row>
    <row r="853" spans="1:27" ht="15.75" customHeight="1">
      <c r="A853" s="792"/>
      <c r="B853" s="792"/>
      <c r="C853" s="792"/>
      <c r="D853" s="792"/>
      <c r="E853" s="792"/>
      <c r="F853" s="792"/>
      <c r="G853" s="792"/>
      <c r="H853" s="792"/>
      <c r="I853" s="792"/>
      <c r="J853" s="792"/>
      <c r="K853" s="792"/>
      <c r="L853" s="792"/>
      <c r="M853" s="792"/>
      <c r="N853" s="792"/>
      <c r="O853" s="792"/>
      <c r="P853" s="792"/>
      <c r="Q853" s="792"/>
      <c r="R853" s="792"/>
      <c r="S853" s="792"/>
      <c r="T853" s="792"/>
      <c r="U853" s="792"/>
      <c r="V853" s="793"/>
      <c r="W853" s="792"/>
      <c r="X853" s="792"/>
      <c r="Y853" s="792"/>
      <c r="Z853" s="792"/>
      <c r="AA853" s="792"/>
    </row>
    <row r="854" spans="1:27" ht="15.75" customHeight="1">
      <c r="A854" s="792"/>
      <c r="B854" s="792"/>
      <c r="C854" s="792"/>
      <c r="D854" s="792"/>
      <c r="E854" s="792"/>
      <c r="F854" s="792"/>
      <c r="G854" s="792"/>
      <c r="H854" s="792"/>
      <c r="I854" s="792"/>
      <c r="J854" s="792"/>
      <c r="K854" s="792"/>
      <c r="L854" s="792"/>
      <c r="M854" s="792"/>
      <c r="N854" s="792"/>
      <c r="O854" s="792"/>
      <c r="P854" s="792"/>
      <c r="Q854" s="792"/>
      <c r="R854" s="792"/>
      <c r="S854" s="792"/>
      <c r="T854" s="792"/>
      <c r="U854" s="792"/>
      <c r="V854" s="793"/>
      <c r="W854" s="792"/>
      <c r="X854" s="792"/>
      <c r="Y854" s="792"/>
      <c r="Z854" s="792"/>
      <c r="AA854" s="792"/>
    </row>
    <row r="855" spans="1:27" ht="15.75" customHeight="1">
      <c r="A855" s="792"/>
      <c r="B855" s="792"/>
      <c r="C855" s="792"/>
      <c r="D855" s="792"/>
      <c r="E855" s="792"/>
      <c r="F855" s="792"/>
      <c r="G855" s="792"/>
      <c r="H855" s="792"/>
      <c r="I855" s="792"/>
      <c r="J855" s="792"/>
      <c r="K855" s="792"/>
      <c r="L855" s="792"/>
      <c r="M855" s="792"/>
      <c r="N855" s="792"/>
      <c r="O855" s="792"/>
      <c r="P855" s="792"/>
      <c r="Q855" s="792"/>
      <c r="R855" s="792"/>
      <c r="S855" s="792"/>
      <c r="T855" s="792"/>
      <c r="U855" s="792"/>
      <c r="V855" s="793"/>
      <c r="W855" s="792"/>
      <c r="X855" s="792"/>
      <c r="Y855" s="792"/>
      <c r="Z855" s="792"/>
      <c r="AA855" s="792"/>
    </row>
    <row r="856" spans="1:27" ht="15.75" customHeight="1">
      <c r="A856" s="792"/>
      <c r="B856" s="792"/>
      <c r="C856" s="792"/>
      <c r="D856" s="792"/>
      <c r="E856" s="792"/>
      <c r="F856" s="792"/>
      <c r="G856" s="792"/>
      <c r="H856" s="792"/>
      <c r="I856" s="792"/>
      <c r="J856" s="792"/>
      <c r="K856" s="792"/>
      <c r="L856" s="792"/>
      <c r="M856" s="792"/>
      <c r="N856" s="792"/>
      <c r="O856" s="792"/>
      <c r="P856" s="792"/>
      <c r="Q856" s="792"/>
      <c r="R856" s="792"/>
      <c r="S856" s="792"/>
      <c r="T856" s="792"/>
      <c r="U856" s="792"/>
      <c r="V856" s="793"/>
      <c r="W856" s="792"/>
      <c r="X856" s="792"/>
      <c r="Y856" s="792"/>
      <c r="Z856" s="792"/>
      <c r="AA856" s="792"/>
    </row>
    <row r="857" spans="1:27" ht="15.75" customHeight="1">
      <c r="A857" s="792"/>
      <c r="B857" s="792"/>
      <c r="C857" s="792"/>
      <c r="D857" s="792"/>
      <c r="E857" s="792"/>
      <c r="F857" s="792"/>
      <c r="G857" s="792"/>
      <c r="H857" s="792"/>
      <c r="I857" s="792"/>
      <c r="J857" s="792"/>
      <c r="K857" s="792"/>
      <c r="L857" s="792"/>
      <c r="M857" s="792"/>
      <c r="N857" s="792"/>
      <c r="O857" s="792"/>
      <c r="P857" s="792"/>
      <c r="Q857" s="792"/>
      <c r="R857" s="792"/>
      <c r="S857" s="792"/>
      <c r="T857" s="792"/>
      <c r="U857" s="792"/>
      <c r="V857" s="793"/>
      <c r="W857" s="792"/>
      <c r="X857" s="792"/>
      <c r="Y857" s="792"/>
      <c r="Z857" s="792"/>
      <c r="AA857" s="792"/>
    </row>
    <row r="858" spans="1:27" ht="15.75" customHeight="1">
      <c r="A858" s="792"/>
      <c r="B858" s="792"/>
      <c r="C858" s="792"/>
      <c r="D858" s="792"/>
      <c r="E858" s="792"/>
      <c r="F858" s="792"/>
      <c r="G858" s="792"/>
      <c r="H858" s="792"/>
      <c r="I858" s="792"/>
      <c r="J858" s="792"/>
      <c r="K858" s="792"/>
      <c r="L858" s="792"/>
      <c r="M858" s="792"/>
      <c r="N858" s="792"/>
      <c r="O858" s="792"/>
      <c r="P858" s="792"/>
      <c r="Q858" s="792"/>
      <c r="R858" s="792"/>
      <c r="S858" s="792"/>
      <c r="T858" s="792"/>
      <c r="U858" s="792"/>
      <c r="V858" s="793"/>
      <c r="W858" s="792"/>
      <c r="X858" s="792"/>
      <c r="Y858" s="792"/>
      <c r="Z858" s="792"/>
      <c r="AA858" s="792"/>
    </row>
    <row r="859" spans="1:27" ht="15.75" customHeight="1">
      <c r="A859" s="792"/>
      <c r="B859" s="792"/>
      <c r="C859" s="792"/>
      <c r="D859" s="792"/>
      <c r="E859" s="792"/>
      <c r="F859" s="792"/>
      <c r="G859" s="792"/>
      <c r="H859" s="792"/>
      <c r="I859" s="792"/>
      <c r="J859" s="792"/>
      <c r="K859" s="792"/>
      <c r="L859" s="792"/>
      <c r="M859" s="792"/>
      <c r="N859" s="792"/>
      <c r="O859" s="792"/>
      <c r="P859" s="792"/>
      <c r="Q859" s="792"/>
      <c r="R859" s="792"/>
      <c r="S859" s="792"/>
      <c r="T859" s="792"/>
      <c r="U859" s="792"/>
      <c r="V859" s="793"/>
      <c r="W859" s="792"/>
      <c r="X859" s="792"/>
      <c r="Y859" s="792"/>
      <c r="Z859" s="792"/>
      <c r="AA859" s="792"/>
    </row>
    <row r="860" spans="1:27" ht="15.75" customHeight="1">
      <c r="A860" s="792"/>
      <c r="B860" s="792"/>
      <c r="C860" s="792"/>
      <c r="D860" s="792"/>
      <c r="E860" s="792"/>
      <c r="F860" s="792"/>
      <c r="G860" s="792"/>
      <c r="H860" s="792"/>
      <c r="I860" s="792"/>
      <c r="J860" s="792"/>
      <c r="K860" s="792"/>
      <c r="L860" s="792"/>
      <c r="M860" s="792"/>
      <c r="N860" s="792"/>
      <c r="O860" s="792"/>
      <c r="P860" s="792"/>
      <c r="Q860" s="792"/>
      <c r="R860" s="792"/>
      <c r="S860" s="792"/>
      <c r="T860" s="792"/>
      <c r="U860" s="792"/>
      <c r="V860" s="793"/>
      <c r="W860" s="792"/>
      <c r="X860" s="792"/>
      <c r="Y860" s="792"/>
      <c r="Z860" s="792"/>
      <c r="AA860" s="792"/>
    </row>
    <row r="861" spans="1:27" ht="15.75" customHeight="1">
      <c r="A861" s="792"/>
      <c r="B861" s="792"/>
      <c r="C861" s="792"/>
      <c r="D861" s="792"/>
      <c r="E861" s="792"/>
      <c r="F861" s="792"/>
      <c r="G861" s="792"/>
      <c r="H861" s="792"/>
      <c r="I861" s="792"/>
      <c r="J861" s="792"/>
      <c r="K861" s="792"/>
      <c r="L861" s="792"/>
      <c r="M861" s="792"/>
      <c r="N861" s="792"/>
      <c r="O861" s="792"/>
      <c r="P861" s="792"/>
      <c r="Q861" s="792"/>
      <c r="R861" s="792"/>
      <c r="S861" s="792"/>
      <c r="T861" s="792"/>
      <c r="U861" s="792"/>
      <c r="V861" s="793"/>
      <c r="W861" s="792"/>
      <c r="X861" s="792"/>
      <c r="Y861" s="792"/>
      <c r="Z861" s="792"/>
      <c r="AA861" s="792"/>
    </row>
    <row r="862" spans="1:27" ht="15.75" customHeight="1">
      <c r="A862" s="792"/>
      <c r="B862" s="792"/>
      <c r="C862" s="792"/>
      <c r="D862" s="792"/>
      <c r="E862" s="792"/>
      <c r="F862" s="792"/>
      <c r="G862" s="792"/>
      <c r="H862" s="792"/>
      <c r="I862" s="792"/>
      <c r="J862" s="792"/>
      <c r="K862" s="792"/>
      <c r="L862" s="792"/>
      <c r="M862" s="792"/>
      <c r="N862" s="792"/>
      <c r="O862" s="792"/>
      <c r="P862" s="792"/>
      <c r="Q862" s="792"/>
      <c r="R862" s="792"/>
      <c r="S862" s="792"/>
      <c r="T862" s="792"/>
      <c r="U862" s="792"/>
      <c r="V862" s="793"/>
      <c r="W862" s="792"/>
      <c r="X862" s="792"/>
      <c r="Y862" s="792"/>
      <c r="Z862" s="792"/>
      <c r="AA862" s="792"/>
    </row>
    <row r="863" spans="1:27" ht="15.75" customHeight="1">
      <c r="A863" s="792"/>
      <c r="B863" s="792"/>
      <c r="C863" s="792"/>
      <c r="D863" s="792"/>
      <c r="E863" s="792"/>
      <c r="F863" s="792"/>
      <c r="G863" s="792"/>
      <c r="H863" s="792"/>
      <c r="I863" s="792"/>
      <c r="J863" s="792"/>
      <c r="K863" s="792"/>
      <c r="L863" s="792"/>
      <c r="M863" s="792"/>
      <c r="N863" s="792"/>
      <c r="O863" s="792"/>
      <c r="P863" s="792"/>
      <c r="Q863" s="792"/>
      <c r="R863" s="792"/>
      <c r="S863" s="792"/>
      <c r="T863" s="792"/>
      <c r="U863" s="792"/>
      <c r="V863" s="793"/>
      <c r="W863" s="792"/>
      <c r="X863" s="792"/>
      <c r="Y863" s="792"/>
      <c r="Z863" s="792"/>
      <c r="AA863" s="792"/>
    </row>
    <row r="864" spans="1:27" ht="15.75" customHeight="1">
      <c r="A864" s="792"/>
      <c r="B864" s="792"/>
      <c r="C864" s="792"/>
      <c r="D864" s="792"/>
      <c r="E864" s="792"/>
      <c r="F864" s="792"/>
      <c r="G864" s="792"/>
      <c r="H864" s="792"/>
      <c r="I864" s="792"/>
      <c r="J864" s="792"/>
      <c r="K864" s="792"/>
      <c r="L864" s="792"/>
      <c r="M864" s="792"/>
      <c r="N864" s="792"/>
      <c r="O864" s="792"/>
      <c r="P864" s="792"/>
      <c r="Q864" s="792"/>
      <c r="R864" s="792"/>
      <c r="S864" s="792"/>
      <c r="T864" s="792"/>
      <c r="U864" s="792"/>
      <c r="V864" s="793"/>
      <c r="W864" s="792"/>
      <c r="X864" s="792"/>
      <c r="Y864" s="792"/>
      <c r="Z864" s="792"/>
      <c r="AA864" s="792"/>
    </row>
    <row r="865" spans="1:27" ht="15.75" customHeight="1">
      <c r="A865" s="792"/>
      <c r="B865" s="792"/>
      <c r="C865" s="792"/>
      <c r="D865" s="792"/>
      <c r="E865" s="792"/>
      <c r="F865" s="792"/>
      <c r="G865" s="792"/>
      <c r="H865" s="792"/>
      <c r="I865" s="792"/>
      <c r="J865" s="792"/>
      <c r="K865" s="792"/>
      <c r="L865" s="792"/>
      <c r="M865" s="792"/>
      <c r="N865" s="792"/>
      <c r="O865" s="792"/>
      <c r="P865" s="792"/>
      <c r="Q865" s="792"/>
      <c r="R865" s="792"/>
      <c r="S865" s="792"/>
      <c r="T865" s="792"/>
      <c r="U865" s="792"/>
      <c r="V865" s="793"/>
      <c r="W865" s="792"/>
      <c r="X865" s="792"/>
      <c r="Y865" s="792"/>
      <c r="Z865" s="792"/>
      <c r="AA865" s="792"/>
    </row>
    <row r="866" spans="1:27" ht="15.75" customHeight="1">
      <c r="A866" s="792"/>
      <c r="B866" s="792"/>
      <c r="C866" s="792"/>
      <c r="D866" s="792"/>
      <c r="E866" s="792"/>
      <c r="F866" s="792"/>
      <c r="G866" s="792"/>
      <c r="H866" s="792"/>
      <c r="I866" s="792"/>
      <c r="J866" s="792"/>
      <c r="K866" s="792"/>
      <c r="L866" s="792"/>
      <c r="M866" s="792"/>
      <c r="N866" s="792"/>
      <c r="O866" s="792"/>
      <c r="P866" s="792"/>
      <c r="Q866" s="792"/>
      <c r="R866" s="792"/>
      <c r="S866" s="792"/>
      <c r="T866" s="792"/>
      <c r="U866" s="792"/>
      <c r="V866" s="793"/>
      <c r="W866" s="792"/>
      <c r="X866" s="792"/>
      <c r="Y866" s="792"/>
      <c r="Z866" s="792"/>
      <c r="AA866" s="792"/>
    </row>
    <row r="867" spans="1:27" ht="15.75" customHeight="1">
      <c r="A867" s="792"/>
      <c r="B867" s="792"/>
      <c r="C867" s="792"/>
      <c r="D867" s="792"/>
      <c r="E867" s="792"/>
      <c r="F867" s="792"/>
      <c r="G867" s="792"/>
      <c r="H867" s="792"/>
      <c r="I867" s="792"/>
      <c r="J867" s="792"/>
      <c r="K867" s="792"/>
      <c r="L867" s="792"/>
      <c r="M867" s="792"/>
      <c r="N867" s="792"/>
      <c r="O867" s="792"/>
      <c r="P867" s="792"/>
      <c r="Q867" s="792"/>
      <c r="R867" s="792"/>
      <c r="S867" s="792"/>
      <c r="T867" s="792"/>
      <c r="U867" s="792"/>
      <c r="V867" s="793"/>
      <c r="W867" s="792"/>
      <c r="X867" s="792"/>
      <c r="Y867" s="792"/>
      <c r="Z867" s="792"/>
      <c r="AA867" s="792"/>
    </row>
    <row r="868" spans="1:27" ht="15.75" customHeight="1">
      <c r="A868" s="792"/>
      <c r="B868" s="792"/>
      <c r="C868" s="792"/>
      <c r="D868" s="792"/>
      <c r="E868" s="792"/>
      <c r="F868" s="792"/>
      <c r="G868" s="792"/>
      <c r="H868" s="792"/>
      <c r="I868" s="792"/>
      <c r="J868" s="792"/>
      <c r="K868" s="792"/>
      <c r="L868" s="792"/>
      <c r="M868" s="792"/>
      <c r="N868" s="792"/>
      <c r="O868" s="792"/>
      <c r="P868" s="792"/>
      <c r="Q868" s="792"/>
      <c r="R868" s="792"/>
      <c r="S868" s="792"/>
      <c r="T868" s="792"/>
      <c r="U868" s="792"/>
      <c r="V868" s="793"/>
      <c r="W868" s="792"/>
      <c r="X868" s="792"/>
      <c r="Y868" s="792"/>
      <c r="Z868" s="792"/>
      <c r="AA868" s="792"/>
    </row>
    <row r="869" spans="1:27" ht="15.75" customHeight="1">
      <c r="A869" s="792"/>
      <c r="B869" s="792"/>
      <c r="C869" s="792"/>
      <c r="D869" s="792"/>
      <c r="E869" s="792"/>
      <c r="F869" s="792"/>
      <c r="G869" s="792"/>
      <c r="H869" s="792"/>
      <c r="I869" s="792"/>
      <c r="J869" s="792"/>
      <c r="K869" s="792"/>
      <c r="L869" s="792"/>
      <c r="M869" s="792"/>
      <c r="N869" s="792"/>
      <c r="O869" s="792"/>
      <c r="P869" s="792"/>
      <c r="Q869" s="792"/>
      <c r="R869" s="792"/>
      <c r="S869" s="792"/>
      <c r="T869" s="792"/>
      <c r="U869" s="792"/>
      <c r="V869" s="793"/>
      <c r="W869" s="792"/>
      <c r="X869" s="792"/>
      <c r="Y869" s="792"/>
      <c r="Z869" s="792"/>
      <c r="AA869" s="792"/>
    </row>
    <row r="870" spans="1:27" ht="15.75" customHeight="1">
      <c r="A870" s="792"/>
      <c r="B870" s="792"/>
      <c r="C870" s="792"/>
      <c r="D870" s="792"/>
      <c r="E870" s="792"/>
      <c r="F870" s="792"/>
      <c r="G870" s="792"/>
      <c r="H870" s="792"/>
      <c r="I870" s="792"/>
      <c r="J870" s="792"/>
      <c r="K870" s="792"/>
      <c r="L870" s="792"/>
      <c r="M870" s="792"/>
      <c r="N870" s="792"/>
      <c r="O870" s="792"/>
      <c r="P870" s="792"/>
      <c r="Q870" s="792"/>
      <c r="R870" s="792"/>
      <c r="S870" s="792"/>
      <c r="T870" s="792"/>
      <c r="U870" s="792"/>
      <c r="V870" s="793"/>
      <c r="W870" s="792"/>
      <c r="X870" s="792"/>
      <c r="Y870" s="792"/>
      <c r="Z870" s="792"/>
      <c r="AA870" s="792"/>
    </row>
    <row r="871" spans="1:27" ht="15.75" customHeight="1">
      <c r="A871" s="792"/>
      <c r="B871" s="792"/>
      <c r="C871" s="792"/>
      <c r="D871" s="792"/>
      <c r="E871" s="792"/>
      <c r="F871" s="792"/>
      <c r="G871" s="792"/>
      <c r="H871" s="792"/>
      <c r="I871" s="792"/>
      <c r="J871" s="792"/>
      <c r="K871" s="792"/>
      <c r="L871" s="792"/>
      <c r="M871" s="792"/>
      <c r="N871" s="792"/>
      <c r="O871" s="792"/>
      <c r="P871" s="792"/>
      <c r="Q871" s="792"/>
      <c r="R871" s="792"/>
      <c r="S871" s="792"/>
      <c r="T871" s="792"/>
      <c r="U871" s="792"/>
      <c r="V871" s="793"/>
      <c r="W871" s="792"/>
      <c r="X871" s="792"/>
      <c r="Y871" s="792"/>
      <c r="Z871" s="792"/>
      <c r="AA871" s="792"/>
    </row>
    <row r="872" spans="1:27" ht="15.75" customHeight="1">
      <c r="A872" s="792"/>
      <c r="B872" s="792"/>
      <c r="C872" s="792"/>
      <c r="D872" s="792"/>
      <c r="E872" s="792"/>
      <c r="F872" s="792"/>
      <c r="G872" s="792"/>
      <c r="H872" s="792"/>
      <c r="I872" s="792"/>
      <c r="J872" s="792"/>
      <c r="K872" s="792"/>
      <c r="L872" s="792"/>
      <c r="M872" s="792"/>
      <c r="N872" s="792"/>
      <c r="O872" s="792"/>
      <c r="P872" s="792"/>
      <c r="Q872" s="792"/>
      <c r="R872" s="792"/>
      <c r="S872" s="792"/>
      <c r="T872" s="792"/>
      <c r="U872" s="792"/>
      <c r="V872" s="793"/>
      <c r="W872" s="792"/>
      <c r="X872" s="792"/>
      <c r="Y872" s="792"/>
      <c r="Z872" s="792"/>
      <c r="AA872" s="792"/>
    </row>
    <row r="873" spans="1:27" ht="15.75" customHeight="1">
      <c r="A873" s="792"/>
      <c r="B873" s="792"/>
      <c r="C873" s="792"/>
      <c r="D873" s="792"/>
      <c r="E873" s="792"/>
      <c r="F873" s="792"/>
      <c r="G873" s="792"/>
      <c r="H873" s="792"/>
      <c r="I873" s="792"/>
      <c r="J873" s="792"/>
      <c r="K873" s="792"/>
      <c r="L873" s="792"/>
      <c r="M873" s="792"/>
      <c r="N873" s="792"/>
      <c r="O873" s="792"/>
      <c r="P873" s="792"/>
      <c r="Q873" s="792"/>
      <c r="R873" s="792"/>
      <c r="S873" s="792"/>
      <c r="T873" s="792"/>
      <c r="U873" s="792"/>
      <c r="V873" s="793"/>
      <c r="W873" s="792"/>
      <c r="X873" s="792"/>
      <c r="Y873" s="792"/>
      <c r="Z873" s="792"/>
      <c r="AA873" s="792"/>
    </row>
    <row r="874" spans="1:27" ht="15.75" customHeight="1">
      <c r="A874" s="792"/>
      <c r="B874" s="792"/>
      <c r="C874" s="792"/>
      <c r="D874" s="792"/>
      <c r="E874" s="792"/>
      <c r="F874" s="792"/>
      <c r="G874" s="792"/>
      <c r="H874" s="792"/>
      <c r="I874" s="792"/>
      <c r="J874" s="792"/>
      <c r="K874" s="792"/>
      <c r="L874" s="792"/>
      <c r="M874" s="792"/>
      <c r="N874" s="792"/>
      <c r="O874" s="792"/>
      <c r="P874" s="792"/>
      <c r="Q874" s="792"/>
      <c r="R874" s="792"/>
      <c r="S874" s="792"/>
      <c r="T874" s="792"/>
      <c r="U874" s="792"/>
      <c r="V874" s="793"/>
      <c r="W874" s="792"/>
      <c r="X874" s="792"/>
      <c r="Y874" s="792"/>
      <c r="Z874" s="792"/>
      <c r="AA874" s="792"/>
    </row>
    <row r="875" spans="1:27" ht="15.75" customHeight="1">
      <c r="A875" s="792"/>
      <c r="B875" s="792"/>
      <c r="C875" s="792"/>
      <c r="D875" s="792"/>
      <c r="E875" s="792"/>
      <c r="F875" s="792"/>
      <c r="G875" s="792"/>
      <c r="H875" s="792"/>
      <c r="I875" s="792"/>
      <c r="J875" s="792"/>
      <c r="K875" s="792"/>
      <c r="L875" s="792"/>
      <c r="M875" s="792"/>
      <c r="N875" s="792"/>
      <c r="O875" s="792"/>
      <c r="P875" s="792"/>
      <c r="Q875" s="792"/>
      <c r="R875" s="792"/>
      <c r="S875" s="792"/>
      <c r="T875" s="792"/>
      <c r="U875" s="792"/>
      <c r="V875" s="793"/>
      <c r="W875" s="792"/>
      <c r="X875" s="792"/>
      <c r="Y875" s="792"/>
      <c r="Z875" s="792"/>
      <c r="AA875" s="792"/>
    </row>
    <row r="876" spans="1:27" ht="15.75" customHeight="1">
      <c r="A876" s="792"/>
      <c r="B876" s="792"/>
      <c r="C876" s="792"/>
      <c r="D876" s="792"/>
      <c r="E876" s="792"/>
      <c r="F876" s="792"/>
      <c r="G876" s="792"/>
      <c r="H876" s="792"/>
      <c r="I876" s="792"/>
      <c r="J876" s="792"/>
      <c r="K876" s="792"/>
      <c r="L876" s="792"/>
      <c r="M876" s="792"/>
      <c r="N876" s="792"/>
      <c r="O876" s="792"/>
      <c r="P876" s="792"/>
      <c r="Q876" s="792"/>
      <c r="R876" s="792"/>
      <c r="S876" s="792"/>
      <c r="T876" s="792"/>
      <c r="U876" s="792"/>
      <c r="V876" s="793"/>
      <c r="W876" s="792"/>
      <c r="X876" s="792"/>
      <c r="Y876" s="792"/>
      <c r="Z876" s="792"/>
      <c r="AA876" s="792"/>
    </row>
    <row r="877" spans="1:27" ht="15.75" customHeight="1">
      <c r="A877" s="792"/>
      <c r="B877" s="792"/>
      <c r="C877" s="792"/>
      <c r="D877" s="792"/>
      <c r="E877" s="792"/>
      <c r="F877" s="792"/>
      <c r="G877" s="792"/>
      <c r="H877" s="792"/>
      <c r="I877" s="792"/>
      <c r="J877" s="792"/>
      <c r="K877" s="792"/>
      <c r="L877" s="792"/>
      <c r="M877" s="792"/>
      <c r="N877" s="792"/>
      <c r="O877" s="792"/>
      <c r="P877" s="792"/>
      <c r="Q877" s="792"/>
      <c r="R877" s="792"/>
      <c r="S877" s="792"/>
      <c r="T877" s="792"/>
      <c r="U877" s="792"/>
      <c r="V877" s="793"/>
      <c r="W877" s="792"/>
      <c r="X877" s="792"/>
      <c r="Y877" s="792"/>
      <c r="Z877" s="792"/>
      <c r="AA877" s="792"/>
    </row>
    <row r="878" spans="1:27" ht="15.75" customHeight="1">
      <c r="A878" s="792"/>
      <c r="B878" s="792"/>
      <c r="C878" s="792"/>
      <c r="D878" s="792"/>
      <c r="E878" s="792"/>
      <c r="F878" s="792"/>
      <c r="G878" s="792"/>
      <c r="H878" s="792"/>
      <c r="I878" s="792"/>
      <c r="J878" s="792"/>
      <c r="K878" s="792"/>
      <c r="L878" s="792"/>
      <c r="M878" s="792"/>
      <c r="N878" s="792"/>
      <c r="O878" s="792"/>
      <c r="P878" s="792"/>
      <c r="Q878" s="792"/>
      <c r="R878" s="792"/>
      <c r="S878" s="792"/>
      <c r="T878" s="792"/>
      <c r="U878" s="792"/>
      <c r="V878" s="793"/>
      <c r="W878" s="792"/>
      <c r="X878" s="792"/>
      <c r="Y878" s="792"/>
      <c r="Z878" s="792"/>
      <c r="AA878" s="792"/>
    </row>
    <row r="879" spans="1:27" ht="15.75" customHeight="1">
      <c r="A879" s="792"/>
      <c r="B879" s="792"/>
      <c r="C879" s="792"/>
      <c r="D879" s="792"/>
      <c r="E879" s="792"/>
      <c r="F879" s="792"/>
      <c r="G879" s="792"/>
      <c r="H879" s="792"/>
      <c r="I879" s="792"/>
      <c r="J879" s="792"/>
      <c r="K879" s="792"/>
      <c r="L879" s="792"/>
      <c r="M879" s="792"/>
      <c r="N879" s="792"/>
      <c r="O879" s="792"/>
      <c r="P879" s="792"/>
      <c r="Q879" s="792"/>
      <c r="R879" s="792"/>
      <c r="S879" s="792"/>
      <c r="T879" s="792"/>
      <c r="U879" s="792"/>
      <c r="V879" s="793"/>
      <c r="W879" s="792"/>
      <c r="X879" s="792"/>
      <c r="Y879" s="792"/>
      <c r="Z879" s="792"/>
      <c r="AA879" s="792"/>
    </row>
    <row r="880" spans="1:27" ht="15.75" customHeight="1">
      <c r="A880" s="792"/>
      <c r="B880" s="792"/>
      <c r="C880" s="792"/>
      <c r="D880" s="792"/>
      <c r="E880" s="792"/>
      <c r="F880" s="792"/>
      <c r="G880" s="792"/>
      <c r="H880" s="792"/>
      <c r="I880" s="792"/>
      <c r="J880" s="792"/>
      <c r="K880" s="792"/>
      <c r="L880" s="792"/>
      <c r="M880" s="792"/>
      <c r="N880" s="792"/>
      <c r="O880" s="792"/>
      <c r="P880" s="792"/>
      <c r="Q880" s="792"/>
      <c r="R880" s="792"/>
      <c r="S880" s="792"/>
      <c r="T880" s="792"/>
      <c r="U880" s="792"/>
      <c r="V880" s="793"/>
      <c r="W880" s="792"/>
      <c r="X880" s="792"/>
      <c r="Y880" s="792"/>
      <c r="Z880" s="792"/>
      <c r="AA880" s="792"/>
    </row>
    <row r="881" spans="1:27" ht="15.75" customHeight="1">
      <c r="A881" s="792"/>
      <c r="B881" s="792"/>
      <c r="C881" s="792"/>
      <c r="D881" s="792"/>
      <c r="E881" s="792"/>
      <c r="F881" s="792"/>
      <c r="G881" s="792"/>
      <c r="H881" s="792"/>
      <c r="I881" s="792"/>
      <c r="J881" s="792"/>
      <c r="K881" s="792"/>
      <c r="L881" s="792"/>
      <c r="M881" s="792"/>
      <c r="N881" s="792"/>
      <c r="O881" s="792"/>
      <c r="P881" s="792"/>
      <c r="Q881" s="792"/>
      <c r="R881" s="792"/>
      <c r="S881" s="792"/>
      <c r="T881" s="792"/>
      <c r="U881" s="792"/>
      <c r="V881" s="793"/>
      <c r="W881" s="792"/>
      <c r="X881" s="792"/>
      <c r="Y881" s="792"/>
      <c r="Z881" s="792"/>
      <c r="AA881" s="792"/>
    </row>
    <row r="882" spans="1:27" ht="15.75" customHeight="1">
      <c r="A882" s="792"/>
      <c r="B882" s="792"/>
      <c r="C882" s="792"/>
      <c r="D882" s="792"/>
      <c r="E882" s="792"/>
      <c r="F882" s="792"/>
      <c r="G882" s="792"/>
      <c r="H882" s="792"/>
      <c r="I882" s="792"/>
      <c r="J882" s="792"/>
      <c r="K882" s="792"/>
      <c r="L882" s="792"/>
      <c r="M882" s="792"/>
      <c r="N882" s="792"/>
      <c r="O882" s="792"/>
      <c r="P882" s="792"/>
      <c r="Q882" s="792"/>
      <c r="R882" s="792"/>
      <c r="S882" s="792"/>
      <c r="T882" s="792"/>
      <c r="U882" s="792"/>
      <c r="V882" s="793"/>
      <c r="W882" s="792"/>
      <c r="X882" s="792"/>
      <c r="Y882" s="792"/>
      <c r="Z882" s="792"/>
      <c r="AA882" s="792"/>
    </row>
    <row r="883" spans="1:27" ht="15.75" customHeight="1">
      <c r="A883" s="792"/>
      <c r="B883" s="792"/>
      <c r="C883" s="792"/>
      <c r="D883" s="792"/>
      <c r="E883" s="792"/>
      <c r="F883" s="792"/>
      <c r="G883" s="792"/>
      <c r="H883" s="792"/>
      <c r="I883" s="792"/>
      <c r="J883" s="792"/>
      <c r="K883" s="792"/>
      <c r="L883" s="792"/>
      <c r="M883" s="792"/>
      <c r="N883" s="792"/>
      <c r="O883" s="792"/>
      <c r="P883" s="792"/>
      <c r="Q883" s="792"/>
      <c r="R883" s="792"/>
      <c r="S883" s="792"/>
      <c r="T883" s="792"/>
      <c r="U883" s="792"/>
      <c r="V883" s="793"/>
      <c r="W883" s="792"/>
      <c r="X883" s="792"/>
      <c r="Y883" s="792"/>
      <c r="Z883" s="792"/>
      <c r="AA883" s="792"/>
    </row>
    <row r="884" spans="1:27" ht="15.75" customHeight="1">
      <c r="A884" s="792"/>
      <c r="B884" s="792"/>
      <c r="C884" s="792"/>
      <c r="D884" s="792"/>
      <c r="E884" s="792"/>
      <c r="F884" s="792"/>
      <c r="G884" s="792"/>
      <c r="H884" s="792"/>
      <c r="I884" s="792"/>
      <c r="J884" s="792"/>
      <c r="K884" s="792"/>
      <c r="L884" s="792"/>
      <c r="M884" s="792"/>
      <c r="N884" s="792"/>
      <c r="O884" s="792"/>
      <c r="P884" s="792"/>
      <c r="Q884" s="792"/>
      <c r="R884" s="792"/>
      <c r="S884" s="792"/>
      <c r="T884" s="792"/>
      <c r="U884" s="792"/>
      <c r="V884" s="793"/>
      <c r="W884" s="792"/>
      <c r="X884" s="792"/>
      <c r="Y884" s="792"/>
      <c r="Z884" s="792"/>
      <c r="AA884" s="792"/>
    </row>
    <row r="885" spans="1:27" ht="15.75" customHeight="1">
      <c r="A885" s="792"/>
      <c r="B885" s="792"/>
      <c r="C885" s="792"/>
      <c r="D885" s="792"/>
      <c r="E885" s="792"/>
      <c r="F885" s="792"/>
      <c r="G885" s="792"/>
      <c r="H885" s="792"/>
      <c r="I885" s="792"/>
      <c r="J885" s="792"/>
      <c r="K885" s="792"/>
      <c r="L885" s="792"/>
      <c r="M885" s="792"/>
      <c r="N885" s="792"/>
      <c r="O885" s="792"/>
      <c r="P885" s="792"/>
      <c r="Q885" s="792"/>
      <c r="R885" s="792"/>
      <c r="S885" s="792"/>
      <c r="T885" s="792"/>
      <c r="U885" s="792"/>
      <c r="V885" s="793"/>
      <c r="W885" s="792"/>
      <c r="X885" s="792"/>
      <c r="Y885" s="792"/>
      <c r="Z885" s="792"/>
      <c r="AA885" s="792"/>
    </row>
    <row r="886" spans="1:27" ht="15.75" customHeight="1">
      <c r="A886" s="792"/>
      <c r="B886" s="792"/>
      <c r="C886" s="792"/>
      <c r="D886" s="792"/>
      <c r="E886" s="792"/>
      <c r="F886" s="792"/>
      <c r="G886" s="792"/>
      <c r="H886" s="792"/>
      <c r="I886" s="792"/>
      <c r="J886" s="792"/>
      <c r="K886" s="792"/>
      <c r="L886" s="792"/>
      <c r="M886" s="792"/>
      <c r="N886" s="792"/>
      <c r="O886" s="792"/>
      <c r="P886" s="792"/>
      <c r="Q886" s="792"/>
      <c r="R886" s="792"/>
      <c r="S886" s="792"/>
      <c r="T886" s="792"/>
      <c r="U886" s="792"/>
      <c r="V886" s="793"/>
      <c r="W886" s="792"/>
      <c r="X886" s="792"/>
      <c r="Y886" s="792"/>
      <c r="Z886" s="792"/>
      <c r="AA886" s="792"/>
    </row>
    <row r="887" spans="1:27" ht="15.75" customHeight="1">
      <c r="A887" s="792"/>
      <c r="B887" s="792"/>
      <c r="C887" s="792"/>
      <c r="D887" s="792"/>
      <c r="E887" s="792"/>
      <c r="F887" s="792"/>
      <c r="G887" s="792"/>
      <c r="H887" s="792"/>
      <c r="I887" s="792"/>
      <c r="J887" s="792"/>
      <c r="K887" s="792"/>
      <c r="L887" s="792"/>
      <c r="M887" s="792"/>
      <c r="N887" s="792"/>
      <c r="O887" s="792"/>
      <c r="P887" s="792"/>
      <c r="Q887" s="792"/>
      <c r="R887" s="792"/>
      <c r="S887" s="792"/>
      <c r="T887" s="792"/>
      <c r="U887" s="792"/>
      <c r="V887" s="793"/>
      <c r="W887" s="792"/>
      <c r="X887" s="792"/>
      <c r="Y887" s="792"/>
      <c r="Z887" s="792"/>
      <c r="AA887" s="792"/>
    </row>
    <row r="888" spans="1:27" ht="15.75" customHeight="1">
      <c r="A888" s="792"/>
      <c r="B888" s="792"/>
      <c r="C888" s="792"/>
      <c r="D888" s="792"/>
      <c r="E888" s="792"/>
      <c r="F888" s="792"/>
      <c r="G888" s="792"/>
      <c r="H888" s="792"/>
      <c r="I888" s="792"/>
      <c r="J888" s="792"/>
      <c r="K888" s="792"/>
      <c r="L888" s="792"/>
      <c r="M888" s="792"/>
      <c r="N888" s="792"/>
      <c r="O888" s="792"/>
      <c r="P888" s="792"/>
      <c r="Q888" s="792"/>
      <c r="R888" s="792"/>
      <c r="S888" s="792"/>
      <c r="T888" s="792"/>
      <c r="U888" s="792"/>
      <c r="V888" s="793"/>
      <c r="W888" s="792"/>
      <c r="X888" s="792"/>
      <c r="Y888" s="792"/>
      <c r="Z888" s="792"/>
      <c r="AA888" s="792"/>
    </row>
    <row r="889" spans="1:27" ht="15.75" customHeight="1">
      <c r="A889" s="792"/>
      <c r="B889" s="792"/>
      <c r="C889" s="792"/>
      <c r="D889" s="792"/>
      <c r="E889" s="792"/>
      <c r="F889" s="792"/>
      <c r="G889" s="792"/>
      <c r="H889" s="792"/>
      <c r="I889" s="792"/>
      <c r="J889" s="792"/>
      <c r="K889" s="792"/>
      <c r="L889" s="792"/>
      <c r="M889" s="792"/>
      <c r="N889" s="792"/>
      <c r="O889" s="792"/>
      <c r="P889" s="792"/>
      <c r="Q889" s="792"/>
      <c r="R889" s="792"/>
      <c r="S889" s="792"/>
      <c r="T889" s="792"/>
      <c r="U889" s="792"/>
      <c r="V889" s="793"/>
      <c r="W889" s="792"/>
      <c r="X889" s="792"/>
      <c r="Y889" s="792"/>
      <c r="Z889" s="792"/>
      <c r="AA889" s="792"/>
    </row>
    <row r="890" spans="1:27" ht="15.75" customHeight="1">
      <c r="A890" s="792"/>
      <c r="B890" s="792"/>
      <c r="C890" s="792"/>
      <c r="D890" s="792"/>
      <c r="E890" s="792"/>
      <c r="F890" s="792"/>
      <c r="G890" s="792"/>
      <c r="H890" s="792"/>
      <c r="I890" s="792"/>
      <c r="J890" s="792"/>
      <c r="K890" s="792"/>
      <c r="L890" s="792"/>
      <c r="M890" s="792"/>
      <c r="N890" s="792"/>
      <c r="O890" s="792"/>
      <c r="P890" s="792"/>
      <c r="Q890" s="792"/>
      <c r="R890" s="792"/>
      <c r="S890" s="792"/>
      <c r="T890" s="792"/>
      <c r="U890" s="792"/>
      <c r="V890" s="793"/>
      <c r="W890" s="792"/>
      <c r="X890" s="792"/>
      <c r="Y890" s="792"/>
      <c r="Z890" s="792"/>
      <c r="AA890" s="792"/>
    </row>
    <row r="891" spans="1:27" ht="15.75" customHeight="1">
      <c r="A891" s="792"/>
      <c r="B891" s="792"/>
      <c r="C891" s="792"/>
      <c r="D891" s="792"/>
      <c r="E891" s="792"/>
      <c r="F891" s="792"/>
      <c r="G891" s="792"/>
      <c r="H891" s="792"/>
      <c r="I891" s="792"/>
      <c r="J891" s="792"/>
      <c r="K891" s="792"/>
      <c r="L891" s="792"/>
      <c r="M891" s="792"/>
      <c r="N891" s="792"/>
      <c r="O891" s="792"/>
      <c r="P891" s="792"/>
      <c r="Q891" s="792"/>
      <c r="R891" s="792"/>
      <c r="S891" s="792"/>
      <c r="T891" s="792"/>
      <c r="U891" s="792"/>
      <c r="V891" s="793"/>
      <c r="W891" s="792"/>
      <c r="X891" s="792"/>
      <c r="Y891" s="792"/>
      <c r="Z891" s="792"/>
      <c r="AA891" s="792"/>
    </row>
    <row r="892" spans="1:27" ht="15.75" customHeight="1">
      <c r="A892" s="792"/>
      <c r="B892" s="792"/>
      <c r="C892" s="792"/>
      <c r="D892" s="792"/>
      <c r="E892" s="792"/>
      <c r="F892" s="792"/>
      <c r="G892" s="792"/>
      <c r="H892" s="792"/>
      <c r="I892" s="792"/>
      <c r="J892" s="792"/>
      <c r="K892" s="792"/>
      <c r="L892" s="792"/>
      <c r="M892" s="792"/>
      <c r="N892" s="792"/>
      <c r="O892" s="792"/>
      <c r="P892" s="792"/>
      <c r="Q892" s="792"/>
      <c r="R892" s="792"/>
      <c r="S892" s="792"/>
      <c r="T892" s="792"/>
      <c r="U892" s="792"/>
      <c r="V892" s="793"/>
      <c r="W892" s="792"/>
      <c r="X892" s="792"/>
      <c r="Y892" s="792"/>
      <c r="Z892" s="792"/>
      <c r="AA892" s="792"/>
    </row>
    <row r="893" spans="1:27" ht="15.75" customHeight="1">
      <c r="A893" s="792"/>
      <c r="B893" s="792"/>
      <c r="C893" s="792"/>
      <c r="D893" s="792"/>
      <c r="E893" s="792"/>
      <c r="F893" s="792"/>
      <c r="G893" s="792"/>
      <c r="H893" s="792"/>
      <c r="I893" s="792"/>
      <c r="J893" s="792"/>
      <c r="K893" s="792"/>
      <c r="L893" s="792"/>
      <c r="M893" s="792"/>
      <c r="N893" s="792"/>
      <c r="O893" s="792"/>
      <c r="P893" s="792"/>
      <c r="Q893" s="792"/>
      <c r="R893" s="792"/>
      <c r="S893" s="792"/>
      <c r="T893" s="792"/>
      <c r="U893" s="792"/>
      <c r="V893" s="793"/>
      <c r="W893" s="792"/>
      <c r="X893" s="792"/>
      <c r="Y893" s="792"/>
      <c r="Z893" s="792"/>
      <c r="AA893" s="792"/>
    </row>
    <row r="894" spans="1:27" ht="15.75" customHeight="1">
      <c r="A894" s="792"/>
      <c r="B894" s="792"/>
      <c r="C894" s="792"/>
      <c r="D894" s="792"/>
      <c r="E894" s="792"/>
      <c r="F894" s="792"/>
      <c r="G894" s="792"/>
      <c r="H894" s="792"/>
      <c r="I894" s="792"/>
      <c r="J894" s="792"/>
      <c r="K894" s="792"/>
      <c r="L894" s="792"/>
      <c r="M894" s="792"/>
      <c r="N894" s="792"/>
      <c r="O894" s="792"/>
      <c r="P894" s="792"/>
      <c r="Q894" s="792"/>
      <c r="R894" s="792"/>
      <c r="S894" s="792"/>
      <c r="T894" s="792"/>
      <c r="U894" s="792"/>
      <c r="V894" s="793"/>
      <c r="W894" s="792"/>
      <c r="X894" s="792"/>
      <c r="Y894" s="792"/>
      <c r="Z894" s="792"/>
      <c r="AA894" s="792"/>
    </row>
    <row r="895" spans="1:27" ht="15.75" customHeight="1">
      <c r="A895" s="792"/>
      <c r="B895" s="792"/>
      <c r="C895" s="792"/>
      <c r="D895" s="792"/>
      <c r="E895" s="792"/>
      <c r="F895" s="792"/>
      <c r="G895" s="792"/>
      <c r="H895" s="792"/>
      <c r="I895" s="792"/>
      <c r="J895" s="792"/>
      <c r="K895" s="792"/>
      <c r="L895" s="792"/>
      <c r="M895" s="792"/>
      <c r="N895" s="792"/>
      <c r="O895" s="792"/>
      <c r="P895" s="792"/>
      <c r="Q895" s="792"/>
      <c r="R895" s="792"/>
      <c r="S895" s="792"/>
      <c r="T895" s="792"/>
      <c r="U895" s="792"/>
      <c r="V895" s="793"/>
      <c r="W895" s="792"/>
      <c r="X895" s="792"/>
      <c r="Y895" s="792"/>
      <c r="Z895" s="792"/>
      <c r="AA895" s="792"/>
    </row>
    <row r="896" spans="1:27" ht="15.75" customHeight="1">
      <c r="A896" s="792"/>
      <c r="B896" s="792"/>
      <c r="C896" s="792"/>
      <c r="D896" s="792"/>
      <c r="E896" s="792"/>
      <c r="F896" s="792"/>
      <c r="G896" s="792"/>
      <c r="H896" s="792"/>
      <c r="I896" s="792"/>
      <c r="J896" s="792"/>
      <c r="K896" s="792"/>
      <c r="L896" s="792"/>
      <c r="M896" s="792"/>
      <c r="N896" s="792"/>
      <c r="O896" s="792"/>
      <c r="P896" s="792"/>
      <c r="Q896" s="792"/>
      <c r="R896" s="792"/>
      <c r="S896" s="792"/>
      <c r="T896" s="792"/>
      <c r="U896" s="792"/>
      <c r="V896" s="793"/>
      <c r="W896" s="792"/>
      <c r="X896" s="792"/>
      <c r="Y896" s="792"/>
      <c r="Z896" s="792"/>
      <c r="AA896" s="792"/>
    </row>
    <row r="897" spans="1:27" ht="15.75" customHeight="1">
      <c r="A897" s="792"/>
      <c r="B897" s="792"/>
      <c r="C897" s="792"/>
      <c r="D897" s="792"/>
      <c r="E897" s="792"/>
      <c r="F897" s="792"/>
      <c r="G897" s="792"/>
      <c r="H897" s="792"/>
      <c r="I897" s="792"/>
      <c r="J897" s="792"/>
      <c r="K897" s="792"/>
      <c r="L897" s="792"/>
      <c r="M897" s="792"/>
      <c r="N897" s="792"/>
      <c r="O897" s="792"/>
      <c r="P897" s="792"/>
      <c r="Q897" s="792"/>
      <c r="R897" s="792"/>
      <c r="S897" s="792"/>
      <c r="T897" s="792"/>
      <c r="U897" s="792"/>
      <c r="V897" s="793"/>
      <c r="W897" s="792"/>
      <c r="X897" s="792"/>
      <c r="Y897" s="792"/>
      <c r="Z897" s="792"/>
      <c r="AA897" s="792"/>
    </row>
    <row r="898" spans="1:27" ht="15.75" customHeight="1">
      <c r="A898" s="792"/>
      <c r="B898" s="792"/>
      <c r="C898" s="792"/>
      <c r="D898" s="792"/>
      <c r="E898" s="792"/>
      <c r="F898" s="792"/>
      <c r="G898" s="792"/>
      <c r="H898" s="792"/>
      <c r="I898" s="792"/>
      <c r="J898" s="792"/>
      <c r="K898" s="792"/>
      <c r="L898" s="792"/>
      <c r="M898" s="792"/>
      <c r="N898" s="792"/>
      <c r="O898" s="792"/>
      <c r="P898" s="792"/>
      <c r="Q898" s="792"/>
      <c r="R898" s="792"/>
      <c r="S898" s="792"/>
      <c r="T898" s="792"/>
      <c r="U898" s="792"/>
      <c r="V898" s="793"/>
      <c r="W898" s="792"/>
      <c r="X898" s="792"/>
      <c r="Y898" s="792"/>
      <c r="Z898" s="792"/>
      <c r="AA898" s="792"/>
    </row>
    <row r="899" spans="1:27" ht="15.75" customHeight="1">
      <c r="A899" s="792"/>
      <c r="B899" s="792"/>
      <c r="C899" s="792"/>
      <c r="D899" s="792"/>
      <c r="E899" s="792"/>
      <c r="F899" s="792"/>
      <c r="G899" s="792"/>
      <c r="H899" s="792"/>
      <c r="I899" s="792"/>
      <c r="J899" s="792"/>
      <c r="K899" s="792"/>
      <c r="L899" s="792"/>
      <c r="M899" s="792"/>
      <c r="N899" s="792"/>
      <c r="O899" s="792"/>
      <c r="P899" s="792"/>
      <c r="Q899" s="792"/>
      <c r="R899" s="792"/>
      <c r="S899" s="792"/>
      <c r="T899" s="792"/>
      <c r="U899" s="792"/>
      <c r="V899" s="793"/>
      <c r="W899" s="792"/>
      <c r="X899" s="792"/>
      <c r="Y899" s="792"/>
      <c r="Z899" s="792"/>
      <c r="AA899" s="792"/>
    </row>
    <row r="900" spans="1:27" ht="15.75" customHeight="1">
      <c r="A900" s="792"/>
      <c r="B900" s="792"/>
      <c r="C900" s="792"/>
      <c r="D900" s="792"/>
      <c r="E900" s="792"/>
      <c r="F900" s="792"/>
      <c r="G900" s="792"/>
      <c r="H900" s="792"/>
      <c r="I900" s="792"/>
      <c r="J900" s="792"/>
      <c r="K900" s="792"/>
      <c r="L900" s="792"/>
      <c r="M900" s="792"/>
      <c r="N900" s="792"/>
      <c r="O900" s="792"/>
      <c r="P900" s="792"/>
      <c r="Q900" s="792"/>
      <c r="R900" s="792"/>
      <c r="S900" s="792"/>
      <c r="T900" s="792"/>
      <c r="U900" s="792"/>
      <c r="V900" s="793"/>
      <c r="W900" s="792"/>
      <c r="X900" s="792"/>
      <c r="Y900" s="792"/>
      <c r="Z900" s="792"/>
      <c r="AA900" s="792"/>
    </row>
    <row r="901" spans="1:27" ht="15.75" customHeight="1">
      <c r="A901" s="792"/>
      <c r="B901" s="792"/>
      <c r="C901" s="792"/>
      <c r="D901" s="792"/>
      <c r="E901" s="792"/>
      <c r="F901" s="792"/>
      <c r="G901" s="792"/>
      <c r="H901" s="792"/>
      <c r="I901" s="792"/>
      <c r="J901" s="792"/>
      <c r="K901" s="792"/>
      <c r="L901" s="792"/>
      <c r="M901" s="792"/>
      <c r="N901" s="792"/>
      <c r="O901" s="792"/>
      <c r="P901" s="792"/>
      <c r="Q901" s="792"/>
      <c r="R901" s="792"/>
      <c r="S901" s="792"/>
      <c r="T901" s="792"/>
      <c r="U901" s="792"/>
      <c r="V901" s="793"/>
      <c r="W901" s="792"/>
      <c r="X901" s="792"/>
      <c r="Y901" s="792"/>
      <c r="Z901" s="792"/>
      <c r="AA901" s="792"/>
    </row>
    <row r="902" spans="1:27" ht="15.75" customHeight="1">
      <c r="A902" s="792"/>
      <c r="B902" s="792"/>
      <c r="C902" s="792"/>
      <c r="D902" s="792"/>
      <c r="E902" s="792"/>
      <c r="F902" s="792"/>
      <c r="G902" s="792"/>
      <c r="H902" s="792"/>
      <c r="I902" s="792"/>
      <c r="J902" s="792"/>
      <c r="K902" s="792"/>
      <c r="L902" s="792"/>
      <c r="M902" s="792"/>
      <c r="N902" s="792"/>
      <c r="O902" s="792"/>
      <c r="P902" s="792"/>
      <c r="Q902" s="792"/>
      <c r="R902" s="792"/>
      <c r="S902" s="792"/>
      <c r="T902" s="792"/>
      <c r="U902" s="792"/>
      <c r="V902" s="793"/>
      <c r="W902" s="792"/>
      <c r="X902" s="792"/>
      <c r="Y902" s="792"/>
      <c r="Z902" s="792"/>
      <c r="AA902" s="792"/>
    </row>
    <row r="903" spans="1:27" ht="15.75" customHeight="1">
      <c r="A903" s="792"/>
      <c r="B903" s="792"/>
      <c r="C903" s="792"/>
      <c r="D903" s="792"/>
      <c r="E903" s="792"/>
      <c r="F903" s="792"/>
      <c r="G903" s="792"/>
      <c r="H903" s="792"/>
      <c r="I903" s="792"/>
      <c r="J903" s="792"/>
      <c r="K903" s="792"/>
      <c r="L903" s="792"/>
      <c r="M903" s="792"/>
      <c r="N903" s="792"/>
      <c r="O903" s="792"/>
      <c r="P903" s="792"/>
      <c r="Q903" s="792"/>
      <c r="R903" s="792"/>
      <c r="S903" s="792"/>
      <c r="T903" s="792"/>
      <c r="U903" s="792"/>
      <c r="V903" s="793"/>
      <c r="W903" s="792"/>
      <c r="X903" s="792"/>
      <c r="Y903" s="792"/>
      <c r="Z903" s="792"/>
      <c r="AA903" s="792"/>
    </row>
    <row r="904" spans="1:27" ht="15.75" customHeight="1">
      <c r="A904" s="792"/>
      <c r="B904" s="792"/>
      <c r="C904" s="792"/>
      <c r="D904" s="792"/>
      <c r="E904" s="792"/>
      <c r="F904" s="792"/>
      <c r="G904" s="792"/>
      <c r="H904" s="792"/>
      <c r="I904" s="792"/>
      <c r="J904" s="792"/>
      <c r="K904" s="792"/>
      <c r="L904" s="792"/>
      <c r="M904" s="792"/>
      <c r="N904" s="792"/>
      <c r="O904" s="792"/>
      <c r="P904" s="792"/>
      <c r="Q904" s="792"/>
      <c r="R904" s="792"/>
      <c r="S904" s="792"/>
      <c r="T904" s="792"/>
      <c r="U904" s="792"/>
      <c r="V904" s="793"/>
      <c r="W904" s="792"/>
      <c r="X904" s="792"/>
      <c r="Y904" s="792"/>
      <c r="Z904" s="792"/>
      <c r="AA904" s="792"/>
    </row>
    <row r="905" spans="1:27" ht="15.75" customHeight="1">
      <c r="A905" s="792"/>
      <c r="B905" s="792"/>
      <c r="C905" s="792"/>
      <c r="D905" s="792"/>
      <c r="E905" s="792"/>
      <c r="F905" s="792"/>
      <c r="G905" s="792"/>
      <c r="H905" s="792"/>
      <c r="I905" s="792"/>
      <c r="J905" s="792"/>
      <c r="K905" s="792"/>
      <c r="L905" s="792"/>
      <c r="M905" s="792"/>
      <c r="N905" s="792"/>
      <c r="O905" s="792"/>
      <c r="P905" s="792"/>
      <c r="Q905" s="792"/>
      <c r="R905" s="792"/>
      <c r="S905" s="792"/>
      <c r="T905" s="792"/>
      <c r="U905" s="792"/>
      <c r="V905" s="793"/>
      <c r="W905" s="792"/>
      <c r="X905" s="792"/>
      <c r="Y905" s="792"/>
      <c r="Z905" s="792"/>
      <c r="AA905" s="792"/>
    </row>
    <row r="906" spans="1:27" ht="15.75" customHeight="1">
      <c r="A906" s="792"/>
      <c r="B906" s="792"/>
      <c r="C906" s="792"/>
      <c r="D906" s="792"/>
      <c r="E906" s="792"/>
      <c r="F906" s="792"/>
      <c r="G906" s="792"/>
      <c r="H906" s="792"/>
      <c r="I906" s="792"/>
      <c r="J906" s="792"/>
      <c r="K906" s="792"/>
      <c r="L906" s="792"/>
      <c r="M906" s="792"/>
      <c r="N906" s="792"/>
      <c r="O906" s="792"/>
      <c r="P906" s="792"/>
      <c r="Q906" s="792"/>
      <c r="R906" s="792"/>
      <c r="S906" s="792"/>
      <c r="T906" s="792"/>
      <c r="U906" s="792"/>
      <c r="V906" s="793"/>
      <c r="W906" s="792"/>
      <c r="X906" s="792"/>
      <c r="Y906" s="792"/>
      <c r="Z906" s="792"/>
      <c r="AA906" s="792"/>
    </row>
    <row r="907" spans="1:27" ht="15.75" customHeight="1">
      <c r="A907" s="792"/>
      <c r="B907" s="792"/>
      <c r="C907" s="792"/>
      <c r="D907" s="792"/>
      <c r="E907" s="792"/>
      <c r="F907" s="792"/>
      <c r="G907" s="792"/>
      <c r="H907" s="792"/>
      <c r="I907" s="792"/>
      <c r="J907" s="792"/>
      <c r="K907" s="792"/>
      <c r="L907" s="792"/>
      <c r="M907" s="792"/>
      <c r="N907" s="792"/>
      <c r="O907" s="792"/>
      <c r="P907" s="792"/>
      <c r="Q907" s="792"/>
      <c r="R907" s="792"/>
      <c r="S907" s="792"/>
      <c r="T907" s="792"/>
      <c r="U907" s="792"/>
      <c r="V907" s="793"/>
      <c r="W907" s="792"/>
      <c r="X907" s="792"/>
      <c r="Y907" s="792"/>
      <c r="Z907" s="792"/>
      <c r="AA907" s="792"/>
    </row>
    <row r="908" spans="1:27" ht="15.75" customHeight="1">
      <c r="A908" s="792"/>
      <c r="B908" s="792"/>
      <c r="C908" s="792"/>
      <c r="D908" s="792"/>
      <c r="E908" s="792"/>
      <c r="F908" s="792"/>
      <c r="G908" s="792"/>
      <c r="H908" s="792"/>
      <c r="I908" s="792"/>
      <c r="J908" s="792"/>
      <c r="K908" s="792"/>
      <c r="L908" s="792"/>
      <c r="M908" s="792"/>
      <c r="N908" s="792"/>
      <c r="O908" s="792"/>
      <c r="P908" s="792"/>
      <c r="Q908" s="792"/>
      <c r="R908" s="792"/>
      <c r="S908" s="792"/>
      <c r="T908" s="792"/>
      <c r="U908" s="792"/>
      <c r="V908" s="793"/>
      <c r="W908" s="792"/>
      <c r="X908" s="792"/>
      <c r="Y908" s="792"/>
      <c r="Z908" s="792"/>
      <c r="AA908" s="792"/>
    </row>
    <row r="909" spans="1:27" ht="15.75" customHeight="1">
      <c r="A909" s="792"/>
      <c r="B909" s="792"/>
      <c r="C909" s="792"/>
      <c r="D909" s="792"/>
      <c r="E909" s="792"/>
      <c r="F909" s="792"/>
      <c r="G909" s="792"/>
      <c r="H909" s="792"/>
      <c r="I909" s="792"/>
      <c r="J909" s="792"/>
      <c r="K909" s="792"/>
      <c r="L909" s="792"/>
      <c r="M909" s="792"/>
      <c r="N909" s="792"/>
      <c r="O909" s="792"/>
      <c r="P909" s="792"/>
      <c r="Q909" s="792"/>
      <c r="R909" s="792"/>
      <c r="S909" s="792"/>
      <c r="T909" s="792"/>
      <c r="U909" s="792"/>
      <c r="V909" s="793"/>
      <c r="W909" s="792"/>
      <c r="X909" s="792"/>
      <c r="Y909" s="792"/>
      <c r="Z909" s="792"/>
      <c r="AA909" s="792"/>
    </row>
    <row r="910" spans="1:27" ht="15.75" customHeight="1">
      <c r="A910" s="792"/>
      <c r="B910" s="792"/>
      <c r="C910" s="792"/>
      <c r="D910" s="792"/>
      <c r="E910" s="792"/>
      <c r="F910" s="792"/>
      <c r="G910" s="792"/>
      <c r="H910" s="792"/>
      <c r="I910" s="792"/>
      <c r="J910" s="792"/>
      <c r="K910" s="792"/>
      <c r="L910" s="792"/>
      <c r="M910" s="792"/>
      <c r="N910" s="792"/>
      <c r="O910" s="792"/>
      <c r="P910" s="792"/>
      <c r="Q910" s="792"/>
      <c r="R910" s="792"/>
      <c r="S910" s="792"/>
      <c r="T910" s="792"/>
      <c r="U910" s="792"/>
      <c r="V910" s="793"/>
      <c r="W910" s="792"/>
      <c r="X910" s="792"/>
      <c r="Y910" s="792"/>
      <c r="Z910" s="792"/>
      <c r="AA910" s="792"/>
    </row>
    <row r="911" spans="1:27" ht="15.75" customHeight="1">
      <c r="A911" s="792"/>
      <c r="B911" s="792"/>
      <c r="C911" s="792"/>
      <c r="D911" s="792"/>
      <c r="E911" s="792"/>
      <c r="F911" s="792"/>
      <c r="G911" s="792"/>
      <c r="H911" s="792"/>
      <c r="I911" s="792"/>
      <c r="J911" s="792"/>
      <c r="K911" s="792"/>
      <c r="L911" s="792"/>
      <c r="M911" s="792"/>
      <c r="N911" s="792"/>
      <c r="O911" s="792"/>
      <c r="P911" s="792"/>
      <c r="Q911" s="792"/>
      <c r="R911" s="792"/>
      <c r="S911" s="792"/>
      <c r="T911" s="792"/>
      <c r="U911" s="792"/>
      <c r="V911" s="793"/>
      <c r="W911" s="792"/>
      <c r="X911" s="792"/>
      <c r="Y911" s="792"/>
      <c r="Z911" s="792"/>
      <c r="AA911" s="792"/>
    </row>
    <row r="912" spans="1:27" ht="15.75" customHeight="1">
      <c r="A912" s="792"/>
      <c r="B912" s="792"/>
      <c r="C912" s="792"/>
      <c r="D912" s="792"/>
      <c r="E912" s="792"/>
      <c r="F912" s="792"/>
      <c r="G912" s="792"/>
      <c r="H912" s="792"/>
      <c r="I912" s="792"/>
      <c r="J912" s="792"/>
      <c r="K912" s="792"/>
      <c r="L912" s="792"/>
      <c r="M912" s="792"/>
      <c r="N912" s="792"/>
      <c r="O912" s="792"/>
      <c r="P912" s="792"/>
      <c r="Q912" s="792"/>
      <c r="R912" s="792"/>
      <c r="S912" s="792"/>
      <c r="T912" s="792"/>
      <c r="U912" s="792"/>
      <c r="V912" s="793"/>
      <c r="W912" s="792"/>
      <c r="X912" s="792"/>
      <c r="Y912" s="792"/>
      <c r="Z912" s="792"/>
      <c r="AA912" s="792"/>
    </row>
    <row r="913" spans="1:27" ht="15.75" customHeight="1">
      <c r="A913" s="792"/>
      <c r="B913" s="792"/>
      <c r="C913" s="792"/>
      <c r="D913" s="792"/>
      <c r="E913" s="792"/>
      <c r="F913" s="792"/>
      <c r="G913" s="792"/>
      <c r="H913" s="792"/>
      <c r="I913" s="792"/>
      <c r="J913" s="792"/>
      <c r="K913" s="792"/>
      <c r="L913" s="792"/>
      <c r="M913" s="792"/>
      <c r="N913" s="792"/>
      <c r="O913" s="792"/>
      <c r="P913" s="792"/>
      <c r="Q913" s="792"/>
      <c r="R913" s="792"/>
      <c r="S913" s="792"/>
      <c r="T913" s="792"/>
      <c r="U913" s="792"/>
      <c r="V913" s="793"/>
      <c r="W913" s="792"/>
      <c r="X913" s="792"/>
      <c r="Y913" s="792"/>
      <c r="Z913" s="792"/>
      <c r="AA913" s="792"/>
    </row>
    <row r="914" spans="1:27" ht="15.75" customHeight="1">
      <c r="A914" s="792"/>
      <c r="B914" s="792"/>
      <c r="C914" s="792"/>
      <c r="D914" s="792"/>
      <c r="E914" s="792"/>
      <c r="F914" s="792"/>
      <c r="G914" s="792"/>
      <c r="H914" s="792"/>
      <c r="I914" s="792"/>
      <c r="J914" s="792"/>
      <c r="K914" s="792"/>
      <c r="L914" s="792"/>
      <c r="M914" s="792"/>
      <c r="N914" s="792"/>
      <c r="O914" s="792"/>
      <c r="P914" s="792"/>
      <c r="Q914" s="792"/>
      <c r="R914" s="792"/>
      <c r="S914" s="792"/>
      <c r="T914" s="792"/>
      <c r="U914" s="792"/>
      <c r="V914" s="793"/>
      <c r="W914" s="792"/>
      <c r="X914" s="792"/>
      <c r="Y914" s="792"/>
      <c r="Z914" s="792"/>
      <c r="AA914" s="792"/>
    </row>
    <row r="915" spans="1:27" ht="15.75" customHeight="1">
      <c r="A915" s="792"/>
      <c r="B915" s="792"/>
      <c r="C915" s="792"/>
      <c r="D915" s="792"/>
      <c r="E915" s="792"/>
      <c r="F915" s="792"/>
      <c r="G915" s="792"/>
      <c r="H915" s="792"/>
      <c r="I915" s="792"/>
      <c r="J915" s="792"/>
      <c r="K915" s="792"/>
      <c r="L915" s="792"/>
      <c r="M915" s="792"/>
      <c r="N915" s="792"/>
      <c r="O915" s="792"/>
      <c r="P915" s="792"/>
      <c r="Q915" s="792"/>
      <c r="R915" s="792"/>
      <c r="S915" s="792"/>
      <c r="T915" s="792"/>
      <c r="U915" s="792"/>
      <c r="V915" s="793"/>
      <c r="W915" s="792"/>
      <c r="X915" s="792"/>
      <c r="Y915" s="792"/>
      <c r="Z915" s="792"/>
      <c r="AA915" s="792"/>
    </row>
    <row r="916" spans="1:27" ht="15.75" customHeight="1">
      <c r="A916" s="792"/>
      <c r="B916" s="792"/>
      <c r="C916" s="792"/>
      <c r="D916" s="792"/>
      <c r="E916" s="792"/>
      <c r="F916" s="792"/>
      <c r="G916" s="792"/>
      <c r="H916" s="792"/>
      <c r="I916" s="792"/>
      <c r="J916" s="792"/>
      <c r="K916" s="792"/>
      <c r="L916" s="792"/>
      <c r="M916" s="792"/>
      <c r="N916" s="792"/>
      <c r="O916" s="792"/>
      <c r="P916" s="792"/>
      <c r="Q916" s="792"/>
      <c r="R916" s="792"/>
      <c r="S916" s="792"/>
      <c r="T916" s="792"/>
      <c r="U916" s="792"/>
      <c r="V916" s="793"/>
      <c r="W916" s="792"/>
      <c r="X916" s="792"/>
      <c r="Y916" s="792"/>
      <c r="Z916" s="792"/>
      <c r="AA916" s="792"/>
    </row>
    <row r="917" spans="1:27" ht="15.75" customHeight="1">
      <c r="A917" s="792"/>
      <c r="B917" s="792"/>
      <c r="C917" s="792"/>
      <c r="D917" s="792"/>
      <c r="E917" s="792"/>
      <c r="F917" s="792"/>
      <c r="G917" s="792"/>
      <c r="H917" s="792"/>
      <c r="I917" s="792"/>
      <c r="J917" s="792"/>
      <c r="K917" s="792"/>
      <c r="L917" s="792"/>
      <c r="M917" s="792"/>
      <c r="N917" s="792"/>
      <c r="O917" s="792"/>
      <c r="P917" s="792"/>
      <c r="Q917" s="792"/>
      <c r="R917" s="792"/>
      <c r="S917" s="792"/>
      <c r="T917" s="792"/>
      <c r="U917" s="792"/>
      <c r="V917" s="793"/>
      <c r="W917" s="792"/>
      <c r="X917" s="792"/>
      <c r="Y917" s="792"/>
      <c r="Z917" s="792"/>
      <c r="AA917" s="792"/>
    </row>
    <row r="918" spans="1:27" ht="15.75" customHeight="1">
      <c r="A918" s="792"/>
      <c r="B918" s="792"/>
      <c r="C918" s="792"/>
      <c r="D918" s="792"/>
      <c r="E918" s="792"/>
      <c r="F918" s="792"/>
      <c r="G918" s="792"/>
      <c r="H918" s="792"/>
      <c r="I918" s="792"/>
      <c r="J918" s="792"/>
      <c r="K918" s="792"/>
      <c r="L918" s="792"/>
      <c r="M918" s="792"/>
      <c r="N918" s="792"/>
      <c r="O918" s="792"/>
      <c r="P918" s="792"/>
      <c r="Q918" s="792"/>
      <c r="R918" s="792"/>
      <c r="S918" s="792"/>
      <c r="T918" s="792"/>
      <c r="U918" s="792"/>
      <c r="V918" s="793"/>
      <c r="W918" s="792"/>
      <c r="X918" s="792"/>
      <c r="Y918" s="792"/>
      <c r="Z918" s="792"/>
      <c r="AA918" s="792"/>
    </row>
    <row r="919" spans="1:27" ht="15.75" customHeight="1">
      <c r="A919" s="792"/>
      <c r="B919" s="792"/>
      <c r="C919" s="792"/>
      <c r="D919" s="792"/>
      <c r="E919" s="792"/>
      <c r="F919" s="792"/>
      <c r="G919" s="792"/>
      <c r="H919" s="792"/>
      <c r="I919" s="792"/>
      <c r="J919" s="792"/>
      <c r="K919" s="792"/>
      <c r="L919" s="792"/>
      <c r="M919" s="792"/>
      <c r="N919" s="792"/>
      <c r="O919" s="792"/>
      <c r="P919" s="792"/>
      <c r="Q919" s="792"/>
      <c r="R919" s="792"/>
      <c r="S919" s="792"/>
      <c r="T919" s="792"/>
      <c r="U919" s="792"/>
      <c r="V919" s="793"/>
      <c r="W919" s="792"/>
      <c r="X919" s="792"/>
      <c r="Y919" s="792"/>
      <c r="Z919" s="792"/>
      <c r="AA919" s="792"/>
    </row>
    <row r="920" spans="1:27" ht="15.75" customHeight="1">
      <c r="A920" s="792"/>
      <c r="B920" s="792"/>
      <c r="C920" s="792"/>
      <c r="D920" s="792"/>
      <c r="E920" s="792"/>
      <c r="F920" s="792"/>
      <c r="G920" s="792"/>
      <c r="H920" s="792"/>
      <c r="I920" s="792"/>
      <c r="J920" s="792"/>
      <c r="K920" s="792"/>
      <c r="L920" s="792"/>
      <c r="M920" s="792"/>
      <c r="N920" s="792"/>
      <c r="O920" s="792"/>
      <c r="P920" s="792"/>
      <c r="Q920" s="792"/>
      <c r="R920" s="792"/>
      <c r="S920" s="792"/>
      <c r="T920" s="792"/>
      <c r="U920" s="792"/>
      <c r="V920" s="793"/>
      <c r="W920" s="792"/>
      <c r="X920" s="792"/>
      <c r="Y920" s="792"/>
      <c r="Z920" s="792"/>
      <c r="AA920" s="792"/>
    </row>
    <row r="921" spans="1:27" ht="15.75" customHeight="1">
      <c r="A921" s="792"/>
      <c r="B921" s="792"/>
      <c r="C921" s="792"/>
      <c r="D921" s="792"/>
      <c r="E921" s="792"/>
      <c r="F921" s="792"/>
      <c r="G921" s="792"/>
      <c r="H921" s="792"/>
      <c r="I921" s="792"/>
      <c r="J921" s="792"/>
      <c r="K921" s="792"/>
      <c r="L921" s="792"/>
      <c r="M921" s="792"/>
      <c r="N921" s="792"/>
      <c r="O921" s="792"/>
      <c r="P921" s="792"/>
      <c r="Q921" s="792"/>
      <c r="R921" s="792"/>
      <c r="S921" s="792"/>
      <c r="T921" s="792"/>
      <c r="U921" s="792"/>
      <c r="V921" s="793"/>
      <c r="W921" s="792"/>
      <c r="X921" s="792"/>
      <c r="Y921" s="792"/>
      <c r="Z921" s="792"/>
      <c r="AA921" s="792"/>
    </row>
    <row r="922" spans="1:27" ht="15.75" customHeight="1">
      <c r="A922" s="792"/>
      <c r="B922" s="792"/>
      <c r="C922" s="792"/>
      <c r="D922" s="792"/>
      <c r="E922" s="792"/>
      <c r="F922" s="792"/>
      <c r="G922" s="792"/>
      <c r="H922" s="792"/>
      <c r="I922" s="792"/>
      <c r="J922" s="792"/>
      <c r="K922" s="792"/>
      <c r="L922" s="792"/>
      <c r="M922" s="792"/>
      <c r="N922" s="792"/>
      <c r="O922" s="792"/>
      <c r="P922" s="792"/>
      <c r="Q922" s="792"/>
      <c r="R922" s="792"/>
      <c r="S922" s="792"/>
      <c r="T922" s="792"/>
      <c r="U922" s="792"/>
      <c r="V922" s="793"/>
      <c r="W922" s="792"/>
      <c r="X922" s="792"/>
      <c r="Y922" s="792"/>
      <c r="Z922" s="792"/>
      <c r="AA922" s="792"/>
    </row>
    <row r="923" spans="1:27" ht="15.75" customHeight="1">
      <c r="A923" s="792"/>
      <c r="B923" s="792"/>
      <c r="C923" s="792"/>
      <c r="D923" s="792"/>
      <c r="E923" s="792"/>
      <c r="F923" s="792"/>
      <c r="G923" s="792"/>
      <c r="H923" s="792"/>
      <c r="I923" s="792"/>
      <c r="J923" s="792"/>
      <c r="K923" s="792"/>
      <c r="L923" s="792"/>
      <c r="M923" s="792"/>
      <c r="N923" s="792"/>
      <c r="O923" s="792"/>
      <c r="P923" s="792"/>
      <c r="Q923" s="792"/>
      <c r="R923" s="792"/>
      <c r="S923" s="792"/>
      <c r="T923" s="792"/>
      <c r="U923" s="792"/>
      <c r="V923" s="793"/>
      <c r="W923" s="792"/>
      <c r="X923" s="792"/>
      <c r="Y923" s="792"/>
      <c r="Z923" s="792"/>
      <c r="AA923" s="792"/>
    </row>
    <row r="924" spans="1:27" ht="15.75" customHeight="1">
      <c r="A924" s="792"/>
      <c r="B924" s="792"/>
      <c r="C924" s="792"/>
      <c r="D924" s="792"/>
      <c r="E924" s="792"/>
      <c r="F924" s="792"/>
      <c r="G924" s="792"/>
      <c r="H924" s="792"/>
      <c r="I924" s="792"/>
      <c r="J924" s="792"/>
      <c r="K924" s="792"/>
      <c r="L924" s="792"/>
      <c r="M924" s="792"/>
      <c r="N924" s="792"/>
      <c r="O924" s="792"/>
      <c r="P924" s="792"/>
      <c r="Q924" s="792"/>
      <c r="R924" s="792"/>
      <c r="S924" s="792"/>
      <c r="T924" s="792"/>
      <c r="U924" s="792"/>
      <c r="V924" s="793"/>
      <c r="W924" s="792"/>
      <c r="X924" s="792"/>
      <c r="Y924" s="792"/>
      <c r="Z924" s="792"/>
      <c r="AA924" s="792"/>
    </row>
    <row r="925" spans="1:27" ht="15.75" customHeight="1">
      <c r="A925" s="792"/>
      <c r="B925" s="792"/>
      <c r="C925" s="792"/>
      <c r="D925" s="792"/>
      <c r="E925" s="792"/>
      <c r="F925" s="792"/>
      <c r="G925" s="792"/>
      <c r="H925" s="792"/>
      <c r="I925" s="792"/>
      <c r="J925" s="792"/>
      <c r="K925" s="792"/>
      <c r="L925" s="792"/>
      <c r="M925" s="792"/>
      <c r="N925" s="792"/>
      <c r="O925" s="792"/>
      <c r="P925" s="792"/>
      <c r="Q925" s="792"/>
      <c r="R925" s="792"/>
      <c r="S925" s="792"/>
      <c r="T925" s="792"/>
      <c r="U925" s="792"/>
      <c r="V925" s="793"/>
      <c r="W925" s="792"/>
      <c r="X925" s="792"/>
      <c r="Y925" s="792"/>
      <c r="Z925" s="792"/>
      <c r="AA925" s="792"/>
    </row>
    <row r="926" spans="1:27" ht="15.75" customHeight="1">
      <c r="A926" s="792"/>
      <c r="B926" s="792"/>
      <c r="C926" s="792"/>
      <c r="D926" s="792"/>
      <c r="E926" s="792"/>
      <c r="F926" s="792"/>
      <c r="G926" s="792"/>
      <c r="H926" s="792"/>
      <c r="I926" s="792"/>
      <c r="J926" s="792"/>
      <c r="K926" s="792"/>
      <c r="L926" s="792"/>
      <c r="M926" s="792"/>
      <c r="N926" s="792"/>
      <c r="O926" s="792"/>
      <c r="P926" s="792"/>
      <c r="Q926" s="792"/>
      <c r="R926" s="792"/>
      <c r="S926" s="792"/>
      <c r="T926" s="792"/>
      <c r="U926" s="792"/>
      <c r="V926" s="793"/>
      <c r="W926" s="792"/>
      <c r="X926" s="792"/>
      <c r="Y926" s="792"/>
      <c r="Z926" s="792"/>
      <c r="AA926" s="792"/>
    </row>
    <row r="927" spans="1:27" ht="15.75" customHeight="1">
      <c r="A927" s="792"/>
      <c r="B927" s="792"/>
      <c r="C927" s="792"/>
      <c r="D927" s="792"/>
      <c r="E927" s="792"/>
      <c r="F927" s="792"/>
      <c r="G927" s="792"/>
      <c r="H927" s="792"/>
      <c r="I927" s="792"/>
      <c r="J927" s="792"/>
      <c r="K927" s="792"/>
      <c r="L927" s="792"/>
      <c r="M927" s="792"/>
      <c r="N927" s="792"/>
      <c r="O927" s="792"/>
      <c r="P927" s="792"/>
      <c r="Q927" s="792"/>
      <c r="R927" s="792"/>
      <c r="S927" s="792"/>
      <c r="T927" s="792"/>
      <c r="U927" s="792"/>
      <c r="V927" s="793"/>
      <c r="W927" s="792"/>
      <c r="X927" s="792"/>
      <c r="Y927" s="792"/>
      <c r="Z927" s="792"/>
      <c r="AA927" s="792"/>
    </row>
    <row r="928" spans="1:27" ht="15.75" customHeight="1">
      <c r="A928" s="792"/>
      <c r="B928" s="792"/>
      <c r="C928" s="792"/>
      <c r="D928" s="792"/>
      <c r="E928" s="792"/>
      <c r="F928" s="792"/>
      <c r="G928" s="792"/>
      <c r="H928" s="792"/>
      <c r="I928" s="792"/>
      <c r="J928" s="792"/>
      <c r="K928" s="792"/>
      <c r="L928" s="792"/>
      <c r="M928" s="792"/>
      <c r="N928" s="792"/>
      <c r="O928" s="792"/>
      <c r="P928" s="792"/>
      <c r="Q928" s="792"/>
      <c r="R928" s="792"/>
      <c r="S928" s="792"/>
      <c r="T928" s="792"/>
      <c r="U928" s="792"/>
      <c r="V928" s="793"/>
      <c r="W928" s="792"/>
      <c r="X928" s="792"/>
      <c r="Y928" s="792"/>
      <c r="Z928" s="792"/>
      <c r="AA928" s="792"/>
    </row>
    <row r="929" spans="1:27" ht="15.75" customHeight="1">
      <c r="A929" s="792"/>
      <c r="B929" s="792"/>
      <c r="C929" s="792"/>
      <c r="D929" s="792"/>
      <c r="E929" s="792"/>
      <c r="F929" s="792"/>
      <c r="G929" s="792"/>
      <c r="H929" s="792"/>
      <c r="I929" s="792"/>
      <c r="J929" s="792"/>
      <c r="K929" s="792"/>
      <c r="L929" s="792"/>
      <c r="M929" s="792"/>
      <c r="N929" s="792"/>
      <c r="O929" s="792"/>
      <c r="P929" s="792"/>
      <c r="Q929" s="792"/>
      <c r="R929" s="792"/>
      <c r="S929" s="792"/>
      <c r="T929" s="792"/>
      <c r="U929" s="792"/>
      <c r="V929" s="793"/>
      <c r="W929" s="792"/>
      <c r="X929" s="792"/>
      <c r="Y929" s="792"/>
      <c r="Z929" s="792"/>
      <c r="AA929" s="792"/>
    </row>
    <row r="930" spans="1:27" ht="15.75" customHeight="1">
      <c r="A930" s="792"/>
      <c r="B930" s="792"/>
      <c r="C930" s="792"/>
      <c r="D930" s="792"/>
      <c r="E930" s="792"/>
      <c r="F930" s="792"/>
      <c r="G930" s="792"/>
      <c r="H930" s="792"/>
      <c r="I930" s="792"/>
      <c r="J930" s="792"/>
      <c r="K930" s="792"/>
      <c r="L930" s="792"/>
      <c r="M930" s="792"/>
      <c r="N930" s="792"/>
      <c r="O930" s="792"/>
      <c r="P930" s="792"/>
      <c r="Q930" s="792"/>
      <c r="R930" s="792"/>
      <c r="S930" s="792"/>
      <c r="T930" s="792"/>
      <c r="U930" s="792"/>
      <c r="V930" s="793"/>
      <c r="W930" s="792"/>
      <c r="X930" s="792"/>
      <c r="Y930" s="792"/>
      <c r="Z930" s="792"/>
      <c r="AA930" s="792"/>
    </row>
    <row r="931" spans="1:27" ht="15.75" customHeight="1">
      <c r="A931" s="792"/>
      <c r="B931" s="792"/>
      <c r="C931" s="792"/>
      <c r="D931" s="792"/>
      <c r="E931" s="792"/>
      <c r="F931" s="792"/>
      <c r="G931" s="792"/>
      <c r="H931" s="792"/>
      <c r="I931" s="792"/>
      <c r="J931" s="792"/>
      <c r="K931" s="792"/>
      <c r="L931" s="792"/>
      <c r="M931" s="792"/>
      <c r="N931" s="792"/>
      <c r="O931" s="792"/>
      <c r="P931" s="792"/>
      <c r="Q931" s="792"/>
      <c r="R931" s="792"/>
      <c r="S931" s="792"/>
      <c r="T931" s="792"/>
      <c r="U931" s="792"/>
      <c r="V931" s="793"/>
      <c r="W931" s="792"/>
      <c r="X931" s="792"/>
      <c r="Y931" s="792"/>
      <c r="Z931" s="792"/>
      <c r="AA931" s="792"/>
    </row>
    <row r="932" spans="1:27" ht="15.75" customHeight="1">
      <c r="A932" s="792"/>
      <c r="B932" s="792"/>
      <c r="C932" s="792"/>
      <c r="D932" s="792"/>
      <c r="E932" s="792"/>
      <c r="F932" s="792"/>
      <c r="G932" s="792"/>
      <c r="H932" s="792"/>
      <c r="I932" s="792"/>
      <c r="J932" s="792"/>
      <c r="K932" s="792"/>
      <c r="L932" s="792"/>
      <c r="M932" s="792"/>
      <c r="N932" s="792"/>
      <c r="O932" s="792"/>
      <c r="P932" s="792"/>
      <c r="Q932" s="792"/>
      <c r="R932" s="792"/>
      <c r="S932" s="792"/>
      <c r="T932" s="792"/>
      <c r="U932" s="792"/>
      <c r="V932" s="793"/>
      <c r="W932" s="792"/>
      <c r="X932" s="792"/>
      <c r="Y932" s="792"/>
      <c r="Z932" s="792"/>
      <c r="AA932" s="792"/>
    </row>
    <row r="933" spans="1:27" ht="15.75" customHeight="1">
      <c r="A933" s="792"/>
      <c r="B933" s="792"/>
      <c r="C933" s="792"/>
      <c r="D933" s="792"/>
      <c r="E933" s="792"/>
      <c r="F933" s="792"/>
      <c r="G933" s="792"/>
      <c r="H933" s="792"/>
      <c r="I933" s="792"/>
      <c r="J933" s="792"/>
      <c r="K933" s="792"/>
      <c r="L933" s="792"/>
      <c r="M933" s="792"/>
      <c r="N933" s="792"/>
      <c r="O933" s="792"/>
      <c r="P933" s="792"/>
      <c r="Q933" s="792"/>
      <c r="R933" s="792"/>
      <c r="S933" s="792"/>
      <c r="T933" s="792"/>
      <c r="U933" s="792"/>
      <c r="V933" s="793"/>
      <c r="W933" s="792"/>
      <c r="X933" s="792"/>
      <c r="Y933" s="792"/>
      <c r="Z933" s="792"/>
      <c r="AA933" s="792"/>
    </row>
    <row r="934" spans="1:27" ht="15.75" customHeight="1">
      <c r="A934" s="792"/>
      <c r="B934" s="792"/>
      <c r="C934" s="792"/>
      <c r="D934" s="792"/>
      <c r="E934" s="792"/>
      <c r="F934" s="792"/>
      <c r="G934" s="792"/>
      <c r="H934" s="792"/>
      <c r="I934" s="792"/>
      <c r="J934" s="792"/>
      <c r="K934" s="792"/>
      <c r="L934" s="792"/>
      <c r="M934" s="792"/>
      <c r="N934" s="792"/>
      <c r="O934" s="792"/>
      <c r="P934" s="792"/>
      <c r="Q934" s="792"/>
      <c r="R934" s="792"/>
      <c r="S934" s="792"/>
      <c r="T934" s="792"/>
      <c r="U934" s="792"/>
      <c r="V934" s="793"/>
      <c r="W934" s="792"/>
      <c r="X934" s="792"/>
      <c r="Y934" s="792"/>
      <c r="Z934" s="792"/>
      <c r="AA934" s="792"/>
    </row>
    <row r="935" spans="1:27" ht="15.75" customHeight="1">
      <c r="A935" s="792"/>
      <c r="B935" s="792"/>
      <c r="C935" s="792"/>
      <c r="D935" s="792"/>
      <c r="E935" s="792"/>
      <c r="F935" s="792"/>
      <c r="G935" s="792"/>
      <c r="H935" s="792"/>
      <c r="I935" s="792"/>
      <c r="J935" s="792"/>
      <c r="K935" s="792"/>
      <c r="L935" s="792"/>
      <c r="M935" s="792"/>
      <c r="N935" s="792"/>
      <c r="O935" s="792"/>
      <c r="P935" s="792"/>
      <c r="Q935" s="792"/>
      <c r="R935" s="792"/>
      <c r="S935" s="792"/>
      <c r="T935" s="792"/>
      <c r="U935" s="792"/>
      <c r="V935" s="793"/>
      <c r="W935" s="792"/>
      <c r="X935" s="792"/>
      <c r="Y935" s="792"/>
      <c r="Z935" s="792"/>
      <c r="AA935" s="792"/>
    </row>
    <row r="936" spans="1:27" ht="15.75" customHeight="1">
      <c r="A936" s="792"/>
      <c r="B936" s="792"/>
      <c r="C936" s="792"/>
      <c r="D936" s="792"/>
      <c r="E936" s="792"/>
      <c r="F936" s="792"/>
      <c r="G936" s="792"/>
      <c r="H936" s="792"/>
      <c r="I936" s="792"/>
      <c r="J936" s="792"/>
      <c r="K936" s="792"/>
      <c r="L936" s="792"/>
      <c r="M936" s="792"/>
      <c r="N936" s="792"/>
      <c r="O936" s="792"/>
      <c r="P936" s="792"/>
      <c r="Q936" s="792"/>
      <c r="R936" s="792"/>
      <c r="S936" s="792"/>
      <c r="T936" s="792"/>
      <c r="U936" s="792"/>
      <c r="V936" s="793"/>
      <c r="W936" s="792"/>
      <c r="X936" s="792"/>
      <c r="Y936" s="792"/>
      <c r="Z936" s="792"/>
      <c r="AA936" s="792"/>
    </row>
    <row r="937" spans="1:27" ht="15.75" customHeight="1">
      <c r="A937" s="792"/>
      <c r="B937" s="792"/>
      <c r="C937" s="792"/>
      <c r="D937" s="792"/>
      <c r="E937" s="792"/>
      <c r="F937" s="792"/>
      <c r="G937" s="792"/>
      <c r="H937" s="792"/>
      <c r="I937" s="792"/>
      <c r="J937" s="792"/>
      <c r="K937" s="792"/>
      <c r="L937" s="792"/>
      <c r="M937" s="792"/>
      <c r="N937" s="792"/>
      <c r="O937" s="792"/>
      <c r="P937" s="792"/>
      <c r="Q937" s="792"/>
      <c r="R937" s="792"/>
      <c r="S937" s="792"/>
      <c r="T937" s="792"/>
      <c r="U937" s="792"/>
      <c r="V937" s="793"/>
      <c r="W937" s="792"/>
      <c r="X937" s="792"/>
      <c r="Y937" s="792"/>
      <c r="Z937" s="792"/>
      <c r="AA937" s="792"/>
    </row>
    <row r="938" spans="1:27" ht="15.75" customHeight="1">
      <c r="A938" s="792"/>
      <c r="B938" s="792"/>
      <c r="C938" s="792"/>
      <c r="D938" s="792"/>
      <c r="E938" s="792"/>
      <c r="F938" s="792"/>
      <c r="G938" s="792"/>
      <c r="H938" s="792"/>
      <c r="I938" s="792"/>
      <c r="J938" s="792"/>
      <c r="K938" s="792"/>
      <c r="L938" s="792"/>
      <c r="M938" s="792"/>
      <c r="N938" s="792"/>
      <c r="O938" s="792"/>
      <c r="P938" s="792"/>
      <c r="Q938" s="792"/>
      <c r="R938" s="792"/>
      <c r="S938" s="792"/>
      <c r="T938" s="792"/>
      <c r="U938" s="792"/>
      <c r="V938" s="793"/>
      <c r="W938" s="792"/>
      <c r="X938" s="792"/>
      <c r="Y938" s="792"/>
      <c r="Z938" s="792"/>
      <c r="AA938" s="792"/>
    </row>
    <row r="939" spans="1:27" ht="15.75" customHeight="1">
      <c r="A939" s="792"/>
      <c r="B939" s="792"/>
      <c r="C939" s="792"/>
      <c r="D939" s="792"/>
      <c r="E939" s="792"/>
      <c r="F939" s="792"/>
      <c r="G939" s="792"/>
      <c r="H939" s="792"/>
      <c r="I939" s="792"/>
      <c r="J939" s="792"/>
      <c r="K939" s="792"/>
      <c r="L939" s="792"/>
      <c r="M939" s="792"/>
      <c r="N939" s="792"/>
      <c r="O939" s="792"/>
      <c r="P939" s="792"/>
      <c r="Q939" s="792"/>
      <c r="R939" s="792"/>
      <c r="S939" s="792"/>
      <c r="T939" s="792"/>
      <c r="U939" s="792"/>
      <c r="V939" s="793"/>
      <c r="W939" s="792"/>
      <c r="X939" s="792"/>
      <c r="Y939" s="792"/>
      <c r="Z939" s="792"/>
      <c r="AA939" s="792"/>
    </row>
    <row r="940" spans="1:27" ht="15.75" customHeight="1">
      <c r="A940" s="792"/>
      <c r="B940" s="792"/>
      <c r="C940" s="792"/>
      <c r="D940" s="792"/>
      <c r="E940" s="792"/>
      <c r="F940" s="792"/>
      <c r="G940" s="792"/>
      <c r="H940" s="792"/>
      <c r="I940" s="792"/>
      <c r="J940" s="792"/>
      <c r="K940" s="792"/>
      <c r="L940" s="792"/>
      <c r="M940" s="792"/>
      <c r="N940" s="792"/>
      <c r="O940" s="792"/>
      <c r="P940" s="792"/>
      <c r="Q940" s="792"/>
      <c r="R940" s="792"/>
      <c r="S940" s="792"/>
      <c r="T940" s="792"/>
      <c r="U940" s="792"/>
      <c r="V940" s="793"/>
      <c r="W940" s="792"/>
      <c r="X940" s="792"/>
      <c r="Y940" s="792"/>
      <c r="Z940" s="792"/>
      <c r="AA940" s="792"/>
    </row>
    <row r="941" spans="1:27" ht="15.75" customHeight="1">
      <c r="A941" s="792"/>
      <c r="B941" s="792"/>
      <c r="C941" s="792"/>
      <c r="D941" s="792"/>
      <c r="E941" s="792"/>
      <c r="F941" s="792"/>
      <c r="G941" s="792"/>
      <c r="H941" s="792"/>
      <c r="I941" s="792"/>
      <c r="J941" s="792"/>
      <c r="K941" s="792"/>
      <c r="L941" s="792"/>
      <c r="M941" s="792"/>
      <c r="N941" s="792"/>
      <c r="O941" s="792"/>
      <c r="P941" s="792"/>
      <c r="Q941" s="792"/>
      <c r="R941" s="792"/>
      <c r="S941" s="792"/>
      <c r="T941" s="792"/>
      <c r="U941" s="792"/>
      <c r="V941" s="793"/>
      <c r="W941" s="792"/>
      <c r="X941" s="792"/>
      <c r="Y941" s="792"/>
      <c r="Z941" s="792"/>
      <c r="AA941" s="792"/>
    </row>
    <row r="942" spans="1:27" ht="15.75" customHeight="1">
      <c r="A942" s="792"/>
      <c r="B942" s="792"/>
      <c r="C942" s="792"/>
      <c r="D942" s="792"/>
      <c r="E942" s="792"/>
      <c r="F942" s="792"/>
      <c r="G942" s="792"/>
      <c r="H942" s="792"/>
      <c r="I942" s="792"/>
      <c r="J942" s="792"/>
      <c r="K942" s="792"/>
      <c r="L942" s="792"/>
      <c r="M942" s="792"/>
      <c r="N942" s="792"/>
      <c r="O942" s="792"/>
      <c r="P942" s="792"/>
      <c r="Q942" s="792"/>
      <c r="R942" s="792"/>
      <c r="S942" s="792"/>
      <c r="T942" s="792"/>
      <c r="U942" s="792"/>
      <c r="V942" s="793"/>
      <c r="W942" s="792"/>
      <c r="X942" s="792"/>
      <c r="Y942" s="792"/>
      <c r="Z942" s="792"/>
      <c r="AA942" s="792"/>
    </row>
    <row r="943" spans="1:27" ht="15.75" customHeight="1">
      <c r="A943" s="792"/>
      <c r="B943" s="792"/>
      <c r="C943" s="792"/>
      <c r="D943" s="792"/>
      <c r="E943" s="792"/>
      <c r="F943" s="792"/>
      <c r="G943" s="792"/>
      <c r="H943" s="792"/>
      <c r="I943" s="792"/>
      <c r="J943" s="792"/>
      <c r="K943" s="792"/>
      <c r="L943" s="792"/>
      <c r="M943" s="792"/>
      <c r="N943" s="792"/>
      <c r="O943" s="792"/>
      <c r="P943" s="792"/>
      <c r="Q943" s="792"/>
      <c r="R943" s="792"/>
      <c r="S943" s="792"/>
      <c r="T943" s="792"/>
      <c r="U943" s="792"/>
      <c r="V943" s="793"/>
      <c r="W943" s="792"/>
      <c r="X943" s="792"/>
      <c r="Y943" s="792"/>
      <c r="Z943" s="792"/>
      <c r="AA943" s="792"/>
    </row>
    <row r="944" spans="1:27" ht="15.75" customHeight="1">
      <c r="A944" s="792"/>
      <c r="B944" s="792"/>
      <c r="C944" s="792"/>
      <c r="D944" s="792"/>
      <c r="E944" s="792"/>
      <c r="F944" s="792"/>
      <c r="G944" s="792"/>
      <c r="H944" s="792"/>
      <c r="I944" s="792"/>
      <c r="J944" s="792"/>
      <c r="K944" s="792"/>
      <c r="L944" s="792"/>
      <c r="M944" s="792"/>
      <c r="N944" s="792"/>
      <c r="O944" s="792"/>
      <c r="P944" s="792"/>
      <c r="Q944" s="792"/>
      <c r="R944" s="792"/>
      <c r="S944" s="792"/>
      <c r="T944" s="792"/>
      <c r="U944" s="792"/>
      <c r="V944" s="793"/>
      <c r="W944" s="792"/>
      <c r="X944" s="792"/>
      <c r="Y944" s="792"/>
      <c r="Z944" s="792"/>
      <c r="AA944" s="792"/>
    </row>
    <row r="945" spans="1:27" ht="15.75" customHeight="1">
      <c r="A945" s="792"/>
      <c r="B945" s="792"/>
      <c r="C945" s="792"/>
      <c r="D945" s="792"/>
      <c r="E945" s="792"/>
      <c r="F945" s="792"/>
      <c r="G945" s="792"/>
      <c r="H945" s="792"/>
      <c r="I945" s="792"/>
      <c r="J945" s="792"/>
      <c r="K945" s="792"/>
      <c r="L945" s="792"/>
      <c r="M945" s="792"/>
      <c r="N945" s="792"/>
      <c r="O945" s="792"/>
      <c r="P945" s="792"/>
      <c r="Q945" s="792"/>
      <c r="R945" s="792"/>
      <c r="S945" s="792"/>
      <c r="T945" s="792"/>
      <c r="U945" s="792"/>
      <c r="V945" s="793"/>
      <c r="W945" s="792"/>
      <c r="X945" s="792"/>
      <c r="Y945" s="792"/>
      <c r="Z945" s="792"/>
      <c r="AA945" s="792"/>
    </row>
    <row r="946" spans="1:27" ht="15.75" customHeight="1">
      <c r="A946" s="792"/>
      <c r="B946" s="792"/>
      <c r="C946" s="792"/>
      <c r="D946" s="792"/>
      <c r="E946" s="792"/>
      <c r="F946" s="792"/>
      <c r="G946" s="792"/>
      <c r="H946" s="792"/>
      <c r="I946" s="792"/>
      <c r="J946" s="792"/>
      <c r="K946" s="792"/>
      <c r="L946" s="792"/>
      <c r="M946" s="792"/>
      <c r="N946" s="792"/>
      <c r="O946" s="792"/>
      <c r="P946" s="792"/>
      <c r="Q946" s="792"/>
      <c r="R946" s="792"/>
      <c r="S946" s="792"/>
      <c r="T946" s="792"/>
      <c r="U946" s="792"/>
      <c r="V946" s="793"/>
      <c r="W946" s="792"/>
      <c r="X946" s="792"/>
      <c r="Y946" s="792"/>
      <c r="Z946" s="792"/>
      <c r="AA946" s="792"/>
    </row>
    <row r="947" spans="1:27" ht="15.75" customHeight="1">
      <c r="A947" s="792"/>
      <c r="B947" s="792"/>
      <c r="C947" s="792"/>
      <c r="D947" s="792"/>
      <c r="E947" s="792"/>
      <c r="F947" s="792"/>
      <c r="G947" s="792"/>
      <c r="H947" s="792"/>
      <c r="I947" s="792"/>
      <c r="J947" s="792"/>
      <c r="K947" s="792"/>
      <c r="L947" s="792"/>
      <c r="M947" s="792"/>
      <c r="N947" s="792"/>
      <c r="O947" s="792"/>
      <c r="P947" s="792"/>
      <c r="Q947" s="792"/>
      <c r="R947" s="792"/>
      <c r="S947" s="792"/>
      <c r="T947" s="792"/>
      <c r="U947" s="792"/>
      <c r="V947" s="793"/>
      <c r="W947" s="792"/>
      <c r="X947" s="792"/>
      <c r="Y947" s="792"/>
      <c r="Z947" s="792"/>
      <c r="AA947" s="792"/>
    </row>
    <row r="948" spans="1:27" ht="15.75" customHeight="1">
      <c r="A948" s="792"/>
      <c r="B948" s="792"/>
      <c r="C948" s="792"/>
      <c r="D948" s="792"/>
      <c r="E948" s="792"/>
      <c r="F948" s="792"/>
      <c r="G948" s="792"/>
      <c r="H948" s="792"/>
      <c r="I948" s="792"/>
      <c r="J948" s="792"/>
      <c r="K948" s="792"/>
      <c r="L948" s="792"/>
      <c r="M948" s="792"/>
      <c r="N948" s="792"/>
      <c r="O948" s="792"/>
      <c r="P948" s="792"/>
      <c r="Q948" s="792"/>
      <c r="R948" s="792"/>
      <c r="S948" s="792"/>
      <c r="T948" s="792"/>
      <c r="U948" s="792"/>
      <c r="V948" s="793"/>
      <c r="W948" s="792"/>
      <c r="X948" s="792"/>
      <c r="Y948" s="792"/>
      <c r="Z948" s="792"/>
      <c r="AA948" s="792"/>
    </row>
    <row r="949" spans="1:27" ht="15.75" customHeight="1">
      <c r="A949" s="792"/>
      <c r="B949" s="792"/>
      <c r="C949" s="792"/>
      <c r="D949" s="792"/>
      <c r="E949" s="792"/>
      <c r="F949" s="792"/>
      <c r="G949" s="792"/>
      <c r="H949" s="792"/>
      <c r="I949" s="792"/>
      <c r="J949" s="792"/>
      <c r="K949" s="792"/>
      <c r="L949" s="792"/>
      <c r="M949" s="792"/>
      <c r="N949" s="792"/>
      <c r="O949" s="792"/>
      <c r="P949" s="792"/>
      <c r="Q949" s="792"/>
      <c r="R949" s="792"/>
      <c r="S949" s="792"/>
      <c r="T949" s="792"/>
      <c r="U949" s="792"/>
      <c r="V949" s="793"/>
      <c r="W949" s="792"/>
      <c r="X949" s="792"/>
      <c r="Y949" s="792"/>
      <c r="Z949" s="792"/>
      <c r="AA949" s="792"/>
    </row>
    <row r="950" spans="1:27" ht="15.75" customHeight="1">
      <c r="A950" s="792"/>
      <c r="B950" s="792"/>
      <c r="C950" s="792"/>
      <c r="D950" s="792"/>
      <c r="E950" s="792"/>
      <c r="F950" s="792"/>
      <c r="G950" s="792"/>
      <c r="H950" s="792"/>
      <c r="I950" s="792"/>
      <c r="J950" s="792"/>
      <c r="K950" s="792"/>
      <c r="L950" s="792"/>
      <c r="M950" s="792"/>
      <c r="N950" s="792"/>
      <c r="O950" s="792"/>
      <c r="P950" s="792"/>
      <c r="Q950" s="792"/>
      <c r="R950" s="792"/>
      <c r="S950" s="792"/>
      <c r="T950" s="792"/>
      <c r="U950" s="792"/>
      <c r="V950" s="793"/>
      <c r="W950" s="792"/>
      <c r="X950" s="792"/>
      <c r="Y950" s="792"/>
      <c r="Z950" s="792"/>
      <c r="AA950" s="792"/>
    </row>
    <row r="951" spans="1:27" ht="15.75" customHeight="1">
      <c r="A951" s="792"/>
      <c r="B951" s="792"/>
      <c r="C951" s="792"/>
      <c r="D951" s="792"/>
      <c r="E951" s="792"/>
      <c r="F951" s="792"/>
      <c r="G951" s="792"/>
      <c r="H951" s="792"/>
      <c r="I951" s="792"/>
      <c r="J951" s="792"/>
      <c r="K951" s="792"/>
      <c r="L951" s="792"/>
      <c r="M951" s="792"/>
      <c r="N951" s="792"/>
      <c r="O951" s="792"/>
      <c r="P951" s="792"/>
      <c r="Q951" s="792"/>
      <c r="R951" s="792"/>
      <c r="S951" s="792"/>
      <c r="T951" s="792"/>
      <c r="U951" s="792"/>
      <c r="V951" s="793"/>
      <c r="W951" s="792"/>
      <c r="X951" s="792"/>
      <c r="Y951" s="792"/>
      <c r="Z951" s="792"/>
      <c r="AA951" s="792"/>
    </row>
    <row r="952" spans="1:27" ht="15.75" customHeight="1">
      <c r="A952" s="792"/>
      <c r="B952" s="792"/>
      <c r="C952" s="792"/>
      <c r="D952" s="792"/>
      <c r="E952" s="792"/>
      <c r="F952" s="792"/>
      <c r="G952" s="792"/>
      <c r="H952" s="792"/>
      <c r="I952" s="792"/>
      <c r="J952" s="792"/>
      <c r="K952" s="792"/>
      <c r="L952" s="792"/>
      <c r="M952" s="792"/>
      <c r="N952" s="792"/>
      <c r="O952" s="792"/>
      <c r="P952" s="792"/>
      <c r="Q952" s="792"/>
      <c r="R952" s="792"/>
      <c r="S952" s="792"/>
      <c r="T952" s="792"/>
      <c r="U952" s="792"/>
      <c r="V952" s="793"/>
      <c r="W952" s="792"/>
      <c r="X952" s="792"/>
      <c r="Y952" s="792"/>
      <c r="Z952" s="792"/>
      <c r="AA952" s="792"/>
    </row>
    <row r="953" spans="1:27" ht="15.75" customHeight="1">
      <c r="A953" s="792"/>
      <c r="B953" s="792"/>
      <c r="C953" s="792"/>
      <c r="D953" s="792"/>
      <c r="E953" s="792"/>
      <c r="F953" s="792"/>
      <c r="G953" s="792"/>
      <c r="H953" s="792"/>
      <c r="I953" s="792"/>
      <c r="J953" s="792"/>
      <c r="K953" s="792"/>
      <c r="L953" s="792"/>
      <c r="M953" s="792"/>
      <c r="N953" s="792"/>
      <c r="O953" s="792"/>
      <c r="P953" s="792"/>
      <c r="Q953" s="792"/>
      <c r="R953" s="792"/>
      <c r="S953" s="792"/>
      <c r="T953" s="792"/>
      <c r="U953" s="792"/>
      <c r="V953" s="793"/>
      <c r="W953" s="792"/>
      <c r="X953" s="792"/>
      <c r="Y953" s="792"/>
      <c r="Z953" s="792"/>
      <c r="AA953" s="792"/>
    </row>
    <row r="954" spans="1:27" ht="15.75" customHeight="1">
      <c r="A954" s="792"/>
      <c r="B954" s="792"/>
      <c r="C954" s="792"/>
      <c r="D954" s="792"/>
      <c r="E954" s="792"/>
      <c r="F954" s="792"/>
      <c r="G954" s="792"/>
      <c r="H954" s="792"/>
      <c r="I954" s="792"/>
      <c r="J954" s="792"/>
      <c r="K954" s="792"/>
      <c r="L954" s="792"/>
      <c r="M954" s="792"/>
      <c r="N954" s="792"/>
      <c r="O954" s="792"/>
      <c r="P954" s="792"/>
      <c r="Q954" s="792"/>
      <c r="R954" s="792"/>
      <c r="S954" s="792"/>
      <c r="T954" s="792"/>
      <c r="U954" s="792"/>
      <c r="V954" s="793"/>
      <c r="W954" s="792"/>
      <c r="X954" s="792"/>
      <c r="Y954" s="792"/>
      <c r="Z954" s="792"/>
      <c r="AA954" s="792"/>
    </row>
    <row r="955" spans="1:27" ht="15.75" customHeight="1">
      <c r="A955" s="792"/>
      <c r="B955" s="792"/>
      <c r="C955" s="792"/>
      <c r="D955" s="792"/>
      <c r="E955" s="792"/>
      <c r="F955" s="792"/>
      <c r="G955" s="792"/>
      <c r="H955" s="792"/>
      <c r="I955" s="792"/>
      <c r="J955" s="792"/>
      <c r="K955" s="792"/>
      <c r="L955" s="792"/>
      <c r="M955" s="792"/>
      <c r="N955" s="792"/>
      <c r="O955" s="792"/>
      <c r="P955" s="792"/>
      <c r="Q955" s="792"/>
      <c r="R955" s="792"/>
      <c r="S955" s="792"/>
      <c r="T955" s="792"/>
      <c r="U955" s="792"/>
      <c r="V955" s="793"/>
      <c r="W955" s="792"/>
      <c r="X955" s="792"/>
      <c r="Y955" s="792"/>
      <c r="Z955" s="792"/>
      <c r="AA955" s="792"/>
    </row>
    <row r="956" spans="1:27" ht="15.75" customHeight="1">
      <c r="A956" s="792"/>
      <c r="B956" s="792"/>
      <c r="C956" s="792"/>
      <c r="D956" s="792"/>
      <c r="E956" s="792"/>
      <c r="F956" s="792"/>
      <c r="G956" s="792"/>
      <c r="H956" s="792"/>
      <c r="I956" s="792"/>
      <c r="J956" s="792"/>
      <c r="K956" s="792"/>
      <c r="L956" s="792"/>
      <c r="M956" s="792"/>
      <c r="N956" s="792"/>
      <c r="O956" s="792"/>
      <c r="P956" s="792"/>
      <c r="Q956" s="792"/>
      <c r="R956" s="792"/>
      <c r="S956" s="792"/>
      <c r="T956" s="792"/>
      <c r="U956" s="792"/>
      <c r="V956" s="793"/>
      <c r="W956" s="792"/>
      <c r="X956" s="792"/>
      <c r="Y956" s="792"/>
      <c r="Z956" s="792"/>
      <c r="AA956" s="792"/>
    </row>
    <row r="957" spans="1:27" ht="15.75" customHeight="1">
      <c r="A957" s="792"/>
      <c r="B957" s="792"/>
      <c r="C957" s="792"/>
      <c r="D957" s="792"/>
      <c r="E957" s="792"/>
      <c r="F957" s="792"/>
      <c r="G957" s="792"/>
      <c r="H957" s="792"/>
      <c r="I957" s="792"/>
      <c r="J957" s="792"/>
      <c r="K957" s="792"/>
      <c r="L957" s="792"/>
      <c r="M957" s="792"/>
      <c r="N957" s="792"/>
      <c r="O957" s="792"/>
      <c r="P957" s="792"/>
      <c r="Q957" s="792"/>
      <c r="R957" s="792"/>
      <c r="S957" s="792"/>
      <c r="T957" s="792"/>
      <c r="U957" s="792"/>
      <c r="V957" s="793"/>
      <c r="W957" s="792"/>
      <c r="X957" s="792"/>
      <c r="Y957" s="792"/>
      <c r="Z957" s="792"/>
      <c r="AA957" s="792"/>
    </row>
    <row r="958" spans="1:27" ht="15.75" customHeight="1">
      <c r="A958" s="792"/>
      <c r="B958" s="792"/>
      <c r="C958" s="792"/>
      <c r="D958" s="792"/>
      <c r="E958" s="792"/>
      <c r="F958" s="792"/>
      <c r="G958" s="792"/>
      <c r="H958" s="792"/>
      <c r="I958" s="792"/>
      <c r="J958" s="792"/>
      <c r="K958" s="792"/>
      <c r="L958" s="792"/>
      <c r="M958" s="792"/>
      <c r="N958" s="792"/>
      <c r="O958" s="792"/>
      <c r="P958" s="792"/>
      <c r="Q958" s="792"/>
      <c r="R958" s="792"/>
      <c r="S958" s="792"/>
      <c r="T958" s="792"/>
      <c r="U958" s="792"/>
      <c r="V958" s="793"/>
      <c r="W958" s="792"/>
      <c r="X958" s="792"/>
      <c r="Y958" s="792"/>
      <c r="Z958" s="792"/>
      <c r="AA958" s="792"/>
    </row>
    <row r="959" spans="1:27" ht="15.75" customHeight="1">
      <c r="A959" s="792"/>
      <c r="B959" s="792"/>
      <c r="C959" s="792"/>
      <c r="D959" s="792"/>
      <c r="E959" s="792"/>
      <c r="F959" s="792"/>
      <c r="G959" s="792"/>
      <c r="H959" s="792"/>
      <c r="I959" s="792"/>
      <c r="J959" s="792"/>
      <c r="K959" s="792"/>
      <c r="L959" s="792"/>
      <c r="M959" s="792"/>
      <c r="N959" s="792"/>
      <c r="O959" s="792"/>
      <c r="P959" s="792"/>
      <c r="Q959" s="792"/>
      <c r="R959" s="792"/>
      <c r="S959" s="792"/>
      <c r="T959" s="792"/>
      <c r="U959" s="792"/>
      <c r="V959" s="793"/>
      <c r="W959" s="792"/>
      <c r="X959" s="792"/>
      <c r="Y959" s="792"/>
      <c r="Z959" s="792"/>
      <c r="AA959" s="792"/>
    </row>
    <row r="960" spans="1:27" ht="15.75" customHeight="1">
      <c r="A960" s="792"/>
      <c r="B960" s="792"/>
      <c r="C960" s="792"/>
      <c r="D960" s="792"/>
      <c r="E960" s="792"/>
      <c r="F960" s="792"/>
      <c r="G960" s="792"/>
      <c r="H960" s="792"/>
      <c r="I960" s="792"/>
      <c r="J960" s="792"/>
      <c r="K960" s="792"/>
      <c r="L960" s="792"/>
      <c r="M960" s="792"/>
      <c r="N960" s="792"/>
      <c r="O960" s="792"/>
      <c r="P960" s="792"/>
      <c r="Q960" s="792"/>
      <c r="R960" s="792"/>
      <c r="S960" s="792"/>
      <c r="T960" s="792"/>
      <c r="U960" s="792"/>
      <c r="V960" s="793"/>
      <c r="W960" s="792"/>
      <c r="X960" s="792"/>
      <c r="Y960" s="792"/>
      <c r="Z960" s="792"/>
      <c r="AA960" s="792"/>
    </row>
    <row r="961" spans="1:27" ht="15.75" customHeight="1">
      <c r="A961" s="792"/>
      <c r="B961" s="792"/>
      <c r="C961" s="792"/>
      <c r="D961" s="792"/>
      <c r="E961" s="792"/>
      <c r="F961" s="792"/>
      <c r="G961" s="792"/>
      <c r="H961" s="792"/>
      <c r="I961" s="792"/>
      <c r="J961" s="792"/>
      <c r="K961" s="792"/>
      <c r="L961" s="792"/>
      <c r="M961" s="792"/>
      <c r="N961" s="792"/>
      <c r="O961" s="792"/>
      <c r="P961" s="792"/>
      <c r="Q961" s="792"/>
      <c r="R961" s="792"/>
      <c r="S961" s="792"/>
      <c r="T961" s="792"/>
      <c r="U961" s="792"/>
      <c r="V961" s="793"/>
      <c r="W961" s="792"/>
      <c r="X961" s="792"/>
      <c r="Y961" s="792"/>
      <c r="Z961" s="792"/>
      <c r="AA961" s="792"/>
    </row>
    <row r="962" spans="1:27" ht="15.75" customHeight="1">
      <c r="A962" s="792"/>
      <c r="B962" s="792"/>
      <c r="C962" s="792"/>
      <c r="D962" s="792"/>
      <c r="E962" s="792"/>
      <c r="F962" s="792"/>
      <c r="G962" s="792"/>
      <c r="H962" s="792"/>
      <c r="I962" s="792"/>
      <c r="J962" s="792"/>
      <c r="K962" s="792"/>
      <c r="L962" s="792"/>
      <c r="M962" s="792"/>
      <c r="N962" s="792"/>
      <c r="O962" s="792"/>
      <c r="P962" s="792"/>
      <c r="Q962" s="792"/>
      <c r="R962" s="792"/>
      <c r="S962" s="792"/>
      <c r="T962" s="792"/>
      <c r="U962" s="792"/>
      <c r="V962" s="793"/>
      <c r="W962" s="792"/>
      <c r="X962" s="792"/>
      <c r="Y962" s="792"/>
      <c r="Z962" s="792"/>
      <c r="AA962" s="792"/>
    </row>
    <row r="963" spans="1:27" ht="15.75" customHeight="1">
      <c r="A963" s="792"/>
      <c r="B963" s="792"/>
      <c r="C963" s="792"/>
      <c r="D963" s="792"/>
      <c r="E963" s="792"/>
      <c r="F963" s="792"/>
      <c r="G963" s="792"/>
      <c r="H963" s="792"/>
      <c r="I963" s="792"/>
      <c r="J963" s="792"/>
      <c r="K963" s="792"/>
      <c r="L963" s="792"/>
      <c r="M963" s="792"/>
      <c r="N963" s="792"/>
      <c r="O963" s="792"/>
      <c r="P963" s="792"/>
      <c r="Q963" s="792"/>
      <c r="R963" s="792"/>
      <c r="S963" s="792"/>
      <c r="T963" s="792"/>
      <c r="U963" s="792"/>
      <c r="V963" s="793"/>
      <c r="W963" s="792"/>
      <c r="X963" s="792"/>
      <c r="Y963" s="792"/>
      <c r="Z963" s="792"/>
      <c r="AA963" s="792"/>
    </row>
    <row r="964" spans="1:27" ht="15.75" customHeight="1">
      <c r="A964" s="792"/>
      <c r="B964" s="792"/>
      <c r="C964" s="792"/>
      <c r="D964" s="792"/>
      <c r="E964" s="792"/>
      <c r="F964" s="792"/>
      <c r="G964" s="792"/>
      <c r="H964" s="792"/>
      <c r="I964" s="792"/>
      <c r="J964" s="792"/>
      <c r="K964" s="792"/>
      <c r="L964" s="792"/>
      <c r="M964" s="792"/>
      <c r="N964" s="792"/>
      <c r="O964" s="792"/>
      <c r="P964" s="792"/>
      <c r="Q964" s="792"/>
      <c r="R964" s="792"/>
      <c r="S964" s="792"/>
      <c r="T964" s="792"/>
      <c r="U964" s="792"/>
      <c r="V964" s="793"/>
      <c r="W964" s="792"/>
      <c r="X964" s="792"/>
      <c r="Y964" s="792"/>
      <c r="Z964" s="792"/>
      <c r="AA964" s="792"/>
    </row>
    <row r="965" spans="1:27" ht="15.75" customHeight="1">
      <c r="A965" s="792"/>
      <c r="B965" s="792"/>
      <c r="C965" s="792"/>
      <c r="D965" s="792"/>
      <c r="E965" s="792"/>
      <c r="F965" s="792"/>
      <c r="G965" s="792"/>
      <c r="H965" s="792"/>
      <c r="I965" s="792"/>
      <c r="J965" s="792"/>
      <c r="K965" s="792"/>
      <c r="L965" s="792"/>
      <c r="M965" s="792"/>
      <c r="N965" s="792"/>
      <c r="O965" s="792"/>
      <c r="P965" s="792"/>
      <c r="Q965" s="792"/>
      <c r="R965" s="792"/>
      <c r="S965" s="792"/>
      <c r="T965" s="792"/>
      <c r="U965" s="792"/>
      <c r="V965" s="793"/>
      <c r="W965" s="792"/>
      <c r="X965" s="792"/>
      <c r="Y965" s="792"/>
      <c r="Z965" s="792"/>
      <c r="AA965" s="792"/>
    </row>
    <row r="966" spans="1:27" ht="15.75" customHeight="1">
      <c r="A966" s="792"/>
      <c r="B966" s="792"/>
      <c r="C966" s="792"/>
      <c r="D966" s="792"/>
      <c r="E966" s="792"/>
      <c r="F966" s="792"/>
      <c r="G966" s="792"/>
      <c r="H966" s="792"/>
      <c r="I966" s="792"/>
      <c r="J966" s="792"/>
      <c r="K966" s="792"/>
      <c r="L966" s="792"/>
      <c r="M966" s="792"/>
      <c r="N966" s="792"/>
      <c r="O966" s="792"/>
      <c r="P966" s="792"/>
      <c r="Q966" s="792"/>
      <c r="R966" s="792"/>
      <c r="S966" s="792"/>
      <c r="T966" s="792"/>
      <c r="U966" s="792"/>
      <c r="V966" s="793"/>
      <c r="W966" s="792"/>
      <c r="X966" s="792"/>
      <c r="Y966" s="792"/>
      <c r="Z966" s="792"/>
      <c r="AA966" s="792"/>
    </row>
    <row r="967" spans="1:27" ht="15.75" customHeight="1">
      <c r="A967" s="792"/>
      <c r="B967" s="792"/>
      <c r="C967" s="792"/>
      <c r="D967" s="792"/>
      <c r="E967" s="792"/>
      <c r="F967" s="792"/>
      <c r="G967" s="792"/>
      <c r="H967" s="792"/>
      <c r="I967" s="792"/>
      <c r="J967" s="792"/>
      <c r="K967" s="792"/>
      <c r="L967" s="792"/>
      <c r="M967" s="792"/>
      <c r="N967" s="792"/>
      <c r="O967" s="792"/>
      <c r="P967" s="792"/>
      <c r="Q967" s="792"/>
      <c r="R967" s="792"/>
      <c r="S967" s="792"/>
      <c r="T967" s="792"/>
      <c r="U967" s="792"/>
      <c r="V967" s="793"/>
      <c r="W967" s="792"/>
      <c r="X967" s="792"/>
      <c r="Y967" s="792"/>
      <c r="Z967" s="792"/>
      <c r="AA967" s="792"/>
    </row>
    <row r="968" spans="1:27" ht="15.75" customHeight="1">
      <c r="A968" s="792"/>
      <c r="B968" s="792"/>
      <c r="C968" s="792"/>
      <c r="D968" s="792"/>
      <c r="E968" s="792"/>
      <c r="F968" s="792"/>
      <c r="G968" s="792"/>
      <c r="H968" s="792"/>
      <c r="I968" s="792"/>
      <c r="J968" s="792"/>
      <c r="K968" s="792"/>
      <c r="L968" s="792"/>
      <c r="M968" s="792"/>
      <c r="N968" s="792"/>
      <c r="O968" s="792"/>
      <c r="P968" s="792"/>
      <c r="Q968" s="792"/>
      <c r="R968" s="792"/>
      <c r="S968" s="792"/>
      <c r="T968" s="792"/>
      <c r="U968" s="792"/>
      <c r="V968" s="793"/>
      <c r="W968" s="792"/>
      <c r="X968" s="792"/>
      <c r="Y968" s="792"/>
      <c r="Z968" s="792"/>
      <c r="AA968" s="792"/>
    </row>
    <row r="969" spans="1:27" ht="15.75" customHeight="1">
      <c r="A969" s="792"/>
      <c r="B969" s="792"/>
      <c r="C969" s="792"/>
      <c r="D969" s="792"/>
      <c r="E969" s="792"/>
      <c r="F969" s="792"/>
      <c r="G969" s="792"/>
      <c r="H969" s="792"/>
      <c r="I969" s="792"/>
      <c r="J969" s="792"/>
      <c r="K969" s="792"/>
      <c r="L969" s="792"/>
      <c r="M969" s="792"/>
      <c r="N969" s="792"/>
      <c r="O969" s="792"/>
      <c r="P969" s="792"/>
      <c r="Q969" s="792"/>
      <c r="R969" s="792"/>
      <c r="S969" s="792"/>
      <c r="T969" s="792"/>
      <c r="U969" s="792"/>
      <c r="V969" s="793"/>
      <c r="W969" s="792"/>
      <c r="X969" s="792"/>
      <c r="Y969" s="792"/>
      <c r="Z969" s="792"/>
      <c r="AA969" s="792"/>
    </row>
    <row r="970" spans="1:27" ht="15.75" customHeight="1">
      <c r="A970" s="792"/>
      <c r="B970" s="792"/>
      <c r="C970" s="792"/>
      <c r="D970" s="792"/>
      <c r="E970" s="792"/>
      <c r="F970" s="792"/>
      <c r="G970" s="792"/>
      <c r="H970" s="792"/>
      <c r="I970" s="792"/>
      <c r="J970" s="792"/>
      <c r="K970" s="792"/>
      <c r="L970" s="792"/>
      <c r="M970" s="792"/>
      <c r="N970" s="792"/>
      <c r="O970" s="792"/>
      <c r="P970" s="792"/>
      <c r="Q970" s="792"/>
      <c r="R970" s="792"/>
      <c r="S970" s="792"/>
      <c r="T970" s="792"/>
      <c r="U970" s="792"/>
      <c r="V970" s="793"/>
      <c r="W970" s="792"/>
      <c r="X970" s="792"/>
      <c r="Y970" s="792"/>
      <c r="Z970" s="792"/>
      <c r="AA970" s="792"/>
    </row>
    <row r="971" spans="1:27" ht="15.75" customHeight="1">
      <c r="A971" s="792"/>
      <c r="B971" s="792"/>
      <c r="C971" s="792"/>
      <c r="D971" s="792"/>
      <c r="E971" s="792"/>
      <c r="F971" s="792"/>
      <c r="G971" s="792"/>
      <c r="H971" s="792"/>
      <c r="I971" s="792"/>
      <c r="J971" s="792"/>
      <c r="K971" s="792"/>
      <c r="L971" s="792"/>
      <c r="M971" s="792"/>
      <c r="N971" s="792"/>
      <c r="O971" s="792"/>
      <c r="P971" s="792"/>
      <c r="Q971" s="792"/>
      <c r="R971" s="792"/>
      <c r="S971" s="792"/>
      <c r="T971" s="792"/>
      <c r="U971" s="792"/>
      <c r="V971" s="793"/>
      <c r="W971" s="792"/>
      <c r="X971" s="792"/>
      <c r="Y971" s="792"/>
      <c r="Z971" s="792"/>
      <c r="AA971" s="792"/>
    </row>
    <row r="972" spans="1:27" ht="15.75" customHeight="1">
      <c r="A972" s="792"/>
      <c r="B972" s="792"/>
      <c r="C972" s="792"/>
      <c r="D972" s="792"/>
      <c r="E972" s="792"/>
      <c r="F972" s="792"/>
      <c r="G972" s="792"/>
      <c r="H972" s="792"/>
      <c r="I972" s="792"/>
      <c r="J972" s="792"/>
      <c r="K972" s="792"/>
      <c r="L972" s="792"/>
      <c r="M972" s="792"/>
      <c r="N972" s="792"/>
      <c r="O972" s="792"/>
      <c r="P972" s="792"/>
      <c r="Q972" s="792"/>
      <c r="R972" s="792"/>
      <c r="S972" s="792"/>
      <c r="T972" s="792"/>
      <c r="U972" s="792"/>
      <c r="V972" s="793"/>
      <c r="W972" s="792"/>
      <c r="X972" s="792"/>
      <c r="Y972" s="792"/>
      <c r="Z972" s="792"/>
      <c r="AA972" s="792"/>
    </row>
    <row r="973" spans="1:27" ht="15.75" customHeight="1">
      <c r="A973" s="792"/>
      <c r="B973" s="792"/>
      <c r="C973" s="792"/>
      <c r="D973" s="792"/>
      <c r="E973" s="792"/>
      <c r="F973" s="792"/>
      <c r="G973" s="792"/>
      <c r="H973" s="792"/>
      <c r="I973" s="792"/>
      <c r="J973" s="792"/>
      <c r="K973" s="792"/>
      <c r="L973" s="792"/>
      <c r="M973" s="792"/>
      <c r="N973" s="792"/>
      <c r="O973" s="792"/>
      <c r="P973" s="792"/>
      <c r="Q973" s="792"/>
      <c r="R973" s="792"/>
      <c r="S973" s="792"/>
      <c r="T973" s="792"/>
      <c r="U973" s="792"/>
      <c r="V973" s="793"/>
      <c r="W973" s="792"/>
      <c r="X973" s="792"/>
      <c r="Y973" s="792"/>
      <c r="Z973" s="792"/>
      <c r="AA973" s="792"/>
    </row>
    <row r="974" spans="1:27" ht="15.75" customHeight="1">
      <c r="A974" s="792"/>
      <c r="B974" s="792"/>
      <c r="C974" s="792"/>
      <c r="D974" s="792"/>
      <c r="E974" s="792"/>
      <c r="F974" s="792"/>
      <c r="G974" s="792"/>
      <c r="H974" s="792"/>
      <c r="I974" s="792"/>
      <c r="J974" s="792"/>
      <c r="K974" s="792"/>
      <c r="L974" s="792"/>
      <c r="M974" s="792"/>
      <c r="N974" s="792"/>
      <c r="O974" s="792"/>
      <c r="P974" s="792"/>
      <c r="Q974" s="792"/>
      <c r="R974" s="792"/>
      <c r="S974" s="792"/>
      <c r="T974" s="792"/>
      <c r="U974" s="792"/>
      <c r="V974" s="793"/>
      <c r="W974" s="792"/>
      <c r="X974" s="792"/>
      <c r="Y974" s="792"/>
      <c r="Z974" s="792"/>
      <c r="AA974" s="792"/>
    </row>
    <row r="975" spans="1:27" ht="15.75" customHeight="1">
      <c r="A975" s="792"/>
      <c r="B975" s="792"/>
      <c r="C975" s="792"/>
      <c r="D975" s="792"/>
      <c r="E975" s="792"/>
      <c r="F975" s="792"/>
      <c r="G975" s="792"/>
      <c r="H975" s="792"/>
      <c r="I975" s="792"/>
      <c r="J975" s="792"/>
      <c r="K975" s="792"/>
      <c r="L975" s="792"/>
      <c r="M975" s="792"/>
      <c r="N975" s="792"/>
      <c r="O975" s="792"/>
      <c r="P975" s="792"/>
      <c r="Q975" s="792"/>
      <c r="R975" s="792"/>
      <c r="S975" s="792"/>
      <c r="T975" s="792"/>
      <c r="U975" s="792"/>
      <c r="V975" s="793"/>
      <c r="W975" s="792"/>
      <c r="X975" s="792"/>
      <c r="Y975" s="792"/>
      <c r="Z975" s="792"/>
      <c r="AA975" s="792"/>
    </row>
    <row r="976" spans="1:27" ht="15.75" customHeight="1">
      <c r="A976" s="792"/>
      <c r="B976" s="792"/>
      <c r="C976" s="792"/>
      <c r="D976" s="792"/>
      <c r="E976" s="792"/>
      <c r="F976" s="792"/>
      <c r="G976" s="792"/>
      <c r="H976" s="792"/>
      <c r="I976" s="792"/>
      <c r="J976" s="792"/>
      <c r="K976" s="792"/>
      <c r="L976" s="792"/>
      <c r="M976" s="792"/>
      <c r="N976" s="792"/>
      <c r="O976" s="792"/>
      <c r="P976" s="792"/>
      <c r="Q976" s="792"/>
      <c r="R976" s="792"/>
      <c r="S976" s="792"/>
      <c r="T976" s="792"/>
      <c r="U976" s="792"/>
      <c r="V976" s="793"/>
      <c r="W976" s="792"/>
      <c r="X976" s="792"/>
      <c r="Y976" s="792"/>
      <c r="Z976" s="792"/>
      <c r="AA976" s="792"/>
    </row>
    <row r="977" spans="1:27" ht="15.75" customHeight="1">
      <c r="A977" s="792"/>
      <c r="B977" s="792"/>
      <c r="C977" s="792"/>
      <c r="D977" s="792"/>
      <c r="E977" s="792"/>
      <c r="F977" s="792"/>
      <c r="G977" s="792"/>
      <c r="H977" s="792"/>
      <c r="I977" s="792"/>
      <c r="J977" s="792"/>
      <c r="K977" s="792"/>
      <c r="L977" s="792"/>
      <c r="M977" s="792"/>
      <c r="N977" s="792"/>
      <c r="O977" s="792"/>
      <c r="P977" s="792"/>
      <c r="Q977" s="792"/>
      <c r="R977" s="792"/>
      <c r="S977" s="792"/>
      <c r="T977" s="792"/>
      <c r="U977" s="792"/>
      <c r="V977" s="793"/>
      <c r="W977" s="792"/>
      <c r="X977" s="792"/>
      <c r="Y977" s="792"/>
      <c r="Z977" s="792"/>
      <c r="AA977" s="792"/>
    </row>
    <row r="978" spans="1:27" ht="15.75" customHeight="1">
      <c r="A978" s="792"/>
      <c r="B978" s="792"/>
      <c r="C978" s="792"/>
      <c r="D978" s="792"/>
      <c r="E978" s="792"/>
      <c r="F978" s="792"/>
      <c r="G978" s="792"/>
      <c r="H978" s="792"/>
      <c r="I978" s="792"/>
      <c r="J978" s="792"/>
      <c r="K978" s="792"/>
      <c r="L978" s="792"/>
      <c r="M978" s="792"/>
      <c r="N978" s="792"/>
      <c r="O978" s="792"/>
      <c r="P978" s="792"/>
      <c r="Q978" s="792"/>
      <c r="R978" s="792"/>
      <c r="S978" s="792"/>
      <c r="T978" s="792"/>
      <c r="U978" s="792"/>
      <c r="V978" s="793"/>
      <c r="W978" s="792"/>
      <c r="X978" s="792"/>
      <c r="Y978" s="792"/>
      <c r="Z978" s="792"/>
      <c r="AA978" s="792"/>
    </row>
    <row r="979" spans="1:27" ht="15.75" customHeight="1">
      <c r="A979" s="792"/>
      <c r="B979" s="792"/>
      <c r="C979" s="792"/>
      <c r="D979" s="792"/>
      <c r="E979" s="792"/>
      <c r="F979" s="792"/>
      <c r="G979" s="792"/>
      <c r="H979" s="792"/>
      <c r="I979" s="792"/>
      <c r="J979" s="792"/>
      <c r="K979" s="792"/>
      <c r="L979" s="792"/>
      <c r="M979" s="792"/>
      <c r="N979" s="792"/>
      <c r="O979" s="792"/>
      <c r="P979" s="792"/>
      <c r="Q979" s="792"/>
      <c r="R979" s="792"/>
      <c r="S979" s="792"/>
      <c r="T979" s="792"/>
      <c r="U979" s="792"/>
      <c r="V979" s="793"/>
      <c r="W979" s="792"/>
      <c r="X979" s="792"/>
      <c r="Y979" s="792"/>
      <c r="Z979" s="792"/>
      <c r="AA979" s="792"/>
    </row>
    <row r="980" spans="1:27" ht="15.75" customHeight="1">
      <c r="A980" s="792"/>
      <c r="B980" s="792"/>
      <c r="C980" s="792"/>
      <c r="D980" s="792"/>
      <c r="E980" s="792"/>
      <c r="F980" s="792"/>
      <c r="G980" s="792"/>
      <c r="H980" s="792"/>
      <c r="I980" s="792"/>
      <c r="J980" s="792"/>
      <c r="K980" s="792"/>
      <c r="L980" s="792"/>
      <c r="M980" s="792"/>
      <c r="N980" s="792"/>
      <c r="O980" s="792"/>
      <c r="P980" s="792"/>
      <c r="Q980" s="792"/>
      <c r="R980" s="792"/>
      <c r="S980" s="792"/>
      <c r="T980" s="792"/>
      <c r="U980" s="792"/>
      <c r="V980" s="793"/>
      <c r="W980" s="792"/>
      <c r="X980" s="792"/>
      <c r="Y980" s="792"/>
      <c r="Z980" s="792"/>
      <c r="AA980" s="792"/>
    </row>
    <row r="981" spans="1:27" ht="15.75" customHeight="1">
      <c r="A981" s="792"/>
      <c r="B981" s="792"/>
      <c r="C981" s="792"/>
      <c r="D981" s="792"/>
      <c r="E981" s="792"/>
      <c r="F981" s="792"/>
      <c r="G981" s="792"/>
      <c r="H981" s="792"/>
      <c r="I981" s="792"/>
      <c r="J981" s="792"/>
      <c r="K981" s="792"/>
      <c r="L981" s="792"/>
      <c r="M981" s="792"/>
      <c r="N981" s="792"/>
      <c r="O981" s="792"/>
      <c r="P981" s="792"/>
      <c r="Q981" s="792"/>
      <c r="R981" s="792"/>
      <c r="S981" s="792"/>
      <c r="T981" s="792"/>
      <c r="U981" s="792"/>
      <c r="V981" s="793"/>
      <c r="W981" s="792"/>
      <c r="X981" s="792"/>
      <c r="Y981" s="792"/>
      <c r="Z981" s="792"/>
      <c r="AA981" s="792"/>
    </row>
    <row r="982" spans="1:27" ht="15.75" customHeight="1">
      <c r="A982" s="792"/>
      <c r="B982" s="792"/>
      <c r="C982" s="792"/>
      <c r="D982" s="792"/>
      <c r="E982" s="792"/>
      <c r="F982" s="792"/>
      <c r="G982" s="792"/>
      <c r="H982" s="792"/>
      <c r="I982" s="792"/>
      <c r="J982" s="792"/>
      <c r="K982" s="792"/>
      <c r="L982" s="792"/>
      <c r="M982" s="792"/>
      <c r="N982" s="792"/>
      <c r="O982" s="792"/>
      <c r="P982" s="792"/>
      <c r="Q982" s="792"/>
      <c r="R982" s="792"/>
      <c r="S982" s="792"/>
      <c r="T982" s="792"/>
      <c r="U982" s="792"/>
      <c r="V982" s="793"/>
      <c r="W982" s="792"/>
      <c r="X982" s="792"/>
      <c r="Y982" s="792"/>
      <c r="Z982" s="792"/>
      <c r="AA982" s="792"/>
    </row>
    <row r="983" spans="1:27" ht="15.75" customHeight="1">
      <c r="A983" s="792"/>
      <c r="B983" s="792"/>
      <c r="C983" s="792"/>
      <c r="D983" s="792"/>
      <c r="E983" s="792"/>
      <c r="F983" s="792"/>
      <c r="G983" s="792"/>
      <c r="H983" s="792"/>
      <c r="I983" s="792"/>
      <c r="J983" s="792"/>
      <c r="K983" s="792"/>
      <c r="L983" s="792"/>
      <c r="M983" s="792"/>
      <c r="N983" s="792"/>
      <c r="O983" s="792"/>
      <c r="P983" s="792"/>
      <c r="Q983" s="792"/>
      <c r="R983" s="792"/>
      <c r="S983" s="792"/>
      <c r="T983" s="792"/>
      <c r="U983" s="792"/>
      <c r="V983" s="793"/>
      <c r="W983" s="792"/>
      <c r="X983" s="792"/>
      <c r="Y983" s="792"/>
      <c r="Z983" s="792"/>
      <c r="AA983" s="792"/>
    </row>
    <row r="984" spans="1:27" ht="15.75" customHeight="1">
      <c r="A984" s="792"/>
      <c r="B984" s="792"/>
      <c r="C984" s="792"/>
      <c r="D984" s="792"/>
      <c r="E984" s="792"/>
      <c r="F984" s="792"/>
      <c r="G984" s="792"/>
      <c r="H984" s="792"/>
      <c r="I984" s="792"/>
      <c r="J984" s="792"/>
      <c r="K984" s="792"/>
      <c r="L984" s="792"/>
      <c r="M984" s="792"/>
      <c r="N984" s="792"/>
      <c r="O984" s="792"/>
      <c r="P984" s="792"/>
      <c r="Q984" s="792"/>
      <c r="R984" s="792"/>
      <c r="S984" s="792"/>
      <c r="T984" s="792"/>
      <c r="U984" s="792"/>
      <c r="V984" s="793"/>
      <c r="W984" s="792"/>
      <c r="X984" s="792"/>
      <c r="Y984" s="792"/>
      <c r="Z984" s="792"/>
      <c r="AA984" s="792"/>
    </row>
    <row r="985" spans="1:27" ht="15.75" customHeight="1">
      <c r="A985" s="792"/>
      <c r="B985" s="792"/>
      <c r="C985" s="792"/>
      <c r="D985" s="792"/>
      <c r="E985" s="792"/>
      <c r="F985" s="792"/>
      <c r="G985" s="792"/>
      <c r="H985" s="792"/>
      <c r="I985" s="792"/>
      <c r="J985" s="792"/>
      <c r="K985" s="792"/>
      <c r="L985" s="792"/>
      <c r="M985" s="792"/>
      <c r="N985" s="792"/>
      <c r="O985" s="792"/>
      <c r="P985" s="792"/>
      <c r="Q985" s="792"/>
      <c r="R985" s="792"/>
      <c r="S985" s="792"/>
      <c r="T985" s="792"/>
      <c r="U985" s="792"/>
      <c r="V985" s="793"/>
      <c r="W985" s="792"/>
      <c r="X985" s="792"/>
      <c r="Y985" s="792"/>
      <c r="Z985" s="792"/>
      <c r="AA985" s="792"/>
    </row>
    <row r="986" spans="1:27" ht="15.75" customHeight="1">
      <c r="A986" s="792"/>
      <c r="B986" s="792"/>
      <c r="C986" s="792"/>
      <c r="D986" s="792"/>
      <c r="E986" s="792"/>
      <c r="F986" s="792"/>
      <c r="G986" s="792"/>
      <c r="H986" s="792"/>
      <c r="I986" s="792"/>
      <c r="J986" s="792"/>
      <c r="K986" s="792"/>
      <c r="L986" s="792"/>
      <c r="M986" s="792"/>
      <c r="N986" s="792"/>
      <c r="O986" s="792"/>
      <c r="P986" s="792"/>
      <c r="Q986" s="792"/>
      <c r="R986" s="792"/>
      <c r="S986" s="792"/>
      <c r="T986" s="792"/>
      <c r="U986" s="792"/>
      <c r="V986" s="793"/>
      <c r="W986" s="792"/>
      <c r="X986" s="792"/>
      <c r="Y986" s="792"/>
      <c r="Z986" s="792"/>
      <c r="AA986" s="792"/>
    </row>
    <row r="987" spans="1:27" ht="15.75" customHeight="1">
      <c r="A987" s="792"/>
      <c r="B987" s="792"/>
      <c r="C987" s="792"/>
      <c r="D987" s="792"/>
      <c r="E987" s="792"/>
      <c r="F987" s="792"/>
      <c r="G987" s="792"/>
      <c r="H987" s="792"/>
      <c r="I987" s="792"/>
      <c r="J987" s="792"/>
      <c r="K987" s="792"/>
      <c r="L987" s="792"/>
      <c r="M987" s="792"/>
      <c r="N987" s="792"/>
      <c r="O987" s="792"/>
      <c r="P987" s="792"/>
      <c r="Q987" s="792"/>
      <c r="R987" s="792"/>
      <c r="S987" s="792"/>
      <c r="T987" s="792"/>
      <c r="U987" s="792"/>
      <c r="V987" s="793"/>
      <c r="W987" s="792"/>
      <c r="X987" s="792"/>
      <c r="Y987" s="792"/>
      <c r="Z987" s="792"/>
      <c r="AA987" s="792"/>
    </row>
    <row r="988" spans="1:27" ht="15.75" customHeight="1">
      <c r="A988" s="792"/>
      <c r="B988" s="792"/>
      <c r="C988" s="792"/>
      <c r="D988" s="792"/>
      <c r="E988" s="792"/>
      <c r="F988" s="792"/>
      <c r="G988" s="792"/>
      <c r="H988" s="792"/>
      <c r="I988" s="792"/>
      <c r="J988" s="792"/>
      <c r="K988" s="792"/>
      <c r="L988" s="792"/>
      <c r="M988" s="792"/>
      <c r="N988" s="792"/>
      <c r="O988" s="792"/>
      <c r="P988" s="792"/>
      <c r="Q988" s="792"/>
      <c r="R988" s="792"/>
      <c r="S988" s="792"/>
      <c r="T988" s="792"/>
      <c r="U988" s="792"/>
      <c r="V988" s="793"/>
      <c r="W988" s="792"/>
      <c r="X988" s="792"/>
      <c r="Y988" s="792"/>
      <c r="Z988" s="792"/>
      <c r="AA988" s="792"/>
    </row>
    <row r="989" spans="1:27" ht="15.75" customHeight="1">
      <c r="A989" s="792"/>
      <c r="B989" s="792"/>
      <c r="C989" s="792"/>
      <c r="D989" s="792"/>
      <c r="E989" s="792"/>
      <c r="F989" s="792"/>
      <c r="G989" s="792"/>
      <c r="H989" s="792"/>
      <c r="I989" s="792"/>
      <c r="J989" s="792"/>
      <c r="K989" s="792"/>
      <c r="L989" s="792"/>
      <c r="M989" s="792"/>
      <c r="N989" s="792"/>
      <c r="O989" s="792"/>
      <c r="P989" s="792"/>
      <c r="Q989" s="792"/>
      <c r="R989" s="792"/>
      <c r="S989" s="792"/>
      <c r="T989" s="792"/>
      <c r="U989" s="792"/>
      <c r="V989" s="793"/>
      <c r="W989" s="792"/>
      <c r="X989" s="792"/>
      <c r="Y989" s="792"/>
      <c r="Z989" s="792"/>
      <c r="AA989" s="792"/>
    </row>
    <row r="990" spans="1:27" ht="15.75" customHeight="1">
      <c r="A990" s="792"/>
      <c r="B990" s="792"/>
      <c r="C990" s="792"/>
      <c r="D990" s="792"/>
      <c r="E990" s="792"/>
      <c r="F990" s="792"/>
      <c r="G990" s="792"/>
      <c r="H990" s="792"/>
      <c r="I990" s="792"/>
      <c r="J990" s="792"/>
      <c r="K990" s="792"/>
      <c r="L990" s="792"/>
      <c r="M990" s="792"/>
      <c r="N990" s="792"/>
      <c r="O990" s="792"/>
      <c r="P990" s="792"/>
      <c r="Q990" s="792"/>
      <c r="R990" s="792"/>
      <c r="S990" s="792"/>
      <c r="T990" s="792"/>
      <c r="U990" s="792"/>
      <c r="V990" s="793"/>
      <c r="W990" s="792"/>
      <c r="X990" s="792"/>
      <c r="Y990" s="792"/>
      <c r="Z990" s="792"/>
      <c r="AA990" s="792"/>
    </row>
    <row r="991" spans="1:27" ht="15.75" customHeight="1">
      <c r="A991" s="792"/>
      <c r="B991" s="792"/>
      <c r="C991" s="792"/>
      <c r="D991" s="792"/>
      <c r="E991" s="792"/>
      <c r="F991" s="792"/>
      <c r="G991" s="792"/>
      <c r="H991" s="792"/>
      <c r="I991" s="792"/>
      <c r="J991" s="792"/>
      <c r="K991" s="792"/>
      <c r="L991" s="792"/>
      <c r="M991" s="792"/>
      <c r="N991" s="792"/>
      <c r="O991" s="792"/>
      <c r="P991" s="792"/>
      <c r="Q991" s="792"/>
      <c r="R991" s="792"/>
      <c r="S991" s="792"/>
      <c r="T991" s="792"/>
      <c r="U991" s="792"/>
      <c r="V991" s="793"/>
      <c r="W991" s="792"/>
      <c r="X991" s="792"/>
      <c r="Y991" s="792"/>
      <c r="Z991" s="792"/>
      <c r="AA991" s="792"/>
    </row>
    <row r="992" spans="1:27" ht="15.75" customHeight="1">
      <c r="A992" s="792"/>
      <c r="B992" s="792"/>
      <c r="C992" s="792"/>
      <c r="D992" s="792"/>
      <c r="E992" s="792"/>
      <c r="F992" s="792"/>
      <c r="G992" s="792"/>
      <c r="H992" s="792"/>
      <c r="I992" s="792"/>
      <c r="J992" s="792"/>
      <c r="K992" s="792"/>
      <c r="L992" s="792"/>
      <c r="M992" s="792"/>
      <c r="N992" s="792"/>
      <c r="O992" s="792"/>
      <c r="P992" s="792"/>
      <c r="Q992" s="792"/>
      <c r="R992" s="792"/>
      <c r="S992" s="792"/>
      <c r="T992" s="792"/>
      <c r="U992" s="792"/>
      <c r="V992" s="793"/>
      <c r="W992" s="792"/>
      <c r="X992" s="792"/>
      <c r="Y992" s="792"/>
      <c r="Z992" s="792"/>
      <c r="AA992" s="792"/>
    </row>
    <row r="993" spans="1:27" ht="15.75" customHeight="1">
      <c r="A993" s="792"/>
      <c r="B993" s="792"/>
      <c r="C993" s="792"/>
      <c r="D993" s="792"/>
      <c r="E993" s="792"/>
      <c r="F993" s="792"/>
      <c r="G993" s="792"/>
      <c r="H993" s="792"/>
      <c r="I993" s="792"/>
      <c r="J993" s="792"/>
      <c r="K993" s="792"/>
      <c r="L993" s="792"/>
      <c r="M993" s="792"/>
      <c r="N993" s="792"/>
      <c r="O993" s="792"/>
      <c r="P993" s="792"/>
      <c r="Q993" s="792"/>
      <c r="R993" s="792"/>
      <c r="S993" s="792"/>
      <c r="T993" s="792"/>
      <c r="U993" s="792"/>
      <c r="V993" s="793"/>
      <c r="W993" s="792"/>
      <c r="X993" s="792"/>
      <c r="Y993" s="792"/>
      <c r="Z993" s="792"/>
      <c r="AA993" s="792"/>
    </row>
    <row r="994" spans="1:27" ht="15.75" customHeight="1">
      <c r="A994" s="792"/>
      <c r="B994" s="792"/>
      <c r="C994" s="792"/>
      <c r="D994" s="792"/>
      <c r="E994" s="792"/>
      <c r="F994" s="792"/>
      <c r="G994" s="792"/>
      <c r="H994" s="792"/>
      <c r="I994" s="792"/>
      <c r="J994" s="792"/>
      <c r="K994" s="792"/>
      <c r="L994" s="792"/>
      <c r="M994" s="792"/>
      <c r="N994" s="792"/>
      <c r="O994" s="792"/>
      <c r="P994" s="792"/>
      <c r="Q994" s="792"/>
      <c r="R994" s="792"/>
      <c r="S994" s="792"/>
      <c r="T994" s="792"/>
      <c r="U994" s="792"/>
      <c r="V994" s="793"/>
      <c r="W994" s="792"/>
      <c r="X994" s="792"/>
      <c r="Y994" s="792"/>
      <c r="Z994" s="792"/>
      <c r="AA994" s="792"/>
    </row>
    <row r="995" spans="1:27" ht="15.75" customHeight="1">
      <c r="A995" s="792"/>
      <c r="B995" s="792"/>
      <c r="C995" s="792"/>
      <c r="D995" s="792"/>
      <c r="E995" s="792"/>
      <c r="F995" s="792"/>
      <c r="G995" s="792"/>
      <c r="H995" s="792"/>
      <c r="I995" s="792"/>
      <c r="J995" s="792"/>
      <c r="K995" s="792"/>
      <c r="L995" s="792"/>
      <c r="M995" s="792"/>
      <c r="N995" s="792"/>
      <c r="O995" s="792"/>
      <c r="P995" s="792"/>
      <c r="Q995" s="792"/>
      <c r="R995" s="792"/>
      <c r="S995" s="792"/>
      <c r="T995" s="792"/>
      <c r="U995" s="792"/>
      <c r="V995" s="793"/>
      <c r="W995" s="792"/>
      <c r="X995" s="792"/>
      <c r="Y995" s="792"/>
      <c r="Z995" s="792"/>
      <c r="AA995" s="792"/>
    </row>
    <row r="996" spans="1:27" ht="15.75" customHeight="1">
      <c r="A996" s="792"/>
      <c r="B996" s="792"/>
      <c r="C996" s="792"/>
      <c r="D996" s="792"/>
      <c r="E996" s="792"/>
      <c r="F996" s="792"/>
      <c r="G996" s="792"/>
      <c r="H996" s="792"/>
      <c r="I996" s="792"/>
      <c r="J996" s="792"/>
      <c r="K996" s="792"/>
      <c r="L996" s="792"/>
      <c r="M996" s="792"/>
      <c r="N996" s="792"/>
      <c r="O996" s="792"/>
      <c r="P996" s="792"/>
      <c r="Q996" s="792"/>
      <c r="R996" s="792"/>
      <c r="S996" s="792"/>
      <c r="T996" s="792"/>
      <c r="U996" s="792"/>
      <c r="V996" s="793"/>
      <c r="W996" s="792"/>
      <c r="X996" s="792"/>
      <c r="Y996" s="792"/>
      <c r="Z996" s="792"/>
      <c r="AA996" s="792"/>
    </row>
    <row r="997" spans="1:27" ht="15.75" customHeight="1">
      <c r="A997" s="792"/>
      <c r="B997" s="792"/>
      <c r="C997" s="792"/>
      <c r="D997" s="792"/>
      <c r="E997" s="792"/>
      <c r="F997" s="792"/>
      <c r="G997" s="792"/>
      <c r="H997" s="792"/>
      <c r="I997" s="792"/>
      <c r="J997" s="792"/>
      <c r="K997" s="792"/>
      <c r="L997" s="792"/>
      <c r="M997" s="792"/>
      <c r="N997" s="792"/>
      <c r="O997" s="792"/>
      <c r="P997" s="792"/>
      <c r="Q997" s="792"/>
      <c r="R997" s="792"/>
      <c r="S997" s="792"/>
      <c r="T997" s="792"/>
      <c r="U997" s="792"/>
      <c r="V997" s="793"/>
      <c r="W997" s="792"/>
      <c r="X997" s="792"/>
      <c r="Y997" s="792"/>
      <c r="Z997" s="792"/>
      <c r="AA997" s="792"/>
    </row>
    <row r="998" spans="1:27" ht="15.75" customHeight="1">
      <c r="A998" s="792"/>
      <c r="B998" s="792"/>
      <c r="C998" s="792"/>
      <c r="D998" s="792"/>
      <c r="E998" s="792"/>
      <c r="F998" s="792"/>
      <c r="G998" s="792"/>
      <c r="H998" s="792"/>
      <c r="I998" s="792"/>
      <c r="J998" s="792"/>
      <c r="K998" s="792"/>
      <c r="L998" s="792"/>
      <c r="M998" s="792"/>
      <c r="N998" s="792"/>
      <c r="O998" s="792"/>
      <c r="P998" s="792"/>
      <c r="Q998" s="792"/>
      <c r="R998" s="792"/>
      <c r="S998" s="792"/>
      <c r="T998" s="792"/>
      <c r="U998" s="792"/>
      <c r="V998" s="793"/>
      <c r="W998" s="792"/>
      <c r="X998" s="792"/>
      <c r="Y998" s="792"/>
      <c r="Z998" s="792"/>
      <c r="AA998" s="792"/>
    </row>
    <row r="999" spans="1:27" ht="15.75" customHeight="1">
      <c r="A999" s="792"/>
      <c r="B999" s="792"/>
      <c r="C999" s="792"/>
      <c r="D999" s="792"/>
      <c r="E999" s="792"/>
      <c r="F999" s="792"/>
      <c r="G999" s="792"/>
      <c r="H999" s="792"/>
      <c r="I999" s="792"/>
      <c r="J999" s="792"/>
      <c r="K999" s="792"/>
      <c r="L999" s="792"/>
      <c r="M999" s="792"/>
      <c r="N999" s="792"/>
      <c r="O999" s="792"/>
      <c r="P999" s="792"/>
      <c r="Q999" s="792"/>
      <c r="R999" s="792"/>
      <c r="S999" s="792"/>
      <c r="T999" s="792"/>
      <c r="U999" s="792"/>
      <c r="V999" s="793"/>
      <c r="W999" s="792"/>
      <c r="X999" s="792"/>
      <c r="Y999" s="792"/>
      <c r="Z999" s="792"/>
      <c r="AA999" s="792"/>
    </row>
    <row r="1000" spans="1:27" ht="15.75" customHeight="1">
      <c r="A1000" s="792"/>
      <c r="B1000" s="792"/>
      <c r="C1000" s="792"/>
      <c r="D1000" s="792"/>
      <c r="E1000" s="792"/>
      <c r="F1000" s="792"/>
      <c r="G1000" s="792"/>
      <c r="H1000" s="792"/>
      <c r="I1000" s="792"/>
      <c r="J1000" s="792"/>
      <c r="K1000" s="792"/>
      <c r="L1000" s="792"/>
      <c r="M1000" s="792"/>
      <c r="N1000" s="792"/>
      <c r="O1000" s="792"/>
      <c r="P1000" s="792"/>
      <c r="Q1000" s="792"/>
      <c r="R1000" s="792"/>
      <c r="S1000" s="792"/>
      <c r="T1000" s="792"/>
      <c r="U1000" s="792"/>
      <c r="V1000" s="793"/>
      <c r="W1000" s="792"/>
      <c r="X1000" s="792"/>
      <c r="Y1000" s="792"/>
      <c r="Z1000" s="792"/>
      <c r="AA1000" s="792"/>
    </row>
  </sheetData>
  <mergeCells count="101">
    <mergeCell ref="B204:B206"/>
    <mergeCell ref="C204:C206"/>
    <mergeCell ref="B210:D210"/>
    <mergeCell ref="A211:D211"/>
    <mergeCell ref="A135:A158"/>
    <mergeCell ref="B135:B136"/>
    <mergeCell ref="B138:B144"/>
    <mergeCell ref="B145:B146"/>
    <mergeCell ref="B147:B149"/>
    <mergeCell ref="B158:D158"/>
    <mergeCell ref="A159:A210"/>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9:B162"/>
    <mergeCell ref="C159:C162"/>
    <mergeCell ref="B163:B167"/>
    <mergeCell ref="C163:C167"/>
    <mergeCell ref="B168:B172"/>
    <mergeCell ref="C168:C172"/>
    <mergeCell ref="B202:B203"/>
    <mergeCell ref="C202:C203"/>
    <mergeCell ref="B194:B199"/>
    <mergeCell ref="C194:C199"/>
    <mergeCell ref="B200:B201"/>
    <mergeCell ref="C200:C201"/>
    <mergeCell ref="B150:B153"/>
    <mergeCell ref="B114:B118"/>
    <mergeCell ref="C114:C118"/>
    <mergeCell ref="B119:B120"/>
    <mergeCell ref="C119:C120"/>
    <mergeCell ref="B122:B125"/>
    <mergeCell ref="C122:C125"/>
    <mergeCell ref="B128:B130"/>
    <mergeCell ref="C128:C130"/>
    <mergeCell ref="B131:B132"/>
    <mergeCell ref="C131:C132"/>
    <mergeCell ref="B79:B85"/>
    <mergeCell ref="C79:C85"/>
    <mergeCell ref="B134:D134"/>
    <mergeCell ref="C94:C103"/>
    <mergeCell ref="B104:B105"/>
    <mergeCell ref="C104:C105"/>
    <mergeCell ref="B106:B110"/>
    <mergeCell ref="C106:C110"/>
    <mergeCell ref="B111:B113"/>
    <mergeCell ref="C111:C113"/>
    <mergeCell ref="B94:B103"/>
    <mergeCell ref="C40:C46"/>
    <mergeCell ref="B47:B56"/>
    <mergeCell ref="C47:C56"/>
    <mergeCell ref="C75:C78"/>
    <mergeCell ref="A6:A68"/>
    <mergeCell ref="B6:B23"/>
    <mergeCell ref="C6:C23"/>
    <mergeCell ref="B24:B25"/>
    <mergeCell ref="C24:C25"/>
    <mergeCell ref="B68:D68"/>
    <mergeCell ref="A94:A134"/>
    <mergeCell ref="B26:B36"/>
    <mergeCell ref="C26:C36"/>
    <mergeCell ref="B93:D93"/>
    <mergeCell ref="S4:S5"/>
    <mergeCell ref="V4:V5"/>
    <mergeCell ref="J4:L4"/>
    <mergeCell ref="M4:M5"/>
    <mergeCell ref="N4:N5"/>
    <mergeCell ref="O4:O5"/>
    <mergeCell ref="P4:P5"/>
    <mergeCell ref="Q4:Q5"/>
    <mergeCell ref="R4:R5"/>
    <mergeCell ref="B75:B78"/>
    <mergeCell ref="B86:B89"/>
    <mergeCell ref="C86:C89"/>
    <mergeCell ref="B57:B66"/>
    <mergeCell ref="C57:C66"/>
    <mergeCell ref="A69:A93"/>
    <mergeCell ref="B70:B74"/>
    <mergeCell ref="C70:C74"/>
    <mergeCell ref="B37:B39"/>
    <mergeCell ref="C37:C39"/>
    <mergeCell ref="B40:B46"/>
    <mergeCell ref="A4:A5"/>
    <mergeCell ref="B4:B5"/>
    <mergeCell ref="C4:C5"/>
    <mergeCell ref="D4:D5"/>
    <mergeCell ref="F4:F5"/>
    <mergeCell ref="E4:E5"/>
    <mergeCell ref="G4:H4"/>
    <mergeCell ref="I4:I5"/>
    <mergeCell ref="A3:E3"/>
  </mergeCells>
  <conditionalFormatting sqref="Q22">
    <cfRule type="notContainsBlanks" dxfId="0" priority="1">
      <formula>LEN(TRIM(Q22))&gt;0</formula>
    </cfRule>
  </conditionalFormatting>
  <pageMargins left="0.18" right="0.28999999999999998" top="0.18" bottom="0.19" header="0" footer="0"/>
  <pageSetup scale="85" orientation="portrait" r:id="rId1"/>
</worksheet>
</file>

<file path=xl/worksheets/sheet11.xml><?xml version="1.0" encoding="utf-8"?>
<worksheet xmlns="http://schemas.openxmlformats.org/spreadsheetml/2006/main" xmlns:r="http://schemas.openxmlformats.org/officeDocument/2006/relationships">
  <dimension ref="A1:AA1000"/>
  <sheetViews>
    <sheetView workbookViewId="0">
      <pane xSplit="4" ySplit="5" topLeftCell="E186" activePane="bottomRight" state="frozen"/>
      <selection pane="topRight" activeCell="E1" sqref="E1"/>
      <selection pane="bottomLeft" activeCell="A6" sqref="A6"/>
      <selection pane="bottomRight" activeCell="P187" sqref="P187:V187"/>
    </sheetView>
  </sheetViews>
  <sheetFormatPr defaultColWidth="14.42578125" defaultRowHeight="15" customHeight="1"/>
  <cols>
    <col min="1" max="1" width="8.85546875" style="784" customWidth="1"/>
    <col min="2" max="2" width="7.42578125" style="784" customWidth="1"/>
    <col min="3" max="3" width="11.28515625" style="784" customWidth="1"/>
    <col min="4" max="4" width="8.85546875" style="784" customWidth="1"/>
    <col min="5" max="5" width="17.42578125" style="784" customWidth="1"/>
    <col min="6" max="6" width="8" style="784" customWidth="1"/>
    <col min="7" max="7" width="5.28515625" style="784" customWidth="1"/>
    <col min="8" max="8" width="7.28515625" style="784" customWidth="1"/>
    <col min="9" max="9" width="8.5703125" style="784" customWidth="1"/>
    <col min="10" max="10" width="5.42578125" style="784" customWidth="1"/>
    <col min="11" max="11" width="8.5703125" style="784" customWidth="1"/>
    <col min="12" max="12" width="5" style="784" customWidth="1"/>
    <col min="13" max="14" width="8.5703125" style="784" customWidth="1"/>
    <col min="15" max="15" width="9.28515625" style="784" customWidth="1"/>
    <col min="16" max="16" width="10.42578125" style="784" customWidth="1"/>
    <col min="17" max="17" width="16.5703125" style="784" customWidth="1"/>
    <col min="18" max="19" width="8.5703125" style="784" customWidth="1"/>
    <col min="20" max="20" width="9.7109375" style="784" customWidth="1"/>
    <col min="21" max="21" width="8.5703125" style="784" customWidth="1"/>
    <col min="22" max="22" width="44.85546875" style="784" customWidth="1"/>
    <col min="23" max="23" width="63" style="784" hidden="1" customWidth="1"/>
    <col min="24" max="27" width="14.42578125" style="784" customWidth="1"/>
    <col min="28" max="16384" width="14.42578125" style="784"/>
  </cols>
  <sheetData>
    <row r="1" spans="1:27" ht="20.25" customHeight="1">
      <c r="A1" s="1"/>
      <c r="B1" s="2"/>
      <c r="C1" s="2"/>
      <c r="D1" s="2"/>
      <c r="E1" s="469" t="s">
        <v>0</v>
      </c>
      <c r="J1" s="3"/>
      <c r="K1" s="3"/>
      <c r="L1" s="3"/>
      <c r="M1" s="3"/>
      <c r="N1" s="3"/>
      <c r="O1" s="3"/>
      <c r="P1" s="3"/>
      <c r="Q1" s="3"/>
      <c r="R1" s="3"/>
      <c r="S1" s="3"/>
      <c r="T1" s="3"/>
      <c r="U1" s="3"/>
      <c r="V1" s="18"/>
    </row>
    <row r="2" spans="1:27" ht="23.25" customHeight="1">
      <c r="A2" s="3"/>
      <c r="B2" s="3"/>
      <c r="C2" s="3"/>
      <c r="D2" s="3"/>
      <c r="E2" s="3"/>
      <c r="F2" s="3"/>
      <c r="G2" s="3"/>
      <c r="H2" s="3"/>
      <c r="I2" s="3"/>
      <c r="J2" s="3"/>
      <c r="K2" s="3"/>
      <c r="L2" s="3"/>
      <c r="M2" s="3"/>
      <c r="N2" s="3"/>
      <c r="O2" s="3"/>
      <c r="P2" s="3"/>
      <c r="Q2" s="3"/>
      <c r="R2" s="3"/>
      <c r="S2" s="3"/>
      <c r="T2" s="3"/>
      <c r="U2" s="3"/>
      <c r="V2" s="18"/>
    </row>
    <row r="3" spans="1:27" ht="22.5" customHeight="1">
      <c r="A3" s="827" t="s">
        <v>1707</v>
      </c>
      <c r="B3" s="827"/>
      <c r="C3" s="827"/>
      <c r="D3" s="827"/>
      <c r="E3" s="827"/>
      <c r="F3" s="470"/>
      <c r="G3" s="470"/>
      <c r="H3" s="470"/>
      <c r="I3" s="470"/>
      <c r="J3" s="470"/>
      <c r="K3" s="470"/>
      <c r="L3" s="470"/>
      <c r="M3" s="470"/>
      <c r="N3" s="470"/>
      <c r="O3" s="470"/>
      <c r="P3" s="470"/>
      <c r="Q3" s="470"/>
      <c r="R3" s="470"/>
      <c r="S3" s="470"/>
      <c r="T3" s="471"/>
      <c r="U3" s="470"/>
      <c r="V3" s="470" t="s">
        <v>2</v>
      </c>
    </row>
    <row r="4" spans="1:27">
      <c r="A4" s="699" t="s">
        <v>3</v>
      </c>
      <c r="B4" s="699" t="s">
        <v>4</v>
      </c>
      <c r="C4" s="699" t="s">
        <v>5</v>
      </c>
      <c r="D4" s="644" t="s">
        <v>6</v>
      </c>
      <c r="E4" s="699" t="s">
        <v>388</v>
      </c>
      <c r="F4" s="699" t="s">
        <v>8</v>
      </c>
      <c r="G4" s="699" t="s">
        <v>9</v>
      </c>
      <c r="H4" s="736"/>
      <c r="I4" s="699" t="s">
        <v>10</v>
      </c>
      <c r="J4" s="699" t="s">
        <v>11</v>
      </c>
      <c r="K4" s="736"/>
      <c r="L4" s="736"/>
      <c r="M4" s="699" t="s">
        <v>12</v>
      </c>
      <c r="N4" s="699" t="s">
        <v>13</v>
      </c>
      <c r="O4" s="699" t="s">
        <v>14</v>
      </c>
      <c r="P4" s="699" t="s">
        <v>445</v>
      </c>
      <c r="Q4" s="699" t="s">
        <v>16</v>
      </c>
      <c r="R4" s="699" t="s">
        <v>17</v>
      </c>
      <c r="S4" s="699" t="s">
        <v>18</v>
      </c>
      <c r="T4" s="644" t="s">
        <v>19</v>
      </c>
      <c r="U4" s="644" t="s">
        <v>19</v>
      </c>
      <c r="V4" s="699" t="s">
        <v>389</v>
      </c>
      <c r="W4" s="697" t="s">
        <v>389</v>
      </c>
      <c r="X4" s="3"/>
      <c r="Y4" s="3"/>
      <c r="Z4" s="3"/>
      <c r="AA4" s="3"/>
    </row>
    <row r="5" spans="1:27" ht="33.75" customHeight="1">
      <c r="A5" s="736"/>
      <c r="B5" s="736"/>
      <c r="C5" s="736"/>
      <c r="D5" s="644"/>
      <c r="E5" s="736"/>
      <c r="F5" s="736"/>
      <c r="G5" s="644" t="s">
        <v>21</v>
      </c>
      <c r="H5" s="644" t="s">
        <v>22</v>
      </c>
      <c r="I5" s="736"/>
      <c r="J5" s="644" t="s">
        <v>1692</v>
      </c>
      <c r="K5" s="644" t="s">
        <v>23</v>
      </c>
      <c r="L5" s="644" t="s">
        <v>24</v>
      </c>
      <c r="M5" s="736"/>
      <c r="N5" s="736"/>
      <c r="O5" s="736"/>
      <c r="P5" s="736"/>
      <c r="Q5" s="736"/>
      <c r="R5" s="736"/>
      <c r="S5" s="736"/>
      <c r="T5" s="644" t="s">
        <v>25</v>
      </c>
      <c r="U5" s="644" t="s">
        <v>26</v>
      </c>
      <c r="V5" s="736"/>
      <c r="W5" s="698"/>
      <c r="X5" s="3"/>
      <c r="Y5" s="3"/>
      <c r="Z5" s="3"/>
      <c r="AA5" s="3"/>
    </row>
    <row r="6" spans="1:27" ht="45">
      <c r="A6" s="700" t="s">
        <v>27</v>
      </c>
      <c r="B6" s="699" t="s">
        <v>28</v>
      </c>
      <c r="C6" s="699" t="s">
        <v>29</v>
      </c>
      <c r="D6" s="644">
        <v>1</v>
      </c>
      <c r="E6" s="644" t="s">
        <v>30</v>
      </c>
      <c r="F6" s="645"/>
      <c r="G6" s="645"/>
      <c r="H6" s="645"/>
      <c r="I6" s="645"/>
      <c r="J6" s="645"/>
      <c r="K6" s="645"/>
      <c r="L6" s="645"/>
      <c r="M6" s="645"/>
      <c r="N6" s="645"/>
      <c r="O6" s="645"/>
      <c r="P6" s="645"/>
      <c r="Q6" s="645"/>
      <c r="R6" s="645"/>
      <c r="S6" s="645"/>
      <c r="T6" s="646">
        <f t="shared" ref="T6:T103" si="0">SUM(F6:S6)</f>
        <v>0</v>
      </c>
      <c r="U6" s="646">
        <v>0</v>
      </c>
      <c r="V6" s="729"/>
      <c r="W6" s="640"/>
      <c r="X6" s="3"/>
      <c r="Y6" s="3"/>
      <c r="Z6" s="3"/>
      <c r="AA6" s="3"/>
    </row>
    <row r="7" spans="1:27" ht="60">
      <c r="A7" s="736"/>
      <c r="B7" s="736"/>
      <c r="C7" s="736"/>
      <c r="D7" s="644">
        <v>2</v>
      </c>
      <c r="E7" s="644" t="s">
        <v>31</v>
      </c>
      <c r="F7" s="645"/>
      <c r="G7" s="645"/>
      <c r="H7" s="645"/>
      <c r="I7" s="645"/>
      <c r="J7" s="645"/>
      <c r="K7" s="647"/>
      <c r="L7" s="645"/>
      <c r="M7" s="645"/>
      <c r="N7" s="645"/>
      <c r="O7" s="645"/>
      <c r="P7" s="648"/>
      <c r="Q7" s="645"/>
      <c r="R7" s="645"/>
      <c r="S7" s="645"/>
      <c r="T7" s="646">
        <f t="shared" si="0"/>
        <v>0</v>
      </c>
      <c r="U7" s="646">
        <f t="shared" ref="U7:U12" si="1">T7</f>
        <v>0</v>
      </c>
      <c r="V7" s="729"/>
      <c r="W7" s="640"/>
      <c r="X7" s="3"/>
      <c r="Y7" s="3"/>
      <c r="Z7" s="3"/>
      <c r="AA7" s="3"/>
    </row>
    <row r="8" spans="1:27" ht="105">
      <c r="A8" s="736"/>
      <c r="B8" s="736"/>
      <c r="C8" s="736"/>
      <c r="D8" s="644">
        <v>3</v>
      </c>
      <c r="E8" s="644" t="s">
        <v>32</v>
      </c>
      <c r="F8" s="648">
        <v>105.65</v>
      </c>
      <c r="G8" s="645"/>
      <c r="H8" s="645"/>
      <c r="I8" s="645"/>
      <c r="J8" s="645"/>
      <c r="K8" s="645"/>
      <c r="L8" s="645"/>
      <c r="M8" s="645"/>
      <c r="N8" s="645"/>
      <c r="O8" s="648">
        <v>86.36</v>
      </c>
      <c r="P8" s="645"/>
      <c r="Q8" s="645"/>
      <c r="R8" s="648">
        <v>4.2300000000000004</v>
      </c>
      <c r="S8" s="645"/>
      <c r="T8" s="646">
        <f t="shared" si="0"/>
        <v>196.23999999999998</v>
      </c>
      <c r="U8" s="646">
        <f t="shared" si="1"/>
        <v>196.23999999999998</v>
      </c>
      <c r="V8" s="729" t="s">
        <v>912</v>
      </c>
      <c r="W8" s="640"/>
      <c r="X8" s="3"/>
      <c r="Y8" s="3"/>
      <c r="Z8" s="3"/>
      <c r="AA8" s="3"/>
    </row>
    <row r="9" spans="1:27" ht="210">
      <c r="A9" s="736"/>
      <c r="B9" s="736"/>
      <c r="C9" s="736"/>
      <c r="D9" s="644">
        <v>4</v>
      </c>
      <c r="E9" s="644" t="s">
        <v>34</v>
      </c>
      <c r="F9" s="645"/>
      <c r="G9" s="645"/>
      <c r="H9" s="645"/>
      <c r="I9" s="645"/>
      <c r="J9" s="645"/>
      <c r="K9" s="647">
        <v>136.19900000000001</v>
      </c>
      <c r="L9" s="645"/>
      <c r="M9" s="647">
        <v>31.18</v>
      </c>
      <c r="N9" s="645"/>
      <c r="O9" s="645"/>
      <c r="P9" s="648">
        <v>77.569999999999993</v>
      </c>
      <c r="Q9" s="645"/>
      <c r="R9" s="645"/>
      <c r="S9" s="645"/>
      <c r="T9" s="646">
        <f t="shared" si="0"/>
        <v>244.94900000000001</v>
      </c>
      <c r="U9" s="646">
        <f t="shared" si="1"/>
        <v>244.94900000000001</v>
      </c>
      <c r="V9" s="729" t="s">
        <v>913</v>
      </c>
      <c r="W9" s="640"/>
      <c r="X9" s="3"/>
      <c r="Y9" s="3"/>
      <c r="Z9" s="3"/>
      <c r="AA9" s="3"/>
    </row>
    <row r="10" spans="1:27" ht="60">
      <c r="A10" s="736"/>
      <c r="B10" s="736"/>
      <c r="C10" s="736"/>
      <c r="D10" s="644">
        <v>5</v>
      </c>
      <c r="E10" s="644" t="s">
        <v>36</v>
      </c>
      <c r="F10" s="645"/>
      <c r="G10" s="645"/>
      <c r="H10" s="645"/>
      <c r="I10" s="645"/>
      <c r="J10" s="645"/>
      <c r="K10" s="645"/>
      <c r="L10" s="645"/>
      <c r="M10" s="645"/>
      <c r="N10" s="645"/>
      <c r="O10" s="645"/>
      <c r="P10" s="647">
        <v>77.944999999999993</v>
      </c>
      <c r="Q10" s="645"/>
      <c r="R10" s="645"/>
      <c r="S10" s="645"/>
      <c r="T10" s="646">
        <f t="shared" si="0"/>
        <v>77.944999999999993</v>
      </c>
      <c r="U10" s="646">
        <f t="shared" si="1"/>
        <v>77.944999999999993</v>
      </c>
      <c r="V10" s="729" t="s">
        <v>914</v>
      </c>
      <c r="W10" s="640"/>
      <c r="X10" s="3"/>
      <c r="Y10" s="3"/>
      <c r="Z10" s="3"/>
      <c r="AA10" s="3"/>
    </row>
    <row r="11" spans="1:27" ht="270">
      <c r="A11" s="736"/>
      <c r="B11" s="736"/>
      <c r="C11" s="736"/>
      <c r="D11" s="644">
        <v>6</v>
      </c>
      <c r="E11" s="644" t="s">
        <v>38</v>
      </c>
      <c r="F11" s="645">
        <v>1.31</v>
      </c>
      <c r="G11" s="645"/>
      <c r="H11" s="645"/>
      <c r="I11" s="645"/>
      <c r="J11" s="645"/>
      <c r="K11" s="645"/>
      <c r="L11" s="645"/>
      <c r="M11" s="645"/>
      <c r="N11" s="648"/>
      <c r="O11" s="645">
        <v>4.0199999999999996</v>
      </c>
      <c r="P11" s="648">
        <v>1.22</v>
      </c>
      <c r="Q11" s="645"/>
      <c r="R11" s="645"/>
      <c r="S11" s="645"/>
      <c r="T11" s="646">
        <f t="shared" si="0"/>
        <v>6.55</v>
      </c>
      <c r="U11" s="646">
        <f t="shared" si="1"/>
        <v>6.55</v>
      </c>
      <c r="V11" s="729" t="s">
        <v>915</v>
      </c>
      <c r="W11" s="640"/>
      <c r="X11" s="3"/>
      <c r="Y11" s="3"/>
      <c r="Z11" s="3"/>
      <c r="AA11" s="3"/>
    </row>
    <row r="12" spans="1:27" ht="120">
      <c r="A12" s="736"/>
      <c r="B12" s="736"/>
      <c r="C12" s="736"/>
      <c r="D12" s="644">
        <v>7</v>
      </c>
      <c r="E12" s="644" t="s">
        <v>40</v>
      </c>
      <c r="F12" s="645"/>
      <c r="G12" s="645"/>
      <c r="H12" s="645"/>
      <c r="I12" s="645"/>
      <c r="J12" s="645"/>
      <c r="K12" s="645"/>
      <c r="L12" s="645"/>
      <c r="M12" s="645"/>
      <c r="N12" s="645"/>
      <c r="O12" s="645"/>
      <c r="P12" s="648">
        <v>0</v>
      </c>
      <c r="Q12" s="648">
        <v>2</v>
      </c>
      <c r="R12" s="645">
        <v>0.1</v>
      </c>
      <c r="S12" s="645"/>
      <c r="T12" s="646">
        <f t="shared" si="0"/>
        <v>2.1</v>
      </c>
      <c r="U12" s="646">
        <f t="shared" si="1"/>
        <v>2.1</v>
      </c>
      <c r="V12" s="729" t="s">
        <v>392</v>
      </c>
      <c r="W12" s="640"/>
      <c r="X12" s="3"/>
      <c r="Y12" s="3"/>
      <c r="Z12" s="3"/>
      <c r="AA12" s="3"/>
    </row>
    <row r="13" spans="1:27" ht="27" customHeight="1">
      <c r="A13" s="736"/>
      <c r="B13" s="736"/>
      <c r="C13" s="736"/>
      <c r="D13" s="644">
        <v>8</v>
      </c>
      <c r="E13" s="644" t="s">
        <v>42</v>
      </c>
      <c r="F13" s="645"/>
      <c r="G13" s="645"/>
      <c r="H13" s="645"/>
      <c r="I13" s="645"/>
      <c r="J13" s="645"/>
      <c r="K13" s="645"/>
      <c r="L13" s="645"/>
      <c r="M13" s="645"/>
      <c r="N13" s="647"/>
      <c r="O13" s="645"/>
      <c r="P13" s="645"/>
      <c r="Q13" s="645"/>
      <c r="R13" s="645"/>
      <c r="S13" s="645"/>
      <c r="T13" s="646">
        <f t="shared" si="0"/>
        <v>0</v>
      </c>
      <c r="U13" s="646">
        <v>0</v>
      </c>
      <c r="V13" s="729"/>
      <c r="W13" s="640"/>
      <c r="X13" s="3"/>
      <c r="Y13" s="3"/>
      <c r="Z13" s="3"/>
      <c r="AA13" s="3"/>
    </row>
    <row r="14" spans="1:27" ht="120">
      <c r="A14" s="736"/>
      <c r="B14" s="736"/>
      <c r="C14" s="736"/>
      <c r="D14" s="644">
        <v>9</v>
      </c>
      <c r="E14" s="644" t="s">
        <v>43</v>
      </c>
      <c r="F14" s="645"/>
      <c r="G14" s="645"/>
      <c r="H14" s="645"/>
      <c r="I14" s="645"/>
      <c r="J14" s="645"/>
      <c r="K14" s="645"/>
      <c r="L14" s="645"/>
      <c r="M14" s="645"/>
      <c r="N14" s="647"/>
      <c r="O14" s="645"/>
      <c r="P14" s="682">
        <v>0.15851999999999999</v>
      </c>
      <c r="Q14" s="683"/>
      <c r="R14" s="683">
        <v>0.3</v>
      </c>
      <c r="S14" s="683"/>
      <c r="T14" s="646">
        <f t="shared" si="0"/>
        <v>0.45851999999999998</v>
      </c>
      <c r="U14" s="646">
        <f>T14</f>
        <v>0.45851999999999998</v>
      </c>
      <c r="V14" s="729" t="s">
        <v>689</v>
      </c>
      <c r="W14" s="640"/>
      <c r="X14" s="3"/>
      <c r="Y14" s="3"/>
      <c r="Z14" s="3"/>
      <c r="AA14" s="3"/>
    </row>
    <row r="15" spans="1:27" ht="105">
      <c r="A15" s="736"/>
      <c r="B15" s="736"/>
      <c r="C15" s="736"/>
      <c r="D15" s="644">
        <v>10</v>
      </c>
      <c r="E15" s="644" t="s">
        <v>44</v>
      </c>
      <c r="F15" s="645"/>
      <c r="G15" s="645"/>
      <c r="H15" s="645"/>
      <c r="I15" s="647">
        <v>0.03</v>
      </c>
      <c r="J15" s="645"/>
      <c r="K15" s="645"/>
      <c r="L15" s="645"/>
      <c r="M15" s="645"/>
      <c r="N15" s="647">
        <v>0.82</v>
      </c>
      <c r="O15" s="645"/>
      <c r="P15" s="645"/>
      <c r="Q15" s="645"/>
      <c r="R15" s="645"/>
      <c r="S15" s="645"/>
      <c r="T15" s="646">
        <f t="shared" si="0"/>
        <v>0.85</v>
      </c>
      <c r="U15" s="646">
        <v>0.82</v>
      </c>
      <c r="V15" s="729" t="s">
        <v>1598</v>
      </c>
      <c r="W15" s="640"/>
      <c r="X15" s="3"/>
      <c r="Y15" s="3"/>
      <c r="Z15" s="3"/>
      <c r="AA15" s="3"/>
    </row>
    <row r="16" spans="1:27">
      <c r="A16" s="736"/>
      <c r="B16" s="736"/>
      <c r="C16" s="736"/>
      <c r="D16" s="644">
        <v>11</v>
      </c>
      <c r="E16" s="644" t="s">
        <v>45</v>
      </c>
      <c r="F16" s="645"/>
      <c r="G16" s="648"/>
      <c r="H16" s="648"/>
      <c r="I16" s="645"/>
      <c r="J16" s="645"/>
      <c r="K16" s="645"/>
      <c r="L16" s="645"/>
      <c r="M16" s="645"/>
      <c r="N16" s="645"/>
      <c r="O16" s="645"/>
      <c r="P16" s="645"/>
      <c r="Q16" s="645"/>
      <c r="R16" s="645"/>
      <c r="S16" s="645"/>
      <c r="T16" s="646">
        <f t="shared" si="0"/>
        <v>0</v>
      </c>
      <c r="U16" s="646">
        <v>0</v>
      </c>
      <c r="V16" s="729"/>
      <c r="W16" s="640"/>
      <c r="X16" s="3"/>
      <c r="Y16" s="3"/>
      <c r="Z16" s="3"/>
      <c r="AA16" s="3"/>
    </row>
    <row r="17" spans="1:27" ht="45">
      <c r="A17" s="736"/>
      <c r="B17" s="736"/>
      <c r="C17" s="736"/>
      <c r="D17" s="644">
        <v>12</v>
      </c>
      <c r="E17" s="644" t="s">
        <v>46</v>
      </c>
      <c r="F17" s="645"/>
      <c r="G17" s="645"/>
      <c r="H17" s="645"/>
      <c r="I17" s="645"/>
      <c r="J17" s="645"/>
      <c r="K17" s="645"/>
      <c r="L17" s="645"/>
      <c r="M17" s="645"/>
      <c r="N17" s="647">
        <v>2</v>
      </c>
      <c r="O17" s="645"/>
      <c r="P17" s="645"/>
      <c r="Q17" s="645"/>
      <c r="R17" s="645"/>
      <c r="S17" s="645"/>
      <c r="T17" s="646">
        <f t="shared" si="0"/>
        <v>2</v>
      </c>
      <c r="U17" s="646">
        <v>2</v>
      </c>
      <c r="V17" s="729" t="s">
        <v>802</v>
      </c>
      <c r="W17" s="640"/>
      <c r="X17" s="3"/>
      <c r="Y17" s="3"/>
      <c r="Z17" s="3"/>
      <c r="AA17" s="3"/>
    </row>
    <row r="18" spans="1:27" ht="30">
      <c r="A18" s="736"/>
      <c r="B18" s="736"/>
      <c r="C18" s="736"/>
      <c r="D18" s="644">
        <v>13</v>
      </c>
      <c r="E18" s="644" t="s">
        <v>48</v>
      </c>
      <c r="F18" s="645"/>
      <c r="G18" s="645"/>
      <c r="H18" s="645"/>
      <c r="I18" s="645"/>
      <c r="J18" s="645"/>
      <c r="K18" s="645"/>
      <c r="L18" s="645"/>
      <c r="M18" s="645"/>
      <c r="N18" s="645"/>
      <c r="O18" s="645"/>
      <c r="P18" s="648"/>
      <c r="Q18" s="645"/>
      <c r="R18" s="645"/>
      <c r="S18" s="645"/>
      <c r="T18" s="646">
        <f t="shared" si="0"/>
        <v>0</v>
      </c>
      <c r="U18" s="646">
        <v>0</v>
      </c>
      <c r="V18" s="729"/>
      <c r="W18" s="640"/>
      <c r="X18" s="3"/>
      <c r="Y18" s="3"/>
      <c r="Z18" s="3"/>
      <c r="AA18" s="3"/>
    </row>
    <row r="19" spans="1:27" ht="30">
      <c r="A19" s="736"/>
      <c r="B19" s="736"/>
      <c r="C19" s="736"/>
      <c r="D19" s="644">
        <v>14</v>
      </c>
      <c r="E19" s="644" t="s">
        <v>49</v>
      </c>
      <c r="F19" s="645"/>
      <c r="G19" s="645"/>
      <c r="H19" s="645"/>
      <c r="I19" s="645"/>
      <c r="J19" s="645"/>
      <c r="K19" s="645"/>
      <c r="L19" s="645"/>
      <c r="M19" s="645"/>
      <c r="N19" s="645"/>
      <c r="O19" s="645"/>
      <c r="P19" s="645"/>
      <c r="Q19" s="645"/>
      <c r="R19" s="645"/>
      <c r="S19" s="645"/>
      <c r="T19" s="646">
        <f t="shared" si="0"/>
        <v>0</v>
      </c>
      <c r="U19" s="646">
        <v>0</v>
      </c>
      <c r="V19" s="729"/>
      <c r="W19" s="640"/>
      <c r="X19" s="3"/>
      <c r="Y19" s="3"/>
      <c r="Z19" s="3"/>
      <c r="AA19" s="3"/>
    </row>
    <row r="20" spans="1:27" ht="375">
      <c r="A20" s="736"/>
      <c r="B20" s="736"/>
      <c r="C20" s="736"/>
      <c r="D20" s="644">
        <v>15</v>
      </c>
      <c r="E20" s="644" t="s">
        <v>50</v>
      </c>
      <c r="F20" s="645"/>
      <c r="G20" s="645"/>
      <c r="H20" s="645"/>
      <c r="I20" s="648">
        <v>2.79</v>
      </c>
      <c r="J20" s="645"/>
      <c r="K20" s="645"/>
      <c r="L20" s="645"/>
      <c r="M20" s="645"/>
      <c r="N20" s="647">
        <v>0.75</v>
      </c>
      <c r="O20" s="645"/>
      <c r="P20" s="648">
        <v>3</v>
      </c>
      <c r="Q20" s="648"/>
      <c r="R20" s="645"/>
      <c r="S20" s="645"/>
      <c r="T20" s="646">
        <f t="shared" si="0"/>
        <v>6.54</v>
      </c>
      <c r="U20" s="646">
        <f>3.06+1+1+2</f>
        <v>7.0600000000000005</v>
      </c>
      <c r="V20" s="729" t="s">
        <v>916</v>
      </c>
      <c r="W20" s="640"/>
      <c r="X20" s="3"/>
      <c r="Y20" s="3"/>
      <c r="Z20" s="3"/>
      <c r="AA20" s="3"/>
    </row>
    <row r="21" spans="1:27" ht="60">
      <c r="A21" s="736"/>
      <c r="B21" s="736"/>
      <c r="C21" s="736"/>
      <c r="D21" s="644">
        <v>16</v>
      </c>
      <c r="E21" s="644" t="s">
        <v>51</v>
      </c>
      <c r="F21" s="645"/>
      <c r="G21" s="645"/>
      <c r="H21" s="645"/>
      <c r="I21" s="645"/>
      <c r="J21" s="645"/>
      <c r="K21" s="645"/>
      <c r="L21" s="645"/>
      <c r="M21" s="645"/>
      <c r="N21" s="645"/>
      <c r="O21" s="645"/>
      <c r="P21" s="645"/>
      <c r="Q21" s="645"/>
      <c r="R21" s="645"/>
      <c r="S21" s="645"/>
      <c r="T21" s="646">
        <f t="shared" si="0"/>
        <v>0</v>
      </c>
      <c r="U21" s="646">
        <v>0</v>
      </c>
      <c r="V21" s="729"/>
      <c r="W21" s="640"/>
      <c r="X21" s="3"/>
      <c r="Y21" s="3"/>
      <c r="Z21" s="3"/>
      <c r="AA21" s="3"/>
    </row>
    <row r="22" spans="1:27" ht="96.6" customHeight="1">
      <c r="A22" s="736"/>
      <c r="B22" s="736"/>
      <c r="C22" s="736"/>
      <c r="D22" s="644">
        <v>17</v>
      </c>
      <c r="E22" s="644" t="s">
        <v>52</v>
      </c>
      <c r="F22" s="645"/>
      <c r="G22" s="645"/>
      <c r="H22" s="645"/>
      <c r="I22" s="647"/>
      <c r="J22" s="645"/>
      <c r="K22" s="645"/>
      <c r="L22" s="645"/>
      <c r="M22" s="645"/>
      <c r="N22" s="647"/>
      <c r="O22" s="645"/>
      <c r="P22" s="648">
        <v>0.9</v>
      </c>
      <c r="Q22" s="645">
        <v>2.875</v>
      </c>
      <c r="R22" s="645"/>
      <c r="S22" s="648"/>
      <c r="T22" s="646">
        <f t="shared" si="0"/>
        <v>3.7749999999999999</v>
      </c>
      <c r="U22" s="658">
        <f>T22+0.5</f>
        <v>4.2750000000000004</v>
      </c>
      <c r="V22" s="770" t="s">
        <v>917</v>
      </c>
      <c r="W22" s="640"/>
      <c r="X22" s="3"/>
      <c r="Y22" s="3"/>
      <c r="Z22" s="3"/>
      <c r="AA22" s="3"/>
    </row>
    <row r="23" spans="1:27" ht="60">
      <c r="A23" s="736"/>
      <c r="B23" s="736"/>
      <c r="C23" s="736"/>
      <c r="D23" s="644">
        <v>18</v>
      </c>
      <c r="E23" s="644" t="s">
        <v>53</v>
      </c>
      <c r="F23" s="645"/>
      <c r="G23" s="645"/>
      <c r="H23" s="645"/>
      <c r="I23" s="645"/>
      <c r="J23" s="645"/>
      <c r="K23" s="645"/>
      <c r="L23" s="645"/>
      <c r="M23" s="645"/>
      <c r="N23" s="645"/>
      <c r="O23" s="645"/>
      <c r="P23" s="648">
        <v>1.27</v>
      </c>
      <c r="Q23" s="648"/>
      <c r="R23" s="645"/>
      <c r="S23" s="648"/>
      <c r="T23" s="646">
        <f t="shared" si="0"/>
        <v>1.27</v>
      </c>
      <c r="U23" s="646">
        <f>1.27</f>
        <v>1.27</v>
      </c>
      <c r="V23" s="729" t="s">
        <v>1708</v>
      </c>
      <c r="W23" s="640"/>
      <c r="X23" s="3"/>
      <c r="Y23" s="3"/>
      <c r="Z23" s="3"/>
      <c r="AA23" s="3"/>
    </row>
    <row r="24" spans="1:27">
      <c r="A24" s="736"/>
      <c r="B24" s="699" t="s">
        <v>54</v>
      </c>
      <c r="C24" s="699" t="s">
        <v>55</v>
      </c>
      <c r="D24" s="644">
        <v>19</v>
      </c>
      <c r="E24" s="644" t="s">
        <v>55</v>
      </c>
      <c r="F24" s="645"/>
      <c r="G24" s="645"/>
      <c r="H24" s="645"/>
      <c r="I24" s="645"/>
      <c r="J24" s="645"/>
      <c r="K24" s="645"/>
      <c r="L24" s="645"/>
      <c r="M24" s="645"/>
      <c r="N24" s="645"/>
      <c r="O24" s="645"/>
      <c r="P24" s="645"/>
      <c r="Q24" s="645"/>
      <c r="R24" s="645"/>
      <c r="S24" s="645"/>
      <c r="T24" s="646">
        <f t="shared" si="0"/>
        <v>0</v>
      </c>
      <c r="U24" s="646">
        <v>0</v>
      </c>
      <c r="V24" s="729"/>
      <c r="W24" s="640"/>
      <c r="X24" s="3"/>
      <c r="Y24" s="3"/>
      <c r="Z24" s="3"/>
      <c r="AA24" s="3"/>
    </row>
    <row r="25" spans="1:27" ht="90">
      <c r="A25" s="736"/>
      <c r="B25" s="736"/>
      <c r="C25" s="736"/>
      <c r="D25" s="644">
        <v>20</v>
      </c>
      <c r="E25" s="644" t="s">
        <v>56</v>
      </c>
      <c r="F25" s="645"/>
      <c r="G25" s="645"/>
      <c r="H25" s="645"/>
      <c r="I25" s="645"/>
      <c r="J25" s="645"/>
      <c r="K25" s="645"/>
      <c r="L25" s="645"/>
      <c r="M25" s="645"/>
      <c r="N25" s="645">
        <v>0</v>
      </c>
      <c r="O25" s="645"/>
      <c r="P25" s="645"/>
      <c r="Q25" s="647">
        <v>1.25</v>
      </c>
      <c r="R25" s="645"/>
      <c r="S25" s="645"/>
      <c r="T25" s="646">
        <f t="shared" si="0"/>
        <v>1.25</v>
      </c>
      <c r="U25" s="646">
        <f>1.25</f>
        <v>1.25</v>
      </c>
      <c r="V25" s="738" t="s">
        <v>918</v>
      </c>
      <c r="W25" s="640"/>
      <c r="X25" s="3"/>
      <c r="Y25" s="3"/>
      <c r="Z25" s="3"/>
      <c r="AA25" s="3"/>
    </row>
    <row r="26" spans="1:27" ht="325.89999999999998" customHeight="1">
      <c r="A26" s="736"/>
      <c r="B26" s="699" t="s">
        <v>58</v>
      </c>
      <c r="C26" s="699" t="s">
        <v>59</v>
      </c>
      <c r="D26" s="644">
        <v>21</v>
      </c>
      <c r="E26" s="644" t="s">
        <v>60</v>
      </c>
      <c r="F26" s="649"/>
      <c r="G26" s="649"/>
      <c r="H26" s="650"/>
      <c r="I26" s="651">
        <v>1.9</v>
      </c>
      <c r="J26" s="649"/>
      <c r="K26" s="651"/>
      <c r="L26" s="649"/>
      <c r="M26" s="649"/>
      <c r="N26" s="651">
        <f>1.5+0.42+0.4</f>
        <v>2.3199999999999998</v>
      </c>
      <c r="O26" s="649"/>
      <c r="P26" s="650">
        <f>17.16+3.636</f>
        <v>20.795999999999999</v>
      </c>
      <c r="Q26" s="650">
        <v>0.23749999999999999</v>
      </c>
      <c r="R26" s="651">
        <v>0.5</v>
      </c>
      <c r="S26" s="649"/>
      <c r="T26" s="646">
        <f t="shared" si="0"/>
        <v>25.753499999999999</v>
      </c>
      <c r="U26" s="658">
        <f>I26+N26+P26+Q26+R26</f>
        <v>25.753499999999999</v>
      </c>
      <c r="V26" s="729" t="s">
        <v>919</v>
      </c>
      <c r="W26" s="640"/>
      <c r="X26" s="3"/>
      <c r="Y26" s="3"/>
      <c r="Z26" s="3"/>
      <c r="AA26" s="3"/>
    </row>
    <row r="27" spans="1:27" ht="240">
      <c r="A27" s="736"/>
      <c r="B27" s="736"/>
      <c r="C27" s="736"/>
      <c r="D27" s="644">
        <v>22</v>
      </c>
      <c r="E27" s="644" t="s">
        <v>62</v>
      </c>
      <c r="F27" s="650"/>
      <c r="G27" s="649"/>
      <c r="H27" s="650"/>
      <c r="I27" s="739">
        <f>52233/100000</f>
        <v>0.52232999999999996</v>
      </c>
      <c r="J27" s="649"/>
      <c r="K27" s="649"/>
      <c r="L27" s="649"/>
      <c r="M27" s="650">
        <v>1</v>
      </c>
      <c r="N27" s="649">
        <v>0</v>
      </c>
      <c r="O27" s="649"/>
      <c r="P27" s="650">
        <f>280.846+1.2</f>
        <v>282.04599999999999</v>
      </c>
      <c r="Q27" s="650">
        <v>1</v>
      </c>
      <c r="R27" s="651"/>
      <c r="S27" s="649"/>
      <c r="T27" s="646">
        <f t="shared" si="0"/>
        <v>284.56833</v>
      </c>
      <c r="U27" s="658">
        <f>M27+P27+Q27</f>
        <v>284.04599999999999</v>
      </c>
      <c r="V27" s="738" t="s">
        <v>920</v>
      </c>
      <c r="W27" s="640"/>
      <c r="X27" s="3"/>
      <c r="Y27" s="3"/>
      <c r="Z27" s="3"/>
      <c r="AA27" s="3"/>
    </row>
    <row r="28" spans="1:27" ht="75">
      <c r="A28" s="736"/>
      <c r="B28" s="736"/>
      <c r="C28" s="736"/>
      <c r="D28" s="644">
        <v>23</v>
      </c>
      <c r="E28" s="644" t="s">
        <v>64</v>
      </c>
      <c r="F28" s="649"/>
      <c r="G28" s="649"/>
      <c r="H28" s="649"/>
      <c r="I28" s="649"/>
      <c r="J28" s="649"/>
      <c r="K28" s="651"/>
      <c r="L28" s="649"/>
      <c r="M28" s="649"/>
      <c r="N28" s="649">
        <v>0.11</v>
      </c>
      <c r="O28" s="650">
        <v>61.05</v>
      </c>
      <c r="P28" s="649"/>
      <c r="Q28" s="650"/>
      <c r="R28" s="649"/>
      <c r="S28" s="649"/>
      <c r="T28" s="646">
        <f t="shared" si="0"/>
        <v>61.16</v>
      </c>
      <c r="U28" s="658">
        <f>T28</f>
        <v>61.16</v>
      </c>
      <c r="V28" s="740" t="s">
        <v>1726</v>
      </c>
      <c r="W28" s="640"/>
      <c r="X28" s="3"/>
      <c r="Y28" s="3"/>
      <c r="Z28" s="3"/>
      <c r="AA28" s="3"/>
    </row>
    <row r="29" spans="1:27" ht="340.15" customHeight="1">
      <c r="A29" s="736"/>
      <c r="B29" s="736"/>
      <c r="C29" s="736"/>
      <c r="D29" s="644">
        <v>24</v>
      </c>
      <c r="E29" s="644" t="s">
        <v>66</v>
      </c>
      <c r="F29" s="649"/>
      <c r="G29" s="649"/>
      <c r="H29" s="650"/>
      <c r="I29" s="649"/>
      <c r="J29" s="649"/>
      <c r="K29" s="649"/>
      <c r="L29" s="649"/>
      <c r="M29" s="649"/>
      <c r="N29" s="684">
        <f>1+0.688+0.688+0.5+6</f>
        <v>8.8759999999999994</v>
      </c>
      <c r="O29" s="650"/>
      <c r="P29" s="649">
        <v>15.9</v>
      </c>
      <c r="Q29" s="651">
        <v>2</v>
      </c>
      <c r="R29" s="649"/>
      <c r="S29" s="649"/>
      <c r="T29" s="646">
        <f t="shared" si="0"/>
        <v>26.776</v>
      </c>
      <c r="U29" s="652">
        <v>28.776</v>
      </c>
      <c r="V29" s="729" t="s">
        <v>1725</v>
      </c>
      <c r="W29" s="640"/>
      <c r="X29" s="3"/>
      <c r="Y29" s="3"/>
      <c r="Z29" s="3"/>
      <c r="AA29" s="3"/>
    </row>
    <row r="30" spans="1:27" ht="334.15" customHeight="1">
      <c r="A30" s="736"/>
      <c r="B30" s="736"/>
      <c r="C30" s="736"/>
      <c r="D30" s="644">
        <v>25</v>
      </c>
      <c r="E30" s="644" t="s">
        <v>68</v>
      </c>
      <c r="F30" s="649"/>
      <c r="G30" s="649"/>
      <c r="H30" s="649"/>
      <c r="I30" s="649"/>
      <c r="J30" s="649"/>
      <c r="K30" s="649"/>
      <c r="L30" s="649"/>
      <c r="M30" s="649"/>
      <c r="N30" s="651">
        <v>0.5</v>
      </c>
      <c r="O30" s="653">
        <v>6.4500000000000002E-2</v>
      </c>
      <c r="P30" s="649">
        <v>0.89600000000000002</v>
      </c>
      <c r="Q30" s="743"/>
      <c r="R30" s="649"/>
      <c r="S30" s="649"/>
      <c r="T30" s="646">
        <f t="shared" si="0"/>
        <v>1.4605000000000001</v>
      </c>
      <c r="U30" s="646">
        <f>T30</f>
        <v>1.4605000000000001</v>
      </c>
      <c r="V30" s="729" t="s">
        <v>921</v>
      </c>
      <c r="W30" s="640"/>
      <c r="X30" s="3"/>
      <c r="Y30" s="3"/>
      <c r="Z30" s="3"/>
      <c r="AA30" s="3"/>
    </row>
    <row r="31" spans="1:27" ht="240">
      <c r="A31" s="736"/>
      <c r="B31" s="736"/>
      <c r="C31" s="736"/>
      <c r="D31" s="644">
        <v>26</v>
      </c>
      <c r="E31" s="644" t="s">
        <v>70</v>
      </c>
      <c r="F31" s="649"/>
      <c r="G31" s="649"/>
      <c r="H31" s="649"/>
      <c r="I31" s="651"/>
      <c r="J31" s="649"/>
      <c r="K31" s="649"/>
      <c r="L31" s="649"/>
      <c r="M31" s="649"/>
      <c r="N31" s="651">
        <v>3.6</v>
      </c>
      <c r="O31" s="649"/>
      <c r="P31" s="649"/>
      <c r="Q31" s="684">
        <v>3.2</v>
      </c>
      <c r="R31" s="685">
        <v>0.2</v>
      </c>
      <c r="S31" s="649"/>
      <c r="T31" s="646">
        <f t="shared" si="0"/>
        <v>7.0000000000000009</v>
      </c>
      <c r="U31" s="658">
        <f>T31-0.2</f>
        <v>6.8000000000000007</v>
      </c>
      <c r="V31" s="744" t="s">
        <v>526</v>
      </c>
      <c r="W31" s="640"/>
      <c r="X31" s="3"/>
      <c r="Y31" s="3"/>
      <c r="Z31" s="3"/>
      <c r="AA31" s="3"/>
    </row>
    <row r="32" spans="1:27" ht="165">
      <c r="A32" s="736"/>
      <c r="B32" s="736"/>
      <c r="C32" s="736"/>
      <c r="D32" s="644">
        <v>27</v>
      </c>
      <c r="E32" s="644" t="s">
        <v>72</v>
      </c>
      <c r="F32" s="649"/>
      <c r="G32" s="649"/>
      <c r="H32" s="650"/>
      <c r="I32" s="651"/>
      <c r="J32" s="649"/>
      <c r="K32" s="649"/>
      <c r="L32" s="649"/>
      <c r="M32" s="649"/>
      <c r="N32" s="651">
        <v>1</v>
      </c>
      <c r="O32" s="650"/>
      <c r="P32" s="650">
        <v>3</v>
      </c>
      <c r="Q32" s="649"/>
      <c r="R32" s="649"/>
      <c r="S32" s="649"/>
      <c r="T32" s="646">
        <f t="shared" si="0"/>
        <v>4</v>
      </c>
      <c r="U32" s="646">
        <f>T32</f>
        <v>4</v>
      </c>
      <c r="V32" s="740" t="s">
        <v>922</v>
      </c>
      <c r="W32" s="640"/>
      <c r="X32" s="3"/>
      <c r="Y32" s="3"/>
      <c r="Z32" s="3"/>
      <c r="AA32" s="3"/>
    </row>
    <row r="33" spans="1:27" ht="75">
      <c r="A33" s="736"/>
      <c r="B33" s="736"/>
      <c r="C33" s="736"/>
      <c r="D33" s="644">
        <v>28</v>
      </c>
      <c r="E33" s="644" t="s">
        <v>34</v>
      </c>
      <c r="F33" s="649"/>
      <c r="G33" s="649"/>
      <c r="H33" s="649"/>
      <c r="I33" s="649"/>
      <c r="J33" s="649"/>
      <c r="K33" s="651">
        <v>4.6760000000000002</v>
      </c>
      <c r="L33" s="649"/>
      <c r="M33" s="651">
        <v>4.6760000000000002</v>
      </c>
      <c r="N33" s="649"/>
      <c r="O33" s="649"/>
      <c r="P33" s="649"/>
      <c r="Q33" s="649"/>
      <c r="R33" s="649"/>
      <c r="S33" s="649"/>
      <c r="T33" s="646">
        <f t="shared" si="0"/>
        <v>9.3520000000000003</v>
      </c>
      <c r="U33" s="646">
        <f>9.35</f>
        <v>9.35</v>
      </c>
      <c r="V33" s="729" t="s">
        <v>1709</v>
      </c>
      <c r="W33" s="640"/>
      <c r="X33" s="3"/>
      <c r="Y33" s="3"/>
      <c r="Z33" s="3"/>
      <c r="AA33" s="3"/>
    </row>
    <row r="34" spans="1:27" ht="60">
      <c r="A34" s="736"/>
      <c r="B34" s="736"/>
      <c r="C34" s="736"/>
      <c r="D34" s="644">
        <v>29</v>
      </c>
      <c r="E34" s="644" t="s">
        <v>36</v>
      </c>
      <c r="F34" s="649"/>
      <c r="G34" s="649"/>
      <c r="H34" s="649"/>
      <c r="I34" s="649"/>
      <c r="J34" s="649"/>
      <c r="K34" s="649"/>
      <c r="L34" s="649"/>
      <c r="M34" s="649"/>
      <c r="N34" s="649"/>
      <c r="O34" s="649"/>
      <c r="P34" s="651">
        <v>11.69</v>
      </c>
      <c r="Q34" s="649"/>
      <c r="R34" s="649"/>
      <c r="S34" s="649"/>
      <c r="T34" s="646">
        <f t="shared" si="0"/>
        <v>11.69</v>
      </c>
      <c r="U34" s="646">
        <f t="shared" ref="U34:U35" si="2">T34</f>
        <v>11.69</v>
      </c>
      <c r="V34" s="729" t="s">
        <v>1710</v>
      </c>
      <c r="W34" s="640"/>
      <c r="X34" s="3"/>
      <c r="Y34" s="3"/>
      <c r="Z34" s="3"/>
      <c r="AA34" s="3"/>
    </row>
    <row r="35" spans="1:27" ht="105">
      <c r="A35" s="736"/>
      <c r="B35" s="736"/>
      <c r="C35" s="736"/>
      <c r="D35" s="644">
        <v>30</v>
      </c>
      <c r="E35" s="644" t="s">
        <v>74</v>
      </c>
      <c r="F35" s="649"/>
      <c r="G35" s="649"/>
      <c r="H35" s="649"/>
      <c r="I35" s="651"/>
      <c r="J35" s="649"/>
      <c r="K35" s="649"/>
      <c r="L35" s="649"/>
      <c r="M35" s="649"/>
      <c r="N35" s="649"/>
      <c r="O35" s="649"/>
      <c r="P35" s="649"/>
      <c r="Q35" s="651">
        <v>3</v>
      </c>
      <c r="R35" s="685">
        <v>1.75</v>
      </c>
      <c r="S35" s="649"/>
      <c r="T35" s="646">
        <f t="shared" si="0"/>
        <v>4.75</v>
      </c>
      <c r="U35" s="646">
        <f t="shared" si="2"/>
        <v>4.75</v>
      </c>
      <c r="V35" s="746" t="s">
        <v>923</v>
      </c>
      <c r="W35" s="640"/>
      <c r="X35" s="3"/>
      <c r="Y35" s="3"/>
      <c r="Z35" s="3"/>
      <c r="AA35" s="3"/>
    </row>
    <row r="36" spans="1:27" ht="45">
      <c r="A36" s="736"/>
      <c r="B36" s="736"/>
      <c r="C36" s="736"/>
      <c r="D36" s="644">
        <v>31</v>
      </c>
      <c r="E36" s="644" t="s">
        <v>53</v>
      </c>
      <c r="F36" s="649"/>
      <c r="G36" s="649"/>
      <c r="H36" s="649"/>
      <c r="I36" s="649"/>
      <c r="J36" s="649"/>
      <c r="K36" s="649"/>
      <c r="L36" s="649"/>
      <c r="M36" s="649"/>
      <c r="N36" s="649"/>
      <c r="O36" s="649"/>
      <c r="P36" s="649"/>
      <c r="Q36" s="649"/>
      <c r="R36" s="649"/>
      <c r="S36" s="649"/>
      <c r="T36" s="646">
        <f t="shared" si="0"/>
        <v>0</v>
      </c>
      <c r="U36" s="646">
        <v>0</v>
      </c>
      <c r="V36" s="729"/>
      <c r="W36" s="640"/>
      <c r="X36" s="3"/>
      <c r="Y36" s="3"/>
      <c r="Z36" s="3"/>
      <c r="AA36" s="3"/>
    </row>
    <row r="37" spans="1:27" ht="120">
      <c r="A37" s="736"/>
      <c r="B37" s="699" t="s">
        <v>76</v>
      </c>
      <c r="C37" s="699" t="s">
        <v>77</v>
      </c>
      <c r="D37" s="644">
        <v>32</v>
      </c>
      <c r="E37" s="644" t="s">
        <v>78</v>
      </c>
      <c r="F37" s="645"/>
      <c r="G37" s="645"/>
      <c r="H37" s="645"/>
      <c r="I37" s="647"/>
      <c r="J37" s="645"/>
      <c r="K37" s="645"/>
      <c r="L37" s="645"/>
      <c r="M37" s="647"/>
      <c r="N37" s="647">
        <v>6.7060000000000004</v>
      </c>
      <c r="O37" s="648">
        <v>103.34395000000001</v>
      </c>
      <c r="P37" s="648">
        <v>18.326799999999999</v>
      </c>
      <c r="Q37" s="647">
        <v>7.15</v>
      </c>
      <c r="R37" s="654">
        <v>4.7450000000000001</v>
      </c>
      <c r="S37" s="645">
        <v>3.76</v>
      </c>
      <c r="T37" s="646">
        <f t="shared" si="0"/>
        <v>144.03175000000002</v>
      </c>
      <c r="U37" s="646">
        <f>T37-2.312</f>
        <v>141.71975</v>
      </c>
      <c r="V37" s="746" t="s">
        <v>924</v>
      </c>
      <c r="W37" s="640"/>
      <c r="X37" s="3"/>
      <c r="Y37" s="3"/>
      <c r="Z37" s="3"/>
      <c r="AA37" s="3"/>
    </row>
    <row r="38" spans="1:27" ht="30">
      <c r="A38" s="736"/>
      <c r="B38" s="736"/>
      <c r="C38" s="736"/>
      <c r="D38" s="644">
        <v>33</v>
      </c>
      <c r="E38" s="644" t="s">
        <v>80</v>
      </c>
      <c r="F38" s="645"/>
      <c r="G38" s="645"/>
      <c r="H38" s="645"/>
      <c r="I38" s="645"/>
      <c r="J38" s="645"/>
      <c r="K38" s="645"/>
      <c r="L38" s="645"/>
      <c r="M38" s="645"/>
      <c r="N38" s="645"/>
      <c r="O38" s="645"/>
      <c r="P38" s="645"/>
      <c r="Q38" s="645"/>
      <c r="R38" s="645"/>
      <c r="S38" s="645"/>
      <c r="T38" s="646">
        <f t="shared" si="0"/>
        <v>0</v>
      </c>
      <c r="U38" s="646">
        <v>0</v>
      </c>
      <c r="V38" s="729"/>
      <c r="W38" s="640"/>
      <c r="X38" s="3"/>
      <c r="Y38" s="3"/>
      <c r="Z38" s="3"/>
      <c r="AA38" s="3"/>
    </row>
    <row r="39" spans="1:27" ht="30">
      <c r="A39" s="736"/>
      <c r="B39" s="736"/>
      <c r="C39" s="736"/>
      <c r="D39" s="644">
        <v>34</v>
      </c>
      <c r="E39" s="644" t="s">
        <v>81</v>
      </c>
      <c r="F39" s="645"/>
      <c r="G39" s="645"/>
      <c r="H39" s="645"/>
      <c r="I39" s="645"/>
      <c r="J39" s="645"/>
      <c r="K39" s="645"/>
      <c r="L39" s="645"/>
      <c r="M39" s="645"/>
      <c r="N39" s="647"/>
      <c r="O39" s="645"/>
      <c r="P39" s="648"/>
      <c r="Q39" s="645"/>
      <c r="R39" s="645"/>
      <c r="S39" s="645"/>
      <c r="T39" s="646">
        <f t="shared" si="0"/>
        <v>0</v>
      </c>
      <c r="U39" s="646">
        <v>0</v>
      </c>
      <c r="V39" s="729"/>
      <c r="W39" s="640"/>
      <c r="X39" s="3"/>
      <c r="Y39" s="3"/>
      <c r="Z39" s="3"/>
      <c r="AA39" s="3"/>
    </row>
    <row r="40" spans="1:27" ht="345">
      <c r="A40" s="736"/>
      <c r="B40" s="699" t="s">
        <v>82</v>
      </c>
      <c r="C40" s="699" t="s">
        <v>83</v>
      </c>
      <c r="D40" s="644">
        <v>35</v>
      </c>
      <c r="E40" s="644" t="s">
        <v>84</v>
      </c>
      <c r="F40" s="645"/>
      <c r="G40" s="645"/>
      <c r="H40" s="645"/>
      <c r="I40" s="647"/>
      <c r="J40" s="645"/>
      <c r="K40" s="645"/>
      <c r="L40" s="645"/>
      <c r="M40" s="645"/>
      <c r="N40" s="647">
        <v>1.2</v>
      </c>
      <c r="O40" s="645"/>
      <c r="P40" s="648">
        <f>0.6+1.92+0.15+0.1</f>
        <v>2.77</v>
      </c>
      <c r="Q40" s="648">
        <v>0.25</v>
      </c>
      <c r="R40" s="645"/>
      <c r="S40" s="645"/>
      <c r="T40" s="646">
        <f t="shared" si="0"/>
        <v>4.22</v>
      </c>
      <c r="U40" s="646">
        <v>4.22</v>
      </c>
      <c r="V40" s="746" t="s">
        <v>1711</v>
      </c>
      <c r="W40" s="640"/>
      <c r="X40" s="3"/>
      <c r="Y40" s="3"/>
      <c r="Z40" s="3"/>
      <c r="AA40" s="3"/>
    </row>
    <row r="41" spans="1:27" ht="45">
      <c r="A41" s="736"/>
      <c r="B41" s="736"/>
      <c r="C41" s="736"/>
      <c r="D41" s="644">
        <v>36</v>
      </c>
      <c r="E41" s="644" t="s">
        <v>85</v>
      </c>
      <c r="F41" s="645"/>
      <c r="G41" s="645"/>
      <c r="H41" s="645"/>
      <c r="I41" s="645"/>
      <c r="J41" s="645"/>
      <c r="K41" s="647"/>
      <c r="L41" s="645"/>
      <c r="M41" s="645"/>
      <c r="N41" s="647">
        <v>0.8</v>
      </c>
      <c r="O41" s="645"/>
      <c r="P41" s="645"/>
      <c r="Q41" s="645"/>
      <c r="R41" s="645"/>
      <c r="S41" s="645"/>
      <c r="T41" s="646">
        <f t="shared" si="0"/>
        <v>0.8</v>
      </c>
      <c r="U41" s="646">
        <v>0.8</v>
      </c>
      <c r="V41" s="746" t="s">
        <v>925</v>
      </c>
      <c r="W41" s="640"/>
      <c r="X41" s="3"/>
      <c r="Y41" s="3"/>
      <c r="Z41" s="3"/>
      <c r="AA41" s="3"/>
    </row>
    <row r="42" spans="1:27" ht="45">
      <c r="A42" s="736"/>
      <c r="B42" s="736"/>
      <c r="C42" s="736"/>
      <c r="D42" s="644">
        <v>37</v>
      </c>
      <c r="E42" s="644" t="s">
        <v>86</v>
      </c>
      <c r="F42" s="645"/>
      <c r="G42" s="645"/>
      <c r="H42" s="645"/>
      <c r="I42" s="645"/>
      <c r="J42" s="645"/>
      <c r="K42" s="647"/>
      <c r="L42" s="645"/>
      <c r="M42" s="645"/>
      <c r="N42" s="645"/>
      <c r="O42" s="645"/>
      <c r="P42" s="645"/>
      <c r="Q42" s="645"/>
      <c r="R42" s="645"/>
      <c r="S42" s="645"/>
      <c r="T42" s="646">
        <f t="shared" si="0"/>
        <v>0</v>
      </c>
      <c r="U42" s="646">
        <f>T42*1.05</f>
        <v>0</v>
      </c>
      <c r="V42" s="746"/>
      <c r="W42" s="640"/>
      <c r="X42" s="3"/>
      <c r="Y42" s="3"/>
      <c r="Z42" s="3"/>
      <c r="AA42" s="3"/>
    </row>
    <row r="43" spans="1:27" ht="315">
      <c r="A43" s="736"/>
      <c r="B43" s="736"/>
      <c r="C43" s="736"/>
      <c r="D43" s="644">
        <v>38</v>
      </c>
      <c r="E43" s="644" t="s">
        <v>87</v>
      </c>
      <c r="F43" s="655"/>
      <c r="G43" s="655"/>
      <c r="H43" s="655"/>
      <c r="I43" s="655"/>
      <c r="J43" s="655"/>
      <c r="K43" s="655"/>
      <c r="L43" s="655"/>
      <c r="M43" s="655"/>
      <c r="N43" s="656">
        <v>3.5</v>
      </c>
      <c r="O43" s="657">
        <v>0.16</v>
      </c>
      <c r="P43" s="657">
        <v>6.8</v>
      </c>
      <c r="Q43" s="657">
        <v>0.7</v>
      </c>
      <c r="R43" s="655"/>
      <c r="S43" s="655"/>
      <c r="T43" s="646">
        <f t="shared" si="0"/>
        <v>11.16</v>
      </c>
      <c r="U43" s="646">
        <v>11.16</v>
      </c>
      <c r="V43" s="746" t="s">
        <v>1712</v>
      </c>
      <c r="W43" s="640"/>
      <c r="X43" s="3"/>
      <c r="Y43" s="3"/>
      <c r="Z43" s="3"/>
      <c r="AA43" s="3"/>
    </row>
    <row r="44" spans="1:27" ht="90">
      <c r="A44" s="736"/>
      <c r="B44" s="736"/>
      <c r="C44" s="736"/>
      <c r="D44" s="644">
        <v>39</v>
      </c>
      <c r="E44" s="644" t="s">
        <v>88</v>
      </c>
      <c r="F44" s="645"/>
      <c r="G44" s="645"/>
      <c r="H44" s="645"/>
      <c r="I44" s="645"/>
      <c r="J44" s="645"/>
      <c r="K44" s="645"/>
      <c r="L44" s="645"/>
      <c r="M44" s="645"/>
      <c r="N44" s="645">
        <v>1</v>
      </c>
      <c r="O44" s="645"/>
      <c r="P44" s="648">
        <v>0.4</v>
      </c>
      <c r="Q44" s="648"/>
      <c r="R44" s="645"/>
      <c r="S44" s="645"/>
      <c r="T44" s="646">
        <f t="shared" si="0"/>
        <v>1.4</v>
      </c>
      <c r="U44" s="646">
        <v>1.4</v>
      </c>
      <c r="V44" s="746" t="s">
        <v>401</v>
      </c>
      <c r="W44" s="640"/>
      <c r="X44" s="3"/>
      <c r="Y44" s="3"/>
      <c r="Z44" s="3"/>
      <c r="AA44" s="3"/>
    </row>
    <row r="45" spans="1:27" ht="195">
      <c r="A45" s="736"/>
      <c r="B45" s="736"/>
      <c r="C45" s="736"/>
      <c r="D45" s="644">
        <v>40</v>
      </c>
      <c r="E45" s="644" t="s">
        <v>89</v>
      </c>
      <c r="F45" s="645"/>
      <c r="G45" s="645"/>
      <c r="H45" s="645"/>
      <c r="I45" s="645"/>
      <c r="J45" s="645"/>
      <c r="K45" s="645"/>
      <c r="L45" s="645"/>
      <c r="M45" s="645"/>
      <c r="N45" s="658">
        <v>0.10920000000000001</v>
      </c>
      <c r="O45" s="645"/>
      <c r="P45" s="648"/>
      <c r="Q45" s="647">
        <f>0.42+1.8</f>
        <v>2.2200000000000002</v>
      </c>
      <c r="R45" s="648"/>
      <c r="S45" s="645"/>
      <c r="T45" s="646">
        <f t="shared" si="0"/>
        <v>2.3292000000000002</v>
      </c>
      <c r="U45" s="646">
        <v>2.33</v>
      </c>
      <c r="V45" s="746" t="s">
        <v>1713</v>
      </c>
      <c r="W45" s="640"/>
      <c r="X45" s="3"/>
      <c r="Y45" s="3"/>
      <c r="Z45" s="3"/>
      <c r="AA45" s="3"/>
    </row>
    <row r="46" spans="1:27" ht="45">
      <c r="A46" s="736"/>
      <c r="B46" s="736"/>
      <c r="C46" s="736"/>
      <c r="D46" s="644">
        <v>41</v>
      </c>
      <c r="E46" s="644" t="s">
        <v>53</v>
      </c>
      <c r="F46" s="645"/>
      <c r="G46" s="645"/>
      <c r="H46" s="645"/>
      <c r="I46" s="645"/>
      <c r="J46" s="645"/>
      <c r="K46" s="645"/>
      <c r="L46" s="645"/>
      <c r="M46" s="645"/>
      <c r="N46" s="645"/>
      <c r="O46" s="645"/>
      <c r="P46" s="645"/>
      <c r="Q46" s="645"/>
      <c r="R46" s="645"/>
      <c r="S46" s="645"/>
      <c r="T46" s="646">
        <f t="shared" si="0"/>
        <v>0</v>
      </c>
      <c r="U46" s="646">
        <f>T46*1.05</f>
        <v>0</v>
      </c>
      <c r="V46" s="746"/>
      <c r="W46" s="640"/>
      <c r="X46" s="3"/>
      <c r="Y46" s="3"/>
      <c r="Z46" s="3"/>
      <c r="AA46" s="3"/>
    </row>
    <row r="47" spans="1:27" ht="75">
      <c r="A47" s="736"/>
      <c r="B47" s="699" t="s">
        <v>90</v>
      </c>
      <c r="C47" s="699" t="s">
        <v>91</v>
      </c>
      <c r="D47" s="644">
        <v>42</v>
      </c>
      <c r="E47" s="644" t="s">
        <v>92</v>
      </c>
      <c r="F47" s="648">
        <v>12.308</v>
      </c>
      <c r="G47" s="645"/>
      <c r="H47" s="645"/>
      <c r="I47" s="647"/>
      <c r="J47" s="645"/>
      <c r="K47" s="645"/>
      <c r="L47" s="645"/>
      <c r="M47" s="645"/>
      <c r="N47" s="686">
        <v>1.1000000000000001</v>
      </c>
      <c r="O47" s="645"/>
      <c r="P47" s="648"/>
      <c r="Q47" s="645"/>
      <c r="R47" s="645"/>
      <c r="S47" s="645"/>
      <c r="T47" s="646">
        <f t="shared" si="0"/>
        <v>13.407999999999999</v>
      </c>
      <c r="U47" s="646">
        <f t="shared" ref="U47:U50" si="3">T47</f>
        <v>13.407999999999999</v>
      </c>
      <c r="V47" s="729" t="s">
        <v>1714</v>
      </c>
      <c r="W47" s="640"/>
      <c r="X47" s="3"/>
      <c r="Y47" s="3"/>
      <c r="Z47" s="3"/>
      <c r="AA47" s="3"/>
    </row>
    <row r="48" spans="1:27" ht="75">
      <c r="A48" s="736"/>
      <c r="B48" s="736"/>
      <c r="C48" s="736"/>
      <c r="D48" s="644">
        <v>43</v>
      </c>
      <c r="E48" s="644" t="s">
        <v>93</v>
      </c>
      <c r="F48" s="648">
        <v>0.3795</v>
      </c>
      <c r="G48" s="645"/>
      <c r="H48" s="645"/>
      <c r="I48" s="647"/>
      <c r="J48" s="645"/>
      <c r="K48" s="645"/>
      <c r="L48" s="645"/>
      <c r="M48" s="645"/>
      <c r="N48" s="686">
        <v>0.34499999999999997</v>
      </c>
      <c r="O48" s="645"/>
      <c r="P48" s="648"/>
      <c r="Q48" s="645"/>
      <c r="R48" s="645"/>
      <c r="S48" s="645"/>
      <c r="T48" s="646">
        <f t="shared" si="0"/>
        <v>0.72449999999999992</v>
      </c>
      <c r="U48" s="646">
        <f t="shared" si="3"/>
        <v>0.72449999999999992</v>
      </c>
      <c r="V48" s="729" t="s">
        <v>926</v>
      </c>
      <c r="W48" s="640"/>
      <c r="X48" s="3"/>
      <c r="Y48" s="3"/>
      <c r="Z48" s="3"/>
      <c r="AA48" s="3"/>
    </row>
    <row r="49" spans="1:27" ht="270">
      <c r="A49" s="736"/>
      <c r="B49" s="736"/>
      <c r="C49" s="736"/>
      <c r="D49" s="644">
        <v>44</v>
      </c>
      <c r="E49" s="644" t="s">
        <v>95</v>
      </c>
      <c r="F49" s="648">
        <v>1.7749999999999999</v>
      </c>
      <c r="G49" s="645"/>
      <c r="H49" s="645"/>
      <c r="I49" s="647"/>
      <c r="J49" s="645"/>
      <c r="K49" s="645"/>
      <c r="L49" s="645"/>
      <c r="M49" s="645"/>
      <c r="N49" s="647">
        <v>1.125</v>
      </c>
      <c r="O49" s="648">
        <v>0.68700000000000006</v>
      </c>
      <c r="P49" s="648"/>
      <c r="Q49" s="645"/>
      <c r="R49" s="645"/>
      <c r="S49" s="645"/>
      <c r="T49" s="646">
        <f t="shared" si="0"/>
        <v>3.5869999999999997</v>
      </c>
      <c r="U49" s="646">
        <f t="shared" si="3"/>
        <v>3.5869999999999997</v>
      </c>
      <c r="V49" s="729" t="s">
        <v>1715</v>
      </c>
      <c r="W49" s="640"/>
      <c r="X49" s="3"/>
      <c r="Y49" s="3"/>
      <c r="Z49" s="3"/>
      <c r="AA49" s="3"/>
    </row>
    <row r="50" spans="1:27" ht="42.75" customHeight="1">
      <c r="A50" s="736"/>
      <c r="B50" s="736"/>
      <c r="C50" s="736"/>
      <c r="D50" s="644">
        <v>45</v>
      </c>
      <c r="E50" s="644" t="s">
        <v>96</v>
      </c>
      <c r="F50" s="648">
        <v>6.0000000000000001E-3</v>
      </c>
      <c r="G50" s="645"/>
      <c r="H50" s="645"/>
      <c r="I50" s="645"/>
      <c r="J50" s="645"/>
      <c r="K50" s="645"/>
      <c r="L50" s="645"/>
      <c r="M50" s="645"/>
      <c r="N50" s="647"/>
      <c r="O50" s="648">
        <v>6.0000000000000001E-3</v>
      </c>
      <c r="P50" s="645"/>
      <c r="Q50" s="645"/>
      <c r="R50" s="645"/>
      <c r="S50" s="645"/>
      <c r="T50" s="646">
        <f t="shared" si="0"/>
        <v>1.2E-2</v>
      </c>
      <c r="U50" s="646">
        <f t="shared" si="3"/>
        <v>1.2E-2</v>
      </c>
      <c r="V50" s="729" t="s">
        <v>927</v>
      </c>
      <c r="W50" s="640"/>
      <c r="X50" s="3"/>
      <c r="Y50" s="3"/>
      <c r="Z50" s="3"/>
      <c r="AA50" s="3"/>
    </row>
    <row r="51" spans="1:27" ht="30">
      <c r="A51" s="736"/>
      <c r="B51" s="736"/>
      <c r="C51" s="736"/>
      <c r="D51" s="644">
        <v>46</v>
      </c>
      <c r="E51" s="644" t="s">
        <v>98</v>
      </c>
      <c r="F51" s="645"/>
      <c r="G51" s="645"/>
      <c r="H51" s="645"/>
      <c r="I51" s="645"/>
      <c r="J51" s="645"/>
      <c r="K51" s="645"/>
      <c r="L51" s="645"/>
      <c r="M51" s="645"/>
      <c r="N51" s="645"/>
      <c r="O51" s="645"/>
      <c r="P51" s="645"/>
      <c r="Q51" s="645"/>
      <c r="R51" s="645"/>
      <c r="S51" s="645"/>
      <c r="T51" s="646">
        <f t="shared" si="0"/>
        <v>0</v>
      </c>
      <c r="U51" s="646">
        <v>0</v>
      </c>
      <c r="V51" s="729"/>
      <c r="W51" s="640"/>
      <c r="X51" s="3"/>
      <c r="Y51" s="3"/>
      <c r="Z51" s="3"/>
      <c r="AA51" s="3"/>
    </row>
    <row r="52" spans="1:27" ht="45">
      <c r="A52" s="736"/>
      <c r="B52" s="736"/>
      <c r="C52" s="736"/>
      <c r="D52" s="644">
        <v>47</v>
      </c>
      <c r="E52" s="644" t="s">
        <v>99</v>
      </c>
      <c r="F52" s="648">
        <v>2.1</v>
      </c>
      <c r="G52" s="645"/>
      <c r="H52" s="645">
        <v>0</v>
      </c>
      <c r="I52" s="645"/>
      <c r="J52" s="645"/>
      <c r="K52" s="645"/>
      <c r="L52" s="645"/>
      <c r="M52" s="645"/>
      <c r="N52" s="645"/>
      <c r="O52" s="645"/>
      <c r="P52" s="645"/>
      <c r="Q52" s="645"/>
      <c r="R52" s="645"/>
      <c r="S52" s="645"/>
      <c r="T52" s="646">
        <f t="shared" si="0"/>
        <v>2.1</v>
      </c>
      <c r="U52" s="646">
        <f t="shared" ref="U52:U55" si="4">T52</f>
        <v>2.1</v>
      </c>
      <c r="V52" s="729" t="s">
        <v>928</v>
      </c>
      <c r="W52" s="640"/>
      <c r="X52" s="3"/>
      <c r="Y52" s="3"/>
      <c r="Z52" s="3"/>
      <c r="AA52" s="3"/>
    </row>
    <row r="53" spans="1:27" ht="30">
      <c r="A53" s="736"/>
      <c r="B53" s="736"/>
      <c r="C53" s="736"/>
      <c r="D53" s="644">
        <v>48</v>
      </c>
      <c r="E53" s="644" t="s">
        <v>101</v>
      </c>
      <c r="F53" s="645"/>
      <c r="G53" s="645"/>
      <c r="H53" s="645"/>
      <c r="I53" s="645"/>
      <c r="J53" s="645"/>
      <c r="K53" s="645"/>
      <c r="L53" s="645"/>
      <c r="M53" s="645"/>
      <c r="N53" s="646">
        <v>0.28899999999999998</v>
      </c>
      <c r="O53" s="645"/>
      <c r="P53" s="648"/>
      <c r="Q53" s="645"/>
      <c r="R53" s="645"/>
      <c r="S53" s="645"/>
      <c r="T53" s="646">
        <f t="shared" si="0"/>
        <v>0.28899999999999998</v>
      </c>
      <c r="U53" s="646">
        <f t="shared" si="4"/>
        <v>0.28899999999999998</v>
      </c>
      <c r="V53" s="729" t="s">
        <v>102</v>
      </c>
      <c r="W53" s="640"/>
      <c r="X53" s="3"/>
      <c r="Y53" s="3"/>
      <c r="Z53" s="3"/>
      <c r="AA53" s="3"/>
    </row>
    <row r="54" spans="1:27" ht="75">
      <c r="A54" s="736"/>
      <c r="B54" s="736"/>
      <c r="C54" s="736"/>
      <c r="D54" s="644">
        <v>49</v>
      </c>
      <c r="E54" s="644" t="s">
        <v>103</v>
      </c>
      <c r="F54" s="645"/>
      <c r="G54" s="645"/>
      <c r="H54" s="645"/>
      <c r="I54" s="645"/>
      <c r="J54" s="645"/>
      <c r="K54" s="645"/>
      <c r="L54" s="645"/>
      <c r="M54" s="645"/>
      <c r="N54" s="645"/>
      <c r="O54" s="645"/>
      <c r="P54" s="645"/>
      <c r="Q54" s="647">
        <v>2.02</v>
      </c>
      <c r="R54" s="648">
        <v>1</v>
      </c>
      <c r="S54" s="645"/>
      <c r="T54" s="646">
        <f t="shared" si="0"/>
        <v>3.02</v>
      </c>
      <c r="U54" s="646">
        <f t="shared" si="4"/>
        <v>3.02</v>
      </c>
      <c r="V54" s="744" t="s">
        <v>929</v>
      </c>
      <c r="W54" s="640"/>
      <c r="X54" s="3"/>
      <c r="Y54" s="3"/>
      <c r="Z54" s="3"/>
      <c r="AA54" s="3"/>
    </row>
    <row r="55" spans="1:27" ht="120">
      <c r="A55" s="736"/>
      <c r="B55" s="736"/>
      <c r="C55" s="736"/>
      <c r="D55" s="644">
        <v>50</v>
      </c>
      <c r="E55" s="644" t="s">
        <v>105</v>
      </c>
      <c r="F55" s="645"/>
      <c r="G55" s="645"/>
      <c r="H55" s="645"/>
      <c r="I55" s="647"/>
      <c r="J55" s="645"/>
      <c r="K55" s="645">
        <v>0.36</v>
      </c>
      <c r="L55" s="645"/>
      <c r="M55" s="645"/>
      <c r="N55" s="647"/>
      <c r="O55" s="645"/>
      <c r="P55" s="648"/>
      <c r="Q55" s="647">
        <v>2.25</v>
      </c>
      <c r="R55" s="648">
        <v>0.04</v>
      </c>
      <c r="S55" s="645"/>
      <c r="T55" s="646">
        <f t="shared" si="0"/>
        <v>2.65</v>
      </c>
      <c r="U55" s="646">
        <f t="shared" si="4"/>
        <v>2.65</v>
      </c>
      <c r="V55" s="738" t="s">
        <v>930</v>
      </c>
      <c r="W55" s="640"/>
      <c r="X55" s="3"/>
      <c r="Y55" s="3"/>
      <c r="Z55" s="3"/>
      <c r="AA55" s="3"/>
    </row>
    <row r="56" spans="1:27" ht="45">
      <c r="A56" s="736"/>
      <c r="B56" s="736"/>
      <c r="C56" s="736"/>
      <c r="D56" s="644">
        <v>51</v>
      </c>
      <c r="E56" s="644" t="s">
        <v>53</v>
      </c>
      <c r="F56" s="645"/>
      <c r="G56" s="645"/>
      <c r="H56" s="645"/>
      <c r="I56" s="645"/>
      <c r="J56" s="645"/>
      <c r="K56" s="645"/>
      <c r="L56" s="645"/>
      <c r="M56" s="645"/>
      <c r="N56" s="648"/>
      <c r="O56" s="645"/>
      <c r="P56" s="645"/>
      <c r="Q56" s="645"/>
      <c r="R56" s="645"/>
      <c r="S56" s="645"/>
      <c r="T56" s="646">
        <f t="shared" si="0"/>
        <v>0</v>
      </c>
      <c r="U56" s="646"/>
      <c r="V56" s="729"/>
      <c r="W56" s="640"/>
      <c r="X56" s="3"/>
      <c r="Y56" s="3"/>
      <c r="Z56" s="3"/>
      <c r="AA56" s="3"/>
    </row>
    <row r="57" spans="1:27" ht="255">
      <c r="A57" s="736"/>
      <c r="B57" s="699" t="s">
        <v>107</v>
      </c>
      <c r="C57" s="699" t="s">
        <v>108</v>
      </c>
      <c r="D57" s="644">
        <v>52</v>
      </c>
      <c r="E57" s="644" t="s">
        <v>109</v>
      </c>
      <c r="F57" s="649"/>
      <c r="G57" s="649"/>
      <c r="H57" s="649"/>
      <c r="I57" s="651"/>
      <c r="J57" s="649"/>
      <c r="K57" s="651"/>
      <c r="L57" s="649"/>
      <c r="M57" s="649"/>
      <c r="N57" s="651">
        <v>2</v>
      </c>
      <c r="O57" s="650">
        <v>36.630000000000003</v>
      </c>
      <c r="P57" s="649"/>
      <c r="Q57" s="649"/>
      <c r="R57" s="649"/>
      <c r="S57" s="649"/>
      <c r="T57" s="646">
        <f t="shared" si="0"/>
        <v>38.630000000000003</v>
      </c>
      <c r="U57" s="658">
        <f>N57+O57</f>
        <v>38.630000000000003</v>
      </c>
      <c r="V57" s="746" t="s">
        <v>931</v>
      </c>
      <c r="W57" s="640"/>
      <c r="X57" s="3"/>
      <c r="Y57" s="3"/>
      <c r="Z57" s="3"/>
      <c r="AA57" s="3"/>
    </row>
    <row r="58" spans="1:27" ht="195">
      <c r="A58" s="736"/>
      <c r="B58" s="736"/>
      <c r="C58" s="736"/>
      <c r="D58" s="644">
        <v>53</v>
      </c>
      <c r="E58" s="644" t="s">
        <v>111</v>
      </c>
      <c r="F58" s="649"/>
      <c r="G58" s="649"/>
      <c r="H58" s="649"/>
      <c r="I58" s="649"/>
      <c r="J58" s="649"/>
      <c r="K58" s="651"/>
      <c r="L58" s="649"/>
      <c r="M58" s="649"/>
      <c r="N58" s="651">
        <v>6.99</v>
      </c>
      <c r="O58" s="650">
        <v>4.07</v>
      </c>
      <c r="P58" s="649"/>
      <c r="Q58" s="650">
        <v>3</v>
      </c>
      <c r="R58" s="649"/>
      <c r="S58" s="649"/>
      <c r="T58" s="646">
        <f t="shared" si="0"/>
        <v>14.06</v>
      </c>
      <c r="U58" s="658">
        <f>T58</f>
        <v>14.06</v>
      </c>
      <c r="V58" s="740" t="s">
        <v>932</v>
      </c>
      <c r="W58" s="640"/>
      <c r="X58" s="3"/>
      <c r="Y58" s="3"/>
      <c r="Z58" s="3"/>
      <c r="AA58" s="3"/>
    </row>
    <row r="59" spans="1:27" ht="45">
      <c r="A59" s="736"/>
      <c r="B59" s="736"/>
      <c r="C59" s="736"/>
      <c r="D59" s="644">
        <v>54</v>
      </c>
      <c r="E59" s="644" t="s">
        <v>113</v>
      </c>
      <c r="F59" s="649"/>
      <c r="G59" s="649"/>
      <c r="H59" s="650"/>
      <c r="I59" s="649"/>
      <c r="J59" s="649"/>
      <c r="K59" s="649"/>
      <c r="L59" s="649"/>
      <c r="M59" s="649"/>
      <c r="N59" s="649">
        <v>0</v>
      </c>
      <c r="O59" s="650"/>
      <c r="P59" s="650"/>
      <c r="Q59" s="649"/>
      <c r="R59" s="649"/>
      <c r="S59" s="649"/>
      <c r="T59" s="646">
        <f t="shared" si="0"/>
        <v>0</v>
      </c>
      <c r="U59" s="646">
        <v>0</v>
      </c>
      <c r="V59" s="1259"/>
      <c r="W59" s="640"/>
      <c r="X59" s="3"/>
      <c r="Y59" s="3"/>
      <c r="Z59" s="3"/>
      <c r="AA59" s="3"/>
    </row>
    <row r="60" spans="1:27" ht="30">
      <c r="A60" s="736"/>
      <c r="B60" s="736"/>
      <c r="C60" s="736"/>
      <c r="D60" s="644">
        <v>55</v>
      </c>
      <c r="E60" s="644" t="s">
        <v>114</v>
      </c>
      <c r="F60" s="649"/>
      <c r="G60" s="649"/>
      <c r="H60" s="649"/>
      <c r="I60" s="649"/>
      <c r="J60" s="649"/>
      <c r="K60" s="651"/>
      <c r="L60" s="649"/>
      <c r="M60" s="649"/>
      <c r="N60" s="649"/>
      <c r="O60" s="649"/>
      <c r="P60" s="649"/>
      <c r="Q60" s="649"/>
      <c r="R60" s="649"/>
      <c r="S60" s="649"/>
      <c r="T60" s="646">
        <f t="shared" si="0"/>
        <v>0</v>
      </c>
      <c r="U60" s="646">
        <v>0</v>
      </c>
      <c r="V60" s="744"/>
      <c r="W60" s="640"/>
      <c r="X60" s="3"/>
      <c r="Y60" s="3"/>
      <c r="Z60" s="3"/>
      <c r="AA60" s="3"/>
    </row>
    <row r="61" spans="1:27" ht="90">
      <c r="A61" s="736"/>
      <c r="B61" s="736"/>
      <c r="C61" s="736"/>
      <c r="D61" s="644">
        <v>56</v>
      </c>
      <c r="E61" s="644" t="s">
        <v>115</v>
      </c>
      <c r="F61" s="649"/>
      <c r="G61" s="649"/>
      <c r="H61" s="649"/>
      <c r="I61" s="649"/>
      <c r="J61" s="649"/>
      <c r="K61" s="649"/>
      <c r="L61" s="649"/>
      <c r="M61" s="649"/>
      <c r="N61" s="649"/>
      <c r="O61" s="650">
        <v>8.14</v>
      </c>
      <c r="P61" s="649"/>
      <c r="Q61" s="649">
        <v>0.5</v>
      </c>
      <c r="R61" s="649"/>
      <c r="S61" s="649"/>
      <c r="T61" s="646">
        <f t="shared" si="0"/>
        <v>8.64</v>
      </c>
      <c r="U61" s="646">
        <f>T61</f>
        <v>8.64</v>
      </c>
      <c r="V61" s="744" t="s">
        <v>933</v>
      </c>
      <c r="W61" s="640"/>
      <c r="X61" s="3"/>
      <c r="Y61" s="3"/>
      <c r="Z61" s="3"/>
      <c r="AA61" s="3"/>
    </row>
    <row r="62" spans="1:27" ht="135">
      <c r="A62" s="736"/>
      <c r="B62" s="736"/>
      <c r="C62" s="736"/>
      <c r="D62" s="644">
        <v>57</v>
      </c>
      <c r="E62" s="644" t="s">
        <v>116</v>
      </c>
      <c r="F62" s="649"/>
      <c r="G62" s="649"/>
      <c r="H62" s="650"/>
      <c r="I62" s="649"/>
      <c r="J62" s="649"/>
      <c r="K62" s="649"/>
      <c r="L62" s="649"/>
      <c r="M62" s="651">
        <f>1.05+2.49</f>
        <v>3.54</v>
      </c>
      <c r="N62" s="649"/>
      <c r="O62" s="649"/>
      <c r="P62" s="649"/>
      <c r="Q62" s="649"/>
      <c r="R62" s="649"/>
      <c r="S62" s="649"/>
      <c r="T62" s="646">
        <f t="shared" si="0"/>
        <v>3.54</v>
      </c>
      <c r="U62" s="646">
        <f>M62</f>
        <v>3.54</v>
      </c>
      <c r="V62" s="740" t="s">
        <v>934</v>
      </c>
      <c r="W62" s="640"/>
      <c r="X62" s="3"/>
      <c r="Y62" s="3"/>
      <c r="Z62" s="3"/>
      <c r="AA62" s="3"/>
    </row>
    <row r="63" spans="1:27" ht="90">
      <c r="A63" s="736"/>
      <c r="B63" s="736"/>
      <c r="C63" s="736"/>
      <c r="D63" s="644">
        <v>58</v>
      </c>
      <c r="E63" s="644" t="s">
        <v>117</v>
      </c>
      <c r="F63" s="649"/>
      <c r="G63" s="649"/>
      <c r="H63" s="649"/>
      <c r="I63" s="649"/>
      <c r="J63" s="649"/>
      <c r="K63" s="651"/>
      <c r="L63" s="649"/>
      <c r="M63" s="649"/>
      <c r="N63" s="649"/>
      <c r="O63" s="659">
        <v>2.0350000000000001</v>
      </c>
      <c r="P63" s="649"/>
      <c r="Q63" s="650">
        <v>0.75</v>
      </c>
      <c r="R63" s="649"/>
      <c r="S63" s="649"/>
      <c r="T63" s="646">
        <f t="shared" si="0"/>
        <v>2.7850000000000001</v>
      </c>
      <c r="U63" s="646">
        <f>T63</f>
        <v>2.7850000000000001</v>
      </c>
      <c r="V63" s="740" t="s">
        <v>935</v>
      </c>
      <c r="W63" s="640"/>
      <c r="X63" s="3"/>
      <c r="Y63" s="3"/>
      <c r="Z63" s="3"/>
      <c r="AA63" s="3"/>
    </row>
    <row r="64" spans="1:27" ht="30">
      <c r="A64" s="736"/>
      <c r="B64" s="736"/>
      <c r="C64" s="736"/>
      <c r="D64" s="644">
        <v>59</v>
      </c>
      <c r="E64" s="644" t="s">
        <v>119</v>
      </c>
      <c r="F64" s="649"/>
      <c r="G64" s="649"/>
      <c r="H64" s="649"/>
      <c r="I64" s="649"/>
      <c r="J64" s="649"/>
      <c r="K64" s="649"/>
      <c r="L64" s="649"/>
      <c r="M64" s="649"/>
      <c r="N64" s="649"/>
      <c r="O64" s="649"/>
      <c r="P64" s="649"/>
      <c r="Q64" s="649"/>
      <c r="R64" s="649"/>
      <c r="S64" s="649"/>
      <c r="T64" s="646">
        <f t="shared" si="0"/>
        <v>0</v>
      </c>
      <c r="U64" s="646"/>
      <c r="V64" s="729" t="s">
        <v>936</v>
      </c>
      <c r="W64" s="640"/>
      <c r="X64" s="3"/>
      <c r="Y64" s="3"/>
      <c r="Z64" s="3"/>
      <c r="AA64" s="3"/>
    </row>
    <row r="65" spans="1:27" ht="30">
      <c r="A65" s="736"/>
      <c r="B65" s="736"/>
      <c r="C65" s="736"/>
      <c r="D65" s="644">
        <v>60</v>
      </c>
      <c r="E65" s="644" t="s">
        <v>120</v>
      </c>
      <c r="F65" s="649"/>
      <c r="G65" s="649"/>
      <c r="H65" s="649"/>
      <c r="I65" s="649"/>
      <c r="J65" s="649"/>
      <c r="K65" s="649"/>
      <c r="L65" s="649"/>
      <c r="M65" s="649"/>
      <c r="N65" s="649"/>
      <c r="O65" s="649"/>
      <c r="P65" s="649"/>
      <c r="Q65" s="649"/>
      <c r="R65" s="649"/>
      <c r="S65" s="649"/>
      <c r="T65" s="646">
        <f t="shared" si="0"/>
        <v>0</v>
      </c>
      <c r="U65" s="646">
        <v>0</v>
      </c>
      <c r="V65" s="729"/>
      <c r="W65" s="640"/>
      <c r="X65" s="3"/>
      <c r="Y65" s="3"/>
      <c r="Z65" s="3"/>
      <c r="AA65" s="3"/>
    </row>
    <row r="66" spans="1:27" ht="45">
      <c r="A66" s="736"/>
      <c r="B66" s="736"/>
      <c r="C66" s="736"/>
      <c r="D66" s="644">
        <v>61</v>
      </c>
      <c r="E66" s="644" t="s">
        <v>53</v>
      </c>
      <c r="F66" s="649"/>
      <c r="G66" s="649"/>
      <c r="H66" s="649"/>
      <c r="I66" s="649"/>
      <c r="J66" s="649"/>
      <c r="K66" s="649"/>
      <c r="L66" s="649"/>
      <c r="M66" s="649"/>
      <c r="N66" s="649"/>
      <c r="O66" s="649"/>
      <c r="P66" s="649"/>
      <c r="Q66" s="649"/>
      <c r="R66" s="649"/>
      <c r="S66" s="649"/>
      <c r="T66" s="646">
        <f t="shared" si="0"/>
        <v>0</v>
      </c>
      <c r="U66" s="646">
        <v>0</v>
      </c>
      <c r="V66" s="729"/>
      <c r="W66" s="640"/>
      <c r="X66" s="3"/>
      <c r="Y66" s="3"/>
      <c r="Z66" s="3"/>
      <c r="AA66" s="3"/>
    </row>
    <row r="67" spans="1:27" ht="105">
      <c r="A67" s="736"/>
      <c r="B67" s="644" t="s">
        <v>121</v>
      </c>
      <c r="C67" s="644" t="s">
        <v>122</v>
      </c>
      <c r="D67" s="644">
        <v>62</v>
      </c>
      <c r="E67" s="644" t="s">
        <v>123</v>
      </c>
      <c r="F67" s="645"/>
      <c r="G67" s="645"/>
      <c r="H67" s="645"/>
      <c r="I67" s="645"/>
      <c r="J67" s="645"/>
      <c r="K67" s="645"/>
      <c r="L67" s="645"/>
      <c r="M67" s="647"/>
      <c r="N67" s="645"/>
      <c r="O67" s="648">
        <v>0.5</v>
      </c>
      <c r="P67" s="648"/>
      <c r="Q67" s="647">
        <v>0.2</v>
      </c>
      <c r="R67" s="645"/>
      <c r="S67" s="648"/>
      <c r="T67" s="646">
        <f t="shared" si="0"/>
        <v>0.7</v>
      </c>
      <c r="U67" s="646">
        <f>T67</f>
        <v>0.7</v>
      </c>
      <c r="V67" s="749" t="s">
        <v>124</v>
      </c>
      <c r="W67" s="640"/>
      <c r="X67" s="3"/>
      <c r="Y67" s="3"/>
      <c r="Z67" s="3"/>
      <c r="AA67" s="3"/>
    </row>
    <row r="68" spans="1:27">
      <c r="A68" s="736"/>
      <c r="B68" s="701" t="s">
        <v>125</v>
      </c>
      <c r="C68" s="736"/>
      <c r="D68" s="736"/>
      <c r="E68" s="660"/>
      <c r="F68" s="660">
        <f t="shared" ref="F68:S68" si="5">SUM(F6:F67)</f>
        <v>123.52849999999999</v>
      </c>
      <c r="G68" s="660">
        <f t="shared" si="5"/>
        <v>0</v>
      </c>
      <c r="H68" s="660">
        <f t="shared" si="5"/>
        <v>0</v>
      </c>
      <c r="I68" s="660">
        <f t="shared" si="5"/>
        <v>5.2423299999999999</v>
      </c>
      <c r="J68" s="660">
        <f t="shared" si="5"/>
        <v>0</v>
      </c>
      <c r="K68" s="660">
        <f t="shared" si="5"/>
        <v>141.23500000000001</v>
      </c>
      <c r="L68" s="660">
        <f t="shared" si="5"/>
        <v>0</v>
      </c>
      <c r="M68" s="660">
        <f t="shared" si="5"/>
        <v>40.396000000000001</v>
      </c>
      <c r="N68" s="660">
        <f t="shared" si="5"/>
        <v>45.140200000000007</v>
      </c>
      <c r="O68" s="660">
        <f t="shared" si="5"/>
        <v>307.06645000000003</v>
      </c>
      <c r="P68" s="660">
        <f t="shared" si="5"/>
        <v>524.68831999999998</v>
      </c>
      <c r="Q68" s="660">
        <f t="shared" si="5"/>
        <v>34.602499999999999</v>
      </c>
      <c r="R68" s="660">
        <f t="shared" si="5"/>
        <v>12.864999999999998</v>
      </c>
      <c r="S68" s="660">
        <f t="shared" si="5"/>
        <v>3.76</v>
      </c>
      <c r="T68" s="660">
        <f t="shared" si="0"/>
        <v>1238.5243</v>
      </c>
      <c r="U68" s="660">
        <f>SUM(U6:U67)</f>
        <v>1238.4787700000002</v>
      </c>
      <c r="V68" s="729"/>
      <c r="W68" s="640"/>
      <c r="X68" s="3"/>
      <c r="Y68" s="3"/>
      <c r="Z68" s="3"/>
      <c r="AA68" s="3"/>
    </row>
    <row r="69" spans="1:27" ht="90">
      <c r="A69" s="700" t="s">
        <v>126</v>
      </c>
      <c r="B69" s="644" t="s">
        <v>127</v>
      </c>
      <c r="C69" s="644" t="s">
        <v>128</v>
      </c>
      <c r="D69" s="644">
        <v>63</v>
      </c>
      <c r="E69" s="644" t="s">
        <v>129</v>
      </c>
      <c r="F69" s="644"/>
      <c r="G69" s="644"/>
      <c r="H69" s="644"/>
      <c r="I69" s="644"/>
      <c r="J69" s="644"/>
      <c r="K69" s="644"/>
      <c r="L69" s="644"/>
      <c r="M69" s="654"/>
      <c r="N69" s="646">
        <v>8.1</v>
      </c>
      <c r="O69" s="644"/>
      <c r="P69" s="646"/>
      <c r="Q69" s="644"/>
      <c r="R69" s="654">
        <v>3.75</v>
      </c>
      <c r="S69" s="654">
        <f>1+1.5</f>
        <v>2.5</v>
      </c>
      <c r="T69" s="646">
        <f t="shared" si="0"/>
        <v>14.35</v>
      </c>
      <c r="U69" s="646">
        <f t="shared" ref="U69:U74" si="6">T69</f>
        <v>14.35</v>
      </c>
      <c r="V69" s="749" t="s">
        <v>937</v>
      </c>
      <c r="W69" s="641" t="s">
        <v>937</v>
      </c>
      <c r="X69" s="3"/>
      <c r="Y69" s="3"/>
      <c r="Z69" s="3"/>
      <c r="AA69" s="3"/>
    </row>
    <row r="70" spans="1:27" ht="75">
      <c r="A70" s="736"/>
      <c r="B70" s="699" t="s">
        <v>131</v>
      </c>
      <c r="C70" s="699" t="s">
        <v>132</v>
      </c>
      <c r="D70" s="644">
        <v>64</v>
      </c>
      <c r="E70" s="644" t="s">
        <v>133</v>
      </c>
      <c r="F70" s="521"/>
      <c r="G70" s="779"/>
      <c r="H70" s="521"/>
      <c r="I70" s="661">
        <v>1.37</v>
      </c>
      <c r="J70" s="521"/>
      <c r="K70" s="661"/>
      <c r="L70" s="521"/>
      <c r="M70" s="521"/>
      <c r="N70" s="661">
        <v>1.5</v>
      </c>
      <c r="O70" s="662"/>
      <c r="P70" s="661">
        <v>3.22</v>
      </c>
      <c r="Q70" s="661">
        <v>0.85</v>
      </c>
      <c r="R70" s="662">
        <v>7.6</v>
      </c>
      <c r="S70" s="662"/>
      <c r="T70" s="646">
        <f t="shared" si="0"/>
        <v>14.54</v>
      </c>
      <c r="U70" s="1260">
        <f t="shared" si="6"/>
        <v>14.54</v>
      </c>
      <c r="V70" s="729" t="s">
        <v>938</v>
      </c>
      <c r="W70" s="641" t="s">
        <v>938</v>
      </c>
      <c r="X70" s="3"/>
      <c r="Y70" s="3"/>
      <c r="Z70" s="3"/>
      <c r="AA70" s="3"/>
    </row>
    <row r="71" spans="1:27" ht="60">
      <c r="A71" s="736"/>
      <c r="B71" s="736"/>
      <c r="C71" s="736"/>
      <c r="D71" s="644">
        <v>65</v>
      </c>
      <c r="E71" s="644" t="s">
        <v>135</v>
      </c>
      <c r="F71" s="521"/>
      <c r="G71" s="521"/>
      <c r="H71" s="521"/>
      <c r="I71" s="521"/>
      <c r="J71" s="521"/>
      <c r="K71" s="521"/>
      <c r="L71" s="521"/>
      <c r="M71" s="521"/>
      <c r="N71" s="661"/>
      <c r="O71" s="521"/>
      <c r="P71" s="662">
        <v>0.45</v>
      </c>
      <c r="Q71" s="521"/>
      <c r="R71" s="521"/>
      <c r="S71" s="662"/>
      <c r="T71" s="646">
        <f t="shared" si="0"/>
        <v>0.45</v>
      </c>
      <c r="U71" s="1260">
        <f t="shared" si="6"/>
        <v>0.45</v>
      </c>
      <c r="V71" s="729" t="s">
        <v>544</v>
      </c>
      <c r="W71" s="641" t="s">
        <v>136</v>
      </c>
      <c r="X71" s="3"/>
      <c r="Y71" s="3"/>
      <c r="Z71" s="3"/>
      <c r="AA71" s="3"/>
    </row>
    <row r="72" spans="1:27" ht="75">
      <c r="A72" s="736"/>
      <c r="B72" s="736"/>
      <c r="C72" s="736"/>
      <c r="D72" s="644">
        <v>66</v>
      </c>
      <c r="E72" s="644" t="s">
        <v>137</v>
      </c>
      <c r="F72" s="521"/>
      <c r="G72" s="521"/>
      <c r="H72" s="521"/>
      <c r="I72" s="521"/>
      <c r="J72" s="521"/>
      <c r="K72" s="661"/>
      <c r="L72" s="521"/>
      <c r="M72" s="521"/>
      <c r="N72" s="661">
        <v>0.2</v>
      </c>
      <c r="O72" s="521"/>
      <c r="P72" s="662">
        <v>0.09</v>
      </c>
      <c r="Q72" s="661">
        <v>0.05</v>
      </c>
      <c r="R72" s="804">
        <v>0.15</v>
      </c>
      <c r="S72" s="521"/>
      <c r="T72" s="646">
        <f t="shared" si="0"/>
        <v>0.49</v>
      </c>
      <c r="U72" s="1260">
        <f t="shared" si="6"/>
        <v>0.49</v>
      </c>
      <c r="V72" s="729" t="s">
        <v>545</v>
      </c>
      <c r="W72" s="641" t="s">
        <v>138</v>
      </c>
      <c r="X72" s="3"/>
      <c r="Y72" s="3"/>
      <c r="Z72" s="3"/>
      <c r="AA72" s="3"/>
    </row>
    <row r="73" spans="1:27" ht="105">
      <c r="A73" s="736"/>
      <c r="B73" s="736"/>
      <c r="C73" s="736"/>
      <c r="D73" s="644">
        <v>67</v>
      </c>
      <c r="E73" s="644" t="s">
        <v>139</v>
      </c>
      <c r="F73" s="521"/>
      <c r="G73" s="521"/>
      <c r="H73" s="521"/>
      <c r="I73" s="521"/>
      <c r="J73" s="521"/>
      <c r="K73" s="661"/>
      <c r="L73" s="521"/>
      <c r="M73" s="521"/>
      <c r="N73" s="661">
        <v>0.6</v>
      </c>
      <c r="O73" s="521">
        <v>1.5</v>
      </c>
      <c r="P73" s="662">
        <v>74.72</v>
      </c>
      <c r="Q73" s="661">
        <v>1</v>
      </c>
      <c r="R73" s="662">
        <v>3.75</v>
      </c>
      <c r="S73" s="662">
        <v>2</v>
      </c>
      <c r="T73" s="646">
        <f t="shared" si="0"/>
        <v>83.57</v>
      </c>
      <c r="U73" s="1260">
        <f t="shared" si="6"/>
        <v>83.57</v>
      </c>
      <c r="V73" s="738" t="s">
        <v>939</v>
      </c>
      <c r="W73" s="641" t="s">
        <v>939</v>
      </c>
      <c r="X73" s="3"/>
      <c r="Y73" s="3"/>
      <c r="Z73" s="3"/>
      <c r="AA73" s="3"/>
    </row>
    <row r="74" spans="1:27" ht="75">
      <c r="A74" s="736"/>
      <c r="B74" s="736"/>
      <c r="C74" s="736"/>
      <c r="D74" s="644">
        <v>68</v>
      </c>
      <c r="E74" s="644" t="s">
        <v>141</v>
      </c>
      <c r="F74" s="662"/>
      <c r="G74" s="521"/>
      <c r="H74" s="521"/>
      <c r="I74" s="661"/>
      <c r="J74" s="521"/>
      <c r="K74" s="661"/>
      <c r="L74" s="521"/>
      <c r="M74" s="521"/>
      <c r="N74" s="661">
        <v>0.4</v>
      </c>
      <c r="O74" s="662"/>
      <c r="P74" s="662">
        <v>5.74</v>
      </c>
      <c r="Q74" s="661">
        <v>3.25</v>
      </c>
      <c r="R74" s="662">
        <v>2</v>
      </c>
      <c r="S74" s="662">
        <v>1.2</v>
      </c>
      <c r="T74" s="646">
        <f t="shared" si="0"/>
        <v>12.59</v>
      </c>
      <c r="U74" s="1260">
        <f t="shared" si="6"/>
        <v>12.59</v>
      </c>
      <c r="V74" s="749" t="s">
        <v>940</v>
      </c>
      <c r="W74" s="641" t="s">
        <v>940</v>
      </c>
      <c r="X74" s="3"/>
      <c r="Y74" s="3"/>
      <c r="Z74" s="3"/>
      <c r="AA74" s="3"/>
    </row>
    <row r="75" spans="1:27" ht="390">
      <c r="A75" s="736"/>
      <c r="B75" s="699" t="s">
        <v>143</v>
      </c>
      <c r="C75" s="699" t="s">
        <v>144</v>
      </c>
      <c r="D75" s="644">
        <v>69</v>
      </c>
      <c r="E75" s="644" t="s">
        <v>145</v>
      </c>
      <c r="F75" s="663"/>
      <c r="G75" s="663"/>
      <c r="H75" s="663"/>
      <c r="I75" s="663"/>
      <c r="J75" s="663"/>
      <c r="K75" s="663"/>
      <c r="L75" s="663"/>
      <c r="M75" s="664">
        <v>0.68</v>
      </c>
      <c r="N75" s="663"/>
      <c r="O75" s="664">
        <v>82.117999999999995</v>
      </c>
      <c r="P75" s="664">
        <v>1.8</v>
      </c>
      <c r="Q75" s="663"/>
      <c r="R75" s="663"/>
      <c r="S75" s="663"/>
      <c r="T75" s="646">
        <f t="shared" si="0"/>
        <v>84.597999999999999</v>
      </c>
      <c r="U75" s="658">
        <v>84.597999999999999</v>
      </c>
      <c r="V75" s="749" t="s">
        <v>941</v>
      </c>
      <c r="W75" s="132" t="s">
        <v>941</v>
      </c>
      <c r="X75" s="3"/>
      <c r="Y75" s="3"/>
      <c r="Z75" s="3"/>
      <c r="AA75" s="3"/>
    </row>
    <row r="76" spans="1:27" ht="180">
      <c r="A76" s="736"/>
      <c r="B76" s="736"/>
      <c r="C76" s="736"/>
      <c r="D76" s="644">
        <v>70</v>
      </c>
      <c r="E76" s="644" t="s">
        <v>147</v>
      </c>
      <c r="F76" s="663"/>
      <c r="G76" s="663"/>
      <c r="H76" s="663"/>
      <c r="I76" s="665">
        <v>0.312</v>
      </c>
      <c r="J76" s="663"/>
      <c r="K76" s="663"/>
      <c r="L76" s="663"/>
      <c r="M76" s="663"/>
      <c r="N76" s="663"/>
      <c r="O76" s="663"/>
      <c r="P76" s="664">
        <v>1.1000000000000001</v>
      </c>
      <c r="Q76" s="663"/>
      <c r="R76" s="663"/>
      <c r="S76" s="663"/>
      <c r="T76" s="646">
        <f t="shared" si="0"/>
        <v>1.4120000000000001</v>
      </c>
      <c r="U76" s="658">
        <v>1.4120000000000001</v>
      </c>
      <c r="V76" s="482" t="s">
        <v>942</v>
      </c>
      <c r="W76" s="132" t="s">
        <v>942</v>
      </c>
      <c r="X76" s="3"/>
      <c r="Y76" s="3"/>
      <c r="Z76" s="3"/>
      <c r="AA76" s="3"/>
    </row>
    <row r="77" spans="1:27" ht="24.75" customHeight="1">
      <c r="A77" s="736"/>
      <c r="B77" s="736"/>
      <c r="C77" s="736"/>
      <c r="D77" s="644">
        <v>71</v>
      </c>
      <c r="E77" s="644" t="s">
        <v>149</v>
      </c>
      <c r="F77" s="663"/>
      <c r="G77" s="663"/>
      <c r="H77" s="663"/>
      <c r="I77" s="663"/>
      <c r="J77" s="663"/>
      <c r="K77" s="663"/>
      <c r="L77" s="663"/>
      <c r="M77" s="663"/>
      <c r="N77" s="663"/>
      <c r="O77" s="663"/>
      <c r="P77" s="663"/>
      <c r="Q77" s="663"/>
      <c r="R77" s="663"/>
      <c r="S77" s="663"/>
      <c r="T77" s="646">
        <f t="shared" si="0"/>
        <v>0</v>
      </c>
      <c r="U77" s="666">
        <v>0</v>
      </c>
      <c r="V77" s="482"/>
      <c r="W77" s="132"/>
      <c r="X77" s="3"/>
      <c r="Y77" s="3"/>
      <c r="Z77" s="3"/>
      <c r="AA77" s="3"/>
    </row>
    <row r="78" spans="1:27" ht="405">
      <c r="A78" s="736"/>
      <c r="B78" s="736"/>
      <c r="C78" s="736"/>
      <c r="D78" s="644">
        <v>72</v>
      </c>
      <c r="E78" s="644" t="s">
        <v>150</v>
      </c>
      <c r="F78" s="663"/>
      <c r="G78" s="663"/>
      <c r="H78" s="663"/>
      <c r="I78" s="663"/>
      <c r="J78" s="663"/>
      <c r="K78" s="663"/>
      <c r="L78" s="663"/>
      <c r="M78" s="663"/>
      <c r="N78" s="664">
        <v>5.0919999999999996</v>
      </c>
      <c r="O78" s="663"/>
      <c r="P78" s="663"/>
      <c r="Q78" s="664">
        <v>3.1276000000000002</v>
      </c>
      <c r="R78" s="664">
        <v>3.7162000000000002</v>
      </c>
      <c r="S78" s="663"/>
      <c r="T78" s="646">
        <f t="shared" si="0"/>
        <v>11.9358</v>
      </c>
      <c r="U78" s="658">
        <v>11.9358</v>
      </c>
      <c r="V78" s="779" t="s">
        <v>1724</v>
      </c>
      <c r="W78" s="132" t="s">
        <v>943</v>
      </c>
      <c r="X78" s="3"/>
      <c r="Y78" s="3"/>
      <c r="Z78" s="3"/>
      <c r="AA78" s="3"/>
    </row>
    <row r="79" spans="1:27" ht="409.5">
      <c r="A79" s="736"/>
      <c r="B79" s="699" t="s">
        <v>152</v>
      </c>
      <c r="C79" s="699" t="s">
        <v>153</v>
      </c>
      <c r="D79" s="644">
        <v>73</v>
      </c>
      <c r="E79" s="644" t="s">
        <v>154</v>
      </c>
      <c r="F79" s="1261">
        <v>5.52</v>
      </c>
      <c r="G79" s="1262">
        <v>3</v>
      </c>
      <c r="H79" s="1262"/>
      <c r="I79" s="1262">
        <v>8.4</v>
      </c>
      <c r="J79" s="1263"/>
      <c r="K79" s="1262"/>
      <c r="L79" s="1263">
        <v>7</v>
      </c>
      <c r="M79" s="1262">
        <v>12</v>
      </c>
      <c r="N79" s="1262">
        <v>9</v>
      </c>
      <c r="O79" s="1262"/>
      <c r="P79" s="1262">
        <v>3.45</v>
      </c>
      <c r="Q79" s="1263"/>
      <c r="R79" s="1262">
        <v>15</v>
      </c>
      <c r="S79" s="1262">
        <v>0.5</v>
      </c>
      <c r="T79" s="646">
        <f t="shared" si="0"/>
        <v>63.870000000000005</v>
      </c>
      <c r="U79" s="651">
        <v>63.7</v>
      </c>
      <c r="V79" s="749" t="s">
        <v>944</v>
      </c>
      <c r="W79" s="640"/>
      <c r="X79" s="3"/>
      <c r="Y79" s="3"/>
      <c r="Z79" s="3"/>
      <c r="AA79" s="3"/>
    </row>
    <row r="80" spans="1:27" ht="135">
      <c r="A80" s="736"/>
      <c r="B80" s="736"/>
      <c r="C80" s="736"/>
      <c r="D80" s="644">
        <v>74</v>
      </c>
      <c r="E80" s="644" t="s">
        <v>155</v>
      </c>
      <c r="F80" s="815">
        <v>93.5</v>
      </c>
      <c r="G80" s="815"/>
      <c r="H80" s="739"/>
      <c r="I80" s="739"/>
      <c r="J80" s="739"/>
      <c r="K80" s="739"/>
      <c r="L80" s="739"/>
      <c r="M80" s="739"/>
      <c r="N80" s="739"/>
      <c r="O80" s="739"/>
      <c r="P80" s="739"/>
      <c r="Q80" s="739"/>
      <c r="R80" s="739"/>
      <c r="S80" s="739"/>
      <c r="T80" s="646">
        <f t="shared" si="0"/>
        <v>93.5</v>
      </c>
      <c r="U80" s="646">
        <v>61.8</v>
      </c>
      <c r="V80" s="738" t="s">
        <v>945</v>
      </c>
      <c r="W80" s="640"/>
      <c r="X80" s="3"/>
      <c r="Y80" s="3"/>
      <c r="Z80" s="3"/>
      <c r="AA80" s="3"/>
    </row>
    <row r="81" spans="1:27" ht="195">
      <c r="A81" s="736"/>
      <c r="B81" s="736"/>
      <c r="C81" s="736"/>
      <c r="D81" s="644">
        <v>75</v>
      </c>
      <c r="E81" s="644" t="s">
        <v>157</v>
      </c>
      <c r="F81" s="1262">
        <v>2.93</v>
      </c>
      <c r="G81" s="1262"/>
      <c r="H81" s="1263"/>
      <c r="I81" s="1263"/>
      <c r="J81" s="1263"/>
      <c r="K81" s="1263"/>
      <c r="L81" s="1263"/>
      <c r="M81" s="1263"/>
      <c r="N81" s="1263"/>
      <c r="O81" s="1263"/>
      <c r="P81" s="1262">
        <v>9.5</v>
      </c>
      <c r="Q81" s="1263"/>
      <c r="R81" s="1263"/>
      <c r="S81" s="1263"/>
      <c r="T81" s="646">
        <f t="shared" si="0"/>
        <v>12.43</v>
      </c>
      <c r="U81" s="651">
        <v>16.100000000000001</v>
      </c>
      <c r="V81" s="738" t="s">
        <v>946</v>
      </c>
      <c r="W81" s="640"/>
      <c r="X81" s="3"/>
      <c r="Y81" s="3"/>
      <c r="Z81" s="3"/>
      <c r="AA81" s="3"/>
    </row>
    <row r="82" spans="1:27" ht="105">
      <c r="A82" s="736"/>
      <c r="B82" s="736"/>
      <c r="C82" s="736"/>
      <c r="D82" s="644">
        <v>76</v>
      </c>
      <c r="E82" s="644" t="s">
        <v>159</v>
      </c>
      <c r="F82" s="1263"/>
      <c r="G82" s="1263"/>
      <c r="H82" s="1263"/>
      <c r="I82" s="1263"/>
      <c r="J82" s="1263"/>
      <c r="K82" s="1262"/>
      <c r="L82" s="1263"/>
      <c r="M82" s="1262">
        <v>4</v>
      </c>
      <c r="N82" s="1263"/>
      <c r="O82" s="1263"/>
      <c r="P82" s="1263"/>
      <c r="Q82" s="1263"/>
      <c r="R82" s="1263"/>
      <c r="S82" s="1263"/>
      <c r="T82" s="646">
        <f t="shared" si="0"/>
        <v>4</v>
      </c>
      <c r="U82" s="651">
        <v>2.9</v>
      </c>
      <c r="V82" s="738" t="s">
        <v>947</v>
      </c>
      <c r="W82" s="640"/>
      <c r="X82" s="3"/>
      <c r="Y82" s="3"/>
      <c r="Z82" s="3"/>
      <c r="AA82" s="3"/>
    </row>
    <row r="83" spans="1:27" ht="409.5">
      <c r="A83" s="736"/>
      <c r="B83" s="736"/>
      <c r="C83" s="736"/>
      <c r="D83" s="644">
        <v>77</v>
      </c>
      <c r="E83" s="644" t="s">
        <v>161</v>
      </c>
      <c r="F83" s="1262">
        <v>1</v>
      </c>
      <c r="G83" s="1262">
        <v>2</v>
      </c>
      <c r="H83" s="1262"/>
      <c r="I83" s="1262">
        <v>2</v>
      </c>
      <c r="J83" s="1263"/>
      <c r="K83" s="1262"/>
      <c r="L83" s="1263">
        <v>4</v>
      </c>
      <c r="M83" s="1262">
        <v>12</v>
      </c>
      <c r="N83" s="1262">
        <v>0.4</v>
      </c>
      <c r="O83" s="1263"/>
      <c r="P83" s="1263"/>
      <c r="Q83" s="1263"/>
      <c r="R83" s="1263"/>
      <c r="S83" s="1262">
        <v>0.5</v>
      </c>
      <c r="T83" s="646">
        <f t="shared" si="0"/>
        <v>21.9</v>
      </c>
      <c r="U83" s="651">
        <v>42.1</v>
      </c>
      <c r="V83" s="738" t="s">
        <v>948</v>
      </c>
      <c r="W83" s="640"/>
      <c r="X83" s="3"/>
      <c r="Y83" s="3"/>
      <c r="Z83" s="3"/>
      <c r="AA83" s="3"/>
    </row>
    <row r="84" spans="1:27" ht="165">
      <c r="A84" s="736"/>
      <c r="B84" s="736"/>
      <c r="C84" s="736"/>
      <c r="D84" s="644">
        <v>78</v>
      </c>
      <c r="E84" s="644" t="s">
        <v>163</v>
      </c>
      <c r="F84" s="1263"/>
      <c r="G84" s="1263"/>
      <c r="H84" s="1263"/>
      <c r="I84" s="1263"/>
      <c r="J84" s="1263"/>
      <c r="K84" s="1263"/>
      <c r="L84" s="1263"/>
      <c r="M84" s="1263"/>
      <c r="N84" s="1263"/>
      <c r="O84" s="1263"/>
      <c r="P84" s="1263"/>
      <c r="Q84" s="1262">
        <v>10.5</v>
      </c>
      <c r="R84" s="1263"/>
      <c r="S84" s="1263"/>
      <c r="T84" s="646">
        <f t="shared" si="0"/>
        <v>10.5</v>
      </c>
      <c r="U84" s="651">
        <v>10.5</v>
      </c>
      <c r="V84" s="738" t="s">
        <v>164</v>
      </c>
      <c r="W84" s="640"/>
      <c r="X84" s="3"/>
      <c r="Y84" s="3"/>
      <c r="Z84" s="3"/>
      <c r="AA84" s="3"/>
    </row>
    <row r="85" spans="1:27" ht="37.5" customHeight="1">
      <c r="A85" s="736"/>
      <c r="B85" s="736"/>
      <c r="C85" s="736"/>
      <c r="D85" s="644">
        <v>79</v>
      </c>
      <c r="E85" s="644" t="s">
        <v>53</v>
      </c>
      <c r="F85" s="739"/>
      <c r="G85" s="739"/>
      <c r="H85" s="739"/>
      <c r="I85" s="739"/>
      <c r="J85" s="739"/>
      <c r="K85" s="739"/>
      <c r="L85" s="739"/>
      <c r="M85" s="739"/>
      <c r="N85" s="739"/>
      <c r="O85" s="739"/>
      <c r="P85" s="739"/>
      <c r="Q85" s="739"/>
      <c r="R85" s="739"/>
      <c r="S85" s="739"/>
      <c r="T85" s="646">
        <f t="shared" si="0"/>
        <v>0</v>
      </c>
      <c r="U85" s="646"/>
      <c r="V85" s="749"/>
      <c r="W85" s="640"/>
      <c r="X85" s="3"/>
      <c r="Y85" s="3"/>
      <c r="Z85" s="3"/>
      <c r="AA85" s="3"/>
    </row>
    <row r="86" spans="1:27" ht="105">
      <c r="A86" s="736"/>
      <c r="B86" s="699" t="s">
        <v>165</v>
      </c>
      <c r="C86" s="699" t="s">
        <v>166</v>
      </c>
      <c r="D86" s="644">
        <v>80</v>
      </c>
      <c r="E86" s="644" t="s">
        <v>167</v>
      </c>
      <c r="F86" s="644"/>
      <c r="G86" s="644"/>
      <c r="H86" s="644"/>
      <c r="I86" s="644"/>
      <c r="J86" s="644"/>
      <c r="K86" s="652"/>
      <c r="L86" s="644"/>
      <c r="M86" s="646"/>
      <c r="N86" s="644"/>
      <c r="O86" s="644"/>
      <c r="P86" s="654">
        <v>2.4</v>
      </c>
      <c r="Q86" s="646">
        <v>1</v>
      </c>
      <c r="R86" s="654"/>
      <c r="S86" s="644"/>
      <c r="T86" s="646">
        <f t="shared" si="0"/>
        <v>3.4</v>
      </c>
      <c r="U86" s="646">
        <v>3.4</v>
      </c>
      <c r="V86" s="770" t="s">
        <v>1716</v>
      </c>
      <c r="W86" s="640"/>
      <c r="X86" s="3"/>
      <c r="Y86" s="3"/>
      <c r="Z86" s="3"/>
      <c r="AA86" s="3"/>
    </row>
    <row r="87" spans="1:27" ht="45">
      <c r="A87" s="736"/>
      <c r="B87" s="736"/>
      <c r="C87" s="736"/>
      <c r="D87" s="644">
        <v>81</v>
      </c>
      <c r="E87" s="644" t="s">
        <v>168</v>
      </c>
      <c r="F87" s="644"/>
      <c r="G87" s="644"/>
      <c r="H87" s="644"/>
      <c r="I87" s="644"/>
      <c r="J87" s="644"/>
      <c r="K87" s="644"/>
      <c r="L87" s="644"/>
      <c r="M87" s="646"/>
      <c r="N87" s="646">
        <v>0</v>
      </c>
      <c r="O87" s="644"/>
      <c r="P87" s="654">
        <v>0.1</v>
      </c>
      <c r="Q87" s="654"/>
      <c r="R87" s="644"/>
      <c r="S87" s="644"/>
      <c r="T87" s="646">
        <f t="shared" si="0"/>
        <v>0.1</v>
      </c>
      <c r="U87" s="646">
        <v>0.1</v>
      </c>
      <c r="V87" s="687" t="s">
        <v>1717</v>
      </c>
      <c r="W87" s="640"/>
      <c r="X87" s="3"/>
      <c r="Y87" s="3"/>
      <c r="Z87" s="3"/>
      <c r="AA87" s="3"/>
    </row>
    <row r="88" spans="1:27" ht="45">
      <c r="A88" s="736"/>
      <c r="B88" s="736"/>
      <c r="C88" s="736"/>
      <c r="D88" s="644">
        <v>82</v>
      </c>
      <c r="E88" s="644" t="s">
        <v>170</v>
      </c>
      <c r="F88" s="644"/>
      <c r="G88" s="644"/>
      <c r="H88" s="644"/>
      <c r="I88" s="644"/>
      <c r="J88" s="644"/>
      <c r="K88" s="644"/>
      <c r="L88" s="644"/>
      <c r="M88" s="644"/>
      <c r="N88" s="644"/>
      <c r="O88" s="644"/>
      <c r="P88" s="654"/>
      <c r="Q88" s="644"/>
      <c r="R88" s="644"/>
      <c r="S88" s="644"/>
      <c r="T88" s="646">
        <f t="shared" si="0"/>
        <v>0</v>
      </c>
      <c r="U88" s="646"/>
      <c r="V88" s="687"/>
      <c r="W88" s="640"/>
      <c r="X88" s="3"/>
      <c r="Y88" s="3"/>
      <c r="Z88" s="3"/>
      <c r="AA88" s="3"/>
    </row>
    <row r="89" spans="1:27" ht="195">
      <c r="A89" s="736"/>
      <c r="B89" s="736"/>
      <c r="C89" s="736"/>
      <c r="D89" s="644">
        <v>83</v>
      </c>
      <c r="E89" s="644" t="s">
        <v>172</v>
      </c>
      <c r="F89" s="644"/>
      <c r="G89" s="644"/>
      <c r="H89" s="644"/>
      <c r="I89" s="644"/>
      <c r="J89" s="644"/>
      <c r="K89" s="646">
        <v>0.5</v>
      </c>
      <c r="L89" s="644"/>
      <c r="M89" s="654"/>
      <c r="N89" s="646"/>
      <c r="O89" s="644"/>
      <c r="P89" s="654">
        <v>3.5</v>
      </c>
      <c r="Q89" s="646"/>
      <c r="R89" s="654"/>
      <c r="S89" s="644"/>
      <c r="T89" s="646">
        <f t="shared" si="0"/>
        <v>4</v>
      </c>
      <c r="U89" s="646">
        <v>4</v>
      </c>
      <c r="V89" s="687" t="s">
        <v>1718</v>
      </c>
      <c r="W89" s="640"/>
      <c r="X89" s="3"/>
      <c r="Y89" s="3"/>
      <c r="Z89" s="3"/>
      <c r="AA89" s="3"/>
    </row>
    <row r="90" spans="1:27" ht="120">
      <c r="A90" s="736"/>
      <c r="B90" s="644" t="s">
        <v>173</v>
      </c>
      <c r="C90" s="644" t="s">
        <v>174</v>
      </c>
      <c r="D90" s="644">
        <v>84</v>
      </c>
      <c r="E90" s="644" t="s">
        <v>175</v>
      </c>
      <c r="F90" s="644"/>
      <c r="G90" s="644"/>
      <c r="H90" s="644"/>
      <c r="I90" s="646"/>
      <c r="J90" s="644"/>
      <c r="K90" s="646"/>
      <c r="L90" s="644"/>
      <c r="M90" s="644"/>
      <c r="N90" s="646">
        <v>1</v>
      </c>
      <c r="O90" s="644"/>
      <c r="P90" s="644"/>
      <c r="Q90" s="646">
        <v>1.5</v>
      </c>
      <c r="R90" s="654">
        <v>0.5</v>
      </c>
      <c r="S90" s="644"/>
      <c r="T90" s="646">
        <f t="shared" si="0"/>
        <v>3</v>
      </c>
      <c r="U90" s="646">
        <v>3</v>
      </c>
      <c r="V90" s="729" t="s">
        <v>1719</v>
      </c>
      <c r="W90" s="640"/>
      <c r="X90" s="3"/>
      <c r="Y90" s="3"/>
      <c r="Z90" s="3"/>
      <c r="AA90" s="3"/>
    </row>
    <row r="91" spans="1:27" ht="105">
      <c r="A91" s="736"/>
      <c r="B91" s="644" t="s">
        <v>176</v>
      </c>
      <c r="C91" s="644" t="s">
        <v>177</v>
      </c>
      <c r="D91" s="644">
        <v>85</v>
      </c>
      <c r="E91" s="644" t="s">
        <v>178</v>
      </c>
      <c r="F91" s="644"/>
      <c r="G91" s="644"/>
      <c r="H91" s="644"/>
      <c r="I91" s="644"/>
      <c r="J91" s="644"/>
      <c r="K91" s="646"/>
      <c r="L91" s="644"/>
      <c r="M91" s="644"/>
      <c r="N91" s="646">
        <v>0.5</v>
      </c>
      <c r="O91" s="644"/>
      <c r="P91" s="644"/>
      <c r="Q91" s="646">
        <v>1</v>
      </c>
      <c r="R91" s="654"/>
      <c r="S91" s="644"/>
      <c r="T91" s="646">
        <f t="shared" si="0"/>
        <v>1.5</v>
      </c>
      <c r="U91" s="646">
        <v>1.5</v>
      </c>
      <c r="V91" s="729" t="s">
        <v>424</v>
      </c>
      <c r="W91" s="640"/>
      <c r="X91" s="3"/>
      <c r="Y91" s="3"/>
      <c r="Z91" s="3"/>
      <c r="AA91" s="3"/>
    </row>
    <row r="92" spans="1:27" ht="90">
      <c r="A92" s="736"/>
      <c r="B92" s="644" t="s">
        <v>180</v>
      </c>
      <c r="C92" s="644" t="s">
        <v>53</v>
      </c>
      <c r="D92" s="644">
        <v>86</v>
      </c>
      <c r="E92" s="644" t="s">
        <v>181</v>
      </c>
      <c r="F92" s="644"/>
      <c r="G92" s="644"/>
      <c r="H92" s="644"/>
      <c r="I92" s="644"/>
      <c r="J92" s="644"/>
      <c r="K92" s="644"/>
      <c r="L92" s="644"/>
      <c r="M92" s="644"/>
      <c r="N92" s="644"/>
      <c r="O92" s="644"/>
      <c r="P92" s="644"/>
      <c r="Q92" s="644"/>
      <c r="R92" s="644"/>
      <c r="S92" s="644"/>
      <c r="T92" s="646">
        <f t="shared" si="0"/>
        <v>0</v>
      </c>
      <c r="U92" s="646"/>
      <c r="V92" s="729"/>
      <c r="W92" s="640"/>
      <c r="X92" s="3"/>
      <c r="Y92" s="3"/>
      <c r="Z92" s="3"/>
      <c r="AA92" s="3"/>
    </row>
    <row r="93" spans="1:27">
      <c r="A93" s="736"/>
      <c r="B93" s="701" t="s">
        <v>182</v>
      </c>
      <c r="C93" s="736"/>
      <c r="D93" s="736"/>
      <c r="E93" s="660"/>
      <c r="F93" s="660">
        <f t="shared" ref="F93:S93" si="7">SUM(F69:F92)</f>
        <v>102.95</v>
      </c>
      <c r="G93" s="660">
        <f t="shared" si="7"/>
        <v>5</v>
      </c>
      <c r="H93" s="660">
        <f t="shared" si="7"/>
        <v>0</v>
      </c>
      <c r="I93" s="660">
        <f t="shared" si="7"/>
        <v>12.082000000000001</v>
      </c>
      <c r="J93" s="660">
        <f t="shared" si="7"/>
        <v>0</v>
      </c>
      <c r="K93" s="660">
        <f t="shared" si="7"/>
        <v>0.5</v>
      </c>
      <c r="L93" s="660">
        <f t="shared" si="7"/>
        <v>11</v>
      </c>
      <c r="M93" s="667">
        <f t="shared" si="7"/>
        <v>28.68</v>
      </c>
      <c r="N93" s="668">
        <f t="shared" si="7"/>
        <v>26.791999999999998</v>
      </c>
      <c r="O93" s="660">
        <f t="shared" si="7"/>
        <v>83.617999999999995</v>
      </c>
      <c r="P93" s="668">
        <f t="shared" si="7"/>
        <v>106.07</v>
      </c>
      <c r="Q93" s="660">
        <f t="shared" si="7"/>
        <v>22.2776</v>
      </c>
      <c r="R93" s="667">
        <f t="shared" si="7"/>
        <v>36.466200000000001</v>
      </c>
      <c r="S93" s="667">
        <f t="shared" si="7"/>
        <v>6.7</v>
      </c>
      <c r="T93" s="660">
        <f t="shared" si="0"/>
        <v>442.13580000000002</v>
      </c>
      <c r="U93" s="668">
        <f>SUM(U69:U92)</f>
        <v>433.03580000000005</v>
      </c>
      <c r="V93" s="729"/>
      <c r="W93" s="640"/>
      <c r="X93" s="3"/>
      <c r="Y93" s="3"/>
      <c r="Z93" s="3"/>
      <c r="AA93" s="3"/>
    </row>
    <row r="94" spans="1:27" ht="60">
      <c r="A94" s="700" t="s">
        <v>183</v>
      </c>
      <c r="B94" s="699" t="s">
        <v>184</v>
      </c>
      <c r="C94" s="699" t="s">
        <v>185</v>
      </c>
      <c r="D94" s="644">
        <v>87</v>
      </c>
      <c r="E94" s="644" t="s">
        <v>186</v>
      </c>
      <c r="F94" s="663"/>
      <c r="G94" s="663"/>
      <c r="H94" s="663"/>
      <c r="I94" s="663"/>
      <c r="J94" s="663"/>
      <c r="K94" s="669">
        <v>7</v>
      </c>
      <c r="L94" s="663"/>
      <c r="M94" s="663"/>
      <c r="N94" s="663"/>
      <c r="O94" s="663"/>
      <c r="P94" s="663"/>
      <c r="Q94" s="663"/>
      <c r="R94" s="663"/>
      <c r="S94" s="663"/>
      <c r="T94" s="646">
        <f t="shared" si="0"/>
        <v>7</v>
      </c>
      <c r="U94" s="669">
        <v>0</v>
      </c>
      <c r="V94" s="738" t="s">
        <v>949</v>
      </c>
      <c r="W94" s="473"/>
      <c r="X94" s="3"/>
      <c r="Y94" s="3"/>
      <c r="Z94" s="3"/>
      <c r="AA94" s="3"/>
    </row>
    <row r="95" spans="1:27" ht="30">
      <c r="A95" s="736"/>
      <c r="B95" s="736"/>
      <c r="C95" s="736"/>
      <c r="D95" s="644">
        <v>88</v>
      </c>
      <c r="E95" s="644" t="s">
        <v>188</v>
      </c>
      <c r="F95" s="663"/>
      <c r="G95" s="663"/>
      <c r="H95" s="663"/>
      <c r="I95" s="663"/>
      <c r="J95" s="663"/>
      <c r="K95" s="663"/>
      <c r="L95" s="663"/>
      <c r="M95" s="663"/>
      <c r="N95" s="663"/>
      <c r="O95" s="663"/>
      <c r="P95" s="670">
        <v>22</v>
      </c>
      <c r="Q95" s="663"/>
      <c r="R95" s="663"/>
      <c r="S95" s="663"/>
      <c r="T95" s="646">
        <f t="shared" si="0"/>
        <v>22</v>
      </c>
      <c r="U95" s="669">
        <v>22</v>
      </c>
      <c r="V95" s="483" t="s">
        <v>950</v>
      </c>
      <c r="W95" s="474" t="s">
        <v>950</v>
      </c>
      <c r="X95" s="3"/>
      <c r="Y95" s="3"/>
      <c r="Z95" s="3"/>
      <c r="AA95" s="3"/>
    </row>
    <row r="96" spans="1:27" ht="45">
      <c r="A96" s="736"/>
      <c r="B96" s="736"/>
      <c r="C96" s="736"/>
      <c r="D96" s="644">
        <v>89</v>
      </c>
      <c r="E96" s="644" t="s">
        <v>190</v>
      </c>
      <c r="F96" s="663"/>
      <c r="G96" s="663"/>
      <c r="H96" s="663"/>
      <c r="I96" s="663"/>
      <c r="J96" s="663"/>
      <c r="K96" s="663"/>
      <c r="L96" s="663"/>
      <c r="M96" s="663"/>
      <c r="N96" s="663"/>
      <c r="O96" s="663"/>
      <c r="P96" s="663"/>
      <c r="Q96" s="663"/>
      <c r="R96" s="663"/>
      <c r="S96" s="663"/>
      <c r="T96" s="646">
        <f t="shared" si="0"/>
        <v>0</v>
      </c>
      <c r="U96" s="669">
        <v>0</v>
      </c>
      <c r="V96" s="483"/>
      <c r="W96" s="474"/>
      <c r="X96" s="3"/>
      <c r="Y96" s="3"/>
      <c r="Z96" s="3"/>
      <c r="AA96" s="3"/>
    </row>
    <row r="97" spans="1:27" ht="45">
      <c r="A97" s="736"/>
      <c r="B97" s="736"/>
      <c r="C97" s="736"/>
      <c r="D97" s="644">
        <v>90</v>
      </c>
      <c r="E97" s="644" t="s">
        <v>191</v>
      </c>
      <c r="F97" s="663"/>
      <c r="G97" s="663"/>
      <c r="H97" s="663"/>
      <c r="I97" s="663"/>
      <c r="J97" s="663"/>
      <c r="K97" s="663"/>
      <c r="L97" s="663"/>
      <c r="M97" s="663"/>
      <c r="N97" s="663"/>
      <c r="O97" s="663"/>
      <c r="P97" s="671"/>
      <c r="Q97" s="663"/>
      <c r="R97" s="663"/>
      <c r="S97" s="663"/>
      <c r="T97" s="646">
        <f t="shared" si="0"/>
        <v>0</v>
      </c>
      <c r="U97" s="669">
        <v>0</v>
      </c>
      <c r="V97" s="483"/>
      <c r="W97" s="474"/>
      <c r="X97" s="3"/>
      <c r="Y97" s="3"/>
      <c r="Z97" s="3"/>
      <c r="AA97" s="3"/>
    </row>
    <row r="98" spans="1:27" ht="30">
      <c r="A98" s="736"/>
      <c r="B98" s="736"/>
      <c r="C98" s="736"/>
      <c r="D98" s="644">
        <v>91</v>
      </c>
      <c r="E98" s="644" t="s">
        <v>192</v>
      </c>
      <c r="F98" s="663"/>
      <c r="G98" s="663"/>
      <c r="H98" s="663"/>
      <c r="I98" s="663"/>
      <c r="J98" s="663"/>
      <c r="K98" s="669">
        <v>0</v>
      </c>
      <c r="L98" s="663"/>
      <c r="M98" s="663"/>
      <c r="N98" s="663"/>
      <c r="O98" s="663"/>
      <c r="P98" s="670">
        <v>0</v>
      </c>
      <c r="Q98" s="663"/>
      <c r="R98" s="663"/>
      <c r="S98" s="663"/>
      <c r="T98" s="646">
        <f t="shared" si="0"/>
        <v>0</v>
      </c>
      <c r="U98" s="669">
        <v>0</v>
      </c>
      <c r="V98" s="484"/>
      <c r="W98" s="475"/>
      <c r="X98" s="3"/>
      <c r="Y98" s="3"/>
      <c r="Z98" s="3"/>
      <c r="AA98" s="3"/>
    </row>
    <row r="99" spans="1:27" ht="60">
      <c r="A99" s="736"/>
      <c r="B99" s="736"/>
      <c r="C99" s="736"/>
      <c r="D99" s="644">
        <v>92</v>
      </c>
      <c r="E99" s="644" t="s">
        <v>193</v>
      </c>
      <c r="F99" s="663"/>
      <c r="G99" s="663"/>
      <c r="H99" s="663"/>
      <c r="I99" s="663"/>
      <c r="J99" s="663"/>
      <c r="K99" s="663"/>
      <c r="L99" s="663"/>
      <c r="M99" s="663"/>
      <c r="N99" s="663"/>
      <c r="O99" s="663"/>
      <c r="P99" s="670">
        <v>2.2000000000000002</v>
      </c>
      <c r="Q99" s="663"/>
      <c r="R99" s="663"/>
      <c r="S99" s="663"/>
      <c r="T99" s="646">
        <f t="shared" si="0"/>
        <v>2.2000000000000002</v>
      </c>
      <c r="U99" s="669">
        <v>2.2000000000000002</v>
      </c>
      <c r="V99" s="484" t="s">
        <v>951</v>
      </c>
      <c r="W99" s="476" t="s">
        <v>951</v>
      </c>
      <c r="X99" s="3"/>
      <c r="Y99" s="3"/>
      <c r="Z99" s="3"/>
      <c r="AA99" s="3"/>
    </row>
    <row r="100" spans="1:27" ht="30">
      <c r="A100" s="736"/>
      <c r="B100" s="736"/>
      <c r="C100" s="736"/>
      <c r="D100" s="644">
        <v>93</v>
      </c>
      <c r="E100" s="644" t="s">
        <v>195</v>
      </c>
      <c r="F100" s="663"/>
      <c r="G100" s="663"/>
      <c r="H100" s="663"/>
      <c r="I100" s="671"/>
      <c r="J100" s="663"/>
      <c r="K100" s="663"/>
      <c r="L100" s="663"/>
      <c r="M100" s="663"/>
      <c r="N100" s="663"/>
      <c r="O100" s="663"/>
      <c r="P100" s="663"/>
      <c r="Q100" s="663"/>
      <c r="R100" s="663"/>
      <c r="S100" s="663"/>
      <c r="T100" s="646">
        <f t="shared" si="0"/>
        <v>0</v>
      </c>
      <c r="U100" s="669">
        <v>0</v>
      </c>
      <c r="V100" s="484"/>
      <c r="W100" s="475"/>
      <c r="X100" s="3"/>
      <c r="Y100" s="3"/>
      <c r="Z100" s="3"/>
      <c r="AA100" s="3"/>
    </row>
    <row r="101" spans="1:27" ht="30">
      <c r="A101" s="736"/>
      <c r="B101" s="736"/>
      <c r="C101" s="736"/>
      <c r="D101" s="644">
        <v>94</v>
      </c>
      <c r="E101" s="644" t="s">
        <v>196</v>
      </c>
      <c r="F101" s="663"/>
      <c r="G101" s="663"/>
      <c r="H101" s="663"/>
      <c r="I101" s="671"/>
      <c r="J101" s="663"/>
      <c r="K101" s="663"/>
      <c r="L101" s="663"/>
      <c r="M101" s="663"/>
      <c r="N101" s="663"/>
      <c r="O101" s="663"/>
      <c r="P101" s="663"/>
      <c r="Q101" s="663"/>
      <c r="R101" s="663"/>
      <c r="S101" s="663"/>
      <c r="T101" s="646">
        <f t="shared" si="0"/>
        <v>0</v>
      </c>
      <c r="U101" s="669">
        <v>0</v>
      </c>
      <c r="V101" s="484"/>
      <c r="W101" s="476"/>
      <c r="X101" s="3"/>
      <c r="Y101" s="3"/>
      <c r="Z101" s="3"/>
      <c r="AA101" s="3"/>
    </row>
    <row r="102" spans="1:27" ht="90">
      <c r="A102" s="736"/>
      <c r="B102" s="736"/>
      <c r="C102" s="736"/>
      <c r="D102" s="644">
        <v>95</v>
      </c>
      <c r="E102" s="644" t="s">
        <v>197</v>
      </c>
      <c r="F102" s="663"/>
      <c r="G102" s="663"/>
      <c r="H102" s="671"/>
      <c r="I102" s="669">
        <v>9</v>
      </c>
      <c r="J102" s="663"/>
      <c r="K102" s="663"/>
      <c r="L102" s="663"/>
      <c r="M102" s="663"/>
      <c r="N102" s="663"/>
      <c r="O102" s="663"/>
      <c r="P102" s="663"/>
      <c r="Q102" s="663"/>
      <c r="R102" s="663"/>
      <c r="S102" s="663"/>
      <c r="T102" s="646">
        <f t="shared" si="0"/>
        <v>9</v>
      </c>
      <c r="U102" s="669">
        <v>2</v>
      </c>
      <c r="V102" s="738" t="s">
        <v>952</v>
      </c>
      <c r="W102" s="474" t="s">
        <v>953</v>
      </c>
      <c r="X102" s="3"/>
      <c r="Y102" s="3"/>
      <c r="Z102" s="3"/>
      <c r="AA102" s="3"/>
    </row>
    <row r="103" spans="1:27" ht="195">
      <c r="A103" s="736"/>
      <c r="B103" s="736"/>
      <c r="C103" s="736"/>
      <c r="D103" s="644">
        <v>96</v>
      </c>
      <c r="E103" s="644" t="s">
        <v>199</v>
      </c>
      <c r="F103" s="663"/>
      <c r="G103" s="663"/>
      <c r="H103" s="663"/>
      <c r="I103" s="663"/>
      <c r="J103" s="663"/>
      <c r="K103" s="663"/>
      <c r="L103" s="663"/>
      <c r="M103" s="663"/>
      <c r="N103" s="669">
        <v>0</v>
      </c>
      <c r="O103" s="663"/>
      <c r="P103" s="664">
        <v>2</v>
      </c>
      <c r="Q103" s="669">
        <v>1</v>
      </c>
      <c r="R103" s="670">
        <v>1</v>
      </c>
      <c r="S103" s="663"/>
      <c r="T103" s="646">
        <f t="shared" si="0"/>
        <v>4</v>
      </c>
      <c r="U103" s="669">
        <v>4</v>
      </c>
      <c r="V103" s="738" t="s">
        <v>200</v>
      </c>
      <c r="W103" s="474" t="s">
        <v>200</v>
      </c>
      <c r="X103" s="3"/>
      <c r="Y103" s="3"/>
      <c r="Z103" s="3"/>
      <c r="AA103" s="3"/>
    </row>
    <row r="104" spans="1:27" ht="240">
      <c r="A104" s="736"/>
      <c r="B104" s="699" t="s">
        <v>201</v>
      </c>
      <c r="C104" s="699" t="s">
        <v>202</v>
      </c>
      <c r="D104" s="644">
        <v>97</v>
      </c>
      <c r="E104" s="644" t="s">
        <v>203</v>
      </c>
      <c r="F104" s="672"/>
      <c r="G104" s="672"/>
      <c r="H104" s="672"/>
      <c r="I104" s="666">
        <v>1</v>
      </c>
      <c r="J104" s="672"/>
      <c r="K104" s="666"/>
      <c r="L104" s="672"/>
      <c r="M104" s="666"/>
      <c r="N104" s="666">
        <v>3.75</v>
      </c>
      <c r="O104" s="672">
        <v>3</v>
      </c>
      <c r="P104" s="673">
        <v>12.95</v>
      </c>
      <c r="Q104" s="666">
        <v>2.5</v>
      </c>
      <c r="R104" s="673">
        <v>12</v>
      </c>
      <c r="S104" s="672"/>
      <c r="T104" s="674">
        <v>35.200000000000003</v>
      </c>
      <c r="U104" s="674">
        <v>35.200000000000003</v>
      </c>
      <c r="V104" s="749" t="s">
        <v>204</v>
      </c>
      <c r="W104" s="809"/>
      <c r="X104" s="3"/>
      <c r="Y104" s="3"/>
      <c r="Z104" s="3"/>
      <c r="AA104" s="3"/>
    </row>
    <row r="105" spans="1:27" ht="45">
      <c r="A105" s="736"/>
      <c r="B105" s="736"/>
      <c r="C105" s="736"/>
      <c r="D105" s="644">
        <v>98</v>
      </c>
      <c r="E105" s="644" t="s">
        <v>53</v>
      </c>
      <c r="F105" s="675"/>
      <c r="G105" s="675"/>
      <c r="H105" s="675"/>
      <c r="I105" s="675"/>
      <c r="J105" s="675"/>
      <c r="K105" s="675"/>
      <c r="L105" s="675"/>
      <c r="M105" s="675"/>
      <c r="N105" s="675"/>
      <c r="O105" s="675"/>
      <c r="P105" s="675"/>
      <c r="Q105" s="675"/>
      <c r="R105" s="675"/>
      <c r="S105" s="675"/>
      <c r="T105" s="674">
        <v>0</v>
      </c>
      <c r="U105" s="674"/>
      <c r="V105" s="744"/>
      <c r="W105" s="810"/>
      <c r="X105" s="3"/>
      <c r="Y105" s="3"/>
      <c r="Z105" s="3"/>
      <c r="AA105" s="3"/>
    </row>
    <row r="106" spans="1:27" ht="60">
      <c r="A106" s="736"/>
      <c r="B106" s="699" t="s">
        <v>205</v>
      </c>
      <c r="C106" s="699" t="s">
        <v>206</v>
      </c>
      <c r="D106" s="644">
        <v>99</v>
      </c>
      <c r="E106" s="644" t="s">
        <v>207</v>
      </c>
      <c r="F106" s="675"/>
      <c r="G106" s="675"/>
      <c r="H106" s="676"/>
      <c r="I106" s="674">
        <v>2</v>
      </c>
      <c r="J106" s="675"/>
      <c r="K106" s="674"/>
      <c r="L106" s="675"/>
      <c r="M106" s="675"/>
      <c r="N106" s="674">
        <v>1</v>
      </c>
      <c r="O106" s="675"/>
      <c r="P106" s="675"/>
      <c r="Q106" s="674">
        <v>1</v>
      </c>
      <c r="R106" s="675"/>
      <c r="S106" s="675"/>
      <c r="T106" s="674">
        <v>4</v>
      </c>
      <c r="U106" s="674">
        <v>3</v>
      </c>
      <c r="V106" s="749" t="s">
        <v>625</v>
      </c>
      <c r="W106" s="518" t="s">
        <v>429</v>
      </c>
      <c r="X106" s="3"/>
      <c r="Y106" s="3"/>
      <c r="Z106" s="3"/>
      <c r="AA106" s="3"/>
    </row>
    <row r="107" spans="1:27" ht="30">
      <c r="A107" s="736"/>
      <c r="B107" s="736"/>
      <c r="C107" s="736"/>
      <c r="D107" s="644">
        <v>100</v>
      </c>
      <c r="E107" s="644" t="s">
        <v>209</v>
      </c>
      <c r="F107" s="675"/>
      <c r="G107" s="675"/>
      <c r="H107" s="675"/>
      <c r="I107" s="674"/>
      <c r="J107" s="675"/>
      <c r="K107" s="674"/>
      <c r="L107" s="675"/>
      <c r="M107" s="675"/>
      <c r="N107" s="675"/>
      <c r="O107" s="675"/>
      <c r="P107" s="675"/>
      <c r="Q107" s="675"/>
      <c r="R107" s="675"/>
      <c r="S107" s="675"/>
      <c r="T107" s="674">
        <v>0</v>
      </c>
      <c r="U107" s="674">
        <v>0</v>
      </c>
      <c r="V107" s="749"/>
      <c r="W107" s="810"/>
      <c r="X107" s="3"/>
      <c r="Y107" s="3"/>
      <c r="Z107" s="3"/>
      <c r="AA107" s="3"/>
    </row>
    <row r="108" spans="1:27" ht="30">
      <c r="A108" s="736"/>
      <c r="B108" s="736"/>
      <c r="C108" s="736"/>
      <c r="D108" s="644">
        <v>101</v>
      </c>
      <c r="E108" s="644" t="s">
        <v>210</v>
      </c>
      <c r="F108" s="675"/>
      <c r="G108" s="675"/>
      <c r="H108" s="675"/>
      <c r="I108" s="675"/>
      <c r="J108" s="675"/>
      <c r="K108" s="675"/>
      <c r="L108" s="675"/>
      <c r="M108" s="675"/>
      <c r="N108" s="675"/>
      <c r="O108" s="675"/>
      <c r="P108" s="675"/>
      <c r="Q108" s="675"/>
      <c r="R108" s="675"/>
      <c r="S108" s="675"/>
      <c r="T108" s="674">
        <v>0</v>
      </c>
      <c r="U108" s="674"/>
      <c r="V108" s="744"/>
      <c r="W108" s="810"/>
      <c r="X108" s="3"/>
      <c r="Y108" s="3"/>
      <c r="Z108" s="3"/>
      <c r="AA108" s="3"/>
    </row>
    <row r="109" spans="1:27" ht="30">
      <c r="A109" s="736"/>
      <c r="B109" s="736"/>
      <c r="C109" s="736"/>
      <c r="D109" s="644">
        <v>102</v>
      </c>
      <c r="E109" s="644" t="s">
        <v>211</v>
      </c>
      <c r="F109" s="675"/>
      <c r="G109" s="675"/>
      <c r="H109" s="675"/>
      <c r="I109" s="675"/>
      <c r="J109" s="675"/>
      <c r="K109" s="675"/>
      <c r="L109" s="675"/>
      <c r="M109" s="675"/>
      <c r="N109" s="675"/>
      <c r="O109" s="675"/>
      <c r="P109" s="675"/>
      <c r="Q109" s="674"/>
      <c r="R109" s="675"/>
      <c r="S109" s="675"/>
      <c r="T109" s="674">
        <v>0</v>
      </c>
      <c r="U109" s="674"/>
      <c r="V109" s="744"/>
      <c r="W109" s="810"/>
      <c r="X109" s="3"/>
      <c r="Y109" s="3"/>
      <c r="Z109" s="3"/>
      <c r="AA109" s="3"/>
    </row>
    <row r="110" spans="1:27" ht="45">
      <c r="A110" s="736"/>
      <c r="B110" s="736"/>
      <c r="C110" s="736"/>
      <c r="D110" s="644">
        <v>103</v>
      </c>
      <c r="E110" s="644" t="s">
        <v>53</v>
      </c>
      <c r="F110" s="675"/>
      <c r="G110" s="675"/>
      <c r="H110" s="675"/>
      <c r="I110" s="675"/>
      <c r="J110" s="675"/>
      <c r="K110" s="675"/>
      <c r="L110" s="675"/>
      <c r="M110" s="675"/>
      <c r="N110" s="675"/>
      <c r="O110" s="675"/>
      <c r="P110" s="676">
        <v>2.2000000000000002</v>
      </c>
      <c r="Q110" s="675"/>
      <c r="R110" s="676">
        <v>0</v>
      </c>
      <c r="S110" s="676"/>
      <c r="T110" s="674">
        <v>2.2000000000000002</v>
      </c>
      <c r="U110" s="674">
        <v>2.2000000000000002</v>
      </c>
      <c r="V110" s="749" t="s">
        <v>212</v>
      </c>
      <c r="W110" s="810"/>
      <c r="X110" s="3"/>
      <c r="Y110" s="3"/>
      <c r="Z110" s="3"/>
      <c r="AA110" s="3"/>
    </row>
    <row r="111" spans="1:27" ht="315">
      <c r="A111" s="736"/>
      <c r="B111" s="699" t="s">
        <v>213</v>
      </c>
      <c r="C111" s="699" t="s">
        <v>214</v>
      </c>
      <c r="D111" s="644">
        <v>104</v>
      </c>
      <c r="E111" s="644" t="s">
        <v>215</v>
      </c>
      <c r="F111" s="749"/>
      <c r="G111" s="749"/>
      <c r="H111" s="749"/>
      <c r="I111" s="749"/>
      <c r="J111" s="749"/>
      <c r="K111" s="749"/>
      <c r="L111" s="749"/>
      <c r="M111" s="749"/>
      <c r="N111" s="673">
        <v>0.8</v>
      </c>
      <c r="O111" s="749"/>
      <c r="P111" s="673"/>
      <c r="Q111" s="673">
        <v>1.5</v>
      </c>
      <c r="R111" s="774">
        <v>1.5</v>
      </c>
      <c r="S111" s="774"/>
      <c r="T111" s="674">
        <v>3.8</v>
      </c>
      <c r="U111" s="674">
        <v>3.8</v>
      </c>
      <c r="V111" s="749" t="s">
        <v>1639</v>
      </c>
      <c r="W111" s="810"/>
      <c r="X111" s="3"/>
      <c r="Y111" s="3"/>
      <c r="Z111" s="3"/>
      <c r="AA111" s="3"/>
    </row>
    <row r="112" spans="1:27" ht="75">
      <c r="A112" s="736"/>
      <c r="B112" s="736"/>
      <c r="C112" s="736"/>
      <c r="D112" s="644">
        <v>105</v>
      </c>
      <c r="E112" s="644" t="s">
        <v>216</v>
      </c>
      <c r="F112" s="749"/>
      <c r="G112" s="749"/>
      <c r="H112" s="749"/>
      <c r="I112" s="749"/>
      <c r="J112" s="749"/>
      <c r="K112" s="749"/>
      <c r="L112" s="749"/>
      <c r="M112" s="749"/>
      <c r="N112" s="749"/>
      <c r="O112" s="749"/>
      <c r="P112" s="776">
        <v>2</v>
      </c>
      <c r="Q112" s="749"/>
      <c r="R112" s="749"/>
      <c r="S112" s="749"/>
      <c r="T112" s="674">
        <v>2</v>
      </c>
      <c r="U112" s="674">
        <v>2</v>
      </c>
      <c r="V112" s="744" t="s">
        <v>217</v>
      </c>
      <c r="W112" s="810"/>
      <c r="X112" s="3"/>
      <c r="Y112" s="3"/>
      <c r="Z112" s="3"/>
      <c r="AA112" s="3"/>
    </row>
    <row r="113" spans="1:27" ht="60">
      <c r="A113" s="736"/>
      <c r="B113" s="736"/>
      <c r="C113" s="736"/>
      <c r="D113" s="644">
        <v>106</v>
      </c>
      <c r="E113" s="644" t="s">
        <v>218</v>
      </c>
      <c r="F113" s="749"/>
      <c r="G113" s="749"/>
      <c r="H113" s="749"/>
      <c r="I113" s="666"/>
      <c r="J113" s="749"/>
      <c r="K113" s="777"/>
      <c r="L113" s="749"/>
      <c r="M113" s="749"/>
      <c r="N113" s="778">
        <v>0.2</v>
      </c>
      <c r="O113" s="749"/>
      <c r="P113" s="774"/>
      <c r="Q113" s="777"/>
      <c r="R113" s="774"/>
      <c r="S113" s="774"/>
      <c r="T113" s="674">
        <v>0.2</v>
      </c>
      <c r="U113" s="674">
        <v>0.2</v>
      </c>
      <c r="V113" s="749" t="s">
        <v>219</v>
      </c>
      <c r="W113" s="810"/>
      <c r="X113" s="3"/>
      <c r="Y113" s="3"/>
      <c r="Z113" s="3"/>
      <c r="AA113" s="3"/>
    </row>
    <row r="114" spans="1:27" ht="90">
      <c r="A114" s="736"/>
      <c r="B114" s="699" t="s">
        <v>220</v>
      </c>
      <c r="C114" s="699" t="s">
        <v>221</v>
      </c>
      <c r="D114" s="644">
        <v>107</v>
      </c>
      <c r="E114" s="644" t="s">
        <v>222</v>
      </c>
      <c r="F114" s="675"/>
      <c r="G114" s="675"/>
      <c r="H114" s="675"/>
      <c r="I114" s="674"/>
      <c r="J114" s="675"/>
      <c r="K114" s="674"/>
      <c r="L114" s="675"/>
      <c r="M114" s="675"/>
      <c r="N114" s="674"/>
      <c r="O114" s="675"/>
      <c r="P114" s="673">
        <v>2.5</v>
      </c>
      <c r="Q114" s="672"/>
      <c r="R114" s="673">
        <v>1</v>
      </c>
      <c r="S114" s="675"/>
      <c r="T114" s="674">
        <v>3.5</v>
      </c>
      <c r="U114" s="674">
        <v>3.5</v>
      </c>
      <c r="V114" s="749" t="s">
        <v>223</v>
      </c>
      <c r="W114" s="810"/>
      <c r="X114" s="3"/>
      <c r="Y114" s="3"/>
      <c r="Z114" s="3"/>
      <c r="AA114" s="3"/>
    </row>
    <row r="115" spans="1:27" ht="30">
      <c r="A115" s="736"/>
      <c r="B115" s="736"/>
      <c r="C115" s="736"/>
      <c r="D115" s="644">
        <v>108</v>
      </c>
      <c r="E115" s="644" t="s">
        <v>224</v>
      </c>
      <c r="F115" s="675"/>
      <c r="G115" s="675"/>
      <c r="H115" s="675"/>
      <c r="I115" s="674"/>
      <c r="J115" s="675"/>
      <c r="K115" s="674"/>
      <c r="L115" s="675"/>
      <c r="M115" s="675"/>
      <c r="N115" s="675"/>
      <c r="O115" s="675"/>
      <c r="P115" s="676">
        <v>4</v>
      </c>
      <c r="Q115" s="675"/>
      <c r="R115" s="675"/>
      <c r="S115" s="675"/>
      <c r="T115" s="674">
        <v>4</v>
      </c>
      <c r="U115" s="674">
        <v>4</v>
      </c>
      <c r="V115" s="749" t="s">
        <v>225</v>
      </c>
      <c r="W115" s="810"/>
      <c r="X115" s="3"/>
      <c r="Y115" s="3"/>
      <c r="Z115" s="3"/>
      <c r="AA115" s="3"/>
    </row>
    <row r="116" spans="1:27" ht="45">
      <c r="A116" s="736"/>
      <c r="B116" s="736"/>
      <c r="C116" s="736"/>
      <c r="D116" s="644">
        <v>109</v>
      </c>
      <c r="E116" s="644" t="s">
        <v>226</v>
      </c>
      <c r="F116" s="675"/>
      <c r="G116" s="675"/>
      <c r="H116" s="676"/>
      <c r="I116" s="674"/>
      <c r="J116" s="675"/>
      <c r="K116" s="674"/>
      <c r="L116" s="675"/>
      <c r="M116" s="675"/>
      <c r="N116" s="675"/>
      <c r="O116" s="675"/>
      <c r="P116" s="675"/>
      <c r="Q116" s="675"/>
      <c r="R116" s="675"/>
      <c r="S116" s="675"/>
      <c r="T116" s="674">
        <v>0</v>
      </c>
      <c r="U116" s="674"/>
      <c r="V116" s="744"/>
      <c r="W116" s="810"/>
      <c r="X116" s="3"/>
      <c r="Y116" s="3"/>
      <c r="Z116" s="3"/>
      <c r="AA116" s="3"/>
    </row>
    <row r="117" spans="1:27" ht="150">
      <c r="A117" s="736"/>
      <c r="B117" s="736"/>
      <c r="C117" s="736"/>
      <c r="D117" s="644">
        <v>110</v>
      </c>
      <c r="E117" s="644" t="s">
        <v>227</v>
      </c>
      <c r="F117" s="675"/>
      <c r="G117" s="675"/>
      <c r="H117" s="675"/>
      <c r="I117" s="674"/>
      <c r="J117" s="675"/>
      <c r="K117" s="674"/>
      <c r="L117" s="675"/>
      <c r="M117" s="676"/>
      <c r="N117" s="674">
        <v>3</v>
      </c>
      <c r="O117" s="676">
        <v>61.48</v>
      </c>
      <c r="P117" s="674"/>
      <c r="Q117" s="676">
        <v>5.6</v>
      </c>
      <c r="R117" s="676">
        <v>3</v>
      </c>
      <c r="S117" s="675"/>
      <c r="T117" s="646">
        <f>SUM(F117:S117)</f>
        <v>73.079999999999984</v>
      </c>
      <c r="U117" s="674">
        <f>T117</f>
        <v>73.079999999999984</v>
      </c>
      <c r="V117" s="744" t="s">
        <v>954</v>
      </c>
      <c r="W117" s="810"/>
      <c r="X117" s="3"/>
      <c r="Y117" s="3"/>
      <c r="Z117" s="3"/>
      <c r="AA117" s="3"/>
    </row>
    <row r="118" spans="1:27" ht="45">
      <c r="A118" s="736"/>
      <c r="B118" s="736"/>
      <c r="C118" s="736"/>
      <c r="D118" s="644">
        <v>111</v>
      </c>
      <c r="E118" s="644" t="s">
        <v>53</v>
      </c>
      <c r="F118" s="675"/>
      <c r="G118" s="675"/>
      <c r="H118" s="675"/>
      <c r="I118" s="676"/>
      <c r="J118" s="675"/>
      <c r="K118" s="676"/>
      <c r="L118" s="675"/>
      <c r="M118" s="675"/>
      <c r="N118" s="675"/>
      <c r="O118" s="675"/>
      <c r="P118" s="676"/>
      <c r="Q118" s="674"/>
      <c r="R118" s="675"/>
      <c r="S118" s="676"/>
      <c r="T118" s="674">
        <v>0</v>
      </c>
      <c r="U118" s="674"/>
      <c r="V118" s="749"/>
      <c r="W118" s="810"/>
      <c r="X118" s="3"/>
      <c r="Y118" s="3"/>
      <c r="Z118" s="3"/>
      <c r="AA118" s="3"/>
    </row>
    <row r="119" spans="1:27" ht="30">
      <c r="A119" s="736"/>
      <c r="B119" s="699" t="s">
        <v>229</v>
      </c>
      <c r="C119" s="699" t="s">
        <v>230</v>
      </c>
      <c r="D119" s="644">
        <v>112</v>
      </c>
      <c r="E119" s="644" t="s">
        <v>231</v>
      </c>
      <c r="F119" s="675"/>
      <c r="G119" s="675"/>
      <c r="H119" s="675"/>
      <c r="I119" s="674"/>
      <c r="J119" s="675"/>
      <c r="K119" s="674"/>
      <c r="L119" s="675"/>
      <c r="M119" s="675"/>
      <c r="N119" s="675"/>
      <c r="O119" s="675"/>
      <c r="P119" s="675"/>
      <c r="Q119" s="674"/>
      <c r="R119" s="675"/>
      <c r="S119" s="675"/>
      <c r="T119" s="674">
        <v>0</v>
      </c>
      <c r="U119" s="674"/>
      <c r="V119" s="744"/>
      <c r="W119" s="810"/>
      <c r="X119" s="3"/>
      <c r="Y119" s="3"/>
      <c r="Z119" s="3"/>
      <c r="AA119" s="3"/>
    </row>
    <row r="120" spans="1:27" ht="30">
      <c r="A120" s="736"/>
      <c r="B120" s="736"/>
      <c r="C120" s="736"/>
      <c r="D120" s="644">
        <v>113</v>
      </c>
      <c r="E120" s="644" t="s">
        <v>232</v>
      </c>
      <c r="F120" s="672"/>
      <c r="G120" s="672"/>
      <c r="H120" s="672"/>
      <c r="I120" s="666"/>
      <c r="J120" s="672"/>
      <c r="K120" s="666"/>
      <c r="L120" s="672"/>
      <c r="M120" s="666"/>
      <c r="N120" s="666">
        <v>0.5</v>
      </c>
      <c r="O120" s="672"/>
      <c r="P120" s="672"/>
      <c r="Q120" s="666">
        <v>0.3</v>
      </c>
      <c r="R120" s="672"/>
      <c r="S120" s="672"/>
      <c r="T120" s="674">
        <v>0.8</v>
      </c>
      <c r="U120" s="674">
        <v>0.8</v>
      </c>
      <c r="V120" s="749" t="s">
        <v>627</v>
      </c>
      <c r="W120" s="810"/>
      <c r="X120" s="3"/>
      <c r="Y120" s="3"/>
      <c r="Z120" s="3"/>
      <c r="AA120" s="3"/>
    </row>
    <row r="121" spans="1:27" ht="105">
      <c r="A121" s="736"/>
      <c r="B121" s="644" t="s">
        <v>234</v>
      </c>
      <c r="C121" s="644" t="s">
        <v>235</v>
      </c>
      <c r="D121" s="644">
        <v>114</v>
      </c>
      <c r="E121" s="644" t="s">
        <v>236</v>
      </c>
      <c r="F121" s="675"/>
      <c r="G121" s="675"/>
      <c r="H121" s="676">
        <v>5</v>
      </c>
      <c r="I121" s="675">
        <v>0.21</v>
      </c>
      <c r="J121" s="675"/>
      <c r="K121" s="675"/>
      <c r="L121" s="675"/>
      <c r="M121" s="675"/>
      <c r="N121" s="676">
        <v>0.5</v>
      </c>
      <c r="O121" s="675"/>
      <c r="P121" s="676">
        <v>32.9</v>
      </c>
      <c r="Q121" s="674">
        <v>0.5</v>
      </c>
      <c r="R121" s="676">
        <v>0.5</v>
      </c>
      <c r="S121" s="676"/>
      <c r="T121" s="674">
        <v>39.68</v>
      </c>
      <c r="U121" s="674">
        <v>16.68</v>
      </c>
      <c r="V121" s="779" t="s">
        <v>497</v>
      </c>
      <c r="W121" s="810"/>
      <c r="X121" s="3"/>
      <c r="Y121" s="3"/>
      <c r="Z121" s="3"/>
      <c r="AA121" s="3"/>
    </row>
    <row r="122" spans="1:27" ht="90">
      <c r="A122" s="736"/>
      <c r="B122" s="699" t="s">
        <v>238</v>
      </c>
      <c r="C122" s="699" t="s">
        <v>239</v>
      </c>
      <c r="D122" s="644">
        <v>115</v>
      </c>
      <c r="E122" s="644" t="s">
        <v>240</v>
      </c>
      <c r="F122" s="675"/>
      <c r="G122" s="675"/>
      <c r="H122" s="675"/>
      <c r="I122" s="675"/>
      <c r="J122" s="675"/>
      <c r="K122" s="675"/>
      <c r="L122" s="675"/>
      <c r="M122" s="674">
        <v>1</v>
      </c>
      <c r="N122" s="675"/>
      <c r="O122" s="675"/>
      <c r="P122" s="675"/>
      <c r="Q122" s="675">
        <v>6.9</v>
      </c>
      <c r="R122" s="675"/>
      <c r="S122" s="675"/>
      <c r="T122" s="674">
        <v>7.9</v>
      </c>
      <c r="U122" s="674">
        <v>7.9</v>
      </c>
      <c r="V122" s="779" t="s">
        <v>498</v>
      </c>
      <c r="W122" s="810"/>
      <c r="X122" s="3"/>
      <c r="Y122" s="3"/>
      <c r="Z122" s="3"/>
      <c r="AA122" s="3"/>
    </row>
    <row r="123" spans="1:27" ht="45">
      <c r="A123" s="736"/>
      <c r="B123" s="736"/>
      <c r="C123" s="736"/>
      <c r="D123" s="644">
        <v>116</v>
      </c>
      <c r="E123" s="644" t="s">
        <v>242</v>
      </c>
      <c r="F123" s="675"/>
      <c r="G123" s="675"/>
      <c r="H123" s="675"/>
      <c r="I123" s="675"/>
      <c r="J123" s="675"/>
      <c r="K123" s="675"/>
      <c r="L123" s="675"/>
      <c r="M123" s="674">
        <v>7.25</v>
      </c>
      <c r="N123" s="675"/>
      <c r="O123" s="675"/>
      <c r="P123" s="675"/>
      <c r="Q123" s="674"/>
      <c r="R123" s="675"/>
      <c r="S123" s="675"/>
      <c r="T123" s="674">
        <v>7.25</v>
      </c>
      <c r="U123" s="674">
        <v>7.25</v>
      </c>
      <c r="V123" s="749" t="s">
        <v>243</v>
      </c>
      <c r="W123" s="810"/>
      <c r="X123" s="3"/>
      <c r="Y123" s="3"/>
      <c r="Z123" s="3"/>
      <c r="AA123" s="3"/>
    </row>
    <row r="124" spans="1:27" ht="30">
      <c r="A124" s="736"/>
      <c r="B124" s="736"/>
      <c r="C124" s="736"/>
      <c r="D124" s="644">
        <v>117</v>
      </c>
      <c r="E124" s="644" t="s">
        <v>244</v>
      </c>
      <c r="F124" s="675"/>
      <c r="G124" s="675"/>
      <c r="H124" s="675"/>
      <c r="I124" s="675"/>
      <c r="J124" s="675"/>
      <c r="K124" s="675"/>
      <c r="L124" s="675"/>
      <c r="M124" s="675"/>
      <c r="N124" s="675"/>
      <c r="O124" s="675"/>
      <c r="P124" s="675"/>
      <c r="Q124" s="675"/>
      <c r="R124" s="675"/>
      <c r="S124" s="675"/>
      <c r="T124" s="674">
        <v>0</v>
      </c>
      <c r="U124" s="674"/>
      <c r="V124" s="744"/>
      <c r="W124" s="810"/>
      <c r="X124" s="3"/>
      <c r="Y124" s="3"/>
      <c r="Z124" s="3"/>
      <c r="AA124" s="3"/>
    </row>
    <row r="125" spans="1:27" ht="45">
      <c r="A125" s="736"/>
      <c r="B125" s="736"/>
      <c r="C125" s="736"/>
      <c r="D125" s="644">
        <v>118</v>
      </c>
      <c r="E125" s="644" t="s">
        <v>53</v>
      </c>
      <c r="F125" s="675"/>
      <c r="G125" s="675"/>
      <c r="H125" s="675"/>
      <c r="I125" s="675"/>
      <c r="J125" s="675"/>
      <c r="K125" s="675"/>
      <c r="L125" s="675"/>
      <c r="M125" s="675"/>
      <c r="N125" s="675"/>
      <c r="O125" s="675"/>
      <c r="P125" s="675"/>
      <c r="Q125" s="674"/>
      <c r="R125" s="675"/>
      <c r="S125" s="675"/>
      <c r="T125" s="674">
        <v>0</v>
      </c>
      <c r="U125" s="674"/>
      <c r="V125" s="744"/>
      <c r="W125" s="810"/>
      <c r="X125" s="3"/>
      <c r="Y125" s="3"/>
      <c r="Z125" s="3"/>
      <c r="AA125" s="3"/>
    </row>
    <row r="126" spans="1:27" ht="90">
      <c r="A126" s="736"/>
      <c r="B126" s="644" t="s">
        <v>245</v>
      </c>
      <c r="C126" s="644" t="s">
        <v>246</v>
      </c>
      <c r="D126" s="644">
        <v>119</v>
      </c>
      <c r="E126" s="644" t="s">
        <v>247</v>
      </c>
      <c r="F126" s="672"/>
      <c r="G126" s="672"/>
      <c r="H126" s="673"/>
      <c r="I126" s="666"/>
      <c r="J126" s="672"/>
      <c r="K126" s="672"/>
      <c r="L126" s="672"/>
      <c r="M126" s="672"/>
      <c r="N126" s="666">
        <v>2</v>
      </c>
      <c r="O126" s="672"/>
      <c r="P126" s="673">
        <v>8</v>
      </c>
      <c r="Q126" s="666"/>
      <c r="R126" s="672"/>
      <c r="S126" s="672">
        <v>0</v>
      </c>
      <c r="T126" s="674">
        <v>10</v>
      </c>
      <c r="U126" s="674">
        <v>10</v>
      </c>
      <c r="V126" s="749" t="s">
        <v>248</v>
      </c>
      <c r="W126" s="810"/>
      <c r="X126" s="3"/>
      <c r="Y126" s="3"/>
      <c r="Z126" s="3"/>
      <c r="AA126" s="3"/>
    </row>
    <row r="127" spans="1:27" ht="105">
      <c r="A127" s="736"/>
      <c r="B127" s="644" t="s">
        <v>249</v>
      </c>
      <c r="C127" s="644" t="s">
        <v>250</v>
      </c>
      <c r="D127" s="644">
        <v>120</v>
      </c>
      <c r="E127" s="644" t="s">
        <v>251</v>
      </c>
      <c r="F127" s="675"/>
      <c r="G127" s="675"/>
      <c r="H127" s="675"/>
      <c r="I127" s="675"/>
      <c r="J127" s="675"/>
      <c r="K127" s="676"/>
      <c r="L127" s="675"/>
      <c r="M127" s="676"/>
      <c r="N127" s="674"/>
      <c r="O127" s="675"/>
      <c r="P127" s="676"/>
      <c r="Q127" s="674"/>
      <c r="R127" s="676"/>
      <c r="S127" s="675"/>
      <c r="T127" s="674">
        <v>0</v>
      </c>
      <c r="U127" s="674"/>
      <c r="V127" s="744"/>
      <c r="W127" s="810"/>
      <c r="X127" s="3"/>
      <c r="Y127" s="3"/>
      <c r="Z127" s="3"/>
      <c r="AA127" s="3"/>
    </row>
    <row r="128" spans="1:27" ht="105">
      <c r="A128" s="736"/>
      <c r="B128" s="699" t="s">
        <v>252</v>
      </c>
      <c r="C128" s="699" t="s">
        <v>253</v>
      </c>
      <c r="D128" s="644">
        <v>121</v>
      </c>
      <c r="E128" s="644" t="s">
        <v>254</v>
      </c>
      <c r="F128" s="664">
        <v>0</v>
      </c>
      <c r="G128" s="664">
        <v>0</v>
      </c>
      <c r="H128" s="664">
        <v>0</v>
      </c>
      <c r="I128" s="669">
        <v>0</v>
      </c>
      <c r="J128" s="664">
        <v>0</v>
      </c>
      <c r="K128" s="664">
        <v>0</v>
      </c>
      <c r="L128" s="664">
        <v>0</v>
      </c>
      <c r="M128" s="664">
        <v>0</v>
      </c>
      <c r="N128" s="664">
        <v>0.96</v>
      </c>
      <c r="O128" s="664">
        <v>0</v>
      </c>
      <c r="P128" s="664">
        <v>0</v>
      </c>
      <c r="Q128" s="664">
        <v>0</v>
      </c>
      <c r="R128" s="664">
        <v>0</v>
      </c>
      <c r="S128" s="664">
        <v>0</v>
      </c>
      <c r="T128" s="646">
        <f t="shared" ref="T128:T130" si="8">SUM(F128:S128)</f>
        <v>0.96</v>
      </c>
      <c r="U128" s="669">
        <v>1.92</v>
      </c>
      <c r="V128" s="749" t="s">
        <v>433</v>
      </c>
      <c r="W128" s="132" t="s">
        <v>901</v>
      </c>
      <c r="X128" s="3"/>
      <c r="Y128" s="3"/>
      <c r="Z128" s="3"/>
      <c r="AA128" s="3"/>
    </row>
    <row r="129" spans="1:27" ht="30">
      <c r="A129" s="736"/>
      <c r="B129" s="736"/>
      <c r="C129" s="736"/>
      <c r="D129" s="644">
        <v>122</v>
      </c>
      <c r="E129" s="644" t="s">
        <v>256</v>
      </c>
      <c r="F129" s="664">
        <v>0</v>
      </c>
      <c r="G129" s="664">
        <v>0</v>
      </c>
      <c r="H129" s="664">
        <v>0</v>
      </c>
      <c r="I129" s="664">
        <v>0</v>
      </c>
      <c r="J129" s="664">
        <v>0</v>
      </c>
      <c r="K129" s="664">
        <v>0</v>
      </c>
      <c r="L129" s="664">
        <v>0</v>
      </c>
      <c r="M129" s="664">
        <v>0</v>
      </c>
      <c r="N129" s="664">
        <v>0</v>
      </c>
      <c r="O129" s="664">
        <v>0</v>
      </c>
      <c r="P129" s="664">
        <v>0</v>
      </c>
      <c r="Q129" s="664">
        <v>0</v>
      </c>
      <c r="R129" s="664">
        <v>0</v>
      </c>
      <c r="S129" s="664">
        <v>0</v>
      </c>
      <c r="T129" s="646">
        <f t="shared" si="8"/>
        <v>0</v>
      </c>
      <c r="U129" s="669">
        <v>0</v>
      </c>
      <c r="V129" s="482"/>
      <c r="W129" s="133"/>
      <c r="X129" s="3"/>
      <c r="Y129" s="3"/>
      <c r="Z129" s="3"/>
      <c r="AA129" s="3"/>
    </row>
    <row r="130" spans="1:27" ht="105">
      <c r="A130" s="736"/>
      <c r="B130" s="736"/>
      <c r="C130" s="736"/>
      <c r="D130" s="644">
        <v>123</v>
      </c>
      <c r="E130" s="644" t="s">
        <v>257</v>
      </c>
      <c r="F130" s="664">
        <v>0</v>
      </c>
      <c r="G130" s="664">
        <v>0</v>
      </c>
      <c r="H130" s="664">
        <v>0</v>
      </c>
      <c r="I130" s="664">
        <v>0</v>
      </c>
      <c r="J130" s="664">
        <v>0</v>
      </c>
      <c r="K130" s="664">
        <v>0</v>
      </c>
      <c r="L130" s="664">
        <v>0</v>
      </c>
      <c r="M130" s="664">
        <v>0</v>
      </c>
      <c r="N130" s="664">
        <v>0</v>
      </c>
      <c r="O130" s="664">
        <v>0</v>
      </c>
      <c r="P130" s="677">
        <v>0</v>
      </c>
      <c r="Q130" s="669">
        <v>1.5</v>
      </c>
      <c r="R130" s="664">
        <v>0</v>
      </c>
      <c r="S130" s="664">
        <v>0</v>
      </c>
      <c r="T130" s="646">
        <f t="shared" si="8"/>
        <v>1.5</v>
      </c>
      <c r="U130" s="669">
        <v>1.5</v>
      </c>
      <c r="V130" s="749" t="s">
        <v>258</v>
      </c>
      <c r="W130" s="133" t="s">
        <v>258</v>
      </c>
      <c r="X130" s="3"/>
      <c r="Y130" s="3"/>
      <c r="Z130" s="3"/>
      <c r="AA130" s="3"/>
    </row>
    <row r="131" spans="1:27" ht="30">
      <c r="A131" s="736"/>
      <c r="B131" s="699" t="s">
        <v>259</v>
      </c>
      <c r="C131" s="699" t="s">
        <v>260</v>
      </c>
      <c r="D131" s="644">
        <v>124</v>
      </c>
      <c r="E131" s="644" t="s">
        <v>261</v>
      </c>
      <c r="F131" s="664"/>
      <c r="G131" s="664"/>
      <c r="H131" s="677"/>
      <c r="I131" s="664"/>
      <c r="J131" s="664"/>
      <c r="K131" s="664"/>
      <c r="L131" s="664"/>
      <c r="M131" s="664"/>
      <c r="N131" s="664">
        <v>1</v>
      </c>
      <c r="O131" s="664"/>
      <c r="P131" s="664"/>
      <c r="Q131" s="677">
        <v>0.5</v>
      </c>
      <c r="R131" s="664"/>
      <c r="S131" s="664"/>
      <c r="T131" s="647">
        <v>1.5</v>
      </c>
      <c r="U131" s="647">
        <v>1.5</v>
      </c>
      <c r="V131" s="781" t="s">
        <v>628</v>
      </c>
      <c r="W131" s="640"/>
      <c r="X131" s="3"/>
      <c r="Y131" s="3"/>
      <c r="Z131" s="3"/>
      <c r="AA131" s="3"/>
    </row>
    <row r="132" spans="1:27" ht="45">
      <c r="A132" s="736"/>
      <c r="B132" s="736"/>
      <c r="C132" s="736"/>
      <c r="D132" s="644">
        <v>125</v>
      </c>
      <c r="E132" s="644" t="s">
        <v>263</v>
      </c>
      <c r="F132" s="664"/>
      <c r="G132" s="664"/>
      <c r="H132" s="677"/>
      <c r="I132" s="664"/>
      <c r="J132" s="664"/>
      <c r="K132" s="664"/>
      <c r="L132" s="664"/>
      <c r="M132" s="664"/>
      <c r="N132" s="664">
        <v>1</v>
      </c>
      <c r="O132" s="664"/>
      <c r="P132" s="664"/>
      <c r="Q132" s="677">
        <v>0.5</v>
      </c>
      <c r="R132" s="664"/>
      <c r="S132" s="664"/>
      <c r="T132" s="647">
        <v>1.5</v>
      </c>
      <c r="U132" s="647">
        <v>1.5</v>
      </c>
      <c r="V132" s="781" t="s">
        <v>628</v>
      </c>
      <c r="W132" s="640"/>
      <c r="X132" s="3"/>
      <c r="Y132" s="3"/>
      <c r="Z132" s="3"/>
      <c r="AA132" s="3"/>
    </row>
    <row r="133" spans="1:27" ht="75">
      <c r="A133" s="736"/>
      <c r="B133" s="644" t="s">
        <v>264</v>
      </c>
      <c r="C133" s="644" t="s">
        <v>265</v>
      </c>
      <c r="D133" s="644">
        <v>126</v>
      </c>
      <c r="E133" s="644" t="s">
        <v>181</v>
      </c>
      <c r="F133" s="644"/>
      <c r="G133" s="644"/>
      <c r="H133" s="644"/>
      <c r="I133" s="644"/>
      <c r="J133" s="644"/>
      <c r="K133" s="644"/>
      <c r="L133" s="644"/>
      <c r="M133" s="644"/>
      <c r="N133" s="644"/>
      <c r="O133" s="644"/>
      <c r="P133" s="644"/>
      <c r="Q133" s="644"/>
      <c r="R133" s="644"/>
      <c r="S133" s="644"/>
      <c r="T133" s="646">
        <f t="shared" ref="T133:T205" si="9">SUM(F133:S133)</f>
        <v>0</v>
      </c>
      <c r="U133" s="646"/>
      <c r="V133" s="729"/>
      <c r="W133" s="640"/>
      <c r="X133" s="3"/>
      <c r="Y133" s="3"/>
      <c r="Z133" s="3"/>
      <c r="AA133" s="3"/>
    </row>
    <row r="134" spans="1:27">
      <c r="A134" s="736"/>
      <c r="B134" s="701" t="s">
        <v>266</v>
      </c>
      <c r="C134" s="736"/>
      <c r="D134" s="736"/>
      <c r="E134" s="660"/>
      <c r="F134" s="660">
        <f t="shared" ref="F134:S134" si="10">SUM(F94:F133)</f>
        <v>0</v>
      </c>
      <c r="G134" s="660">
        <f t="shared" si="10"/>
        <v>0</v>
      </c>
      <c r="H134" s="660">
        <f t="shared" si="10"/>
        <v>5</v>
      </c>
      <c r="I134" s="660">
        <f t="shared" si="10"/>
        <v>12.21</v>
      </c>
      <c r="J134" s="660">
        <f t="shared" si="10"/>
        <v>0</v>
      </c>
      <c r="K134" s="668">
        <f t="shared" si="10"/>
        <v>7</v>
      </c>
      <c r="L134" s="660">
        <f t="shared" si="10"/>
        <v>0</v>
      </c>
      <c r="M134" s="660">
        <f t="shared" si="10"/>
        <v>8.25</v>
      </c>
      <c r="N134" s="660">
        <f t="shared" si="10"/>
        <v>14.71</v>
      </c>
      <c r="O134" s="660">
        <f t="shared" si="10"/>
        <v>64.47999999999999</v>
      </c>
      <c r="P134" s="660">
        <f t="shared" si="10"/>
        <v>90.75</v>
      </c>
      <c r="Q134" s="668">
        <f t="shared" si="10"/>
        <v>21.8</v>
      </c>
      <c r="R134" s="660">
        <f t="shared" si="10"/>
        <v>19</v>
      </c>
      <c r="S134" s="660">
        <f t="shared" si="10"/>
        <v>0</v>
      </c>
      <c r="T134" s="660">
        <f t="shared" si="9"/>
        <v>243.2</v>
      </c>
      <c r="U134" s="668">
        <f>SUM(U94:U133)</f>
        <v>206.23000000000002</v>
      </c>
      <c r="V134" s="729"/>
      <c r="W134" s="640"/>
      <c r="X134" s="3"/>
      <c r="Y134" s="3"/>
      <c r="Z134" s="3"/>
      <c r="AA134" s="3"/>
    </row>
    <row r="135" spans="1:27" ht="75">
      <c r="A135" s="700" t="s">
        <v>267</v>
      </c>
      <c r="B135" s="699" t="s">
        <v>268</v>
      </c>
      <c r="C135" s="699" t="s">
        <v>269</v>
      </c>
      <c r="D135" s="644">
        <v>127</v>
      </c>
      <c r="E135" s="644" t="s">
        <v>270</v>
      </c>
      <c r="F135" s="644"/>
      <c r="G135" s="644"/>
      <c r="H135" s="644"/>
      <c r="I135" s="644"/>
      <c r="J135" s="644"/>
      <c r="K135" s="644"/>
      <c r="L135" s="644"/>
      <c r="M135" s="644"/>
      <c r="N135" s="644"/>
      <c r="O135" s="644"/>
      <c r="P135" s="644"/>
      <c r="Q135" s="644"/>
      <c r="R135" s="644"/>
      <c r="S135" s="644"/>
      <c r="T135" s="646">
        <f t="shared" si="9"/>
        <v>0</v>
      </c>
      <c r="U135" s="646"/>
      <c r="V135" s="520"/>
      <c r="W135" s="640"/>
      <c r="X135" s="3"/>
      <c r="Y135" s="3"/>
      <c r="Z135" s="3"/>
      <c r="AA135" s="3"/>
    </row>
    <row r="136" spans="1:27" ht="45">
      <c r="A136" s="736"/>
      <c r="B136" s="736"/>
      <c r="C136" s="736"/>
      <c r="D136" s="644">
        <v>128</v>
      </c>
      <c r="E136" s="644" t="s">
        <v>271</v>
      </c>
      <c r="F136" s="644"/>
      <c r="G136" s="644"/>
      <c r="H136" s="644"/>
      <c r="I136" s="644"/>
      <c r="J136" s="644"/>
      <c r="K136" s="646"/>
      <c r="L136" s="644"/>
      <c r="M136" s="644"/>
      <c r="N136" s="646"/>
      <c r="O136" s="644"/>
      <c r="P136" s="646"/>
      <c r="Q136" s="686">
        <f>(0.75*12)</f>
        <v>9</v>
      </c>
      <c r="R136" s="682"/>
      <c r="S136" s="682"/>
      <c r="T136" s="646">
        <f t="shared" si="9"/>
        <v>9</v>
      </c>
      <c r="U136" s="686">
        <f>T136</f>
        <v>9</v>
      </c>
      <c r="V136" s="779" t="s">
        <v>272</v>
      </c>
      <c r="W136" s="640"/>
      <c r="X136" s="3"/>
      <c r="Y136" s="3"/>
      <c r="Z136" s="3"/>
      <c r="AA136" s="3"/>
    </row>
    <row r="137" spans="1:27" ht="45">
      <c r="A137" s="736"/>
      <c r="B137" s="644"/>
      <c r="C137" s="644"/>
      <c r="D137" s="644">
        <v>129</v>
      </c>
      <c r="E137" s="644" t="s">
        <v>273</v>
      </c>
      <c r="F137" s="644"/>
      <c r="G137" s="644"/>
      <c r="H137" s="644"/>
      <c r="I137" s="644"/>
      <c r="J137" s="644"/>
      <c r="K137" s="644"/>
      <c r="L137" s="644"/>
      <c r="M137" s="644"/>
      <c r="N137" s="644"/>
      <c r="O137" s="644"/>
      <c r="P137" s="644"/>
      <c r="Q137" s="644"/>
      <c r="R137" s="644"/>
      <c r="S137" s="644"/>
      <c r="T137" s="646">
        <f t="shared" si="9"/>
        <v>0</v>
      </c>
      <c r="U137" s="646"/>
      <c r="V137" s="520"/>
      <c r="W137" s="640"/>
      <c r="X137" s="3"/>
      <c r="Y137" s="3"/>
      <c r="Z137" s="3"/>
      <c r="AA137" s="3"/>
    </row>
    <row r="138" spans="1:27" ht="75">
      <c r="A138" s="736"/>
      <c r="B138" s="699" t="s">
        <v>274</v>
      </c>
      <c r="C138" s="699" t="s">
        <v>275</v>
      </c>
      <c r="D138" s="644">
        <v>130</v>
      </c>
      <c r="E138" s="644" t="s">
        <v>276</v>
      </c>
      <c r="F138" s="644"/>
      <c r="G138" s="644"/>
      <c r="H138" s="644"/>
      <c r="I138" s="644"/>
      <c r="J138" s="644"/>
      <c r="K138" s="644"/>
      <c r="L138" s="644"/>
      <c r="M138" s="644"/>
      <c r="N138" s="644"/>
      <c r="O138" s="644"/>
      <c r="P138" s="644"/>
      <c r="Q138" s="644"/>
      <c r="R138" s="644"/>
      <c r="S138" s="644"/>
      <c r="T138" s="646">
        <f t="shared" si="9"/>
        <v>0</v>
      </c>
      <c r="U138" s="646"/>
      <c r="V138" s="520"/>
      <c r="W138" s="640"/>
      <c r="X138" s="3"/>
      <c r="Y138" s="3"/>
      <c r="Z138" s="3"/>
      <c r="AA138" s="3"/>
    </row>
    <row r="139" spans="1:27">
      <c r="A139" s="736"/>
      <c r="B139" s="736"/>
      <c r="C139" s="736"/>
      <c r="D139" s="644">
        <v>131</v>
      </c>
      <c r="E139" s="644" t="s">
        <v>277</v>
      </c>
      <c r="F139" s="644"/>
      <c r="G139" s="644"/>
      <c r="H139" s="644"/>
      <c r="I139" s="644"/>
      <c r="J139" s="644"/>
      <c r="K139" s="644"/>
      <c r="L139" s="644"/>
      <c r="M139" s="644"/>
      <c r="N139" s="646">
        <v>1.68</v>
      </c>
      <c r="O139" s="644"/>
      <c r="P139" s="644"/>
      <c r="Q139" s="644"/>
      <c r="R139" s="644"/>
      <c r="S139" s="644"/>
      <c r="T139" s="646">
        <f t="shared" si="9"/>
        <v>1.68</v>
      </c>
      <c r="U139" s="646">
        <v>1.74</v>
      </c>
      <c r="V139" s="521" t="s">
        <v>629</v>
      </c>
      <c r="W139" s="640"/>
      <c r="X139" s="3"/>
      <c r="Y139" s="3"/>
      <c r="Z139" s="3"/>
      <c r="AA139" s="3"/>
    </row>
    <row r="140" spans="1:27">
      <c r="A140" s="736"/>
      <c r="B140" s="736"/>
      <c r="C140" s="736"/>
      <c r="D140" s="644">
        <v>132</v>
      </c>
      <c r="E140" s="644" t="s">
        <v>279</v>
      </c>
      <c r="F140" s="644"/>
      <c r="G140" s="644"/>
      <c r="H140" s="644"/>
      <c r="I140" s="644"/>
      <c r="J140" s="644"/>
      <c r="K140" s="644"/>
      <c r="L140" s="644"/>
      <c r="M140" s="644"/>
      <c r="N140" s="644"/>
      <c r="O140" s="644"/>
      <c r="P140" s="644"/>
      <c r="Q140" s="644"/>
      <c r="R140" s="644"/>
      <c r="S140" s="644"/>
      <c r="T140" s="646">
        <f t="shared" si="9"/>
        <v>0</v>
      </c>
      <c r="U140" s="646"/>
      <c r="V140" s="520"/>
      <c r="W140" s="640"/>
      <c r="X140" s="3"/>
      <c r="Y140" s="3"/>
      <c r="Z140" s="3"/>
      <c r="AA140" s="3"/>
    </row>
    <row r="141" spans="1:27">
      <c r="A141" s="736"/>
      <c r="B141" s="736"/>
      <c r="C141" s="736"/>
      <c r="D141" s="644">
        <v>133</v>
      </c>
      <c r="E141" s="644" t="s">
        <v>280</v>
      </c>
      <c r="F141" s="644"/>
      <c r="G141" s="644"/>
      <c r="H141" s="644"/>
      <c r="I141" s="644"/>
      <c r="J141" s="644"/>
      <c r="K141" s="644"/>
      <c r="L141" s="644"/>
      <c r="M141" s="644"/>
      <c r="N141" s="644"/>
      <c r="O141" s="644"/>
      <c r="P141" s="644"/>
      <c r="Q141" s="644"/>
      <c r="R141" s="644"/>
      <c r="S141" s="644"/>
      <c r="T141" s="646">
        <f t="shared" si="9"/>
        <v>0</v>
      </c>
      <c r="U141" s="646"/>
      <c r="V141" s="520"/>
      <c r="W141" s="640"/>
      <c r="X141" s="3"/>
      <c r="Y141" s="3"/>
      <c r="Z141" s="3"/>
      <c r="AA141" s="3"/>
    </row>
    <row r="142" spans="1:27" ht="60">
      <c r="A142" s="736"/>
      <c r="B142" s="736"/>
      <c r="C142" s="736"/>
      <c r="D142" s="644">
        <v>134</v>
      </c>
      <c r="E142" s="644" t="s">
        <v>281</v>
      </c>
      <c r="F142" s="644"/>
      <c r="G142" s="644"/>
      <c r="H142" s="644"/>
      <c r="I142" s="644"/>
      <c r="J142" s="644"/>
      <c r="K142" s="644"/>
      <c r="L142" s="644"/>
      <c r="M142" s="644"/>
      <c r="N142" s="644"/>
      <c r="O142" s="644"/>
      <c r="P142" s="782">
        <f>(55*0.005*12)+(55*0.0025*12)</f>
        <v>4.95</v>
      </c>
      <c r="Q142" s="644"/>
      <c r="R142" s="644"/>
      <c r="S142" s="644"/>
      <c r="T142" s="646">
        <f t="shared" si="9"/>
        <v>4.95</v>
      </c>
      <c r="U142" s="646">
        <f>T142</f>
        <v>4.95</v>
      </c>
      <c r="V142" s="520" t="s">
        <v>630</v>
      </c>
      <c r="W142" s="640"/>
      <c r="X142" s="3"/>
      <c r="Y142" s="3"/>
      <c r="Z142" s="3"/>
      <c r="AA142" s="3"/>
    </row>
    <row r="143" spans="1:27" ht="45">
      <c r="A143" s="736"/>
      <c r="B143" s="736"/>
      <c r="C143" s="736"/>
      <c r="D143" s="644">
        <v>135</v>
      </c>
      <c r="E143" s="644" t="s">
        <v>283</v>
      </c>
      <c r="F143" s="644"/>
      <c r="G143" s="644"/>
      <c r="H143" s="644"/>
      <c r="I143" s="644"/>
      <c r="J143" s="644"/>
      <c r="K143" s="644"/>
      <c r="L143" s="644"/>
      <c r="M143" s="644"/>
      <c r="N143" s="644"/>
      <c r="O143" s="644"/>
      <c r="P143" s="644"/>
      <c r="Q143" s="644"/>
      <c r="R143" s="644"/>
      <c r="S143" s="644"/>
      <c r="T143" s="646">
        <f t="shared" si="9"/>
        <v>0</v>
      </c>
      <c r="U143" s="646"/>
      <c r="V143" s="520"/>
      <c r="W143" s="640"/>
      <c r="X143" s="3"/>
      <c r="Y143" s="3"/>
      <c r="Z143" s="3"/>
      <c r="AA143" s="3"/>
    </row>
    <row r="144" spans="1:27" ht="45">
      <c r="A144" s="736"/>
      <c r="B144" s="736"/>
      <c r="C144" s="736"/>
      <c r="D144" s="644">
        <v>136</v>
      </c>
      <c r="E144" s="644" t="s">
        <v>284</v>
      </c>
      <c r="F144" s="644"/>
      <c r="G144" s="644"/>
      <c r="H144" s="644"/>
      <c r="I144" s="644"/>
      <c r="J144" s="644"/>
      <c r="K144" s="644"/>
      <c r="L144" s="644"/>
      <c r="M144" s="644"/>
      <c r="N144" s="644"/>
      <c r="O144" s="644"/>
      <c r="P144" s="646"/>
      <c r="Q144" s="644"/>
      <c r="R144" s="644"/>
      <c r="S144" s="644"/>
      <c r="T144" s="646">
        <f t="shared" si="9"/>
        <v>0</v>
      </c>
      <c r="U144" s="646"/>
      <c r="V144" s="779"/>
      <c r="W144" s="640"/>
      <c r="X144" s="3"/>
      <c r="Y144" s="3"/>
      <c r="Z144" s="3"/>
      <c r="AA144" s="3"/>
    </row>
    <row r="145" spans="1:27">
      <c r="A145" s="736"/>
      <c r="B145" s="699" t="s">
        <v>285</v>
      </c>
      <c r="C145" s="699" t="s">
        <v>286</v>
      </c>
      <c r="D145" s="644">
        <v>137</v>
      </c>
      <c r="E145" s="644" t="s">
        <v>287</v>
      </c>
      <c r="F145" s="644"/>
      <c r="G145" s="644"/>
      <c r="H145" s="644"/>
      <c r="I145" s="644"/>
      <c r="J145" s="644"/>
      <c r="K145" s="644"/>
      <c r="L145" s="644"/>
      <c r="M145" s="646"/>
      <c r="N145" s="644"/>
      <c r="O145" s="644"/>
      <c r="P145" s="686"/>
      <c r="Q145" s="644"/>
      <c r="R145" s="644"/>
      <c r="S145" s="644"/>
      <c r="T145" s="646">
        <f t="shared" si="9"/>
        <v>0</v>
      </c>
      <c r="U145" s="646">
        <f>T145</f>
        <v>0</v>
      </c>
      <c r="V145" s="779"/>
      <c r="W145" s="640"/>
      <c r="X145" s="3"/>
      <c r="Y145" s="3"/>
      <c r="Z145" s="3"/>
      <c r="AA145" s="3"/>
    </row>
    <row r="146" spans="1:27" ht="30">
      <c r="A146" s="736"/>
      <c r="B146" s="736"/>
      <c r="C146" s="736"/>
      <c r="D146" s="644">
        <v>138</v>
      </c>
      <c r="E146" s="644" t="s">
        <v>288</v>
      </c>
      <c r="F146" s="644"/>
      <c r="G146" s="644"/>
      <c r="H146" s="646"/>
      <c r="I146" s="646"/>
      <c r="J146" s="644"/>
      <c r="K146" s="646"/>
      <c r="L146" s="644"/>
      <c r="M146" s="646"/>
      <c r="N146" s="644"/>
      <c r="O146" s="644"/>
      <c r="P146" s="644"/>
      <c r="Q146" s="644"/>
      <c r="R146" s="644"/>
      <c r="S146" s="644"/>
      <c r="T146" s="646">
        <f t="shared" si="9"/>
        <v>0</v>
      </c>
      <c r="U146" s="646"/>
      <c r="V146" s="779"/>
      <c r="W146" s="640"/>
      <c r="X146" s="3"/>
      <c r="Y146" s="3"/>
      <c r="Z146" s="3"/>
      <c r="AA146" s="3"/>
    </row>
    <row r="147" spans="1:27" ht="45">
      <c r="A147" s="736"/>
      <c r="B147" s="699" t="s">
        <v>289</v>
      </c>
      <c r="C147" s="699" t="s">
        <v>290</v>
      </c>
      <c r="D147" s="644">
        <v>139</v>
      </c>
      <c r="E147" s="644" t="s">
        <v>291</v>
      </c>
      <c r="F147" s="644"/>
      <c r="G147" s="644"/>
      <c r="H147" s="644"/>
      <c r="I147" s="644"/>
      <c r="J147" s="644"/>
      <c r="K147" s="644"/>
      <c r="L147" s="644"/>
      <c r="M147" s="644"/>
      <c r="N147" s="646"/>
      <c r="O147" s="644"/>
      <c r="P147" s="646">
        <v>12</v>
      </c>
      <c r="Q147" s="644"/>
      <c r="R147" s="646">
        <v>1.2</v>
      </c>
      <c r="S147" s="644"/>
      <c r="T147" s="646">
        <f t="shared" si="9"/>
        <v>13.2</v>
      </c>
      <c r="U147" s="646">
        <f t="shared" ref="U147:U148" si="11">T147</f>
        <v>13.2</v>
      </c>
      <c r="V147" s="779" t="s">
        <v>728</v>
      </c>
      <c r="W147" s="640"/>
      <c r="X147" s="3"/>
      <c r="Y147" s="3"/>
      <c r="Z147" s="3"/>
      <c r="AA147" s="3"/>
    </row>
    <row r="148" spans="1:27" ht="75">
      <c r="A148" s="736"/>
      <c r="B148" s="736"/>
      <c r="C148" s="736"/>
      <c r="D148" s="644">
        <v>140</v>
      </c>
      <c r="E148" s="644" t="s">
        <v>293</v>
      </c>
      <c r="F148" s="644"/>
      <c r="G148" s="644"/>
      <c r="H148" s="644"/>
      <c r="I148" s="644"/>
      <c r="J148" s="644"/>
      <c r="K148" s="644"/>
      <c r="L148" s="644"/>
      <c r="M148" s="644"/>
      <c r="N148" s="644"/>
      <c r="O148" s="644"/>
      <c r="P148" s="686">
        <f>12+( 12* 0.235)</f>
        <v>14.82</v>
      </c>
      <c r="Q148" s="682"/>
      <c r="R148" s="682"/>
      <c r="S148" s="682"/>
      <c r="T148" s="646">
        <f t="shared" si="9"/>
        <v>14.82</v>
      </c>
      <c r="U148" s="658">
        <f t="shared" si="11"/>
        <v>14.82</v>
      </c>
      <c r="V148" s="779" t="s">
        <v>294</v>
      </c>
      <c r="W148" s="640"/>
      <c r="X148" s="3"/>
      <c r="Y148" s="3"/>
      <c r="Z148" s="3"/>
      <c r="AA148" s="3"/>
    </row>
    <row r="149" spans="1:27" ht="30">
      <c r="A149" s="736"/>
      <c r="B149" s="736"/>
      <c r="C149" s="736"/>
      <c r="D149" s="644">
        <v>141</v>
      </c>
      <c r="E149" s="644" t="s">
        <v>295</v>
      </c>
      <c r="F149" s="644"/>
      <c r="G149" s="644"/>
      <c r="H149" s="644"/>
      <c r="I149" s="644"/>
      <c r="J149" s="644"/>
      <c r="K149" s="644"/>
      <c r="L149" s="644"/>
      <c r="M149" s="644"/>
      <c r="N149" s="644"/>
      <c r="O149" s="644"/>
      <c r="P149" s="644"/>
      <c r="Q149" s="644"/>
      <c r="R149" s="644"/>
      <c r="S149" s="644"/>
      <c r="T149" s="646">
        <f t="shared" si="9"/>
        <v>0</v>
      </c>
      <c r="U149" s="646"/>
      <c r="V149" s="520"/>
      <c r="W149" s="640"/>
      <c r="X149" s="3"/>
      <c r="Y149" s="3"/>
      <c r="Z149" s="3"/>
      <c r="AA149" s="3"/>
    </row>
    <row r="150" spans="1:27" ht="30">
      <c r="A150" s="736"/>
      <c r="B150" s="699" t="s">
        <v>296</v>
      </c>
      <c r="C150" s="699" t="s">
        <v>297</v>
      </c>
      <c r="D150" s="644">
        <v>142</v>
      </c>
      <c r="E150" s="644" t="s">
        <v>298</v>
      </c>
      <c r="F150" s="644"/>
      <c r="G150" s="644"/>
      <c r="H150" s="644"/>
      <c r="I150" s="644"/>
      <c r="J150" s="644"/>
      <c r="K150" s="644"/>
      <c r="L150" s="644"/>
      <c r="M150" s="644"/>
      <c r="N150" s="644"/>
      <c r="O150" s="644"/>
      <c r="P150" s="783">
        <v>1470.4023449999997</v>
      </c>
      <c r="Q150" s="644"/>
      <c r="R150" s="644"/>
      <c r="S150" s="644"/>
      <c r="T150" s="646">
        <f t="shared" si="9"/>
        <v>1470.4023449999997</v>
      </c>
      <c r="U150" s="783">
        <v>1565.5373767214996</v>
      </c>
      <c r="V150" s="1206" t="s">
        <v>1732</v>
      </c>
      <c r="W150" s="640"/>
      <c r="X150" s="3"/>
      <c r="Y150" s="3"/>
      <c r="Z150" s="3"/>
      <c r="AA150" s="3"/>
    </row>
    <row r="151" spans="1:27" ht="60">
      <c r="A151" s="736"/>
      <c r="B151" s="736"/>
      <c r="C151" s="736"/>
      <c r="D151" s="644">
        <v>143</v>
      </c>
      <c r="E151" s="644" t="s">
        <v>299</v>
      </c>
      <c r="F151" s="644"/>
      <c r="G151" s="644"/>
      <c r="H151" s="644"/>
      <c r="I151" s="644"/>
      <c r="J151" s="644"/>
      <c r="K151" s="644"/>
      <c r="L151" s="644"/>
      <c r="M151" s="644"/>
      <c r="N151" s="644"/>
      <c r="O151" s="644"/>
      <c r="P151" s="644"/>
      <c r="Q151" s="644"/>
      <c r="R151" s="644"/>
      <c r="S151" s="644"/>
      <c r="T151" s="646">
        <f t="shared" si="9"/>
        <v>0</v>
      </c>
      <c r="U151" s="646"/>
      <c r="V151" s="520"/>
      <c r="W151" s="640"/>
      <c r="X151" s="3"/>
      <c r="Y151" s="3"/>
      <c r="Z151" s="3"/>
      <c r="AA151" s="3"/>
    </row>
    <row r="152" spans="1:27" ht="30">
      <c r="A152" s="736"/>
      <c r="B152" s="736"/>
      <c r="C152" s="736"/>
      <c r="D152" s="644">
        <v>144</v>
      </c>
      <c r="E152" s="644" t="s">
        <v>300</v>
      </c>
      <c r="F152" s="644"/>
      <c r="G152" s="644"/>
      <c r="H152" s="644"/>
      <c r="I152" s="644"/>
      <c r="J152" s="644"/>
      <c r="K152" s="644"/>
      <c r="L152" s="644"/>
      <c r="M152" s="644"/>
      <c r="N152" s="644"/>
      <c r="O152" s="644"/>
      <c r="P152" s="644"/>
      <c r="Q152" s="644"/>
      <c r="R152" s="644"/>
      <c r="S152" s="644"/>
      <c r="T152" s="646">
        <f t="shared" si="9"/>
        <v>0</v>
      </c>
      <c r="U152" s="646"/>
      <c r="V152" s="520"/>
      <c r="W152" s="640"/>
      <c r="X152" s="3"/>
      <c r="Y152" s="3"/>
      <c r="Z152" s="3"/>
      <c r="AA152" s="3"/>
    </row>
    <row r="153" spans="1:27" ht="45">
      <c r="A153" s="736"/>
      <c r="B153" s="736"/>
      <c r="C153" s="736"/>
      <c r="D153" s="644">
        <v>145</v>
      </c>
      <c r="E153" s="644" t="s">
        <v>301</v>
      </c>
      <c r="F153" s="644"/>
      <c r="G153" s="644"/>
      <c r="H153" s="644"/>
      <c r="I153" s="644"/>
      <c r="J153" s="644"/>
      <c r="K153" s="644"/>
      <c r="L153" s="644"/>
      <c r="M153" s="644"/>
      <c r="N153" s="644"/>
      <c r="O153" s="644"/>
      <c r="P153" s="644"/>
      <c r="Q153" s="644"/>
      <c r="R153" s="644"/>
      <c r="S153" s="644"/>
      <c r="T153" s="646">
        <f t="shared" si="9"/>
        <v>0</v>
      </c>
      <c r="U153" s="646"/>
      <c r="V153" s="520"/>
      <c r="W153" s="640"/>
      <c r="X153" s="3"/>
      <c r="Y153" s="3"/>
      <c r="Z153" s="3"/>
      <c r="AA153" s="3"/>
    </row>
    <row r="154" spans="1:27" ht="75">
      <c r="A154" s="736"/>
      <c r="B154" s="644" t="s">
        <v>302</v>
      </c>
      <c r="C154" s="644" t="s">
        <v>303</v>
      </c>
      <c r="D154" s="644">
        <v>146</v>
      </c>
      <c r="E154" s="644" t="s">
        <v>304</v>
      </c>
      <c r="F154" s="644"/>
      <c r="G154" s="644"/>
      <c r="H154" s="644"/>
      <c r="I154" s="644"/>
      <c r="J154" s="644"/>
      <c r="K154" s="644"/>
      <c r="L154" s="644"/>
      <c r="M154" s="644"/>
      <c r="N154" s="644"/>
      <c r="O154" s="644"/>
      <c r="P154" s="644"/>
      <c r="Q154" s="644"/>
      <c r="R154" s="686">
        <f>(0.4*12)+(12*0.1)</f>
        <v>6.0000000000000009</v>
      </c>
      <c r="S154" s="682"/>
      <c r="T154" s="646">
        <f t="shared" si="9"/>
        <v>6.0000000000000009</v>
      </c>
      <c r="U154" s="686">
        <f>T154</f>
        <v>6.0000000000000009</v>
      </c>
      <c r="V154" s="779" t="s">
        <v>1723</v>
      </c>
      <c r="W154" s="640"/>
      <c r="X154" s="3"/>
      <c r="Y154" s="3"/>
      <c r="Z154" s="3"/>
      <c r="AA154" s="3"/>
    </row>
    <row r="155" spans="1:27" ht="30">
      <c r="A155" s="736"/>
      <c r="B155" s="644" t="s">
        <v>306</v>
      </c>
      <c r="C155" s="644" t="s">
        <v>307</v>
      </c>
      <c r="D155" s="644">
        <v>147</v>
      </c>
      <c r="E155" s="644" t="s">
        <v>157</v>
      </c>
      <c r="F155" s="644"/>
      <c r="G155" s="644"/>
      <c r="H155" s="644"/>
      <c r="I155" s="644"/>
      <c r="J155" s="644"/>
      <c r="K155" s="644"/>
      <c r="L155" s="644"/>
      <c r="M155" s="644"/>
      <c r="N155" s="644"/>
      <c r="O155" s="644"/>
      <c r="P155" s="644"/>
      <c r="Q155" s="644"/>
      <c r="R155" s="644"/>
      <c r="S155" s="644"/>
      <c r="T155" s="646">
        <f t="shared" si="9"/>
        <v>0</v>
      </c>
      <c r="U155" s="646"/>
      <c r="V155" s="520"/>
      <c r="W155" s="640"/>
      <c r="X155" s="3"/>
      <c r="Y155" s="3"/>
      <c r="Z155" s="3"/>
      <c r="AA155" s="3"/>
    </row>
    <row r="156" spans="1:27" ht="60">
      <c r="A156" s="736"/>
      <c r="B156" s="644" t="s">
        <v>308</v>
      </c>
      <c r="C156" s="644" t="s">
        <v>309</v>
      </c>
      <c r="D156" s="644">
        <v>148</v>
      </c>
      <c r="E156" s="644" t="s">
        <v>310</v>
      </c>
      <c r="F156" s="644"/>
      <c r="G156" s="644"/>
      <c r="H156" s="644"/>
      <c r="I156" s="644"/>
      <c r="J156" s="644"/>
      <c r="K156" s="644"/>
      <c r="L156" s="644"/>
      <c r="M156" s="644"/>
      <c r="N156" s="646"/>
      <c r="O156" s="644"/>
      <c r="P156" s="646"/>
      <c r="Q156" s="644"/>
      <c r="R156" s="644"/>
      <c r="S156" s="644"/>
      <c r="T156" s="646">
        <f t="shared" si="9"/>
        <v>0</v>
      </c>
      <c r="U156" s="646"/>
      <c r="V156" s="779"/>
      <c r="W156" s="640"/>
      <c r="X156" s="3"/>
      <c r="Y156" s="3"/>
      <c r="Z156" s="3"/>
      <c r="AA156" s="3"/>
    </row>
    <row r="157" spans="1:27" ht="45">
      <c r="A157" s="736"/>
      <c r="B157" s="644" t="s">
        <v>311</v>
      </c>
      <c r="C157" s="644" t="s">
        <v>312</v>
      </c>
      <c r="D157" s="644">
        <v>149</v>
      </c>
      <c r="E157" s="644" t="s">
        <v>313</v>
      </c>
      <c r="F157" s="768"/>
      <c r="G157" s="768"/>
      <c r="H157" s="768"/>
      <c r="I157" s="768"/>
      <c r="J157" s="768"/>
      <c r="K157" s="768"/>
      <c r="L157" s="768"/>
      <c r="M157" s="768"/>
      <c r="N157" s="768"/>
      <c r="O157" s="768"/>
      <c r="P157" s="646">
        <f>(12*1.75)+(0.05*168)</f>
        <v>29.4</v>
      </c>
      <c r="Q157" s="768"/>
      <c r="R157" s="768"/>
      <c r="S157" s="768"/>
      <c r="T157" s="646">
        <f t="shared" si="9"/>
        <v>29.4</v>
      </c>
      <c r="U157" s="646">
        <f>(12*1.75)+(0.05*174)</f>
        <v>29.700000000000003</v>
      </c>
      <c r="V157" s="779" t="s">
        <v>1660</v>
      </c>
      <c r="W157" s="640"/>
      <c r="X157" s="3"/>
      <c r="Y157" s="3"/>
      <c r="Z157" s="3"/>
      <c r="AA157" s="3"/>
    </row>
    <row r="158" spans="1:27">
      <c r="A158" s="736"/>
      <c r="B158" s="701" t="s">
        <v>315</v>
      </c>
      <c r="C158" s="736"/>
      <c r="D158" s="736"/>
      <c r="E158" s="660"/>
      <c r="F158" s="660">
        <f t="shared" ref="F158:S158" si="12">SUM(F135:F157)</f>
        <v>0</v>
      </c>
      <c r="G158" s="660">
        <f t="shared" si="12"/>
        <v>0</v>
      </c>
      <c r="H158" s="660">
        <f t="shared" si="12"/>
        <v>0</v>
      </c>
      <c r="I158" s="660">
        <f t="shared" si="12"/>
        <v>0</v>
      </c>
      <c r="J158" s="660">
        <f t="shared" si="12"/>
        <v>0</v>
      </c>
      <c r="K158" s="660">
        <f t="shared" si="12"/>
        <v>0</v>
      </c>
      <c r="L158" s="660">
        <f t="shared" si="12"/>
        <v>0</v>
      </c>
      <c r="M158" s="660">
        <f t="shared" si="12"/>
        <v>0</v>
      </c>
      <c r="N158" s="660">
        <f t="shared" si="12"/>
        <v>1.68</v>
      </c>
      <c r="O158" s="660">
        <f t="shared" si="12"/>
        <v>0</v>
      </c>
      <c r="P158" s="660">
        <f t="shared" si="12"/>
        <v>1531.5723449999998</v>
      </c>
      <c r="Q158" s="660">
        <f t="shared" si="12"/>
        <v>9</v>
      </c>
      <c r="R158" s="660">
        <f t="shared" si="12"/>
        <v>7.2000000000000011</v>
      </c>
      <c r="S158" s="660">
        <f t="shared" si="12"/>
        <v>0</v>
      </c>
      <c r="T158" s="646">
        <f t="shared" si="9"/>
        <v>1549.4523449999999</v>
      </c>
      <c r="U158" s="668">
        <f>SUM(U135:U157)</f>
        <v>1644.9473767214997</v>
      </c>
      <c r="V158" s="729"/>
      <c r="W158" s="6"/>
      <c r="X158" s="54"/>
      <c r="Y158" s="54"/>
      <c r="Z158" s="54"/>
      <c r="AA158" s="54"/>
    </row>
    <row r="159" spans="1:27" ht="195">
      <c r="A159" s="700" t="s">
        <v>316</v>
      </c>
      <c r="B159" s="699" t="s">
        <v>317</v>
      </c>
      <c r="C159" s="699" t="s">
        <v>269</v>
      </c>
      <c r="D159" s="644">
        <v>150</v>
      </c>
      <c r="E159" s="644" t="s">
        <v>318</v>
      </c>
      <c r="F159" s="682"/>
      <c r="G159" s="683"/>
      <c r="H159" s="683"/>
      <c r="I159" s="682"/>
      <c r="J159" s="682"/>
      <c r="K159" s="682"/>
      <c r="L159" s="682"/>
      <c r="M159" s="682"/>
      <c r="N159" s="686">
        <v>13.6</v>
      </c>
      <c r="O159" s="682">
        <v>244.2</v>
      </c>
      <c r="P159" s="683"/>
      <c r="Q159" s="682">
        <v>1</v>
      </c>
      <c r="R159" s="682"/>
      <c r="S159" s="682"/>
      <c r="T159" s="646">
        <f t="shared" si="9"/>
        <v>258.8</v>
      </c>
      <c r="U159" s="646">
        <f t="shared" ref="U159:U160" si="13">T159</f>
        <v>258.8</v>
      </c>
      <c r="V159" s="786" t="s">
        <v>1720</v>
      </c>
      <c r="W159" s="640"/>
      <c r="X159" s="3"/>
      <c r="Y159" s="3"/>
      <c r="Z159" s="3"/>
      <c r="AA159" s="3"/>
    </row>
    <row r="160" spans="1:27" ht="165">
      <c r="A160" s="736"/>
      <c r="B160" s="736"/>
      <c r="C160" s="736"/>
      <c r="D160" s="644">
        <v>151</v>
      </c>
      <c r="E160" s="644" t="s">
        <v>319</v>
      </c>
      <c r="F160" s="682"/>
      <c r="G160" s="683"/>
      <c r="H160" s="683"/>
      <c r="I160" s="686"/>
      <c r="J160" s="682"/>
      <c r="K160" s="682"/>
      <c r="L160" s="682"/>
      <c r="M160" s="682"/>
      <c r="N160" s="686"/>
      <c r="O160" s="683"/>
      <c r="P160" s="683">
        <v>13.95</v>
      </c>
      <c r="Q160" s="686"/>
      <c r="R160" s="683">
        <v>2</v>
      </c>
      <c r="S160" s="682"/>
      <c r="T160" s="646">
        <f t="shared" si="9"/>
        <v>15.95</v>
      </c>
      <c r="U160" s="646">
        <f t="shared" si="13"/>
        <v>15.95</v>
      </c>
      <c r="V160" s="729" t="s">
        <v>955</v>
      </c>
      <c r="W160" s="640"/>
      <c r="X160" s="3"/>
      <c r="Y160" s="3"/>
      <c r="Z160" s="3"/>
      <c r="AA160" s="3"/>
    </row>
    <row r="161" spans="1:27" ht="45">
      <c r="A161" s="736"/>
      <c r="B161" s="736"/>
      <c r="C161" s="736"/>
      <c r="D161" s="644">
        <v>152</v>
      </c>
      <c r="E161" s="644" t="s">
        <v>321</v>
      </c>
      <c r="F161" s="682"/>
      <c r="G161" s="682"/>
      <c r="H161" s="682"/>
      <c r="I161" s="682"/>
      <c r="J161" s="682"/>
      <c r="K161" s="682"/>
      <c r="L161" s="682"/>
      <c r="M161" s="682"/>
      <c r="N161" s="682"/>
      <c r="O161" s="682"/>
      <c r="P161" s="683"/>
      <c r="Q161" s="682"/>
      <c r="R161" s="682"/>
      <c r="S161" s="682"/>
      <c r="T161" s="646">
        <f t="shared" si="9"/>
        <v>0</v>
      </c>
      <c r="U161" s="646"/>
      <c r="V161" s="729"/>
      <c r="W161" s="640"/>
      <c r="X161" s="3"/>
      <c r="Y161" s="3"/>
      <c r="Z161" s="3"/>
      <c r="AA161" s="3"/>
    </row>
    <row r="162" spans="1:27">
      <c r="A162" s="736"/>
      <c r="B162" s="736"/>
      <c r="C162" s="736"/>
      <c r="D162" s="644">
        <v>153</v>
      </c>
      <c r="E162" s="644" t="s">
        <v>322</v>
      </c>
      <c r="F162" s="787"/>
      <c r="G162" s="787"/>
      <c r="H162" s="787"/>
      <c r="I162" s="787"/>
      <c r="J162" s="787"/>
      <c r="K162" s="787"/>
      <c r="L162" s="787"/>
      <c r="M162" s="787"/>
      <c r="N162" s="686"/>
      <c r="O162" s="787"/>
      <c r="P162" s="787"/>
      <c r="Q162" s="787"/>
      <c r="R162" s="787"/>
      <c r="S162" s="787"/>
      <c r="T162" s="646">
        <f t="shared" si="9"/>
        <v>0</v>
      </c>
      <c r="U162" s="646"/>
      <c r="V162" s="729"/>
      <c r="W162" s="640"/>
      <c r="X162" s="3"/>
      <c r="Y162" s="3"/>
      <c r="Z162" s="3"/>
      <c r="AA162" s="3"/>
    </row>
    <row r="163" spans="1:27" ht="45">
      <c r="A163" s="736"/>
      <c r="B163" s="699" t="s">
        <v>324</v>
      </c>
      <c r="C163" s="699" t="s">
        <v>325</v>
      </c>
      <c r="D163" s="644">
        <v>154</v>
      </c>
      <c r="E163" s="644" t="s">
        <v>326</v>
      </c>
      <c r="F163" s="644"/>
      <c r="G163" s="644"/>
      <c r="H163" s="644"/>
      <c r="I163" s="644"/>
      <c r="J163" s="644"/>
      <c r="K163" s="646"/>
      <c r="L163" s="644"/>
      <c r="M163" s="646"/>
      <c r="N163" s="644"/>
      <c r="O163" s="644"/>
      <c r="P163" s="644"/>
      <c r="Q163" s="654">
        <v>0.17499999999999999</v>
      </c>
      <c r="R163" s="644"/>
      <c r="S163" s="644"/>
      <c r="T163" s="646">
        <f t="shared" si="9"/>
        <v>0.17499999999999999</v>
      </c>
      <c r="U163" s="646">
        <f t="shared" ref="U163:U165" si="14">T163</f>
        <v>0.17499999999999999</v>
      </c>
      <c r="V163" s="729" t="s">
        <v>904</v>
      </c>
      <c r="W163" s="640"/>
      <c r="X163" s="3"/>
      <c r="Y163" s="3"/>
      <c r="Z163" s="3"/>
      <c r="AA163" s="3"/>
    </row>
    <row r="164" spans="1:27" ht="30">
      <c r="A164" s="736"/>
      <c r="B164" s="736"/>
      <c r="C164" s="736"/>
      <c r="D164" s="644">
        <v>155</v>
      </c>
      <c r="E164" s="644" t="s">
        <v>328</v>
      </c>
      <c r="F164" s="644"/>
      <c r="G164" s="644"/>
      <c r="H164" s="644"/>
      <c r="I164" s="644"/>
      <c r="J164" s="644"/>
      <c r="K164" s="644"/>
      <c r="L164" s="644"/>
      <c r="M164" s="644"/>
      <c r="N164" s="682"/>
      <c r="O164" s="644"/>
      <c r="P164" s="654"/>
      <c r="Q164" s="644"/>
      <c r="R164" s="644"/>
      <c r="S164" s="644"/>
      <c r="T164" s="646">
        <f t="shared" si="9"/>
        <v>0</v>
      </c>
      <c r="U164" s="646">
        <f t="shared" si="14"/>
        <v>0</v>
      </c>
      <c r="V164" s="729"/>
      <c r="W164" s="640"/>
      <c r="X164" s="3"/>
      <c r="Y164" s="3"/>
      <c r="Z164" s="3"/>
      <c r="AA164" s="3"/>
    </row>
    <row r="165" spans="1:27" ht="60">
      <c r="A165" s="736"/>
      <c r="B165" s="736"/>
      <c r="C165" s="736"/>
      <c r="D165" s="644">
        <v>156</v>
      </c>
      <c r="E165" s="644" t="s">
        <v>329</v>
      </c>
      <c r="F165" s="644"/>
      <c r="G165" s="644"/>
      <c r="H165" s="654"/>
      <c r="I165" s="646"/>
      <c r="J165" s="644"/>
      <c r="K165" s="644"/>
      <c r="L165" s="644"/>
      <c r="M165" s="644"/>
      <c r="N165" s="644"/>
      <c r="O165" s="644"/>
      <c r="P165" s="654">
        <v>1</v>
      </c>
      <c r="Q165" s="644"/>
      <c r="R165" s="644"/>
      <c r="S165" s="644"/>
      <c r="T165" s="646">
        <f t="shared" si="9"/>
        <v>1</v>
      </c>
      <c r="U165" s="646">
        <f t="shared" si="14"/>
        <v>1</v>
      </c>
      <c r="V165" s="729" t="s">
        <v>846</v>
      </c>
      <c r="W165" s="640"/>
      <c r="X165" s="3"/>
      <c r="Y165" s="3"/>
      <c r="Z165" s="3"/>
      <c r="AA165" s="3"/>
    </row>
    <row r="166" spans="1:27" ht="45">
      <c r="A166" s="736"/>
      <c r="B166" s="736"/>
      <c r="C166" s="736"/>
      <c r="D166" s="644">
        <v>157</v>
      </c>
      <c r="E166" s="644" t="s">
        <v>331</v>
      </c>
      <c r="F166" s="644"/>
      <c r="G166" s="644"/>
      <c r="H166" s="644"/>
      <c r="I166" s="644"/>
      <c r="J166" s="644"/>
      <c r="K166" s="644"/>
      <c r="L166" s="644"/>
      <c r="M166" s="644"/>
      <c r="N166" s="644"/>
      <c r="O166" s="644"/>
      <c r="P166" s="644"/>
      <c r="Q166" s="644"/>
      <c r="R166" s="644"/>
      <c r="S166" s="644"/>
      <c r="T166" s="646">
        <f t="shared" si="9"/>
        <v>0</v>
      </c>
      <c r="U166" s="646"/>
      <c r="V166" s="729"/>
      <c r="W166" s="640"/>
      <c r="X166" s="3"/>
      <c r="Y166" s="3"/>
      <c r="Z166" s="3"/>
      <c r="AA166" s="3"/>
    </row>
    <row r="167" spans="1:27" ht="60">
      <c r="A167" s="736"/>
      <c r="B167" s="736"/>
      <c r="C167" s="736"/>
      <c r="D167" s="644">
        <v>158</v>
      </c>
      <c r="E167" s="644" t="s">
        <v>332</v>
      </c>
      <c r="F167" s="644"/>
      <c r="G167" s="644"/>
      <c r="H167" s="644"/>
      <c r="I167" s="644"/>
      <c r="J167" s="644"/>
      <c r="K167" s="644"/>
      <c r="L167" s="644"/>
      <c r="M167" s="644"/>
      <c r="N167" s="644"/>
      <c r="O167" s="644"/>
      <c r="P167" s="644"/>
      <c r="Q167" s="646"/>
      <c r="R167" s="644"/>
      <c r="S167" s="644"/>
      <c r="T167" s="646">
        <f t="shared" si="9"/>
        <v>0</v>
      </c>
      <c r="U167" s="646"/>
      <c r="V167" s="729"/>
      <c r="W167" s="640"/>
      <c r="X167" s="3"/>
      <c r="Y167" s="3"/>
      <c r="Z167" s="3"/>
      <c r="AA167" s="3"/>
    </row>
    <row r="168" spans="1:27" ht="409.5">
      <c r="A168" s="736"/>
      <c r="B168" s="699" t="s">
        <v>333</v>
      </c>
      <c r="C168" s="699" t="s">
        <v>275</v>
      </c>
      <c r="D168" s="644">
        <v>159</v>
      </c>
      <c r="E168" s="644" t="s">
        <v>276</v>
      </c>
      <c r="F168" s="644"/>
      <c r="G168" s="644"/>
      <c r="H168" s="644"/>
      <c r="I168" s="644"/>
      <c r="J168" s="644"/>
      <c r="K168" s="646"/>
      <c r="L168" s="644"/>
      <c r="M168" s="644"/>
      <c r="N168" s="654">
        <v>35.54</v>
      </c>
      <c r="O168" s="654">
        <v>524.20000000000005</v>
      </c>
      <c r="P168" s="654">
        <v>49.62</v>
      </c>
      <c r="Q168" s="644">
        <v>4.5350000000000001</v>
      </c>
      <c r="R168" s="644"/>
      <c r="S168" s="644"/>
      <c r="T168" s="646">
        <f t="shared" si="9"/>
        <v>613.89499999999998</v>
      </c>
      <c r="U168" s="658">
        <f>T168+2</f>
        <v>615.89499999999998</v>
      </c>
      <c r="V168" s="729" t="s">
        <v>956</v>
      </c>
      <c r="W168" s="640"/>
      <c r="X168" s="3"/>
      <c r="Y168" s="3"/>
      <c r="Z168" s="3"/>
      <c r="AA168" s="3"/>
    </row>
    <row r="169" spans="1:27">
      <c r="A169" s="736"/>
      <c r="B169" s="736"/>
      <c r="C169" s="736"/>
      <c r="D169" s="644">
        <v>160</v>
      </c>
      <c r="E169" s="644" t="s">
        <v>334</v>
      </c>
      <c r="F169" s="644"/>
      <c r="G169" s="644"/>
      <c r="H169" s="644"/>
      <c r="I169" s="644"/>
      <c r="J169" s="644"/>
      <c r="K169" s="644"/>
      <c r="L169" s="644"/>
      <c r="M169" s="644"/>
      <c r="N169" s="644"/>
      <c r="O169" s="644"/>
      <c r="P169" s="644"/>
      <c r="Q169" s="644"/>
      <c r="R169" s="644"/>
      <c r="S169" s="644"/>
      <c r="T169" s="646">
        <f t="shared" si="9"/>
        <v>0</v>
      </c>
      <c r="U169" s="646"/>
      <c r="V169" s="729"/>
      <c r="W169" s="640"/>
      <c r="X169" s="3"/>
      <c r="Y169" s="3"/>
      <c r="Z169" s="3"/>
      <c r="AA169" s="3"/>
    </row>
    <row r="170" spans="1:27">
      <c r="A170" s="736"/>
      <c r="B170" s="736"/>
      <c r="C170" s="736"/>
      <c r="D170" s="644">
        <v>161</v>
      </c>
      <c r="E170" s="644" t="s">
        <v>279</v>
      </c>
      <c r="F170" s="644"/>
      <c r="G170" s="644"/>
      <c r="H170" s="644"/>
      <c r="I170" s="644"/>
      <c r="J170" s="644"/>
      <c r="K170" s="644"/>
      <c r="L170" s="644"/>
      <c r="M170" s="644"/>
      <c r="N170" s="644"/>
      <c r="O170" s="644"/>
      <c r="P170" s="644"/>
      <c r="Q170" s="644"/>
      <c r="R170" s="644"/>
      <c r="S170" s="644"/>
      <c r="T170" s="646">
        <f t="shared" si="9"/>
        <v>0</v>
      </c>
      <c r="U170" s="646"/>
      <c r="V170" s="729"/>
      <c r="W170" s="640"/>
      <c r="X170" s="3"/>
      <c r="Y170" s="3"/>
      <c r="Z170" s="3"/>
      <c r="AA170" s="3"/>
    </row>
    <row r="171" spans="1:27">
      <c r="A171" s="736"/>
      <c r="B171" s="736"/>
      <c r="C171" s="736"/>
      <c r="D171" s="644">
        <v>162</v>
      </c>
      <c r="E171" s="644" t="s">
        <v>280</v>
      </c>
      <c r="F171" s="644"/>
      <c r="G171" s="644"/>
      <c r="H171" s="644"/>
      <c r="I171" s="644"/>
      <c r="J171" s="644"/>
      <c r="K171" s="644"/>
      <c r="L171" s="644"/>
      <c r="M171" s="644"/>
      <c r="N171" s="644"/>
      <c r="O171" s="644"/>
      <c r="P171" s="644"/>
      <c r="Q171" s="644"/>
      <c r="R171" s="644"/>
      <c r="S171" s="644"/>
      <c r="T171" s="646">
        <f t="shared" si="9"/>
        <v>0</v>
      </c>
      <c r="U171" s="646"/>
      <c r="V171" s="729"/>
      <c r="W171" s="640"/>
      <c r="X171" s="3"/>
      <c r="Y171" s="3"/>
      <c r="Z171" s="3"/>
      <c r="AA171" s="3"/>
    </row>
    <row r="172" spans="1:27" ht="165">
      <c r="A172" s="736"/>
      <c r="B172" s="736"/>
      <c r="C172" s="736"/>
      <c r="D172" s="644">
        <v>163</v>
      </c>
      <c r="E172" s="644" t="s">
        <v>335</v>
      </c>
      <c r="F172" s="644"/>
      <c r="G172" s="644"/>
      <c r="H172" s="644"/>
      <c r="I172" s="644"/>
      <c r="J172" s="644"/>
      <c r="K172" s="644"/>
      <c r="L172" s="644"/>
      <c r="M172" s="644"/>
      <c r="N172" s="644"/>
      <c r="O172" s="654">
        <v>10.175000000000001</v>
      </c>
      <c r="P172" s="654">
        <v>1.8</v>
      </c>
      <c r="Q172" s="646">
        <v>3.1</v>
      </c>
      <c r="R172" s="644"/>
      <c r="S172" s="644"/>
      <c r="T172" s="646">
        <f t="shared" si="9"/>
        <v>15.075000000000001</v>
      </c>
      <c r="U172" s="646">
        <f>12.065+3.1</f>
        <v>15.164999999999999</v>
      </c>
      <c r="V172" s="738" t="s">
        <v>957</v>
      </c>
      <c r="W172" s="640"/>
      <c r="X172" s="3"/>
      <c r="Y172" s="3"/>
      <c r="Z172" s="3"/>
      <c r="AA172" s="3"/>
    </row>
    <row r="173" spans="1:27">
      <c r="A173" s="736"/>
      <c r="B173" s="699" t="s">
        <v>336</v>
      </c>
      <c r="C173" s="699" t="s">
        <v>337</v>
      </c>
      <c r="D173" s="644">
        <v>164</v>
      </c>
      <c r="E173" s="644" t="s">
        <v>338</v>
      </c>
      <c r="F173" s="644"/>
      <c r="G173" s="654"/>
      <c r="H173" s="654"/>
      <c r="I173" s="644"/>
      <c r="J173" s="644"/>
      <c r="K173" s="644"/>
      <c r="L173" s="644"/>
      <c r="M173" s="644"/>
      <c r="N173" s="644"/>
      <c r="O173" s="644"/>
      <c r="P173" s="644"/>
      <c r="Q173" s="644"/>
      <c r="R173" s="644"/>
      <c r="S173" s="644"/>
      <c r="T173" s="646">
        <f t="shared" si="9"/>
        <v>0</v>
      </c>
      <c r="U173" s="646"/>
      <c r="V173" s="729"/>
      <c r="W173" s="640"/>
      <c r="X173" s="3"/>
      <c r="Y173" s="3"/>
      <c r="Z173" s="3"/>
      <c r="AA173" s="3"/>
    </row>
    <row r="174" spans="1:27" ht="1.5" customHeight="1">
      <c r="A174" s="736"/>
      <c r="B174" s="736"/>
      <c r="C174" s="736"/>
      <c r="D174" s="644">
        <v>165</v>
      </c>
      <c r="E174" s="644" t="s">
        <v>339</v>
      </c>
      <c r="F174" s="644"/>
      <c r="G174" s="654"/>
      <c r="H174" s="654"/>
      <c r="I174" s="644"/>
      <c r="J174" s="644"/>
      <c r="K174" s="644"/>
      <c r="L174" s="644"/>
      <c r="M174" s="644"/>
      <c r="N174" s="644"/>
      <c r="O174" s="644"/>
      <c r="P174" s="644"/>
      <c r="Q174" s="644"/>
      <c r="R174" s="644"/>
      <c r="S174" s="644"/>
      <c r="T174" s="646">
        <f t="shared" si="9"/>
        <v>0</v>
      </c>
      <c r="U174" s="646"/>
      <c r="V174" s="729"/>
      <c r="W174" s="640"/>
      <c r="X174" s="3"/>
      <c r="Y174" s="3"/>
      <c r="Z174" s="3"/>
      <c r="AA174" s="3"/>
    </row>
    <row r="175" spans="1:27" ht="30">
      <c r="A175" s="736"/>
      <c r="B175" s="736"/>
      <c r="C175" s="736"/>
      <c r="D175" s="644">
        <v>166</v>
      </c>
      <c r="E175" s="644" t="s">
        <v>340</v>
      </c>
      <c r="F175" s="644"/>
      <c r="G175" s="654"/>
      <c r="H175" s="654"/>
      <c r="I175" s="644"/>
      <c r="J175" s="644"/>
      <c r="K175" s="644"/>
      <c r="L175" s="644"/>
      <c r="M175" s="644"/>
      <c r="N175" s="644"/>
      <c r="O175" s="644"/>
      <c r="P175" s="644"/>
      <c r="Q175" s="644"/>
      <c r="R175" s="644"/>
      <c r="S175" s="644"/>
      <c r="T175" s="646">
        <f t="shared" si="9"/>
        <v>0</v>
      </c>
      <c r="U175" s="646"/>
      <c r="V175" s="729"/>
      <c r="W175" s="640"/>
      <c r="X175" s="3"/>
      <c r="Y175" s="3"/>
      <c r="Z175" s="3"/>
      <c r="AA175" s="3"/>
    </row>
    <row r="176" spans="1:27" ht="30">
      <c r="A176" s="736"/>
      <c r="B176" s="736"/>
      <c r="C176" s="736"/>
      <c r="D176" s="644">
        <v>167</v>
      </c>
      <c r="E176" s="644" t="s">
        <v>341</v>
      </c>
      <c r="F176" s="644"/>
      <c r="G176" s="654"/>
      <c r="H176" s="654"/>
      <c r="I176" s="644"/>
      <c r="J176" s="644"/>
      <c r="K176" s="644"/>
      <c r="L176" s="644"/>
      <c r="M176" s="644"/>
      <c r="N176" s="644"/>
      <c r="O176" s="644"/>
      <c r="P176" s="644"/>
      <c r="Q176" s="644"/>
      <c r="R176" s="644"/>
      <c r="S176" s="644"/>
      <c r="T176" s="646">
        <f t="shared" si="9"/>
        <v>0</v>
      </c>
      <c r="U176" s="646"/>
      <c r="V176" s="729"/>
      <c r="W176" s="640"/>
      <c r="X176" s="3"/>
      <c r="Y176" s="3"/>
      <c r="Z176" s="3"/>
      <c r="AA176" s="3"/>
    </row>
    <row r="177" spans="1:27" ht="30">
      <c r="A177" s="736"/>
      <c r="B177" s="736"/>
      <c r="C177" s="736"/>
      <c r="D177" s="644">
        <v>168</v>
      </c>
      <c r="E177" s="644" t="s">
        <v>342</v>
      </c>
      <c r="F177" s="644"/>
      <c r="G177" s="654"/>
      <c r="H177" s="654"/>
      <c r="I177" s="644"/>
      <c r="J177" s="644"/>
      <c r="K177" s="644"/>
      <c r="L177" s="644"/>
      <c r="M177" s="644"/>
      <c r="N177" s="644"/>
      <c r="O177" s="644"/>
      <c r="P177" s="644"/>
      <c r="Q177" s="644"/>
      <c r="R177" s="644"/>
      <c r="S177" s="644"/>
      <c r="T177" s="646">
        <f t="shared" si="9"/>
        <v>0</v>
      </c>
      <c r="U177" s="646"/>
      <c r="V177" s="729"/>
      <c r="W177" s="640"/>
      <c r="X177" s="3"/>
      <c r="Y177" s="3"/>
      <c r="Z177" s="3"/>
      <c r="AA177" s="3"/>
    </row>
    <row r="178" spans="1:27" ht="75">
      <c r="A178" s="736"/>
      <c r="B178" s="736"/>
      <c r="C178" s="736"/>
      <c r="D178" s="644">
        <v>169</v>
      </c>
      <c r="E178" s="644" t="s">
        <v>343</v>
      </c>
      <c r="F178" s="644"/>
      <c r="G178" s="654"/>
      <c r="H178" s="654"/>
      <c r="I178" s="646"/>
      <c r="J178" s="644"/>
      <c r="K178" s="644"/>
      <c r="L178" s="644"/>
      <c r="M178" s="644"/>
      <c r="N178" s="644"/>
      <c r="O178" s="644"/>
      <c r="P178" s="644"/>
      <c r="Q178" s="644"/>
      <c r="R178" s="644"/>
      <c r="S178" s="644"/>
      <c r="T178" s="646">
        <f t="shared" si="9"/>
        <v>0</v>
      </c>
      <c r="U178" s="646"/>
      <c r="V178" s="729"/>
      <c r="W178" s="640"/>
      <c r="X178" s="3"/>
      <c r="Y178" s="3"/>
      <c r="Z178" s="3"/>
      <c r="AA178" s="3"/>
    </row>
    <row r="179" spans="1:27" ht="90">
      <c r="A179" s="736"/>
      <c r="B179" s="736"/>
      <c r="C179" s="736"/>
      <c r="D179" s="644">
        <v>170</v>
      </c>
      <c r="E179" s="644" t="s">
        <v>344</v>
      </c>
      <c r="F179" s="644"/>
      <c r="G179" s="644"/>
      <c r="H179" s="644"/>
      <c r="I179" s="644"/>
      <c r="J179" s="644"/>
      <c r="K179" s="644"/>
      <c r="L179" s="644"/>
      <c r="M179" s="644"/>
      <c r="N179" s="644"/>
      <c r="O179" s="644"/>
      <c r="P179" s="644"/>
      <c r="Q179" s="644"/>
      <c r="R179" s="644"/>
      <c r="S179" s="644"/>
      <c r="T179" s="646">
        <f t="shared" si="9"/>
        <v>0</v>
      </c>
      <c r="U179" s="646"/>
      <c r="V179" s="729"/>
      <c r="W179" s="640"/>
      <c r="X179" s="3"/>
      <c r="Y179" s="3"/>
      <c r="Z179" s="3"/>
      <c r="AA179" s="3"/>
    </row>
    <row r="180" spans="1:27" ht="45">
      <c r="A180" s="736"/>
      <c r="B180" s="699" t="s">
        <v>345</v>
      </c>
      <c r="C180" s="699" t="s">
        <v>346</v>
      </c>
      <c r="D180" s="644">
        <v>171</v>
      </c>
      <c r="E180" s="644" t="s">
        <v>347</v>
      </c>
      <c r="F180" s="644"/>
      <c r="G180" s="644"/>
      <c r="H180" s="644"/>
      <c r="I180" s="644"/>
      <c r="J180" s="644"/>
      <c r="K180" s="644"/>
      <c r="L180" s="644"/>
      <c r="M180" s="644"/>
      <c r="N180" s="644"/>
      <c r="O180" s="644"/>
      <c r="P180" s="644"/>
      <c r="Q180" s="644"/>
      <c r="R180" s="644"/>
      <c r="S180" s="644"/>
      <c r="T180" s="646">
        <f t="shared" si="9"/>
        <v>0</v>
      </c>
      <c r="U180" s="646"/>
      <c r="V180" s="729"/>
      <c r="W180" s="640"/>
      <c r="X180" s="3"/>
      <c r="Y180" s="3"/>
      <c r="Z180" s="3"/>
      <c r="AA180" s="3"/>
    </row>
    <row r="181" spans="1:27" ht="30">
      <c r="A181" s="736"/>
      <c r="B181" s="736"/>
      <c r="C181" s="736"/>
      <c r="D181" s="644">
        <v>172</v>
      </c>
      <c r="E181" s="644" t="s">
        <v>348</v>
      </c>
      <c r="F181" s="644"/>
      <c r="G181" s="644"/>
      <c r="H181" s="644"/>
      <c r="I181" s="644"/>
      <c r="J181" s="644"/>
      <c r="K181" s="644"/>
      <c r="L181" s="644"/>
      <c r="M181" s="644"/>
      <c r="N181" s="644"/>
      <c r="O181" s="644"/>
      <c r="P181" s="646"/>
      <c r="Q181" s="644"/>
      <c r="R181" s="644"/>
      <c r="S181" s="644"/>
      <c r="T181" s="646">
        <f t="shared" si="9"/>
        <v>0</v>
      </c>
      <c r="U181" s="646"/>
      <c r="V181" s="729"/>
      <c r="W181" s="640"/>
      <c r="X181" s="3"/>
      <c r="Y181" s="3"/>
      <c r="Z181" s="3"/>
      <c r="AA181" s="3"/>
    </row>
    <row r="182" spans="1:27" ht="30">
      <c r="A182" s="736"/>
      <c r="B182" s="736"/>
      <c r="C182" s="736"/>
      <c r="D182" s="644">
        <v>173</v>
      </c>
      <c r="E182" s="644" t="s">
        <v>349</v>
      </c>
      <c r="F182" s="644"/>
      <c r="G182" s="644"/>
      <c r="H182" s="644"/>
      <c r="I182" s="644"/>
      <c r="J182" s="644"/>
      <c r="K182" s="644"/>
      <c r="L182" s="644"/>
      <c r="M182" s="644"/>
      <c r="N182" s="644"/>
      <c r="O182" s="644"/>
      <c r="P182" s="644"/>
      <c r="Q182" s="644"/>
      <c r="R182" s="644"/>
      <c r="S182" s="644"/>
      <c r="T182" s="646">
        <f t="shared" si="9"/>
        <v>0</v>
      </c>
      <c r="U182" s="646"/>
      <c r="V182" s="729"/>
      <c r="W182" s="640"/>
      <c r="X182" s="3"/>
      <c r="Y182" s="3"/>
      <c r="Z182" s="3"/>
      <c r="AA182" s="3"/>
    </row>
    <row r="183" spans="1:27" ht="30">
      <c r="A183" s="736"/>
      <c r="B183" s="736"/>
      <c r="C183" s="736"/>
      <c r="D183" s="644">
        <v>174</v>
      </c>
      <c r="E183" s="644" t="s">
        <v>350</v>
      </c>
      <c r="F183" s="644"/>
      <c r="G183" s="644"/>
      <c r="H183" s="644"/>
      <c r="I183" s="644"/>
      <c r="J183" s="644"/>
      <c r="K183" s="644"/>
      <c r="L183" s="644"/>
      <c r="M183" s="644"/>
      <c r="N183" s="644"/>
      <c r="O183" s="644"/>
      <c r="P183" s="646"/>
      <c r="Q183" s="644"/>
      <c r="R183" s="644"/>
      <c r="S183" s="644"/>
      <c r="T183" s="646">
        <f t="shared" si="9"/>
        <v>0</v>
      </c>
      <c r="U183" s="646"/>
      <c r="V183" s="729"/>
      <c r="W183" s="640"/>
      <c r="X183" s="3"/>
      <c r="Y183" s="3"/>
      <c r="Z183" s="3"/>
      <c r="AA183" s="3"/>
    </row>
    <row r="184" spans="1:27" ht="409.5">
      <c r="A184" s="736"/>
      <c r="B184" s="699" t="s">
        <v>351</v>
      </c>
      <c r="C184" s="699" t="s">
        <v>290</v>
      </c>
      <c r="D184" s="644">
        <v>175</v>
      </c>
      <c r="E184" s="644" t="s">
        <v>291</v>
      </c>
      <c r="F184" s="1186"/>
      <c r="G184" s="1186"/>
      <c r="H184" s="1186"/>
      <c r="I184" s="1264">
        <v>9.8000000000000007</v>
      </c>
      <c r="J184" s="1186"/>
      <c r="K184" s="1186"/>
      <c r="L184" s="1186"/>
      <c r="M184" s="1186"/>
      <c r="N184" s="1265">
        <v>11.95</v>
      </c>
      <c r="O184" s="1186"/>
      <c r="P184" s="678">
        <f>5+27.08</f>
        <v>32.08</v>
      </c>
      <c r="Q184" s="1265">
        <v>1</v>
      </c>
      <c r="R184" s="1264">
        <v>0.79</v>
      </c>
      <c r="S184" s="1264"/>
      <c r="T184" s="646">
        <f t="shared" si="9"/>
        <v>55.62</v>
      </c>
      <c r="U184" s="646">
        <f t="shared" ref="U184:U186" si="15">T184</f>
        <v>55.62</v>
      </c>
      <c r="V184" s="788" t="s">
        <v>958</v>
      </c>
      <c r="W184" s="640"/>
      <c r="X184" s="3"/>
      <c r="Y184" s="3"/>
      <c r="Z184" s="3"/>
      <c r="AA184" s="3"/>
    </row>
    <row r="185" spans="1:27" ht="409.5">
      <c r="A185" s="736"/>
      <c r="B185" s="736"/>
      <c r="C185" s="736"/>
      <c r="D185" s="644">
        <v>176</v>
      </c>
      <c r="E185" s="644" t="s">
        <v>293</v>
      </c>
      <c r="F185" s="1186"/>
      <c r="G185" s="1186"/>
      <c r="H185" s="1186"/>
      <c r="I185" s="1186"/>
      <c r="J185" s="1186"/>
      <c r="K185" s="1186"/>
      <c r="L185" s="1186"/>
      <c r="M185" s="1264">
        <v>21.8</v>
      </c>
      <c r="N185" s="1186"/>
      <c r="O185" s="1186"/>
      <c r="P185" s="1264">
        <v>63.01</v>
      </c>
      <c r="Q185" s="1264">
        <v>7.85</v>
      </c>
      <c r="R185" s="1186"/>
      <c r="S185" s="1186"/>
      <c r="T185" s="646">
        <f t="shared" si="9"/>
        <v>92.66</v>
      </c>
      <c r="U185" s="646">
        <f t="shared" si="15"/>
        <v>92.66</v>
      </c>
      <c r="V185" s="788" t="s">
        <v>959</v>
      </c>
      <c r="W185" s="640"/>
      <c r="X185" s="3"/>
      <c r="Y185" s="3"/>
      <c r="Z185" s="3"/>
      <c r="AA185" s="3"/>
    </row>
    <row r="186" spans="1:27" ht="75">
      <c r="A186" s="736"/>
      <c r="B186" s="736"/>
      <c r="C186" s="736"/>
      <c r="D186" s="644">
        <v>177</v>
      </c>
      <c r="E186" s="644" t="s">
        <v>295</v>
      </c>
      <c r="F186" s="1186"/>
      <c r="G186" s="1186"/>
      <c r="H186" s="1186"/>
      <c r="I186" s="1186"/>
      <c r="J186" s="1186"/>
      <c r="K186" s="1186"/>
      <c r="L186" s="1186"/>
      <c r="M186" s="1186"/>
      <c r="N186" s="1265">
        <v>1</v>
      </c>
      <c r="O186" s="1186"/>
      <c r="P186" s="1186"/>
      <c r="Q186" s="1186"/>
      <c r="R186" s="1186"/>
      <c r="S186" s="1186"/>
      <c r="T186" s="646">
        <f t="shared" si="9"/>
        <v>1</v>
      </c>
      <c r="U186" s="646">
        <f t="shared" si="15"/>
        <v>1</v>
      </c>
      <c r="V186" s="738" t="s">
        <v>352</v>
      </c>
      <c r="W186" s="640"/>
      <c r="X186" s="3"/>
      <c r="Y186" s="3"/>
      <c r="Z186" s="3"/>
      <c r="AA186" s="3"/>
    </row>
    <row r="187" spans="1:27" ht="60">
      <c r="A187" s="736"/>
      <c r="B187" s="699" t="s">
        <v>353</v>
      </c>
      <c r="C187" s="699" t="s">
        <v>354</v>
      </c>
      <c r="D187" s="644">
        <v>178</v>
      </c>
      <c r="E187" s="644" t="s">
        <v>355</v>
      </c>
      <c r="F187" s="644"/>
      <c r="G187" s="644"/>
      <c r="H187" s="644"/>
      <c r="I187" s="644"/>
      <c r="J187" s="644"/>
      <c r="K187" s="644"/>
      <c r="L187" s="644"/>
      <c r="M187" s="644"/>
      <c r="N187" s="644"/>
      <c r="O187" s="644"/>
      <c r="P187" s="847">
        <v>1.5</v>
      </c>
      <c r="Q187" s="829"/>
      <c r="R187" s="829"/>
      <c r="S187" s="829"/>
      <c r="T187" s="847">
        <f t="shared" ref="T187" si="16">SUM(F187:S187)</f>
        <v>1.5</v>
      </c>
      <c r="U187" s="847">
        <f>T187</f>
        <v>1.5</v>
      </c>
      <c r="V187" s="744" t="s">
        <v>1857</v>
      </c>
      <c r="W187" s="640"/>
      <c r="X187" s="3"/>
      <c r="Y187" s="3"/>
      <c r="Z187" s="3"/>
      <c r="AA187" s="3"/>
    </row>
    <row r="188" spans="1:27">
      <c r="A188" s="736"/>
      <c r="B188" s="736"/>
      <c r="C188" s="736"/>
      <c r="D188" s="644">
        <v>179</v>
      </c>
      <c r="E188" s="644" t="s">
        <v>157</v>
      </c>
      <c r="F188" s="644"/>
      <c r="G188" s="644"/>
      <c r="H188" s="644"/>
      <c r="I188" s="644"/>
      <c r="J188" s="644"/>
      <c r="K188" s="644"/>
      <c r="L188" s="644"/>
      <c r="M188" s="644"/>
      <c r="N188" s="644"/>
      <c r="O188" s="644"/>
      <c r="P188" s="644"/>
      <c r="Q188" s="644"/>
      <c r="R188" s="644"/>
      <c r="S188" s="644"/>
      <c r="T188" s="646">
        <f t="shared" si="9"/>
        <v>0</v>
      </c>
      <c r="U188" s="646"/>
      <c r="V188" s="729"/>
      <c r="W188" s="640"/>
      <c r="X188" s="3"/>
      <c r="Y188" s="3"/>
      <c r="Z188" s="3"/>
      <c r="AA188" s="3"/>
    </row>
    <row r="189" spans="1:27" ht="30">
      <c r="A189" s="736"/>
      <c r="B189" s="736"/>
      <c r="C189" s="736"/>
      <c r="D189" s="644">
        <v>180</v>
      </c>
      <c r="E189" s="644" t="s">
        <v>356</v>
      </c>
      <c r="F189" s="644"/>
      <c r="G189" s="644"/>
      <c r="H189" s="644"/>
      <c r="I189" s="644"/>
      <c r="J189" s="644"/>
      <c r="K189" s="646"/>
      <c r="L189" s="644"/>
      <c r="M189" s="644"/>
      <c r="N189" s="644"/>
      <c r="O189" s="644"/>
      <c r="P189" s="654"/>
      <c r="Q189" s="644"/>
      <c r="R189" s="644"/>
      <c r="S189" s="644"/>
      <c r="T189" s="646">
        <f t="shared" si="9"/>
        <v>0</v>
      </c>
      <c r="U189" s="646"/>
      <c r="V189" s="729"/>
      <c r="W189" s="640"/>
      <c r="X189" s="3"/>
      <c r="Y189" s="3"/>
      <c r="Z189" s="3"/>
      <c r="AA189" s="3"/>
    </row>
    <row r="190" spans="1:27" ht="30">
      <c r="A190" s="736"/>
      <c r="B190" s="736"/>
      <c r="C190" s="736"/>
      <c r="D190" s="644">
        <v>181</v>
      </c>
      <c r="E190" s="644" t="s">
        <v>357</v>
      </c>
      <c r="F190" s="644"/>
      <c r="G190" s="644"/>
      <c r="H190" s="644"/>
      <c r="I190" s="644"/>
      <c r="J190" s="644"/>
      <c r="K190" s="644"/>
      <c r="L190" s="644"/>
      <c r="M190" s="644"/>
      <c r="N190" s="644"/>
      <c r="O190" s="644"/>
      <c r="P190" s="644"/>
      <c r="Q190" s="644"/>
      <c r="R190" s="644"/>
      <c r="S190" s="644"/>
      <c r="T190" s="646">
        <f t="shared" si="9"/>
        <v>0</v>
      </c>
      <c r="U190" s="646"/>
      <c r="V190" s="729"/>
      <c r="W190" s="640"/>
      <c r="X190" s="3"/>
      <c r="Y190" s="3"/>
      <c r="Z190" s="3"/>
      <c r="AA190" s="3"/>
    </row>
    <row r="191" spans="1:27" ht="30">
      <c r="A191" s="736"/>
      <c r="B191" s="736"/>
      <c r="C191" s="736"/>
      <c r="D191" s="644">
        <v>182</v>
      </c>
      <c r="E191" s="644" t="s">
        <v>358</v>
      </c>
      <c r="F191" s="644"/>
      <c r="G191" s="644"/>
      <c r="H191" s="644"/>
      <c r="I191" s="644"/>
      <c r="J191" s="644"/>
      <c r="K191" s="644"/>
      <c r="L191" s="644"/>
      <c r="M191" s="644"/>
      <c r="N191" s="644"/>
      <c r="O191" s="644"/>
      <c r="P191" s="646"/>
      <c r="Q191" s="644"/>
      <c r="R191" s="644"/>
      <c r="S191" s="644"/>
      <c r="T191" s="646">
        <f t="shared" si="9"/>
        <v>0</v>
      </c>
      <c r="U191" s="658">
        <f>T191*1.05</f>
        <v>0</v>
      </c>
      <c r="V191" s="729"/>
      <c r="W191" s="640"/>
      <c r="X191" s="3"/>
      <c r="Y191" s="3"/>
      <c r="Z191" s="3"/>
      <c r="AA191" s="3"/>
    </row>
    <row r="192" spans="1:27" ht="60">
      <c r="A192" s="736"/>
      <c r="B192" s="736"/>
      <c r="C192" s="736"/>
      <c r="D192" s="644">
        <v>183</v>
      </c>
      <c r="E192" s="644" t="s">
        <v>360</v>
      </c>
      <c r="F192" s="644"/>
      <c r="G192" s="644"/>
      <c r="H192" s="644"/>
      <c r="I192" s="644"/>
      <c r="J192" s="644"/>
      <c r="K192" s="644"/>
      <c r="L192" s="644"/>
      <c r="M192" s="644"/>
      <c r="N192" s="644"/>
      <c r="O192" s="644"/>
      <c r="P192" s="654"/>
      <c r="Q192" s="644"/>
      <c r="R192" s="644"/>
      <c r="S192" s="644"/>
      <c r="T192" s="646">
        <f t="shared" si="9"/>
        <v>0</v>
      </c>
      <c r="U192" s="646">
        <f>SUM(G192:T192)</f>
        <v>0</v>
      </c>
      <c r="V192" s="729"/>
      <c r="W192" s="640"/>
      <c r="X192" s="3"/>
      <c r="Y192" s="3"/>
      <c r="Z192" s="3"/>
      <c r="AA192" s="3"/>
    </row>
    <row r="193" spans="1:27" ht="60">
      <c r="A193" s="736"/>
      <c r="B193" s="644" t="s">
        <v>361</v>
      </c>
      <c r="C193" s="644" t="s">
        <v>362</v>
      </c>
      <c r="D193" s="644">
        <v>184</v>
      </c>
      <c r="E193" s="644" t="s">
        <v>363</v>
      </c>
      <c r="F193" s="644"/>
      <c r="G193" s="644"/>
      <c r="H193" s="644"/>
      <c r="I193" s="644"/>
      <c r="J193" s="644"/>
      <c r="K193" s="644"/>
      <c r="L193" s="644"/>
      <c r="M193" s="644"/>
      <c r="N193" s="644"/>
      <c r="O193" s="644"/>
      <c r="P193" s="646"/>
      <c r="Q193" s="644"/>
      <c r="R193" s="644"/>
      <c r="S193" s="644"/>
      <c r="T193" s="646">
        <f t="shared" si="9"/>
        <v>0</v>
      </c>
      <c r="U193" s="646"/>
      <c r="V193" s="729"/>
      <c r="W193" s="640"/>
      <c r="X193" s="3"/>
      <c r="Y193" s="3"/>
      <c r="Z193" s="3"/>
      <c r="AA193" s="3"/>
    </row>
    <row r="194" spans="1:27" ht="30">
      <c r="A194" s="736"/>
      <c r="B194" s="699" t="s">
        <v>364</v>
      </c>
      <c r="C194" s="699" t="s">
        <v>297</v>
      </c>
      <c r="D194" s="644">
        <v>185</v>
      </c>
      <c r="E194" s="644" t="s">
        <v>298</v>
      </c>
      <c r="F194" s="644"/>
      <c r="G194" s="644"/>
      <c r="H194" s="644"/>
      <c r="I194" s="644"/>
      <c r="J194" s="644"/>
      <c r="K194" s="644"/>
      <c r="L194" s="644"/>
      <c r="M194" s="644"/>
      <c r="N194" s="644"/>
      <c r="O194" s="644"/>
      <c r="P194" s="783">
        <v>2652.8004799999994</v>
      </c>
      <c r="Q194" s="644"/>
      <c r="R194" s="644"/>
      <c r="S194" s="644"/>
      <c r="T194" s="646">
        <f t="shared" si="9"/>
        <v>2652.8004799999994</v>
      </c>
      <c r="U194" s="783">
        <v>2850.1688357119992</v>
      </c>
      <c r="V194" s="1206" t="s">
        <v>1732</v>
      </c>
      <c r="W194" s="640"/>
      <c r="X194" s="3"/>
      <c r="Y194" s="3"/>
      <c r="Z194" s="3"/>
      <c r="AA194" s="3"/>
    </row>
    <row r="195" spans="1:27" ht="135">
      <c r="A195" s="736"/>
      <c r="B195" s="736"/>
      <c r="C195" s="736"/>
      <c r="D195" s="644">
        <v>186</v>
      </c>
      <c r="E195" s="644" t="s">
        <v>299</v>
      </c>
      <c r="F195" s="644"/>
      <c r="G195" s="644"/>
      <c r="H195" s="644"/>
      <c r="I195" s="644"/>
      <c r="J195" s="644"/>
      <c r="K195" s="644"/>
      <c r="L195" s="644"/>
      <c r="M195" s="644"/>
      <c r="N195" s="644"/>
      <c r="O195" s="644"/>
      <c r="P195" s="654">
        <f>10.687+4.02</f>
        <v>14.706999999999999</v>
      </c>
      <c r="Q195" s="646"/>
      <c r="R195" s="644"/>
      <c r="S195" s="644"/>
      <c r="T195" s="646">
        <f t="shared" si="9"/>
        <v>14.706999999999999</v>
      </c>
      <c r="U195" s="646">
        <f>T195</f>
        <v>14.706999999999999</v>
      </c>
      <c r="V195" s="729" t="s">
        <v>960</v>
      </c>
      <c r="W195" s="640"/>
      <c r="X195" s="3"/>
      <c r="Y195" s="3"/>
      <c r="Z195" s="3"/>
      <c r="AA195" s="3"/>
    </row>
    <row r="196" spans="1:27" ht="30">
      <c r="A196" s="736"/>
      <c r="B196" s="736"/>
      <c r="C196" s="736"/>
      <c r="D196" s="644">
        <v>187</v>
      </c>
      <c r="E196" s="644" t="s">
        <v>367</v>
      </c>
      <c r="F196" s="644"/>
      <c r="G196" s="644"/>
      <c r="H196" s="644"/>
      <c r="I196" s="644"/>
      <c r="J196" s="644"/>
      <c r="K196" s="644"/>
      <c r="L196" s="644"/>
      <c r="M196" s="644"/>
      <c r="N196" s="644"/>
      <c r="O196" s="644"/>
      <c r="P196" s="783">
        <v>1101.57908</v>
      </c>
      <c r="Q196" s="644"/>
      <c r="R196" s="644"/>
      <c r="S196" s="644"/>
      <c r="T196" s="646">
        <f t="shared" si="9"/>
        <v>1101.57908</v>
      </c>
      <c r="U196" s="783">
        <v>1193.4507752720001</v>
      </c>
      <c r="V196" s="1206" t="s">
        <v>1732</v>
      </c>
      <c r="W196" s="640"/>
      <c r="X196" s="3"/>
      <c r="Y196" s="3"/>
      <c r="Z196" s="3"/>
      <c r="AA196" s="3"/>
    </row>
    <row r="197" spans="1:27" ht="30">
      <c r="A197" s="736"/>
      <c r="B197" s="736"/>
      <c r="C197" s="736"/>
      <c r="D197" s="644">
        <v>188</v>
      </c>
      <c r="E197" s="644" t="s">
        <v>300</v>
      </c>
      <c r="F197" s="644"/>
      <c r="G197" s="644"/>
      <c r="H197" s="644"/>
      <c r="I197" s="644"/>
      <c r="J197" s="644"/>
      <c r="K197" s="644"/>
      <c r="L197" s="644"/>
      <c r="M197" s="644"/>
      <c r="N197" s="644"/>
      <c r="O197" s="644"/>
      <c r="P197" s="644"/>
      <c r="Q197" s="644"/>
      <c r="R197" s="644"/>
      <c r="S197" s="644"/>
      <c r="T197" s="646">
        <f t="shared" si="9"/>
        <v>0</v>
      </c>
      <c r="U197" s="646"/>
      <c r="V197" s="729"/>
      <c r="W197" s="640"/>
      <c r="X197" s="3"/>
      <c r="Y197" s="3"/>
      <c r="Z197" s="3"/>
      <c r="AA197" s="3"/>
    </row>
    <row r="198" spans="1:27" ht="45">
      <c r="A198" s="736"/>
      <c r="B198" s="736"/>
      <c r="C198" s="736"/>
      <c r="D198" s="644">
        <v>189</v>
      </c>
      <c r="E198" s="644" t="s">
        <v>301</v>
      </c>
      <c r="F198" s="644"/>
      <c r="G198" s="644"/>
      <c r="H198" s="644"/>
      <c r="I198" s="644"/>
      <c r="J198" s="644"/>
      <c r="K198" s="644"/>
      <c r="L198" s="644"/>
      <c r="M198" s="644"/>
      <c r="N198" s="644"/>
      <c r="O198" s="644"/>
      <c r="P198" s="644"/>
      <c r="Q198" s="644"/>
      <c r="R198" s="644"/>
      <c r="S198" s="644"/>
      <c r="T198" s="646">
        <f t="shared" si="9"/>
        <v>0</v>
      </c>
      <c r="U198" s="646"/>
      <c r="V198" s="729"/>
      <c r="W198" s="640"/>
      <c r="X198" s="3"/>
      <c r="Y198" s="3"/>
      <c r="Z198" s="3"/>
      <c r="AA198" s="3"/>
    </row>
    <row r="199" spans="1:27" ht="45">
      <c r="A199" s="736"/>
      <c r="B199" s="736"/>
      <c r="C199" s="736"/>
      <c r="D199" s="644">
        <v>190</v>
      </c>
      <c r="E199" s="644" t="s">
        <v>368</v>
      </c>
      <c r="F199" s="644"/>
      <c r="G199" s="644"/>
      <c r="H199" s="644"/>
      <c r="I199" s="644"/>
      <c r="J199" s="644"/>
      <c r="K199" s="644"/>
      <c r="L199" s="644"/>
      <c r="M199" s="644"/>
      <c r="N199" s="644"/>
      <c r="O199" s="644"/>
      <c r="P199" s="654"/>
      <c r="Q199" s="644"/>
      <c r="R199" s="644"/>
      <c r="S199" s="644"/>
      <c r="T199" s="646">
        <f t="shared" si="9"/>
        <v>0</v>
      </c>
      <c r="U199" s="646"/>
      <c r="V199" s="729"/>
      <c r="W199" s="640"/>
      <c r="X199" s="3"/>
      <c r="Y199" s="3"/>
      <c r="Z199" s="3"/>
      <c r="AA199" s="3"/>
    </row>
    <row r="200" spans="1:27" ht="240">
      <c r="A200" s="736"/>
      <c r="B200" s="699" t="s">
        <v>370</v>
      </c>
      <c r="C200" s="699" t="s">
        <v>371</v>
      </c>
      <c r="D200" s="644">
        <v>191</v>
      </c>
      <c r="E200" s="644" t="s">
        <v>372</v>
      </c>
      <c r="F200" s="644"/>
      <c r="G200" s="644"/>
      <c r="H200" s="644"/>
      <c r="I200" s="644"/>
      <c r="J200" s="644"/>
      <c r="K200" s="644"/>
      <c r="L200" s="644"/>
      <c r="M200" s="644"/>
      <c r="N200" s="646">
        <v>104.99</v>
      </c>
      <c r="O200" s="644"/>
      <c r="P200" s="644"/>
      <c r="Q200" s="644"/>
      <c r="R200" s="644"/>
      <c r="S200" s="644"/>
      <c r="T200" s="646">
        <f t="shared" si="9"/>
        <v>104.99</v>
      </c>
      <c r="U200" s="646">
        <v>92.89</v>
      </c>
      <c r="V200" s="786" t="s">
        <v>961</v>
      </c>
      <c r="W200" s="642"/>
      <c r="X200" s="3"/>
      <c r="Y200" s="3"/>
      <c r="Z200" s="3"/>
      <c r="AA200" s="3"/>
    </row>
    <row r="201" spans="1:27" ht="165">
      <c r="A201" s="736"/>
      <c r="B201" s="736"/>
      <c r="C201" s="736"/>
      <c r="D201" s="644">
        <v>192</v>
      </c>
      <c r="E201" s="644" t="s">
        <v>373</v>
      </c>
      <c r="F201" s="644"/>
      <c r="G201" s="644"/>
      <c r="H201" s="654"/>
      <c r="I201" s="644"/>
      <c r="J201" s="644"/>
      <c r="K201" s="644"/>
      <c r="L201" s="644"/>
      <c r="M201" s="644"/>
      <c r="N201" s="646">
        <v>18</v>
      </c>
      <c r="O201" s="644"/>
      <c r="P201" s="781"/>
      <c r="Q201" s="654"/>
      <c r="R201" s="644"/>
      <c r="S201" s="644"/>
      <c r="T201" s="646">
        <f t="shared" si="9"/>
        <v>18</v>
      </c>
      <c r="U201" s="646">
        <v>18</v>
      </c>
      <c r="V201" s="749" t="s">
        <v>962</v>
      </c>
      <c r="W201" s="640"/>
      <c r="X201" s="3"/>
      <c r="Y201" s="3"/>
      <c r="Z201" s="3"/>
      <c r="AA201" s="3"/>
    </row>
    <row r="202" spans="1:27" ht="45">
      <c r="A202" s="736"/>
      <c r="B202" s="699" t="s">
        <v>374</v>
      </c>
      <c r="C202" s="699" t="s">
        <v>303</v>
      </c>
      <c r="D202" s="644">
        <v>193</v>
      </c>
      <c r="E202" s="644" t="s">
        <v>375</v>
      </c>
      <c r="F202" s="644"/>
      <c r="G202" s="644"/>
      <c r="H202" s="644"/>
      <c r="I202" s="644"/>
      <c r="J202" s="644"/>
      <c r="K202" s="644"/>
      <c r="L202" s="644"/>
      <c r="M202" s="644"/>
      <c r="N202" s="644"/>
      <c r="O202" s="644"/>
      <c r="P202" s="646"/>
      <c r="Q202" s="644"/>
      <c r="R202" s="644"/>
      <c r="S202" s="654"/>
      <c r="T202" s="646">
        <f t="shared" si="9"/>
        <v>0</v>
      </c>
      <c r="U202" s="646"/>
      <c r="V202" s="729"/>
      <c r="W202" s="640"/>
      <c r="X202" s="3"/>
      <c r="Y202" s="3"/>
      <c r="Z202" s="3"/>
      <c r="AA202" s="3"/>
    </row>
    <row r="203" spans="1:27" ht="255">
      <c r="A203" s="736"/>
      <c r="B203" s="736"/>
      <c r="C203" s="736"/>
      <c r="D203" s="644">
        <v>194</v>
      </c>
      <c r="E203" s="644" t="s">
        <v>304</v>
      </c>
      <c r="F203" s="644"/>
      <c r="G203" s="644"/>
      <c r="H203" s="644"/>
      <c r="I203" s="644"/>
      <c r="J203" s="644"/>
      <c r="K203" s="644"/>
      <c r="L203" s="644"/>
      <c r="M203" s="644"/>
      <c r="N203" s="646">
        <v>1.2</v>
      </c>
      <c r="O203" s="644"/>
      <c r="P203" s="644"/>
      <c r="Q203" s="646"/>
      <c r="R203" s="646">
        <v>40.1</v>
      </c>
      <c r="S203" s="644"/>
      <c r="T203" s="646">
        <f t="shared" si="9"/>
        <v>41.300000000000004</v>
      </c>
      <c r="U203" s="658">
        <f>R203*1.05+N203</f>
        <v>43.305000000000007</v>
      </c>
      <c r="V203" s="729" t="s">
        <v>1604</v>
      </c>
      <c r="W203" s="640"/>
      <c r="X203" s="3"/>
      <c r="Y203" s="3"/>
      <c r="Z203" s="3"/>
      <c r="AA203" s="3"/>
    </row>
    <row r="204" spans="1:27" ht="135">
      <c r="A204" s="736"/>
      <c r="B204" s="699" t="s">
        <v>376</v>
      </c>
      <c r="C204" s="699" t="s">
        <v>377</v>
      </c>
      <c r="D204" s="644">
        <v>195</v>
      </c>
      <c r="E204" s="644" t="s">
        <v>378</v>
      </c>
      <c r="F204" s="644"/>
      <c r="G204" s="644"/>
      <c r="H204" s="644"/>
      <c r="I204" s="644"/>
      <c r="J204" s="644"/>
      <c r="K204" s="644"/>
      <c r="L204" s="644"/>
      <c r="M204" s="644"/>
      <c r="N204" s="644"/>
      <c r="O204" s="644"/>
      <c r="P204" s="646"/>
      <c r="Q204" s="654">
        <v>1.78</v>
      </c>
      <c r="R204" s="646">
        <v>2.6</v>
      </c>
      <c r="S204" s="644">
        <v>2.1</v>
      </c>
      <c r="T204" s="646">
        <f t="shared" si="9"/>
        <v>6.48</v>
      </c>
      <c r="U204" s="646">
        <f>T204</f>
        <v>6.48</v>
      </c>
      <c r="V204" s="749" t="s">
        <v>963</v>
      </c>
      <c r="W204" s="640"/>
      <c r="X204" s="3"/>
      <c r="Y204" s="3"/>
      <c r="Z204" s="3"/>
      <c r="AA204" s="3"/>
    </row>
    <row r="205" spans="1:27" ht="30">
      <c r="A205" s="736"/>
      <c r="B205" s="736"/>
      <c r="C205" s="736"/>
      <c r="D205" s="644">
        <v>196</v>
      </c>
      <c r="E205" s="644" t="s">
        <v>379</v>
      </c>
      <c r="F205" s="644"/>
      <c r="G205" s="644"/>
      <c r="H205" s="644"/>
      <c r="I205" s="644"/>
      <c r="J205" s="644"/>
      <c r="K205" s="644"/>
      <c r="L205" s="644"/>
      <c r="M205" s="644"/>
      <c r="N205" s="644"/>
      <c r="O205" s="644"/>
      <c r="P205" s="644"/>
      <c r="Q205" s="644"/>
      <c r="R205" s="644"/>
      <c r="S205" s="644"/>
      <c r="T205" s="646">
        <f t="shared" si="9"/>
        <v>0</v>
      </c>
      <c r="U205" s="646"/>
      <c r="V205" s="729"/>
      <c r="W205" s="640"/>
      <c r="X205" s="3"/>
      <c r="Y205" s="3"/>
      <c r="Z205" s="3"/>
      <c r="AA205" s="3"/>
    </row>
    <row r="206" spans="1:27" ht="409.5">
      <c r="A206" s="736"/>
      <c r="B206" s="736"/>
      <c r="C206" s="736"/>
      <c r="D206" s="644">
        <v>197</v>
      </c>
      <c r="E206" s="644" t="s">
        <v>380</v>
      </c>
      <c r="F206" s="781"/>
      <c r="G206" s="781"/>
      <c r="H206" s="781"/>
      <c r="I206" s="781"/>
      <c r="J206" s="781"/>
      <c r="K206" s="781"/>
      <c r="L206" s="781"/>
      <c r="M206" s="781"/>
      <c r="N206" s="767">
        <v>0.25</v>
      </c>
      <c r="O206" s="781"/>
      <c r="P206" s="789">
        <v>22.28</v>
      </c>
      <c r="Q206" s="767"/>
      <c r="R206" s="767">
        <v>0.05</v>
      </c>
      <c r="S206" s="767"/>
      <c r="T206" s="651">
        <f>SUM(N206:R206)</f>
        <v>22.580000000000002</v>
      </c>
      <c r="U206" s="789">
        <v>22.33</v>
      </c>
      <c r="V206" s="729" t="s">
        <v>1722</v>
      </c>
      <c r="W206" s="1223"/>
      <c r="X206" s="3"/>
      <c r="Y206" s="3"/>
      <c r="Z206" s="3"/>
      <c r="AA206" s="3"/>
    </row>
    <row r="207" spans="1:27" ht="60">
      <c r="A207" s="736"/>
      <c r="B207" s="644" t="s">
        <v>381</v>
      </c>
      <c r="C207" s="644" t="s">
        <v>309</v>
      </c>
      <c r="D207" s="644">
        <v>198</v>
      </c>
      <c r="E207" s="644" t="s">
        <v>310</v>
      </c>
      <c r="F207" s="644"/>
      <c r="G207" s="644"/>
      <c r="H207" s="644"/>
      <c r="I207" s="644"/>
      <c r="J207" s="644"/>
      <c r="K207" s="644"/>
      <c r="L207" s="644"/>
      <c r="M207" s="644"/>
      <c r="N207" s="644"/>
      <c r="O207" s="644"/>
      <c r="P207" s="644"/>
      <c r="Q207" s="644"/>
      <c r="R207" s="644"/>
      <c r="S207" s="644"/>
      <c r="T207" s="646">
        <f t="shared" ref="T207:T211" si="17">SUM(F207:S207)</f>
        <v>0</v>
      </c>
      <c r="U207" s="646"/>
      <c r="V207" s="729"/>
      <c r="W207" s="640"/>
      <c r="X207" s="3"/>
      <c r="Y207" s="3"/>
      <c r="Z207" s="3"/>
      <c r="AA207" s="3"/>
    </row>
    <row r="208" spans="1:27" ht="90" customHeight="1">
      <c r="A208" s="736"/>
      <c r="B208" s="644" t="s">
        <v>382</v>
      </c>
      <c r="C208" s="644" t="s">
        <v>312</v>
      </c>
      <c r="D208" s="644">
        <v>199</v>
      </c>
      <c r="E208" s="644" t="s">
        <v>313</v>
      </c>
      <c r="F208" s="768"/>
      <c r="G208" s="768"/>
      <c r="H208" s="768"/>
      <c r="I208" s="768"/>
      <c r="J208" s="768"/>
      <c r="K208" s="768"/>
      <c r="L208" s="768"/>
      <c r="M208" s="768"/>
      <c r="N208" s="768"/>
      <c r="O208" s="768"/>
      <c r="Q208" s="768"/>
      <c r="R208" s="768">
        <v>251.7</v>
      </c>
      <c r="S208" s="768"/>
      <c r="T208" s="646">
        <f t="shared" si="17"/>
        <v>251.7</v>
      </c>
      <c r="U208" s="646">
        <f>T208</f>
        <v>251.7</v>
      </c>
      <c r="V208" s="729" t="s">
        <v>1721</v>
      </c>
      <c r="W208" s="640"/>
      <c r="X208" s="3"/>
      <c r="Y208" s="3"/>
      <c r="Z208" s="3"/>
      <c r="AA208" s="3"/>
    </row>
    <row r="209" spans="1:27" ht="75">
      <c r="A209" s="736"/>
      <c r="B209" s="644" t="s">
        <v>383</v>
      </c>
      <c r="C209" s="644"/>
      <c r="D209" s="644">
        <v>200</v>
      </c>
      <c r="E209" s="644" t="s">
        <v>384</v>
      </c>
      <c r="F209" s="768"/>
      <c r="G209" s="768"/>
      <c r="H209" s="768"/>
      <c r="I209" s="768"/>
      <c r="J209" s="768"/>
      <c r="K209" s="768"/>
      <c r="L209" s="768"/>
      <c r="M209" s="768"/>
      <c r="N209" s="790">
        <v>0.1956</v>
      </c>
      <c r="O209" s="790"/>
      <c r="P209" s="790"/>
      <c r="Q209" s="790"/>
      <c r="R209" s="790">
        <v>1</v>
      </c>
      <c r="S209" s="790"/>
      <c r="T209" s="646">
        <f t="shared" si="17"/>
        <v>1.1956</v>
      </c>
      <c r="U209" s="658">
        <v>1.1956</v>
      </c>
      <c r="V209" s="749" t="s">
        <v>385</v>
      </c>
      <c r="W209" s="132" t="s">
        <v>385</v>
      </c>
      <c r="X209" s="3"/>
      <c r="Y209" s="3"/>
      <c r="Z209" s="3"/>
      <c r="AA209" s="3"/>
    </row>
    <row r="210" spans="1:27" ht="15.75">
      <c r="A210" s="736"/>
      <c r="B210" s="701" t="s">
        <v>386</v>
      </c>
      <c r="C210" s="736"/>
      <c r="D210" s="736"/>
      <c r="E210" s="660"/>
      <c r="F210" s="660">
        <f t="shared" ref="F210:S210" si="18">SUM(F159:F209)</f>
        <v>0</v>
      </c>
      <c r="G210" s="667">
        <f t="shared" si="18"/>
        <v>0</v>
      </c>
      <c r="H210" s="667">
        <f t="shared" si="18"/>
        <v>0</v>
      </c>
      <c r="I210" s="660">
        <f t="shared" si="18"/>
        <v>9.8000000000000007</v>
      </c>
      <c r="J210" s="660">
        <f t="shared" si="18"/>
        <v>0</v>
      </c>
      <c r="K210" s="660">
        <f t="shared" si="18"/>
        <v>0</v>
      </c>
      <c r="L210" s="660">
        <f t="shared" si="18"/>
        <v>0</v>
      </c>
      <c r="M210" s="660">
        <f t="shared" si="18"/>
        <v>21.8</v>
      </c>
      <c r="N210" s="668">
        <f t="shared" si="18"/>
        <v>186.72559999999999</v>
      </c>
      <c r="O210" s="660">
        <f t="shared" si="18"/>
        <v>778.57500000000005</v>
      </c>
      <c r="P210" s="667">
        <f t="shared" si="18"/>
        <v>3954.3265599999995</v>
      </c>
      <c r="Q210" s="660">
        <f t="shared" si="18"/>
        <v>19.440000000000001</v>
      </c>
      <c r="R210" s="660">
        <f t="shared" si="18"/>
        <v>298.24</v>
      </c>
      <c r="S210" s="660">
        <f t="shared" si="18"/>
        <v>2.1</v>
      </c>
      <c r="T210" s="1266">
        <f t="shared" si="17"/>
        <v>5271.0071599999992</v>
      </c>
      <c r="U210" s="1267">
        <f t="shared" ref="U210:V210" si="19">SUM(U159:U209)</f>
        <v>5551.992210983999</v>
      </c>
      <c r="V210" s="660">
        <f t="shared" si="19"/>
        <v>0</v>
      </c>
      <c r="W210" s="6"/>
      <c r="X210" s="54"/>
      <c r="Y210" s="54"/>
      <c r="Z210" s="54"/>
      <c r="AA210" s="54"/>
    </row>
    <row r="211" spans="1:27" ht="15.75">
      <c r="A211" s="702" t="s">
        <v>387</v>
      </c>
      <c r="B211" s="736"/>
      <c r="C211" s="736"/>
      <c r="D211" s="736"/>
      <c r="E211" s="791"/>
      <c r="F211" s="679">
        <f t="shared" ref="F211:S211" si="20">F210+F158+F134+F93+F68</f>
        <v>226.4785</v>
      </c>
      <c r="G211" s="680">
        <f t="shared" si="20"/>
        <v>5</v>
      </c>
      <c r="H211" s="680">
        <f t="shared" si="20"/>
        <v>5</v>
      </c>
      <c r="I211" s="679">
        <f t="shared" si="20"/>
        <v>39.334330000000001</v>
      </c>
      <c r="J211" s="679">
        <f t="shared" si="20"/>
        <v>0</v>
      </c>
      <c r="K211" s="681">
        <f t="shared" si="20"/>
        <v>148.73500000000001</v>
      </c>
      <c r="L211" s="679">
        <f t="shared" si="20"/>
        <v>11</v>
      </c>
      <c r="M211" s="680">
        <f t="shared" si="20"/>
        <v>99.126000000000005</v>
      </c>
      <c r="N211" s="681">
        <f t="shared" si="20"/>
        <v>275.0478</v>
      </c>
      <c r="O211" s="679">
        <f t="shared" si="20"/>
        <v>1233.73945</v>
      </c>
      <c r="P211" s="680">
        <f t="shared" si="20"/>
        <v>6207.407224999999</v>
      </c>
      <c r="Q211" s="681">
        <f t="shared" si="20"/>
        <v>107.12010000000001</v>
      </c>
      <c r="R211" s="680">
        <f t="shared" si="20"/>
        <v>373.77120000000002</v>
      </c>
      <c r="S211" s="680">
        <f t="shared" si="20"/>
        <v>12.56</v>
      </c>
      <c r="T211" s="1268">
        <f t="shared" si="17"/>
        <v>8744.3196049999988</v>
      </c>
      <c r="U211" s="1269">
        <f t="shared" ref="U211:V211" si="21">U210+U158+U134+U93+U68</f>
        <v>9074.6841577054984</v>
      </c>
      <c r="V211" s="679">
        <f t="shared" si="21"/>
        <v>0</v>
      </c>
      <c r="W211" s="643"/>
      <c r="X211" s="3"/>
      <c r="Y211" s="3"/>
      <c r="Z211" s="3"/>
      <c r="AA211" s="3"/>
    </row>
    <row r="212" spans="1:27">
      <c r="A212" s="3"/>
      <c r="B212" s="3"/>
      <c r="C212" s="3"/>
      <c r="D212" s="3"/>
      <c r="E212" s="3"/>
      <c r="F212" s="3"/>
      <c r="G212" s="3"/>
      <c r="H212" s="3"/>
      <c r="I212" s="3"/>
      <c r="J212" s="3"/>
      <c r="K212" s="3"/>
      <c r="L212" s="3"/>
      <c r="M212" s="3"/>
      <c r="N212" s="3"/>
      <c r="O212" s="3"/>
      <c r="P212" s="3"/>
      <c r="Q212" s="3"/>
      <c r="R212" s="3"/>
      <c r="S212" s="3"/>
      <c r="T212" s="57"/>
      <c r="U212" s="57"/>
      <c r="V212" s="18"/>
      <c r="W212" s="150"/>
      <c r="X212" s="3"/>
      <c r="Y212" s="3"/>
      <c r="Z212" s="3"/>
      <c r="AA212" s="3"/>
    </row>
    <row r="213" spans="1:27">
      <c r="A213" s="3"/>
      <c r="B213" s="3"/>
      <c r="C213" s="3"/>
      <c r="D213" s="3"/>
      <c r="E213" s="3"/>
      <c r="F213" s="3"/>
      <c r="G213" s="3"/>
      <c r="H213" s="3"/>
      <c r="I213" s="3"/>
      <c r="J213" s="3"/>
      <c r="K213" s="3"/>
      <c r="L213" s="3"/>
      <c r="M213" s="3"/>
      <c r="N213" s="3"/>
      <c r="O213" s="3"/>
      <c r="P213" s="3"/>
      <c r="Q213" s="3"/>
      <c r="R213" s="3"/>
      <c r="S213" s="3"/>
      <c r="T213" s="3"/>
      <c r="U213" s="3"/>
      <c r="V213" s="18"/>
      <c r="W213" s="3"/>
      <c r="X213" s="3"/>
      <c r="Y213" s="3"/>
      <c r="Z213" s="3"/>
      <c r="AA213" s="3"/>
    </row>
    <row r="214" spans="1:27">
      <c r="A214" s="3"/>
      <c r="B214" s="3"/>
      <c r="C214" s="3"/>
      <c r="D214" s="3"/>
      <c r="E214" s="3"/>
      <c r="F214" s="3"/>
      <c r="G214" s="3"/>
      <c r="H214" s="3"/>
      <c r="I214" s="3"/>
      <c r="J214" s="3"/>
      <c r="K214" s="3"/>
      <c r="L214" s="3"/>
      <c r="M214" s="3"/>
      <c r="N214" s="3"/>
      <c r="O214" s="3"/>
      <c r="P214" s="3"/>
      <c r="Q214" s="3"/>
      <c r="R214" s="3"/>
      <c r="S214" s="3"/>
      <c r="T214" s="3"/>
      <c r="U214" s="3"/>
      <c r="V214" s="18"/>
      <c r="W214" s="3"/>
      <c r="X214" s="3"/>
      <c r="Y214" s="3"/>
      <c r="Z214" s="3"/>
      <c r="AA214" s="3"/>
    </row>
    <row r="215" spans="1:27">
      <c r="A215" s="3"/>
      <c r="B215" s="3"/>
      <c r="C215" s="3"/>
      <c r="D215" s="3"/>
      <c r="E215" s="3"/>
      <c r="F215" s="3"/>
      <c r="G215" s="3"/>
      <c r="H215" s="3"/>
      <c r="I215" s="3"/>
      <c r="J215" s="3"/>
      <c r="K215" s="3"/>
      <c r="L215" s="3"/>
      <c r="M215" s="3"/>
      <c r="N215" s="3"/>
      <c r="O215" s="3"/>
      <c r="P215" s="3"/>
      <c r="Q215" s="3"/>
      <c r="R215" s="3"/>
      <c r="S215" s="3"/>
      <c r="T215" s="3"/>
      <c r="U215" s="3"/>
      <c r="V215" s="18"/>
      <c r="W215" s="3"/>
      <c r="X215" s="3"/>
      <c r="Y215" s="3"/>
      <c r="Z215" s="3"/>
      <c r="AA215" s="3"/>
    </row>
    <row r="216" spans="1:27">
      <c r="A216" s="3"/>
      <c r="B216" s="3"/>
      <c r="C216" s="3"/>
      <c r="D216" s="3"/>
      <c r="E216" s="3"/>
      <c r="F216" s="3"/>
      <c r="G216" s="3"/>
      <c r="H216" s="3"/>
      <c r="I216" s="3"/>
      <c r="J216" s="3"/>
      <c r="K216" s="3"/>
      <c r="L216" s="3"/>
      <c r="M216" s="3"/>
      <c r="N216" s="3"/>
      <c r="O216" s="3"/>
      <c r="P216" s="3"/>
      <c r="Q216" s="3"/>
      <c r="R216" s="3"/>
      <c r="S216" s="3"/>
      <c r="T216" s="3"/>
      <c r="U216" s="3"/>
      <c r="V216" s="18"/>
      <c r="W216" s="3"/>
      <c r="X216" s="3"/>
      <c r="Y216" s="3"/>
      <c r="Z216" s="3"/>
      <c r="AA216" s="3"/>
    </row>
    <row r="217" spans="1:27">
      <c r="A217" s="3"/>
      <c r="B217" s="3"/>
      <c r="C217" s="3"/>
      <c r="D217" s="3"/>
      <c r="E217" s="3"/>
      <c r="F217" s="3"/>
      <c r="G217" s="3"/>
      <c r="H217" s="3"/>
      <c r="I217" s="3"/>
      <c r="J217" s="3"/>
      <c r="K217" s="3"/>
      <c r="L217" s="3"/>
      <c r="M217" s="3"/>
      <c r="N217" s="3"/>
      <c r="O217" s="3"/>
      <c r="P217" s="3"/>
      <c r="Q217" s="3"/>
      <c r="R217" s="3"/>
      <c r="S217" s="3"/>
      <c r="T217" s="3"/>
      <c r="U217" s="3"/>
      <c r="V217" s="18"/>
      <c r="W217" s="3"/>
      <c r="X217" s="3"/>
      <c r="Y217" s="3"/>
      <c r="Z217" s="3"/>
      <c r="AA217" s="3"/>
    </row>
    <row r="218" spans="1:27">
      <c r="A218" s="3"/>
      <c r="B218" s="3"/>
      <c r="C218" s="3"/>
      <c r="D218" s="3"/>
      <c r="E218" s="3"/>
      <c r="F218" s="3"/>
      <c r="G218" s="3"/>
      <c r="H218" s="3"/>
      <c r="I218" s="3"/>
      <c r="J218" s="3"/>
      <c r="K218" s="3"/>
      <c r="L218" s="3"/>
      <c r="M218" s="3"/>
      <c r="N218" s="3"/>
      <c r="O218" s="3"/>
      <c r="P218" s="3"/>
      <c r="Q218" s="3"/>
      <c r="R218" s="3"/>
      <c r="S218" s="3"/>
      <c r="T218" s="3"/>
      <c r="U218" s="3"/>
      <c r="V218" s="18"/>
      <c r="W218" s="3"/>
      <c r="X218" s="3"/>
      <c r="Y218" s="3"/>
      <c r="Z218" s="3"/>
      <c r="AA218" s="3"/>
    </row>
    <row r="219" spans="1:27">
      <c r="A219" s="3"/>
      <c r="B219" s="3"/>
      <c r="C219" s="3"/>
      <c r="D219" s="3"/>
      <c r="E219" s="3"/>
      <c r="F219" s="3"/>
      <c r="G219" s="3"/>
      <c r="H219" s="3"/>
      <c r="I219" s="3"/>
      <c r="J219" s="3"/>
      <c r="K219" s="3"/>
      <c r="L219" s="3"/>
      <c r="M219" s="3"/>
      <c r="N219" s="3"/>
      <c r="O219" s="3"/>
      <c r="P219" s="3"/>
      <c r="Q219" s="3"/>
      <c r="R219" s="3"/>
      <c r="S219" s="3"/>
      <c r="T219" s="3"/>
      <c r="U219" s="3"/>
      <c r="V219" s="18"/>
      <c r="W219" s="3"/>
      <c r="X219" s="3"/>
      <c r="Y219" s="3"/>
      <c r="Z219" s="3"/>
      <c r="AA219" s="3"/>
    </row>
    <row r="220" spans="1:27">
      <c r="A220" s="3"/>
      <c r="B220" s="3"/>
      <c r="C220" s="3"/>
      <c r="D220" s="3"/>
      <c r="E220" s="3"/>
      <c r="F220" s="3"/>
      <c r="G220" s="3"/>
      <c r="H220" s="3"/>
      <c r="I220" s="3"/>
      <c r="J220" s="3"/>
      <c r="K220" s="3"/>
      <c r="L220" s="3"/>
      <c r="M220" s="3"/>
      <c r="N220" s="3"/>
      <c r="O220" s="3"/>
      <c r="P220" s="3"/>
      <c r="Q220" s="3"/>
      <c r="R220" s="3"/>
      <c r="S220" s="3"/>
      <c r="T220" s="3"/>
      <c r="U220" s="3"/>
      <c r="V220" s="18"/>
      <c r="W220" s="3"/>
      <c r="X220" s="3"/>
      <c r="Y220" s="3"/>
      <c r="Z220" s="3"/>
      <c r="AA220" s="3"/>
    </row>
    <row r="221" spans="1:27">
      <c r="A221" s="3"/>
      <c r="B221" s="3"/>
      <c r="C221" s="3"/>
      <c r="D221" s="3"/>
      <c r="E221" s="3"/>
      <c r="F221" s="3"/>
      <c r="G221" s="3"/>
      <c r="H221" s="3"/>
      <c r="I221" s="3"/>
      <c r="J221" s="3"/>
      <c r="K221" s="3"/>
      <c r="L221" s="3"/>
      <c r="M221" s="3"/>
      <c r="N221" s="3"/>
      <c r="O221" s="3"/>
      <c r="P221" s="3"/>
      <c r="Q221" s="3"/>
      <c r="R221" s="3"/>
      <c r="S221" s="3"/>
      <c r="T221" s="3"/>
      <c r="U221" s="3"/>
      <c r="V221" s="18"/>
      <c r="W221" s="3"/>
      <c r="X221" s="3"/>
      <c r="Y221" s="3"/>
      <c r="Z221" s="3"/>
      <c r="AA221" s="3"/>
    </row>
    <row r="222" spans="1:27">
      <c r="A222" s="3"/>
      <c r="B222" s="3"/>
      <c r="C222" s="3"/>
      <c r="D222" s="3"/>
      <c r="E222" s="3"/>
      <c r="F222" s="3"/>
      <c r="G222" s="3"/>
      <c r="H222" s="3"/>
      <c r="I222" s="3"/>
      <c r="J222" s="3"/>
      <c r="K222" s="3"/>
      <c r="L222" s="3"/>
      <c r="M222" s="3"/>
      <c r="N222" s="3"/>
      <c r="O222" s="3"/>
      <c r="P222" s="3"/>
      <c r="Q222" s="3"/>
      <c r="R222" s="3"/>
      <c r="S222" s="3"/>
      <c r="T222" s="3"/>
      <c r="U222" s="3"/>
      <c r="V222" s="18"/>
      <c r="W222" s="3"/>
      <c r="X222" s="3"/>
      <c r="Y222" s="3"/>
      <c r="Z222" s="3"/>
      <c r="AA222" s="3"/>
    </row>
    <row r="223" spans="1:27">
      <c r="A223" s="3"/>
      <c r="B223" s="3"/>
      <c r="C223" s="3"/>
      <c r="D223" s="3"/>
      <c r="E223" s="3"/>
      <c r="F223" s="3"/>
      <c r="G223" s="3"/>
      <c r="H223" s="3"/>
      <c r="I223" s="3"/>
      <c r="J223" s="3"/>
      <c r="K223" s="3"/>
      <c r="L223" s="3"/>
      <c r="M223" s="3"/>
      <c r="N223" s="3"/>
      <c r="O223" s="3"/>
      <c r="P223" s="3"/>
      <c r="Q223" s="3"/>
      <c r="R223" s="3"/>
      <c r="S223" s="3"/>
      <c r="T223" s="3"/>
      <c r="U223" s="3"/>
      <c r="V223" s="18"/>
      <c r="W223" s="3"/>
      <c r="X223" s="3"/>
      <c r="Y223" s="3"/>
      <c r="Z223" s="3"/>
      <c r="AA223" s="3"/>
    </row>
    <row r="224" spans="1:27">
      <c r="A224" s="3"/>
      <c r="B224" s="3"/>
      <c r="C224" s="3"/>
      <c r="D224" s="3"/>
      <c r="E224" s="3"/>
      <c r="F224" s="3"/>
      <c r="G224" s="3"/>
      <c r="H224" s="3"/>
      <c r="I224" s="3"/>
      <c r="J224" s="3"/>
      <c r="K224" s="3"/>
      <c r="L224" s="3"/>
      <c r="M224" s="3"/>
      <c r="N224" s="3"/>
      <c r="O224" s="3"/>
      <c r="P224" s="3"/>
      <c r="Q224" s="3"/>
      <c r="R224" s="3"/>
      <c r="S224" s="3"/>
      <c r="T224" s="3"/>
      <c r="U224" s="3"/>
      <c r="V224" s="18"/>
      <c r="W224" s="3"/>
      <c r="X224" s="3"/>
      <c r="Y224" s="3"/>
      <c r="Z224" s="3"/>
      <c r="AA224" s="3"/>
    </row>
    <row r="225" spans="1:27">
      <c r="A225" s="3"/>
      <c r="B225" s="3"/>
      <c r="C225" s="3"/>
      <c r="D225" s="3"/>
      <c r="E225" s="3"/>
      <c r="F225" s="3"/>
      <c r="G225" s="3"/>
      <c r="H225" s="3"/>
      <c r="I225" s="3"/>
      <c r="J225" s="3"/>
      <c r="K225" s="3"/>
      <c r="L225" s="3"/>
      <c r="M225" s="3"/>
      <c r="N225" s="3"/>
      <c r="O225" s="3"/>
      <c r="P225" s="3"/>
      <c r="Q225" s="3"/>
      <c r="R225" s="3"/>
      <c r="S225" s="3"/>
      <c r="T225" s="3"/>
      <c r="U225" s="3"/>
      <c r="V225" s="18"/>
      <c r="W225" s="3"/>
      <c r="X225" s="3"/>
      <c r="Y225" s="3"/>
      <c r="Z225" s="3"/>
      <c r="AA225" s="3"/>
    </row>
    <row r="226" spans="1:27">
      <c r="A226" s="3"/>
      <c r="B226" s="3"/>
      <c r="C226" s="3"/>
      <c r="D226" s="3"/>
      <c r="E226" s="3"/>
      <c r="F226" s="3"/>
      <c r="G226" s="3"/>
      <c r="H226" s="3"/>
      <c r="I226" s="3"/>
      <c r="J226" s="3"/>
      <c r="K226" s="3"/>
      <c r="L226" s="3"/>
      <c r="M226" s="3"/>
      <c r="N226" s="3"/>
      <c r="O226" s="3"/>
      <c r="P226" s="3"/>
      <c r="Q226" s="3"/>
      <c r="R226" s="3"/>
      <c r="S226" s="3"/>
      <c r="T226" s="3"/>
      <c r="U226" s="3"/>
      <c r="V226" s="18"/>
      <c r="W226" s="3"/>
      <c r="X226" s="3"/>
      <c r="Y226" s="3"/>
      <c r="Z226" s="3"/>
      <c r="AA226" s="3"/>
    </row>
    <row r="227" spans="1:27">
      <c r="A227" s="3"/>
      <c r="B227" s="3"/>
      <c r="C227" s="3"/>
      <c r="D227" s="3"/>
      <c r="E227" s="3"/>
      <c r="F227" s="3"/>
      <c r="G227" s="3"/>
      <c r="H227" s="3"/>
      <c r="I227" s="3"/>
      <c r="J227" s="3"/>
      <c r="K227" s="3"/>
      <c r="L227" s="3"/>
      <c r="M227" s="3"/>
      <c r="N227" s="3"/>
      <c r="O227" s="3"/>
      <c r="P227" s="3"/>
      <c r="Q227" s="3"/>
      <c r="R227" s="3"/>
      <c r="S227" s="3"/>
      <c r="T227" s="3"/>
      <c r="U227" s="3"/>
      <c r="V227" s="18"/>
      <c r="W227" s="3"/>
      <c r="X227" s="3"/>
      <c r="Y227" s="3"/>
      <c r="Z227" s="3"/>
      <c r="AA227" s="3"/>
    </row>
    <row r="228" spans="1:27">
      <c r="A228" s="3"/>
      <c r="B228" s="3"/>
      <c r="C228" s="3"/>
      <c r="D228" s="3"/>
      <c r="E228" s="3"/>
      <c r="F228" s="3"/>
      <c r="G228" s="3"/>
      <c r="H228" s="3"/>
      <c r="I228" s="3"/>
      <c r="J228" s="3"/>
      <c r="K228" s="3"/>
      <c r="L228" s="3"/>
      <c r="M228" s="3"/>
      <c r="N228" s="3"/>
      <c r="O228" s="3"/>
      <c r="P228" s="3"/>
      <c r="Q228" s="3"/>
      <c r="R228" s="3"/>
      <c r="S228" s="3"/>
      <c r="T228" s="3"/>
      <c r="U228" s="3"/>
      <c r="V228" s="18"/>
      <c r="W228" s="3"/>
      <c r="X228" s="3"/>
      <c r="Y228" s="3"/>
      <c r="Z228" s="3"/>
      <c r="AA228" s="3"/>
    </row>
    <row r="229" spans="1:27">
      <c r="A229" s="3"/>
      <c r="B229" s="3"/>
      <c r="C229" s="3"/>
      <c r="D229" s="3"/>
      <c r="E229" s="3"/>
      <c r="F229" s="3"/>
      <c r="G229" s="3"/>
      <c r="H229" s="3"/>
      <c r="I229" s="3"/>
      <c r="J229" s="3"/>
      <c r="K229" s="3"/>
      <c r="L229" s="3"/>
      <c r="M229" s="3"/>
      <c r="N229" s="3"/>
      <c r="O229" s="3"/>
      <c r="P229" s="3"/>
      <c r="Q229" s="3"/>
      <c r="R229" s="3"/>
      <c r="S229" s="3"/>
      <c r="T229" s="3"/>
      <c r="U229" s="3"/>
      <c r="V229" s="18"/>
      <c r="W229" s="3"/>
      <c r="X229" s="3"/>
      <c r="Y229" s="3"/>
      <c r="Z229" s="3"/>
      <c r="AA229" s="3"/>
    </row>
    <row r="230" spans="1:27">
      <c r="A230" s="3"/>
      <c r="B230" s="3"/>
      <c r="C230" s="3"/>
      <c r="D230" s="3"/>
      <c r="E230" s="3"/>
      <c r="F230" s="3"/>
      <c r="G230" s="3"/>
      <c r="H230" s="3"/>
      <c r="I230" s="3"/>
      <c r="J230" s="3"/>
      <c r="K230" s="3"/>
      <c r="L230" s="3"/>
      <c r="M230" s="3"/>
      <c r="N230" s="3"/>
      <c r="O230" s="3"/>
      <c r="P230" s="3"/>
      <c r="Q230" s="3"/>
      <c r="R230" s="3"/>
      <c r="S230" s="3"/>
      <c r="T230" s="3"/>
      <c r="U230" s="3"/>
      <c r="V230" s="18"/>
      <c r="W230" s="3"/>
      <c r="X230" s="3"/>
      <c r="Y230" s="3"/>
      <c r="Z230" s="3"/>
      <c r="AA230" s="3"/>
    </row>
    <row r="231" spans="1:27">
      <c r="A231" s="3"/>
      <c r="B231" s="3"/>
      <c r="C231" s="3"/>
      <c r="D231" s="3"/>
      <c r="E231" s="3"/>
      <c r="F231" s="3"/>
      <c r="G231" s="3"/>
      <c r="H231" s="3"/>
      <c r="I231" s="3"/>
      <c r="J231" s="3"/>
      <c r="K231" s="3"/>
      <c r="L231" s="3"/>
      <c r="M231" s="3"/>
      <c r="N231" s="3"/>
      <c r="O231" s="3"/>
      <c r="P231" s="3"/>
      <c r="Q231" s="3"/>
      <c r="R231" s="3"/>
      <c r="S231" s="3"/>
      <c r="T231" s="3"/>
      <c r="U231" s="3"/>
      <c r="V231" s="18"/>
      <c r="W231" s="3"/>
      <c r="X231" s="3"/>
      <c r="Y231" s="3"/>
      <c r="Z231" s="3"/>
      <c r="AA231" s="3"/>
    </row>
    <row r="232" spans="1:27">
      <c r="A232" s="3"/>
      <c r="B232" s="3"/>
      <c r="C232" s="3"/>
      <c r="D232" s="3"/>
      <c r="E232" s="3"/>
      <c r="F232" s="3"/>
      <c r="G232" s="3"/>
      <c r="H232" s="3"/>
      <c r="I232" s="3"/>
      <c r="J232" s="3"/>
      <c r="K232" s="3"/>
      <c r="L232" s="3"/>
      <c r="M232" s="3"/>
      <c r="N232" s="3"/>
      <c r="O232" s="3"/>
      <c r="P232" s="3"/>
      <c r="Q232" s="3"/>
      <c r="R232" s="3"/>
      <c r="S232" s="3"/>
      <c r="T232" s="3"/>
      <c r="U232" s="3"/>
      <c r="V232" s="18"/>
      <c r="W232" s="3"/>
      <c r="X232" s="3"/>
      <c r="Y232" s="3"/>
      <c r="Z232" s="3"/>
      <c r="AA232" s="3"/>
    </row>
    <row r="233" spans="1:27">
      <c r="A233" s="3"/>
      <c r="B233" s="3"/>
      <c r="C233" s="3"/>
      <c r="D233" s="3"/>
      <c r="E233" s="3"/>
      <c r="F233" s="3"/>
      <c r="G233" s="3"/>
      <c r="H233" s="3"/>
      <c r="I233" s="3"/>
      <c r="J233" s="3"/>
      <c r="K233" s="3"/>
      <c r="L233" s="3"/>
      <c r="M233" s="3"/>
      <c r="N233" s="3"/>
      <c r="O233" s="3"/>
      <c r="P233" s="3"/>
      <c r="Q233" s="3"/>
      <c r="R233" s="3"/>
      <c r="S233" s="3"/>
      <c r="T233" s="3"/>
      <c r="U233" s="3"/>
      <c r="V233" s="18"/>
      <c r="W233" s="3"/>
      <c r="X233" s="3"/>
      <c r="Y233" s="3"/>
      <c r="Z233" s="3"/>
      <c r="AA233" s="3"/>
    </row>
    <row r="234" spans="1:27">
      <c r="A234" s="3"/>
      <c r="B234" s="3"/>
      <c r="C234" s="3"/>
      <c r="D234" s="3"/>
      <c r="E234" s="3"/>
      <c r="F234" s="3"/>
      <c r="G234" s="3"/>
      <c r="H234" s="3"/>
      <c r="I234" s="3"/>
      <c r="J234" s="3"/>
      <c r="K234" s="3"/>
      <c r="L234" s="3"/>
      <c r="M234" s="3"/>
      <c r="N234" s="3"/>
      <c r="O234" s="3"/>
      <c r="P234" s="3"/>
      <c r="Q234" s="3"/>
      <c r="R234" s="3"/>
      <c r="S234" s="3"/>
      <c r="T234" s="3"/>
      <c r="U234" s="3"/>
      <c r="V234" s="18"/>
      <c r="W234" s="3"/>
      <c r="X234" s="3"/>
      <c r="Y234" s="3"/>
      <c r="Z234" s="3"/>
      <c r="AA234" s="3"/>
    </row>
    <row r="235" spans="1:27">
      <c r="A235" s="3"/>
      <c r="B235" s="3"/>
      <c r="C235" s="3"/>
      <c r="D235" s="3"/>
      <c r="E235" s="3"/>
      <c r="F235" s="3"/>
      <c r="G235" s="3"/>
      <c r="H235" s="3"/>
      <c r="I235" s="3"/>
      <c r="J235" s="3"/>
      <c r="K235" s="3"/>
      <c r="L235" s="3"/>
      <c r="M235" s="3"/>
      <c r="N235" s="3"/>
      <c r="O235" s="3"/>
      <c r="P235" s="3"/>
      <c r="Q235" s="3"/>
      <c r="R235" s="3"/>
      <c r="S235" s="3"/>
      <c r="T235" s="3"/>
      <c r="U235" s="3"/>
      <c r="V235" s="18"/>
      <c r="W235" s="3"/>
      <c r="X235" s="3"/>
      <c r="Y235" s="3"/>
      <c r="Z235" s="3"/>
      <c r="AA235" s="3"/>
    </row>
    <row r="236" spans="1:27">
      <c r="A236" s="3"/>
      <c r="B236" s="3"/>
      <c r="C236" s="3"/>
      <c r="D236" s="3"/>
      <c r="E236" s="3"/>
      <c r="F236" s="3"/>
      <c r="G236" s="3"/>
      <c r="H236" s="3"/>
      <c r="I236" s="3"/>
      <c r="J236" s="3"/>
      <c r="K236" s="3"/>
      <c r="L236" s="3"/>
      <c r="M236" s="3"/>
      <c r="N236" s="3"/>
      <c r="O236" s="3"/>
      <c r="P236" s="3"/>
      <c r="Q236" s="3"/>
      <c r="R236" s="3"/>
      <c r="S236" s="3"/>
      <c r="T236" s="3"/>
      <c r="U236" s="3"/>
      <c r="V236" s="18"/>
      <c r="W236" s="3"/>
      <c r="X236" s="3"/>
      <c r="Y236" s="3"/>
      <c r="Z236" s="3"/>
      <c r="AA236" s="3"/>
    </row>
    <row r="237" spans="1:27">
      <c r="A237" s="3"/>
      <c r="B237" s="3"/>
      <c r="C237" s="3"/>
      <c r="D237" s="3"/>
      <c r="E237" s="3"/>
      <c r="F237" s="3"/>
      <c r="G237" s="3"/>
      <c r="H237" s="3"/>
      <c r="I237" s="3"/>
      <c r="J237" s="3"/>
      <c r="K237" s="3"/>
      <c r="L237" s="3"/>
      <c r="M237" s="3"/>
      <c r="N237" s="3"/>
      <c r="O237" s="3"/>
      <c r="P237" s="3"/>
      <c r="Q237" s="3"/>
      <c r="R237" s="3"/>
      <c r="S237" s="3"/>
      <c r="T237" s="3"/>
      <c r="U237" s="3"/>
      <c r="V237" s="18"/>
      <c r="W237" s="3"/>
      <c r="X237" s="3"/>
      <c r="Y237" s="3"/>
      <c r="Z237" s="3"/>
      <c r="AA237" s="3"/>
    </row>
    <row r="238" spans="1:27">
      <c r="A238" s="3"/>
      <c r="B238" s="3"/>
      <c r="C238" s="3"/>
      <c r="D238" s="3"/>
      <c r="E238" s="3"/>
      <c r="F238" s="3"/>
      <c r="G238" s="3"/>
      <c r="H238" s="3"/>
      <c r="I238" s="3"/>
      <c r="J238" s="3"/>
      <c r="K238" s="3"/>
      <c r="L238" s="3"/>
      <c r="M238" s="3"/>
      <c r="N238" s="3"/>
      <c r="O238" s="3"/>
      <c r="P238" s="3"/>
      <c r="Q238" s="3"/>
      <c r="R238" s="3"/>
      <c r="S238" s="3"/>
      <c r="T238" s="3"/>
      <c r="U238" s="3"/>
      <c r="V238" s="18"/>
      <c r="W238" s="3"/>
      <c r="X238" s="3"/>
      <c r="Y238" s="3"/>
      <c r="Z238" s="3"/>
      <c r="AA238" s="3"/>
    </row>
    <row r="239" spans="1:27">
      <c r="A239" s="3"/>
      <c r="B239" s="3"/>
      <c r="C239" s="3"/>
      <c r="D239" s="3"/>
      <c r="E239" s="3"/>
      <c r="F239" s="3"/>
      <c r="G239" s="3"/>
      <c r="H239" s="3"/>
      <c r="I239" s="3"/>
      <c r="J239" s="3"/>
      <c r="K239" s="3"/>
      <c r="L239" s="3"/>
      <c r="M239" s="3"/>
      <c r="N239" s="3"/>
      <c r="O239" s="3"/>
      <c r="P239" s="3"/>
      <c r="Q239" s="3"/>
      <c r="R239" s="3"/>
      <c r="S239" s="3"/>
      <c r="T239" s="3"/>
      <c r="U239" s="3"/>
      <c r="V239" s="18"/>
      <c r="W239" s="3"/>
      <c r="X239" s="3"/>
      <c r="Y239" s="3"/>
      <c r="Z239" s="3"/>
      <c r="AA239" s="3"/>
    </row>
    <row r="240" spans="1:27">
      <c r="A240" s="3"/>
      <c r="B240" s="3"/>
      <c r="C240" s="3"/>
      <c r="D240" s="3"/>
      <c r="E240" s="3"/>
      <c r="F240" s="3"/>
      <c r="G240" s="3"/>
      <c r="H240" s="3"/>
      <c r="I240" s="3"/>
      <c r="J240" s="3"/>
      <c r="K240" s="3"/>
      <c r="L240" s="3"/>
      <c r="M240" s="3"/>
      <c r="N240" s="3"/>
      <c r="O240" s="3"/>
      <c r="P240" s="3"/>
      <c r="Q240" s="3"/>
      <c r="R240" s="3"/>
      <c r="S240" s="3"/>
      <c r="T240" s="3"/>
      <c r="U240" s="3"/>
      <c r="V240" s="18"/>
      <c r="W240" s="3"/>
      <c r="X240" s="3"/>
      <c r="Y240" s="3"/>
      <c r="Z240" s="3"/>
      <c r="AA240" s="3"/>
    </row>
    <row r="241" spans="1:27">
      <c r="A241" s="3"/>
      <c r="B241" s="3"/>
      <c r="C241" s="3"/>
      <c r="D241" s="3"/>
      <c r="E241" s="3"/>
      <c r="F241" s="3"/>
      <c r="G241" s="3"/>
      <c r="H241" s="3"/>
      <c r="I241" s="3"/>
      <c r="J241" s="3"/>
      <c r="K241" s="3"/>
      <c r="L241" s="3"/>
      <c r="M241" s="3"/>
      <c r="N241" s="3"/>
      <c r="O241" s="3"/>
      <c r="P241" s="3"/>
      <c r="Q241" s="3"/>
      <c r="R241" s="3"/>
      <c r="S241" s="3"/>
      <c r="T241" s="3"/>
      <c r="U241" s="3"/>
      <c r="V241" s="18"/>
      <c r="W241" s="3"/>
      <c r="X241" s="3"/>
      <c r="Y241" s="3"/>
      <c r="Z241" s="3"/>
      <c r="AA241" s="3"/>
    </row>
    <row r="242" spans="1:27">
      <c r="A242" s="3"/>
      <c r="B242" s="3"/>
      <c r="C242" s="3"/>
      <c r="D242" s="3"/>
      <c r="E242" s="3"/>
      <c r="F242" s="3"/>
      <c r="G242" s="3"/>
      <c r="H242" s="3"/>
      <c r="I242" s="3"/>
      <c r="J242" s="3"/>
      <c r="K242" s="3"/>
      <c r="L242" s="3"/>
      <c r="M242" s="3"/>
      <c r="N242" s="3"/>
      <c r="O242" s="3"/>
      <c r="P242" s="3"/>
      <c r="Q242" s="3"/>
      <c r="R242" s="3"/>
      <c r="S242" s="3"/>
      <c r="T242" s="3"/>
      <c r="U242" s="3"/>
      <c r="V242" s="18"/>
      <c r="W242" s="3"/>
      <c r="X242" s="3"/>
      <c r="Y242" s="3"/>
      <c r="Z242" s="3"/>
      <c r="AA242" s="3"/>
    </row>
    <row r="243" spans="1:27">
      <c r="A243" s="3"/>
      <c r="B243" s="3"/>
      <c r="C243" s="3"/>
      <c r="D243" s="3"/>
      <c r="E243" s="3"/>
      <c r="F243" s="3"/>
      <c r="G243" s="3"/>
      <c r="H243" s="3"/>
      <c r="I243" s="3"/>
      <c r="J243" s="3"/>
      <c r="K243" s="3"/>
      <c r="L243" s="3"/>
      <c r="M243" s="3"/>
      <c r="N243" s="3"/>
      <c r="O243" s="3"/>
      <c r="P243" s="3"/>
      <c r="Q243" s="3"/>
      <c r="R243" s="3"/>
      <c r="S243" s="3"/>
      <c r="T243" s="3"/>
      <c r="U243" s="3"/>
      <c r="V243" s="18"/>
      <c r="W243" s="3"/>
      <c r="X243" s="3"/>
      <c r="Y243" s="3"/>
      <c r="Z243" s="3"/>
      <c r="AA243" s="3"/>
    </row>
    <row r="244" spans="1:27">
      <c r="A244" s="3"/>
      <c r="B244" s="3"/>
      <c r="C244" s="3"/>
      <c r="D244" s="3"/>
      <c r="E244" s="3"/>
      <c r="F244" s="3"/>
      <c r="G244" s="3"/>
      <c r="H244" s="3"/>
      <c r="I244" s="3"/>
      <c r="J244" s="3"/>
      <c r="K244" s="3"/>
      <c r="L244" s="3"/>
      <c r="M244" s="3"/>
      <c r="N244" s="3"/>
      <c r="O244" s="3"/>
      <c r="P244" s="3"/>
      <c r="Q244" s="3"/>
      <c r="R244" s="3"/>
      <c r="S244" s="3"/>
      <c r="T244" s="3"/>
      <c r="U244" s="3"/>
      <c r="V244" s="18"/>
      <c r="W244" s="3"/>
      <c r="X244" s="3"/>
      <c r="Y244" s="3"/>
      <c r="Z244" s="3"/>
      <c r="AA244" s="3"/>
    </row>
    <row r="245" spans="1:27">
      <c r="A245" s="3"/>
      <c r="B245" s="3"/>
      <c r="C245" s="3"/>
      <c r="D245" s="3"/>
      <c r="E245" s="3"/>
      <c r="F245" s="3"/>
      <c r="G245" s="3"/>
      <c r="H245" s="3"/>
      <c r="I245" s="3"/>
      <c r="J245" s="3"/>
      <c r="K245" s="3"/>
      <c r="L245" s="3"/>
      <c r="M245" s="3"/>
      <c r="N245" s="3"/>
      <c r="O245" s="3"/>
      <c r="P245" s="3"/>
      <c r="Q245" s="3"/>
      <c r="R245" s="3"/>
      <c r="S245" s="3"/>
      <c r="T245" s="3"/>
      <c r="U245" s="3"/>
      <c r="V245" s="18"/>
      <c r="W245" s="3"/>
      <c r="X245" s="3"/>
      <c r="Y245" s="3"/>
      <c r="Z245" s="3"/>
      <c r="AA245" s="3"/>
    </row>
    <row r="246" spans="1:27">
      <c r="A246" s="3"/>
      <c r="B246" s="3"/>
      <c r="C246" s="3"/>
      <c r="D246" s="3"/>
      <c r="E246" s="3"/>
      <c r="F246" s="3"/>
      <c r="G246" s="3"/>
      <c r="H246" s="3"/>
      <c r="I246" s="3"/>
      <c r="J246" s="3"/>
      <c r="K246" s="3"/>
      <c r="L246" s="3"/>
      <c r="M246" s="3"/>
      <c r="N246" s="3"/>
      <c r="O246" s="3"/>
      <c r="P246" s="3"/>
      <c r="Q246" s="3"/>
      <c r="R246" s="3"/>
      <c r="S246" s="3"/>
      <c r="T246" s="3"/>
      <c r="U246" s="3"/>
      <c r="V246" s="18"/>
      <c r="W246" s="3"/>
      <c r="X246" s="3"/>
      <c r="Y246" s="3"/>
      <c r="Z246" s="3"/>
      <c r="AA246" s="3"/>
    </row>
    <row r="247" spans="1:27">
      <c r="A247" s="3"/>
      <c r="B247" s="3"/>
      <c r="C247" s="3"/>
      <c r="D247" s="3"/>
      <c r="E247" s="3"/>
      <c r="F247" s="3"/>
      <c r="G247" s="3"/>
      <c r="H247" s="3"/>
      <c r="I247" s="3"/>
      <c r="J247" s="3"/>
      <c r="K247" s="3"/>
      <c r="L247" s="3"/>
      <c r="M247" s="3"/>
      <c r="N247" s="3"/>
      <c r="O247" s="3"/>
      <c r="P247" s="3"/>
      <c r="Q247" s="3"/>
      <c r="R247" s="3"/>
      <c r="S247" s="3"/>
      <c r="T247" s="3"/>
      <c r="U247" s="3"/>
      <c r="V247" s="18"/>
      <c r="W247" s="3"/>
      <c r="X247" s="3"/>
      <c r="Y247" s="3"/>
      <c r="Z247" s="3"/>
      <c r="AA247" s="3"/>
    </row>
    <row r="248" spans="1:27">
      <c r="A248" s="3"/>
      <c r="B248" s="3"/>
      <c r="C248" s="3"/>
      <c r="D248" s="3"/>
      <c r="E248" s="3"/>
      <c r="F248" s="3"/>
      <c r="G248" s="3"/>
      <c r="H248" s="3"/>
      <c r="I248" s="3"/>
      <c r="J248" s="3"/>
      <c r="K248" s="3"/>
      <c r="L248" s="3"/>
      <c r="M248" s="3"/>
      <c r="N248" s="3"/>
      <c r="O248" s="3"/>
      <c r="P248" s="3"/>
      <c r="Q248" s="3"/>
      <c r="R248" s="3"/>
      <c r="S248" s="3"/>
      <c r="T248" s="3"/>
      <c r="U248" s="3"/>
      <c r="V248" s="18"/>
      <c r="W248" s="3"/>
      <c r="X248" s="3"/>
      <c r="Y248" s="3"/>
      <c r="Z248" s="3"/>
      <c r="AA248" s="3"/>
    </row>
    <row r="249" spans="1:27">
      <c r="A249" s="3"/>
      <c r="B249" s="3"/>
      <c r="C249" s="3"/>
      <c r="D249" s="3"/>
      <c r="E249" s="3"/>
      <c r="F249" s="3"/>
      <c r="G249" s="3"/>
      <c r="H249" s="3"/>
      <c r="I249" s="3"/>
      <c r="J249" s="3"/>
      <c r="K249" s="3"/>
      <c r="L249" s="3"/>
      <c r="M249" s="3"/>
      <c r="N249" s="3"/>
      <c r="O249" s="3"/>
      <c r="P249" s="3"/>
      <c r="Q249" s="3"/>
      <c r="R249" s="3"/>
      <c r="S249" s="3"/>
      <c r="T249" s="3"/>
      <c r="U249" s="3"/>
      <c r="V249" s="18"/>
      <c r="W249" s="3"/>
      <c r="X249" s="3"/>
      <c r="Y249" s="3"/>
      <c r="Z249" s="3"/>
      <c r="AA249" s="3"/>
    </row>
    <row r="250" spans="1:27">
      <c r="A250" s="3"/>
      <c r="B250" s="3"/>
      <c r="C250" s="3"/>
      <c r="D250" s="3"/>
      <c r="E250" s="3"/>
      <c r="F250" s="3"/>
      <c r="G250" s="3"/>
      <c r="H250" s="3"/>
      <c r="I250" s="3"/>
      <c r="J250" s="3"/>
      <c r="K250" s="3"/>
      <c r="L250" s="3"/>
      <c r="M250" s="3"/>
      <c r="N250" s="3"/>
      <c r="O250" s="3"/>
      <c r="P250" s="3"/>
      <c r="Q250" s="3"/>
      <c r="R250" s="3"/>
      <c r="S250" s="3"/>
      <c r="T250" s="3"/>
      <c r="U250" s="3"/>
      <c r="V250" s="18"/>
      <c r="W250" s="3"/>
      <c r="X250" s="3"/>
      <c r="Y250" s="3"/>
      <c r="Z250" s="3"/>
      <c r="AA250" s="3"/>
    </row>
    <row r="251" spans="1:27">
      <c r="A251" s="3"/>
      <c r="B251" s="3"/>
      <c r="C251" s="3"/>
      <c r="D251" s="3"/>
      <c r="E251" s="3"/>
      <c r="F251" s="3"/>
      <c r="G251" s="3"/>
      <c r="H251" s="3"/>
      <c r="I251" s="3"/>
      <c r="J251" s="3"/>
      <c r="K251" s="3"/>
      <c r="L251" s="3"/>
      <c r="M251" s="3"/>
      <c r="N251" s="3"/>
      <c r="O251" s="3"/>
      <c r="P251" s="3"/>
      <c r="Q251" s="3"/>
      <c r="R251" s="3"/>
      <c r="S251" s="3"/>
      <c r="T251" s="3"/>
      <c r="U251" s="3"/>
      <c r="V251" s="18"/>
      <c r="W251" s="3"/>
      <c r="X251" s="3"/>
      <c r="Y251" s="3"/>
      <c r="Z251" s="3"/>
      <c r="AA251" s="3"/>
    </row>
    <row r="252" spans="1:27">
      <c r="A252" s="3"/>
      <c r="B252" s="3"/>
      <c r="C252" s="3"/>
      <c r="D252" s="3"/>
      <c r="E252" s="3"/>
      <c r="F252" s="3"/>
      <c r="G252" s="3"/>
      <c r="H252" s="3"/>
      <c r="I252" s="3"/>
      <c r="J252" s="3"/>
      <c r="K252" s="3"/>
      <c r="L252" s="3"/>
      <c r="M252" s="3"/>
      <c r="N252" s="3"/>
      <c r="O252" s="3"/>
      <c r="P252" s="3"/>
      <c r="Q252" s="3"/>
      <c r="R252" s="3"/>
      <c r="S252" s="3"/>
      <c r="T252" s="3"/>
      <c r="U252" s="3"/>
      <c r="V252" s="18"/>
      <c r="W252" s="3"/>
      <c r="X252" s="3"/>
      <c r="Y252" s="3"/>
      <c r="Z252" s="3"/>
      <c r="AA252" s="3"/>
    </row>
    <row r="253" spans="1:27">
      <c r="A253" s="3"/>
      <c r="B253" s="3"/>
      <c r="C253" s="3"/>
      <c r="D253" s="3"/>
      <c r="E253" s="3"/>
      <c r="F253" s="3"/>
      <c r="G253" s="3"/>
      <c r="H253" s="3"/>
      <c r="I253" s="3"/>
      <c r="J253" s="3"/>
      <c r="K253" s="3"/>
      <c r="L253" s="3"/>
      <c r="M253" s="3"/>
      <c r="N253" s="3"/>
      <c r="O253" s="3"/>
      <c r="P253" s="3"/>
      <c r="Q253" s="3"/>
      <c r="R253" s="3"/>
      <c r="S253" s="3"/>
      <c r="T253" s="3"/>
      <c r="U253" s="3"/>
      <c r="V253" s="18"/>
      <c r="W253" s="3"/>
      <c r="X253" s="3"/>
      <c r="Y253" s="3"/>
      <c r="Z253" s="3"/>
      <c r="AA253" s="3"/>
    </row>
    <row r="254" spans="1:27">
      <c r="A254" s="3"/>
      <c r="B254" s="3"/>
      <c r="C254" s="3"/>
      <c r="D254" s="3"/>
      <c r="E254" s="3"/>
      <c r="F254" s="3"/>
      <c r="G254" s="3"/>
      <c r="H254" s="3"/>
      <c r="I254" s="3"/>
      <c r="J254" s="3"/>
      <c r="K254" s="3"/>
      <c r="L254" s="3"/>
      <c r="M254" s="3"/>
      <c r="N254" s="3"/>
      <c r="O254" s="3"/>
      <c r="P254" s="3"/>
      <c r="Q254" s="3"/>
      <c r="R254" s="3"/>
      <c r="S254" s="3"/>
      <c r="T254" s="3"/>
      <c r="U254" s="3"/>
      <c r="V254" s="18"/>
      <c r="W254" s="3"/>
      <c r="X254" s="3"/>
      <c r="Y254" s="3"/>
      <c r="Z254" s="3"/>
      <c r="AA254" s="3"/>
    </row>
    <row r="255" spans="1:27">
      <c r="A255" s="3"/>
      <c r="B255" s="3"/>
      <c r="C255" s="3"/>
      <c r="D255" s="3"/>
      <c r="E255" s="3"/>
      <c r="F255" s="3"/>
      <c r="G255" s="3"/>
      <c r="H255" s="3"/>
      <c r="I255" s="3"/>
      <c r="J255" s="3"/>
      <c r="K255" s="3"/>
      <c r="L255" s="3"/>
      <c r="M255" s="3"/>
      <c r="N255" s="3"/>
      <c r="O255" s="3"/>
      <c r="P255" s="3"/>
      <c r="Q255" s="3"/>
      <c r="R255" s="3"/>
      <c r="S255" s="3"/>
      <c r="T255" s="3"/>
      <c r="U255" s="3"/>
      <c r="V255" s="18"/>
      <c r="W255" s="3"/>
      <c r="X255" s="3"/>
      <c r="Y255" s="3"/>
      <c r="Z255" s="3"/>
      <c r="AA255" s="3"/>
    </row>
    <row r="256" spans="1:27">
      <c r="A256" s="3"/>
      <c r="B256" s="3"/>
      <c r="C256" s="3"/>
      <c r="D256" s="3"/>
      <c r="E256" s="3"/>
      <c r="F256" s="3"/>
      <c r="G256" s="3"/>
      <c r="H256" s="3"/>
      <c r="I256" s="3"/>
      <c r="J256" s="3"/>
      <c r="K256" s="3"/>
      <c r="L256" s="3"/>
      <c r="M256" s="3"/>
      <c r="N256" s="3"/>
      <c r="O256" s="3"/>
      <c r="P256" s="3"/>
      <c r="Q256" s="3"/>
      <c r="R256" s="3"/>
      <c r="S256" s="3"/>
      <c r="T256" s="3"/>
      <c r="U256" s="3"/>
      <c r="V256" s="18"/>
      <c r="W256" s="3"/>
      <c r="X256" s="3"/>
      <c r="Y256" s="3"/>
      <c r="Z256" s="3"/>
      <c r="AA256" s="3"/>
    </row>
    <row r="257" spans="1:27">
      <c r="A257" s="3"/>
      <c r="B257" s="3"/>
      <c r="C257" s="3"/>
      <c r="D257" s="3"/>
      <c r="E257" s="3"/>
      <c r="F257" s="3"/>
      <c r="G257" s="3"/>
      <c r="H257" s="3"/>
      <c r="I257" s="3"/>
      <c r="J257" s="3"/>
      <c r="K257" s="3"/>
      <c r="L257" s="3"/>
      <c r="M257" s="3"/>
      <c r="N257" s="3"/>
      <c r="O257" s="3"/>
      <c r="P257" s="3"/>
      <c r="Q257" s="3"/>
      <c r="R257" s="3"/>
      <c r="S257" s="3"/>
      <c r="T257" s="3"/>
      <c r="U257" s="3"/>
      <c r="V257" s="18"/>
      <c r="W257" s="3"/>
      <c r="X257" s="3"/>
      <c r="Y257" s="3"/>
      <c r="Z257" s="3"/>
      <c r="AA257" s="3"/>
    </row>
    <row r="258" spans="1:27">
      <c r="A258" s="3"/>
      <c r="B258" s="3"/>
      <c r="C258" s="3"/>
      <c r="D258" s="3"/>
      <c r="E258" s="3"/>
      <c r="F258" s="3"/>
      <c r="G258" s="3"/>
      <c r="H258" s="3"/>
      <c r="I258" s="3"/>
      <c r="J258" s="3"/>
      <c r="K258" s="3"/>
      <c r="L258" s="3"/>
      <c r="M258" s="3"/>
      <c r="N258" s="3"/>
      <c r="O258" s="3"/>
      <c r="P258" s="3"/>
      <c r="Q258" s="3"/>
      <c r="R258" s="3"/>
      <c r="S258" s="3"/>
      <c r="T258" s="3"/>
      <c r="U258" s="3"/>
      <c r="V258" s="18"/>
      <c r="W258" s="3"/>
      <c r="X258" s="3"/>
      <c r="Y258" s="3"/>
      <c r="Z258" s="3"/>
      <c r="AA258" s="3"/>
    </row>
    <row r="259" spans="1:27">
      <c r="A259" s="3"/>
      <c r="B259" s="3"/>
      <c r="C259" s="3"/>
      <c r="D259" s="3"/>
      <c r="E259" s="3"/>
      <c r="F259" s="3"/>
      <c r="G259" s="3"/>
      <c r="H259" s="3"/>
      <c r="I259" s="3"/>
      <c r="J259" s="3"/>
      <c r="K259" s="3"/>
      <c r="L259" s="3"/>
      <c r="M259" s="3"/>
      <c r="N259" s="3"/>
      <c r="O259" s="3"/>
      <c r="P259" s="3"/>
      <c r="Q259" s="3"/>
      <c r="R259" s="3"/>
      <c r="S259" s="3"/>
      <c r="T259" s="3"/>
      <c r="U259" s="3"/>
      <c r="V259" s="18"/>
      <c r="W259" s="3"/>
      <c r="X259" s="3"/>
      <c r="Y259" s="3"/>
      <c r="Z259" s="3"/>
      <c r="AA259" s="3"/>
    </row>
    <row r="260" spans="1:27">
      <c r="A260" s="3"/>
      <c r="B260" s="3"/>
      <c r="C260" s="3"/>
      <c r="D260" s="3"/>
      <c r="E260" s="3"/>
      <c r="F260" s="3"/>
      <c r="G260" s="3"/>
      <c r="H260" s="3"/>
      <c r="I260" s="3"/>
      <c r="J260" s="3"/>
      <c r="K260" s="3"/>
      <c r="L260" s="3"/>
      <c r="M260" s="3"/>
      <c r="N260" s="3"/>
      <c r="O260" s="3"/>
      <c r="P260" s="3"/>
      <c r="Q260" s="3"/>
      <c r="R260" s="3"/>
      <c r="S260" s="3"/>
      <c r="T260" s="3"/>
      <c r="U260" s="3"/>
      <c r="V260" s="18"/>
      <c r="W260" s="3"/>
      <c r="X260" s="3"/>
      <c r="Y260" s="3"/>
      <c r="Z260" s="3"/>
      <c r="AA260" s="3"/>
    </row>
    <row r="261" spans="1:27">
      <c r="A261" s="3"/>
      <c r="B261" s="3"/>
      <c r="C261" s="3"/>
      <c r="D261" s="3"/>
      <c r="E261" s="3"/>
      <c r="F261" s="3"/>
      <c r="G261" s="3"/>
      <c r="H261" s="3"/>
      <c r="I261" s="3"/>
      <c r="J261" s="3"/>
      <c r="K261" s="3"/>
      <c r="L261" s="3"/>
      <c r="M261" s="3"/>
      <c r="N261" s="3"/>
      <c r="O261" s="3"/>
      <c r="P261" s="3"/>
      <c r="Q261" s="3"/>
      <c r="R261" s="3"/>
      <c r="S261" s="3"/>
      <c r="T261" s="3"/>
      <c r="U261" s="3"/>
      <c r="V261" s="18"/>
      <c r="W261" s="3"/>
      <c r="X261" s="3"/>
      <c r="Y261" s="3"/>
      <c r="Z261" s="3"/>
      <c r="AA261" s="3"/>
    </row>
    <row r="262" spans="1:27">
      <c r="A262" s="3"/>
      <c r="B262" s="3"/>
      <c r="C262" s="3"/>
      <c r="D262" s="3"/>
      <c r="E262" s="3"/>
      <c r="F262" s="3"/>
      <c r="G262" s="3"/>
      <c r="H262" s="3"/>
      <c r="I262" s="3"/>
      <c r="J262" s="3"/>
      <c r="K262" s="3"/>
      <c r="L262" s="3"/>
      <c r="M262" s="3"/>
      <c r="N262" s="3"/>
      <c r="O262" s="3"/>
      <c r="P262" s="3"/>
      <c r="Q262" s="3"/>
      <c r="R262" s="3"/>
      <c r="S262" s="3"/>
      <c r="T262" s="3"/>
      <c r="U262" s="3"/>
      <c r="V262" s="18"/>
      <c r="W262" s="3"/>
      <c r="X262" s="3"/>
      <c r="Y262" s="3"/>
      <c r="Z262" s="3"/>
      <c r="AA262" s="3"/>
    </row>
    <row r="263" spans="1:27">
      <c r="A263" s="3"/>
      <c r="B263" s="3"/>
      <c r="C263" s="3"/>
      <c r="D263" s="3"/>
      <c r="E263" s="3"/>
      <c r="F263" s="3"/>
      <c r="G263" s="3"/>
      <c r="H263" s="3"/>
      <c r="I263" s="3"/>
      <c r="J263" s="3"/>
      <c r="K263" s="3"/>
      <c r="L263" s="3"/>
      <c r="M263" s="3"/>
      <c r="N263" s="3"/>
      <c r="O263" s="3"/>
      <c r="P263" s="3"/>
      <c r="Q263" s="3"/>
      <c r="R263" s="3"/>
      <c r="S263" s="3"/>
      <c r="T263" s="3"/>
      <c r="U263" s="3"/>
      <c r="V263" s="18"/>
      <c r="W263" s="3"/>
      <c r="X263" s="3"/>
      <c r="Y263" s="3"/>
      <c r="Z263" s="3"/>
      <c r="AA263" s="3"/>
    </row>
    <row r="264" spans="1:27">
      <c r="A264" s="3"/>
      <c r="B264" s="3"/>
      <c r="C264" s="3"/>
      <c r="D264" s="3"/>
      <c r="E264" s="3"/>
      <c r="F264" s="3"/>
      <c r="G264" s="3"/>
      <c r="H264" s="3"/>
      <c r="I264" s="3"/>
      <c r="J264" s="3"/>
      <c r="K264" s="3"/>
      <c r="L264" s="3"/>
      <c r="M264" s="3"/>
      <c r="N264" s="3"/>
      <c r="O264" s="3"/>
      <c r="P264" s="3"/>
      <c r="Q264" s="3"/>
      <c r="R264" s="3"/>
      <c r="S264" s="3"/>
      <c r="T264" s="3"/>
      <c r="U264" s="3"/>
      <c r="V264" s="18"/>
      <c r="W264" s="3"/>
      <c r="X264" s="3"/>
      <c r="Y264" s="3"/>
      <c r="Z264" s="3"/>
      <c r="AA264" s="3"/>
    </row>
    <row r="265" spans="1:27">
      <c r="A265" s="3"/>
      <c r="B265" s="3"/>
      <c r="C265" s="3"/>
      <c r="D265" s="3"/>
      <c r="E265" s="3"/>
      <c r="F265" s="3"/>
      <c r="G265" s="3"/>
      <c r="H265" s="3"/>
      <c r="I265" s="3"/>
      <c r="J265" s="3"/>
      <c r="K265" s="3"/>
      <c r="L265" s="3"/>
      <c r="M265" s="3"/>
      <c r="N265" s="3"/>
      <c r="O265" s="3"/>
      <c r="P265" s="3"/>
      <c r="Q265" s="3"/>
      <c r="R265" s="3"/>
      <c r="S265" s="3"/>
      <c r="T265" s="3"/>
      <c r="U265" s="3"/>
      <c r="V265" s="18"/>
      <c r="W265" s="3"/>
      <c r="X265" s="3"/>
      <c r="Y265" s="3"/>
      <c r="Z265" s="3"/>
      <c r="AA265" s="3"/>
    </row>
    <row r="266" spans="1:27">
      <c r="A266" s="3"/>
      <c r="B266" s="3"/>
      <c r="C266" s="3"/>
      <c r="D266" s="3"/>
      <c r="E266" s="3"/>
      <c r="F266" s="3"/>
      <c r="G266" s="3"/>
      <c r="H266" s="3"/>
      <c r="I266" s="3"/>
      <c r="J266" s="3"/>
      <c r="K266" s="3"/>
      <c r="L266" s="3"/>
      <c r="M266" s="3"/>
      <c r="N266" s="3"/>
      <c r="O266" s="3"/>
      <c r="P266" s="3"/>
      <c r="Q266" s="3"/>
      <c r="R266" s="3"/>
      <c r="S266" s="3"/>
      <c r="T266" s="3"/>
      <c r="U266" s="3"/>
      <c r="V266" s="18"/>
      <c r="W266" s="3"/>
      <c r="X266" s="3"/>
      <c r="Y266" s="3"/>
      <c r="Z266" s="3"/>
      <c r="AA266" s="3"/>
    </row>
    <row r="267" spans="1:27">
      <c r="A267" s="3"/>
      <c r="B267" s="3"/>
      <c r="C267" s="3"/>
      <c r="D267" s="3"/>
      <c r="E267" s="3"/>
      <c r="F267" s="3"/>
      <c r="G267" s="3"/>
      <c r="H267" s="3"/>
      <c r="I267" s="3"/>
      <c r="J267" s="3"/>
      <c r="K267" s="3"/>
      <c r="L267" s="3"/>
      <c r="M267" s="3"/>
      <c r="N267" s="3"/>
      <c r="O267" s="3"/>
      <c r="P267" s="3"/>
      <c r="Q267" s="3"/>
      <c r="R267" s="3"/>
      <c r="S267" s="3"/>
      <c r="T267" s="3"/>
      <c r="U267" s="3"/>
      <c r="V267" s="18"/>
      <c r="W267" s="3"/>
      <c r="X267" s="3"/>
      <c r="Y267" s="3"/>
      <c r="Z267" s="3"/>
      <c r="AA267" s="3"/>
    </row>
    <row r="268" spans="1:27">
      <c r="A268" s="3"/>
      <c r="B268" s="3"/>
      <c r="C268" s="3"/>
      <c r="D268" s="3"/>
      <c r="E268" s="3"/>
      <c r="F268" s="3"/>
      <c r="G268" s="3"/>
      <c r="H268" s="3"/>
      <c r="I268" s="3"/>
      <c r="J268" s="3"/>
      <c r="K268" s="3"/>
      <c r="L268" s="3"/>
      <c r="M268" s="3"/>
      <c r="N268" s="3"/>
      <c r="O268" s="3"/>
      <c r="P268" s="3"/>
      <c r="Q268" s="3"/>
      <c r="R268" s="3"/>
      <c r="S268" s="3"/>
      <c r="T268" s="3"/>
      <c r="U268" s="3"/>
      <c r="V268" s="18"/>
      <c r="W268" s="3"/>
      <c r="X268" s="3"/>
      <c r="Y268" s="3"/>
      <c r="Z268" s="3"/>
      <c r="AA268" s="3"/>
    </row>
    <row r="269" spans="1:27">
      <c r="A269" s="3"/>
      <c r="B269" s="3"/>
      <c r="C269" s="3"/>
      <c r="D269" s="3"/>
      <c r="E269" s="3"/>
      <c r="F269" s="3"/>
      <c r="G269" s="3"/>
      <c r="H269" s="3"/>
      <c r="I269" s="3"/>
      <c r="J269" s="3"/>
      <c r="K269" s="3"/>
      <c r="L269" s="3"/>
      <c r="M269" s="3"/>
      <c r="N269" s="3"/>
      <c r="O269" s="3"/>
      <c r="P269" s="3"/>
      <c r="Q269" s="3"/>
      <c r="R269" s="3"/>
      <c r="S269" s="3"/>
      <c r="T269" s="3"/>
      <c r="U269" s="3"/>
      <c r="V269" s="18"/>
      <c r="W269" s="3"/>
      <c r="X269" s="3"/>
      <c r="Y269" s="3"/>
      <c r="Z269" s="3"/>
      <c r="AA269" s="3"/>
    </row>
    <row r="270" spans="1:27">
      <c r="A270" s="3"/>
      <c r="B270" s="3"/>
      <c r="C270" s="3"/>
      <c r="D270" s="3"/>
      <c r="E270" s="3"/>
      <c r="F270" s="3"/>
      <c r="G270" s="3"/>
      <c r="H270" s="3"/>
      <c r="I270" s="3"/>
      <c r="J270" s="3"/>
      <c r="K270" s="3"/>
      <c r="L270" s="3"/>
      <c r="M270" s="3"/>
      <c r="N270" s="3"/>
      <c r="O270" s="3"/>
      <c r="P270" s="3"/>
      <c r="Q270" s="3"/>
      <c r="R270" s="3"/>
      <c r="S270" s="3"/>
      <c r="T270" s="3"/>
      <c r="U270" s="3"/>
      <c r="V270" s="18"/>
      <c r="W270" s="3"/>
      <c r="X270" s="3"/>
      <c r="Y270" s="3"/>
      <c r="Z270" s="3"/>
      <c r="AA270" s="3"/>
    </row>
    <row r="271" spans="1:27">
      <c r="A271" s="3"/>
      <c r="B271" s="3"/>
      <c r="C271" s="3"/>
      <c r="D271" s="3"/>
      <c r="E271" s="3"/>
      <c r="F271" s="3"/>
      <c r="G271" s="3"/>
      <c r="H271" s="3"/>
      <c r="I271" s="3"/>
      <c r="J271" s="3"/>
      <c r="K271" s="3"/>
      <c r="L271" s="3"/>
      <c r="M271" s="3"/>
      <c r="N271" s="3"/>
      <c r="O271" s="3"/>
      <c r="P271" s="3"/>
      <c r="Q271" s="3"/>
      <c r="R271" s="3"/>
      <c r="S271" s="3"/>
      <c r="T271" s="3"/>
      <c r="U271" s="3"/>
      <c r="V271" s="18"/>
      <c r="W271" s="3"/>
      <c r="X271" s="3"/>
      <c r="Y271" s="3"/>
      <c r="Z271" s="3"/>
      <c r="AA271" s="3"/>
    </row>
    <row r="272" spans="1:27">
      <c r="A272" s="3"/>
      <c r="B272" s="3"/>
      <c r="C272" s="3"/>
      <c r="D272" s="3"/>
      <c r="E272" s="3"/>
      <c r="F272" s="3"/>
      <c r="G272" s="3"/>
      <c r="H272" s="3"/>
      <c r="I272" s="3"/>
      <c r="J272" s="3"/>
      <c r="K272" s="3"/>
      <c r="L272" s="3"/>
      <c r="M272" s="3"/>
      <c r="N272" s="3"/>
      <c r="O272" s="3"/>
      <c r="P272" s="3"/>
      <c r="Q272" s="3"/>
      <c r="R272" s="3"/>
      <c r="S272" s="3"/>
      <c r="T272" s="3"/>
      <c r="U272" s="3"/>
      <c r="V272" s="18"/>
      <c r="W272" s="3"/>
      <c r="X272" s="3"/>
      <c r="Y272" s="3"/>
      <c r="Z272" s="3"/>
      <c r="AA272" s="3"/>
    </row>
    <row r="273" spans="1:27">
      <c r="A273" s="3"/>
      <c r="B273" s="3"/>
      <c r="C273" s="3"/>
      <c r="D273" s="3"/>
      <c r="E273" s="3"/>
      <c r="F273" s="3"/>
      <c r="G273" s="3"/>
      <c r="H273" s="3"/>
      <c r="I273" s="3"/>
      <c r="J273" s="3"/>
      <c r="K273" s="3"/>
      <c r="L273" s="3"/>
      <c r="M273" s="3"/>
      <c r="N273" s="3"/>
      <c r="O273" s="3"/>
      <c r="P273" s="3"/>
      <c r="Q273" s="3"/>
      <c r="R273" s="3"/>
      <c r="S273" s="3"/>
      <c r="T273" s="3"/>
      <c r="U273" s="3"/>
      <c r="V273" s="18"/>
      <c r="W273" s="3"/>
      <c r="X273" s="3"/>
      <c r="Y273" s="3"/>
      <c r="Z273" s="3"/>
      <c r="AA273" s="3"/>
    </row>
    <row r="274" spans="1:27">
      <c r="A274" s="3"/>
      <c r="B274" s="3"/>
      <c r="C274" s="3"/>
      <c r="D274" s="3"/>
      <c r="E274" s="3"/>
      <c r="F274" s="3"/>
      <c r="G274" s="3"/>
      <c r="H274" s="3"/>
      <c r="I274" s="3"/>
      <c r="J274" s="3"/>
      <c r="K274" s="3"/>
      <c r="L274" s="3"/>
      <c r="M274" s="3"/>
      <c r="N274" s="3"/>
      <c r="O274" s="3"/>
      <c r="P274" s="3"/>
      <c r="Q274" s="3"/>
      <c r="R274" s="3"/>
      <c r="S274" s="3"/>
      <c r="T274" s="3"/>
      <c r="U274" s="3"/>
      <c r="V274" s="18"/>
      <c r="W274" s="3"/>
      <c r="X274" s="3"/>
      <c r="Y274" s="3"/>
      <c r="Z274" s="3"/>
      <c r="AA274" s="3"/>
    </row>
    <row r="275" spans="1:27">
      <c r="A275" s="3"/>
      <c r="B275" s="3"/>
      <c r="C275" s="3"/>
      <c r="D275" s="3"/>
      <c r="E275" s="3"/>
      <c r="F275" s="3"/>
      <c r="G275" s="3"/>
      <c r="H275" s="3"/>
      <c r="I275" s="3"/>
      <c r="J275" s="3"/>
      <c r="K275" s="3"/>
      <c r="L275" s="3"/>
      <c r="M275" s="3"/>
      <c r="N275" s="3"/>
      <c r="O275" s="3"/>
      <c r="P275" s="3"/>
      <c r="Q275" s="3"/>
      <c r="R275" s="3"/>
      <c r="S275" s="3"/>
      <c r="T275" s="3"/>
      <c r="U275" s="3"/>
      <c r="V275" s="18"/>
      <c r="W275" s="3"/>
      <c r="X275" s="3"/>
      <c r="Y275" s="3"/>
      <c r="Z275" s="3"/>
      <c r="AA275" s="3"/>
    </row>
    <row r="276" spans="1:27">
      <c r="A276" s="3"/>
      <c r="B276" s="3"/>
      <c r="C276" s="3"/>
      <c r="D276" s="3"/>
      <c r="E276" s="3"/>
      <c r="F276" s="3"/>
      <c r="G276" s="3"/>
      <c r="H276" s="3"/>
      <c r="I276" s="3"/>
      <c r="J276" s="3"/>
      <c r="K276" s="3"/>
      <c r="L276" s="3"/>
      <c r="M276" s="3"/>
      <c r="N276" s="3"/>
      <c r="O276" s="3"/>
      <c r="P276" s="3"/>
      <c r="Q276" s="3"/>
      <c r="R276" s="3"/>
      <c r="S276" s="3"/>
      <c r="T276" s="3"/>
      <c r="U276" s="3"/>
      <c r="V276" s="18"/>
      <c r="W276" s="3"/>
      <c r="X276" s="3"/>
      <c r="Y276" s="3"/>
      <c r="Z276" s="3"/>
      <c r="AA276" s="3"/>
    </row>
    <row r="277" spans="1:27">
      <c r="A277" s="3"/>
      <c r="B277" s="3"/>
      <c r="C277" s="3"/>
      <c r="D277" s="3"/>
      <c r="E277" s="3"/>
      <c r="F277" s="3"/>
      <c r="G277" s="3"/>
      <c r="H277" s="3"/>
      <c r="I277" s="3"/>
      <c r="J277" s="3"/>
      <c r="K277" s="3"/>
      <c r="L277" s="3"/>
      <c r="M277" s="3"/>
      <c r="N277" s="3"/>
      <c r="O277" s="3"/>
      <c r="P277" s="3"/>
      <c r="Q277" s="3"/>
      <c r="R277" s="3"/>
      <c r="S277" s="3"/>
      <c r="T277" s="3"/>
      <c r="U277" s="3"/>
      <c r="V277" s="18"/>
      <c r="W277" s="3"/>
      <c r="X277" s="3"/>
      <c r="Y277" s="3"/>
      <c r="Z277" s="3"/>
      <c r="AA277" s="3"/>
    </row>
    <row r="278" spans="1:27">
      <c r="A278" s="3"/>
      <c r="B278" s="3"/>
      <c r="C278" s="3"/>
      <c r="D278" s="3"/>
      <c r="E278" s="3"/>
      <c r="F278" s="3"/>
      <c r="G278" s="3"/>
      <c r="H278" s="3"/>
      <c r="I278" s="3"/>
      <c r="J278" s="3"/>
      <c r="K278" s="3"/>
      <c r="L278" s="3"/>
      <c r="M278" s="3"/>
      <c r="N278" s="3"/>
      <c r="O278" s="3"/>
      <c r="P278" s="3"/>
      <c r="Q278" s="3"/>
      <c r="R278" s="3"/>
      <c r="S278" s="3"/>
      <c r="T278" s="3"/>
      <c r="U278" s="3"/>
      <c r="V278" s="18"/>
      <c r="W278" s="3"/>
      <c r="X278" s="3"/>
      <c r="Y278" s="3"/>
      <c r="Z278" s="3"/>
      <c r="AA278" s="3"/>
    </row>
    <row r="279" spans="1:27">
      <c r="A279" s="3"/>
      <c r="B279" s="3"/>
      <c r="C279" s="3"/>
      <c r="D279" s="3"/>
      <c r="E279" s="3"/>
      <c r="F279" s="3"/>
      <c r="G279" s="3"/>
      <c r="H279" s="3"/>
      <c r="I279" s="3"/>
      <c r="J279" s="3"/>
      <c r="K279" s="3"/>
      <c r="L279" s="3"/>
      <c r="M279" s="3"/>
      <c r="N279" s="3"/>
      <c r="O279" s="3"/>
      <c r="P279" s="3"/>
      <c r="Q279" s="3"/>
      <c r="R279" s="3"/>
      <c r="S279" s="3"/>
      <c r="T279" s="3"/>
      <c r="U279" s="3"/>
      <c r="V279" s="18"/>
      <c r="W279" s="3"/>
      <c r="X279" s="3"/>
      <c r="Y279" s="3"/>
      <c r="Z279" s="3"/>
      <c r="AA279" s="3"/>
    </row>
    <row r="280" spans="1:27">
      <c r="A280" s="3"/>
      <c r="B280" s="3"/>
      <c r="C280" s="3"/>
      <c r="D280" s="3"/>
      <c r="E280" s="3"/>
      <c r="F280" s="3"/>
      <c r="G280" s="3"/>
      <c r="H280" s="3"/>
      <c r="I280" s="3"/>
      <c r="J280" s="3"/>
      <c r="K280" s="3"/>
      <c r="L280" s="3"/>
      <c r="M280" s="3"/>
      <c r="N280" s="3"/>
      <c r="O280" s="3"/>
      <c r="P280" s="3"/>
      <c r="Q280" s="3"/>
      <c r="R280" s="3"/>
      <c r="S280" s="3"/>
      <c r="T280" s="3"/>
      <c r="U280" s="3"/>
      <c r="V280" s="18"/>
      <c r="W280" s="3"/>
      <c r="X280" s="3"/>
      <c r="Y280" s="3"/>
      <c r="Z280" s="3"/>
      <c r="AA280" s="3"/>
    </row>
    <row r="281" spans="1:27">
      <c r="A281" s="3"/>
      <c r="B281" s="3"/>
      <c r="C281" s="3"/>
      <c r="D281" s="3"/>
      <c r="E281" s="3"/>
      <c r="F281" s="3"/>
      <c r="G281" s="3"/>
      <c r="H281" s="3"/>
      <c r="I281" s="3"/>
      <c r="J281" s="3"/>
      <c r="K281" s="3"/>
      <c r="L281" s="3"/>
      <c r="M281" s="3"/>
      <c r="N281" s="3"/>
      <c r="O281" s="3"/>
      <c r="P281" s="3"/>
      <c r="Q281" s="3"/>
      <c r="R281" s="3"/>
      <c r="S281" s="3"/>
      <c r="T281" s="3"/>
      <c r="U281" s="3"/>
      <c r="V281" s="18"/>
      <c r="W281" s="3"/>
      <c r="X281" s="3"/>
      <c r="Y281" s="3"/>
      <c r="Z281" s="3"/>
      <c r="AA281" s="3"/>
    </row>
    <row r="282" spans="1:27">
      <c r="A282" s="3"/>
      <c r="B282" s="3"/>
      <c r="C282" s="3"/>
      <c r="D282" s="3"/>
      <c r="E282" s="3"/>
      <c r="F282" s="3"/>
      <c r="G282" s="3"/>
      <c r="H282" s="3"/>
      <c r="I282" s="3"/>
      <c r="J282" s="3"/>
      <c r="K282" s="3"/>
      <c r="L282" s="3"/>
      <c r="M282" s="3"/>
      <c r="N282" s="3"/>
      <c r="O282" s="3"/>
      <c r="P282" s="3"/>
      <c r="Q282" s="3"/>
      <c r="R282" s="3"/>
      <c r="S282" s="3"/>
      <c r="T282" s="3"/>
      <c r="U282" s="3"/>
      <c r="V282" s="18"/>
      <c r="W282" s="3"/>
      <c r="X282" s="3"/>
      <c r="Y282" s="3"/>
      <c r="Z282" s="3"/>
      <c r="AA282" s="3"/>
    </row>
    <row r="283" spans="1:27">
      <c r="A283" s="3"/>
      <c r="B283" s="3"/>
      <c r="C283" s="3"/>
      <c r="D283" s="3"/>
      <c r="E283" s="3"/>
      <c r="F283" s="3"/>
      <c r="G283" s="3"/>
      <c r="H283" s="3"/>
      <c r="I283" s="3"/>
      <c r="J283" s="3"/>
      <c r="K283" s="3"/>
      <c r="L283" s="3"/>
      <c r="M283" s="3"/>
      <c r="N283" s="3"/>
      <c r="O283" s="3"/>
      <c r="P283" s="3"/>
      <c r="Q283" s="3"/>
      <c r="R283" s="3"/>
      <c r="S283" s="3"/>
      <c r="T283" s="3"/>
      <c r="U283" s="3"/>
      <c r="V283" s="18"/>
      <c r="W283" s="3"/>
      <c r="X283" s="3"/>
      <c r="Y283" s="3"/>
      <c r="Z283" s="3"/>
      <c r="AA283" s="3"/>
    </row>
    <row r="284" spans="1:27">
      <c r="A284" s="3"/>
      <c r="B284" s="3"/>
      <c r="C284" s="3"/>
      <c r="D284" s="3"/>
      <c r="E284" s="3"/>
      <c r="F284" s="3"/>
      <c r="G284" s="3"/>
      <c r="H284" s="3"/>
      <c r="I284" s="3"/>
      <c r="J284" s="3"/>
      <c r="K284" s="3"/>
      <c r="L284" s="3"/>
      <c r="M284" s="3"/>
      <c r="N284" s="3"/>
      <c r="O284" s="3"/>
      <c r="P284" s="3"/>
      <c r="Q284" s="3"/>
      <c r="R284" s="3"/>
      <c r="S284" s="3"/>
      <c r="T284" s="3"/>
      <c r="U284" s="3"/>
      <c r="V284" s="18"/>
      <c r="W284" s="3"/>
      <c r="X284" s="3"/>
      <c r="Y284" s="3"/>
      <c r="Z284" s="3"/>
      <c r="AA284" s="3"/>
    </row>
    <row r="285" spans="1:27">
      <c r="A285" s="3"/>
      <c r="B285" s="3"/>
      <c r="C285" s="3"/>
      <c r="D285" s="3"/>
      <c r="E285" s="3"/>
      <c r="F285" s="3"/>
      <c r="G285" s="3"/>
      <c r="H285" s="3"/>
      <c r="I285" s="3"/>
      <c r="J285" s="3"/>
      <c r="K285" s="3"/>
      <c r="L285" s="3"/>
      <c r="M285" s="3"/>
      <c r="N285" s="3"/>
      <c r="O285" s="3"/>
      <c r="P285" s="3"/>
      <c r="Q285" s="3"/>
      <c r="R285" s="3"/>
      <c r="S285" s="3"/>
      <c r="T285" s="3"/>
      <c r="U285" s="3"/>
      <c r="V285" s="18"/>
      <c r="W285" s="3"/>
      <c r="X285" s="3"/>
      <c r="Y285" s="3"/>
      <c r="Z285" s="3"/>
      <c r="AA285" s="3"/>
    </row>
    <row r="286" spans="1:27">
      <c r="A286" s="3"/>
      <c r="B286" s="3"/>
      <c r="C286" s="3"/>
      <c r="D286" s="3"/>
      <c r="E286" s="3"/>
      <c r="F286" s="3"/>
      <c r="G286" s="3"/>
      <c r="H286" s="3"/>
      <c r="I286" s="3"/>
      <c r="J286" s="3"/>
      <c r="K286" s="3"/>
      <c r="L286" s="3"/>
      <c r="M286" s="3"/>
      <c r="N286" s="3"/>
      <c r="O286" s="3"/>
      <c r="P286" s="3"/>
      <c r="Q286" s="3"/>
      <c r="R286" s="3"/>
      <c r="S286" s="3"/>
      <c r="T286" s="3"/>
      <c r="U286" s="3"/>
      <c r="V286" s="18"/>
      <c r="W286" s="3"/>
      <c r="X286" s="3"/>
      <c r="Y286" s="3"/>
      <c r="Z286" s="3"/>
      <c r="AA286" s="3"/>
    </row>
    <row r="287" spans="1:27">
      <c r="A287" s="3"/>
      <c r="B287" s="3"/>
      <c r="C287" s="3"/>
      <c r="D287" s="3"/>
      <c r="E287" s="3"/>
      <c r="F287" s="3"/>
      <c r="G287" s="3"/>
      <c r="H287" s="3"/>
      <c r="I287" s="3"/>
      <c r="J287" s="3"/>
      <c r="K287" s="3"/>
      <c r="L287" s="3"/>
      <c r="M287" s="3"/>
      <c r="N287" s="3"/>
      <c r="O287" s="3"/>
      <c r="P287" s="3"/>
      <c r="Q287" s="3"/>
      <c r="R287" s="3"/>
      <c r="S287" s="3"/>
      <c r="T287" s="3"/>
      <c r="U287" s="3"/>
      <c r="V287" s="18"/>
      <c r="W287" s="3"/>
      <c r="X287" s="3"/>
      <c r="Y287" s="3"/>
      <c r="Z287" s="3"/>
      <c r="AA287" s="3"/>
    </row>
    <row r="288" spans="1:27">
      <c r="A288" s="3"/>
      <c r="B288" s="3"/>
      <c r="C288" s="3"/>
      <c r="D288" s="3"/>
      <c r="E288" s="3"/>
      <c r="F288" s="3"/>
      <c r="G288" s="3"/>
      <c r="H288" s="3"/>
      <c r="I288" s="3"/>
      <c r="J288" s="3"/>
      <c r="K288" s="3"/>
      <c r="L288" s="3"/>
      <c r="M288" s="3"/>
      <c r="N288" s="3"/>
      <c r="O288" s="3"/>
      <c r="P288" s="3"/>
      <c r="Q288" s="3"/>
      <c r="R288" s="3"/>
      <c r="S288" s="3"/>
      <c r="T288" s="3"/>
      <c r="U288" s="3"/>
      <c r="V288" s="18"/>
      <c r="W288" s="3"/>
      <c r="X288" s="3"/>
      <c r="Y288" s="3"/>
      <c r="Z288" s="3"/>
      <c r="AA288" s="3"/>
    </row>
    <row r="289" spans="1:27">
      <c r="A289" s="3"/>
      <c r="B289" s="3"/>
      <c r="C289" s="3"/>
      <c r="D289" s="3"/>
      <c r="E289" s="3"/>
      <c r="F289" s="3"/>
      <c r="G289" s="3"/>
      <c r="H289" s="3"/>
      <c r="I289" s="3"/>
      <c r="J289" s="3"/>
      <c r="K289" s="3"/>
      <c r="L289" s="3"/>
      <c r="M289" s="3"/>
      <c r="N289" s="3"/>
      <c r="O289" s="3"/>
      <c r="P289" s="3"/>
      <c r="Q289" s="3"/>
      <c r="R289" s="3"/>
      <c r="S289" s="3"/>
      <c r="T289" s="3"/>
      <c r="U289" s="3"/>
      <c r="V289" s="18"/>
      <c r="W289" s="3"/>
      <c r="X289" s="3"/>
      <c r="Y289" s="3"/>
      <c r="Z289" s="3"/>
      <c r="AA289" s="3"/>
    </row>
    <row r="290" spans="1:27">
      <c r="A290" s="3"/>
      <c r="B290" s="3"/>
      <c r="C290" s="3"/>
      <c r="D290" s="3"/>
      <c r="E290" s="3"/>
      <c r="F290" s="3"/>
      <c r="G290" s="3"/>
      <c r="H290" s="3"/>
      <c r="I290" s="3"/>
      <c r="J290" s="3"/>
      <c r="K290" s="3"/>
      <c r="L290" s="3"/>
      <c r="M290" s="3"/>
      <c r="N290" s="3"/>
      <c r="O290" s="3"/>
      <c r="P290" s="3"/>
      <c r="Q290" s="3"/>
      <c r="R290" s="3"/>
      <c r="S290" s="3"/>
      <c r="T290" s="3"/>
      <c r="U290" s="3"/>
      <c r="V290" s="18"/>
      <c r="W290" s="3"/>
      <c r="X290" s="3"/>
      <c r="Y290" s="3"/>
      <c r="Z290" s="3"/>
      <c r="AA290" s="3"/>
    </row>
    <row r="291" spans="1:27">
      <c r="A291" s="3"/>
      <c r="B291" s="3"/>
      <c r="C291" s="3"/>
      <c r="D291" s="3"/>
      <c r="E291" s="3"/>
      <c r="F291" s="3"/>
      <c r="G291" s="3"/>
      <c r="H291" s="3"/>
      <c r="I291" s="3"/>
      <c r="J291" s="3"/>
      <c r="K291" s="3"/>
      <c r="L291" s="3"/>
      <c r="M291" s="3"/>
      <c r="N291" s="3"/>
      <c r="O291" s="3"/>
      <c r="P291" s="3"/>
      <c r="Q291" s="3"/>
      <c r="R291" s="3"/>
      <c r="S291" s="3"/>
      <c r="T291" s="3"/>
      <c r="U291" s="3"/>
      <c r="V291" s="18"/>
      <c r="W291" s="3"/>
      <c r="X291" s="3"/>
      <c r="Y291" s="3"/>
      <c r="Z291" s="3"/>
      <c r="AA291" s="3"/>
    </row>
    <row r="292" spans="1:27">
      <c r="A292" s="3"/>
      <c r="B292" s="3"/>
      <c r="C292" s="3"/>
      <c r="D292" s="3"/>
      <c r="E292" s="3"/>
      <c r="F292" s="3"/>
      <c r="G292" s="3"/>
      <c r="H292" s="3"/>
      <c r="I292" s="3"/>
      <c r="J292" s="3"/>
      <c r="K292" s="3"/>
      <c r="L292" s="3"/>
      <c r="M292" s="3"/>
      <c r="N292" s="3"/>
      <c r="O292" s="3"/>
      <c r="P292" s="3"/>
      <c r="Q292" s="3"/>
      <c r="R292" s="3"/>
      <c r="S292" s="3"/>
      <c r="T292" s="3"/>
      <c r="U292" s="3"/>
      <c r="V292" s="18"/>
      <c r="W292" s="3"/>
      <c r="X292" s="3"/>
      <c r="Y292" s="3"/>
      <c r="Z292" s="3"/>
      <c r="AA292" s="3"/>
    </row>
    <row r="293" spans="1:27">
      <c r="A293" s="3"/>
      <c r="B293" s="3"/>
      <c r="C293" s="3"/>
      <c r="D293" s="3"/>
      <c r="E293" s="3"/>
      <c r="F293" s="3"/>
      <c r="G293" s="3"/>
      <c r="H293" s="3"/>
      <c r="I293" s="3"/>
      <c r="J293" s="3"/>
      <c r="K293" s="3"/>
      <c r="L293" s="3"/>
      <c r="M293" s="3"/>
      <c r="N293" s="3"/>
      <c r="O293" s="3"/>
      <c r="P293" s="3"/>
      <c r="Q293" s="3"/>
      <c r="R293" s="3"/>
      <c r="S293" s="3"/>
      <c r="T293" s="3"/>
      <c r="U293" s="3"/>
      <c r="V293" s="18"/>
      <c r="W293" s="3"/>
      <c r="X293" s="3"/>
      <c r="Y293" s="3"/>
      <c r="Z293" s="3"/>
      <c r="AA293" s="3"/>
    </row>
    <row r="294" spans="1:27">
      <c r="A294" s="3"/>
      <c r="B294" s="3"/>
      <c r="C294" s="3"/>
      <c r="D294" s="3"/>
      <c r="E294" s="3"/>
      <c r="F294" s="3"/>
      <c r="G294" s="3"/>
      <c r="H294" s="3"/>
      <c r="I294" s="3"/>
      <c r="J294" s="3"/>
      <c r="K294" s="3"/>
      <c r="L294" s="3"/>
      <c r="M294" s="3"/>
      <c r="N294" s="3"/>
      <c r="O294" s="3"/>
      <c r="P294" s="3"/>
      <c r="Q294" s="3"/>
      <c r="R294" s="3"/>
      <c r="S294" s="3"/>
      <c r="T294" s="3"/>
      <c r="U294" s="3"/>
      <c r="V294" s="18"/>
      <c r="W294" s="3"/>
      <c r="X294" s="3"/>
      <c r="Y294" s="3"/>
      <c r="Z294" s="3"/>
      <c r="AA294" s="3"/>
    </row>
    <row r="295" spans="1:27">
      <c r="A295" s="3"/>
      <c r="B295" s="3"/>
      <c r="C295" s="3"/>
      <c r="D295" s="3"/>
      <c r="E295" s="3"/>
      <c r="F295" s="3"/>
      <c r="G295" s="3"/>
      <c r="H295" s="3"/>
      <c r="I295" s="3"/>
      <c r="J295" s="3"/>
      <c r="K295" s="3"/>
      <c r="L295" s="3"/>
      <c r="M295" s="3"/>
      <c r="N295" s="3"/>
      <c r="O295" s="3"/>
      <c r="P295" s="3"/>
      <c r="Q295" s="3"/>
      <c r="R295" s="3"/>
      <c r="S295" s="3"/>
      <c r="T295" s="3"/>
      <c r="U295" s="3"/>
      <c r="V295" s="18"/>
      <c r="W295" s="3"/>
      <c r="X295" s="3"/>
      <c r="Y295" s="3"/>
      <c r="Z295" s="3"/>
      <c r="AA295" s="3"/>
    </row>
    <row r="296" spans="1:27">
      <c r="A296" s="3"/>
      <c r="B296" s="3"/>
      <c r="C296" s="3"/>
      <c r="D296" s="3"/>
      <c r="E296" s="3"/>
      <c r="F296" s="3"/>
      <c r="G296" s="3"/>
      <c r="H296" s="3"/>
      <c r="I296" s="3"/>
      <c r="J296" s="3"/>
      <c r="K296" s="3"/>
      <c r="L296" s="3"/>
      <c r="M296" s="3"/>
      <c r="N296" s="3"/>
      <c r="O296" s="3"/>
      <c r="P296" s="3"/>
      <c r="Q296" s="3"/>
      <c r="R296" s="3"/>
      <c r="S296" s="3"/>
      <c r="T296" s="3"/>
      <c r="U296" s="3"/>
      <c r="V296" s="18"/>
      <c r="W296" s="3"/>
      <c r="X296" s="3"/>
      <c r="Y296" s="3"/>
      <c r="Z296" s="3"/>
      <c r="AA296" s="3"/>
    </row>
    <row r="297" spans="1:27">
      <c r="A297" s="3"/>
      <c r="B297" s="3"/>
      <c r="C297" s="3"/>
      <c r="D297" s="3"/>
      <c r="E297" s="3"/>
      <c r="F297" s="3"/>
      <c r="G297" s="3"/>
      <c r="H297" s="3"/>
      <c r="I297" s="3"/>
      <c r="J297" s="3"/>
      <c r="K297" s="3"/>
      <c r="L297" s="3"/>
      <c r="M297" s="3"/>
      <c r="N297" s="3"/>
      <c r="O297" s="3"/>
      <c r="P297" s="3"/>
      <c r="Q297" s="3"/>
      <c r="R297" s="3"/>
      <c r="S297" s="3"/>
      <c r="T297" s="3"/>
      <c r="U297" s="3"/>
      <c r="V297" s="18"/>
      <c r="W297" s="3"/>
      <c r="X297" s="3"/>
      <c r="Y297" s="3"/>
      <c r="Z297" s="3"/>
      <c r="AA297" s="3"/>
    </row>
    <row r="298" spans="1:27">
      <c r="A298" s="3"/>
      <c r="B298" s="3"/>
      <c r="C298" s="3"/>
      <c r="D298" s="3"/>
      <c r="E298" s="3"/>
      <c r="F298" s="3"/>
      <c r="G298" s="3"/>
      <c r="H298" s="3"/>
      <c r="I298" s="3"/>
      <c r="J298" s="3"/>
      <c r="K298" s="3"/>
      <c r="L298" s="3"/>
      <c r="M298" s="3"/>
      <c r="N298" s="3"/>
      <c r="O298" s="3"/>
      <c r="P298" s="3"/>
      <c r="Q298" s="3"/>
      <c r="R298" s="3"/>
      <c r="S298" s="3"/>
      <c r="T298" s="3"/>
      <c r="U298" s="3"/>
      <c r="V298" s="18"/>
      <c r="W298" s="3"/>
      <c r="X298" s="3"/>
      <c r="Y298" s="3"/>
      <c r="Z298" s="3"/>
      <c r="AA298" s="3"/>
    </row>
    <row r="299" spans="1:27">
      <c r="A299" s="3"/>
      <c r="B299" s="3"/>
      <c r="C299" s="3"/>
      <c r="D299" s="3"/>
      <c r="E299" s="3"/>
      <c r="F299" s="3"/>
      <c r="G299" s="3"/>
      <c r="H299" s="3"/>
      <c r="I299" s="3"/>
      <c r="J299" s="3"/>
      <c r="K299" s="3"/>
      <c r="L299" s="3"/>
      <c r="M299" s="3"/>
      <c r="N299" s="3"/>
      <c r="O299" s="3"/>
      <c r="P299" s="3"/>
      <c r="Q299" s="3"/>
      <c r="R299" s="3"/>
      <c r="S299" s="3"/>
      <c r="T299" s="3"/>
      <c r="U299" s="3"/>
      <c r="V299" s="18"/>
      <c r="W299" s="3"/>
      <c r="X299" s="3"/>
      <c r="Y299" s="3"/>
      <c r="Z299" s="3"/>
      <c r="AA299" s="3"/>
    </row>
    <row r="300" spans="1:27">
      <c r="A300" s="3"/>
      <c r="B300" s="3"/>
      <c r="C300" s="3"/>
      <c r="D300" s="3"/>
      <c r="E300" s="3"/>
      <c r="F300" s="3"/>
      <c r="G300" s="3"/>
      <c r="H300" s="3"/>
      <c r="I300" s="3"/>
      <c r="J300" s="3"/>
      <c r="K300" s="3"/>
      <c r="L300" s="3"/>
      <c r="M300" s="3"/>
      <c r="N300" s="3"/>
      <c r="O300" s="3"/>
      <c r="P300" s="3"/>
      <c r="Q300" s="3"/>
      <c r="R300" s="3"/>
      <c r="S300" s="3"/>
      <c r="T300" s="3"/>
      <c r="U300" s="3"/>
      <c r="V300" s="18"/>
      <c r="W300" s="3"/>
      <c r="X300" s="3"/>
      <c r="Y300" s="3"/>
      <c r="Z300" s="3"/>
      <c r="AA300" s="3"/>
    </row>
    <row r="301" spans="1:27">
      <c r="A301" s="3"/>
      <c r="B301" s="3"/>
      <c r="C301" s="3"/>
      <c r="D301" s="3"/>
      <c r="E301" s="3"/>
      <c r="F301" s="3"/>
      <c r="G301" s="3"/>
      <c r="H301" s="3"/>
      <c r="I301" s="3"/>
      <c r="J301" s="3"/>
      <c r="K301" s="3"/>
      <c r="L301" s="3"/>
      <c r="M301" s="3"/>
      <c r="N301" s="3"/>
      <c r="O301" s="3"/>
      <c r="P301" s="3"/>
      <c r="Q301" s="3"/>
      <c r="R301" s="3"/>
      <c r="S301" s="3"/>
      <c r="T301" s="3"/>
      <c r="U301" s="3"/>
      <c r="V301" s="18"/>
      <c r="W301" s="3"/>
      <c r="X301" s="3"/>
      <c r="Y301" s="3"/>
      <c r="Z301" s="3"/>
      <c r="AA301" s="3"/>
    </row>
    <row r="302" spans="1:27">
      <c r="A302" s="3"/>
      <c r="B302" s="3"/>
      <c r="C302" s="3"/>
      <c r="D302" s="3"/>
      <c r="E302" s="3"/>
      <c r="F302" s="3"/>
      <c r="G302" s="3"/>
      <c r="H302" s="3"/>
      <c r="I302" s="3"/>
      <c r="J302" s="3"/>
      <c r="K302" s="3"/>
      <c r="L302" s="3"/>
      <c r="M302" s="3"/>
      <c r="N302" s="3"/>
      <c r="O302" s="3"/>
      <c r="P302" s="3"/>
      <c r="Q302" s="3"/>
      <c r="R302" s="3"/>
      <c r="S302" s="3"/>
      <c r="T302" s="3"/>
      <c r="U302" s="3"/>
      <c r="V302" s="18"/>
      <c r="W302" s="3"/>
      <c r="X302" s="3"/>
      <c r="Y302" s="3"/>
      <c r="Z302" s="3"/>
      <c r="AA302" s="3"/>
    </row>
    <row r="303" spans="1:27">
      <c r="A303" s="3"/>
      <c r="B303" s="3"/>
      <c r="C303" s="3"/>
      <c r="D303" s="3"/>
      <c r="E303" s="3"/>
      <c r="F303" s="3"/>
      <c r="G303" s="3"/>
      <c r="H303" s="3"/>
      <c r="I303" s="3"/>
      <c r="J303" s="3"/>
      <c r="K303" s="3"/>
      <c r="L303" s="3"/>
      <c r="M303" s="3"/>
      <c r="N303" s="3"/>
      <c r="O303" s="3"/>
      <c r="P303" s="3"/>
      <c r="Q303" s="3"/>
      <c r="R303" s="3"/>
      <c r="S303" s="3"/>
      <c r="T303" s="3"/>
      <c r="U303" s="3"/>
      <c r="V303" s="18"/>
      <c r="W303" s="3"/>
      <c r="X303" s="3"/>
      <c r="Y303" s="3"/>
      <c r="Z303" s="3"/>
      <c r="AA303" s="3"/>
    </row>
    <row r="304" spans="1:27">
      <c r="A304" s="3"/>
      <c r="B304" s="3"/>
      <c r="C304" s="3"/>
      <c r="D304" s="3"/>
      <c r="E304" s="3"/>
      <c r="F304" s="3"/>
      <c r="G304" s="3"/>
      <c r="H304" s="3"/>
      <c r="I304" s="3"/>
      <c r="J304" s="3"/>
      <c r="K304" s="3"/>
      <c r="L304" s="3"/>
      <c r="M304" s="3"/>
      <c r="N304" s="3"/>
      <c r="O304" s="3"/>
      <c r="P304" s="3"/>
      <c r="Q304" s="3"/>
      <c r="R304" s="3"/>
      <c r="S304" s="3"/>
      <c r="T304" s="3"/>
      <c r="U304" s="3"/>
      <c r="V304" s="18"/>
      <c r="W304" s="3"/>
      <c r="X304" s="3"/>
      <c r="Y304" s="3"/>
      <c r="Z304" s="3"/>
      <c r="AA304" s="3"/>
    </row>
    <row r="305" spans="1:27">
      <c r="A305" s="3"/>
      <c r="B305" s="3"/>
      <c r="C305" s="3"/>
      <c r="D305" s="3"/>
      <c r="E305" s="3"/>
      <c r="F305" s="3"/>
      <c r="G305" s="3"/>
      <c r="H305" s="3"/>
      <c r="I305" s="3"/>
      <c r="J305" s="3"/>
      <c r="K305" s="3"/>
      <c r="L305" s="3"/>
      <c r="M305" s="3"/>
      <c r="N305" s="3"/>
      <c r="O305" s="3"/>
      <c r="P305" s="3"/>
      <c r="Q305" s="3"/>
      <c r="R305" s="3"/>
      <c r="S305" s="3"/>
      <c r="T305" s="3"/>
      <c r="U305" s="3"/>
      <c r="V305" s="18"/>
      <c r="W305" s="3"/>
      <c r="X305" s="3"/>
      <c r="Y305" s="3"/>
      <c r="Z305" s="3"/>
      <c r="AA305" s="3"/>
    </row>
    <row r="306" spans="1:27">
      <c r="A306" s="3"/>
      <c r="B306" s="3"/>
      <c r="C306" s="3"/>
      <c r="D306" s="3"/>
      <c r="E306" s="3"/>
      <c r="F306" s="3"/>
      <c r="G306" s="3"/>
      <c r="H306" s="3"/>
      <c r="I306" s="3"/>
      <c r="J306" s="3"/>
      <c r="K306" s="3"/>
      <c r="L306" s="3"/>
      <c r="M306" s="3"/>
      <c r="N306" s="3"/>
      <c r="O306" s="3"/>
      <c r="P306" s="3"/>
      <c r="Q306" s="3"/>
      <c r="R306" s="3"/>
      <c r="S306" s="3"/>
      <c r="T306" s="3"/>
      <c r="U306" s="3"/>
      <c r="V306" s="18"/>
      <c r="W306" s="3"/>
      <c r="X306" s="3"/>
      <c r="Y306" s="3"/>
      <c r="Z306" s="3"/>
      <c r="AA306" s="3"/>
    </row>
    <row r="307" spans="1:27">
      <c r="A307" s="3"/>
      <c r="B307" s="3"/>
      <c r="C307" s="3"/>
      <c r="D307" s="3"/>
      <c r="E307" s="3"/>
      <c r="F307" s="3"/>
      <c r="G307" s="3"/>
      <c r="H307" s="3"/>
      <c r="I307" s="3"/>
      <c r="J307" s="3"/>
      <c r="K307" s="3"/>
      <c r="L307" s="3"/>
      <c r="M307" s="3"/>
      <c r="N307" s="3"/>
      <c r="O307" s="3"/>
      <c r="P307" s="3"/>
      <c r="Q307" s="3"/>
      <c r="R307" s="3"/>
      <c r="S307" s="3"/>
      <c r="T307" s="3"/>
      <c r="U307" s="3"/>
      <c r="V307" s="18"/>
      <c r="W307" s="3"/>
      <c r="X307" s="3"/>
      <c r="Y307" s="3"/>
      <c r="Z307" s="3"/>
      <c r="AA307" s="3"/>
    </row>
    <row r="308" spans="1:27">
      <c r="A308" s="3"/>
      <c r="B308" s="3"/>
      <c r="C308" s="3"/>
      <c r="D308" s="3"/>
      <c r="E308" s="3"/>
      <c r="F308" s="3"/>
      <c r="G308" s="3"/>
      <c r="H308" s="3"/>
      <c r="I308" s="3"/>
      <c r="J308" s="3"/>
      <c r="K308" s="3"/>
      <c r="L308" s="3"/>
      <c r="M308" s="3"/>
      <c r="N308" s="3"/>
      <c r="O308" s="3"/>
      <c r="P308" s="3"/>
      <c r="Q308" s="3"/>
      <c r="R308" s="3"/>
      <c r="S308" s="3"/>
      <c r="T308" s="3"/>
      <c r="U308" s="3"/>
      <c r="V308" s="18"/>
      <c r="W308" s="3"/>
      <c r="X308" s="3"/>
      <c r="Y308" s="3"/>
      <c r="Z308" s="3"/>
      <c r="AA308" s="3"/>
    </row>
    <row r="309" spans="1:27">
      <c r="A309" s="3"/>
      <c r="B309" s="3"/>
      <c r="C309" s="3"/>
      <c r="D309" s="3"/>
      <c r="E309" s="3"/>
      <c r="F309" s="3"/>
      <c r="G309" s="3"/>
      <c r="H309" s="3"/>
      <c r="I309" s="3"/>
      <c r="J309" s="3"/>
      <c r="K309" s="3"/>
      <c r="L309" s="3"/>
      <c r="M309" s="3"/>
      <c r="N309" s="3"/>
      <c r="O309" s="3"/>
      <c r="P309" s="3"/>
      <c r="Q309" s="3"/>
      <c r="R309" s="3"/>
      <c r="S309" s="3"/>
      <c r="T309" s="3"/>
      <c r="U309" s="3"/>
      <c r="V309" s="18"/>
      <c r="W309" s="3"/>
      <c r="X309" s="3"/>
      <c r="Y309" s="3"/>
      <c r="Z309" s="3"/>
      <c r="AA309" s="3"/>
    </row>
    <row r="310" spans="1:27">
      <c r="A310" s="3"/>
      <c r="B310" s="3"/>
      <c r="C310" s="3"/>
      <c r="D310" s="3"/>
      <c r="E310" s="3"/>
      <c r="F310" s="3"/>
      <c r="G310" s="3"/>
      <c r="H310" s="3"/>
      <c r="I310" s="3"/>
      <c r="J310" s="3"/>
      <c r="K310" s="3"/>
      <c r="L310" s="3"/>
      <c r="M310" s="3"/>
      <c r="N310" s="3"/>
      <c r="O310" s="3"/>
      <c r="P310" s="3"/>
      <c r="Q310" s="3"/>
      <c r="R310" s="3"/>
      <c r="S310" s="3"/>
      <c r="T310" s="3"/>
      <c r="U310" s="3"/>
      <c r="V310" s="18"/>
      <c r="W310" s="3"/>
      <c r="X310" s="3"/>
      <c r="Y310" s="3"/>
      <c r="Z310" s="3"/>
      <c r="AA310" s="3"/>
    </row>
    <row r="311" spans="1:27">
      <c r="A311" s="3"/>
      <c r="B311" s="3"/>
      <c r="C311" s="3"/>
      <c r="D311" s="3"/>
      <c r="E311" s="3"/>
      <c r="F311" s="3"/>
      <c r="G311" s="3"/>
      <c r="H311" s="3"/>
      <c r="I311" s="3"/>
      <c r="J311" s="3"/>
      <c r="K311" s="3"/>
      <c r="L311" s="3"/>
      <c r="M311" s="3"/>
      <c r="N311" s="3"/>
      <c r="O311" s="3"/>
      <c r="P311" s="3"/>
      <c r="Q311" s="3"/>
      <c r="R311" s="3"/>
      <c r="S311" s="3"/>
      <c r="T311" s="3"/>
      <c r="U311" s="3"/>
      <c r="V311" s="18"/>
      <c r="W311" s="3"/>
      <c r="X311" s="3"/>
      <c r="Y311" s="3"/>
      <c r="Z311" s="3"/>
      <c r="AA311" s="3"/>
    </row>
    <row r="312" spans="1:27">
      <c r="A312" s="3"/>
      <c r="B312" s="3"/>
      <c r="C312" s="3"/>
      <c r="D312" s="3"/>
      <c r="E312" s="3"/>
      <c r="F312" s="3"/>
      <c r="G312" s="3"/>
      <c r="H312" s="3"/>
      <c r="I312" s="3"/>
      <c r="J312" s="3"/>
      <c r="K312" s="3"/>
      <c r="L312" s="3"/>
      <c r="M312" s="3"/>
      <c r="N312" s="3"/>
      <c r="O312" s="3"/>
      <c r="P312" s="3"/>
      <c r="Q312" s="3"/>
      <c r="R312" s="3"/>
      <c r="S312" s="3"/>
      <c r="T312" s="3"/>
      <c r="U312" s="3"/>
      <c r="V312" s="18"/>
      <c r="W312" s="3"/>
      <c r="X312" s="3"/>
      <c r="Y312" s="3"/>
      <c r="Z312" s="3"/>
      <c r="AA312" s="3"/>
    </row>
    <row r="313" spans="1:27">
      <c r="A313" s="3"/>
      <c r="B313" s="3"/>
      <c r="C313" s="3"/>
      <c r="D313" s="3"/>
      <c r="E313" s="3"/>
      <c r="F313" s="3"/>
      <c r="G313" s="3"/>
      <c r="H313" s="3"/>
      <c r="I313" s="3"/>
      <c r="J313" s="3"/>
      <c r="K313" s="3"/>
      <c r="L313" s="3"/>
      <c r="M313" s="3"/>
      <c r="N313" s="3"/>
      <c r="O313" s="3"/>
      <c r="P313" s="3"/>
      <c r="Q313" s="3"/>
      <c r="R313" s="3"/>
      <c r="S313" s="3"/>
      <c r="T313" s="3"/>
      <c r="U313" s="3"/>
      <c r="V313" s="18"/>
      <c r="W313" s="3"/>
      <c r="X313" s="3"/>
      <c r="Y313" s="3"/>
      <c r="Z313" s="3"/>
      <c r="AA313" s="3"/>
    </row>
    <row r="314" spans="1:27">
      <c r="A314" s="3"/>
      <c r="B314" s="3"/>
      <c r="C314" s="3"/>
      <c r="D314" s="3"/>
      <c r="E314" s="3"/>
      <c r="F314" s="3"/>
      <c r="G314" s="3"/>
      <c r="H314" s="3"/>
      <c r="I314" s="3"/>
      <c r="J314" s="3"/>
      <c r="K314" s="3"/>
      <c r="L314" s="3"/>
      <c r="M314" s="3"/>
      <c r="N314" s="3"/>
      <c r="O314" s="3"/>
      <c r="P314" s="3"/>
      <c r="Q314" s="3"/>
      <c r="R314" s="3"/>
      <c r="S314" s="3"/>
      <c r="T314" s="3"/>
      <c r="U314" s="3"/>
      <c r="V314" s="18"/>
      <c r="W314" s="3"/>
      <c r="X314" s="3"/>
      <c r="Y314" s="3"/>
      <c r="Z314" s="3"/>
      <c r="AA314" s="3"/>
    </row>
    <row r="315" spans="1:27">
      <c r="A315" s="3"/>
      <c r="B315" s="3"/>
      <c r="C315" s="3"/>
      <c r="D315" s="3"/>
      <c r="E315" s="3"/>
      <c r="F315" s="3"/>
      <c r="G315" s="3"/>
      <c r="H315" s="3"/>
      <c r="I315" s="3"/>
      <c r="J315" s="3"/>
      <c r="K315" s="3"/>
      <c r="L315" s="3"/>
      <c r="M315" s="3"/>
      <c r="N315" s="3"/>
      <c r="O315" s="3"/>
      <c r="P315" s="3"/>
      <c r="Q315" s="3"/>
      <c r="R315" s="3"/>
      <c r="S315" s="3"/>
      <c r="T315" s="3"/>
      <c r="U315" s="3"/>
      <c r="V315" s="18"/>
      <c r="W315" s="3"/>
      <c r="X315" s="3"/>
      <c r="Y315" s="3"/>
      <c r="Z315" s="3"/>
      <c r="AA315" s="3"/>
    </row>
    <row r="316" spans="1:27">
      <c r="A316" s="3"/>
      <c r="B316" s="3"/>
      <c r="C316" s="3"/>
      <c r="D316" s="3"/>
      <c r="E316" s="3"/>
      <c r="F316" s="3"/>
      <c r="G316" s="3"/>
      <c r="H316" s="3"/>
      <c r="I316" s="3"/>
      <c r="J316" s="3"/>
      <c r="K316" s="3"/>
      <c r="L316" s="3"/>
      <c r="M316" s="3"/>
      <c r="N316" s="3"/>
      <c r="O316" s="3"/>
      <c r="P316" s="3"/>
      <c r="Q316" s="3"/>
      <c r="R316" s="3"/>
      <c r="S316" s="3"/>
      <c r="T316" s="3"/>
      <c r="U316" s="3"/>
      <c r="V316" s="18"/>
      <c r="W316" s="3"/>
      <c r="X316" s="3"/>
      <c r="Y316" s="3"/>
      <c r="Z316" s="3"/>
      <c r="AA316" s="3"/>
    </row>
    <row r="317" spans="1:27">
      <c r="A317" s="3"/>
      <c r="B317" s="3"/>
      <c r="C317" s="3"/>
      <c r="D317" s="3"/>
      <c r="E317" s="3"/>
      <c r="F317" s="3"/>
      <c r="G317" s="3"/>
      <c r="H317" s="3"/>
      <c r="I317" s="3"/>
      <c r="J317" s="3"/>
      <c r="K317" s="3"/>
      <c r="L317" s="3"/>
      <c r="M317" s="3"/>
      <c r="N317" s="3"/>
      <c r="O317" s="3"/>
      <c r="P317" s="3"/>
      <c r="Q317" s="3"/>
      <c r="R317" s="3"/>
      <c r="S317" s="3"/>
      <c r="T317" s="3"/>
      <c r="U317" s="3"/>
      <c r="V317" s="18"/>
      <c r="W317" s="3"/>
      <c r="X317" s="3"/>
      <c r="Y317" s="3"/>
      <c r="Z317" s="3"/>
      <c r="AA317" s="3"/>
    </row>
    <row r="318" spans="1:27">
      <c r="A318" s="3"/>
      <c r="B318" s="3"/>
      <c r="C318" s="3"/>
      <c r="D318" s="3"/>
      <c r="E318" s="3"/>
      <c r="F318" s="3"/>
      <c r="G318" s="3"/>
      <c r="H318" s="3"/>
      <c r="I318" s="3"/>
      <c r="J318" s="3"/>
      <c r="K318" s="3"/>
      <c r="L318" s="3"/>
      <c r="M318" s="3"/>
      <c r="N318" s="3"/>
      <c r="O318" s="3"/>
      <c r="P318" s="3"/>
      <c r="Q318" s="3"/>
      <c r="R318" s="3"/>
      <c r="S318" s="3"/>
      <c r="T318" s="3"/>
      <c r="U318" s="3"/>
      <c r="V318" s="18"/>
      <c r="W318" s="3"/>
      <c r="X318" s="3"/>
      <c r="Y318" s="3"/>
      <c r="Z318" s="3"/>
      <c r="AA318" s="3"/>
    </row>
    <row r="319" spans="1:27">
      <c r="A319" s="3"/>
      <c r="B319" s="3"/>
      <c r="C319" s="3"/>
      <c r="D319" s="3"/>
      <c r="E319" s="3"/>
      <c r="F319" s="3"/>
      <c r="G319" s="3"/>
      <c r="H319" s="3"/>
      <c r="I319" s="3"/>
      <c r="J319" s="3"/>
      <c r="K319" s="3"/>
      <c r="L319" s="3"/>
      <c r="M319" s="3"/>
      <c r="N319" s="3"/>
      <c r="O319" s="3"/>
      <c r="P319" s="3"/>
      <c r="Q319" s="3"/>
      <c r="R319" s="3"/>
      <c r="S319" s="3"/>
      <c r="T319" s="3"/>
      <c r="U319" s="3"/>
      <c r="V319" s="18"/>
      <c r="W319" s="3"/>
      <c r="X319" s="3"/>
      <c r="Y319" s="3"/>
      <c r="Z319" s="3"/>
      <c r="AA319" s="3"/>
    </row>
    <row r="320" spans="1:27">
      <c r="A320" s="3"/>
      <c r="B320" s="3"/>
      <c r="C320" s="3"/>
      <c r="D320" s="3"/>
      <c r="E320" s="3"/>
      <c r="F320" s="3"/>
      <c r="G320" s="3"/>
      <c r="H320" s="3"/>
      <c r="I320" s="3"/>
      <c r="J320" s="3"/>
      <c r="K320" s="3"/>
      <c r="L320" s="3"/>
      <c r="M320" s="3"/>
      <c r="N320" s="3"/>
      <c r="O320" s="3"/>
      <c r="P320" s="3"/>
      <c r="Q320" s="3"/>
      <c r="R320" s="3"/>
      <c r="S320" s="3"/>
      <c r="T320" s="3"/>
      <c r="U320" s="3"/>
      <c r="V320" s="18"/>
      <c r="W320" s="3"/>
      <c r="X320" s="3"/>
      <c r="Y320" s="3"/>
      <c r="Z320" s="3"/>
      <c r="AA320" s="3"/>
    </row>
    <row r="321" spans="1:27">
      <c r="A321" s="3"/>
      <c r="B321" s="3"/>
      <c r="C321" s="3"/>
      <c r="D321" s="3"/>
      <c r="E321" s="3"/>
      <c r="F321" s="3"/>
      <c r="G321" s="3"/>
      <c r="H321" s="3"/>
      <c r="I321" s="3"/>
      <c r="J321" s="3"/>
      <c r="K321" s="3"/>
      <c r="L321" s="3"/>
      <c r="M321" s="3"/>
      <c r="N321" s="3"/>
      <c r="O321" s="3"/>
      <c r="P321" s="3"/>
      <c r="Q321" s="3"/>
      <c r="R321" s="3"/>
      <c r="S321" s="3"/>
      <c r="T321" s="3"/>
      <c r="U321" s="3"/>
      <c r="V321" s="18"/>
      <c r="W321" s="3"/>
      <c r="X321" s="3"/>
      <c r="Y321" s="3"/>
      <c r="Z321" s="3"/>
      <c r="AA321" s="3"/>
    </row>
    <row r="322" spans="1:27">
      <c r="A322" s="3"/>
      <c r="B322" s="3"/>
      <c r="C322" s="3"/>
      <c r="D322" s="3"/>
      <c r="E322" s="3"/>
      <c r="F322" s="3"/>
      <c r="G322" s="3"/>
      <c r="H322" s="3"/>
      <c r="I322" s="3"/>
      <c r="J322" s="3"/>
      <c r="K322" s="3"/>
      <c r="L322" s="3"/>
      <c r="M322" s="3"/>
      <c r="N322" s="3"/>
      <c r="O322" s="3"/>
      <c r="P322" s="3"/>
      <c r="Q322" s="3"/>
      <c r="R322" s="3"/>
      <c r="S322" s="3"/>
      <c r="T322" s="3"/>
      <c r="U322" s="3"/>
      <c r="V322" s="18"/>
      <c r="W322" s="3"/>
      <c r="X322" s="3"/>
      <c r="Y322" s="3"/>
      <c r="Z322" s="3"/>
      <c r="AA322" s="3"/>
    </row>
    <row r="323" spans="1:27">
      <c r="A323" s="3"/>
      <c r="B323" s="3"/>
      <c r="C323" s="3"/>
      <c r="D323" s="3"/>
      <c r="E323" s="3"/>
      <c r="F323" s="3"/>
      <c r="G323" s="3"/>
      <c r="H323" s="3"/>
      <c r="I323" s="3"/>
      <c r="J323" s="3"/>
      <c r="K323" s="3"/>
      <c r="L323" s="3"/>
      <c r="M323" s="3"/>
      <c r="N323" s="3"/>
      <c r="O323" s="3"/>
      <c r="P323" s="3"/>
      <c r="Q323" s="3"/>
      <c r="R323" s="3"/>
      <c r="S323" s="3"/>
      <c r="T323" s="3"/>
      <c r="U323" s="3"/>
      <c r="V323" s="18"/>
      <c r="W323" s="3"/>
      <c r="X323" s="3"/>
      <c r="Y323" s="3"/>
      <c r="Z323" s="3"/>
      <c r="AA323" s="3"/>
    </row>
    <row r="324" spans="1:27">
      <c r="A324" s="3"/>
      <c r="B324" s="3"/>
      <c r="C324" s="3"/>
      <c r="D324" s="3"/>
      <c r="E324" s="3"/>
      <c r="F324" s="3"/>
      <c r="G324" s="3"/>
      <c r="H324" s="3"/>
      <c r="I324" s="3"/>
      <c r="J324" s="3"/>
      <c r="K324" s="3"/>
      <c r="L324" s="3"/>
      <c r="M324" s="3"/>
      <c r="N324" s="3"/>
      <c r="O324" s="3"/>
      <c r="P324" s="3"/>
      <c r="Q324" s="3"/>
      <c r="R324" s="3"/>
      <c r="S324" s="3"/>
      <c r="T324" s="3"/>
      <c r="U324" s="3"/>
      <c r="V324" s="18"/>
      <c r="W324" s="3"/>
      <c r="X324" s="3"/>
      <c r="Y324" s="3"/>
      <c r="Z324" s="3"/>
      <c r="AA324" s="3"/>
    </row>
    <row r="325" spans="1:27">
      <c r="A325" s="3"/>
      <c r="B325" s="3"/>
      <c r="C325" s="3"/>
      <c r="D325" s="3"/>
      <c r="E325" s="3"/>
      <c r="F325" s="3"/>
      <c r="G325" s="3"/>
      <c r="H325" s="3"/>
      <c r="I325" s="3"/>
      <c r="J325" s="3"/>
      <c r="K325" s="3"/>
      <c r="L325" s="3"/>
      <c r="M325" s="3"/>
      <c r="N325" s="3"/>
      <c r="O325" s="3"/>
      <c r="P325" s="3"/>
      <c r="Q325" s="3"/>
      <c r="R325" s="3"/>
      <c r="S325" s="3"/>
      <c r="T325" s="3"/>
      <c r="U325" s="3"/>
      <c r="V325" s="18"/>
      <c r="W325" s="3"/>
      <c r="X325" s="3"/>
      <c r="Y325" s="3"/>
      <c r="Z325" s="3"/>
      <c r="AA325" s="3"/>
    </row>
    <row r="326" spans="1:27">
      <c r="A326" s="3"/>
      <c r="B326" s="3"/>
      <c r="C326" s="3"/>
      <c r="D326" s="3"/>
      <c r="E326" s="3"/>
      <c r="F326" s="3"/>
      <c r="G326" s="3"/>
      <c r="H326" s="3"/>
      <c r="I326" s="3"/>
      <c r="J326" s="3"/>
      <c r="K326" s="3"/>
      <c r="L326" s="3"/>
      <c r="M326" s="3"/>
      <c r="N326" s="3"/>
      <c r="O326" s="3"/>
      <c r="P326" s="3"/>
      <c r="Q326" s="3"/>
      <c r="R326" s="3"/>
      <c r="S326" s="3"/>
      <c r="T326" s="3"/>
      <c r="U326" s="3"/>
      <c r="V326" s="18"/>
      <c r="W326" s="3"/>
      <c r="X326" s="3"/>
      <c r="Y326" s="3"/>
      <c r="Z326" s="3"/>
      <c r="AA326" s="3"/>
    </row>
    <row r="327" spans="1:27">
      <c r="A327" s="3"/>
      <c r="B327" s="3"/>
      <c r="C327" s="3"/>
      <c r="D327" s="3"/>
      <c r="E327" s="3"/>
      <c r="F327" s="3"/>
      <c r="G327" s="3"/>
      <c r="H327" s="3"/>
      <c r="I327" s="3"/>
      <c r="J327" s="3"/>
      <c r="K327" s="3"/>
      <c r="L327" s="3"/>
      <c r="M327" s="3"/>
      <c r="N327" s="3"/>
      <c r="O327" s="3"/>
      <c r="P327" s="3"/>
      <c r="Q327" s="3"/>
      <c r="R327" s="3"/>
      <c r="S327" s="3"/>
      <c r="T327" s="3"/>
      <c r="U327" s="3"/>
      <c r="V327" s="18"/>
      <c r="W327" s="3"/>
      <c r="X327" s="3"/>
      <c r="Y327" s="3"/>
      <c r="Z327" s="3"/>
      <c r="AA327" s="3"/>
    </row>
    <row r="328" spans="1:27">
      <c r="A328" s="3"/>
      <c r="B328" s="3"/>
      <c r="C328" s="3"/>
      <c r="D328" s="3"/>
      <c r="E328" s="3"/>
      <c r="F328" s="3"/>
      <c r="G328" s="3"/>
      <c r="H328" s="3"/>
      <c r="I328" s="3"/>
      <c r="J328" s="3"/>
      <c r="K328" s="3"/>
      <c r="L328" s="3"/>
      <c r="M328" s="3"/>
      <c r="N328" s="3"/>
      <c r="O328" s="3"/>
      <c r="P328" s="3"/>
      <c r="Q328" s="3"/>
      <c r="R328" s="3"/>
      <c r="S328" s="3"/>
      <c r="T328" s="3"/>
      <c r="U328" s="3"/>
      <c r="V328" s="18"/>
      <c r="W328" s="3"/>
      <c r="X328" s="3"/>
      <c r="Y328" s="3"/>
      <c r="Z328" s="3"/>
      <c r="AA328" s="3"/>
    </row>
    <row r="329" spans="1:27">
      <c r="A329" s="3"/>
      <c r="B329" s="3"/>
      <c r="C329" s="3"/>
      <c r="D329" s="3"/>
      <c r="E329" s="3"/>
      <c r="F329" s="3"/>
      <c r="G329" s="3"/>
      <c r="H329" s="3"/>
      <c r="I329" s="3"/>
      <c r="J329" s="3"/>
      <c r="K329" s="3"/>
      <c r="L329" s="3"/>
      <c r="M329" s="3"/>
      <c r="N329" s="3"/>
      <c r="O329" s="3"/>
      <c r="P329" s="3"/>
      <c r="Q329" s="3"/>
      <c r="R329" s="3"/>
      <c r="S329" s="3"/>
      <c r="T329" s="3"/>
      <c r="U329" s="3"/>
      <c r="V329" s="18"/>
      <c r="W329" s="3"/>
      <c r="X329" s="3"/>
      <c r="Y329" s="3"/>
      <c r="Z329" s="3"/>
      <c r="AA329" s="3"/>
    </row>
    <row r="330" spans="1:27">
      <c r="A330" s="3"/>
      <c r="B330" s="3"/>
      <c r="C330" s="3"/>
      <c r="D330" s="3"/>
      <c r="E330" s="3"/>
      <c r="F330" s="3"/>
      <c r="G330" s="3"/>
      <c r="H330" s="3"/>
      <c r="I330" s="3"/>
      <c r="J330" s="3"/>
      <c r="K330" s="3"/>
      <c r="L330" s="3"/>
      <c r="M330" s="3"/>
      <c r="N330" s="3"/>
      <c r="O330" s="3"/>
      <c r="P330" s="3"/>
      <c r="Q330" s="3"/>
      <c r="R330" s="3"/>
      <c r="S330" s="3"/>
      <c r="T330" s="3"/>
      <c r="U330" s="3"/>
      <c r="V330" s="18"/>
      <c r="W330" s="3"/>
      <c r="X330" s="3"/>
      <c r="Y330" s="3"/>
      <c r="Z330" s="3"/>
      <c r="AA330" s="3"/>
    </row>
    <row r="331" spans="1:27">
      <c r="A331" s="3"/>
      <c r="B331" s="3"/>
      <c r="C331" s="3"/>
      <c r="D331" s="3"/>
      <c r="E331" s="3"/>
      <c r="F331" s="3"/>
      <c r="G331" s="3"/>
      <c r="H331" s="3"/>
      <c r="I331" s="3"/>
      <c r="J331" s="3"/>
      <c r="K331" s="3"/>
      <c r="L331" s="3"/>
      <c r="M331" s="3"/>
      <c r="N331" s="3"/>
      <c r="O331" s="3"/>
      <c r="P331" s="3"/>
      <c r="Q331" s="3"/>
      <c r="R331" s="3"/>
      <c r="S331" s="3"/>
      <c r="T331" s="3"/>
      <c r="U331" s="3"/>
      <c r="V331" s="18"/>
      <c r="W331" s="3"/>
      <c r="X331" s="3"/>
      <c r="Y331" s="3"/>
      <c r="Z331" s="3"/>
      <c r="AA331" s="3"/>
    </row>
    <row r="332" spans="1:27">
      <c r="A332" s="3"/>
      <c r="B332" s="3"/>
      <c r="C332" s="3"/>
      <c r="D332" s="3"/>
      <c r="E332" s="3"/>
      <c r="F332" s="3"/>
      <c r="G332" s="3"/>
      <c r="H332" s="3"/>
      <c r="I332" s="3"/>
      <c r="J332" s="3"/>
      <c r="K332" s="3"/>
      <c r="L332" s="3"/>
      <c r="M332" s="3"/>
      <c r="N332" s="3"/>
      <c r="O332" s="3"/>
      <c r="P332" s="3"/>
      <c r="Q332" s="3"/>
      <c r="R332" s="3"/>
      <c r="S332" s="3"/>
      <c r="T332" s="3"/>
      <c r="U332" s="3"/>
      <c r="V332" s="18"/>
      <c r="W332" s="3"/>
      <c r="X332" s="3"/>
      <c r="Y332" s="3"/>
      <c r="Z332" s="3"/>
      <c r="AA332" s="3"/>
    </row>
    <row r="333" spans="1:27">
      <c r="A333" s="3"/>
      <c r="B333" s="3"/>
      <c r="C333" s="3"/>
      <c r="D333" s="3"/>
      <c r="E333" s="3"/>
      <c r="F333" s="3"/>
      <c r="G333" s="3"/>
      <c r="H333" s="3"/>
      <c r="I333" s="3"/>
      <c r="J333" s="3"/>
      <c r="K333" s="3"/>
      <c r="L333" s="3"/>
      <c r="M333" s="3"/>
      <c r="N333" s="3"/>
      <c r="O333" s="3"/>
      <c r="P333" s="3"/>
      <c r="Q333" s="3"/>
      <c r="R333" s="3"/>
      <c r="S333" s="3"/>
      <c r="T333" s="3"/>
      <c r="U333" s="3"/>
      <c r="V333" s="18"/>
      <c r="W333" s="3"/>
      <c r="X333" s="3"/>
      <c r="Y333" s="3"/>
      <c r="Z333" s="3"/>
      <c r="AA333" s="3"/>
    </row>
    <row r="334" spans="1:27">
      <c r="A334" s="3"/>
      <c r="B334" s="3"/>
      <c r="C334" s="3"/>
      <c r="D334" s="3"/>
      <c r="E334" s="3"/>
      <c r="F334" s="3"/>
      <c r="G334" s="3"/>
      <c r="H334" s="3"/>
      <c r="I334" s="3"/>
      <c r="J334" s="3"/>
      <c r="K334" s="3"/>
      <c r="L334" s="3"/>
      <c r="M334" s="3"/>
      <c r="N334" s="3"/>
      <c r="O334" s="3"/>
      <c r="P334" s="3"/>
      <c r="Q334" s="3"/>
      <c r="R334" s="3"/>
      <c r="S334" s="3"/>
      <c r="T334" s="3"/>
      <c r="U334" s="3"/>
      <c r="V334" s="18"/>
      <c r="W334" s="3"/>
      <c r="X334" s="3"/>
      <c r="Y334" s="3"/>
      <c r="Z334" s="3"/>
      <c r="AA334" s="3"/>
    </row>
    <row r="335" spans="1:27">
      <c r="A335" s="3"/>
      <c r="B335" s="3"/>
      <c r="C335" s="3"/>
      <c r="D335" s="3"/>
      <c r="E335" s="3"/>
      <c r="F335" s="3"/>
      <c r="G335" s="3"/>
      <c r="H335" s="3"/>
      <c r="I335" s="3"/>
      <c r="J335" s="3"/>
      <c r="K335" s="3"/>
      <c r="L335" s="3"/>
      <c r="M335" s="3"/>
      <c r="N335" s="3"/>
      <c r="O335" s="3"/>
      <c r="P335" s="3"/>
      <c r="Q335" s="3"/>
      <c r="R335" s="3"/>
      <c r="S335" s="3"/>
      <c r="T335" s="3"/>
      <c r="U335" s="3"/>
      <c r="V335" s="18"/>
      <c r="W335" s="3"/>
      <c r="X335" s="3"/>
      <c r="Y335" s="3"/>
      <c r="Z335" s="3"/>
      <c r="AA335" s="3"/>
    </row>
    <row r="336" spans="1:27">
      <c r="A336" s="3"/>
      <c r="B336" s="3"/>
      <c r="C336" s="3"/>
      <c r="D336" s="3"/>
      <c r="E336" s="3"/>
      <c r="F336" s="3"/>
      <c r="G336" s="3"/>
      <c r="H336" s="3"/>
      <c r="I336" s="3"/>
      <c r="J336" s="3"/>
      <c r="K336" s="3"/>
      <c r="L336" s="3"/>
      <c r="M336" s="3"/>
      <c r="N336" s="3"/>
      <c r="O336" s="3"/>
      <c r="P336" s="3"/>
      <c r="Q336" s="3"/>
      <c r="R336" s="3"/>
      <c r="S336" s="3"/>
      <c r="T336" s="3"/>
      <c r="U336" s="3"/>
      <c r="V336" s="18"/>
      <c r="W336" s="3"/>
      <c r="X336" s="3"/>
      <c r="Y336" s="3"/>
      <c r="Z336" s="3"/>
      <c r="AA336" s="3"/>
    </row>
    <row r="337" spans="1:27">
      <c r="A337" s="3"/>
      <c r="B337" s="3"/>
      <c r="C337" s="3"/>
      <c r="D337" s="3"/>
      <c r="E337" s="3"/>
      <c r="F337" s="3"/>
      <c r="G337" s="3"/>
      <c r="H337" s="3"/>
      <c r="I337" s="3"/>
      <c r="J337" s="3"/>
      <c r="K337" s="3"/>
      <c r="L337" s="3"/>
      <c r="M337" s="3"/>
      <c r="N337" s="3"/>
      <c r="O337" s="3"/>
      <c r="P337" s="3"/>
      <c r="Q337" s="3"/>
      <c r="R337" s="3"/>
      <c r="S337" s="3"/>
      <c r="T337" s="3"/>
      <c r="U337" s="3"/>
      <c r="V337" s="18"/>
      <c r="W337" s="3"/>
      <c r="X337" s="3"/>
      <c r="Y337" s="3"/>
      <c r="Z337" s="3"/>
      <c r="AA337" s="3"/>
    </row>
    <row r="338" spans="1:27">
      <c r="A338" s="3"/>
      <c r="B338" s="3"/>
      <c r="C338" s="3"/>
      <c r="D338" s="3"/>
      <c r="E338" s="3"/>
      <c r="F338" s="3"/>
      <c r="G338" s="3"/>
      <c r="H338" s="3"/>
      <c r="I338" s="3"/>
      <c r="J338" s="3"/>
      <c r="K338" s="3"/>
      <c r="L338" s="3"/>
      <c r="M338" s="3"/>
      <c r="N338" s="3"/>
      <c r="O338" s="3"/>
      <c r="P338" s="3"/>
      <c r="Q338" s="3"/>
      <c r="R338" s="3"/>
      <c r="S338" s="3"/>
      <c r="T338" s="3"/>
      <c r="U338" s="3"/>
      <c r="V338" s="18"/>
      <c r="W338" s="3"/>
      <c r="X338" s="3"/>
      <c r="Y338" s="3"/>
      <c r="Z338" s="3"/>
      <c r="AA338" s="3"/>
    </row>
    <row r="339" spans="1:27">
      <c r="A339" s="3"/>
      <c r="B339" s="3"/>
      <c r="C339" s="3"/>
      <c r="D339" s="3"/>
      <c r="E339" s="3"/>
      <c r="F339" s="3"/>
      <c r="G339" s="3"/>
      <c r="H339" s="3"/>
      <c r="I339" s="3"/>
      <c r="J339" s="3"/>
      <c r="K339" s="3"/>
      <c r="L339" s="3"/>
      <c r="M339" s="3"/>
      <c r="N339" s="3"/>
      <c r="O339" s="3"/>
      <c r="P339" s="3"/>
      <c r="Q339" s="3"/>
      <c r="R339" s="3"/>
      <c r="S339" s="3"/>
      <c r="T339" s="3"/>
      <c r="U339" s="3"/>
      <c r="V339" s="18"/>
      <c r="W339" s="3"/>
      <c r="X339" s="3"/>
      <c r="Y339" s="3"/>
      <c r="Z339" s="3"/>
      <c r="AA339" s="3"/>
    </row>
    <row r="340" spans="1:27">
      <c r="A340" s="3"/>
      <c r="B340" s="3"/>
      <c r="C340" s="3"/>
      <c r="D340" s="3"/>
      <c r="E340" s="3"/>
      <c r="F340" s="3"/>
      <c r="G340" s="3"/>
      <c r="H340" s="3"/>
      <c r="I340" s="3"/>
      <c r="J340" s="3"/>
      <c r="K340" s="3"/>
      <c r="L340" s="3"/>
      <c r="M340" s="3"/>
      <c r="N340" s="3"/>
      <c r="O340" s="3"/>
      <c r="P340" s="3"/>
      <c r="Q340" s="3"/>
      <c r="R340" s="3"/>
      <c r="S340" s="3"/>
      <c r="T340" s="3"/>
      <c r="U340" s="3"/>
      <c r="V340" s="18"/>
      <c r="W340" s="3"/>
      <c r="X340" s="3"/>
      <c r="Y340" s="3"/>
      <c r="Z340" s="3"/>
      <c r="AA340" s="3"/>
    </row>
    <row r="341" spans="1:27">
      <c r="A341" s="3"/>
      <c r="B341" s="3"/>
      <c r="C341" s="3"/>
      <c r="D341" s="3"/>
      <c r="E341" s="3"/>
      <c r="F341" s="3"/>
      <c r="G341" s="3"/>
      <c r="H341" s="3"/>
      <c r="I341" s="3"/>
      <c r="J341" s="3"/>
      <c r="K341" s="3"/>
      <c r="L341" s="3"/>
      <c r="M341" s="3"/>
      <c r="N341" s="3"/>
      <c r="O341" s="3"/>
      <c r="P341" s="3"/>
      <c r="Q341" s="3"/>
      <c r="R341" s="3"/>
      <c r="S341" s="3"/>
      <c r="T341" s="3"/>
      <c r="U341" s="3"/>
      <c r="V341" s="18"/>
      <c r="W341" s="3"/>
      <c r="X341" s="3"/>
      <c r="Y341" s="3"/>
      <c r="Z341" s="3"/>
      <c r="AA341" s="3"/>
    </row>
    <row r="342" spans="1:27">
      <c r="A342" s="3"/>
      <c r="B342" s="3"/>
      <c r="C342" s="3"/>
      <c r="D342" s="3"/>
      <c r="E342" s="3"/>
      <c r="F342" s="3"/>
      <c r="G342" s="3"/>
      <c r="H342" s="3"/>
      <c r="I342" s="3"/>
      <c r="J342" s="3"/>
      <c r="K342" s="3"/>
      <c r="L342" s="3"/>
      <c r="M342" s="3"/>
      <c r="N342" s="3"/>
      <c r="O342" s="3"/>
      <c r="P342" s="3"/>
      <c r="Q342" s="3"/>
      <c r="R342" s="3"/>
      <c r="S342" s="3"/>
      <c r="T342" s="3"/>
      <c r="U342" s="3"/>
      <c r="V342" s="18"/>
      <c r="W342" s="3"/>
      <c r="X342" s="3"/>
      <c r="Y342" s="3"/>
      <c r="Z342" s="3"/>
      <c r="AA342" s="3"/>
    </row>
    <row r="343" spans="1:27">
      <c r="A343" s="3"/>
      <c r="B343" s="3"/>
      <c r="C343" s="3"/>
      <c r="D343" s="3"/>
      <c r="E343" s="3"/>
      <c r="F343" s="3"/>
      <c r="G343" s="3"/>
      <c r="H343" s="3"/>
      <c r="I343" s="3"/>
      <c r="J343" s="3"/>
      <c r="K343" s="3"/>
      <c r="L343" s="3"/>
      <c r="M343" s="3"/>
      <c r="N343" s="3"/>
      <c r="O343" s="3"/>
      <c r="P343" s="3"/>
      <c r="Q343" s="3"/>
      <c r="R343" s="3"/>
      <c r="S343" s="3"/>
      <c r="T343" s="3"/>
      <c r="U343" s="3"/>
      <c r="V343" s="18"/>
      <c r="W343" s="3"/>
      <c r="X343" s="3"/>
      <c r="Y343" s="3"/>
      <c r="Z343" s="3"/>
      <c r="AA343" s="3"/>
    </row>
    <row r="344" spans="1:27">
      <c r="A344" s="3"/>
      <c r="B344" s="3"/>
      <c r="C344" s="3"/>
      <c r="D344" s="3"/>
      <c r="E344" s="3"/>
      <c r="F344" s="3"/>
      <c r="G344" s="3"/>
      <c r="H344" s="3"/>
      <c r="I344" s="3"/>
      <c r="J344" s="3"/>
      <c r="K344" s="3"/>
      <c r="L344" s="3"/>
      <c r="M344" s="3"/>
      <c r="N344" s="3"/>
      <c r="O344" s="3"/>
      <c r="P344" s="3"/>
      <c r="Q344" s="3"/>
      <c r="R344" s="3"/>
      <c r="S344" s="3"/>
      <c r="T344" s="3"/>
      <c r="U344" s="3"/>
      <c r="V344" s="18"/>
      <c r="W344" s="3"/>
      <c r="X344" s="3"/>
      <c r="Y344" s="3"/>
      <c r="Z344" s="3"/>
      <c r="AA344" s="3"/>
    </row>
    <row r="345" spans="1:27">
      <c r="A345" s="3"/>
      <c r="B345" s="3"/>
      <c r="C345" s="3"/>
      <c r="D345" s="3"/>
      <c r="E345" s="3"/>
      <c r="F345" s="3"/>
      <c r="G345" s="3"/>
      <c r="H345" s="3"/>
      <c r="I345" s="3"/>
      <c r="J345" s="3"/>
      <c r="K345" s="3"/>
      <c r="L345" s="3"/>
      <c r="M345" s="3"/>
      <c r="N345" s="3"/>
      <c r="O345" s="3"/>
      <c r="P345" s="3"/>
      <c r="Q345" s="3"/>
      <c r="R345" s="3"/>
      <c r="S345" s="3"/>
      <c r="T345" s="3"/>
      <c r="U345" s="3"/>
      <c r="V345" s="18"/>
      <c r="W345" s="3"/>
      <c r="X345" s="3"/>
      <c r="Y345" s="3"/>
      <c r="Z345" s="3"/>
      <c r="AA345" s="3"/>
    </row>
    <row r="346" spans="1:27">
      <c r="A346" s="3"/>
      <c r="B346" s="3"/>
      <c r="C346" s="3"/>
      <c r="D346" s="3"/>
      <c r="E346" s="3"/>
      <c r="F346" s="3"/>
      <c r="G346" s="3"/>
      <c r="H346" s="3"/>
      <c r="I346" s="3"/>
      <c r="J346" s="3"/>
      <c r="K346" s="3"/>
      <c r="L346" s="3"/>
      <c r="M346" s="3"/>
      <c r="N346" s="3"/>
      <c r="O346" s="3"/>
      <c r="P346" s="3"/>
      <c r="Q346" s="3"/>
      <c r="R346" s="3"/>
      <c r="S346" s="3"/>
      <c r="T346" s="3"/>
      <c r="U346" s="3"/>
      <c r="V346" s="18"/>
      <c r="W346" s="3"/>
      <c r="X346" s="3"/>
      <c r="Y346" s="3"/>
      <c r="Z346" s="3"/>
      <c r="AA346" s="3"/>
    </row>
    <row r="347" spans="1:27">
      <c r="A347" s="3"/>
      <c r="B347" s="3"/>
      <c r="C347" s="3"/>
      <c r="D347" s="3"/>
      <c r="E347" s="3"/>
      <c r="F347" s="3"/>
      <c r="G347" s="3"/>
      <c r="H347" s="3"/>
      <c r="I347" s="3"/>
      <c r="J347" s="3"/>
      <c r="K347" s="3"/>
      <c r="L347" s="3"/>
      <c r="M347" s="3"/>
      <c r="N347" s="3"/>
      <c r="O347" s="3"/>
      <c r="P347" s="3"/>
      <c r="Q347" s="3"/>
      <c r="R347" s="3"/>
      <c r="S347" s="3"/>
      <c r="T347" s="3"/>
      <c r="U347" s="3"/>
      <c r="V347" s="18"/>
      <c r="W347" s="3"/>
      <c r="X347" s="3"/>
      <c r="Y347" s="3"/>
      <c r="Z347" s="3"/>
      <c r="AA347" s="3"/>
    </row>
    <row r="348" spans="1:27">
      <c r="A348" s="3"/>
      <c r="B348" s="3"/>
      <c r="C348" s="3"/>
      <c r="D348" s="3"/>
      <c r="E348" s="3"/>
      <c r="F348" s="3"/>
      <c r="G348" s="3"/>
      <c r="H348" s="3"/>
      <c r="I348" s="3"/>
      <c r="J348" s="3"/>
      <c r="K348" s="3"/>
      <c r="L348" s="3"/>
      <c r="M348" s="3"/>
      <c r="N348" s="3"/>
      <c r="O348" s="3"/>
      <c r="P348" s="3"/>
      <c r="Q348" s="3"/>
      <c r="R348" s="3"/>
      <c r="S348" s="3"/>
      <c r="T348" s="3"/>
      <c r="U348" s="3"/>
      <c r="V348" s="18"/>
      <c r="W348" s="3"/>
      <c r="X348" s="3"/>
      <c r="Y348" s="3"/>
      <c r="Z348" s="3"/>
      <c r="AA348" s="3"/>
    </row>
    <row r="349" spans="1:27">
      <c r="A349" s="3"/>
      <c r="B349" s="3"/>
      <c r="C349" s="3"/>
      <c r="D349" s="3"/>
      <c r="E349" s="3"/>
      <c r="F349" s="3"/>
      <c r="G349" s="3"/>
      <c r="H349" s="3"/>
      <c r="I349" s="3"/>
      <c r="J349" s="3"/>
      <c r="K349" s="3"/>
      <c r="L349" s="3"/>
      <c r="M349" s="3"/>
      <c r="N349" s="3"/>
      <c r="O349" s="3"/>
      <c r="P349" s="3"/>
      <c r="Q349" s="3"/>
      <c r="R349" s="3"/>
      <c r="S349" s="3"/>
      <c r="T349" s="3"/>
      <c r="U349" s="3"/>
      <c r="V349" s="18"/>
      <c r="W349" s="3"/>
      <c r="X349" s="3"/>
      <c r="Y349" s="3"/>
      <c r="Z349" s="3"/>
      <c r="AA349" s="3"/>
    </row>
    <row r="350" spans="1:27">
      <c r="A350" s="3"/>
      <c r="B350" s="3"/>
      <c r="C350" s="3"/>
      <c r="D350" s="3"/>
      <c r="E350" s="3"/>
      <c r="F350" s="3"/>
      <c r="G350" s="3"/>
      <c r="H350" s="3"/>
      <c r="I350" s="3"/>
      <c r="J350" s="3"/>
      <c r="K350" s="3"/>
      <c r="L350" s="3"/>
      <c r="M350" s="3"/>
      <c r="N350" s="3"/>
      <c r="O350" s="3"/>
      <c r="P350" s="3"/>
      <c r="Q350" s="3"/>
      <c r="R350" s="3"/>
      <c r="S350" s="3"/>
      <c r="T350" s="3"/>
      <c r="U350" s="3"/>
      <c r="V350" s="18"/>
      <c r="W350" s="3"/>
      <c r="X350" s="3"/>
      <c r="Y350" s="3"/>
      <c r="Z350" s="3"/>
      <c r="AA350" s="3"/>
    </row>
    <row r="351" spans="1:27">
      <c r="A351" s="3"/>
      <c r="B351" s="3"/>
      <c r="C351" s="3"/>
      <c r="D351" s="3"/>
      <c r="E351" s="3"/>
      <c r="F351" s="3"/>
      <c r="G351" s="3"/>
      <c r="H351" s="3"/>
      <c r="I351" s="3"/>
      <c r="J351" s="3"/>
      <c r="K351" s="3"/>
      <c r="L351" s="3"/>
      <c r="M351" s="3"/>
      <c r="N351" s="3"/>
      <c r="O351" s="3"/>
      <c r="P351" s="3"/>
      <c r="Q351" s="3"/>
      <c r="R351" s="3"/>
      <c r="S351" s="3"/>
      <c r="T351" s="3"/>
      <c r="U351" s="3"/>
      <c r="V351" s="18"/>
      <c r="W351" s="3"/>
      <c r="X351" s="3"/>
      <c r="Y351" s="3"/>
      <c r="Z351" s="3"/>
      <c r="AA351" s="3"/>
    </row>
    <row r="352" spans="1:27">
      <c r="A352" s="3"/>
      <c r="B352" s="3"/>
      <c r="C352" s="3"/>
      <c r="D352" s="3"/>
      <c r="E352" s="3"/>
      <c r="F352" s="3"/>
      <c r="G352" s="3"/>
      <c r="H352" s="3"/>
      <c r="I352" s="3"/>
      <c r="J352" s="3"/>
      <c r="K352" s="3"/>
      <c r="L352" s="3"/>
      <c r="M352" s="3"/>
      <c r="N352" s="3"/>
      <c r="O352" s="3"/>
      <c r="P352" s="3"/>
      <c r="Q352" s="3"/>
      <c r="R352" s="3"/>
      <c r="S352" s="3"/>
      <c r="T352" s="3"/>
      <c r="U352" s="3"/>
      <c r="V352" s="18"/>
      <c r="W352" s="3"/>
      <c r="X352" s="3"/>
      <c r="Y352" s="3"/>
      <c r="Z352" s="3"/>
      <c r="AA352" s="3"/>
    </row>
    <row r="353" spans="1:27">
      <c r="A353" s="3"/>
      <c r="B353" s="3"/>
      <c r="C353" s="3"/>
      <c r="D353" s="3"/>
      <c r="E353" s="3"/>
      <c r="F353" s="3"/>
      <c r="G353" s="3"/>
      <c r="H353" s="3"/>
      <c r="I353" s="3"/>
      <c r="J353" s="3"/>
      <c r="K353" s="3"/>
      <c r="L353" s="3"/>
      <c r="M353" s="3"/>
      <c r="N353" s="3"/>
      <c r="O353" s="3"/>
      <c r="P353" s="3"/>
      <c r="Q353" s="3"/>
      <c r="R353" s="3"/>
      <c r="S353" s="3"/>
      <c r="T353" s="3"/>
      <c r="U353" s="3"/>
      <c r="V353" s="18"/>
      <c r="W353" s="3"/>
      <c r="X353" s="3"/>
      <c r="Y353" s="3"/>
      <c r="Z353" s="3"/>
      <c r="AA353" s="3"/>
    </row>
    <row r="354" spans="1:27">
      <c r="A354" s="3"/>
      <c r="B354" s="3"/>
      <c r="C354" s="3"/>
      <c r="D354" s="3"/>
      <c r="E354" s="3"/>
      <c r="F354" s="3"/>
      <c r="G354" s="3"/>
      <c r="H354" s="3"/>
      <c r="I354" s="3"/>
      <c r="J354" s="3"/>
      <c r="K354" s="3"/>
      <c r="L354" s="3"/>
      <c r="M354" s="3"/>
      <c r="N354" s="3"/>
      <c r="O354" s="3"/>
      <c r="P354" s="3"/>
      <c r="Q354" s="3"/>
      <c r="R354" s="3"/>
      <c r="S354" s="3"/>
      <c r="T354" s="3"/>
      <c r="U354" s="3"/>
      <c r="V354" s="18"/>
      <c r="W354" s="3"/>
      <c r="X354" s="3"/>
      <c r="Y354" s="3"/>
      <c r="Z354" s="3"/>
      <c r="AA354" s="3"/>
    </row>
    <row r="355" spans="1:27">
      <c r="A355" s="3"/>
      <c r="B355" s="3"/>
      <c r="C355" s="3"/>
      <c r="D355" s="3"/>
      <c r="E355" s="3"/>
      <c r="F355" s="3"/>
      <c r="G355" s="3"/>
      <c r="H355" s="3"/>
      <c r="I355" s="3"/>
      <c r="J355" s="3"/>
      <c r="K355" s="3"/>
      <c r="L355" s="3"/>
      <c r="M355" s="3"/>
      <c r="N355" s="3"/>
      <c r="O355" s="3"/>
      <c r="P355" s="3"/>
      <c r="Q355" s="3"/>
      <c r="R355" s="3"/>
      <c r="S355" s="3"/>
      <c r="T355" s="3"/>
      <c r="U355" s="3"/>
      <c r="V355" s="18"/>
      <c r="W355" s="3"/>
      <c r="X355" s="3"/>
      <c r="Y355" s="3"/>
      <c r="Z355" s="3"/>
      <c r="AA355" s="3"/>
    </row>
    <row r="356" spans="1:27">
      <c r="A356" s="3"/>
      <c r="B356" s="3"/>
      <c r="C356" s="3"/>
      <c r="D356" s="3"/>
      <c r="E356" s="3"/>
      <c r="F356" s="3"/>
      <c r="G356" s="3"/>
      <c r="H356" s="3"/>
      <c r="I356" s="3"/>
      <c r="J356" s="3"/>
      <c r="K356" s="3"/>
      <c r="L356" s="3"/>
      <c r="M356" s="3"/>
      <c r="N356" s="3"/>
      <c r="O356" s="3"/>
      <c r="P356" s="3"/>
      <c r="Q356" s="3"/>
      <c r="R356" s="3"/>
      <c r="S356" s="3"/>
      <c r="T356" s="3"/>
      <c r="U356" s="3"/>
      <c r="V356" s="18"/>
      <c r="W356" s="3"/>
      <c r="X356" s="3"/>
      <c r="Y356" s="3"/>
      <c r="Z356" s="3"/>
      <c r="AA356" s="3"/>
    </row>
    <row r="357" spans="1:27">
      <c r="A357" s="3"/>
      <c r="B357" s="3"/>
      <c r="C357" s="3"/>
      <c r="D357" s="3"/>
      <c r="E357" s="3"/>
      <c r="F357" s="3"/>
      <c r="G357" s="3"/>
      <c r="H357" s="3"/>
      <c r="I357" s="3"/>
      <c r="J357" s="3"/>
      <c r="K357" s="3"/>
      <c r="L357" s="3"/>
      <c r="M357" s="3"/>
      <c r="N357" s="3"/>
      <c r="O357" s="3"/>
      <c r="P357" s="3"/>
      <c r="Q357" s="3"/>
      <c r="R357" s="3"/>
      <c r="S357" s="3"/>
      <c r="T357" s="3"/>
      <c r="U357" s="3"/>
      <c r="V357" s="18"/>
      <c r="W357" s="3"/>
      <c r="X357" s="3"/>
      <c r="Y357" s="3"/>
      <c r="Z357" s="3"/>
      <c r="AA357" s="3"/>
    </row>
    <row r="358" spans="1:27">
      <c r="A358" s="3"/>
      <c r="B358" s="3"/>
      <c r="C358" s="3"/>
      <c r="D358" s="3"/>
      <c r="E358" s="3"/>
      <c r="F358" s="3"/>
      <c r="G358" s="3"/>
      <c r="H358" s="3"/>
      <c r="I358" s="3"/>
      <c r="J358" s="3"/>
      <c r="K358" s="3"/>
      <c r="L358" s="3"/>
      <c r="M358" s="3"/>
      <c r="N358" s="3"/>
      <c r="O358" s="3"/>
      <c r="P358" s="3"/>
      <c r="Q358" s="3"/>
      <c r="R358" s="3"/>
      <c r="S358" s="3"/>
      <c r="T358" s="3"/>
      <c r="U358" s="3"/>
      <c r="V358" s="18"/>
      <c r="W358" s="3"/>
      <c r="X358" s="3"/>
      <c r="Y358" s="3"/>
      <c r="Z358" s="3"/>
      <c r="AA358" s="3"/>
    </row>
    <row r="359" spans="1:27">
      <c r="A359" s="3"/>
      <c r="B359" s="3"/>
      <c r="C359" s="3"/>
      <c r="D359" s="3"/>
      <c r="E359" s="3"/>
      <c r="F359" s="3"/>
      <c r="G359" s="3"/>
      <c r="H359" s="3"/>
      <c r="I359" s="3"/>
      <c r="J359" s="3"/>
      <c r="K359" s="3"/>
      <c r="L359" s="3"/>
      <c r="M359" s="3"/>
      <c r="N359" s="3"/>
      <c r="O359" s="3"/>
      <c r="P359" s="3"/>
      <c r="Q359" s="3"/>
      <c r="R359" s="3"/>
      <c r="S359" s="3"/>
      <c r="T359" s="3"/>
      <c r="U359" s="3"/>
      <c r="V359" s="18"/>
      <c r="W359" s="3"/>
      <c r="X359" s="3"/>
      <c r="Y359" s="3"/>
      <c r="Z359" s="3"/>
      <c r="AA359" s="3"/>
    </row>
    <row r="360" spans="1:27">
      <c r="A360" s="3"/>
      <c r="B360" s="3"/>
      <c r="C360" s="3"/>
      <c r="D360" s="3"/>
      <c r="E360" s="3"/>
      <c r="F360" s="3"/>
      <c r="G360" s="3"/>
      <c r="H360" s="3"/>
      <c r="I360" s="3"/>
      <c r="J360" s="3"/>
      <c r="K360" s="3"/>
      <c r="L360" s="3"/>
      <c r="M360" s="3"/>
      <c r="N360" s="3"/>
      <c r="O360" s="3"/>
      <c r="P360" s="3"/>
      <c r="Q360" s="3"/>
      <c r="R360" s="3"/>
      <c r="S360" s="3"/>
      <c r="T360" s="3"/>
      <c r="U360" s="3"/>
      <c r="V360" s="18"/>
      <c r="W360" s="3"/>
      <c r="X360" s="3"/>
      <c r="Y360" s="3"/>
      <c r="Z360" s="3"/>
      <c r="AA360" s="3"/>
    </row>
    <row r="361" spans="1:27">
      <c r="A361" s="3"/>
      <c r="B361" s="3"/>
      <c r="C361" s="3"/>
      <c r="D361" s="3"/>
      <c r="E361" s="3"/>
      <c r="F361" s="3"/>
      <c r="G361" s="3"/>
      <c r="H361" s="3"/>
      <c r="I361" s="3"/>
      <c r="J361" s="3"/>
      <c r="K361" s="3"/>
      <c r="L361" s="3"/>
      <c r="M361" s="3"/>
      <c r="N361" s="3"/>
      <c r="O361" s="3"/>
      <c r="P361" s="3"/>
      <c r="Q361" s="3"/>
      <c r="R361" s="3"/>
      <c r="S361" s="3"/>
      <c r="T361" s="3"/>
      <c r="U361" s="3"/>
      <c r="V361" s="18"/>
      <c r="W361" s="3"/>
      <c r="X361" s="3"/>
      <c r="Y361" s="3"/>
      <c r="Z361" s="3"/>
      <c r="AA361" s="3"/>
    </row>
    <row r="362" spans="1:27">
      <c r="A362" s="3"/>
      <c r="B362" s="3"/>
      <c r="C362" s="3"/>
      <c r="D362" s="3"/>
      <c r="E362" s="3"/>
      <c r="F362" s="3"/>
      <c r="G362" s="3"/>
      <c r="H362" s="3"/>
      <c r="I362" s="3"/>
      <c r="J362" s="3"/>
      <c r="K362" s="3"/>
      <c r="L362" s="3"/>
      <c r="M362" s="3"/>
      <c r="N362" s="3"/>
      <c r="O362" s="3"/>
      <c r="P362" s="3"/>
      <c r="Q362" s="3"/>
      <c r="R362" s="3"/>
      <c r="S362" s="3"/>
      <c r="T362" s="3"/>
      <c r="U362" s="3"/>
      <c r="V362" s="18"/>
      <c r="W362" s="3"/>
      <c r="X362" s="3"/>
      <c r="Y362" s="3"/>
      <c r="Z362" s="3"/>
      <c r="AA362" s="3"/>
    </row>
    <row r="363" spans="1:27">
      <c r="A363" s="3"/>
      <c r="B363" s="3"/>
      <c r="C363" s="3"/>
      <c r="D363" s="3"/>
      <c r="E363" s="3"/>
      <c r="F363" s="3"/>
      <c r="G363" s="3"/>
      <c r="H363" s="3"/>
      <c r="I363" s="3"/>
      <c r="J363" s="3"/>
      <c r="K363" s="3"/>
      <c r="L363" s="3"/>
      <c r="M363" s="3"/>
      <c r="N363" s="3"/>
      <c r="O363" s="3"/>
      <c r="P363" s="3"/>
      <c r="Q363" s="3"/>
      <c r="R363" s="3"/>
      <c r="S363" s="3"/>
      <c r="T363" s="3"/>
      <c r="U363" s="3"/>
      <c r="V363" s="18"/>
      <c r="W363" s="3"/>
      <c r="X363" s="3"/>
      <c r="Y363" s="3"/>
      <c r="Z363" s="3"/>
      <c r="AA363" s="3"/>
    </row>
    <row r="364" spans="1:27">
      <c r="A364" s="3"/>
      <c r="B364" s="3"/>
      <c r="C364" s="3"/>
      <c r="D364" s="3"/>
      <c r="E364" s="3"/>
      <c r="F364" s="3"/>
      <c r="G364" s="3"/>
      <c r="H364" s="3"/>
      <c r="I364" s="3"/>
      <c r="J364" s="3"/>
      <c r="K364" s="3"/>
      <c r="L364" s="3"/>
      <c r="M364" s="3"/>
      <c r="N364" s="3"/>
      <c r="O364" s="3"/>
      <c r="P364" s="3"/>
      <c r="Q364" s="3"/>
      <c r="R364" s="3"/>
      <c r="S364" s="3"/>
      <c r="T364" s="3"/>
      <c r="U364" s="3"/>
      <c r="V364" s="18"/>
      <c r="W364" s="3"/>
      <c r="X364" s="3"/>
      <c r="Y364" s="3"/>
      <c r="Z364" s="3"/>
      <c r="AA364" s="3"/>
    </row>
    <row r="365" spans="1:27">
      <c r="A365" s="3"/>
      <c r="B365" s="3"/>
      <c r="C365" s="3"/>
      <c r="D365" s="3"/>
      <c r="E365" s="3"/>
      <c r="F365" s="3"/>
      <c r="G365" s="3"/>
      <c r="H365" s="3"/>
      <c r="I365" s="3"/>
      <c r="J365" s="3"/>
      <c r="K365" s="3"/>
      <c r="L365" s="3"/>
      <c r="M365" s="3"/>
      <c r="N365" s="3"/>
      <c r="O365" s="3"/>
      <c r="P365" s="3"/>
      <c r="Q365" s="3"/>
      <c r="R365" s="3"/>
      <c r="S365" s="3"/>
      <c r="T365" s="3"/>
      <c r="U365" s="3"/>
      <c r="V365" s="18"/>
      <c r="W365" s="3"/>
      <c r="X365" s="3"/>
      <c r="Y365" s="3"/>
      <c r="Z365" s="3"/>
      <c r="AA365" s="3"/>
    </row>
    <row r="366" spans="1:27">
      <c r="A366" s="3"/>
      <c r="B366" s="3"/>
      <c r="C366" s="3"/>
      <c r="D366" s="3"/>
      <c r="E366" s="3"/>
      <c r="F366" s="3"/>
      <c r="G366" s="3"/>
      <c r="H366" s="3"/>
      <c r="I366" s="3"/>
      <c r="J366" s="3"/>
      <c r="K366" s="3"/>
      <c r="L366" s="3"/>
      <c r="M366" s="3"/>
      <c r="N366" s="3"/>
      <c r="O366" s="3"/>
      <c r="P366" s="3"/>
      <c r="Q366" s="3"/>
      <c r="R366" s="3"/>
      <c r="S366" s="3"/>
      <c r="T366" s="3"/>
      <c r="U366" s="3"/>
      <c r="V366" s="18"/>
      <c r="W366" s="3"/>
      <c r="X366" s="3"/>
      <c r="Y366" s="3"/>
      <c r="Z366" s="3"/>
      <c r="AA366" s="3"/>
    </row>
    <row r="367" spans="1:27">
      <c r="A367" s="3"/>
      <c r="B367" s="3"/>
      <c r="C367" s="3"/>
      <c r="D367" s="3"/>
      <c r="E367" s="3"/>
      <c r="F367" s="3"/>
      <c r="G367" s="3"/>
      <c r="H367" s="3"/>
      <c r="I367" s="3"/>
      <c r="J367" s="3"/>
      <c r="K367" s="3"/>
      <c r="L367" s="3"/>
      <c r="M367" s="3"/>
      <c r="N367" s="3"/>
      <c r="O367" s="3"/>
      <c r="P367" s="3"/>
      <c r="Q367" s="3"/>
      <c r="R367" s="3"/>
      <c r="S367" s="3"/>
      <c r="T367" s="3"/>
      <c r="U367" s="3"/>
      <c r="V367" s="18"/>
      <c r="W367" s="3"/>
      <c r="X367" s="3"/>
      <c r="Y367" s="3"/>
      <c r="Z367" s="3"/>
      <c r="AA367" s="3"/>
    </row>
    <row r="368" spans="1:27">
      <c r="A368" s="3"/>
      <c r="B368" s="3"/>
      <c r="C368" s="3"/>
      <c r="D368" s="3"/>
      <c r="E368" s="3"/>
      <c r="F368" s="3"/>
      <c r="G368" s="3"/>
      <c r="H368" s="3"/>
      <c r="I368" s="3"/>
      <c r="J368" s="3"/>
      <c r="K368" s="3"/>
      <c r="L368" s="3"/>
      <c r="M368" s="3"/>
      <c r="N368" s="3"/>
      <c r="O368" s="3"/>
      <c r="P368" s="3"/>
      <c r="Q368" s="3"/>
      <c r="R368" s="3"/>
      <c r="S368" s="3"/>
      <c r="T368" s="3"/>
      <c r="U368" s="3"/>
      <c r="V368" s="18"/>
      <c r="W368" s="3"/>
      <c r="X368" s="3"/>
      <c r="Y368" s="3"/>
      <c r="Z368" s="3"/>
      <c r="AA368" s="3"/>
    </row>
    <row r="369" spans="1:27">
      <c r="A369" s="3"/>
      <c r="B369" s="3"/>
      <c r="C369" s="3"/>
      <c r="D369" s="3"/>
      <c r="E369" s="3"/>
      <c r="F369" s="3"/>
      <c r="G369" s="3"/>
      <c r="H369" s="3"/>
      <c r="I369" s="3"/>
      <c r="J369" s="3"/>
      <c r="K369" s="3"/>
      <c r="L369" s="3"/>
      <c r="M369" s="3"/>
      <c r="N369" s="3"/>
      <c r="O369" s="3"/>
      <c r="P369" s="3"/>
      <c r="Q369" s="3"/>
      <c r="R369" s="3"/>
      <c r="S369" s="3"/>
      <c r="T369" s="3"/>
      <c r="U369" s="3"/>
      <c r="V369" s="18"/>
      <c r="W369" s="3"/>
      <c r="X369" s="3"/>
      <c r="Y369" s="3"/>
      <c r="Z369" s="3"/>
      <c r="AA369" s="3"/>
    </row>
    <row r="370" spans="1:27">
      <c r="A370" s="3"/>
      <c r="B370" s="3"/>
      <c r="C370" s="3"/>
      <c r="D370" s="3"/>
      <c r="E370" s="3"/>
      <c r="F370" s="3"/>
      <c r="G370" s="3"/>
      <c r="H370" s="3"/>
      <c r="I370" s="3"/>
      <c r="J370" s="3"/>
      <c r="K370" s="3"/>
      <c r="L370" s="3"/>
      <c r="M370" s="3"/>
      <c r="N370" s="3"/>
      <c r="O370" s="3"/>
      <c r="P370" s="3"/>
      <c r="Q370" s="3"/>
      <c r="R370" s="3"/>
      <c r="S370" s="3"/>
      <c r="T370" s="3"/>
      <c r="U370" s="3"/>
      <c r="V370" s="18"/>
      <c r="W370" s="3"/>
      <c r="X370" s="3"/>
      <c r="Y370" s="3"/>
      <c r="Z370" s="3"/>
      <c r="AA370" s="3"/>
    </row>
    <row r="371" spans="1:27">
      <c r="A371" s="3"/>
      <c r="B371" s="3"/>
      <c r="C371" s="3"/>
      <c r="D371" s="3"/>
      <c r="E371" s="3"/>
      <c r="F371" s="3"/>
      <c r="G371" s="3"/>
      <c r="H371" s="3"/>
      <c r="I371" s="3"/>
      <c r="J371" s="3"/>
      <c r="K371" s="3"/>
      <c r="L371" s="3"/>
      <c r="M371" s="3"/>
      <c r="N371" s="3"/>
      <c r="O371" s="3"/>
      <c r="P371" s="3"/>
      <c r="Q371" s="3"/>
      <c r="R371" s="3"/>
      <c r="S371" s="3"/>
      <c r="T371" s="3"/>
      <c r="U371" s="3"/>
      <c r="V371" s="18"/>
      <c r="W371" s="3"/>
      <c r="X371" s="3"/>
      <c r="Y371" s="3"/>
      <c r="Z371" s="3"/>
      <c r="AA371" s="3"/>
    </row>
    <row r="372" spans="1:27">
      <c r="A372" s="3"/>
      <c r="B372" s="3"/>
      <c r="C372" s="3"/>
      <c r="D372" s="3"/>
      <c r="E372" s="3"/>
      <c r="F372" s="3"/>
      <c r="G372" s="3"/>
      <c r="H372" s="3"/>
      <c r="I372" s="3"/>
      <c r="J372" s="3"/>
      <c r="K372" s="3"/>
      <c r="L372" s="3"/>
      <c r="M372" s="3"/>
      <c r="N372" s="3"/>
      <c r="O372" s="3"/>
      <c r="P372" s="3"/>
      <c r="Q372" s="3"/>
      <c r="R372" s="3"/>
      <c r="S372" s="3"/>
      <c r="T372" s="3"/>
      <c r="U372" s="3"/>
      <c r="V372" s="18"/>
      <c r="W372" s="3"/>
      <c r="X372" s="3"/>
      <c r="Y372" s="3"/>
      <c r="Z372" s="3"/>
      <c r="AA372" s="3"/>
    </row>
    <row r="373" spans="1:27">
      <c r="A373" s="3"/>
      <c r="B373" s="3"/>
      <c r="C373" s="3"/>
      <c r="D373" s="3"/>
      <c r="E373" s="3"/>
      <c r="F373" s="3"/>
      <c r="G373" s="3"/>
      <c r="H373" s="3"/>
      <c r="I373" s="3"/>
      <c r="J373" s="3"/>
      <c r="K373" s="3"/>
      <c r="L373" s="3"/>
      <c r="M373" s="3"/>
      <c r="N373" s="3"/>
      <c r="O373" s="3"/>
      <c r="P373" s="3"/>
      <c r="Q373" s="3"/>
      <c r="R373" s="3"/>
      <c r="S373" s="3"/>
      <c r="T373" s="3"/>
      <c r="U373" s="3"/>
      <c r="V373" s="18"/>
      <c r="W373" s="3"/>
      <c r="X373" s="3"/>
      <c r="Y373" s="3"/>
      <c r="Z373" s="3"/>
      <c r="AA373" s="3"/>
    </row>
    <row r="374" spans="1:27">
      <c r="A374" s="3"/>
      <c r="B374" s="3"/>
      <c r="C374" s="3"/>
      <c r="D374" s="3"/>
      <c r="E374" s="3"/>
      <c r="F374" s="3"/>
      <c r="G374" s="3"/>
      <c r="H374" s="3"/>
      <c r="I374" s="3"/>
      <c r="J374" s="3"/>
      <c r="K374" s="3"/>
      <c r="L374" s="3"/>
      <c r="M374" s="3"/>
      <c r="N374" s="3"/>
      <c r="O374" s="3"/>
      <c r="P374" s="3"/>
      <c r="Q374" s="3"/>
      <c r="R374" s="3"/>
      <c r="S374" s="3"/>
      <c r="T374" s="3"/>
      <c r="U374" s="3"/>
      <c r="V374" s="18"/>
      <c r="W374" s="3"/>
      <c r="X374" s="3"/>
      <c r="Y374" s="3"/>
      <c r="Z374" s="3"/>
      <c r="AA374" s="3"/>
    </row>
    <row r="375" spans="1:27">
      <c r="A375" s="3"/>
      <c r="B375" s="3"/>
      <c r="C375" s="3"/>
      <c r="D375" s="3"/>
      <c r="E375" s="3"/>
      <c r="F375" s="3"/>
      <c r="G375" s="3"/>
      <c r="H375" s="3"/>
      <c r="I375" s="3"/>
      <c r="J375" s="3"/>
      <c r="K375" s="3"/>
      <c r="L375" s="3"/>
      <c r="M375" s="3"/>
      <c r="N375" s="3"/>
      <c r="O375" s="3"/>
      <c r="P375" s="3"/>
      <c r="Q375" s="3"/>
      <c r="R375" s="3"/>
      <c r="S375" s="3"/>
      <c r="T375" s="3"/>
      <c r="U375" s="3"/>
      <c r="V375" s="18"/>
      <c r="W375" s="3"/>
      <c r="X375" s="3"/>
      <c r="Y375" s="3"/>
      <c r="Z375" s="3"/>
      <c r="AA375" s="3"/>
    </row>
    <row r="376" spans="1:27">
      <c r="A376" s="3"/>
      <c r="B376" s="3"/>
      <c r="C376" s="3"/>
      <c r="D376" s="3"/>
      <c r="E376" s="3"/>
      <c r="F376" s="3"/>
      <c r="G376" s="3"/>
      <c r="H376" s="3"/>
      <c r="I376" s="3"/>
      <c r="J376" s="3"/>
      <c r="K376" s="3"/>
      <c r="L376" s="3"/>
      <c r="M376" s="3"/>
      <c r="N376" s="3"/>
      <c r="O376" s="3"/>
      <c r="P376" s="3"/>
      <c r="Q376" s="3"/>
      <c r="R376" s="3"/>
      <c r="S376" s="3"/>
      <c r="T376" s="3"/>
      <c r="U376" s="3"/>
      <c r="V376" s="18"/>
      <c r="W376" s="3"/>
      <c r="X376" s="3"/>
      <c r="Y376" s="3"/>
      <c r="Z376" s="3"/>
      <c r="AA376" s="3"/>
    </row>
    <row r="377" spans="1:27">
      <c r="A377" s="3"/>
      <c r="B377" s="3"/>
      <c r="C377" s="3"/>
      <c r="D377" s="3"/>
      <c r="E377" s="3"/>
      <c r="F377" s="3"/>
      <c r="G377" s="3"/>
      <c r="H377" s="3"/>
      <c r="I377" s="3"/>
      <c r="J377" s="3"/>
      <c r="K377" s="3"/>
      <c r="L377" s="3"/>
      <c r="M377" s="3"/>
      <c r="N377" s="3"/>
      <c r="O377" s="3"/>
      <c r="P377" s="3"/>
      <c r="Q377" s="3"/>
      <c r="R377" s="3"/>
      <c r="S377" s="3"/>
      <c r="T377" s="3"/>
      <c r="U377" s="3"/>
      <c r="V377" s="18"/>
      <c r="W377" s="3"/>
      <c r="X377" s="3"/>
      <c r="Y377" s="3"/>
      <c r="Z377" s="3"/>
      <c r="AA377" s="3"/>
    </row>
    <row r="378" spans="1:27">
      <c r="A378" s="3"/>
      <c r="B378" s="3"/>
      <c r="C378" s="3"/>
      <c r="D378" s="3"/>
      <c r="E378" s="3"/>
      <c r="F378" s="3"/>
      <c r="G378" s="3"/>
      <c r="H378" s="3"/>
      <c r="I378" s="3"/>
      <c r="J378" s="3"/>
      <c r="K378" s="3"/>
      <c r="L378" s="3"/>
      <c r="M378" s="3"/>
      <c r="N378" s="3"/>
      <c r="O378" s="3"/>
      <c r="P378" s="3"/>
      <c r="Q378" s="3"/>
      <c r="R378" s="3"/>
      <c r="S378" s="3"/>
      <c r="T378" s="3"/>
      <c r="U378" s="3"/>
      <c r="V378" s="18"/>
      <c r="W378" s="3"/>
      <c r="X378" s="3"/>
      <c r="Y378" s="3"/>
      <c r="Z378" s="3"/>
      <c r="AA378" s="3"/>
    </row>
    <row r="379" spans="1:27">
      <c r="A379" s="3"/>
      <c r="B379" s="3"/>
      <c r="C379" s="3"/>
      <c r="D379" s="3"/>
      <c r="E379" s="3"/>
      <c r="F379" s="3"/>
      <c r="G379" s="3"/>
      <c r="H379" s="3"/>
      <c r="I379" s="3"/>
      <c r="J379" s="3"/>
      <c r="K379" s="3"/>
      <c r="L379" s="3"/>
      <c r="M379" s="3"/>
      <c r="N379" s="3"/>
      <c r="O379" s="3"/>
      <c r="P379" s="3"/>
      <c r="Q379" s="3"/>
      <c r="R379" s="3"/>
      <c r="S379" s="3"/>
      <c r="T379" s="3"/>
      <c r="U379" s="3"/>
      <c r="V379" s="18"/>
      <c r="W379" s="3"/>
      <c r="X379" s="3"/>
      <c r="Y379" s="3"/>
      <c r="Z379" s="3"/>
      <c r="AA379" s="3"/>
    </row>
    <row r="380" spans="1:27">
      <c r="A380" s="3"/>
      <c r="B380" s="3"/>
      <c r="C380" s="3"/>
      <c r="D380" s="3"/>
      <c r="E380" s="3"/>
      <c r="F380" s="3"/>
      <c r="G380" s="3"/>
      <c r="H380" s="3"/>
      <c r="I380" s="3"/>
      <c r="J380" s="3"/>
      <c r="K380" s="3"/>
      <c r="L380" s="3"/>
      <c r="M380" s="3"/>
      <c r="N380" s="3"/>
      <c r="O380" s="3"/>
      <c r="P380" s="3"/>
      <c r="Q380" s="3"/>
      <c r="R380" s="3"/>
      <c r="S380" s="3"/>
      <c r="T380" s="3"/>
      <c r="U380" s="3"/>
      <c r="V380" s="18"/>
      <c r="W380" s="3"/>
      <c r="X380" s="3"/>
      <c r="Y380" s="3"/>
      <c r="Z380" s="3"/>
      <c r="AA380" s="3"/>
    </row>
    <row r="381" spans="1:27">
      <c r="A381" s="3"/>
      <c r="B381" s="3"/>
      <c r="C381" s="3"/>
      <c r="D381" s="3"/>
      <c r="E381" s="3"/>
      <c r="F381" s="3"/>
      <c r="G381" s="3"/>
      <c r="H381" s="3"/>
      <c r="I381" s="3"/>
      <c r="J381" s="3"/>
      <c r="K381" s="3"/>
      <c r="L381" s="3"/>
      <c r="M381" s="3"/>
      <c r="N381" s="3"/>
      <c r="O381" s="3"/>
      <c r="P381" s="3"/>
      <c r="Q381" s="3"/>
      <c r="R381" s="3"/>
      <c r="S381" s="3"/>
      <c r="T381" s="3"/>
      <c r="U381" s="3"/>
      <c r="V381" s="18"/>
      <c r="W381" s="3"/>
      <c r="X381" s="3"/>
      <c r="Y381" s="3"/>
      <c r="Z381" s="3"/>
      <c r="AA381" s="3"/>
    </row>
    <row r="382" spans="1:27">
      <c r="A382" s="3"/>
      <c r="B382" s="3"/>
      <c r="C382" s="3"/>
      <c r="D382" s="3"/>
      <c r="E382" s="3"/>
      <c r="F382" s="3"/>
      <c r="G382" s="3"/>
      <c r="H382" s="3"/>
      <c r="I382" s="3"/>
      <c r="J382" s="3"/>
      <c r="K382" s="3"/>
      <c r="L382" s="3"/>
      <c r="M382" s="3"/>
      <c r="N382" s="3"/>
      <c r="O382" s="3"/>
      <c r="P382" s="3"/>
      <c r="Q382" s="3"/>
      <c r="R382" s="3"/>
      <c r="S382" s="3"/>
      <c r="T382" s="3"/>
      <c r="U382" s="3"/>
      <c r="V382" s="18"/>
      <c r="W382" s="3"/>
      <c r="X382" s="3"/>
      <c r="Y382" s="3"/>
      <c r="Z382" s="3"/>
      <c r="AA382" s="3"/>
    </row>
    <row r="383" spans="1:27">
      <c r="A383" s="3"/>
      <c r="B383" s="3"/>
      <c r="C383" s="3"/>
      <c r="D383" s="3"/>
      <c r="E383" s="3"/>
      <c r="F383" s="3"/>
      <c r="G383" s="3"/>
      <c r="H383" s="3"/>
      <c r="I383" s="3"/>
      <c r="J383" s="3"/>
      <c r="K383" s="3"/>
      <c r="L383" s="3"/>
      <c r="M383" s="3"/>
      <c r="N383" s="3"/>
      <c r="O383" s="3"/>
      <c r="P383" s="3"/>
      <c r="Q383" s="3"/>
      <c r="R383" s="3"/>
      <c r="S383" s="3"/>
      <c r="T383" s="3"/>
      <c r="U383" s="3"/>
      <c r="V383" s="18"/>
      <c r="W383" s="3"/>
      <c r="X383" s="3"/>
      <c r="Y383" s="3"/>
      <c r="Z383" s="3"/>
      <c r="AA383" s="3"/>
    </row>
    <row r="384" spans="1:27">
      <c r="A384" s="3"/>
      <c r="B384" s="3"/>
      <c r="C384" s="3"/>
      <c r="D384" s="3"/>
      <c r="E384" s="3"/>
      <c r="F384" s="3"/>
      <c r="G384" s="3"/>
      <c r="H384" s="3"/>
      <c r="I384" s="3"/>
      <c r="J384" s="3"/>
      <c r="K384" s="3"/>
      <c r="L384" s="3"/>
      <c r="M384" s="3"/>
      <c r="N384" s="3"/>
      <c r="O384" s="3"/>
      <c r="P384" s="3"/>
      <c r="Q384" s="3"/>
      <c r="R384" s="3"/>
      <c r="S384" s="3"/>
      <c r="T384" s="3"/>
      <c r="U384" s="3"/>
      <c r="V384" s="18"/>
      <c r="W384" s="3"/>
      <c r="X384" s="3"/>
      <c r="Y384" s="3"/>
      <c r="Z384" s="3"/>
      <c r="AA384" s="3"/>
    </row>
    <row r="385" spans="1:27">
      <c r="A385" s="3"/>
      <c r="B385" s="3"/>
      <c r="C385" s="3"/>
      <c r="D385" s="3"/>
      <c r="E385" s="3"/>
      <c r="F385" s="3"/>
      <c r="G385" s="3"/>
      <c r="H385" s="3"/>
      <c r="I385" s="3"/>
      <c r="J385" s="3"/>
      <c r="K385" s="3"/>
      <c r="L385" s="3"/>
      <c r="M385" s="3"/>
      <c r="N385" s="3"/>
      <c r="O385" s="3"/>
      <c r="P385" s="3"/>
      <c r="Q385" s="3"/>
      <c r="R385" s="3"/>
      <c r="S385" s="3"/>
      <c r="T385" s="3"/>
      <c r="U385" s="3"/>
      <c r="V385" s="18"/>
      <c r="W385" s="3"/>
      <c r="X385" s="3"/>
      <c r="Y385" s="3"/>
      <c r="Z385" s="3"/>
      <c r="AA385" s="3"/>
    </row>
    <row r="386" spans="1:27">
      <c r="A386" s="3"/>
      <c r="B386" s="3"/>
      <c r="C386" s="3"/>
      <c r="D386" s="3"/>
      <c r="E386" s="3"/>
      <c r="F386" s="3"/>
      <c r="G386" s="3"/>
      <c r="H386" s="3"/>
      <c r="I386" s="3"/>
      <c r="J386" s="3"/>
      <c r="K386" s="3"/>
      <c r="L386" s="3"/>
      <c r="M386" s="3"/>
      <c r="N386" s="3"/>
      <c r="O386" s="3"/>
      <c r="P386" s="3"/>
      <c r="Q386" s="3"/>
      <c r="R386" s="3"/>
      <c r="S386" s="3"/>
      <c r="T386" s="3"/>
      <c r="U386" s="3"/>
      <c r="V386" s="18"/>
      <c r="W386" s="3"/>
      <c r="X386" s="3"/>
      <c r="Y386" s="3"/>
      <c r="Z386" s="3"/>
      <c r="AA386" s="3"/>
    </row>
    <row r="387" spans="1:27">
      <c r="A387" s="3"/>
      <c r="B387" s="3"/>
      <c r="C387" s="3"/>
      <c r="D387" s="3"/>
      <c r="E387" s="3"/>
      <c r="F387" s="3"/>
      <c r="G387" s="3"/>
      <c r="H387" s="3"/>
      <c r="I387" s="3"/>
      <c r="J387" s="3"/>
      <c r="K387" s="3"/>
      <c r="L387" s="3"/>
      <c r="M387" s="3"/>
      <c r="N387" s="3"/>
      <c r="O387" s="3"/>
      <c r="P387" s="3"/>
      <c r="Q387" s="3"/>
      <c r="R387" s="3"/>
      <c r="S387" s="3"/>
      <c r="T387" s="3"/>
      <c r="U387" s="3"/>
      <c r="V387" s="18"/>
      <c r="W387" s="3"/>
      <c r="X387" s="3"/>
      <c r="Y387" s="3"/>
      <c r="Z387" s="3"/>
      <c r="AA387" s="3"/>
    </row>
    <row r="388" spans="1:27">
      <c r="A388" s="3"/>
      <c r="B388" s="3"/>
      <c r="C388" s="3"/>
      <c r="D388" s="3"/>
      <c r="E388" s="3"/>
      <c r="F388" s="3"/>
      <c r="G388" s="3"/>
      <c r="H388" s="3"/>
      <c r="I388" s="3"/>
      <c r="J388" s="3"/>
      <c r="K388" s="3"/>
      <c r="L388" s="3"/>
      <c r="M388" s="3"/>
      <c r="N388" s="3"/>
      <c r="O388" s="3"/>
      <c r="P388" s="3"/>
      <c r="Q388" s="3"/>
      <c r="R388" s="3"/>
      <c r="S388" s="3"/>
      <c r="T388" s="3"/>
      <c r="U388" s="3"/>
      <c r="V388" s="18"/>
      <c r="W388" s="3"/>
      <c r="X388" s="3"/>
      <c r="Y388" s="3"/>
      <c r="Z388" s="3"/>
      <c r="AA388" s="3"/>
    </row>
    <row r="389" spans="1:27">
      <c r="A389" s="3"/>
      <c r="B389" s="3"/>
      <c r="C389" s="3"/>
      <c r="D389" s="3"/>
      <c r="E389" s="3"/>
      <c r="F389" s="3"/>
      <c r="G389" s="3"/>
      <c r="H389" s="3"/>
      <c r="I389" s="3"/>
      <c r="J389" s="3"/>
      <c r="K389" s="3"/>
      <c r="L389" s="3"/>
      <c r="M389" s="3"/>
      <c r="N389" s="3"/>
      <c r="O389" s="3"/>
      <c r="P389" s="3"/>
      <c r="Q389" s="3"/>
      <c r="R389" s="3"/>
      <c r="S389" s="3"/>
      <c r="T389" s="3"/>
      <c r="U389" s="3"/>
      <c r="V389" s="18"/>
      <c r="W389" s="3"/>
      <c r="X389" s="3"/>
      <c r="Y389" s="3"/>
      <c r="Z389" s="3"/>
      <c r="AA389" s="3"/>
    </row>
    <row r="390" spans="1:27">
      <c r="A390" s="3"/>
      <c r="B390" s="3"/>
      <c r="C390" s="3"/>
      <c r="D390" s="3"/>
      <c r="E390" s="3"/>
      <c r="F390" s="3"/>
      <c r="G390" s="3"/>
      <c r="H390" s="3"/>
      <c r="I390" s="3"/>
      <c r="J390" s="3"/>
      <c r="K390" s="3"/>
      <c r="L390" s="3"/>
      <c r="M390" s="3"/>
      <c r="N390" s="3"/>
      <c r="O390" s="3"/>
      <c r="P390" s="3"/>
      <c r="Q390" s="3"/>
      <c r="R390" s="3"/>
      <c r="S390" s="3"/>
      <c r="T390" s="3"/>
      <c r="U390" s="3"/>
      <c r="V390" s="18"/>
      <c r="W390" s="3"/>
      <c r="X390" s="3"/>
      <c r="Y390" s="3"/>
      <c r="Z390" s="3"/>
      <c r="AA390" s="3"/>
    </row>
    <row r="391" spans="1:27">
      <c r="A391" s="3"/>
      <c r="B391" s="3"/>
      <c r="C391" s="3"/>
      <c r="D391" s="3"/>
      <c r="E391" s="3"/>
      <c r="F391" s="3"/>
      <c r="G391" s="3"/>
      <c r="H391" s="3"/>
      <c r="I391" s="3"/>
      <c r="J391" s="3"/>
      <c r="K391" s="3"/>
      <c r="L391" s="3"/>
      <c r="M391" s="3"/>
      <c r="N391" s="3"/>
      <c r="O391" s="3"/>
      <c r="P391" s="3"/>
      <c r="Q391" s="3"/>
      <c r="R391" s="3"/>
      <c r="S391" s="3"/>
      <c r="T391" s="3"/>
      <c r="U391" s="3"/>
      <c r="V391" s="18"/>
      <c r="W391" s="3"/>
      <c r="X391" s="3"/>
      <c r="Y391" s="3"/>
      <c r="Z391" s="3"/>
      <c r="AA391" s="3"/>
    </row>
    <row r="392" spans="1:27">
      <c r="A392" s="3"/>
      <c r="B392" s="3"/>
      <c r="C392" s="3"/>
      <c r="D392" s="3"/>
      <c r="E392" s="3"/>
      <c r="F392" s="3"/>
      <c r="G392" s="3"/>
      <c r="H392" s="3"/>
      <c r="I392" s="3"/>
      <c r="J392" s="3"/>
      <c r="K392" s="3"/>
      <c r="L392" s="3"/>
      <c r="M392" s="3"/>
      <c r="N392" s="3"/>
      <c r="O392" s="3"/>
      <c r="P392" s="3"/>
      <c r="Q392" s="3"/>
      <c r="R392" s="3"/>
      <c r="S392" s="3"/>
      <c r="T392" s="3"/>
      <c r="U392" s="3"/>
      <c r="V392" s="18"/>
      <c r="W392" s="3"/>
      <c r="X392" s="3"/>
      <c r="Y392" s="3"/>
      <c r="Z392" s="3"/>
      <c r="AA392" s="3"/>
    </row>
    <row r="393" spans="1:27">
      <c r="A393" s="3"/>
      <c r="B393" s="3"/>
      <c r="C393" s="3"/>
      <c r="D393" s="3"/>
      <c r="E393" s="3"/>
      <c r="F393" s="3"/>
      <c r="G393" s="3"/>
      <c r="H393" s="3"/>
      <c r="I393" s="3"/>
      <c r="J393" s="3"/>
      <c r="K393" s="3"/>
      <c r="L393" s="3"/>
      <c r="M393" s="3"/>
      <c r="N393" s="3"/>
      <c r="O393" s="3"/>
      <c r="P393" s="3"/>
      <c r="Q393" s="3"/>
      <c r="R393" s="3"/>
      <c r="S393" s="3"/>
      <c r="T393" s="3"/>
      <c r="U393" s="3"/>
      <c r="V393" s="18"/>
      <c r="W393" s="3"/>
      <c r="X393" s="3"/>
      <c r="Y393" s="3"/>
      <c r="Z393" s="3"/>
      <c r="AA393" s="3"/>
    </row>
    <row r="394" spans="1:27">
      <c r="A394" s="3"/>
      <c r="B394" s="3"/>
      <c r="C394" s="3"/>
      <c r="D394" s="3"/>
      <c r="E394" s="3"/>
      <c r="F394" s="3"/>
      <c r="G394" s="3"/>
      <c r="H394" s="3"/>
      <c r="I394" s="3"/>
      <c r="J394" s="3"/>
      <c r="K394" s="3"/>
      <c r="L394" s="3"/>
      <c r="M394" s="3"/>
      <c r="N394" s="3"/>
      <c r="O394" s="3"/>
      <c r="P394" s="3"/>
      <c r="Q394" s="3"/>
      <c r="R394" s="3"/>
      <c r="S394" s="3"/>
      <c r="T394" s="3"/>
      <c r="U394" s="3"/>
      <c r="V394" s="18"/>
      <c r="W394" s="3"/>
      <c r="X394" s="3"/>
      <c r="Y394" s="3"/>
      <c r="Z394" s="3"/>
      <c r="AA394" s="3"/>
    </row>
    <row r="395" spans="1:27">
      <c r="A395" s="3"/>
      <c r="B395" s="3"/>
      <c r="C395" s="3"/>
      <c r="D395" s="3"/>
      <c r="E395" s="3"/>
      <c r="F395" s="3"/>
      <c r="G395" s="3"/>
      <c r="H395" s="3"/>
      <c r="I395" s="3"/>
      <c r="J395" s="3"/>
      <c r="K395" s="3"/>
      <c r="L395" s="3"/>
      <c r="M395" s="3"/>
      <c r="N395" s="3"/>
      <c r="O395" s="3"/>
      <c r="P395" s="3"/>
      <c r="Q395" s="3"/>
      <c r="R395" s="3"/>
      <c r="S395" s="3"/>
      <c r="T395" s="3"/>
      <c r="U395" s="3"/>
      <c r="V395" s="18"/>
      <c r="W395" s="3"/>
      <c r="X395" s="3"/>
      <c r="Y395" s="3"/>
      <c r="Z395" s="3"/>
      <c r="AA395" s="3"/>
    </row>
    <row r="396" spans="1:27">
      <c r="A396" s="3"/>
      <c r="B396" s="3"/>
      <c r="C396" s="3"/>
      <c r="D396" s="3"/>
      <c r="E396" s="3"/>
      <c r="F396" s="3"/>
      <c r="G396" s="3"/>
      <c r="H396" s="3"/>
      <c r="I396" s="3"/>
      <c r="J396" s="3"/>
      <c r="K396" s="3"/>
      <c r="L396" s="3"/>
      <c r="M396" s="3"/>
      <c r="N396" s="3"/>
      <c r="O396" s="3"/>
      <c r="P396" s="3"/>
      <c r="Q396" s="3"/>
      <c r="R396" s="3"/>
      <c r="S396" s="3"/>
      <c r="T396" s="3"/>
      <c r="U396" s="3"/>
      <c r="V396" s="18"/>
      <c r="W396" s="3"/>
      <c r="X396" s="3"/>
      <c r="Y396" s="3"/>
      <c r="Z396" s="3"/>
      <c r="AA396" s="3"/>
    </row>
    <row r="397" spans="1:27">
      <c r="A397" s="3"/>
      <c r="B397" s="3"/>
      <c r="C397" s="3"/>
      <c r="D397" s="3"/>
      <c r="E397" s="3"/>
      <c r="F397" s="3"/>
      <c r="G397" s="3"/>
      <c r="H397" s="3"/>
      <c r="I397" s="3"/>
      <c r="J397" s="3"/>
      <c r="K397" s="3"/>
      <c r="L397" s="3"/>
      <c r="M397" s="3"/>
      <c r="N397" s="3"/>
      <c r="O397" s="3"/>
      <c r="P397" s="3"/>
      <c r="Q397" s="3"/>
      <c r="R397" s="3"/>
      <c r="S397" s="3"/>
      <c r="T397" s="3"/>
      <c r="U397" s="3"/>
      <c r="V397" s="18"/>
      <c r="W397" s="3"/>
      <c r="X397" s="3"/>
      <c r="Y397" s="3"/>
      <c r="Z397" s="3"/>
      <c r="AA397" s="3"/>
    </row>
    <row r="398" spans="1:27">
      <c r="A398" s="3"/>
      <c r="B398" s="3"/>
      <c r="C398" s="3"/>
      <c r="D398" s="3"/>
      <c r="E398" s="3"/>
      <c r="F398" s="3"/>
      <c r="G398" s="3"/>
      <c r="H398" s="3"/>
      <c r="I398" s="3"/>
      <c r="J398" s="3"/>
      <c r="K398" s="3"/>
      <c r="L398" s="3"/>
      <c r="M398" s="3"/>
      <c r="N398" s="3"/>
      <c r="O398" s="3"/>
      <c r="P398" s="3"/>
      <c r="Q398" s="3"/>
      <c r="R398" s="3"/>
      <c r="S398" s="3"/>
      <c r="T398" s="3"/>
      <c r="U398" s="3"/>
      <c r="V398" s="18"/>
      <c r="W398" s="3"/>
      <c r="X398" s="3"/>
      <c r="Y398" s="3"/>
      <c r="Z398" s="3"/>
      <c r="AA398" s="3"/>
    </row>
    <row r="399" spans="1:27">
      <c r="A399" s="3"/>
      <c r="B399" s="3"/>
      <c r="C399" s="3"/>
      <c r="D399" s="3"/>
      <c r="E399" s="3"/>
      <c r="F399" s="3"/>
      <c r="G399" s="3"/>
      <c r="H399" s="3"/>
      <c r="I399" s="3"/>
      <c r="J399" s="3"/>
      <c r="K399" s="3"/>
      <c r="L399" s="3"/>
      <c r="M399" s="3"/>
      <c r="N399" s="3"/>
      <c r="O399" s="3"/>
      <c r="P399" s="3"/>
      <c r="Q399" s="3"/>
      <c r="R399" s="3"/>
      <c r="S399" s="3"/>
      <c r="T399" s="3"/>
      <c r="U399" s="3"/>
      <c r="V399" s="18"/>
      <c r="W399" s="3"/>
      <c r="X399" s="3"/>
      <c r="Y399" s="3"/>
      <c r="Z399" s="3"/>
      <c r="AA399" s="3"/>
    </row>
    <row r="400" spans="1:27">
      <c r="A400" s="3"/>
      <c r="B400" s="3"/>
      <c r="C400" s="3"/>
      <c r="D400" s="3"/>
      <c r="E400" s="3"/>
      <c r="F400" s="3"/>
      <c r="G400" s="3"/>
      <c r="H400" s="3"/>
      <c r="I400" s="3"/>
      <c r="J400" s="3"/>
      <c r="K400" s="3"/>
      <c r="L400" s="3"/>
      <c r="M400" s="3"/>
      <c r="N400" s="3"/>
      <c r="O400" s="3"/>
      <c r="P400" s="3"/>
      <c r="Q400" s="3"/>
      <c r="R400" s="3"/>
      <c r="S400" s="3"/>
      <c r="T400" s="3"/>
      <c r="U400" s="3"/>
      <c r="V400" s="18"/>
      <c r="W400" s="3"/>
      <c r="X400" s="3"/>
      <c r="Y400" s="3"/>
      <c r="Z400" s="3"/>
      <c r="AA400" s="3"/>
    </row>
    <row r="401" spans="1:27">
      <c r="A401" s="3"/>
      <c r="B401" s="3"/>
      <c r="C401" s="3"/>
      <c r="D401" s="3"/>
      <c r="E401" s="3"/>
      <c r="F401" s="3"/>
      <c r="G401" s="3"/>
      <c r="H401" s="3"/>
      <c r="I401" s="3"/>
      <c r="J401" s="3"/>
      <c r="K401" s="3"/>
      <c r="L401" s="3"/>
      <c r="M401" s="3"/>
      <c r="N401" s="3"/>
      <c r="O401" s="3"/>
      <c r="P401" s="3"/>
      <c r="Q401" s="3"/>
      <c r="R401" s="3"/>
      <c r="S401" s="3"/>
      <c r="T401" s="3"/>
      <c r="U401" s="3"/>
      <c r="V401" s="18"/>
      <c r="W401" s="3"/>
      <c r="X401" s="3"/>
      <c r="Y401" s="3"/>
      <c r="Z401" s="3"/>
      <c r="AA401" s="3"/>
    </row>
    <row r="402" spans="1:27">
      <c r="A402" s="3"/>
      <c r="B402" s="3"/>
      <c r="C402" s="3"/>
      <c r="D402" s="3"/>
      <c r="E402" s="3"/>
      <c r="F402" s="3"/>
      <c r="G402" s="3"/>
      <c r="H402" s="3"/>
      <c r="I402" s="3"/>
      <c r="J402" s="3"/>
      <c r="K402" s="3"/>
      <c r="L402" s="3"/>
      <c r="M402" s="3"/>
      <c r="N402" s="3"/>
      <c r="O402" s="3"/>
      <c r="P402" s="3"/>
      <c r="Q402" s="3"/>
      <c r="R402" s="3"/>
      <c r="S402" s="3"/>
      <c r="T402" s="3"/>
      <c r="U402" s="3"/>
      <c r="V402" s="18"/>
      <c r="W402" s="3"/>
      <c r="X402" s="3"/>
      <c r="Y402" s="3"/>
      <c r="Z402" s="3"/>
      <c r="AA402" s="3"/>
    </row>
    <row r="403" spans="1:27">
      <c r="A403" s="3"/>
      <c r="B403" s="3"/>
      <c r="C403" s="3"/>
      <c r="D403" s="3"/>
      <c r="E403" s="3"/>
      <c r="F403" s="3"/>
      <c r="G403" s="3"/>
      <c r="H403" s="3"/>
      <c r="I403" s="3"/>
      <c r="J403" s="3"/>
      <c r="K403" s="3"/>
      <c r="L403" s="3"/>
      <c r="M403" s="3"/>
      <c r="N403" s="3"/>
      <c r="O403" s="3"/>
      <c r="P403" s="3"/>
      <c r="Q403" s="3"/>
      <c r="R403" s="3"/>
      <c r="S403" s="3"/>
      <c r="T403" s="3"/>
      <c r="U403" s="3"/>
      <c r="V403" s="18"/>
      <c r="W403" s="3"/>
      <c r="X403" s="3"/>
      <c r="Y403" s="3"/>
      <c r="Z403" s="3"/>
      <c r="AA403" s="3"/>
    </row>
    <row r="404" spans="1:27">
      <c r="A404" s="3"/>
      <c r="B404" s="3"/>
      <c r="C404" s="3"/>
      <c r="D404" s="3"/>
      <c r="E404" s="3"/>
      <c r="F404" s="3"/>
      <c r="G404" s="3"/>
      <c r="H404" s="3"/>
      <c r="I404" s="3"/>
      <c r="J404" s="3"/>
      <c r="K404" s="3"/>
      <c r="L404" s="3"/>
      <c r="M404" s="3"/>
      <c r="N404" s="3"/>
      <c r="O404" s="3"/>
      <c r="P404" s="3"/>
      <c r="Q404" s="3"/>
      <c r="R404" s="3"/>
      <c r="S404" s="3"/>
      <c r="T404" s="3"/>
      <c r="U404" s="3"/>
      <c r="V404" s="18"/>
      <c r="W404" s="3"/>
      <c r="X404" s="3"/>
      <c r="Y404" s="3"/>
      <c r="Z404" s="3"/>
      <c r="AA404" s="3"/>
    </row>
    <row r="405" spans="1:27">
      <c r="A405" s="3"/>
      <c r="B405" s="3"/>
      <c r="C405" s="3"/>
      <c r="D405" s="3"/>
      <c r="E405" s="3"/>
      <c r="F405" s="3"/>
      <c r="G405" s="3"/>
      <c r="H405" s="3"/>
      <c r="I405" s="3"/>
      <c r="J405" s="3"/>
      <c r="K405" s="3"/>
      <c r="L405" s="3"/>
      <c r="M405" s="3"/>
      <c r="N405" s="3"/>
      <c r="O405" s="3"/>
      <c r="P405" s="3"/>
      <c r="Q405" s="3"/>
      <c r="R405" s="3"/>
      <c r="S405" s="3"/>
      <c r="T405" s="3"/>
      <c r="U405" s="3"/>
      <c r="V405" s="18"/>
      <c r="W405" s="3"/>
      <c r="X405" s="3"/>
      <c r="Y405" s="3"/>
      <c r="Z405" s="3"/>
      <c r="AA405" s="3"/>
    </row>
    <row r="406" spans="1:27">
      <c r="A406" s="3"/>
      <c r="B406" s="3"/>
      <c r="C406" s="3"/>
      <c r="D406" s="3"/>
      <c r="E406" s="3"/>
      <c r="F406" s="3"/>
      <c r="G406" s="3"/>
      <c r="H406" s="3"/>
      <c r="I406" s="3"/>
      <c r="J406" s="3"/>
      <c r="K406" s="3"/>
      <c r="L406" s="3"/>
      <c r="M406" s="3"/>
      <c r="N406" s="3"/>
      <c r="O406" s="3"/>
      <c r="P406" s="3"/>
      <c r="Q406" s="3"/>
      <c r="R406" s="3"/>
      <c r="S406" s="3"/>
      <c r="T406" s="3"/>
      <c r="U406" s="3"/>
      <c r="V406" s="18"/>
      <c r="W406" s="3"/>
      <c r="X406" s="3"/>
      <c r="Y406" s="3"/>
      <c r="Z406" s="3"/>
      <c r="AA406" s="3"/>
    </row>
    <row r="407" spans="1:27">
      <c r="A407" s="3"/>
      <c r="B407" s="3"/>
      <c r="C407" s="3"/>
      <c r="D407" s="3"/>
      <c r="E407" s="3"/>
      <c r="F407" s="3"/>
      <c r="G407" s="3"/>
      <c r="H407" s="3"/>
      <c r="I407" s="3"/>
      <c r="J407" s="3"/>
      <c r="K407" s="3"/>
      <c r="L407" s="3"/>
      <c r="M407" s="3"/>
      <c r="N407" s="3"/>
      <c r="O407" s="3"/>
      <c r="P407" s="3"/>
      <c r="Q407" s="3"/>
      <c r="R407" s="3"/>
      <c r="S407" s="3"/>
      <c r="T407" s="3"/>
      <c r="U407" s="3"/>
      <c r="V407" s="18"/>
      <c r="W407" s="3"/>
      <c r="X407" s="3"/>
      <c r="Y407" s="3"/>
      <c r="Z407" s="3"/>
      <c r="AA407" s="3"/>
    </row>
    <row r="408" spans="1:27">
      <c r="A408" s="3"/>
      <c r="B408" s="3"/>
      <c r="C408" s="3"/>
      <c r="D408" s="3"/>
      <c r="E408" s="3"/>
      <c r="F408" s="3"/>
      <c r="G408" s="3"/>
      <c r="H408" s="3"/>
      <c r="I408" s="3"/>
      <c r="J408" s="3"/>
      <c r="K408" s="3"/>
      <c r="L408" s="3"/>
      <c r="M408" s="3"/>
      <c r="N408" s="3"/>
      <c r="O408" s="3"/>
      <c r="P408" s="3"/>
      <c r="Q408" s="3"/>
      <c r="R408" s="3"/>
      <c r="S408" s="3"/>
      <c r="T408" s="3"/>
      <c r="U408" s="3"/>
      <c r="V408" s="18"/>
      <c r="W408" s="3"/>
      <c r="X408" s="3"/>
      <c r="Y408" s="3"/>
      <c r="Z408" s="3"/>
      <c r="AA408" s="3"/>
    </row>
    <row r="409" spans="1:27">
      <c r="A409" s="3"/>
      <c r="B409" s="3"/>
      <c r="C409" s="3"/>
      <c r="D409" s="3"/>
      <c r="E409" s="3"/>
      <c r="F409" s="3"/>
      <c r="G409" s="3"/>
      <c r="H409" s="3"/>
      <c r="I409" s="3"/>
      <c r="J409" s="3"/>
      <c r="K409" s="3"/>
      <c r="L409" s="3"/>
      <c r="M409" s="3"/>
      <c r="N409" s="3"/>
      <c r="O409" s="3"/>
      <c r="P409" s="3"/>
      <c r="Q409" s="3"/>
      <c r="R409" s="3"/>
      <c r="S409" s="3"/>
      <c r="T409" s="3"/>
      <c r="U409" s="3"/>
      <c r="V409" s="18"/>
      <c r="W409" s="3"/>
      <c r="X409" s="3"/>
      <c r="Y409" s="3"/>
      <c r="Z409" s="3"/>
      <c r="AA409" s="3"/>
    </row>
    <row r="410" spans="1:27">
      <c r="A410" s="3"/>
      <c r="B410" s="3"/>
      <c r="C410" s="3"/>
      <c r="D410" s="3"/>
      <c r="E410" s="3"/>
      <c r="F410" s="3"/>
      <c r="G410" s="3"/>
      <c r="H410" s="3"/>
      <c r="I410" s="3"/>
      <c r="J410" s="3"/>
      <c r="K410" s="3"/>
      <c r="L410" s="3"/>
      <c r="M410" s="3"/>
      <c r="N410" s="3"/>
      <c r="O410" s="3"/>
      <c r="P410" s="3"/>
      <c r="Q410" s="3"/>
      <c r="R410" s="3"/>
      <c r="S410" s="3"/>
      <c r="T410" s="3"/>
      <c r="U410" s="3"/>
      <c r="V410" s="18"/>
      <c r="W410" s="3"/>
      <c r="X410" s="3"/>
      <c r="Y410" s="3"/>
      <c r="Z410" s="3"/>
      <c r="AA410" s="3"/>
    </row>
    <row r="411" spans="1:27">
      <c r="A411" s="3"/>
      <c r="B411" s="3"/>
      <c r="C411" s="3"/>
      <c r="D411" s="3"/>
      <c r="E411" s="3"/>
      <c r="F411" s="3"/>
      <c r="G411" s="3"/>
      <c r="H411" s="3"/>
      <c r="I411" s="3"/>
      <c r="J411" s="3"/>
      <c r="K411" s="3"/>
      <c r="L411" s="3"/>
      <c r="M411" s="3"/>
      <c r="N411" s="3"/>
      <c r="O411" s="3"/>
      <c r="P411" s="3"/>
      <c r="Q411" s="3"/>
      <c r="R411" s="3"/>
      <c r="S411" s="3"/>
      <c r="T411" s="3"/>
      <c r="U411" s="3"/>
      <c r="V411" s="18"/>
      <c r="W411" s="3"/>
      <c r="X411" s="3"/>
      <c r="Y411" s="3"/>
      <c r="Z411" s="3"/>
      <c r="AA411" s="3"/>
    </row>
    <row r="412" spans="1:27">
      <c r="A412" s="12"/>
      <c r="B412" s="12"/>
      <c r="C412" s="12"/>
      <c r="D412" s="12"/>
      <c r="E412" s="12"/>
      <c r="F412" s="12"/>
      <c r="G412" s="12"/>
      <c r="H412" s="12"/>
      <c r="I412" s="12"/>
      <c r="J412" s="12"/>
      <c r="K412" s="12"/>
      <c r="L412" s="12"/>
      <c r="M412" s="12"/>
      <c r="N412" s="12"/>
      <c r="O412" s="12"/>
      <c r="P412" s="12"/>
      <c r="Q412" s="12"/>
      <c r="R412" s="12"/>
      <c r="S412" s="12"/>
      <c r="T412" s="12"/>
      <c r="U412" s="12"/>
      <c r="V412" s="4"/>
      <c r="W412" s="4"/>
      <c r="X412" s="12"/>
      <c r="Y412" s="12"/>
      <c r="Z412" s="12"/>
      <c r="AA412" s="12"/>
    </row>
    <row r="413" spans="1:27">
      <c r="A413" s="12"/>
      <c r="B413" s="12"/>
      <c r="C413" s="12"/>
      <c r="D413" s="12"/>
      <c r="E413" s="12"/>
      <c r="F413" s="12"/>
      <c r="G413" s="12"/>
      <c r="H413" s="12"/>
      <c r="I413" s="12"/>
      <c r="J413" s="12"/>
      <c r="K413" s="12"/>
      <c r="L413" s="12"/>
      <c r="M413" s="12"/>
      <c r="N413" s="12"/>
      <c r="O413" s="12"/>
      <c r="P413" s="12"/>
      <c r="Q413" s="12"/>
      <c r="R413" s="12"/>
      <c r="S413" s="12"/>
      <c r="T413" s="12"/>
      <c r="U413" s="12"/>
      <c r="V413" s="4"/>
      <c r="W413" s="4"/>
      <c r="X413" s="12"/>
      <c r="Y413" s="12"/>
      <c r="Z413" s="12"/>
      <c r="AA413" s="12"/>
    </row>
    <row r="414" spans="1:27">
      <c r="A414" s="12"/>
      <c r="B414" s="12"/>
      <c r="C414" s="12"/>
      <c r="D414" s="12"/>
      <c r="E414" s="12"/>
      <c r="F414" s="12"/>
      <c r="G414" s="12"/>
      <c r="H414" s="12"/>
      <c r="I414" s="12"/>
      <c r="J414" s="12"/>
      <c r="K414" s="12"/>
      <c r="L414" s="12"/>
      <c r="M414" s="12"/>
      <c r="N414" s="12"/>
      <c r="O414" s="12"/>
      <c r="P414" s="12"/>
      <c r="Q414" s="12"/>
      <c r="R414" s="12"/>
      <c r="S414" s="12"/>
      <c r="T414" s="12"/>
      <c r="U414" s="12"/>
      <c r="V414" s="4"/>
      <c r="W414" s="4"/>
      <c r="X414" s="12"/>
      <c r="Y414" s="12"/>
      <c r="Z414" s="12"/>
      <c r="AA414" s="12"/>
    </row>
    <row r="415" spans="1:27">
      <c r="A415" s="12"/>
      <c r="B415" s="12"/>
      <c r="C415" s="12"/>
      <c r="D415" s="12"/>
      <c r="E415" s="12"/>
      <c r="F415" s="12"/>
      <c r="G415" s="12"/>
      <c r="H415" s="12"/>
      <c r="I415" s="12"/>
      <c r="J415" s="12"/>
      <c r="K415" s="12"/>
      <c r="L415" s="12"/>
      <c r="M415" s="12"/>
      <c r="N415" s="12"/>
      <c r="O415" s="12"/>
      <c r="P415" s="12"/>
      <c r="Q415" s="12"/>
      <c r="R415" s="12"/>
      <c r="S415" s="12"/>
      <c r="T415" s="12"/>
      <c r="U415" s="12"/>
      <c r="V415" s="4"/>
      <c r="W415" s="4"/>
      <c r="X415" s="12"/>
      <c r="Y415" s="12"/>
      <c r="Z415" s="12"/>
      <c r="AA415" s="12"/>
    </row>
    <row r="416" spans="1:27">
      <c r="A416" s="12"/>
      <c r="B416" s="12"/>
      <c r="C416" s="12"/>
      <c r="D416" s="12"/>
      <c r="E416" s="12"/>
      <c r="F416" s="12"/>
      <c r="G416" s="12"/>
      <c r="H416" s="12"/>
      <c r="I416" s="12"/>
      <c r="J416" s="12"/>
      <c r="K416" s="12"/>
      <c r="L416" s="12"/>
      <c r="M416" s="12"/>
      <c r="N416" s="12"/>
      <c r="O416" s="12"/>
      <c r="P416" s="12"/>
      <c r="Q416" s="12"/>
      <c r="R416" s="12"/>
      <c r="S416" s="12"/>
      <c r="T416" s="12"/>
      <c r="U416" s="12"/>
      <c r="V416" s="4"/>
      <c r="W416" s="4"/>
      <c r="X416" s="12"/>
      <c r="Y416" s="12"/>
      <c r="Z416" s="12"/>
      <c r="AA416" s="12"/>
    </row>
    <row r="417" spans="1:27">
      <c r="A417" s="12"/>
      <c r="B417" s="12"/>
      <c r="C417" s="12"/>
      <c r="D417" s="12"/>
      <c r="E417" s="12"/>
      <c r="F417" s="12"/>
      <c r="G417" s="12"/>
      <c r="H417" s="12"/>
      <c r="I417" s="12"/>
      <c r="J417" s="12"/>
      <c r="K417" s="12"/>
      <c r="L417" s="12"/>
      <c r="M417" s="12"/>
      <c r="N417" s="12"/>
      <c r="O417" s="12"/>
      <c r="P417" s="12"/>
      <c r="Q417" s="12"/>
      <c r="R417" s="12"/>
      <c r="S417" s="12"/>
      <c r="T417" s="12"/>
      <c r="U417" s="12"/>
      <c r="V417" s="4"/>
      <c r="W417" s="4"/>
      <c r="X417" s="12"/>
      <c r="Y417" s="12"/>
      <c r="Z417" s="12"/>
      <c r="AA417" s="12"/>
    </row>
    <row r="418" spans="1:27">
      <c r="A418" s="12"/>
      <c r="B418" s="12"/>
      <c r="C418" s="12"/>
      <c r="D418" s="12"/>
      <c r="E418" s="12"/>
      <c r="F418" s="12"/>
      <c r="G418" s="12"/>
      <c r="H418" s="12"/>
      <c r="I418" s="12"/>
      <c r="J418" s="12"/>
      <c r="K418" s="12"/>
      <c r="L418" s="12"/>
      <c r="M418" s="12"/>
      <c r="N418" s="12"/>
      <c r="O418" s="12"/>
      <c r="P418" s="12"/>
      <c r="Q418" s="12"/>
      <c r="R418" s="12"/>
      <c r="S418" s="12"/>
      <c r="T418" s="12"/>
      <c r="U418" s="12"/>
      <c r="V418" s="4"/>
      <c r="W418" s="4"/>
      <c r="X418" s="12"/>
      <c r="Y418" s="12"/>
      <c r="Z418" s="12"/>
      <c r="AA418" s="12"/>
    </row>
    <row r="419" spans="1:27">
      <c r="A419" s="12"/>
      <c r="B419" s="12"/>
      <c r="C419" s="12"/>
      <c r="D419" s="12"/>
      <c r="E419" s="12"/>
      <c r="F419" s="12"/>
      <c r="G419" s="12"/>
      <c r="H419" s="12"/>
      <c r="I419" s="12"/>
      <c r="J419" s="12"/>
      <c r="K419" s="12"/>
      <c r="L419" s="12"/>
      <c r="M419" s="12"/>
      <c r="N419" s="12"/>
      <c r="O419" s="12"/>
      <c r="P419" s="12"/>
      <c r="Q419" s="12"/>
      <c r="R419" s="12"/>
      <c r="S419" s="12"/>
      <c r="T419" s="12"/>
      <c r="U419" s="12"/>
      <c r="V419" s="4"/>
      <c r="W419" s="4"/>
      <c r="X419" s="12"/>
      <c r="Y419" s="12"/>
      <c r="Z419" s="12"/>
      <c r="AA419" s="12"/>
    </row>
    <row r="420" spans="1:27">
      <c r="A420" s="12"/>
      <c r="B420" s="12"/>
      <c r="C420" s="12"/>
      <c r="D420" s="12"/>
      <c r="E420" s="12"/>
      <c r="F420" s="12"/>
      <c r="G420" s="12"/>
      <c r="H420" s="12"/>
      <c r="I420" s="12"/>
      <c r="J420" s="12"/>
      <c r="K420" s="12"/>
      <c r="L420" s="12"/>
      <c r="M420" s="12"/>
      <c r="N420" s="12"/>
      <c r="O420" s="12"/>
      <c r="P420" s="12"/>
      <c r="Q420" s="12"/>
      <c r="R420" s="12"/>
      <c r="S420" s="12"/>
      <c r="T420" s="12"/>
      <c r="U420" s="12"/>
      <c r="V420" s="4"/>
      <c r="W420" s="4"/>
      <c r="X420" s="12"/>
      <c r="Y420" s="12"/>
      <c r="Z420" s="12"/>
      <c r="AA420" s="12"/>
    </row>
    <row r="421" spans="1:27">
      <c r="A421" s="12"/>
      <c r="B421" s="12"/>
      <c r="C421" s="12"/>
      <c r="D421" s="12"/>
      <c r="E421" s="12"/>
      <c r="F421" s="12"/>
      <c r="G421" s="12"/>
      <c r="H421" s="12"/>
      <c r="I421" s="12"/>
      <c r="J421" s="12"/>
      <c r="K421" s="12"/>
      <c r="L421" s="12"/>
      <c r="M421" s="12"/>
      <c r="N421" s="12"/>
      <c r="O421" s="12"/>
      <c r="P421" s="12"/>
      <c r="Q421" s="12"/>
      <c r="R421" s="12"/>
      <c r="S421" s="12"/>
      <c r="T421" s="12"/>
      <c r="U421" s="12"/>
      <c r="V421" s="4"/>
      <c r="W421" s="4"/>
      <c r="X421" s="12"/>
      <c r="Y421" s="12"/>
      <c r="Z421" s="12"/>
      <c r="AA421" s="12"/>
    </row>
    <row r="422" spans="1:27">
      <c r="A422" s="12"/>
      <c r="B422" s="12"/>
      <c r="C422" s="12"/>
      <c r="D422" s="12"/>
      <c r="E422" s="12"/>
      <c r="F422" s="12"/>
      <c r="G422" s="12"/>
      <c r="H422" s="12"/>
      <c r="I422" s="12"/>
      <c r="J422" s="12"/>
      <c r="K422" s="12"/>
      <c r="L422" s="12"/>
      <c r="M422" s="12"/>
      <c r="N422" s="12"/>
      <c r="O422" s="12"/>
      <c r="P422" s="12"/>
      <c r="Q422" s="12"/>
      <c r="R422" s="12"/>
      <c r="S422" s="12"/>
      <c r="T422" s="12"/>
      <c r="U422" s="12"/>
      <c r="V422" s="4"/>
      <c r="W422" s="4"/>
      <c r="X422" s="12"/>
      <c r="Y422" s="12"/>
      <c r="Z422" s="12"/>
      <c r="AA422" s="12"/>
    </row>
    <row r="423" spans="1:27">
      <c r="A423" s="12"/>
      <c r="B423" s="12"/>
      <c r="C423" s="12"/>
      <c r="D423" s="12"/>
      <c r="E423" s="12"/>
      <c r="F423" s="12"/>
      <c r="G423" s="12"/>
      <c r="H423" s="12"/>
      <c r="I423" s="12"/>
      <c r="J423" s="12"/>
      <c r="K423" s="12"/>
      <c r="L423" s="12"/>
      <c r="M423" s="12"/>
      <c r="N423" s="12"/>
      <c r="O423" s="12"/>
      <c r="P423" s="12"/>
      <c r="Q423" s="12"/>
      <c r="R423" s="12"/>
      <c r="S423" s="12"/>
      <c r="T423" s="12"/>
      <c r="U423" s="12"/>
      <c r="V423" s="4"/>
      <c r="W423" s="4"/>
      <c r="X423" s="12"/>
      <c r="Y423" s="12"/>
      <c r="Z423" s="12"/>
      <c r="AA423" s="12"/>
    </row>
    <row r="424" spans="1:27">
      <c r="A424" s="12"/>
      <c r="B424" s="12"/>
      <c r="C424" s="12"/>
      <c r="D424" s="12"/>
      <c r="E424" s="12"/>
      <c r="F424" s="12"/>
      <c r="G424" s="12"/>
      <c r="H424" s="12"/>
      <c r="I424" s="12"/>
      <c r="J424" s="12"/>
      <c r="K424" s="12"/>
      <c r="L424" s="12"/>
      <c r="M424" s="12"/>
      <c r="N424" s="12"/>
      <c r="O424" s="12"/>
      <c r="P424" s="12"/>
      <c r="Q424" s="12"/>
      <c r="R424" s="12"/>
      <c r="S424" s="12"/>
      <c r="T424" s="12"/>
      <c r="U424" s="12"/>
      <c r="V424" s="4"/>
      <c r="W424" s="4"/>
      <c r="X424" s="12"/>
      <c r="Y424" s="12"/>
      <c r="Z424" s="12"/>
      <c r="AA424" s="12"/>
    </row>
    <row r="425" spans="1:27">
      <c r="A425" s="12"/>
      <c r="B425" s="12"/>
      <c r="C425" s="12"/>
      <c r="D425" s="12"/>
      <c r="E425" s="12"/>
      <c r="F425" s="12"/>
      <c r="G425" s="12"/>
      <c r="H425" s="12"/>
      <c r="I425" s="12"/>
      <c r="J425" s="12"/>
      <c r="K425" s="12"/>
      <c r="L425" s="12"/>
      <c r="M425" s="12"/>
      <c r="N425" s="12"/>
      <c r="O425" s="12"/>
      <c r="P425" s="12"/>
      <c r="Q425" s="12"/>
      <c r="R425" s="12"/>
      <c r="S425" s="12"/>
      <c r="T425" s="12"/>
      <c r="U425" s="12"/>
      <c r="V425" s="4"/>
      <c r="W425" s="4"/>
      <c r="X425" s="12"/>
      <c r="Y425" s="12"/>
      <c r="Z425" s="12"/>
      <c r="AA425" s="12"/>
    </row>
    <row r="426" spans="1:27">
      <c r="A426" s="12"/>
      <c r="B426" s="12"/>
      <c r="C426" s="12"/>
      <c r="D426" s="12"/>
      <c r="E426" s="12"/>
      <c r="F426" s="12"/>
      <c r="G426" s="12"/>
      <c r="H426" s="12"/>
      <c r="I426" s="12"/>
      <c r="J426" s="12"/>
      <c r="K426" s="12"/>
      <c r="L426" s="12"/>
      <c r="M426" s="12"/>
      <c r="N426" s="12"/>
      <c r="O426" s="12"/>
      <c r="P426" s="12"/>
      <c r="Q426" s="12"/>
      <c r="R426" s="12"/>
      <c r="S426" s="12"/>
      <c r="T426" s="12"/>
      <c r="U426" s="12"/>
      <c r="V426" s="4"/>
      <c r="W426" s="4"/>
      <c r="X426" s="12"/>
      <c r="Y426" s="12"/>
      <c r="Z426" s="12"/>
      <c r="AA426" s="12"/>
    </row>
    <row r="427" spans="1:27">
      <c r="A427" s="12"/>
      <c r="B427" s="12"/>
      <c r="C427" s="12"/>
      <c r="D427" s="12"/>
      <c r="E427" s="12"/>
      <c r="F427" s="12"/>
      <c r="G427" s="12"/>
      <c r="H427" s="12"/>
      <c r="I427" s="12"/>
      <c r="J427" s="12"/>
      <c r="K427" s="12"/>
      <c r="L427" s="12"/>
      <c r="M427" s="12"/>
      <c r="N427" s="12"/>
      <c r="O427" s="12"/>
      <c r="P427" s="12"/>
      <c r="Q427" s="12"/>
      <c r="R427" s="12"/>
      <c r="S427" s="12"/>
      <c r="T427" s="12"/>
      <c r="U427" s="12"/>
      <c r="V427" s="4"/>
      <c r="W427" s="4"/>
      <c r="X427" s="12"/>
      <c r="Y427" s="12"/>
      <c r="Z427" s="12"/>
      <c r="AA427" s="12"/>
    </row>
    <row r="428" spans="1:27">
      <c r="A428" s="12"/>
      <c r="B428" s="12"/>
      <c r="C428" s="12"/>
      <c r="D428" s="12"/>
      <c r="E428" s="12"/>
      <c r="F428" s="12"/>
      <c r="G428" s="12"/>
      <c r="H428" s="12"/>
      <c r="I428" s="12"/>
      <c r="J428" s="12"/>
      <c r="K428" s="12"/>
      <c r="L428" s="12"/>
      <c r="M428" s="12"/>
      <c r="N428" s="12"/>
      <c r="O428" s="12"/>
      <c r="P428" s="12"/>
      <c r="Q428" s="12"/>
      <c r="R428" s="12"/>
      <c r="S428" s="12"/>
      <c r="T428" s="12"/>
      <c r="U428" s="12"/>
      <c r="V428" s="4"/>
      <c r="W428" s="4"/>
      <c r="X428" s="12"/>
      <c r="Y428" s="12"/>
      <c r="Z428" s="12"/>
      <c r="AA428" s="12"/>
    </row>
    <row r="429" spans="1:27">
      <c r="A429" s="12"/>
      <c r="B429" s="12"/>
      <c r="C429" s="12"/>
      <c r="D429" s="12"/>
      <c r="E429" s="12"/>
      <c r="F429" s="12"/>
      <c r="G429" s="12"/>
      <c r="H429" s="12"/>
      <c r="I429" s="12"/>
      <c r="J429" s="12"/>
      <c r="K429" s="12"/>
      <c r="L429" s="12"/>
      <c r="M429" s="12"/>
      <c r="N429" s="12"/>
      <c r="O429" s="12"/>
      <c r="P429" s="12"/>
      <c r="Q429" s="12"/>
      <c r="R429" s="12"/>
      <c r="S429" s="12"/>
      <c r="T429" s="12"/>
      <c r="U429" s="12"/>
      <c r="V429" s="4"/>
      <c r="W429" s="4"/>
      <c r="X429" s="12"/>
      <c r="Y429" s="12"/>
      <c r="Z429" s="12"/>
      <c r="AA429" s="12"/>
    </row>
    <row r="430" spans="1:27">
      <c r="A430" s="12"/>
      <c r="B430" s="12"/>
      <c r="C430" s="12"/>
      <c r="D430" s="12"/>
      <c r="E430" s="12"/>
      <c r="F430" s="12"/>
      <c r="G430" s="12"/>
      <c r="H430" s="12"/>
      <c r="I430" s="12"/>
      <c r="J430" s="12"/>
      <c r="K430" s="12"/>
      <c r="L430" s="12"/>
      <c r="M430" s="12"/>
      <c r="N430" s="12"/>
      <c r="O430" s="12"/>
      <c r="P430" s="12"/>
      <c r="Q430" s="12"/>
      <c r="R430" s="12"/>
      <c r="S430" s="12"/>
      <c r="T430" s="12"/>
      <c r="U430" s="12"/>
      <c r="V430" s="4"/>
      <c r="W430" s="4"/>
      <c r="X430" s="12"/>
      <c r="Y430" s="12"/>
      <c r="Z430" s="12"/>
      <c r="AA430" s="12"/>
    </row>
    <row r="431" spans="1:27">
      <c r="A431" s="12"/>
      <c r="B431" s="12"/>
      <c r="C431" s="12"/>
      <c r="D431" s="12"/>
      <c r="E431" s="12"/>
      <c r="F431" s="12"/>
      <c r="G431" s="12"/>
      <c r="H431" s="12"/>
      <c r="I431" s="12"/>
      <c r="J431" s="12"/>
      <c r="K431" s="12"/>
      <c r="L431" s="12"/>
      <c r="M431" s="12"/>
      <c r="N431" s="12"/>
      <c r="O431" s="12"/>
      <c r="P431" s="12"/>
      <c r="Q431" s="12"/>
      <c r="R431" s="12"/>
      <c r="S431" s="12"/>
      <c r="T431" s="12"/>
      <c r="U431" s="12"/>
      <c r="V431" s="4"/>
      <c r="W431" s="4"/>
      <c r="X431" s="12"/>
      <c r="Y431" s="12"/>
      <c r="Z431" s="12"/>
      <c r="AA431" s="12"/>
    </row>
    <row r="432" spans="1:27">
      <c r="A432" s="12"/>
      <c r="B432" s="12"/>
      <c r="C432" s="12"/>
      <c r="D432" s="12"/>
      <c r="E432" s="12"/>
      <c r="F432" s="12"/>
      <c r="G432" s="12"/>
      <c r="H432" s="12"/>
      <c r="I432" s="12"/>
      <c r="J432" s="12"/>
      <c r="K432" s="12"/>
      <c r="L432" s="12"/>
      <c r="M432" s="12"/>
      <c r="N432" s="12"/>
      <c r="O432" s="12"/>
      <c r="P432" s="12"/>
      <c r="Q432" s="12"/>
      <c r="R432" s="12"/>
      <c r="S432" s="12"/>
      <c r="T432" s="12"/>
      <c r="U432" s="12"/>
      <c r="V432" s="4"/>
      <c r="W432" s="4"/>
      <c r="X432" s="12"/>
      <c r="Y432" s="12"/>
      <c r="Z432" s="12"/>
      <c r="AA432" s="12"/>
    </row>
    <row r="433" spans="1:27">
      <c r="A433" s="12"/>
      <c r="B433" s="12"/>
      <c r="C433" s="12"/>
      <c r="D433" s="12"/>
      <c r="E433" s="12"/>
      <c r="F433" s="12"/>
      <c r="G433" s="12"/>
      <c r="H433" s="12"/>
      <c r="I433" s="12"/>
      <c r="J433" s="12"/>
      <c r="K433" s="12"/>
      <c r="L433" s="12"/>
      <c r="M433" s="12"/>
      <c r="N433" s="12"/>
      <c r="O433" s="12"/>
      <c r="P433" s="12"/>
      <c r="Q433" s="12"/>
      <c r="R433" s="12"/>
      <c r="S433" s="12"/>
      <c r="T433" s="12"/>
      <c r="U433" s="12"/>
      <c r="V433" s="4"/>
      <c r="W433" s="4"/>
      <c r="X433" s="12"/>
      <c r="Y433" s="12"/>
      <c r="Z433" s="12"/>
      <c r="AA433" s="12"/>
    </row>
    <row r="434" spans="1:27">
      <c r="A434" s="12"/>
      <c r="B434" s="12"/>
      <c r="C434" s="12"/>
      <c r="D434" s="12"/>
      <c r="E434" s="12"/>
      <c r="F434" s="12"/>
      <c r="G434" s="12"/>
      <c r="H434" s="12"/>
      <c r="I434" s="12"/>
      <c r="J434" s="12"/>
      <c r="K434" s="12"/>
      <c r="L434" s="12"/>
      <c r="M434" s="12"/>
      <c r="N434" s="12"/>
      <c r="O434" s="12"/>
      <c r="P434" s="12"/>
      <c r="Q434" s="12"/>
      <c r="R434" s="12"/>
      <c r="S434" s="12"/>
      <c r="T434" s="12"/>
      <c r="U434" s="12"/>
      <c r="V434" s="4"/>
      <c r="W434" s="4"/>
      <c r="X434" s="12"/>
      <c r="Y434" s="12"/>
      <c r="Z434" s="12"/>
      <c r="AA434" s="12"/>
    </row>
    <row r="435" spans="1:27">
      <c r="A435" s="12"/>
      <c r="B435" s="12"/>
      <c r="C435" s="12"/>
      <c r="D435" s="12"/>
      <c r="E435" s="12"/>
      <c r="F435" s="12"/>
      <c r="G435" s="12"/>
      <c r="H435" s="12"/>
      <c r="I435" s="12"/>
      <c r="J435" s="12"/>
      <c r="K435" s="12"/>
      <c r="L435" s="12"/>
      <c r="M435" s="12"/>
      <c r="N435" s="12"/>
      <c r="O435" s="12"/>
      <c r="P435" s="12"/>
      <c r="Q435" s="12"/>
      <c r="R435" s="12"/>
      <c r="S435" s="12"/>
      <c r="T435" s="12"/>
      <c r="U435" s="12"/>
      <c r="V435" s="4"/>
      <c r="W435" s="4"/>
      <c r="X435" s="12"/>
      <c r="Y435" s="12"/>
      <c r="Z435" s="12"/>
      <c r="AA435" s="12"/>
    </row>
    <row r="436" spans="1:27">
      <c r="A436" s="12"/>
      <c r="B436" s="12"/>
      <c r="C436" s="12"/>
      <c r="D436" s="12"/>
      <c r="E436" s="12"/>
      <c r="F436" s="12"/>
      <c r="G436" s="12"/>
      <c r="H436" s="12"/>
      <c r="I436" s="12"/>
      <c r="J436" s="12"/>
      <c r="K436" s="12"/>
      <c r="L436" s="12"/>
      <c r="M436" s="12"/>
      <c r="N436" s="12"/>
      <c r="O436" s="12"/>
      <c r="P436" s="12"/>
      <c r="Q436" s="12"/>
      <c r="R436" s="12"/>
      <c r="S436" s="12"/>
      <c r="T436" s="12"/>
      <c r="U436" s="12"/>
      <c r="V436" s="4"/>
      <c r="W436" s="4"/>
      <c r="X436" s="12"/>
      <c r="Y436" s="12"/>
      <c r="Z436" s="12"/>
      <c r="AA436" s="12"/>
    </row>
    <row r="437" spans="1:27">
      <c r="A437" s="12"/>
      <c r="B437" s="12"/>
      <c r="C437" s="12"/>
      <c r="D437" s="12"/>
      <c r="E437" s="12"/>
      <c r="F437" s="12"/>
      <c r="G437" s="12"/>
      <c r="H437" s="12"/>
      <c r="I437" s="12"/>
      <c r="J437" s="12"/>
      <c r="K437" s="12"/>
      <c r="L437" s="12"/>
      <c r="M437" s="12"/>
      <c r="N437" s="12"/>
      <c r="O437" s="12"/>
      <c r="P437" s="12"/>
      <c r="Q437" s="12"/>
      <c r="R437" s="12"/>
      <c r="S437" s="12"/>
      <c r="T437" s="12"/>
      <c r="U437" s="12"/>
      <c r="V437" s="4"/>
      <c r="W437" s="4"/>
      <c r="X437" s="12"/>
      <c r="Y437" s="12"/>
      <c r="Z437" s="12"/>
      <c r="AA437" s="12"/>
    </row>
    <row r="438" spans="1:27">
      <c r="A438" s="12"/>
      <c r="B438" s="12"/>
      <c r="C438" s="12"/>
      <c r="D438" s="12"/>
      <c r="E438" s="12"/>
      <c r="F438" s="12"/>
      <c r="G438" s="12"/>
      <c r="H438" s="12"/>
      <c r="I438" s="12"/>
      <c r="J438" s="12"/>
      <c r="K438" s="12"/>
      <c r="L438" s="12"/>
      <c r="M438" s="12"/>
      <c r="N438" s="12"/>
      <c r="O438" s="12"/>
      <c r="P438" s="12"/>
      <c r="Q438" s="12"/>
      <c r="R438" s="12"/>
      <c r="S438" s="12"/>
      <c r="T438" s="12"/>
      <c r="U438" s="12"/>
      <c r="V438" s="4"/>
      <c r="W438" s="4"/>
      <c r="X438" s="12"/>
      <c r="Y438" s="12"/>
      <c r="Z438" s="12"/>
      <c r="AA438" s="12"/>
    </row>
    <row r="439" spans="1:27">
      <c r="A439" s="12"/>
      <c r="B439" s="12"/>
      <c r="C439" s="12"/>
      <c r="D439" s="12"/>
      <c r="E439" s="12"/>
      <c r="F439" s="12"/>
      <c r="G439" s="12"/>
      <c r="H439" s="12"/>
      <c r="I439" s="12"/>
      <c r="J439" s="12"/>
      <c r="K439" s="12"/>
      <c r="L439" s="12"/>
      <c r="M439" s="12"/>
      <c r="N439" s="12"/>
      <c r="O439" s="12"/>
      <c r="P439" s="12"/>
      <c r="Q439" s="12"/>
      <c r="R439" s="12"/>
      <c r="S439" s="12"/>
      <c r="T439" s="12"/>
      <c r="U439" s="12"/>
      <c r="V439" s="4"/>
      <c r="W439" s="4"/>
      <c r="X439" s="12"/>
      <c r="Y439" s="12"/>
      <c r="Z439" s="12"/>
      <c r="AA439" s="12"/>
    </row>
    <row r="440" spans="1:27">
      <c r="A440" s="12"/>
      <c r="B440" s="12"/>
      <c r="C440" s="12"/>
      <c r="D440" s="12"/>
      <c r="E440" s="12"/>
      <c r="F440" s="12"/>
      <c r="G440" s="12"/>
      <c r="H440" s="12"/>
      <c r="I440" s="12"/>
      <c r="J440" s="12"/>
      <c r="K440" s="12"/>
      <c r="L440" s="12"/>
      <c r="M440" s="12"/>
      <c r="N440" s="12"/>
      <c r="O440" s="12"/>
      <c r="P440" s="12"/>
      <c r="Q440" s="12"/>
      <c r="R440" s="12"/>
      <c r="S440" s="12"/>
      <c r="T440" s="12"/>
      <c r="U440" s="12"/>
      <c r="V440" s="4"/>
      <c r="W440" s="4"/>
      <c r="X440" s="12"/>
      <c r="Y440" s="12"/>
      <c r="Z440" s="12"/>
      <c r="AA440" s="12"/>
    </row>
    <row r="441" spans="1:27">
      <c r="A441" s="12"/>
      <c r="B441" s="12"/>
      <c r="C441" s="12"/>
      <c r="D441" s="12"/>
      <c r="E441" s="12"/>
      <c r="F441" s="12"/>
      <c r="G441" s="12"/>
      <c r="H441" s="12"/>
      <c r="I441" s="12"/>
      <c r="J441" s="12"/>
      <c r="K441" s="12"/>
      <c r="L441" s="12"/>
      <c r="M441" s="12"/>
      <c r="N441" s="12"/>
      <c r="O441" s="12"/>
      <c r="P441" s="12"/>
      <c r="Q441" s="12"/>
      <c r="R441" s="12"/>
      <c r="S441" s="12"/>
      <c r="T441" s="12"/>
      <c r="U441" s="12"/>
      <c r="V441" s="4"/>
      <c r="W441" s="4"/>
      <c r="X441" s="12"/>
      <c r="Y441" s="12"/>
      <c r="Z441" s="12"/>
      <c r="AA441" s="12"/>
    </row>
    <row r="442" spans="1:27">
      <c r="A442" s="12"/>
      <c r="B442" s="12"/>
      <c r="C442" s="12"/>
      <c r="D442" s="12"/>
      <c r="E442" s="12"/>
      <c r="F442" s="12"/>
      <c r="G442" s="12"/>
      <c r="H442" s="12"/>
      <c r="I442" s="12"/>
      <c r="J442" s="12"/>
      <c r="K442" s="12"/>
      <c r="L442" s="12"/>
      <c r="M442" s="12"/>
      <c r="N442" s="12"/>
      <c r="O442" s="12"/>
      <c r="P442" s="12"/>
      <c r="Q442" s="12"/>
      <c r="R442" s="12"/>
      <c r="S442" s="12"/>
      <c r="T442" s="12"/>
      <c r="U442" s="12"/>
      <c r="V442" s="4"/>
      <c r="W442" s="4"/>
      <c r="X442" s="12"/>
      <c r="Y442" s="12"/>
      <c r="Z442" s="12"/>
      <c r="AA442" s="12"/>
    </row>
    <row r="443" spans="1:27">
      <c r="A443" s="12"/>
      <c r="B443" s="12"/>
      <c r="C443" s="12"/>
      <c r="D443" s="12"/>
      <c r="E443" s="12"/>
      <c r="F443" s="12"/>
      <c r="G443" s="12"/>
      <c r="H443" s="12"/>
      <c r="I443" s="12"/>
      <c r="J443" s="12"/>
      <c r="K443" s="12"/>
      <c r="L443" s="12"/>
      <c r="M443" s="12"/>
      <c r="N443" s="12"/>
      <c r="O443" s="12"/>
      <c r="P443" s="12"/>
      <c r="Q443" s="12"/>
      <c r="R443" s="12"/>
      <c r="S443" s="12"/>
      <c r="T443" s="12"/>
      <c r="U443" s="12"/>
      <c r="V443" s="4"/>
      <c r="W443" s="4"/>
      <c r="X443" s="12"/>
      <c r="Y443" s="12"/>
      <c r="Z443" s="12"/>
      <c r="AA443" s="12"/>
    </row>
    <row r="444" spans="1:27">
      <c r="A444" s="12"/>
      <c r="B444" s="12"/>
      <c r="C444" s="12"/>
      <c r="D444" s="12"/>
      <c r="E444" s="12"/>
      <c r="F444" s="12"/>
      <c r="G444" s="12"/>
      <c r="H444" s="12"/>
      <c r="I444" s="12"/>
      <c r="J444" s="12"/>
      <c r="K444" s="12"/>
      <c r="L444" s="12"/>
      <c r="M444" s="12"/>
      <c r="N444" s="12"/>
      <c r="O444" s="12"/>
      <c r="P444" s="12"/>
      <c r="Q444" s="12"/>
      <c r="R444" s="12"/>
      <c r="S444" s="12"/>
      <c r="T444" s="12"/>
      <c r="U444" s="12"/>
      <c r="V444" s="4"/>
      <c r="W444" s="4"/>
      <c r="X444" s="12"/>
      <c r="Y444" s="12"/>
      <c r="Z444" s="12"/>
      <c r="AA444" s="12"/>
    </row>
    <row r="445" spans="1:27">
      <c r="A445" s="12"/>
      <c r="B445" s="12"/>
      <c r="C445" s="12"/>
      <c r="D445" s="12"/>
      <c r="E445" s="12"/>
      <c r="F445" s="12"/>
      <c r="G445" s="12"/>
      <c r="H445" s="12"/>
      <c r="I445" s="12"/>
      <c r="J445" s="12"/>
      <c r="K445" s="12"/>
      <c r="L445" s="12"/>
      <c r="M445" s="12"/>
      <c r="N445" s="12"/>
      <c r="O445" s="12"/>
      <c r="P445" s="12"/>
      <c r="Q445" s="12"/>
      <c r="R445" s="12"/>
      <c r="S445" s="12"/>
      <c r="T445" s="12"/>
      <c r="U445" s="12"/>
      <c r="V445" s="4"/>
      <c r="W445" s="4"/>
      <c r="X445" s="12"/>
      <c r="Y445" s="12"/>
      <c r="Z445" s="12"/>
      <c r="AA445" s="12"/>
    </row>
    <row r="446" spans="1:27">
      <c r="A446" s="12"/>
      <c r="B446" s="12"/>
      <c r="C446" s="12"/>
      <c r="D446" s="12"/>
      <c r="E446" s="12"/>
      <c r="F446" s="12"/>
      <c r="G446" s="12"/>
      <c r="H446" s="12"/>
      <c r="I446" s="12"/>
      <c r="J446" s="12"/>
      <c r="K446" s="12"/>
      <c r="L446" s="12"/>
      <c r="M446" s="12"/>
      <c r="N446" s="12"/>
      <c r="O446" s="12"/>
      <c r="P446" s="12"/>
      <c r="Q446" s="12"/>
      <c r="R446" s="12"/>
      <c r="S446" s="12"/>
      <c r="T446" s="12"/>
      <c r="U446" s="12"/>
      <c r="V446" s="4"/>
      <c r="W446" s="4"/>
      <c r="X446" s="12"/>
      <c r="Y446" s="12"/>
      <c r="Z446" s="12"/>
      <c r="AA446" s="12"/>
    </row>
    <row r="447" spans="1:27">
      <c r="A447" s="12"/>
      <c r="B447" s="12"/>
      <c r="C447" s="12"/>
      <c r="D447" s="12"/>
      <c r="E447" s="12"/>
      <c r="F447" s="12"/>
      <c r="G447" s="12"/>
      <c r="H447" s="12"/>
      <c r="I447" s="12"/>
      <c r="J447" s="12"/>
      <c r="K447" s="12"/>
      <c r="L447" s="12"/>
      <c r="M447" s="12"/>
      <c r="N447" s="12"/>
      <c r="O447" s="12"/>
      <c r="P447" s="12"/>
      <c r="Q447" s="12"/>
      <c r="R447" s="12"/>
      <c r="S447" s="12"/>
      <c r="T447" s="12"/>
      <c r="U447" s="12"/>
      <c r="V447" s="4"/>
      <c r="W447" s="4"/>
      <c r="X447" s="12"/>
      <c r="Y447" s="12"/>
      <c r="Z447" s="12"/>
      <c r="AA447" s="12"/>
    </row>
    <row r="448" spans="1:27">
      <c r="A448" s="12"/>
      <c r="B448" s="12"/>
      <c r="C448" s="12"/>
      <c r="D448" s="12"/>
      <c r="E448" s="12"/>
      <c r="F448" s="12"/>
      <c r="G448" s="12"/>
      <c r="H448" s="12"/>
      <c r="I448" s="12"/>
      <c r="J448" s="12"/>
      <c r="K448" s="12"/>
      <c r="L448" s="12"/>
      <c r="M448" s="12"/>
      <c r="N448" s="12"/>
      <c r="O448" s="12"/>
      <c r="P448" s="12"/>
      <c r="Q448" s="12"/>
      <c r="R448" s="12"/>
      <c r="S448" s="12"/>
      <c r="T448" s="12"/>
      <c r="U448" s="12"/>
      <c r="V448" s="4"/>
      <c r="W448" s="4"/>
      <c r="X448" s="12"/>
      <c r="Y448" s="12"/>
      <c r="Z448" s="12"/>
      <c r="AA448" s="12"/>
    </row>
    <row r="449" spans="1:27">
      <c r="A449" s="12"/>
      <c r="B449" s="12"/>
      <c r="C449" s="12"/>
      <c r="D449" s="12"/>
      <c r="E449" s="12"/>
      <c r="F449" s="12"/>
      <c r="G449" s="12"/>
      <c r="H449" s="12"/>
      <c r="I449" s="12"/>
      <c r="J449" s="12"/>
      <c r="K449" s="12"/>
      <c r="L449" s="12"/>
      <c r="M449" s="12"/>
      <c r="N449" s="12"/>
      <c r="O449" s="12"/>
      <c r="P449" s="12"/>
      <c r="Q449" s="12"/>
      <c r="R449" s="12"/>
      <c r="S449" s="12"/>
      <c r="T449" s="12"/>
      <c r="U449" s="12"/>
      <c r="V449" s="4"/>
      <c r="W449" s="4"/>
      <c r="X449" s="12"/>
      <c r="Y449" s="12"/>
      <c r="Z449" s="12"/>
      <c r="AA449" s="12"/>
    </row>
    <row r="450" spans="1:27">
      <c r="A450" s="12"/>
      <c r="B450" s="12"/>
      <c r="C450" s="12"/>
      <c r="D450" s="12"/>
      <c r="E450" s="12"/>
      <c r="F450" s="12"/>
      <c r="G450" s="12"/>
      <c r="H450" s="12"/>
      <c r="I450" s="12"/>
      <c r="J450" s="12"/>
      <c r="K450" s="12"/>
      <c r="L450" s="12"/>
      <c r="M450" s="12"/>
      <c r="N450" s="12"/>
      <c r="O450" s="12"/>
      <c r="P450" s="12"/>
      <c r="Q450" s="12"/>
      <c r="R450" s="12"/>
      <c r="S450" s="12"/>
      <c r="T450" s="12"/>
      <c r="U450" s="12"/>
      <c r="V450" s="4"/>
      <c r="W450" s="4"/>
      <c r="X450" s="12"/>
      <c r="Y450" s="12"/>
      <c r="Z450" s="12"/>
      <c r="AA450" s="12"/>
    </row>
    <row r="451" spans="1:27">
      <c r="A451" s="12"/>
      <c r="B451" s="12"/>
      <c r="C451" s="12"/>
      <c r="D451" s="12"/>
      <c r="E451" s="12"/>
      <c r="F451" s="12"/>
      <c r="G451" s="12"/>
      <c r="H451" s="12"/>
      <c r="I451" s="12"/>
      <c r="J451" s="12"/>
      <c r="K451" s="12"/>
      <c r="L451" s="12"/>
      <c r="M451" s="12"/>
      <c r="N451" s="12"/>
      <c r="O451" s="12"/>
      <c r="P451" s="12"/>
      <c r="Q451" s="12"/>
      <c r="R451" s="12"/>
      <c r="S451" s="12"/>
      <c r="T451" s="12"/>
      <c r="U451" s="12"/>
      <c r="V451" s="4"/>
      <c r="W451" s="4"/>
      <c r="X451" s="12"/>
      <c r="Y451" s="12"/>
      <c r="Z451" s="12"/>
      <c r="AA451" s="12"/>
    </row>
    <row r="452" spans="1:27">
      <c r="A452" s="12"/>
      <c r="B452" s="12"/>
      <c r="C452" s="12"/>
      <c r="D452" s="12"/>
      <c r="E452" s="12"/>
      <c r="F452" s="12"/>
      <c r="G452" s="12"/>
      <c r="H452" s="12"/>
      <c r="I452" s="12"/>
      <c r="J452" s="12"/>
      <c r="K452" s="12"/>
      <c r="L452" s="12"/>
      <c r="M452" s="12"/>
      <c r="N452" s="12"/>
      <c r="O452" s="12"/>
      <c r="P452" s="12"/>
      <c r="Q452" s="12"/>
      <c r="R452" s="12"/>
      <c r="S452" s="12"/>
      <c r="T452" s="12"/>
      <c r="U452" s="12"/>
      <c r="V452" s="4"/>
      <c r="W452" s="4"/>
      <c r="X452" s="12"/>
      <c r="Y452" s="12"/>
      <c r="Z452" s="12"/>
      <c r="AA452" s="12"/>
    </row>
    <row r="453" spans="1:27">
      <c r="A453" s="12"/>
      <c r="B453" s="12"/>
      <c r="C453" s="12"/>
      <c r="D453" s="12"/>
      <c r="E453" s="12"/>
      <c r="F453" s="12"/>
      <c r="G453" s="12"/>
      <c r="H453" s="12"/>
      <c r="I453" s="12"/>
      <c r="J453" s="12"/>
      <c r="K453" s="12"/>
      <c r="L453" s="12"/>
      <c r="M453" s="12"/>
      <c r="N453" s="12"/>
      <c r="O453" s="12"/>
      <c r="P453" s="12"/>
      <c r="Q453" s="12"/>
      <c r="R453" s="12"/>
      <c r="S453" s="12"/>
      <c r="T453" s="12"/>
      <c r="U453" s="12"/>
      <c r="V453" s="4"/>
      <c r="W453" s="4"/>
      <c r="X453" s="12"/>
      <c r="Y453" s="12"/>
      <c r="Z453" s="12"/>
      <c r="AA453" s="12"/>
    </row>
    <row r="454" spans="1:27">
      <c r="A454" s="12"/>
      <c r="B454" s="12"/>
      <c r="C454" s="12"/>
      <c r="D454" s="12"/>
      <c r="E454" s="12"/>
      <c r="F454" s="12"/>
      <c r="G454" s="12"/>
      <c r="H454" s="12"/>
      <c r="I454" s="12"/>
      <c r="J454" s="12"/>
      <c r="K454" s="12"/>
      <c r="L454" s="12"/>
      <c r="M454" s="12"/>
      <c r="N454" s="12"/>
      <c r="O454" s="12"/>
      <c r="P454" s="12"/>
      <c r="Q454" s="12"/>
      <c r="R454" s="12"/>
      <c r="S454" s="12"/>
      <c r="T454" s="12"/>
      <c r="U454" s="12"/>
      <c r="V454" s="4"/>
      <c r="W454" s="4"/>
      <c r="X454" s="12"/>
      <c r="Y454" s="12"/>
      <c r="Z454" s="12"/>
      <c r="AA454" s="12"/>
    </row>
    <row r="455" spans="1:27">
      <c r="A455" s="12"/>
      <c r="B455" s="12"/>
      <c r="C455" s="12"/>
      <c r="D455" s="12"/>
      <c r="E455" s="12"/>
      <c r="F455" s="12"/>
      <c r="G455" s="12"/>
      <c r="H455" s="12"/>
      <c r="I455" s="12"/>
      <c r="J455" s="12"/>
      <c r="K455" s="12"/>
      <c r="L455" s="12"/>
      <c r="M455" s="12"/>
      <c r="N455" s="12"/>
      <c r="O455" s="12"/>
      <c r="P455" s="12"/>
      <c r="Q455" s="12"/>
      <c r="R455" s="12"/>
      <c r="S455" s="12"/>
      <c r="T455" s="12"/>
      <c r="U455" s="12"/>
      <c r="V455" s="4"/>
      <c r="W455" s="4"/>
      <c r="X455" s="12"/>
      <c r="Y455" s="12"/>
      <c r="Z455" s="12"/>
      <c r="AA455" s="12"/>
    </row>
    <row r="456" spans="1:27">
      <c r="A456" s="12"/>
      <c r="B456" s="12"/>
      <c r="C456" s="12"/>
      <c r="D456" s="12"/>
      <c r="E456" s="12"/>
      <c r="F456" s="12"/>
      <c r="G456" s="12"/>
      <c r="H456" s="12"/>
      <c r="I456" s="12"/>
      <c r="J456" s="12"/>
      <c r="K456" s="12"/>
      <c r="L456" s="12"/>
      <c r="M456" s="12"/>
      <c r="N456" s="12"/>
      <c r="O456" s="12"/>
      <c r="P456" s="12"/>
      <c r="Q456" s="12"/>
      <c r="R456" s="12"/>
      <c r="S456" s="12"/>
      <c r="T456" s="12"/>
      <c r="U456" s="12"/>
      <c r="V456" s="4"/>
      <c r="W456" s="4"/>
      <c r="X456" s="12"/>
      <c r="Y456" s="12"/>
      <c r="Z456" s="12"/>
      <c r="AA456" s="12"/>
    </row>
    <row r="457" spans="1:27">
      <c r="A457" s="12"/>
      <c r="B457" s="12"/>
      <c r="C457" s="12"/>
      <c r="D457" s="12"/>
      <c r="E457" s="12"/>
      <c r="F457" s="12"/>
      <c r="G457" s="12"/>
      <c r="H457" s="12"/>
      <c r="I457" s="12"/>
      <c r="J457" s="12"/>
      <c r="K457" s="12"/>
      <c r="L457" s="12"/>
      <c r="M457" s="12"/>
      <c r="N457" s="12"/>
      <c r="O457" s="12"/>
      <c r="P457" s="12"/>
      <c r="Q457" s="12"/>
      <c r="R457" s="12"/>
      <c r="S457" s="12"/>
      <c r="T457" s="12"/>
      <c r="U457" s="12"/>
      <c r="V457" s="4"/>
      <c r="W457" s="4"/>
      <c r="X457" s="12"/>
      <c r="Y457" s="12"/>
      <c r="Z457" s="12"/>
      <c r="AA457" s="12"/>
    </row>
    <row r="458" spans="1:27">
      <c r="A458" s="12"/>
      <c r="B458" s="12"/>
      <c r="C458" s="12"/>
      <c r="D458" s="12"/>
      <c r="E458" s="12"/>
      <c r="F458" s="12"/>
      <c r="G458" s="12"/>
      <c r="H458" s="12"/>
      <c r="I458" s="12"/>
      <c r="J458" s="12"/>
      <c r="K458" s="12"/>
      <c r="L458" s="12"/>
      <c r="M458" s="12"/>
      <c r="N458" s="12"/>
      <c r="O458" s="12"/>
      <c r="P458" s="12"/>
      <c r="Q458" s="12"/>
      <c r="R458" s="12"/>
      <c r="S458" s="12"/>
      <c r="T458" s="12"/>
      <c r="U458" s="12"/>
      <c r="V458" s="4"/>
      <c r="W458" s="4"/>
      <c r="X458" s="12"/>
      <c r="Y458" s="12"/>
      <c r="Z458" s="12"/>
      <c r="AA458" s="12"/>
    </row>
    <row r="459" spans="1:27">
      <c r="A459" s="12"/>
      <c r="B459" s="12"/>
      <c r="C459" s="12"/>
      <c r="D459" s="12"/>
      <c r="E459" s="12"/>
      <c r="F459" s="12"/>
      <c r="G459" s="12"/>
      <c r="H459" s="12"/>
      <c r="I459" s="12"/>
      <c r="J459" s="12"/>
      <c r="K459" s="12"/>
      <c r="L459" s="12"/>
      <c r="M459" s="12"/>
      <c r="N459" s="12"/>
      <c r="O459" s="12"/>
      <c r="P459" s="12"/>
      <c r="Q459" s="12"/>
      <c r="R459" s="12"/>
      <c r="S459" s="12"/>
      <c r="T459" s="12"/>
      <c r="U459" s="12"/>
      <c r="V459" s="4"/>
      <c r="W459" s="4"/>
      <c r="X459" s="12"/>
      <c r="Y459" s="12"/>
      <c r="Z459" s="12"/>
      <c r="AA459" s="12"/>
    </row>
    <row r="460" spans="1:27">
      <c r="A460" s="12"/>
      <c r="B460" s="12"/>
      <c r="C460" s="12"/>
      <c r="D460" s="12"/>
      <c r="E460" s="12"/>
      <c r="F460" s="12"/>
      <c r="G460" s="12"/>
      <c r="H460" s="12"/>
      <c r="I460" s="12"/>
      <c r="J460" s="12"/>
      <c r="K460" s="12"/>
      <c r="L460" s="12"/>
      <c r="M460" s="12"/>
      <c r="N460" s="12"/>
      <c r="O460" s="12"/>
      <c r="P460" s="12"/>
      <c r="Q460" s="12"/>
      <c r="R460" s="12"/>
      <c r="S460" s="12"/>
      <c r="T460" s="12"/>
      <c r="U460" s="12"/>
      <c r="V460" s="4"/>
      <c r="W460" s="4"/>
      <c r="X460" s="12"/>
      <c r="Y460" s="12"/>
      <c r="Z460" s="12"/>
      <c r="AA460" s="12"/>
    </row>
    <row r="461" spans="1:27">
      <c r="A461" s="12"/>
      <c r="B461" s="12"/>
      <c r="C461" s="12"/>
      <c r="D461" s="12"/>
      <c r="E461" s="12"/>
      <c r="F461" s="12"/>
      <c r="G461" s="12"/>
      <c r="H461" s="12"/>
      <c r="I461" s="12"/>
      <c r="J461" s="12"/>
      <c r="K461" s="12"/>
      <c r="L461" s="12"/>
      <c r="M461" s="12"/>
      <c r="N461" s="12"/>
      <c r="O461" s="12"/>
      <c r="P461" s="12"/>
      <c r="Q461" s="12"/>
      <c r="R461" s="12"/>
      <c r="S461" s="12"/>
      <c r="T461" s="12"/>
      <c r="U461" s="12"/>
      <c r="V461" s="4"/>
      <c r="W461" s="4"/>
      <c r="X461" s="12"/>
      <c r="Y461" s="12"/>
      <c r="Z461" s="12"/>
      <c r="AA461" s="12"/>
    </row>
    <row r="462" spans="1:27">
      <c r="A462" s="12"/>
      <c r="B462" s="12"/>
      <c r="C462" s="12"/>
      <c r="D462" s="12"/>
      <c r="E462" s="12"/>
      <c r="F462" s="12"/>
      <c r="G462" s="12"/>
      <c r="H462" s="12"/>
      <c r="I462" s="12"/>
      <c r="J462" s="12"/>
      <c r="K462" s="12"/>
      <c r="L462" s="12"/>
      <c r="M462" s="12"/>
      <c r="N462" s="12"/>
      <c r="O462" s="12"/>
      <c r="P462" s="12"/>
      <c r="Q462" s="12"/>
      <c r="R462" s="12"/>
      <c r="S462" s="12"/>
      <c r="T462" s="12"/>
      <c r="U462" s="12"/>
      <c r="V462" s="4"/>
      <c r="W462" s="4"/>
      <c r="X462" s="12"/>
      <c r="Y462" s="12"/>
      <c r="Z462" s="12"/>
      <c r="AA462" s="12"/>
    </row>
    <row r="463" spans="1:27">
      <c r="A463" s="12"/>
      <c r="B463" s="12"/>
      <c r="C463" s="12"/>
      <c r="D463" s="12"/>
      <c r="E463" s="12"/>
      <c r="F463" s="12"/>
      <c r="G463" s="12"/>
      <c r="H463" s="12"/>
      <c r="I463" s="12"/>
      <c r="J463" s="12"/>
      <c r="K463" s="12"/>
      <c r="L463" s="12"/>
      <c r="M463" s="12"/>
      <c r="N463" s="12"/>
      <c r="O463" s="12"/>
      <c r="P463" s="12"/>
      <c r="Q463" s="12"/>
      <c r="R463" s="12"/>
      <c r="S463" s="12"/>
      <c r="T463" s="12"/>
      <c r="U463" s="12"/>
      <c r="V463" s="4"/>
      <c r="W463" s="4"/>
      <c r="X463" s="12"/>
      <c r="Y463" s="12"/>
      <c r="Z463" s="12"/>
      <c r="AA463" s="12"/>
    </row>
    <row r="464" spans="1:27">
      <c r="A464" s="12"/>
      <c r="B464" s="12"/>
      <c r="C464" s="12"/>
      <c r="D464" s="12"/>
      <c r="E464" s="12"/>
      <c r="F464" s="12"/>
      <c r="G464" s="12"/>
      <c r="H464" s="12"/>
      <c r="I464" s="12"/>
      <c r="J464" s="12"/>
      <c r="K464" s="12"/>
      <c r="L464" s="12"/>
      <c r="M464" s="12"/>
      <c r="N464" s="12"/>
      <c r="O464" s="12"/>
      <c r="P464" s="12"/>
      <c r="Q464" s="12"/>
      <c r="R464" s="12"/>
      <c r="S464" s="12"/>
      <c r="T464" s="12"/>
      <c r="U464" s="12"/>
      <c r="V464" s="4"/>
      <c r="W464" s="4"/>
      <c r="X464" s="12"/>
      <c r="Y464" s="12"/>
      <c r="Z464" s="12"/>
      <c r="AA464" s="12"/>
    </row>
    <row r="465" spans="1:27">
      <c r="A465" s="12"/>
      <c r="B465" s="12"/>
      <c r="C465" s="12"/>
      <c r="D465" s="12"/>
      <c r="E465" s="12"/>
      <c r="F465" s="12"/>
      <c r="G465" s="12"/>
      <c r="H465" s="12"/>
      <c r="I465" s="12"/>
      <c r="J465" s="12"/>
      <c r="K465" s="12"/>
      <c r="L465" s="12"/>
      <c r="M465" s="12"/>
      <c r="N465" s="12"/>
      <c r="O465" s="12"/>
      <c r="P465" s="12"/>
      <c r="Q465" s="12"/>
      <c r="R465" s="12"/>
      <c r="S465" s="12"/>
      <c r="T465" s="12"/>
      <c r="U465" s="12"/>
      <c r="V465" s="4"/>
      <c r="W465" s="4"/>
      <c r="X465" s="12"/>
      <c r="Y465" s="12"/>
      <c r="Z465" s="12"/>
      <c r="AA465" s="12"/>
    </row>
    <row r="466" spans="1:27">
      <c r="A466" s="12"/>
      <c r="B466" s="12"/>
      <c r="C466" s="12"/>
      <c r="D466" s="12"/>
      <c r="E466" s="12"/>
      <c r="F466" s="12"/>
      <c r="G466" s="12"/>
      <c r="H466" s="12"/>
      <c r="I466" s="12"/>
      <c r="J466" s="12"/>
      <c r="K466" s="12"/>
      <c r="L466" s="12"/>
      <c r="M466" s="12"/>
      <c r="N466" s="12"/>
      <c r="O466" s="12"/>
      <c r="P466" s="12"/>
      <c r="Q466" s="12"/>
      <c r="R466" s="12"/>
      <c r="S466" s="12"/>
      <c r="T466" s="12"/>
      <c r="U466" s="12"/>
      <c r="V466" s="4"/>
      <c r="W466" s="4"/>
      <c r="X466" s="12"/>
      <c r="Y466" s="12"/>
      <c r="Z466" s="12"/>
      <c r="AA466" s="12"/>
    </row>
    <row r="467" spans="1:27">
      <c r="A467" s="12"/>
      <c r="B467" s="12"/>
      <c r="C467" s="12"/>
      <c r="D467" s="12"/>
      <c r="E467" s="12"/>
      <c r="F467" s="12"/>
      <c r="G467" s="12"/>
      <c r="H467" s="12"/>
      <c r="I467" s="12"/>
      <c r="J467" s="12"/>
      <c r="K467" s="12"/>
      <c r="L467" s="12"/>
      <c r="M467" s="12"/>
      <c r="N467" s="12"/>
      <c r="O467" s="12"/>
      <c r="P467" s="12"/>
      <c r="Q467" s="12"/>
      <c r="R467" s="12"/>
      <c r="S467" s="12"/>
      <c r="T467" s="12"/>
      <c r="U467" s="12"/>
      <c r="V467" s="4"/>
      <c r="W467" s="4"/>
      <c r="X467" s="12"/>
      <c r="Y467" s="12"/>
      <c r="Z467" s="12"/>
      <c r="AA467" s="12"/>
    </row>
    <row r="468" spans="1:27">
      <c r="A468" s="12"/>
      <c r="B468" s="12"/>
      <c r="C468" s="12"/>
      <c r="D468" s="12"/>
      <c r="E468" s="12"/>
      <c r="F468" s="12"/>
      <c r="G468" s="12"/>
      <c r="H468" s="12"/>
      <c r="I468" s="12"/>
      <c r="J468" s="12"/>
      <c r="K468" s="12"/>
      <c r="L468" s="12"/>
      <c r="M468" s="12"/>
      <c r="N468" s="12"/>
      <c r="O468" s="12"/>
      <c r="P468" s="12"/>
      <c r="Q468" s="12"/>
      <c r="R468" s="12"/>
      <c r="S468" s="12"/>
      <c r="T468" s="12"/>
      <c r="U468" s="12"/>
      <c r="V468" s="4"/>
      <c r="W468" s="4"/>
      <c r="X468" s="12"/>
      <c r="Y468" s="12"/>
      <c r="Z468" s="12"/>
      <c r="AA468" s="12"/>
    </row>
    <row r="469" spans="1:27">
      <c r="A469" s="12"/>
      <c r="B469" s="12"/>
      <c r="C469" s="12"/>
      <c r="D469" s="12"/>
      <c r="E469" s="12"/>
      <c r="F469" s="12"/>
      <c r="G469" s="12"/>
      <c r="H469" s="12"/>
      <c r="I469" s="12"/>
      <c r="J469" s="12"/>
      <c r="K469" s="12"/>
      <c r="L469" s="12"/>
      <c r="M469" s="12"/>
      <c r="N469" s="12"/>
      <c r="O469" s="12"/>
      <c r="P469" s="12"/>
      <c r="Q469" s="12"/>
      <c r="R469" s="12"/>
      <c r="S469" s="12"/>
      <c r="T469" s="12"/>
      <c r="U469" s="12"/>
      <c r="V469" s="4"/>
      <c r="W469" s="4"/>
      <c r="X469" s="12"/>
      <c r="Y469" s="12"/>
      <c r="Z469" s="12"/>
      <c r="AA469" s="12"/>
    </row>
    <row r="470" spans="1:27">
      <c r="A470" s="12"/>
      <c r="B470" s="12"/>
      <c r="C470" s="12"/>
      <c r="D470" s="12"/>
      <c r="E470" s="12"/>
      <c r="F470" s="12"/>
      <c r="G470" s="12"/>
      <c r="H470" s="12"/>
      <c r="I470" s="12"/>
      <c r="J470" s="12"/>
      <c r="K470" s="12"/>
      <c r="L470" s="12"/>
      <c r="M470" s="12"/>
      <c r="N470" s="12"/>
      <c r="O470" s="12"/>
      <c r="P470" s="12"/>
      <c r="Q470" s="12"/>
      <c r="R470" s="12"/>
      <c r="S470" s="12"/>
      <c r="T470" s="12"/>
      <c r="U470" s="12"/>
      <c r="V470" s="4"/>
      <c r="W470" s="4"/>
      <c r="X470" s="12"/>
      <c r="Y470" s="12"/>
      <c r="Z470" s="12"/>
      <c r="AA470" s="12"/>
    </row>
    <row r="471" spans="1:27">
      <c r="A471" s="12"/>
      <c r="B471" s="12"/>
      <c r="C471" s="12"/>
      <c r="D471" s="12"/>
      <c r="E471" s="12"/>
      <c r="F471" s="12"/>
      <c r="G471" s="12"/>
      <c r="H471" s="12"/>
      <c r="I471" s="12"/>
      <c r="J471" s="12"/>
      <c r="K471" s="12"/>
      <c r="L471" s="12"/>
      <c r="M471" s="12"/>
      <c r="N471" s="12"/>
      <c r="O471" s="12"/>
      <c r="P471" s="12"/>
      <c r="Q471" s="12"/>
      <c r="R471" s="12"/>
      <c r="S471" s="12"/>
      <c r="T471" s="12"/>
      <c r="U471" s="12"/>
      <c r="V471" s="4"/>
      <c r="W471" s="4"/>
      <c r="X471" s="12"/>
      <c r="Y471" s="12"/>
      <c r="Z471" s="12"/>
      <c r="AA471" s="12"/>
    </row>
    <row r="472" spans="1:27">
      <c r="A472" s="12"/>
      <c r="B472" s="12"/>
      <c r="C472" s="12"/>
      <c r="D472" s="12"/>
      <c r="E472" s="12"/>
      <c r="F472" s="12"/>
      <c r="G472" s="12"/>
      <c r="H472" s="12"/>
      <c r="I472" s="12"/>
      <c r="J472" s="12"/>
      <c r="K472" s="12"/>
      <c r="L472" s="12"/>
      <c r="M472" s="12"/>
      <c r="N472" s="12"/>
      <c r="O472" s="12"/>
      <c r="P472" s="12"/>
      <c r="Q472" s="12"/>
      <c r="R472" s="12"/>
      <c r="S472" s="12"/>
      <c r="T472" s="12"/>
      <c r="U472" s="12"/>
      <c r="V472" s="4"/>
      <c r="W472" s="4"/>
      <c r="X472" s="12"/>
      <c r="Y472" s="12"/>
      <c r="Z472" s="12"/>
      <c r="AA472" s="12"/>
    </row>
    <row r="473" spans="1:27">
      <c r="A473" s="12"/>
      <c r="B473" s="12"/>
      <c r="C473" s="12"/>
      <c r="D473" s="12"/>
      <c r="E473" s="12"/>
      <c r="F473" s="12"/>
      <c r="G473" s="12"/>
      <c r="H473" s="12"/>
      <c r="I473" s="12"/>
      <c r="J473" s="12"/>
      <c r="K473" s="12"/>
      <c r="L473" s="12"/>
      <c r="M473" s="12"/>
      <c r="N473" s="12"/>
      <c r="O473" s="12"/>
      <c r="P473" s="12"/>
      <c r="Q473" s="12"/>
      <c r="R473" s="12"/>
      <c r="S473" s="12"/>
      <c r="T473" s="12"/>
      <c r="U473" s="12"/>
      <c r="V473" s="4"/>
      <c r="W473" s="4"/>
      <c r="X473" s="12"/>
      <c r="Y473" s="12"/>
      <c r="Z473" s="12"/>
      <c r="AA473" s="12"/>
    </row>
    <row r="474" spans="1:27">
      <c r="A474" s="12"/>
      <c r="B474" s="12"/>
      <c r="C474" s="12"/>
      <c r="D474" s="12"/>
      <c r="E474" s="12"/>
      <c r="F474" s="12"/>
      <c r="G474" s="12"/>
      <c r="H474" s="12"/>
      <c r="I474" s="12"/>
      <c r="J474" s="12"/>
      <c r="K474" s="12"/>
      <c r="L474" s="12"/>
      <c r="M474" s="12"/>
      <c r="N474" s="12"/>
      <c r="O474" s="12"/>
      <c r="P474" s="12"/>
      <c r="Q474" s="12"/>
      <c r="R474" s="12"/>
      <c r="S474" s="12"/>
      <c r="T474" s="12"/>
      <c r="U474" s="12"/>
      <c r="V474" s="4"/>
      <c r="W474" s="4"/>
      <c r="X474" s="12"/>
      <c r="Y474" s="12"/>
      <c r="Z474" s="12"/>
      <c r="AA474" s="12"/>
    </row>
    <row r="475" spans="1:27">
      <c r="A475" s="12"/>
      <c r="B475" s="12"/>
      <c r="C475" s="12"/>
      <c r="D475" s="12"/>
      <c r="E475" s="12"/>
      <c r="F475" s="12"/>
      <c r="G475" s="12"/>
      <c r="H475" s="12"/>
      <c r="I475" s="12"/>
      <c r="J475" s="12"/>
      <c r="K475" s="12"/>
      <c r="L475" s="12"/>
      <c r="M475" s="12"/>
      <c r="N475" s="12"/>
      <c r="O475" s="12"/>
      <c r="P475" s="12"/>
      <c r="Q475" s="12"/>
      <c r="R475" s="12"/>
      <c r="S475" s="12"/>
      <c r="T475" s="12"/>
      <c r="U475" s="12"/>
      <c r="V475" s="4"/>
      <c r="W475" s="4"/>
      <c r="X475" s="12"/>
      <c r="Y475" s="12"/>
      <c r="Z475" s="12"/>
      <c r="AA475" s="12"/>
    </row>
    <row r="476" spans="1:27">
      <c r="A476" s="12"/>
      <c r="B476" s="12"/>
      <c r="C476" s="12"/>
      <c r="D476" s="12"/>
      <c r="E476" s="12"/>
      <c r="F476" s="12"/>
      <c r="G476" s="12"/>
      <c r="H476" s="12"/>
      <c r="I476" s="12"/>
      <c r="J476" s="12"/>
      <c r="K476" s="12"/>
      <c r="L476" s="12"/>
      <c r="M476" s="12"/>
      <c r="N476" s="12"/>
      <c r="O476" s="12"/>
      <c r="P476" s="12"/>
      <c r="Q476" s="12"/>
      <c r="R476" s="12"/>
      <c r="S476" s="12"/>
      <c r="T476" s="12"/>
      <c r="U476" s="12"/>
      <c r="V476" s="4"/>
      <c r="W476" s="4"/>
      <c r="X476" s="12"/>
      <c r="Y476" s="12"/>
      <c r="Z476" s="12"/>
      <c r="AA476" s="12"/>
    </row>
    <row r="477" spans="1:27">
      <c r="A477" s="12"/>
      <c r="B477" s="12"/>
      <c r="C477" s="12"/>
      <c r="D477" s="12"/>
      <c r="E477" s="12"/>
      <c r="F477" s="12"/>
      <c r="G477" s="12"/>
      <c r="H477" s="12"/>
      <c r="I477" s="12"/>
      <c r="J477" s="12"/>
      <c r="K477" s="12"/>
      <c r="L477" s="12"/>
      <c r="M477" s="12"/>
      <c r="N477" s="12"/>
      <c r="O477" s="12"/>
      <c r="P477" s="12"/>
      <c r="Q477" s="12"/>
      <c r="R477" s="12"/>
      <c r="S477" s="12"/>
      <c r="T477" s="12"/>
      <c r="U477" s="12"/>
      <c r="V477" s="4"/>
      <c r="W477" s="4"/>
      <c r="X477" s="12"/>
      <c r="Y477" s="12"/>
      <c r="Z477" s="12"/>
      <c r="AA477" s="12"/>
    </row>
    <row r="478" spans="1:27">
      <c r="A478" s="12"/>
      <c r="B478" s="12"/>
      <c r="C478" s="12"/>
      <c r="D478" s="12"/>
      <c r="E478" s="12"/>
      <c r="F478" s="12"/>
      <c r="G478" s="12"/>
      <c r="H478" s="12"/>
      <c r="I478" s="12"/>
      <c r="J478" s="12"/>
      <c r="K478" s="12"/>
      <c r="L478" s="12"/>
      <c r="M478" s="12"/>
      <c r="N478" s="12"/>
      <c r="O478" s="12"/>
      <c r="P478" s="12"/>
      <c r="Q478" s="12"/>
      <c r="R478" s="12"/>
      <c r="S478" s="12"/>
      <c r="T478" s="12"/>
      <c r="U478" s="12"/>
      <c r="V478" s="4"/>
      <c r="W478" s="4"/>
      <c r="X478" s="12"/>
      <c r="Y478" s="12"/>
      <c r="Z478" s="12"/>
      <c r="AA478" s="12"/>
    </row>
    <row r="479" spans="1:27">
      <c r="A479" s="12"/>
      <c r="B479" s="12"/>
      <c r="C479" s="12"/>
      <c r="D479" s="12"/>
      <c r="E479" s="12"/>
      <c r="F479" s="12"/>
      <c r="G479" s="12"/>
      <c r="H479" s="12"/>
      <c r="I479" s="12"/>
      <c r="J479" s="12"/>
      <c r="K479" s="12"/>
      <c r="L479" s="12"/>
      <c r="M479" s="12"/>
      <c r="N479" s="12"/>
      <c r="O479" s="12"/>
      <c r="P479" s="12"/>
      <c r="Q479" s="12"/>
      <c r="R479" s="12"/>
      <c r="S479" s="12"/>
      <c r="T479" s="12"/>
      <c r="U479" s="12"/>
      <c r="V479" s="4"/>
      <c r="W479" s="4"/>
      <c r="X479" s="12"/>
      <c r="Y479" s="12"/>
      <c r="Z479" s="12"/>
      <c r="AA479" s="12"/>
    </row>
    <row r="480" spans="1:27">
      <c r="A480" s="12"/>
      <c r="B480" s="12"/>
      <c r="C480" s="12"/>
      <c r="D480" s="12"/>
      <c r="E480" s="12"/>
      <c r="F480" s="12"/>
      <c r="G480" s="12"/>
      <c r="H480" s="12"/>
      <c r="I480" s="12"/>
      <c r="J480" s="12"/>
      <c r="K480" s="12"/>
      <c r="L480" s="12"/>
      <c r="M480" s="12"/>
      <c r="N480" s="12"/>
      <c r="O480" s="12"/>
      <c r="P480" s="12"/>
      <c r="Q480" s="12"/>
      <c r="R480" s="12"/>
      <c r="S480" s="12"/>
      <c r="T480" s="12"/>
      <c r="U480" s="12"/>
      <c r="V480" s="4"/>
      <c r="W480" s="4"/>
      <c r="X480" s="12"/>
      <c r="Y480" s="12"/>
      <c r="Z480" s="12"/>
      <c r="AA480" s="12"/>
    </row>
    <row r="481" spans="1:27">
      <c r="A481" s="12"/>
      <c r="B481" s="12"/>
      <c r="C481" s="12"/>
      <c r="D481" s="12"/>
      <c r="E481" s="12"/>
      <c r="F481" s="12"/>
      <c r="G481" s="12"/>
      <c r="H481" s="12"/>
      <c r="I481" s="12"/>
      <c r="J481" s="12"/>
      <c r="K481" s="12"/>
      <c r="L481" s="12"/>
      <c r="M481" s="12"/>
      <c r="N481" s="12"/>
      <c r="O481" s="12"/>
      <c r="P481" s="12"/>
      <c r="Q481" s="12"/>
      <c r="R481" s="12"/>
      <c r="S481" s="12"/>
      <c r="T481" s="12"/>
      <c r="U481" s="12"/>
      <c r="V481" s="4"/>
      <c r="W481" s="4"/>
      <c r="X481" s="12"/>
      <c r="Y481" s="12"/>
      <c r="Z481" s="12"/>
      <c r="AA481" s="12"/>
    </row>
    <row r="482" spans="1:27">
      <c r="A482" s="12"/>
      <c r="B482" s="12"/>
      <c r="C482" s="12"/>
      <c r="D482" s="12"/>
      <c r="E482" s="12"/>
      <c r="F482" s="12"/>
      <c r="G482" s="12"/>
      <c r="H482" s="12"/>
      <c r="I482" s="12"/>
      <c r="J482" s="12"/>
      <c r="K482" s="12"/>
      <c r="L482" s="12"/>
      <c r="M482" s="12"/>
      <c r="N482" s="12"/>
      <c r="O482" s="12"/>
      <c r="P482" s="12"/>
      <c r="Q482" s="12"/>
      <c r="R482" s="12"/>
      <c r="S482" s="12"/>
      <c r="T482" s="12"/>
      <c r="U482" s="12"/>
      <c r="V482" s="4"/>
      <c r="W482" s="4"/>
      <c r="X482" s="12"/>
      <c r="Y482" s="12"/>
      <c r="Z482" s="12"/>
      <c r="AA482" s="12"/>
    </row>
    <row r="483" spans="1:27">
      <c r="A483" s="12"/>
      <c r="B483" s="12"/>
      <c r="C483" s="12"/>
      <c r="D483" s="12"/>
      <c r="E483" s="12"/>
      <c r="F483" s="12"/>
      <c r="G483" s="12"/>
      <c r="H483" s="12"/>
      <c r="I483" s="12"/>
      <c r="J483" s="12"/>
      <c r="K483" s="12"/>
      <c r="L483" s="12"/>
      <c r="M483" s="12"/>
      <c r="N483" s="12"/>
      <c r="O483" s="12"/>
      <c r="P483" s="12"/>
      <c r="Q483" s="12"/>
      <c r="R483" s="12"/>
      <c r="S483" s="12"/>
      <c r="T483" s="12"/>
      <c r="U483" s="12"/>
      <c r="V483" s="4"/>
      <c r="W483" s="4"/>
      <c r="X483" s="12"/>
      <c r="Y483" s="12"/>
      <c r="Z483" s="12"/>
      <c r="AA483" s="12"/>
    </row>
    <row r="484" spans="1:27">
      <c r="A484" s="12"/>
      <c r="B484" s="12"/>
      <c r="C484" s="12"/>
      <c r="D484" s="12"/>
      <c r="E484" s="12"/>
      <c r="F484" s="12"/>
      <c r="G484" s="12"/>
      <c r="H484" s="12"/>
      <c r="I484" s="12"/>
      <c r="J484" s="12"/>
      <c r="K484" s="12"/>
      <c r="L484" s="12"/>
      <c r="M484" s="12"/>
      <c r="N484" s="12"/>
      <c r="O484" s="12"/>
      <c r="P484" s="12"/>
      <c r="Q484" s="12"/>
      <c r="R484" s="12"/>
      <c r="S484" s="12"/>
      <c r="T484" s="12"/>
      <c r="U484" s="12"/>
      <c r="V484" s="4"/>
      <c r="W484" s="4"/>
      <c r="X484" s="12"/>
      <c r="Y484" s="12"/>
      <c r="Z484" s="12"/>
      <c r="AA484" s="12"/>
    </row>
    <row r="485" spans="1:27">
      <c r="A485" s="12"/>
      <c r="B485" s="12"/>
      <c r="C485" s="12"/>
      <c r="D485" s="12"/>
      <c r="E485" s="12"/>
      <c r="F485" s="12"/>
      <c r="G485" s="12"/>
      <c r="H485" s="12"/>
      <c r="I485" s="12"/>
      <c r="J485" s="12"/>
      <c r="K485" s="12"/>
      <c r="L485" s="12"/>
      <c r="M485" s="12"/>
      <c r="N485" s="12"/>
      <c r="O485" s="12"/>
      <c r="P485" s="12"/>
      <c r="Q485" s="12"/>
      <c r="R485" s="12"/>
      <c r="S485" s="12"/>
      <c r="T485" s="12"/>
      <c r="U485" s="12"/>
      <c r="V485" s="4"/>
      <c r="W485" s="4"/>
      <c r="X485" s="12"/>
      <c r="Y485" s="12"/>
      <c r="Z485" s="12"/>
      <c r="AA485" s="12"/>
    </row>
    <row r="486" spans="1:27">
      <c r="A486" s="12"/>
      <c r="B486" s="12"/>
      <c r="C486" s="12"/>
      <c r="D486" s="12"/>
      <c r="E486" s="12"/>
      <c r="F486" s="12"/>
      <c r="G486" s="12"/>
      <c r="H486" s="12"/>
      <c r="I486" s="12"/>
      <c r="J486" s="12"/>
      <c r="K486" s="12"/>
      <c r="L486" s="12"/>
      <c r="M486" s="12"/>
      <c r="N486" s="12"/>
      <c r="O486" s="12"/>
      <c r="P486" s="12"/>
      <c r="Q486" s="12"/>
      <c r="R486" s="12"/>
      <c r="S486" s="12"/>
      <c r="T486" s="12"/>
      <c r="U486" s="12"/>
      <c r="V486" s="4"/>
      <c r="W486" s="4"/>
      <c r="X486" s="12"/>
      <c r="Y486" s="12"/>
      <c r="Z486" s="12"/>
      <c r="AA486" s="12"/>
    </row>
    <row r="487" spans="1:27">
      <c r="A487" s="12"/>
      <c r="B487" s="12"/>
      <c r="C487" s="12"/>
      <c r="D487" s="12"/>
      <c r="E487" s="12"/>
      <c r="F487" s="12"/>
      <c r="G487" s="12"/>
      <c r="H487" s="12"/>
      <c r="I487" s="12"/>
      <c r="J487" s="12"/>
      <c r="K487" s="12"/>
      <c r="L487" s="12"/>
      <c r="M487" s="12"/>
      <c r="N487" s="12"/>
      <c r="O487" s="12"/>
      <c r="P487" s="12"/>
      <c r="Q487" s="12"/>
      <c r="R487" s="12"/>
      <c r="S487" s="12"/>
      <c r="T487" s="12"/>
      <c r="U487" s="12"/>
      <c r="V487" s="4"/>
      <c r="W487" s="4"/>
      <c r="X487" s="12"/>
      <c r="Y487" s="12"/>
      <c r="Z487" s="12"/>
      <c r="AA487" s="12"/>
    </row>
    <row r="488" spans="1:27">
      <c r="A488" s="12"/>
      <c r="B488" s="12"/>
      <c r="C488" s="12"/>
      <c r="D488" s="12"/>
      <c r="E488" s="12"/>
      <c r="F488" s="12"/>
      <c r="G488" s="12"/>
      <c r="H488" s="12"/>
      <c r="I488" s="12"/>
      <c r="J488" s="12"/>
      <c r="K488" s="12"/>
      <c r="L488" s="12"/>
      <c r="M488" s="12"/>
      <c r="N488" s="12"/>
      <c r="O488" s="12"/>
      <c r="P488" s="12"/>
      <c r="Q488" s="12"/>
      <c r="R488" s="12"/>
      <c r="S488" s="12"/>
      <c r="T488" s="12"/>
      <c r="U488" s="12"/>
      <c r="V488" s="4"/>
      <c r="W488" s="4"/>
      <c r="X488" s="12"/>
      <c r="Y488" s="12"/>
      <c r="Z488" s="12"/>
      <c r="AA488" s="12"/>
    </row>
    <row r="489" spans="1:27">
      <c r="A489" s="12"/>
      <c r="B489" s="12"/>
      <c r="C489" s="12"/>
      <c r="D489" s="12"/>
      <c r="E489" s="12"/>
      <c r="F489" s="12"/>
      <c r="G489" s="12"/>
      <c r="H489" s="12"/>
      <c r="I489" s="12"/>
      <c r="J489" s="12"/>
      <c r="K489" s="12"/>
      <c r="L489" s="12"/>
      <c r="M489" s="12"/>
      <c r="N489" s="12"/>
      <c r="O489" s="12"/>
      <c r="P489" s="12"/>
      <c r="Q489" s="12"/>
      <c r="R489" s="12"/>
      <c r="S489" s="12"/>
      <c r="T489" s="12"/>
      <c r="U489" s="12"/>
      <c r="V489" s="4"/>
      <c r="W489" s="4"/>
      <c r="X489" s="12"/>
      <c r="Y489" s="12"/>
      <c r="Z489" s="12"/>
      <c r="AA489" s="12"/>
    </row>
    <row r="490" spans="1:27">
      <c r="A490" s="12"/>
      <c r="B490" s="12"/>
      <c r="C490" s="12"/>
      <c r="D490" s="12"/>
      <c r="E490" s="12"/>
      <c r="F490" s="12"/>
      <c r="G490" s="12"/>
      <c r="H490" s="12"/>
      <c r="I490" s="12"/>
      <c r="J490" s="12"/>
      <c r="K490" s="12"/>
      <c r="L490" s="12"/>
      <c r="M490" s="12"/>
      <c r="N490" s="12"/>
      <c r="O490" s="12"/>
      <c r="P490" s="12"/>
      <c r="Q490" s="12"/>
      <c r="R490" s="12"/>
      <c r="S490" s="12"/>
      <c r="T490" s="12"/>
      <c r="U490" s="12"/>
      <c r="V490" s="4"/>
      <c r="W490" s="4"/>
      <c r="X490" s="12"/>
      <c r="Y490" s="12"/>
      <c r="Z490" s="12"/>
      <c r="AA490" s="12"/>
    </row>
    <row r="491" spans="1:27">
      <c r="A491" s="12"/>
      <c r="B491" s="12"/>
      <c r="C491" s="12"/>
      <c r="D491" s="12"/>
      <c r="E491" s="12"/>
      <c r="F491" s="12"/>
      <c r="G491" s="12"/>
      <c r="H491" s="12"/>
      <c r="I491" s="12"/>
      <c r="J491" s="12"/>
      <c r="K491" s="12"/>
      <c r="L491" s="12"/>
      <c r="M491" s="12"/>
      <c r="N491" s="12"/>
      <c r="O491" s="12"/>
      <c r="P491" s="12"/>
      <c r="Q491" s="12"/>
      <c r="R491" s="12"/>
      <c r="S491" s="12"/>
      <c r="T491" s="12"/>
      <c r="U491" s="12"/>
      <c r="V491" s="4"/>
      <c r="W491" s="4"/>
      <c r="X491" s="12"/>
      <c r="Y491" s="12"/>
      <c r="Z491" s="12"/>
      <c r="AA491" s="12"/>
    </row>
    <row r="492" spans="1:27">
      <c r="A492" s="12"/>
      <c r="B492" s="12"/>
      <c r="C492" s="12"/>
      <c r="D492" s="12"/>
      <c r="E492" s="12"/>
      <c r="F492" s="12"/>
      <c r="G492" s="12"/>
      <c r="H492" s="12"/>
      <c r="I492" s="12"/>
      <c r="J492" s="12"/>
      <c r="K492" s="12"/>
      <c r="L492" s="12"/>
      <c r="M492" s="12"/>
      <c r="N492" s="12"/>
      <c r="O492" s="12"/>
      <c r="P492" s="12"/>
      <c r="Q492" s="12"/>
      <c r="R492" s="12"/>
      <c r="S492" s="12"/>
      <c r="T492" s="12"/>
      <c r="U492" s="12"/>
      <c r="V492" s="4"/>
      <c r="W492" s="4"/>
      <c r="X492" s="12"/>
      <c r="Y492" s="12"/>
      <c r="Z492" s="12"/>
      <c r="AA492" s="12"/>
    </row>
    <row r="493" spans="1:27">
      <c r="A493" s="12"/>
      <c r="B493" s="12"/>
      <c r="C493" s="12"/>
      <c r="D493" s="12"/>
      <c r="E493" s="12"/>
      <c r="F493" s="12"/>
      <c r="G493" s="12"/>
      <c r="H493" s="12"/>
      <c r="I493" s="12"/>
      <c r="J493" s="12"/>
      <c r="K493" s="12"/>
      <c r="L493" s="12"/>
      <c r="M493" s="12"/>
      <c r="N493" s="12"/>
      <c r="O493" s="12"/>
      <c r="P493" s="12"/>
      <c r="Q493" s="12"/>
      <c r="R493" s="12"/>
      <c r="S493" s="12"/>
      <c r="T493" s="12"/>
      <c r="U493" s="12"/>
      <c r="V493" s="4"/>
      <c r="W493" s="4"/>
      <c r="X493" s="12"/>
      <c r="Y493" s="12"/>
      <c r="Z493" s="12"/>
      <c r="AA493" s="12"/>
    </row>
    <row r="494" spans="1:27">
      <c r="A494" s="12"/>
      <c r="B494" s="12"/>
      <c r="C494" s="12"/>
      <c r="D494" s="12"/>
      <c r="E494" s="12"/>
      <c r="F494" s="12"/>
      <c r="G494" s="12"/>
      <c r="H494" s="12"/>
      <c r="I494" s="12"/>
      <c r="J494" s="12"/>
      <c r="K494" s="12"/>
      <c r="L494" s="12"/>
      <c r="M494" s="12"/>
      <c r="N494" s="12"/>
      <c r="O494" s="12"/>
      <c r="P494" s="12"/>
      <c r="Q494" s="12"/>
      <c r="R494" s="12"/>
      <c r="S494" s="12"/>
      <c r="T494" s="12"/>
      <c r="U494" s="12"/>
      <c r="V494" s="4"/>
      <c r="W494" s="4"/>
      <c r="X494" s="12"/>
      <c r="Y494" s="12"/>
      <c r="Z494" s="12"/>
      <c r="AA494" s="12"/>
    </row>
    <row r="495" spans="1:27">
      <c r="A495" s="12"/>
      <c r="B495" s="12"/>
      <c r="C495" s="12"/>
      <c r="D495" s="12"/>
      <c r="E495" s="12"/>
      <c r="F495" s="12"/>
      <c r="G495" s="12"/>
      <c r="H495" s="12"/>
      <c r="I495" s="12"/>
      <c r="J495" s="12"/>
      <c r="K495" s="12"/>
      <c r="L495" s="12"/>
      <c r="M495" s="12"/>
      <c r="N495" s="12"/>
      <c r="O495" s="12"/>
      <c r="P495" s="12"/>
      <c r="Q495" s="12"/>
      <c r="R495" s="12"/>
      <c r="S495" s="12"/>
      <c r="T495" s="12"/>
      <c r="U495" s="12"/>
      <c r="V495" s="4"/>
      <c r="W495" s="4"/>
      <c r="X495" s="12"/>
      <c r="Y495" s="12"/>
      <c r="Z495" s="12"/>
      <c r="AA495" s="12"/>
    </row>
    <row r="496" spans="1:27">
      <c r="A496" s="12"/>
      <c r="B496" s="12"/>
      <c r="C496" s="12"/>
      <c r="D496" s="12"/>
      <c r="E496" s="12"/>
      <c r="F496" s="12"/>
      <c r="G496" s="12"/>
      <c r="H496" s="12"/>
      <c r="I496" s="12"/>
      <c r="J496" s="12"/>
      <c r="K496" s="12"/>
      <c r="L496" s="12"/>
      <c r="M496" s="12"/>
      <c r="N496" s="12"/>
      <c r="O496" s="12"/>
      <c r="P496" s="12"/>
      <c r="Q496" s="12"/>
      <c r="R496" s="12"/>
      <c r="S496" s="12"/>
      <c r="T496" s="12"/>
      <c r="U496" s="12"/>
      <c r="V496" s="4"/>
      <c r="W496" s="4"/>
      <c r="X496" s="12"/>
      <c r="Y496" s="12"/>
      <c r="Z496" s="12"/>
      <c r="AA496" s="12"/>
    </row>
    <row r="497" spans="1:27">
      <c r="A497" s="12"/>
      <c r="B497" s="12"/>
      <c r="C497" s="12"/>
      <c r="D497" s="12"/>
      <c r="E497" s="12"/>
      <c r="F497" s="12"/>
      <c r="G497" s="12"/>
      <c r="H497" s="12"/>
      <c r="I497" s="12"/>
      <c r="J497" s="12"/>
      <c r="K497" s="12"/>
      <c r="L497" s="12"/>
      <c r="M497" s="12"/>
      <c r="N497" s="12"/>
      <c r="O497" s="12"/>
      <c r="P497" s="12"/>
      <c r="Q497" s="12"/>
      <c r="R497" s="12"/>
      <c r="S497" s="12"/>
      <c r="T497" s="12"/>
      <c r="U497" s="12"/>
      <c r="V497" s="4"/>
      <c r="W497" s="4"/>
      <c r="X497" s="12"/>
      <c r="Y497" s="12"/>
      <c r="Z497" s="12"/>
      <c r="AA497" s="12"/>
    </row>
    <row r="498" spans="1:27">
      <c r="A498" s="12"/>
      <c r="B498" s="12"/>
      <c r="C498" s="12"/>
      <c r="D498" s="12"/>
      <c r="E498" s="12"/>
      <c r="F498" s="12"/>
      <c r="G498" s="12"/>
      <c r="H498" s="12"/>
      <c r="I498" s="12"/>
      <c r="J498" s="12"/>
      <c r="K498" s="12"/>
      <c r="L498" s="12"/>
      <c r="M498" s="12"/>
      <c r="N498" s="12"/>
      <c r="O498" s="12"/>
      <c r="P498" s="12"/>
      <c r="Q498" s="12"/>
      <c r="R498" s="12"/>
      <c r="S498" s="12"/>
      <c r="T498" s="12"/>
      <c r="U498" s="12"/>
      <c r="V498" s="4"/>
      <c r="W498" s="4"/>
      <c r="X498" s="12"/>
      <c r="Y498" s="12"/>
      <c r="Z498" s="12"/>
      <c r="AA498" s="12"/>
    </row>
    <row r="499" spans="1:27">
      <c r="A499" s="12"/>
      <c r="B499" s="12"/>
      <c r="C499" s="12"/>
      <c r="D499" s="12"/>
      <c r="E499" s="12"/>
      <c r="F499" s="12"/>
      <c r="G499" s="12"/>
      <c r="H499" s="12"/>
      <c r="I499" s="12"/>
      <c r="J499" s="12"/>
      <c r="K499" s="12"/>
      <c r="L499" s="12"/>
      <c r="M499" s="12"/>
      <c r="N499" s="12"/>
      <c r="O499" s="12"/>
      <c r="P499" s="12"/>
      <c r="Q499" s="12"/>
      <c r="R499" s="12"/>
      <c r="S499" s="12"/>
      <c r="T499" s="12"/>
      <c r="U499" s="12"/>
      <c r="V499" s="4"/>
      <c r="W499" s="4"/>
      <c r="X499" s="12"/>
      <c r="Y499" s="12"/>
      <c r="Z499" s="12"/>
      <c r="AA499" s="12"/>
    </row>
    <row r="500" spans="1:27">
      <c r="A500" s="12"/>
      <c r="B500" s="12"/>
      <c r="C500" s="12"/>
      <c r="D500" s="12"/>
      <c r="E500" s="12"/>
      <c r="F500" s="12"/>
      <c r="G500" s="12"/>
      <c r="H500" s="12"/>
      <c r="I500" s="12"/>
      <c r="J500" s="12"/>
      <c r="K500" s="12"/>
      <c r="L500" s="12"/>
      <c r="M500" s="12"/>
      <c r="N500" s="12"/>
      <c r="O500" s="12"/>
      <c r="P500" s="12"/>
      <c r="Q500" s="12"/>
      <c r="R500" s="12"/>
      <c r="S500" s="12"/>
      <c r="T500" s="12"/>
      <c r="U500" s="12"/>
      <c r="V500" s="4"/>
      <c r="W500" s="4"/>
      <c r="X500" s="12"/>
      <c r="Y500" s="12"/>
      <c r="Z500" s="12"/>
      <c r="AA500" s="12"/>
    </row>
    <row r="501" spans="1:27">
      <c r="A501" s="12"/>
      <c r="B501" s="12"/>
      <c r="C501" s="12"/>
      <c r="D501" s="12"/>
      <c r="E501" s="12"/>
      <c r="F501" s="12"/>
      <c r="G501" s="12"/>
      <c r="H501" s="12"/>
      <c r="I501" s="12"/>
      <c r="J501" s="12"/>
      <c r="K501" s="12"/>
      <c r="L501" s="12"/>
      <c r="M501" s="12"/>
      <c r="N501" s="12"/>
      <c r="O501" s="12"/>
      <c r="P501" s="12"/>
      <c r="Q501" s="12"/>
      <c r="R501" s="12"/>
      <c r="S501" s="12"/>
      <c r="T501" s="12"/>
      <c r="U501" s="12"/>
      <c r="V501" s="4"/>
      <c r="W501" s="4"/>
      <c r="X501" s="12"/>
      <c r="Y501" s="12"/>
      <c r="Z501" s="12"/>
      <c r="AA501" s="12"/>
    </row>
    <row r="502" spans="1:27">
      <c r="A502" s="12"/>
      <c r="B502" s="12"/>
      <c r="C502" s="12"/>
      <c r="D502" s="12"/>
      <c r="E502" s="12"/>
      <c r="F502" s="12"/>
      <c r="G502" s="12"/>
      <c r="H502" s="12"/>
      <c r="I502" s="12"/>
      <c r="J502" s="12"/>
      <c r="K502" s="12"/>
      <c r="L502" s="12"/>
      <c r="M502" s="12"/>
      <c r="N502" s="12"/>
      <c r="O502" s="12"/>
      <c r="P502" s="12"/>
      <c r="Q502" s="12"/>
      <c r="R502" s="12"/>
      <c r="S502" s="12"/>
      <c r="T502" s="12"/>
      <c r="U502" s="12"/>
      <c r="V502" s="4"/>
      <c r="W502" s="4"/>
      <c r="X502" s="12"/>
      <c r="Y502" s="12"/>
      <c r="Z502" s="12"/>
      <c r="AA502" s="12"/>
    </row>
    <row r="503" spans="1:27">
      <c r="A503" s="12"/>
      <c r="B503" s="12"/>
      <c r="C503" s="12"/>
      <c r="D503" s="12"/>
      <c r="E503" s="12"/>
      <c r="F503" s="12"/>
      <c r="G503" s="12"/>
      <c r="H503" s="12"/>
      <c r="I503" s="12"/>
      <c r="J503" s="12"/>
      <c r="K503" s="12"/>
      <c r="L503" s="12"/>
      <c r="M503" s="12"/>
      <c r="N503" s="12"/>
      <c r="O503" s="12"/>
      <c r="P503" s="12"/>
      <c r="Q503" s="12"/>
      <c r="R503" s="12"/>
      <c r="S503" s="12"/>
      <c r="T503" s="12"/>
      <c r="U503" s="12"/>
      <c r="V503" s="4"/>
      <c r="W503" s="4"/>
      <c r="X503" s="12"/>
      <c r="Y503" s="12"/>
      <c r="Z503" s="12"/>
      <c r="AA503" s="12"/>
    </row>
    <row r="504" spans="1:27">
      <c r="A504" s="12"/>
      <c r="B504" s="12"/>
      <c r="C504" s="12"/>
      <c r="D504" s="12"/>
      <c r="E504" s="12"/>
      <c r="F504" s="12"/>
      <c r="G504" s="12"/>
      <c r="H504" s="12"/>
      <c r="I504" s="12"/>
      <c r="J504" s="12"/>
      <c r="K504" s="12"/>
      <c r="L504" s="12"/>
      <c r="M504" s="12"/>
      <c r="N504" s="12"/>
      <c r="O504" s="12"/>
      <c r="P504" s="12"/>
      <c r="Q504" s="12"/>
      <c r="R504" s="12"/>
      <c r="S504" s="12"/>
      <c r="T504" s="12"/>
      <c r="U504" s="12"/>
      <c r="V504" s="4"/>
      <c r="W504" s="4"/>
      <c r="X504" s="12"/>
      <c r="Y504" s="12"/>
      <c r="Z504" s="12"/>
      <c r="AA504" s="12"/>
    </row>
    <row r="505" spans="1:27">
      <c r="A505" s="12"/>
      <c r="B505" s="12"/>
      <c r="C505" s="12"/>
      <c r="D505" s="12"/>
      <c r="E505" s="12"/>
      <c r="F505" s="12"/>
      <c r="G505" s="12"/>
      <c r="H505" s="12"/>
      <c r="I505" s="12"/>
      <c r="J505" s="12"/>
      <c r="K505" s="12"/>
      <c r="L505" s="12"/>
      <c r="M505" s="12"/>
      <c r="N505" s="12"/>
      <c r="O505" s="12"/>
      <c r="P505" s="12"/>
      <c r="Q505" s="12"/>
      <c r="R505" s="12"/>
      <c r="S505" s="12"/>
      <c r="T505" s="12"/>
      <c r="U505" s="12"/>
      <c r="V505" s="4"/>
      <c r="W505" s="4"/>
      <c r="X505" s="12"/>
      <c r="Y505" s="12"/>
      <c r="Z505" s="12"/>
      <c r="AA505" s="12"/>
    </row>
    <row r="506" spans="1:27">
      <c r="A506" s="12"/>
      <c r="B506" s="12"/>
      <c r="C506" s="12"/>
      <c r="D506" s="12"/>
      <c r="E506" s="12"/>
      <c r="F506" s="12"/>
      <c r="G506" s="12"/>
      <c r="H506" s="12"/>
      <c r="I506" s="12"/>
      <c r="J506" s="12"/>
      <c r="K506" s="12"/>
      <c r="L506" s="12"/>
      <c r="M506" s="12"/>
      <c r="N506" s="12"/>
      <c r="O506" s="12"/>
      <c r="P506" s="12"/>
      <c r="Q506" s="12"/>
      <c r="R506" s="12"/>
      <c r="S506" s="12"/>
      <c r="T506" s="12"/>
      <c r="U506" s="12"/>
      <c r="V506" s="4"/>
      <c r="W506" s="4"/>
      <c r="X506" s="12"/>
      <c r="Y506" s="12"/>
      <c r="Z506" s="12"/>
      <c r="AA506" s="12"/>
    </row>
    <row r="507" spans="1:27">
      <c r="A507" s="12"/>
      <c r="B507" s="12"/>
      <c r="C507" s="12"/>
      <c r="D507" s="12"/>
      <c r="E507" s="12"/>
      <c r="F507" s="12"/>
      <c r="G507" s="12"/>
      <c r="H507" s="12"/>
      <c r="I507" s="12"/>
      <c r="J507" s="12"/>
      <c r="K507" s="12"/>
      <c r="L507" s="12"/>
      <c r="M507" s="12"/>
      <c r="N507" s="12"/>
      <c r="O507" s="12"/>
      <c r="P507" s="12"/>
      <c r="Q507" s="12"/>
      <c r="R507" s="12"/>
      <c r="S507" s="12"/>
      <c r="T507" s="12"/>
      <c r="U507" s="12"/>
      <c r="V507" s="4"/>
      <c r="W507" s="4"/>
      <c r="X507" s="12"/>
      <c r="Y507" s="12"/>
      <c r="Z507" s="12"/>
      <c r="AA507" s="12"/>
    </row>
    <row r="508" spans="1:27">
      <c r="A508" s="12"/>
      <c r="B508" s="12"/>
      <c r="C508" s="12"/>
      <c r="D508" s="12"/>
      <c r="E508" s="12"/>
      <c r="F508" s="12"/>
      <c r="G508" s="12"/>
      <c r="H508" s="12"/>
      <c r="I508" s="12"/>
      <c r="J508" s="12"/>
      <c r="K508" s="12"/>
      <c r="L508" s="12"/>
      <c r="M508" s="12"/>
      <c r="N508" s="12"/>
      <c r="O508" s="12"/>
      <c r="P508" s="12"/>
      <c r="Q508" s="12"/>
      <c r="R508" s="12"/>
      <c r="S508" s="12"/>
      <c r="T508" s="12"/>
      <c r="U508" s="12"/>
      <c r="V508" s="4"/>
      <c r="W508" s="4"/>
      <c r="X508" s="12"/>
      <c r="Y508" s="12"/>
      <c r="Z508" s="12"/>
      <c r="AA508" s="12"/>
    </row>
    <row r="509" spans="1:27">
      <c r="A509" s="12"/>
      <c r="B509" s="12"/>
      <c r="C509" s="12"/>
      <c r="D509" s="12"/>
      <c r="E509" s="12"/>
      <c r="F509" s="12"/>
      <c r="G509" s="12"/>
      <c r="H509" s="12"/>
      <c r="I509" s="12"/>
      <c r="J509" s="12"/>
      <c r="K509" s="12"/>
      <c r="L509" s="12"/>
      <c r="M509" s="12"/>
      <c r="N509" s="12"/>
      <c r="O509" s="12"/>
      <c r="P509" s="12"/>
      <c r="Q509" s="12"/>
      <c r="R509" s="12"/>
      <c r="S509" s="12"/>
      <c r="T509" s="12"/>
      <c r="U509" s="12"/>
      <c r="V509" s="4"/>
      <c r="W509" s="4"/>
      <c r="X509" s="12"/>
      <c r="Y509" s="12"/>
      <c r="Z509" s="12"/>
      <c r="AA509" s="12"/>
    </row>
    <row r="510" spans="1:27">
      <c r="A510" s="12"/>
      <c r="B510" s="12"/>
      <c r="C510" s="12"/>
      <c r="D510" s="12"/>
      <c r="E510" s="12"/>
      <c r="F510" s="12"/>
      <c r="G510" s="12"/>
      <c r="H510" s="12"/>
      <c r="I510" s="12"/>
      <c r="J510" s="12"/>
      <c r="K510" s="12"/>
      <c r="L510" s="12"/>
      <c r="M510" s="12"/>
      <c r="N510" s="12"/>
      <c r="O510" s="12"/>
      <c r="P510" s="12"/>
      <c r="Q510" s="12"/>
      <c r="R510" s="12"/>
      <c r="S510" s="12"/>
      <c r="T510" s="12"/>
      <c r="U510" s="12"/>
      <c r="V510" s="4"/>
      <c r="W510" s="4"/>
      <c r="X510" s="12"/>
      <c r="Y510" s="12"/>
      <c r="Z510" s="12"/>
      <c r="AA510" s="12"/>
    </row>
    <row r="511" spans="1:27">
      <c r="A511" s="12"/>
      <c r="B511" s="12"/>
      <c r="C511" s="12"/>
      <c r="D511" s="12"/>
      <c r="E511" s="12"/>
      <c r="F511" s="12"/>
      <c r="G511" s="12"/>
      <c r="H511" s="12"/>
      <c r="I511" s="12"/>
      <c r="J511" s="12"/>
      <c r="K511" s="12"/>
      <c r="L511" s="12"/>
      <c r="M511" s="12"/>
      <c r="N511" s="12"/>
      <c r="O511" s="12"/>
      <c r="P511" s="12"/>
      <c r="Q511" s="12"/>
      <c r="R511" s="12"/>
      <c r="S511" s="12"/>
      <c r="T511" s="12"/>
      <c r="U511" s="12"/>
      <c r="V511" s="4"/>
      <c r="W511" s="4"/>
      <c r="X511" s="12"/>
      <c r="Y511" s="12"/>
      <c r="Z511" s="12"/>
      <c r="AA511" s="12"/>
    </row>
    <row r="512" spans="1:27">
      <c r="A512" s="12"/>
      <c r="B512" s="12"/>
      <c r="C512" s="12"/>
      <c r="D512" s="12"/>
      <c r="E512" s="12"/>
      <c r="F512" s="12"/>
      <c r="G512" s="12"/>
      <c r="H512" s="12"/>
      <c r="I512" s="12"/>
      <c r="J512" s="12"/>
      <c r="K512" s="12"/>
      <c r="L512" s="12"/>
      <c r="M512" s="12"/>
      <c r="N512" s="12"/>
      <c r="O512" s="12"/>
      <c r="P512" s="12"/>
      <c r="Q512" s="12"/>
      <c r="R512" s="12"/>
      <c r="S512" s="12"/>
      <c r="T512" s="12"/>
      <c r="U512" s="12"/>
      <c r="V512" s="4"/>
      <c r="W512" s="4"/>
      <c r="X512" s="12"/>
      <c r="Y512" s="12"/>
      <c r="Z512" s="12"/>
      <c r="AA512" s="12"/>
    </row>
    <row r="513" spans="1:27">
      <c r="A513" s="12"/>
      <c r="B513" s="12"/>
      <c r="C513" s="12"/>
      <c r="D513" s="12"/>
      <c r="E513" s="12"/>
      <c r="F513" s="12"/>
      <c r="G513" s="12"/>
      <c r="H513" s="12"/>
      <c r="I513" s="12"/>
      <c r="J513" s="12"/>
      <c r="K513" s="12"/>
      <c r="L513" s="12"/>
      <c r="M513" s="12"/>
      <c r="N513" s="12"/>
      <c r="O513" s="12"/>
      <c r="P513" s="12"/>
      <c r="Q513" s="12"/>
      <c r="R513" s="12"/>
      <c r="S513" s="12"/>
      <c r="T513" s="12"/>
      <c r="U513" s="12"/>
      <c r="V513" s="4"/>
      <c r="W513" s="4"/>
      <c r="X513" s="12"/>
      <c r="Y513" s="12"/>
      <c r="Z513" s="12"/>
      <c r="AA513" s="12"/>
    </row>
    <row r="514" spans="1:27">
      <c r="A514" s="12"/>
      <c r="B514" s="12"/>
      <c r="C514" s="12"/>
      <c r="D514" s="12"/>
      <c r="E514" s="12"/>
      <c r="F514" s="12"/>
      <c r="G514" s="12"/>
      <c r="H514" s="12"/>
      <c r="I514" s="12"/>
      <c r="J514" s="12"/>
      <c r="K514" s="12"/>
      <c r="L514" s="12"/>
      <c r="M514" s="12"/>
      <c r="N514" s="12"/>
      <c r="O514" s="12"/>
      <c r="P514" s="12"/>
      <c r="Q514" s="12"/>
      <c r="R514" s="12"/>
      <c r="S514" s="12"/>
      <c r="T514" s="12"/>
      <c r="U514" s="12"/>
      <c r="V514" s="4"/>
      <c r="W514" s="4"/>
      <c r="X514" s="12"/>
      <c r="Y514" s="12"/>
      <c r="Z514" s="12"/>
      <c r="AA514" s="12"/>
    </row>
    <row r="515" spans="1:27">
      <c r="A515" s="12"/>
      <c r="B515" s="12"/>
      <c r="C515" s="12"/>
      <c r="D515" s="12"/>
      <c r="E515" s="12"/>
      <c r="F515" s="12"/>
      <c r="G515" s="12"/>
      <c r="H515" s="12"/>
      <c r="I515" s="12"/>
      <c r="J515" s="12"/>
      <c r="K515" s="12"/>
      <c r="L515" s="12"/>
      <c r="M515" s="12"/>
      <c r="N515" s="12"/>
      <c r="O515" s="12"/>
      <c r="P515" s="12"/>
      <c r="Q515" s="12"/>
      <c r="R515" s="12"/>
      <c r="S515" s="12"/>
      <c r="T515" s="12"/>
      <c r="U515" s="12"/>
      <c r="V515" s="4"/>
      <c r="W515" s="4"/>
      <c r="X515" s="12"/>
      <c r="Y515" s="12"/>
      <c r="Z515" s="12"/>
      <c r="AA515" s="12"/>
    </row>
    <row r="516" spans="1:27">
      <c r="A516" s="12"/>
      <c r="B516" s="12"/>
      <c r="C516" s="12"/>
      <c r="D516" s="12"/>
      <c r="E516" s="12"/>
      <c r="F516" s="12"/>
      <c r="G516" s="12"/>
      <c r="H516" s="12"/>
      <c r="I516" s="12"/>
      <c r="J516" s="12"/>
      <c r="K516" s="12"/>
      <c r="L516" s="12"/>
      <c r="M516" s="12"/>
      <c r="N516" s="12"/>
      <c r="O516" s="12"/>
      <c r="P516" s="12"/>
      <c r="Q516" s="12"/>
      <c r="R516" s="12"/>
      <c r="S516" s="12"/>
      <c r="T516" s="12"/>
      <c r="U516" s="12"/>
      <c r="V516" s="4"/>
      <c r="W516" s="4"/>
      <c r="X516" s="12"/>
      <c r="Y516" s="12"/>
      <c r="Z516" s="12"/>
      <c r="AA516" s="12"/>
    </row>
    <row r="517" spans="1:27">
      <c r="A517" s="12"/>
      <c r="B517" s="12"/>
      <c r="C517" s="12"/>
      <c r="D517" s="12"/>
      <c r="E517" s="12"/>
      <c r="F517" s="12"/>
      <c r="G517" s="12"/>
      <c r="H517" s="12"/>
      <c r="I517" s="12"/>
      <c r="J517" s="12"/>
      <c r="K517" s="12"/>
      <c r="L517" s="12"/>
      <c r="M517" s="12"/>
      <c r="N517" s="12"/>
      <c r="O517" s="12"/>
      <c r="P517" s="12"/>
      <c r="Q517" s="12"/>
      <c r="R517" s="12"/>
      <c r="S517" s="12"/>
      <c r="T517" s="12"/>
      <c r="U517" s="12"/>
      <c r="V517" s="4"/>
      <c r="W517" s="4"/>
      <c r="X517" s="12"/>
      <c r="Y517" s="12"/>
      <c r="Z517" s="12"/>
      <c r="AA517" s="12"/>
    </row>
    <row r="518" spans="1:27">
      <c r="A518" s="12"/>
      <c r="B518" s="12"/>
      <c r="C518" s="12"/>
      <c r="D518" s="12"/>
      <c r="E518" s="12"/>
      <c r="F518" s="12"/>
      <c r="G518" s="12"/>
      <c r="H518" s="12"/>
      <c r="I518" s="12"/>
      <c r="J518" s="12"/>
      <c r="K518" s="12"/>
      <c r="L518" s="12"/>
      <c r="M518" s="12"/>
      <c r="N518" s="12"/>
      <c r="O518" s="12"/>
      <c r="P518" s="12"/>
      <c r="Q518" s="12"/>
      <c r="R518" s="12"/>
      <c r="S518" s="12"/>
      <c r="T518" s="12"/>
      <c r="U518" s="12"/>
      <c r="V518" s="4"/>
      <c r="W518" s="4"/>
      <c r="X518" s="12"/>
      <c r="Y518" s="12"/>
      <c r="Z518" s="12"/>
      <c r="AA518" s="12"/>
    </row>
    <row r="519" spans="1:27">
      <c r="A519" s="12"/>
      <c r="B519" s="12"/>
      <c r="C519" s="12"/>
      <c r="D519" s="12"/>
      <c r="E519" s="12"/>
      <c r="F519" s="12"/>
      <c r="G519" s="12"/>
      <c r="H519" s="12"/>
      <c r="I519" s="12"/>
      <c r="J519" s="12"/>
      <c r="K519" s="12"/>
      <c r="L519" s="12"/>
      <c r="M519" s="12"/>
      <c r="N519" s="12"/>
      <c r="O519" s="12"/>
      <c r="P519" s="12"/>
      <c r="Q519" s="12"/>
      <c r="R519" s="12"/>
      <c r="S519" s="12"/>
      <c r="T519" s="12"/>
      <c r="U519" s="12"/>
      <c r="V519" s="4"/>
      <c r="W519" s="4"/>
      <c r="X519" s="12"/>
      <c r="Y519" s="12"/>
      <c r="Z519" s="12"/>
      <c r="AA519" s="12"/>
    </row>
    <row r="520" spans="1:27">
      <c r="A520" s="12"/>
      <c r="B520" s="12"/>
      <c r="C520" s="12"/>
      <c r="D520" s="12"/>
      <c r="E520" s="12"/>
      <c r="F520" s="12"/>
      <c r="G520" s="12"/>
      <c r="H520" s="12"/>
      <c r="I520" s="12"/>
      <c r="J520" s="12"/>
      <c r="K520" s="12"/>
      <c r="L520" s="12"/>
      <c r="M520" s="12"/>
      <c r="N520" s="12"/>
      <c r="O520" s="12"/>
      <c r="P520" s="12"/>
      <c r="Q520" s="12"/>
      <c r="R520" s="12"/>
      <c r="S520" s="12"/>
      <c r="T520" s="12"/>
      <c r="U520" s="12"/>
      <c r="V520" s="4"/>
      <c r="W520" s="4"/>
      <c r="X520" s="12"/>
      <c r="Y520" s="12"/>
      <c r="Z520" s="12"/>
      <c r="AA520" s="12"/>
    </row>
    <row r="521" spans="1:27">
      <c r="A521" s="12"/>
      <c r="B521" s="12"/>
      <c r="C521" s="12"/>
      <c r="D521" s="12"/>
      <c r="E521" s="12"/>
      <c r="F521" s="12"/>
      <c r="G521" s="12"/>
      <c r="H521" s="12"/>
      <c r="I521" s="12"/>
      <c r="J521" s="12"/>
      <c r="K521" s="12"/>
      <c r="L521" s="12"/>
      <c r="M521" s="12"/>
      <c r="N521" s="12"/>
      <c r="O521" s="12"/>
      <c r="P521" s="12"/>
      <c r="Q521" s="12"/>
      <c r="R521" s="12"/>
      <c r="S521" s="12"/>
      <c r="T521" s="12"/>
      <c r="U521" s="12"/>
      <c r="V521" s="4"/>
      <c r="W521" s="4"/>
      <c r="X521" s="12"/>
      <c r="Y521" s="12"/>
      <c r="Z521" s="12"/>
      <c r="AA521" s="12"/>
    </row>
    <row r="522" spans="1:27">
      <c r="A522" s="12"/>
      <c r="B522" s="12"/>
      <c r="C522" s="12"/>
      <c r="D522" s="12"/>
      <c r="E522" s="12"/>
      <c r="F522" s="12"/>
      <c r="G522" s="12"/>
      <c r="H522" s="12"/>
      <c r="I522" s="12"/>
      <c r="J522" s="12"/>
      <c r="K522" s="12"/>
      <c r="L522" s="12"/>
      <c r="M522" s="12"/>
      <c r="N522" s="12"/>
      <c r="O522" s="12"/>
      <c r="P522" s="12"/>
      <c r="Q522" s="12"/>
      <c r="R522" s="12"/>
      <c r="S522" s="12"/>
      <c r="T522" s="12"/>
      <c r="U522" s="12"/>
      <c r="V522" s="4"/>
      <c r="W522" s="4"/>
      <c r="X522" s="12"/>
      <c r="Y522" s="12"/>
      <c r="Z522" s="12"/>
      <c r="AA522" s="12"/>
    </row>
    <row r="523" spans="1:27">
      <c r="A523" s="12"/>
      <c r="B523" s="12"/>
      <c r="C523" s="12"/>
      <c r="D523" s="12"/>
      <c r="E523" s="12"/>
      <c r="F523" s="12"/>
      <c r="G523" s="12"/>
      <c r="H523" s="12"/>
      <c r="I523" s="12"/>
      <c r="J523" s="12"/>
      <c r="K523" s="12"/>
      <c r="L523" s="12"/>
      <c r="M523" s="12"/>
      <c r="N523" s="12"/>
      <c r="O523" s="12"/>
      <c r="P523" s="12"/>
      <c r="Q523" s="12"/>
      <c r="R523" s="12"/>
      <c r="S523" s="12"/>
      <c r="T523" s="12"/>
      <c r="U523" s="12"/>
      <c r="V523" s="4"/>
      <c r="W523" s="4"/>
      <c r="X523" s="12"/>
      <c r="Y523" s="12"/>
      <c r="Z523" s="12"/>
      <c r="AA523" s="12"/>
    </row>
    <row r="524" spans="1:27">
      <c r="A524" s="12"/>
      <c r="B524" s="12"/>
      <c r="C524" s="12"/>
      <c r="D524" s="12"/>
      <c r="E524" s="12"/>
      <c r="F524" s="12"/>
      <c r="G524" s="12"/>
      <c r="H524" s="12"/>
      <c r="I524" s="12"/>
      <c r="J524" s="12"/>
      <c r="K524" s="12"/>
      <c r="L524" s="12"/>
      <c r="M524" s="12"/>
      <c r="N524" s="12"/>
      <c r="O524" s="12"/>
      <c r="P524" s="12"/>
      <c r="Q524" s="12"/>
      <c r="R524" s="12"/>
      <c r="S524" s="12"/>
      <c r="T524" s="12"/>
      <c r="U524" s="12"/>
      <c r="V524" s="4"/>
      <c r="W524" s="4"/>
      <c r="X524" s="12"/>
      <c r="Y524" s="12"/>
      <c r="Z524" s="12"/>
      <c r="AA524" s="12"/>
    </row>
    <row r="525" spans="1:27">
      <c r="A525" s="12"/>
      <c r="B525" s="12"/>
      <c r="C525" s="12"/>
      <c r="D525" s="12"/>
      <c r="E525" s="12"/>
      <c r="F525" s="12"/>
      <c r="G525" s="12"/>
      <c r="H525" s="12"/>
      <c r="I525" s="12"/>
      <c r="J525" s="12"/>
      <c r="K525" s="12"/>
      <c r="L525" s="12"/>
      <c r="M525" s="12"/>
      <c r="N525" s="12"/>
      <c r="O525" s="12"/>
      <c r="P525" s="12"/>
      <c r="Q525" s="12"/>
      <c r="R525" s="12"/>
      <c r="S525" s="12"/>
      <c r="T525" s="12"/>
      <c r="U525" s="12"/>
      <c r="V525" s="4"/>
      <c r="W525" s="4"/>
      <c r="X525" s="12"/>
      <c r="Y525" s="12"/>
      <c r="Z525" s="12"/>
      <c r="AA525" s="12"/>
    </row>
    <row r="526" spans="1:27">
      <c r="A526" s="12"/>
      <c r="B526" s="12"/>
      <c r="C526" s="12"/>
      <c r="D526" s="12"/>
      <c r="E526" s="12"/>
      <c r="F526" s="12"/>
      <c r="G526" s="12"/>
      <c r="H526" s="12"/>
      <c r="I526" s="12"/>
      <c r="J526" s="12"/>
      <c r="K526" s="12"/>
      <c r="L526" s="12"/>
      <c r="M526" s="12"/>
      <c r="N526" s="12"/>
      <c r="O526" s="12"/>
      <c r="P526" s="12"/>
      <c r="Q526" s="12"/>
      <c r="R526" s="12"/>
      <c r="S526" s="12"/>
      <c r="T526" s="12"/>
      <c r="U526" s="12"/>
      <c r="V526" s="4"/>
      <c r="W526" s="4"/>
      <c r="X526" s="12"/>
      <c r="Y526" s="12"/>
      <c r="Z526" s="12"/>
      <c r="AA526" s="12"/>
    </row>
    <row r="527" spans="1:27">
      <c r="A527" s="12"/>
      <c r="B527" s="12"/>
      <c r="C527" s="12"/>
      <c r="D527" s="12"/>
      <c r="E527" s="12"/>
      <c r="F527" s="12"/>
      <c r="G527" s="12"/>
      <c r="H527" s="12"/>
      <c r="I527" s="12"/>
      <c r="J527" s="12"/>
      <c r="K527" s="12"/>
      <c r="L527" s="12"/>
      <c r="M527" s="12"/>
      <c r="N527" s="12"/>
      <c r="O527" s="12"/>
      <c r="P527" s="12"/>
      <c r="Q527" s="12"/>
      <c r="R527" s="12"/>
      <c r="S527" s="12"/>
      <c r="T527" s="12"/>
      <c r="U527" s="12"/>
      <c r="V527" s="4"/>
      <c r="W527" s="4"/>
      <c r="X527" s="12"/>
      <c r="Y527" s="12"/>
      <c r="Z527" s="12"/>
      <c r="AA527" s="12"/>
    </row>
    <row r="528" spans="1:27">
      <c r="A528" s="12"/>
      <c r="B528" s="12"/>
      <c r="C528" s="12"/>
      <c r="D528" s="12"/>
      <c r="E528" s="12"/>
      <c r="F528" s="12"/>
      <c r="G528" s="12"/>
      <c r="H528" s="12"/>
      <c r="I528" s="12"/>
      <c r="J528" s="12"/>
      <c r="K528" s="12"/>
      <c r="L528" s="12"/>
      <c r="M528" s="12"/>
      <c r="N528" s="12"/>
      <c r="O528" s="12"/>
      <c r="P528" s="12"/>
      <c r="Q528" s="12"/>
      <c r="R528" s="12"/>
      <c r="S528" s="12"/>
      <c r="T528" s="12"/>
      <c r="U528" s="12"/>
      <c r="V528" s="4"/>
      <c r="W528" s="4"/>
      <c r="X528" s="12"/>
      <c r="Y528" s="12"/>
      <c r="Z528" s="12"/>
      <c r="AA528" s="12"/>
    </row>
    <row r="529" spans="1:27">
      <c r="A529" s="12"/>
      <c r="B529" s="12"/>
      <c r="C529" s="12"/>
      <c r="D529" s="12"/>
      <c r="E529" s="12"/>
      <c r="F529" s="12"/>
      <c r="G529" s="12"/>
      <c r="H529" s="12"/>
      <c r="I529" s="12"/>
      <c r="J529" s="12"/>
      <c r="K529" s="12"/>
      <c r="L529" s="12"/>
      <c r="M529" s="12"/>
      <c r="N529" s="12"/>
      <c r="O529" s="12"/>
      <c r="P529" s="12"/>
      <c r="Q529" s="12"/>
      <c r="R529" s="12"/>
      <c r="S529" s="12"/>
      <c r="T529" s="12"/>
      <c r="U529" s="12"/>
      <c r="V529" s="4"/>
      <c r="W529" s="4"/>
      <c r="X529" s="12"/>
      <c r="Y529" s="12"/>
      <c r="Z529" s="12"/>
      <c r="AA529" s="12"/>
    </row>
    <row r="530" spans="1:27">
      <c r="A530" s="12"/>
      <c r="B530" s="12"/>
      <c r="C530" s="12"/>
      <c r="D530" s="12"/>
      <c r="E530" s="12"/>
      <c r="F530" s="12"/>
      <c r="G530" s="12"/>
      <c r="H530" s="12"/>
      <c r="I530" s="12"/>
      <c r="J530" s="12"/>
      <c r="K530" s="12"/>
      <c r="L530" s="12"/>
      <c r="M530" s="12"/>
      <c r="N530" s="12"/>
      <c r="O530" s="12"/>
      <c r="P530" s="12"/>
      <c r="Q530" s="12"/>
      <c r="R530" s="12"/>
      <c r="S530" s="12"/>
      <c r="T530" s="12"/>
      <c r="U530" s="12"/>
      <c r="V530" s="4"/>
      <c r="W530" s="4"/>
      <c r="X530" s="12"/>
      <c r="Y530" s="12"/>
      <c r="Z530" s="12"/>
      <c r="AA530" s="12"/>
    </row>
    <row r="531" spans="1:27">
      <c r="A531" s="12"/>
      <c r="B531" s="12"/>
      <c r="C531" s="12"/>
      <c r="D531" s="12"/>
      <c r="E531" s="12"/>
      <c r="F531" s="12"/>
      <c r="G531" s="12"/>
      <c r="H531" s="12"/>
      <c r="I531" s="12"/>
      <c r="J531" s="12"/>
      <c r="K531" s="12"/>
      <c r="L531" s="12"/>
      <c r="M531" s="12"/>
      <c r="N531" s="12"/>
      <c r="O531" s="12"/>
      <c r="P531" s="12"/>
      <c r="Q531" s="12"/>
      <c r="R531" s="12"/>
      <c r="S531" s="12"/>
      <c r="T531" s="12"/>
      <c r="U531" s="12"/>
      <c r="V531" s="4"/>
      <c r="W531" s="4"/>
      <c r="X531" s="12"/>
      <c r="Y531" s="12"/>
      <c r="Z531" s="12"/>
      <c r="AA531" s="12"/>
    </row>
    <row r="532" spans="1:27">
      <c r="A532" s="12"/>
      <c r="B532" s="12"/>
      <c r="C532" s="12"/>
      <c r="D532" s="12"/>
      <c r="E532" s="12"/>
      <c r="F532" s="12"/>
      <c r="G532" s="12"/>
      <c r="H532" s="12"/>
      <c r="I532" s="12"/>
      <c r="J532" s="12"/>
      <c r="K532" s="12"/>
      <c r="L532" s="12"/>
      <c r="M532" s="12"/>
      <c r="N532" s="12"/>
      <c r="O532" s="12"/>
      <c r="P532" s="12"/>
      <c r="Q532" s="12"/>
      <c r="R532" s="12"/>
      <c r="S532" s="12"/>
      <c r="T532" s="12"/>
      <c r="U532" s="12"/>
      <c r="V532" s="4"/>
      <c r="W532" s="4"/>
      <c r="X532" s="12"/>
      <c r="Y532" s="12"/>
      <c r="Z532" s="12"/>
      <c r="AA532" s="12"/>
    </row>
    <row r="533" spans="1:27">
      <c r="A533" s="12"/>
      <c r="B533" s="12"/>
      <c r="C533" s="12"/>
      <c r="D533" s="12"/>
      <c r="E533" s="12"/>
      <c r="F533" s="12"/>
      <c r="G533" s="12"/>
      <c r="H533" s="12"/>
      <c r="I533" s="12"/>
      <c r="J533" s="12"/>
      <c r="K533" s="12"/>
      <c r="L533" s="12"/>
      <c r="M533" s="12"/>
      <c r="N533" s="12"/>
      <c r="O533" s="12"/>
      <c r="P533" s="12"/>
      <c r="Q533" s="12"/>
      <c r="R533" s="12"/>
      <c r="S533" s="12"/>
      <c r="T533" s="12"/>
      <c r="U533" s="12"/>
      <c r="V533" s="4"/>
      <c r="W533" s="4"/>
      <c r="X533" s="12"/>
      <c r="Y533" s="12"/>
      <c r="Z533" s="12"/>
      <c r="AA533" s="12"/>
    </row>
    <row r="534" spans="1:27">
      <c r="A534" s="12"/>
      <c r="B534" s="12"/>
      <c r="C534" s="12"/>
      <c r="D534" s="12"/>
      <c r="E534" s="12"/>
      <c r="F534" s="12"/>
      <c r="G534" s="12"/>
      <c r="H534" s="12"/>
      <c r="I534" s="12"/>
      <c r="J534" s="12"/>
      <c r="K534" s="12"/>
      <c r="L534" s="12"/>
      <c r="M534" s="12"/>
      <c r="N534" s="12"/>
      <c r="O534" s="12"/>
      <c r="P534" s="12"/>
      <c r="Q534" s="12"/>
      <c r="R534" s="12"/>
      <c r="S534" s="12"/>
      <c r="T534" s="12"/>
      <c r="U534" s="12"/>
      <c r="V534" s="4"/>
      <c r="W534" s="4"/>
      <c r="X534" s="12"/>
      <c r="Y534" s="12"/>
      <c r="Z534" s="12"/>
      <c r="AA534" s="12"/>
    </row>
    <row r="535" spans="1:27">
      <c r="A535" s="12"/>
      <c r="B535" s="12"/>
      <c r="C535" s="12"/>
      <c r="D535" s="12"/>
      <c r="E535" s="12"/>
      <c r="F535" s="12"/>
      <c r="G535" s="12"/>
      <c r="H535" s="12"/>
      <c r="I535" s="12"/>
      <c r="J535" s="12"/>
      <c r="K535" s="12"/>
      <c r="L535" s="12"/>
      <c r="M535" s="12"/>
      <c r="N535" s="12"/>
      <c r="O535" s="12"/>
      <c r="P535" s="12"/>
      <c r="Q535" s="12"/>
      <c r="R535" s="12"/>
      <c r="S535" s="12"/>
      <c r="T535" s="12"/>
      <c r="U535" s="12"/>
      <c r="V535" s="4"/>
      <c r="W535" s="4"/>
      <c r="X535" s="12"/>
      <c r="Y535" s="12"/>
      <c r="Z535" s="12"/>
      <c r="AA535" s="12"/>
    </row>
    <row r="536" spans="1:27">
      <c r="A536" s="12"/>
      <c r="B536" s="12"/>
      <c r="C536" s="12"/>
      <c r="D536" s="12"/>
      <c r="E536" s="12"/>
      <c r="F536" s="12"/>
      <c r="G536" s="12"/>
      <c r="H536" s="12"/>
      <c r="I536" s="12"/>
      <c r="J536" s="12"/>
      <c r="K536" s="12"/>
      <c r="L536" s="12"/>
      <c r="M536" s="12"/>
      <c r="N536" s="12"/>
      <c r="O536" s="12"/>
      <c r="P536" s="12"/>
      <c r="Q536" s="12"/>
      <c r="R536" s="12"/>
      <c r="S536" s="12"/>
      <c r="T536" s="12"/>
      <c r="U536" s="12"/>
      <c r="V536" s="4"/>
      <c r="W536" s="4"/>
      <c r="X536" s="12"/>
      <c r="Y536" s="12"/>
      <c r="Z536" s="12"/>
      <c r="AA536" s="12"/>
    </row>
    <row r="537" spans="1:27">
      <c r="A537" s="12"/>
      <c r="B537" s="12"/>
      <c r="C537" s="12"/>
      <c r="D537" s="12"/>
      <c r="E537" s="12"/>
      <c r="F537" s="12"/>
      <c r="G537" s="12"/>
      <c r="H537" s="12"/>
      <c r="I537" s="12"/>
      <c r="J537" s="12"/>
      <c r="K537" s="12"/>
      <c r="L537" s="12"/>
      <c r="M537" s="12"/>
      <c r="N537" s="12"/>
      <c r="O537" s="12"/>
      <c r="P537" s="12"/>
      <c r="Q537" s="12"/>
      <c r="R537" s="12"/>
      <c r="S537" s="12"/>
      <c r="T537" s="12"/>
      <c r="U537" s="12"/>
      <c r="V537" s="4"/>
      <c r="W537" s="4"/>
      <c r="X537" s="12"/>
      <c r="Y537" s="12"/>
      <c r="Z537" s="12"/>
      <c r="AA537" s="12"/>
    </row>
    <row r="538" spans="1:27">
      <c r="A538" s="12"/>
      <c r="B538" s="12"/>
      <c r="C538" s="12"/>
      <c r="D538" s="12"/>
      <c r="E538" s="12"/>
      <c r="F538" s="12"/>
      <c r="G538" s="12"/>
      <c r="H538" s="12"/>
      <c r="I538" s="12"/>
      <c r="J538" s="12"/>
      <c r="K538" s="12"/>
      <c r="L538" s="12"/>
      <c r="M538" s="12"/>
      <c r="N538" s="12"/>
      <c r="O538" s="12"/>
      <c r="P538" s="12"/>
      <c r="Q538" s="12"/>
      <c r="R538" s="12"/>
      <c r="S538" s="12"/>
      <c r="T538" s="12"/>
      <c r="U538" s="12"/>
      <c r="V538" s="4"/>
      <c r="W538" s="4"/>
      <c r="X538" s="12"/>
      <c r="Y538" s="12"/>
      <c r="Z538" s="12"/>
      <c r="AA538" s="12"/>
    </row>
    <row r="539" spans="1:27">
      <c r="A539" s="12"/>
      <c r="B539" s="12"/>
      <c r="C539" s="12"/>
      <c r="D539" s="12"/>
      <c r="E539" s="12"/>
      <c r="F539" s="12"/>
      <c r="G539" s="12"/>
      <c r="H539" s="12"/>
      <c r="I539" s="12"/>
      <c r="J539" s="12"/>
      <c r="K539" s="12"/>
      <c r="L539" s="12"/>
      <c r="M539" s="12"/>
      <c r="N539" s="12"/>
      <c r="O539" s="12"/>
      <c r="P539" s="12"/>
      <c r="Q539" s="12"/>
      <c r="R539" s="12"/>
      <c r="S539" s="12"/>
      <c r="T539" s="12"/>
      <c r="U539" s="12"/>
      <c r="V539" s="4"/>
      <c r="W539" s="4"/>
      <c r="X539" s="12"/>
      <c r="Y539" s="12"/>
      <c r="Z539" s="12"/>
      <c r="AA539" s="12"/>
    </row>
    <row r="540" spans="1:27">
      <c r="A540" s="12"/>
      <c r="B540" s="12"/>
      <c r="C540" s="12"/>
      <c r="D540" s="12"/>
      <c r="E540" s="12"/>
      <c r="F540" s="12"/>
      <c r="G540" s="12"/>
      <c r="H540" s="12"/>
      <c r="I540" s="12"/>
      <c r="J540" s="12"/>
      <c r="K540" s="12"/>
      <c r="L540" s="12"/>
      <c r="M540" s="12"/>
      <c r="N540" s="12"/>
      <c r="O540" s="12"/>
      <c r="P540" s="12"/>
      <c r="Q540" s="12"/>
      <c r="R540" s="12"/>
      <c r="S540" s="12"/>
      <c r="T540" s="12"/>
      <c r="U540" s="12"/>
      <c r="V540" s="4"/>
      <c r="W540" s="4"/>
      <c r="X540" s="12"/>
      <c r="Y540" s="12"/>
      <c r="Z540" s="12"/>
      <c r="AA540" s="12"/>
    </row>
    <row r="541" spans="1:27">
      <c r="A541" s="12"/>
      <c r="B541" s="12"/>
      <c r="C541" s="12"/>
      <c r="D541" s="12"/>
      <c r="E541" s="12"/>
      <c r="F541" s="12"/>
      <c r="G541" s="12"/>
      <c r="H541" s="12"/>
      <c r="I541" s="12"/>
      <c r="J541" s="12"/>
      <c r="K541" s="12"/>
      <c r="L541" s="12"/>
      <c r="M541" s="12"/>
      <c r="N541" s="12"/>
      <c r="O541" s="12"/>
      <c r="P541" s="12"/>
      <c r="Q541" s="12"/>
      <c r="R541" s="12"/>
      <c r="S541" s="12"/>
      <c r="T541" s="12"/>
      <c r="U541" s="12"/>
      <c r="V541" s="4"/>
      <c r="W541" s="4"/>
      <c r="X541" s="12"/>
      <c r="Y541" s="12"/>
      <c r="Z541" s="12"/>
      <c r="AA541" s="12"/>
    </row>
    <row r="542" spans="1:27">
      <c r="A542" s="12"/>
      <c r="B542" s="12"/>
      <c r="C542" s="12"/>
      <c r="D542" s="12"/>
      <c r="E542" s="12"/>
      <c r="F542" s="12"/>
      <c r="G542" s="12"/>
      <c r="H542" s="12"/>
      <c r="I542" s="12"/>
      <c r="J542" s="12"/>
      <c r="K542" s="12"/>
      <c r="L542" s="12"/>
      <c r="M542" s="12"/>
      <c r="N542" s="12"/>
      <c r="O542" s="12"/>
      <c r="P542" s="12"/>
      <c r="Q542" s="12"/>
      <c r="R542" s="12"/>
      <c r="S542" s="12"/>
      <c r="T542" s="12"/>
      <c r="U542" s="12"/>
      <c r="V542" s="4"/>
      <c r="W542" s="4"/>
      <c r="X542" s="12"/>
      <c r="Y542" s="12"/>
      <c r="Z542" s="12"/>
      <c r="AA542" s="12"/>
    </row>
    <row r="543" spans="1:27">
      <c r="A543" s="12"/>
      <c r="B543" s="12"/>
      <c r="C543" s="12"/>
      <c r="D543" s="12"/>
      <c r="E543" s="12"/>
      <c r="F543" s="12"/>
      <c r="G543" s="12"/>
      <c r="H543" s="12"/>
      <c r="I543" s="12"/>
      <c r="J543" s="12"/>
      <c r="K543" s="12"/>
      <c r="L543" s="12"/>
      <c r="M543" s="12"/>
      <c r="N543" s="12"/>
      <c r="O543" s="12"/>
      <c r="P543" s="12"/>
      <c r="Q543" s="12"/>
      <c r="R543" s="12"/>
      <c r="S543" s="12"/>
      <c r="T543" s="12"/>
      <c r="U543" s="12"/>
      <c r="V543" s="4"/>
      <c r="W543" s="4"/>
      <c r="X543" s="12"/>
      <c r="Y543" s="12"/>
      <c r="Z543" s="12"/>
      <c r="AA543" s="12"/>
    </row>
    <row r="544" spans="1:27">
      <c r="A544" s="12"/>
      <c r="B544" s="12"/>
      <c r="C544" s="12"/>
      <c r="D544" s="12"/>
      <c r="E544" s="12"/>
      <c r="F544" s="12"/>
      <c r="G544" s="12"/>
      <c r="H544" s="12"/>
      <c r="I544" s="12"/>
      <c r="J544" s="12"/>
      <c r="K544" s="12"/>
      <c r="L544" s="12"/>
      <c r="M544" s="12"/>
      <c r="N544" s="12"/>
      <c r="O544" s="12"/>
      <c r="P544" s="12"/>
      <c r="Q544" s="12"/>
      <c r="R544" s="12"/>
      <c r="S544" s="12"/>
      <c r="T544" s="12"/>
      <c r="U544" s="12"/>
      <c r="V544" s="4"/>
      <c r="W544" s="4"/>
      <c r="X544" s="12"/>
      <c r="Y544" s="12"/>
      <c r="Z544" s="12"/>
      <c r="AA544" s="12"/>
    </row>
    <row r="545" spans="1:27">
      <c r="A545" s="12"/>
      <c r="B545" s="12"/>
      <c r="C545" s="12"/>
      <c r="D545" s="12"/>
      <c r="E545" s="12"/>
      <c r="F545" s="12"/>
      <c r="G545" s="12"/>
      <c r="H545" s="12"/>
      <c r="I545" s="12"/>
      <c r="J545" s="12"/>
      <c r="K545" s="12"/>
      <c r="L545" s="12"/>
      <c r="M545" s="12"/>
      <c r="N545" s="12"/>
      <c r="O545" s="12"/>
      <c r="P545" s="12"/>
      <c r="Q545" s="12"/>
      <c r="R545" s="12"/>
      <c r="S545" s="12"/>
      <c r="T545" s="12"/>
      <c r="U545" s="12"/>
      <c r="V545" s="4"/>
      <c r="W545" s="4"/>
      <c r="X545" s="12"/>
      <c r="Y545" s="12"/>
      <c r="Z545" s="12"/>
      <c r="AA545" s="12"/>
    </row>
    <row r="546" spans="1:27">
      <c r="A546" s="12"/>
      <c r="B546" s="12"/>
      <c r="C546" s="12"/>
      <c r="D546" s="12"/>
      <c r="E546" s="12"/>
      <c r="F546" s="12"/>
      <c r="G546" s="12"/>
      <c r="H546" s="12"/>
      <c r="I546" s="12"/>
      <c r="J546" s="12"/>
      <c r="K546" s="12"/>
      <c r="L546" s="12"/>
      <c r="M546" s="12"/>
      <c r="N546" s="12"/>
      <c r="O546" s="12"/>
      <c r="P546" s="12"/>
      <c r="Q546" s="12"/>
      <c r="R546" s="12"/>
      <c r="S546" s="12"/>
      <c r="T546" s="12"/>
      <c r="U546" s="12"/>
      <c r="V546" s="4"/>
      <c r="W546" s="4"/>
      <c r="X546" s="12"/>
      <c r="Y546" s="12"/>
      <c r="Z546" s="12"/>
      <c r="AA546" s="12"/>
    </row>
    <row r="547" spans="1:27">
      <c r="A547" s="12"/>
      <c r="B547" s="12"/>
      <c r="C547" s="12"/>
      <c r="D547" s="12"/>
      <c r="E547" s="12"/>
      <c r="F547" s="12"/>
      <c r="G547" s="12"/>
      <c r="H547" s="12"/>
      <c r="I547" s="12"/>
      <c r="J547" s="12"/>
      <c r="K547" s="12"/>
      <c r="L547" s="12"/>
      <c r="M547" s="12"/>
      <c r="N547" s="12"/>
      <c r="O547" s="12"/>
      <c r="P547" s="12"/>
      <c r="Q547" s="12"/>
      <c r="R547" s="12"/>
      <c r="S547" s="12"/>
      <c r="T547" s="12"/>
      <c r="U547" s="12"/>
      <c r="V547" s="4"/>
      <c r="W547" s="4"/>
      <c r="X547" s="12"/>
      <c r="Y547" s="12"/>
      <c r="Z547" s="12"/>
      <c r="AA547" s="12"/>
    </row>
    <row r="548" spans="1:27">
      <c r="A548" s="12"/>
      <c r="B548" s="12"/>
      <c r="C548" s="12"/>
      <c r="D548" s="12"/>
      <c r="E548" s="12"/>
      <c r="F548" s="12"/>
      <c r="G548" s="12"/>
      <c r="H548" s="12"/>
      <c r="I548" s="12"/>
      <c r="J548" s="12"/>
      <c r="K548" s="12"/>
      <c r="L548" s="12"/>
      <c r="M548" s="12"/>
      <c r="N548" s="12"/>
      <c r="O548" s="12"/>
      <c r="P548" s="12"/>
      <c r="Q548" s="12"/>
      <c r="R548" s="12"/>
      <c r="S548" s="12"/>
      <c r="T548" s="12"/>
      <c r="U548" s="12"/>
      <c r="V548" s="4"/>
      <c r="W548" s="4"/>
      <c r="X548" s="12"/>
      <c r="Y548" s="12"/>
      <c r="Z548" s="12"/>
      <c r="AA548" s="12"/>
    </row>
    <row r="549" spans="1:27">
      <c r="A549" s="12"/>
      <c r="B549" s="12"/>
      <c r="C549" s="12"/>
      <c r="D549" s="12"/>
      <c r="E549" s="12"/>
      <c r="F549" s="12"/>
      <c r="G549" s="12"/>
      <c r="H549" s="12"/>
      <c r="I549" s="12"/>
      <c r="J549" s="12"/>
      <c r="K549" s="12"/>
      <c r="L549" s="12"/>
      <c r="M549" s="12"/>
      <c r="N549" s="12"/>
      <c r="O549" s="12"/>
      <c r="P549" s="12"/>
      <c r="Q549" s="12"/>
      <c r="R549" s="12"/>
      <c r="S549" s="12"/>
      <c r="T549" s="12"/>
      <c r="U549" s="12"/>
      <c r="V549" s="4"/>
      <c r="W549" s="4"/>
      <c r="X549" s="12"/>
      <c r="Y549" s="12"/>
      <c r="Z549" s="12"/>
      <c r="AA549" s="12"/>
    </row>
    <row r="550" spans="1:27">
      <c r="A550" s="12"/>
      <c r="B550" s="12"/>
      <c r="C550" s="12"/>
      <c r="D550" s="12"/>
      <c r="E550" s="12"/>
      <c r="F550" s="12"/>
      <c r="G550" s="12"/>
      <c r="H550" s="12"/>
      <c r="I550" s="12"/>
      <c r="J550" s="12"/>
      <c r="K550" s="12"/>
      <c r="L550" s="12"/>
      <c r="M550" s="12"/>
      <c r="N550" s="12"/>
      <c r="O550" s="12"/>
      <c r="P550" s="12"/>
      <c r="Q550" s="12"/>
      <c r="R550" s="12"/>
      <c r="S550" s="12"/>
      <c r="T550" s="12"/>
      <c r="U550" s="12"/>
      <c r="V550" s="4"/>
      <c r="W550" s="4"/>
      <c r="X550" s="12"/>
      <c r="Y550" s="12"/>
      <c r="Z550" s="12"/>
      <c r="AA550" s="12"/>
    </row>
    <row r="551" spans="1:27">
      <c r="A551" s="12"/>
      <c r="B551" s="12"/>
      <c r="C551" s="12"/>
      <c r="D551" s="12"/>
      <c r="E551" s="12"/>
      <c r="F551" s="12"/>
      <c r="G551" s="12"/>
      <c r="H551" s="12"/>
      <c r="I551" s="12"/>
      <c r="J551" s="12"/>
      <c r="K551" s="12"/>
      <c r="L551" s="12"/>
      <c r="M551" s="12"/>
      <c r="N551" s="12"/>
      <c r="O551" s="12"/>
      <c r="P551" s="12"/>
      <c r="Q551" s="12"/>
      <c r="R551" s="12"/>
      <c r="S551" s="12"/>
      <c r="T551" s="12"/>
      <c r="U551" s="12"/>
      <c r="V551" s="4"/>
      <c r="W551" s="4"/>
      <c r="X551" s="12"/>
      <c r="Y551" s="12"/>
      <c r="Z551" s="12"/>
      <c r="AA551" s="12"/>
    </row>
    <row r="552" spans="1:27">
      <c r="A552" s="12"/>
      <c r="B552" s="12"/>
      <c r="C552" s="12"/>
      <c r="D552" s="12"/>
      <c r="E552" s="12"/>
      <c r="F552" s="12"/>
      <c r="G552" s="12"/>
      <c r="H552" s="12"/>
      <c r="I552" s="12"/>
      <c r="J552" s="12"/>
      <c r="K552" s="12"/>
      <c r="L552" s="12"/>
      <c r="M552" s="12"/>
      <c r="N552" s="12"/>
      <c r="O552" s="12"/>
      <c r="P552" s="12"/>
      <c r="Q552" s="12"/>
      <c r="R552" s="12"/>
      <c r="S552" s="12"/>
      <c r="T552" s="12"/>
      <c r="U552" s="12"/>
      <c r="V552" s="4"/>
      <c r="W552" s="4"/>
      <c r="X552" s="12"/>
      <c r="Y552" s="12"/>
      <c r="Z552" s="12"/>
      <c r="AA552" s="12"/>
    </row>
    <row r="553" spans="1:27">
      <c r="A553" s="12"/>
      <c r="B553" s="12"/>
      <c r="C553" s="12"/>
      <c r="D553" s="12"/>
      <c r="E553" s="12"/>
      <c r="F553" s="12"/>
      <c r="G553" s="12"/>
      <c r="H553" s="12"/>
      <c r="I553" s="12"/>
      <c r="J553" s="12"/>
      <c r="K553" s="12"/>
      <c r="L553" s="12"/>
      <c r="M553" s="12"/>
      <c r="N553" s="12"/>
      <c r="O553" s="12"/>
      <c r="P553" s="12"/>
      <c r="Q553" s="12"/>
      <c r="R553" s="12"/>
      <c r="S553" s="12"/>
      <c r="T553" s="12"/>
      <c r="U553" s="12"/>
      <c r="V553" s="4"/>
      <c r="W553" s="4"/>
      <c r="X553" s="12"/>
      <c r="Y553" s="12"/>
      <c r="Z553" s="12"/>
      <c r="AA553" s="12"/>
    </row>
    <row r="554" spans="1:27">
      <c r="A554" s="12"/>
      <c r="B554" s="12"/>
      <c r="C554" s="12"/>
      <c r="D554" s="12"/>
      <c r="E554" s="12"/>
      <c r="F554" s="12"/>
      <c r="G554" s="12"/>
      <c r="H554" s="12"/>
      <c r="I554" s="12"/>
      <c r="J554" s="12"/>
      <c r="K554" s="12"/>
      <c r="L554" s="12"/>
      <c r="M554" s="12"/>
      <c r="N554" s="12"/>
      <c r="O554" s="12"/>
      <c r="P554" s="12"/>
      <c r="Q554" s="12"/>
      <c r="R554" s="12"/>
      <c r="S554" s="12"/>
      <c r="T554" s="12"/>
      <c r="U554" s="12"/>
      <c r="V554" s="4"/>
      <c r="W554" s="4"/>
      <c r="X554" s="12"/>
      <c r="Y554" s="12"/>
      <c r="Z554" s="12"/>
      <c r="AA554" s="12"/>
    </row>
    <row r="555" spans="1:27">
      <c r="A555" s="12"/>
      <c r="B555" s="12"/>
      <c r="C555" s="12"/>
      <c r="D555" s="12"/>
      <c r="E555" s="12"/>
      <c r="F555" s="12"/>
      <c r="G555" s="12"/>
      <c r="H555" s="12"/>
      <c r="I555" s="12"/>
      <c r="J555" s="12"/>
      <c r="K555" s="12"/>
      <c r="L555" s="12"/>
      <c r="M555" s="12"/>
      <c r="N555" s="12"/>
      <c r="O555" s="12"/>
      <c r="P555" s="12"/>
      <c r="Q555" s="12"/>
      <c r="R555" s="12"/>
      <c r="S555" s="12"/>
      <c r="T555" s="12"/>
      <c r="U555" s="12"/>
      <c r="V555" s="4"/>
      <c r="W555" s="4"/>
      <c r="X555" s="12"/>
      <c r="Y555" s="12"/>
      <c r="Z555" s="12"/>
      <c r="AA555" s="12"/>
    </row>
    <row r="556" spans="1:27">
      <c r="A556" s="12"/>
      <c r="B556" s="12"/>
      <c r="C556" s="12"/>
      <c r="D556" s="12"/>
      <c r="E556" s="12"/>
      <c r="F556" s="12"/>
      <c r="G556" s="12"/>
      <c r="H556" s="12"/>
      <c r="I556" s="12"/>
      <c r="J556" s="12"/>
      <c r="K556" s="12"/>
      <c r="L556" s="12"/>
      <c r="M556" s="12"/>
      <c r="N556" s="12"/>
      <c r="O556" s="12"/>
      <c r="P556" s="12"/>
      <c r="Q556" s="12"/>
      <c r="R556" s="12"/>
      <c r="S556" s="12"/>
      <c r="T556" s="12"/>
      <c r="U556" s="12"/>
      <c r="V556" s="4"/>
      <c r="W556" s="4"/>
      <c r="X556" s="12"/>
      <c r="Y556" s="12"/>
      <c r="Z556" s="12"/>
      <c r="AA556" s="12"/>
    </row>
    <row r="557" spans="1:27">
      <c r="A557" s="12"/>
      <c r="B557" s="12"/>
      <c r="C557" s="12"/>
      <c r="D557" s="12"/>
      <c r="E557" s="12"/>
      <c r="F557" s="12"/>
      <c r="G557" s="12"/>
      <c r="H557" s="12"/>
      <c r="I557" s="12"/>
      <c r="J557" s="12"/>
      <c r="K557" s="12"/>
      <c r="L557" s="12"/>
      <c r="M557" s="12"/>
      <c r="N557" s="12"/>
      <c r="O557" s="12"/>
      <c r="P557" s="12"/>
      <c r="Q557" s="12"/>
      <c r="R557" s="12"/>
      <c r="S557" s="12"/>
      <c r="T557" s="12"/>
      <c r="U557" s="12"/>
      <c r="V557" s="4"/>
      <c r="W557" s="4"/>
      <c r="X557" s="12"/>
      <c r="Y557" s="12"/>
      <c r="Z557" s="12"/>
      <c r="AA557" s="12"/>
    </row>
    <row r="558" spans="1:27">
      <c r="A558" s="12"/>
      <c r="B558" s="12"/>
      <c r="C558" s="12"/>
      <c r="D558" s="12"/>
      <c r="E558" s="12"/>
      <c r="F558" s="12"/>
      <c r="G558" s="12"/>
      <c r="H558" s="12"/>
      <c r="I558" s="12"/>
      <c r="J558" s="12"/>
      <c r="K558" s="12"/>
      <c r="L558" s="12"/>
      <c r="M558" s="12"/>
      <c r="N558" s="12"/>
      <c r="O558" s="12"/>
      <c r="P558" s="12"/>
      <c r="Q558" s="12"/>
      <c r="R558" s="12"/>
      <c r="S558" s="12"/>
      <c r="T558" s="12"/>
      <c r="U558" s="12"/>
      <c r="V558" s="4"/>
      <c r="W558" s="4"/>
      <c r="X558" s="12"/>
      <c r="Y558" s="12"/>
      <c r="Z558" s="12"/>
      <c r="AA558" s="12"/>
    </row>
    <row r="559" spans="1:27">
      <c r="A559" s="12"/>
      <c r="B559" s="12"/>
      <c r="C559" s="12"/>
      <c r="D559" s="12"/>
      <c r="E559" s="12"/>
      <c r="F559" s="12"/>
      <c r="G559" s="12"/>
      <c r="H559" s="12"/>
      <c r="I559" s="12"/>
      <c r="J559" s="12"/>
      <c r="K559" s="12"/>
      <c r="L559" s="12"/>
      <c r="M559" s="12"/>
      <c r="N559" s="12"/>
      <c r="O559" s="12"/>
      <c r="P559" s="12"/>
      <c r="Q559" s="12"/>
      <c r="R559" s="12"/>
      <c r="S559" s="12"/>
      <c r="T559" s="12"/>
      <c r="U559" s="12"/>
      <c r="V559" s="4"/>
      <c r="W559" s="4"/>
      <c r="X559" s="12"/>
      <c r="Y559" s="12"/>
      <c r="Z559" s="12"/>
      <c r="AA559" s="12"/>
    </row>
    <row r="560" spans="1:27">
      <c r="A560" s="12"/>
      <c r="B560" s="12"/>
      <c r="C560" s="12"/>
      <c r="D560" s="12"/>
      <c r="E560" s="12"/>
      <c r="F560" s="12"/>
      <c r="G560" s="12"/>
      <c r="H560" s="12"/>
      <c r="I560" s="12"/>
      <c r="J560" s="12"/>
      <c r="K560" s="12"/>
      <c r="L560" s="12"/>
      <c r="M560" s="12"/>
      <c r="N560" s="12"/>
      <c r="O560" s="12"/>
      <c r="P560" s="12"/>
      <c r="Q560" s="12"/>
      <c r="R560" s="12"/>
      <c r="S560" s="12"/>
      <c r="T560" s="12"/>
      <c r="U560" s="12"/>
      <c r="V560" s="4"/>
      <c r="W560" s="4"/>
      <c r="X560" s="12"/>
      <c r="Y560" s="12"/>
      <c r="Z560" s="12"/>
      <c r="AA560" s="12"/>
    </row>
    <row r="561" spans="1:27">
      <c r="A561" s="12"/>
      <c r="B561" s="12"/>
      <c r="C561" s="12"/>
      <c r="D561" s="12"/>
      <c r="E561" s="12"/>
      <c r="F561" s="12"/>
      <c r="G561" s="12"/>
      <c r="H561" s="12"/>
      <c r="I561" s="12"/>
      <c r="J561" s="12"/>
      <c r="K561" s="12"/>
      <c r="L561" s="12"/>
      <c r="M561" s="12"/>
      <c r="N561" s="12"/>
      <c r="O561" s="12"/>
      <c r="P561" s="12"/>
      <c r="Q561" s="12"/>
      <c r="R561" s="12"/>
      <c r="S561" s="12"/>
      <c r="T561" s="12"/>
      <c r="U561" s="12"/>
      <c r="V561" s="4"/>
      <c r="W561" s="4"/>
      <c r="X561" s="12"/>
      <c r="Y561" s="12"/>
      <c r="Z561" s="12"/>
      <c r="AA561" s="12"/>
    </row>
    <row r="562" spans="1:27">
      <c r="A562" s="12"/>
      <c r="B562" s="12"/>
      <c r="C562" s="12"/>
      <c r="D562" s="12"/>
      <c r="E562" s="12"/>
      <c r="F562" s="12"/>
      <c r="G562" s="12"/>
      <c r="H562" s="12"/>
      <c r="I562" s="12"/>
      <c r="J562" s="12"/>
      <c r="K562" s="12"/>
      <c r="L562" s="12"/>
      <c r="M562" s="12"/>
      <c r="N562" s="12"/>
      <c r="O562" s="12"/>
      <c r="P562" s="12"/>
      <c r="Q562" s="12"/>
      <c r="R562" s="12"/>
      <c r="S562" s="12"/>
      <c r="T562" s="12"/>
      <c r="U562" s="12"/>
      <c r="V562" s="4"/>
      <c r="W562" s="4"/>
      <c r="X562" s="12"/>
      <c r="Y562" s="12"/>
      <c r="Z562" s="12"/>
      <c r="AA562" s="12"/>
    </row>
    <row r="563" spans="1:27">
      <c r="A563" s="12"/>
      <c r="B563" s="12"/>
      <c r="C563" s="12"/>
      <c r="D563" s="12"/>
      <c r="E563" s="12"/>
      <c r="F563" s="12"/>
      <c r="G563" s="12"/>
      <c r="H563" s="12"/>
      <c r="I563" s="12"/>
      <c r="J563" s="12"/>
      <c r="K563" s="12"/>
      <c r="L563" s="12"/>
      <c r="M563" s="12"/>
      <c r="N563" s="12"/>
      <c r="O563" s="12"/>
      <c r="P563" s="12"/>
      <c r="Q563" s="12"/>
      <c r="R563" s="12"/>
      <c r="S563" s="12"/>
      <c r="T563" s="12"/>
      <c r="U563" s="12"/>
      <c r="V563" s="4"/>
      <c r="W563" s="4"/>
      <c r="X563" s="12"/>
      <c r="Y563" s="12"/>
      <c r="Z563" s="12"/>
      <c r="AA563" s="12"/>
    </row>
    <row r="564" spans="1:27">
      <c r="A564" s="12"/>
      <c r="B564" s="12"/>
      <c r="C564" s="12"/>
      <c r="D564" s="12"/>
      <c r="E564" s="12"/>
      <c r="F564" s="12"/>
      <c r="G564" s="12"/>
      <c r="H564" s="12"/>
      <c r="I564" s="12"/>
      <c r="J564" s="12"/>
      <c r="K564" s="12"/>
      <c r="L564" s="12"/>
      <c r="M564" s="12"/>
      <c r="N564" s="12"/>
      <c r="O564" s="12"/>
      <c r="P564" s="12"/>
      <c r="Q564" s="12"/>
      <c r="R564" s="12"/>
      <c r="S564" s="12"/>
      <c r="T564" s="12"/>
      <c r="U564" s="12"/>
      <c r="V564" s="4"/>
      <c r="W564" s="4"/>
      <c r="X564" s="12"/>
      <c r="Y564" s="12"/>
      <c r="Z564" s="12"/>
      <c r="AA564" s="12"/>
    </row>
    <row r="565" spans="1:27">
      <c r="A565" s="12"/>
      <c r="B565" s="12"/>
      <c r="C565" s="12"/>
      <c r="D565" s="12"/>
      <c r="E565" s="12"/>
      <c r="F565" s="12"/>
      <c r="G565" s="12"/>
      <c r="H565" s="12"/>
      <c r="I565" s="12"/>
      <c r="J565" s="12"/>
      <c r="K565" s="12"/>
      <c r="L565" s="12"/>
      <c r="M565" s="12"/>
      <c r="N565" s="12"/>
      <c r="O565" s="12"/>
      <c r="P565" s="12"/>
      <c r="Q565" s="12"/>
      <c r="R565" s="12"/>
      <c r="S565" s="12"/>
      <c r="T565" s="12"/>
      <c r="U565" s="12"/>
      <c r="V565" s="4"/>
      <c r="W565" s="4"/>
      <c r="X565" s="12"/>
      <c r="Y565" s="12"/>
      <c r="Z565" s="12"/>
      <c r="AA565" s="12"/>
    </row>
    <row r="566" spans="1:27">
      <c r="A566" s="12"/>
      <c r="B566" s="12"/>
      <c r="C566" s="12"/>
      <c r="D566" s="12"/>
      <c r="E566" s="12"/>
      <c r="F566" s="12"/>
      <c r="G566" s="12"/>
      <c r="H566" s="12"/>
      <c r="I566" s="12"/>
      <c r="J566" s="12"/>
      <c r="K566" s="12"/>
      <c r="L566" s="12"/>
      <c r="M566" s="12"/>
      <c r="N566" s="12"/>
      <c r="O566" s="12"/>
      <c r="P566" s="12"/>
      <c r="Q566" s="12"/>
      <c r="R566" s="12"/>
      <c r="S566" s="12"/>
      <c r="T566" s="12"/>
      <c r="U566" s="12"/>
      <c r="V566" s="4"/>
      <c r="W566" s="4"/>
      <c r="X566" s="12"/>
      <c r="Y566" s="12"/>
      <c r="Z566" s="12"/>
      <c r="AA566" s="12"/>
    </row>
    <row r="567" spans="1:27">
      <c r="A567" s="12"/>
      <c r="B567" s="12"/>
      <c r="C567" s="12"/>
      <c r="D567" s="12"/>
      <c r="E567" s="12"/>
      <c r="F567" s="12"/>
      <c r="G567" s="12"/>
      <c r="H567" s="12"/>
      <c r="I567" s="12"/>
      <c r="J567" s="12"/>
      <c r="K567" s="12"/>
      <c r="L567" s="12"/>
      <c r="M567" s="12"/>
      <c r="N567" s="12"/>
      <c r="O567" s="12"/>
      <c r="P567" s="12"/>
      <c r="Q567" s="12"/>
      <c r="R567" s="12"/>
      <c r="S567" s="12"/>
      <c r="T567" s="12"/>
      <c r="U567" s="12"/>
      <c r="V567" s="4"/>
      <c r="W567" s="4"/>
      <c r="X567" s="12"/>
      <c r="Y567" s="12"/>
      <c r="Z567" s="12"/>
      <c r="AA567" s="12"/>
    </row>
    <row r="568" spans="1:27">
      <c r="A568" s="12"/>
      <c r="B568" s="12"/>
      <c r="C568" s="12"/>
      <c r="D568" s="12"/>
      <c r="E568" s="12"/>
      <c r="F568" s="12"/>
      <c r="G568" s="12"/>
      <c r="H568" s="12"/>
      <c r="I568" s="12"/>
      <c r="J568" s="12"/>
      <c r="K568" s="12"/>
      <c r="L568" s="12"/>
      <c r="M568" s="12"/>
      <c r="N568" s="12"/>
      <c r="O568" s="12"/>
      <c r="P568" s="12"/>
      <c r="Q568" s="12"/>
      <c r="R568" s="12"/>
      <c r="S568" s="12"/>
      <c r="T568" s="12"/>
      <c r="U568" s="12"/>
      <c r="V568" s="4"/>
      <c r="W568" s="4"/>
      <c r="X568" s="12"/>
      <c r="Y568" s="12"/>
      <c r="Z568" s="12"/>
      <c r="AA568" s="12"/>
    </row>
    <row r="569" spans="1:27">
      <c r="A569" s="12"/>
      <c r="B569" s="12"/>
      <c r="C569" s="12"/>
      <c r="D569" s="12"/>
      <c r="E569" s="12"/>
      <c r="F569" s="12"/>
      <c r="G569" s="12"/>
      <c r="H569" s="12"/>
      <c r="I569" s="12"/>
      <c r="J569" s="12"/>
      <c r="K569" s="12"/>
      <c r="L569" s="12"/>
      <c r="M569" s="12"/>
      <c r="N569" s="12"/>
      <c r="O569" s="12"/>
      <c r="P569" s="12"/>
      <c r="Q569" s="12"/>
      <c r="R569" s="12"/>
      <c r="S569" s="12"/>
      <c r="T569" s="12"/>
      <c r="U569" s="12"/>
      <c r="V569" s="4"/>
      <c r="W569" s="4"/>
      <c r="X569" s="12"/>
      <c r="Y569" s="12"/>
      <c r="Z569" s="12"/>
      <c r="AA569" s="12"/>
    </row>
    <row r="570" spans="1:27">
      <c r="A570" s="12"/>
      <c r="B570" s="12"/>
      <c r="C570" s="12"/>
      <c r="D570" s="12"/>
      <c r="E570" s="12"/>
      <c r="F570" s="12"/>
      <c r="G570" s="12"/>
      <c r="H570" s="12"/>
      <c r="I570" s="12"/>
      <c r="J570" s="12"/>
      <c r="K570" s="12"/>
      <c r="L570" s="12"/>
      <c r="M570" s="12"/>
      <c r="N570" s="12"/>
      <c r="O570" s="12"/>
      <c r="P570" s="12"/>
      <c r="Q570" s="12"/>
      <c r="R570" s="12"/>
      <c r="S570" s="12"/>
      <c r="T570" s="12"/>
      <c r="U570" s="12"/>
      <c r="V570" s="4"/>
      <c r="W570" s="4"/>
      <c r="X570" s="12"/>
      <c r="Y570" s="12"/>
      <c r="Z570" s="12"/>
      <c r="AA570" s="12"/>
    </row>
    <row r="571" spans="1:27">
      <c r="A571" s="12"/>
      <c r="B571" s="12"/>
      <c r="C571" s="12"/>
      <c r="D571" s="12"/>
      <c r="E571" s="12"/>
      <c r="F571" s="12"/>
      <c r="G571" s="12"/>
      <c r="H571" s="12"/>
      <c r="I571" s="12"/>
      <c r="J571" s="12"/>
      <c r="K571" s="12"/>
      <c r="L571" s="12"/>
      <c r="M571" s="12"/>
      <c r="N571" s="12"/>
      <c r="O571" s="12"/>
      <c r="P571" s="12"/>
      <c r="Q571" s="12"/>
      <c r="R571" s="12"/>
      <c r="S571" s="12"/>
      <c r="T571" s="12"/>
      <c r="U571" s="12"/>
      <c r="V571" s="4"/>
      <c r="W571" s="4"/>
      <c r="X571" s="12"/>
      <c r="Y571" s="12"/>
      <c r="Z571" s="12"/>
      <c r="AA571" s="12"/>
    </row>
    <row r="572" spans="1:27">
      <c r="A572" s="12"/>
      <c r="B572" s="12"/>
      <c r="C572" s="12"/>
      <c r="D572" s="12"/>
      <c r="E572" s="12"/>
      <c r="F572" s="12"/>
      <c r="G572" s="12"/>
      <c r="H572" s="12"/>
      <c r="I572" s="12"/>
      <c r="J572" s="12"/>
      <c r="K572" s="12"/>
      <c r="L572" s="12"/>
      <c r="M572" s="12"/>
      <c r="N572" s="12"/>
      <c r="O572" s="12"/>
      <c r="P572" s="12"/>
      <c r="Q572" s="12"/>
      <c r="R572" s="12"/>
      <c r="S572" s="12"/>
      <c r="T572" s="12"/>
      <c r="U572" s="12"/>
      <c r="V572" s="4"/>
      <c r="W572" s="4"/>
      <c r="X572" s="12"/>
      <c r="Y572" s="12"/>
      <c r="Z572" s="12"/>
      <c r="AA572" s="12"/>
    </row>
    <row r="573" spans="1:27">
      <c r="A573" s="12"/>
      <c r="B573" s="12"/>
      <c r="C573" s="12"/>
      <c r="D573" s="12"/>
      <c r="E573" s="12"/>
      <c r="F573" s="12"/>
      <c r="G573" s="12"/>
      <c r="H573" s="12"/>
      <c r="I573" s="12"/>
      <c r="J573" s="12"/>
      <c r="K573" s="12"/>
      <c r="L573" s="12"/>
      <c r="M573" s="12"/>
      <c r="N573" s="12"/>
      <c r="O573" s="12"/>
      <c r="P573" s="12"/>
      <c r="Q573" s="12"/>
      <c r="R573" s="12"/>
      <c r="S573" s="12"/>
      <c r="T573" s="12"/>
      <c r="U573" s="12"/>
      <c r="V573" s="4"/>
      <c r="W573" s="4"/>
      <c r="X573" s="12"/>
      <c r="Y573" s="12"/>
      <c r="Z573" s="12"/>
      <c r="AA573" s="12"/>
    </row>
    <row r="574" spans="1:27">
      <c r="A574" s="12"/>
      <c r="B574" s="12"/>
      <c r="C574" s="12"/>
      <c r="D574" s="12"/>
      <c r="E574" s="12"/>
      <c r="F574" s="12"/>
      <c r="G574" s="12"/>
      <c r="H574" s="12"/>
      <c r="I574" s="12"/>
      <c r="J574" s="12"/>
      <c r="K574" s="12"/>
      <c r="L574" s="12"/>
      <c r="M574" s="12"/>
      <c r="N574" s="12"/>
      <c r="O574" s="12"/>
      <c r="P574" s="12"/>
      <c r="Q574" s="12"/>
      <c r="R574" s="12"/>
      <c r="S574" s="12"/>
      <c r="T574" s="12"/>
      <c r="U574" s="12"/>
      <c r="V574" s="4"/>
      <c r="W574" s="4"/>
      <c r="X574" s="12"/>
      <c r="Y574" s="12"/>
      <c r="Z574" s="12"/>
      <c r="AA574" s="12"/>
    </row>
    <row r="575" spans="1:27">
      <c r="A575" s="12"/>
      <c r="B575" s="12"/>
      <c r="C575" s="12"/>
      <c r="D575" s="12"/>
      <c r="E575" s="12"/>
      <c r="F575" s="12"/>
      <c r="G575" s="12"/>
      <c r="H575" s="12"/>
      <c r="I575" s="12"/>
      <c r="J575" s="12"/>
      <c r="K575" s="12"/>
      <c r="L575" s="12"/>
      <c r="M575" s="12"/>
      <c r="N575" s="12"/>
      <c r="O575" s="12"/>
      <c r="P575" s="12"/>
      <c r="Q575" s="12"/>
      <c r="R575" s="12"/>
      <c r="S575" s="12"/>
      <c r="T575" s="12"/>
      <c r="U575" s="12"/>
      <c r="V575" s="4"/>
      <c r="W575" s="4"/>
      <c r="X575" s="12"/>
      <c r="Y575" s="12"/>
      <c r="Z575" s="12"/>
      <c r="AA575" s="12"/>
    </row>
    <row r="576" spans="1:27">
      <c r="A576" s="12"/>
      <c r="B576" s="12"/>
      <c r="C576" s="12"/>
      <c r="D576" s="12"/>
      <c r="E576" s="12"/>
      <c r="F576" s="12"/>
      <c r="G576" s="12"/>
      <c r="H576" s="12"/>
      <c r="I576" s="12"/>
      <c r="J576" s="12"/>
      <c r="K576" s="12"/>
      <c r="L576" s="12"/>
      <c r="M576" s="12"/>
      <c r="N576" s="12"/>
      <c r="O576" s="12"/>
      <c r="P576" s="12"/>
      <c r="Q576" s="12"/>
      <c r="R576" s="12"/>
      <c r="S576" s="12"/>
      <c r="T576" s="12"/>
      <c r="U576" s="12"/>
      <c r="V576" s="4"/>
      <c r="W576" s="4"/>
      <c r="X576" s="12"/>
      <c r="Y576" s="12"/>
      <c r="Z576" s="12"/>
      <c r="AA576" s="12"/>
    </row>
    <row r="577" spans="1:27">
      <c r="A577" s="12"/>
      <c r="B577" s="12"/>
      <c r="C577" s="12"/>
      <c r="D577" s="12"/>
      <c r="E577" s="12"/>
      <c r="F577" s="12"/>
      <c r="G577" s="12"/>
      <c r="H577" s="12"/>
      <c r="I577" s="12"/>
      <c r="J577" s="12"/>
      <c r="K577" s="12"/>
      <c r="L577" s="12"/>
      <c r="M577" s="12"/>
      <c r="N577" s="12"/>
      <c r="O577" s="12"/>
      <c r="P577" s="12"/>
      <c r="Q577" s="12"/>
      <c r="R577" s="12"/>
      <c r="S577" s="12"/>
      <c r="T577" s="12"/>
      <c r="U577" s="12"/>
      <c r="V577" s="4"/>
      <c r="W577" s="4"/>
      <c r="X577" s="12"/>
      <c r="Y577" s="12"/>
      <c r="Z577" s="12"/>
      <c r="AA577" s="12"/>
    </row>
    <row r="578" spans="1:27">
      <c r="A578" s="12"/>
      <c r="B578" s="12"/>
      <c r="C578" s="12"/>
      <c r="D578" s="12"/>
      <c r="E578" s="12"/>
      <c r="F578" s="12"/>
      <c r="G578" s="12"/>
      <c r="H578" s="12"/>
      <c r="I578" s="12"/>
      <c r="J578" s="12"/>
      <c r="K578" s="12"/>
      <c r="L578" s="12"/>
      <c r="M578" s="12"/>
      <c r="N578" s="12"/>
      <c r="O578" s="12"/>
      <c r="P578" s="12"/>
      <c r="Q578" s="12"/>
      <c r="R578" s="12"/>
      <c r="S578" s="12"/>
      <c r="T578" s="12"/>
      <c r="U578" s="12"/>
      <c r="V578" s="4"/>
      <c r="W578" s="4"/>
      <c r="X578" s="12"/>
      <c r="Y578" s="12"/>
      <c r="Z578" s="12"/>
      <c r="AA578" s="12"/>
    </row>
    <row r="579" spans="1:27">
      <c r="A579" s="12"/>
      <c r="B579" s="12"/>
      <c r="C579" s="12"/>
      <c r="D579" s="12"/>
      <c r="E579" s="12"/>
      <c r="F579" s="12"/>
      <c r="G579" s="12"/>
      <c r="H579" s="12"/>
      <c r="I579" s="12"/>
      <c r="J579" s="12"/>
      <c r="K579" s="12"/>
      <c r="L579" s="12"/>
      <c r="M579" s="12"/>
      <c r="N579" s="12"/>
      <c r="O579" s="12"/>
      <c r="P579" s="12"/>
      <c r="Q579" s="12"/>
      <c r="R579" s="12"/>
      <c r="S579" s="12"/>
      <c r="T579" s="12"/>
      <c r="U579" s="12"/>
      <c r="V579" s="4"/>
      <c r="W579" s="4"/>
      <c r="X579" s="12"/>
      <c r="Y579" s="12"/>
      <c r="Z579" s="12"/>
      <c r="AA579" s="12"/>
    </row>
    <row r="580" spans="1:27">
      <c r="A580" s="12"/>
      <c r="B580" s="12"/>
      <c r="C580" s="12"/>
      <c r="D580" s="12"/>
      <c r="E580" s="12"/>
      <c r="F580" s="12"/>
      <c r="G580" s="12"/>
      <c r="H580" s="12"/>
      <c r="I580" s="12"/>
      <c r="J580" s="12"/>
      <c r="K580" s="12"/>
      <c r="L580" s="12"/>
      <c r="M580" s="12"/>
      <c r="N580" s="12"/>
      <c r="O580" s="12"/>
      <c r="P580" s="12"/>
      <c r="Q580" s="12"/>
      <c r="R580" s="12"/>
      <c r="S580" s="12"/>
      <c r="T580" s="12"/>
      <c r="U580" s="12"/>
      <c r="V580" s="4"/>
      <c r="W580" s="4"/>
      <c r="X580" s="12"/>
      <c r="Y580" s="12"/>
      <c r="Z580" s="12"/>
      <c r="AA580" s="12"/>
    </row>
    <row r="581" spans="1:27">
      <c r="A581" s="12"/>
      <c r="B581" s="12"/>
      <c r="C581" s="12"/>
      <c r="D581" s="12"/>
      <c r="E581" s="12"/>
      <c r="F581" s="12"/>
      <c r="G581" s="12"/>
      <c r="H581" s="12"/>
      <c r="I581" s="12"/>
      <c r="J581" s="12"/>
      <c r="K581" s="12"/>
      <c r="L581" s="12"/>
      <c r="M581" s="12"/>
      <c r="N581" s="12"/>
      <c r="O581" s="12"/>
      <c r="P581" s="12"/>
      <c r="Q581" s="12"/>
      <c r="R581" s="12"/>
      <c r="S581" s="12"/>
      <c r="T581" s="12"/>
      <c r="U581" s="12"/>
      <c r="V581" s="4"/>
      <c r="W581" s="4"/>
      <c r="X581" s="12"/>
      <c r="Y581" s="12"/>
      <c r="Z581" s="12"/>
      <c r="AA581" s="12"/>
    </row>
    <row r="582" spans="1:27">
      <c r="A582" s="12"/>
      <c r="B582" s="12"/>
      <c r="C582" s="12"/>
      <c r="D582" s="12"/>
      <c r="E582" s="12"/>
      <c r="F582" s="12"/>
      <c r="G582" s="12"/>
      <c r="H582" s="12"/>
      <c r="I582" s="12"/>
      <c r="J582" s="12"/>
      <c r="K582" s="12"/>
      <c r="L582" s="12"/>
      <c r="M582" s="12"/>
      <c r="N582" s="12"/>
      <c r="O582" s="12"/>
      <c r="P582" s="12"/>
      <c r="Q582" s="12"/>
      <c r="R582" s="12"/>
      <c r="S582" s="12"/>
      <c r="T582" s="12"/>
      <c r="U582" s="12"/>
      <c r="V582" s="4"/>
      <c r="W582" s="4"/>
      <c r="X582" s="12"/>
      <c r="Y582" s="12"/>
      <c r="Z582" s="12"/>
      <c r="AA582" s="12"/>
    </row>
    <row r="583" spans="1:27">
      <c r="A583" s="12"/>
      <c r="B583" s="12"/>
      <c r="C583" s="12"/>
      <c r="D583" s="12"/>
      <c r="E583" s="12"/>
      <c r="F583" s="12"/>
      <c r="G583" s="12"/>
      <c r="H583" s="12"/>
      <c r="I583" s="12"/>
      <c r="J583" s="12"/>
      <c r="K583" s="12"/>
      <c r="L583" s="12"/>
      <c r="M583" s="12"/>
      <c r="N583" s="12"/>
      <c r="O583" s="12"/>
      <c r="P583" s="12"/>
      <c r="Q583" s="12"/>
      <c r="R583" s="12"/>
      <c r="S583" s="12"/>
      <c r="T583" s="12"/>
      <c r="U583" s="12"/>
      <c r="V583" s="4"/>
      <c r="W583" s="4"/>
      <c r="X583" s="12"/>
      <c r="Y583" s="12"/>
      <c r="Z583" s="12"/>
      <c r="AA583" s="12"/>
    </row>
    <row r="584" spans="1:27">
      <c r="A584" s="12"/>
      <c r="B584" s="12"/>
      <c r="C584" s="12"/>
      <c r="D584" s="12"/>
      <c r="E584" s="12"/>
      <c r="F584" s="12"/>
      <c r="G584" s="12"/>
      <c r="H584" s="12"/>
      <c r="I584" s="12"/>
      <c r="J584" s="12"/>
      <c r="K584" s="12"/>
      <c r="L584" s="12"/>
      <c r="M584" s="12"/>
      <c r="N584" s="12"/>
      <c r="O584" s="12"/>
      <c r="P584" s="12"/>
      <c r="Q584" s="12"/>
      <c r="R584" s="12"/>
      <c r="S584" s="12"/>
      <c r="T584" s="12"/>
      <c r="U584" s="12"/>
      <c r="V584" s="4"/>
      <c r="W584" s="4"/>
      <c r="X584" s="12"/>
      <c r="Y584" s="12"/>
      <c r="Z584" s="12"/>
      <c r="AA584" s="12"/>
    </row>
    <row r="585" spans="1:27">
      <c r="A585" s="12"/>
      <c r="B585" s="12"/>
      <c r="C585" s="12"/>
      <c r="D585" s="12"/>
      <c r="E585" s="12"/>
      <c r="F585" s="12"/>
      <c r="G585" s="12"/>
      <c r="H585" s="12"/>
      <c r="I585" s="12"/>
      <c r="J585" s="12"/>
      <c r="K585" s="12"/>
      <c r="L585" s="12"/>
      <c r="M585" s="12"/>
      <c r="N585" s="12"/>
      <c r="O585" s="12"/>
      <c r="P585" s="12"/>
      <c r="Q585" s="12"/>
      <c r="R585" s="12"/>
      <c r="S585" s="12"/>
      <c r="T585" s="12"/>
      <c r="U585" s="12"/>
      <c r="V585" s="4"/>
      <c r="W585" s="4"/>
      <c r="X585" s="12"/>
      <c r="Y585" s="12"/>
      <c r="Z585" s="12"/>
      <c r="AA585" s="12"/>
    </row>
    <row r="586" spans="1:27">
      <c r="A586" s="12"/>
      <c r="B586" s="12"/>
      <c r="C586" s="12"/>
      <c r="D586" s="12"/>
      <c r="E586" s="12"/>
      <c r="F586" s="12"/>
      <c r="G586" s="12"/>
      <c r="H586" s="12"/>
      <c r="I586" s="12"/>
      <c r="J586" s="12"/>
      <c r="K586" s="12"/>
      <c r="L586" s="12"/>
      <c r="M586" s="12"/>
      <c r="N586" s="12"/>
      <c r="O586" s="12"/>
      <c r="P586" s="12"/>
      <c r="Q586" s="12"/>
      <c r="R586" s="12"/>
      <c r="S586" s="12"/>
      <c r="T586" s="12"/>
      <c r="U586" s="12"/>
      <c r="V586" s="4"/>
      <c r="W586" s="4"/>
      <c r="X586" s="12"/>
      <c r="Y586" s="12"/>
      <c r="Z586" s="12"/>
      <c r="AA586" s="12"/>
    </row>
    <row r="587" spans="1:27">
      <c r="A587" s="12"/>
      <c r="B587" s="12"/>
      <c r="C587" s="12"/>
      <c r="D587" s="12"/>
      <c r="E587" s="12"/>
      <c r="F587" s="12"/>
      <c r="G587" s="12"/>
      <c r="H587" s="12"/>
      <c r="I587" s="12"/>
      <c r="J587" s="12"/>
      <c r="K587" s="12"/>
      <c r="L587" s="12"/>
      <c r="M587" s="12"/>
      <c r="N587" s="12"/>
      <c r="O587" s="12"/>
      <c r="P587" s="12"/>
      <c r="Q587" s="12"/>
      <c r="R587" s="12"/>
      <c r="S587" s="12"/>
      <c r="T587" s="12"/>
      <c r="U587" s="12"/>
      <c r="V587" s="4"/>
      <c r="W587" s="4"/>
      <c r="X587" s="12"/>
      <c r="Y587" s="12"/>
      <c r="Z587" s="12"/>
      <c r="AA587" s="12"/>
    </row>
    <row r="588" spans="1:27">
      <c r="A588" s="12"/>
      <c r="B588" s="12"/>
      <c r="C588" s="12"/>
      <c r="D588" s="12"/>
      <c r="E588" s="12"/>
      <c r="F588" s="12"/>
      <c r="G588" s="12"/>
      <c r="H588" s="12"/>
      <c r="I588" s="12"/>
      <c r="J588" s="12"/>
      <c r="K588" s="12"/>
      <c r="L588" s="12"/>
      <c r="M588" s="12"/>
      <c r="N588" s="12"/>
      <c r="O588" s="12"/>
      <c r="P588" s="12"/>
      <c r="Q588" s="12"/>
      <c r="R588" s="12"/>
      <c r="S588" s="12"/>
      <c r="T588" s="12"/>
      <c r="U588" s="12"/>
      <c r="V588" s="4"/>
      <c r="W588" s="4"/>
      <c r="X588" s="12"/>
      <c r="Y588" s="12"/>
      <c r="Z588" s="12"/>
      <c r="AA588" s="12"/>
    </row>
    <row r="589" spans="1:27">
      <c r="A589" s="12"/>
      <c r="B589" s="12"/>
      <c r="C589" s="12"/>
      <c r="D589" s="12"/>
      <c r="E589" s="12"/>
      <c r="F589" s="12"/>
      <c r="G589" s="12"/>
      <c r="H589" s="12"/>
      <c r="I589" s="12"/>
      <c r="J589" s="12"/>
      <c r="K589" s="12"/>
      <c r="L589" s="12"/>
      <c r="M589" s="12"/>
      <c r="N589" s="12"/>
      <c r="O589" s="12"/>
      <c r="P589" s="12"/>
      <c r="Q589" s="12"/>
      <c r="R589" s="12"/>
      <c r="S589" s="12"/>
      <c r="T589" s="12"/>
      <c r="U589" s="12"/>
      <c r="V589" s="4"/>
      <c r="W589" s="4"/>
      <c r="X589" s="12"/>
      <c r="Y589" s="12"/>
      <c r="Z589" s="12"/>
      <c r="AA589" s="12"/>
    </row>
    <row r="590" spans="1:27">
      <c r="A590" s="12"/>
      <c r="B590" s="12"/>
      <c r="C590" s="12"/>
      <c r="D590" s="12"/>
      <c r="E590" s="12"/>
      <c r="F590" s="12"/>
      <c r="G590" s="12"/>
      <c r="H590" s="12"/>
      <c r="I590" s="12"/>
      <c r="J590" s="12"/>
      <c r="K590" s="12"/>
      <c r="L590" s="12"/>
      <c r="M590" s="12"/>
      <c r="N590" s="12"/>
      <c r="O590" s="12"/>
      <c r="P590" s="12"/>
      <c r="Q590" s="12"/>
      <c r="R590" s="12"/>
      <c r="S590" s="12"/>
      <c r="T590" s="12"/>
      <c r="U590" s="12"/>
      <c r="V590" s="4"/>
      <c r="W590" s="4"/>
      <c r="X590" s="12"/>
      <c r="Y590" s="12"/>
      <c r="Z590" s="12"/>
      <c r="AA590" s="12"/>
    </row>
    <row r="591" spans="1:27">
      <c r="A591" s="12"/>
      <c r="B591" s="12"/>
      <c r="C591" s="12"/>
      <c r="D591" s="12"/>
      <c r="E591" s="12"/>
      <c r="F591" s="12"/>
      <c r="G591" s="12"/>
      <c r="H591" s="12"/>
      <c r="I591" s="12"/>
      <c r="J591" s="12"/>
      <c r="K591" s="12"/>
      <c r="L591" s="12"/>
      <c r="M591" s="12"/>
      <c r="N591" s="12"/>
      <c r="O591" s="12"/>
      <c r="P591" s="12"/>
      <c r="Q591" s="12"/>
      <c r="R591" s="12"/>
      <c r="S591" s="12"/>
      <c r="T591" s="12"/>
      <c r="U591" s="12"/>
      <c r="V591" s="4"/>
      <c r="W591" s="4"/>
      <c r="X591" s="12"/>
      <c r="Y591" s="12"/>
      <c r="Z591" s="12"/>
      <c r="AA591" s="12"/>
    </row>
    <row r="592" spans="1:27">
      <c r="A592" s="12"/>
      <c r="B592" s="12"/>
      <c r="C592" s="12"/>
      <c r="D592" s="12"/>
      <c r="E592" s="12"/>
      <c r="F592" s="12"/>
      <c r="G592" s="12"/>
      <c r="H592" s="12"/>
      <c r="I592" s="12"/>
      <c r="J592" s="12"/>
      <c r="K592" s="12"/>
      <c r="L592" s="12"/>
      <c r="M592" s="12"/>
      <c r="N592" s="12"/>
      <c r="O592" s="12"/>
      <c r="P592" s="12"/>
      <c r="Q592" s="12"/>
      <c r="R592" s="12"/>
      <c r="S592" s="12"/>
      <c r="T592" s="12"/>
      <c r="U592" s="12"/>
      <c r="V592" s="4"/>
      <c r="W592" s="4"/>
      <c r="X592" s="12"/>
      <c r="Y592" s="12"/>
      <c r="Z592" s="12"/>
      <c r="AA592" s="12"/>
    </row>
    <row r="593" spans="1:27">
      <c r="A593" s="12"/>
      <c r="B593" s="12"/>
      <c r="C593" s="12"/>
      <c r="D593" s="12"/>
      <c r="E593" s="12"/>
      <c r="F593" s="12"/>
      <c r="G593" s="12"/>
      <c r="H593" s="12"/>
      <c r="I593" s="12"/>
      <c r="J593" s="12"/>
      <c r="K593" s="12"/>
      <c r="L593" s="12"/>
      <c r="M593" s="12"/>
      <c r="N593" s="12"/>
      <c r="O593" s="12"/>
      <c r="P593" s="12"/>
      <c r="Q593" s="12"/>
      <c r="R593" s="12"/>
      <c r="S593" s="12"/>
      <c r="T593" s="12"/>
      <c r="U593" s="12"/>
      <c r="V593" s="4"/>
      <c r="W593" s="4"/>
      <c r="X593" s="12"/>
      <c r="Y593" s="12"/>
      <c r="Z593" s="12"/>
      <c r="AA593" s="12"/>
    </row>
    <row r="594" spans="1:27">
      <c r="A594" s="12"/>
      <c r="B594" s="12"/>
      <c r="C594" s="12"/>
      <c r="D594" s="12"/>
      <c r="E594" s="12"/>
      <c r="F594" s="12"/>
      <c r="G594" s="12"/>
      <c r="H594" s="12"/>
      <c r="I594" s="12"/>
      <c r="J594" s="12"/>
      <c r="K594" s="12"/>
      <c r="L594" s="12"/>
      <c r="M594" s="12"/>
      <c r="N594" s="12"/>
      <c r="O594" s="12"/>
      <c r="P594" s="12"/>
      <c r="Q594" s="12"/>
      <c r="R594" s="12"/>
      <c r="S594" s="12"/>
      <c r="T594" s="12"/>
      <c r="U594" s="12"/>
      <c r="V594" s="4"/>
      <c r="W594" s="4"/>
      <c r="X594" s="12"/>
      <c r="Y594" s="12"/>
      <c r="Z594" s="12"/>
      <c r="AA594" s="12"/>
    </row>
    <row r="595" spans="1:27">
      <c r="A595" s="12"/>
      <c r="B595" s="12"/>
      <c r="C595" s="12"/>
      <c r="D595" s="12"/>
      <c r="E595" s="12"/>
      <c r="F595" s="12"/>
      <c r="G595" s="12"/>
      <c r="H595" s="12"/>
      <c r="I595" s="12"/>
      <c r="J595" s="12"/>
      <c r="K595" s="12"/>
      <c r="L595" s="12"/>
      <c r="M595" s="12"/>
      <c r="N595" s="12"/>
      <c r="O595" s="12"/>
      <c r="P595" s="12"/>
      <c r="Q595" s="12"/>
      <c r="R595" s="12"/>
      <c r="S595" s="12"/>
      <c r="T595" s="12"/>
      <c r="U595" s="12"/>
      <c r="V595" s="4"/>
      <c r="W595" s="4"/>
      <c r="X595" s="12"/>
      <c r="Y595" s="12"/>
      <c r="Z595" s="12"/>
      <c r="AA595" s="12"/>
    </row>
    <row r="596" spans="1:27">
      <c r="A596" s="12"/>
      <c r="B596" s="12"/>
      <c r="C596" s="12"/>
      <c r="D596" s="12"/>
      <c r="E596" s="12"/>
      <c r="F596" s="12"/>
      <c r="G596" s="12"/>
      <c r="H596" s="12"/>
      <c r="I596" s="12"/>
      <c r="J596" s="12"/>
      <c r="K596" s="12"/>
      <c r="L596" s="12"/>
      <c r="M596" s="12"/>
      <c r="N596" s="12"/>
      <c r="O596" s="12"/>
      <c r="P596" s="12"/>
      <c r="Q596" s="12"/>
      <c r="R596" s="12"/>
      <c r="S596" s="12"/>
      <c r="T596" s="12"/>
      <c r="U596" s="12"/>
      <c r="V596" s="4"/>
      <c r="W596" s="4"/>
      <c r="X596" s="12"/>
      <c r="Y596" s="12"/>
      <c r="Z596" s="12"/>
      <c r="AA596" s="12"/>
    </row>
    <row r="597" spans="1:27">
      <c r="A597" s="12"/>
      <c r="B597" s="12"/>
      <c r="C597" s="12"/>
      <c r="D597" s="12"/>
      <c r="E597" s="12"/>
      <c r="F597" s="12"/>
      <c r="G597" s="12"/>
      <c r="H597" s="12"/>
      <c r="I597" s="12"/>
      <c r="J597" s="12"/>
      <c r="K597" s="12"/>
      <c r="L597" s="12"/>
      <c r="M597" s="12"/>
      <c r="N597" s="12"/>
      <c r="O597" s="12"/>
      <c r="P597" s="12"/>
      <c r="Q597" s="12"/>
      <c r="R597" s="12"/>
      <c r="S597" s="12"/>
      <c r="T597" s="12"/>
      <c r="U597" s="12"/>
      <c r="V597" s="4"/>
      <c r="W597" s="4"/>
      <c r="X597" s="12"/>
      <c r="Y597" s="12"/>
      <c r="Z597" s="12"/>
      <c r="AA597" s="12"/>
    </row>
    <row r="598" spans="1:27">
      <c r="A598" s="12"/>
      <c r="B598" s="12"/>
      <c r="C598" s="12"/>
      <c r="D598" s="12"/>
      <c r="E598" s="12"/>
      <c r="F598" s="12"/>
      <c r="G598" s="12"/>
      <c r="H598" s="12"/>
      <c r="I598" s="12"/>
      <c r="J598" s="12"/>
      <c r="K598" s="12"/>
      <c r="L598" s="12"/>
      <c r="M598" s="12"/>
      <c r="N598" s="12"/>
      <c r="O598" s="12"/>
      <c r="P598" s="12"/>
      <c r="Q598" s="12"/>
      <c r="R598" s="12"/>
      <c r="S598" s="12"/>
      <c r="T598" s="12"/>
      <c r="U598" s="12"/>
      <c r="V598" s="4"/>
      <c r="W598" s="4"/>
      <c r="X598" s="12"/>
      <c r="Y598" s="12"/>
      <c r="Z598" s="12"/>
      <c r="AA598" s="12"/>
    </row>
    <row r="599" spans="1:27">
      <c r="A599" s="12"/>
      <c r="B599" s="12"/>
      <c r="C599" s="12"/>
      <c r="D599" s="12"/>
      <c r="E599" s="12"/>
      <c r="F599" s="12"/>
      <c r="G599" s="12"/>
      <c r="H599" s="12"/>
      <c r="I599" s="12"/>
      <c r="J599" s="12"/>
      <c r="K599" s="12"/>
      <c r="L599" s="12"/>
      <c r="M599" s="12"/>
      <c r="N599" s="12"/>
      <c r="O599" s="12"/>
      <c r="P599" s="12"/>
      <c r="Q599" s="12"/>
      <c r="R599" s="12"/>
      <c r="S599" s="12"/>
      <c r="T599" s="12"/>
      <c r="U599" s="12"/>
      <c r="V599" s="4"/>
      <c r="W599" s="4"/>
      <c r="X599" s="12"/>
      <c r="Y599" s="12"/>
      <c r="Z599" s="12"/>
      <c r="AA599" s="12"/>
    </row>
    <row r="600" spans="1:27">
      <c r="A600" s="12"/>
      <c r="B600" s="12"/>
      <c r="C600" s="12"/>
      <c r="D600" s="12"/>
      <c r="E600" s="12"/>
      <c r="F600" s="12"/>
      <c r="G600" s="12"/>
      <c r="H600" s="12"/>
      <c r="I600" s="12"/>
      <c r="J600" s="12"/>
      <c r="K600" s="12"/>
      <c r="L600" s="12"/>
      <c r="M600" s="12"/>
      <c r="N600" s="12"/>
      <c r="O600" s="12"/>
      <c r="P600" s="12"/>
      <c r="Q600" s="12"/>
      <c r="R600" s="12"/>
      <c r="S600" s="12"/>
      <c r="T600" s="12"/>
      <c r="U600" s="12"/>
      <c r="V600" s="4"/>
      <c r="W600" s="4"/>
      <c r="X600" s="12"/>
      <c r="Y600" s="12"/>
      <c r="Z600" s="12"/>
      <c r="AA600" s="12"/>
    </row>
    <row r="601" spans="1:27">
      <c r="A601" s="12"/>
      <c r="B601" s="12"/>
      <c r="C601" s="12"/>
      <c r="D601" s="12"/>
      <c r="E601" s="12"/>
      <c r="F601" s="12"/>
      <c r="G601" s="12"/>
      <c r="H601" s="12"/>
      <c r="I601" s="12"/>
      <c r="J601" s="12"/>
      <c r="K601" s="12"/>
      <c r="L601" s="12"/>
      <c r="M601" s="12"/>
      <c r="N601" s="12"/>
      <c r="O601" s="12"/>
      <c r="P601" s="12"/>
      <c r="Q601" s="12"/>
      <c r="R601" s="12"/>
      <c r="S601" s="12"/>
      <c r="T601" s="12"/>
      <c r="U601" s="12"/>
      <c r="V601" s="4"/>
      <c r="W601" s="4"/>
      <c r="X601" s="12"/>
      <c r="Y601" s="12"/>
      <c r="Z601" s="12"/>
      <c r="AA601" s="12"/>
    </row>
    <row r="602" spans="1:27">
      <c r="A602" s="12"/>
      <c r="B602" s="12"/>
      <c r="C602" s="12"/>
      <c r="D602" s="12"/>
      <c r="E602" s="12"/>
      <c r="F602" s="12"/>
      <c r="G602" s="12"/>
      <c r="H602" s="12"/>
      <c r="I602" s="12"/>
      <c r="J602" s="12"/>
      <c r="K602" s="12"/>
      <c r="L602" s="12"/>
      <c r="M602" s="12"/>
      <c r="N602" s="12"/>
      <c r="O602" s="12"/>
      <c r="P602" s="12"/>
      <c r="Q602" s="12"/>
      <c r="R602" s="12"/>
      <c r="S602" s="12"/>
      <c r="T602" s="12"/>
      <c r="U602" s="12"/>
      <c r="V602" s="4"/>
      <c r="W602" s="4"/>
      <c r="X602" s="12"/>
      <c r="Y602" s="12"/>
      <c r="Z602" s="12"/>
      <c r="AA602" s="12"/>
    </row>
    <row r="603" spans="1:27">
      <c r="A603" s="12"/>
      <c r="B603" s="12"/>
      <c r="C603" s="12"/>
      <c r="D603" s="12"/>
      <c r="E603" s="12"/>
      <c r="F603" s="12"/>
      <c r="G603" s="12"/>
      <c r="H603" s="12"/>
      <c r="I603" s="12"/>
      <c r="J603" s="12"/>
      <c r="K603" s="12"/>
      <c r="L603" s="12"/>
      <c r="M603" s="12"/>
      <c r="N603" s="12"/>
      <c r="O603" s="12"/>
      <c r="P603" s="12"/>
      <c r="Q603" s="12"/>
      <c r="R603" s="12"/>
      <c r="S603" s="12"/>
      <c r="T603" s="12"/>
      <c r="U603" s="12"/>
      <c r="V603" s="4"/>
      <c r="W603" s="4"/>
      <c r="X603" s="12"/>
      <c r="Y603" s="12"/>
      <c r="Z603" s="12"/>
      <c r="AA603" s="12"/>
    </row>
    <row r="604" spans="1:27">
      <c r="A604" s="12"/>
      <c r="B604" s="12"/>
      <c r="C604" s="12"/>
      <c r="D604" s="12"/>
      <c r="E604" s="12"/>
      <c r="F604" s="12"/>
      <c r="G604" s="12"/>
      <c r="H604" s="12"/>
      <c r="I604" s="12"/>
      <c r="J604" s="12"/>
      <c r="K604" s="12"/>
      <c r="L604" s="12"/>
      <c r="M604" s="12"/>
      <c r="N604" s="12"/>
      <c r="O604" s="12"/>
      <c r="P604" s="12"/>
      <c r="Q604" s="12"/>
      <c r="R604" s="12"/>
      <c r="S604" s="12"/>
      <c r="T604" s="12"/>
      <c r="U604" s="12"/>
      <c r="V604" s="4"/>
      <c r="W604" s="4"/>
      <c r="X604" s="12"/>
      <c r="Y604" s="12"/>
      <c r="Z604" s="12"/>
      <c r="AA604" s="12"/>
    </row>
    <row r="605" spans="1:27">
      <c r="A605" s="12"/>
      <c r="B605" s="12"/>
      <c r="C605" s="12"/>
      <c r="D605" s="12"/>
      <c r="E605" s="12"/>
      <c r="F605" s="12"/>
      <c r="G605" s="12"/>
      <c r="H605" s="12"/>
      <c r="I605" s="12"/>
      <c r="J605" s="12"/>
      <c r="K605" s="12"/>
      <c r="L605" s="12"/>
      <c r="M605" s="12"/>
      <c r="N605" s="12"/>
      <c r="O605" s="12"/>
      <c r="P605" s="12"/>
      <c r="Q605" s="12"/>
      <c r="R605" s="12"/>
      <c r="S605" s="12"/>
      <c r="T605" s="12"/>
      <c r="U605" s="12"/>
      <c r="V605" s="4"/>
      <c r="W605" s="4"/>
      <c r="X605" s="12"/>
      <c r="Y605" s="12"/>
      <c r="Z605" s="12"/>
      <c r="AA605" s="12"/>
    </row>
    <row r="606" spans="1:27">
      <c r="A606" s="12"/>
      <c r="B606" s="12"/>
      <c r="C606" s="12"/>
      <c r="D606" s="12"/>
      <c r="E606" s="12"/>
      <c r="F606" s="12"/>
      <c r="G606" s="12"/>
      <c r="H606" s="12"/>
      <c r="I606" s="12"/>
      <c r="J606" s="12"/>
      <c r="K606" s="12"/>
      <c r="L606" s="12"/>
      <c r="M606" s="12"/>
      <c r="N606" s="12"/>
      <c r="O606" s="12"/>
      <c r="P606" s="12"/>
      <c r="Q606" s="12"/>
      <c r="R606" s="12"/>
      <c r="S606" s="12"/>
      <c r="T606" s="12"/>
      <c r="U606" s="12"/>
      <c r="V606" s="4"/>
      <c r="W606" s="4"/>
      <c r="X606" s="12"/>
      <c r="Y606" s="12"/>
      <c r="Z606" s="12"/>
      <c r="AA606" s="12"/>
    </row>
    <row r="607" spans="1:27">
      <c r="A607" s="12"/>
      <c r="B607" s="12"/>
      <c r="C607" s="12"/>
      <c r="D607" s="12"/>
      <c r="E607" s="12"/>
      <c r="F607" s="12"/>
      <c r="G607" s="12"/>
      <c r="H607" s="12"/>
      <c r="I607" s="12"/>
      <c r="J607" s="12"/>
      <c r="K607" s="12"/>
      <c r="L607" s="12"/>
      <c r="M607" s="12"/>
      <c r="N607" s="12"/>
      <c r="O607" s="12"/>
      <c r="P607" s="12"/>
      <c r="Q607" s="12"/>
      <c r="R607" s="12"/>
      <c r="S607" s="12"/>
      <c r="T607" s="12"/>
      <c r="U607" s="12"/>
      <c r="V607" s="4"/>
      <c r="W607" s="4"/>
      <c r="X607" s="12"/>
      <c r="Y607" s="12"/>
      <c r="Z607" s="12"/>
      <c r="AA607" s="12"/>
    </row>
    <row r="608" spans="1:27">
      <c r="A608" s="12"/>
      <c r="B608" s="12"/>
      <c r="C608" s="12"/>
      <c r="D608" s="12"/>
      <c r="E608" s="12"/>
      <c r="F608" s="12"/>
      <c r="G608" s="12"/>
      <c r="H608" s="12"/>
      <c r="I608" s="12"/>
      <c r="J608" s="12"/>
      <c r="K608" s="12"/>
      <c r="L608" s="12"/>
      <c r="M608" s="12"/>
      <c r="N608" s="12"/>
      <c r="O608" s="12"/>
      <c r="P608" s="12"/>
      <c r="Q608" s="12"/>
      <c r="R608" s="12"/>
      <c r="S608" s="12"/>
      <c r="T608" s="12"/>
      <c r="U608" s="12"/>
      <c r="V608" s="4"/>
      <c r="W608" s="4"/>
      <c r="X608" s="12"/>
      <c r="Y608" s="12"/>
      <c r="Z608" s="12"/>
      <c r="AA608" s="12"/>
    </row>
    <row r="609" spans="1:27">
      <c r="A609" s="12"/>
      <c r="B609" s="12"/>
      <c r="C609" s="12"/>
      <c r="D609" s="12"/>
      <c r="E609" s="12"/>
      <c r="F609" s="12"/>
      <c r="G609" s="12"/>
      <c r="H609" s="12"/>
      <c r="I609" s="12"/>
      <c r="J609" s="12"/>
      <c r="K609" s="12"/>
      <c r="L609" s="12"/>
      <c r="M609" s="12"/>
      <c r="N609" s="12"/>
      <c r="O609" s="12"/>
      <c r="P609" s="12"/>
      <c r="Q609" s="12"/>
      <c r="R609" s="12"/>
      <c r="S609" s="12"/>
      <c r="T609" s="12"/>
      <c r="U609" s="12"/>
      <c r="V609" s="4"/>
      <c r="W609" s="4"/>
      <c r="X609" s="12"/>
      <c r="Y609" s="12"/>
      <c r="Z609" s="12"/>
      <c r="AA609" s="12"/>
    </row>
    <row r="610" spans="1:27">
      <c r="A610" s="12"/>
      <c r="B610" s="12"/>
      <c r="C610" s="12"/>
      <c r="D610" s="12"/>
      <c r="E610" s="12"/>
      <c r="F610" s="12"/>
      <c r="G610" s="12"/>
      <c r="H610" s="12"/>
      <c r="I610" s="12"/>
      <c r="J610" s="12"/>
      <c r="K610" s="12"/>
      <c r="L610" s="12"/>
      <c r="M610" s="12"/>
      <c r="N610" s="12"/>
      <c r="O610" s="12"/>
      <c r="P610" s="12"/>
      <c r="Q610" s="12"/>
      <c r="R610" s="12"/>
      <c r="S610" s="12"/>
      <c r="T610" s="12"/>
      <c r="U610" s="12"/>
      <c r="V610" s="4"/>
      <c r="W610" s="4"/>
      <c r="X610" s="12"/>
      <c r="Y610" s="12"/>
      <c r="Z610" s="12"/>
      <c r="AA610" s="12"/>
    </row>
    <row r="611" spans="1:27">
      <c r="A611" s="12"/>
      <c r="B611" s="12"/>
      <c r="C611" s="12"/>
      <c r="D611" s="12"/>
      <c r="E611" s="12"/>
      <c r="F611" s="12"/>
      <c r="G611" s="12"/>
      <c r="H611" s="12"/>
      <c r="I611" s="12"/>
      <c r="J611" s="12"/>
      <c r="K611" s="12"/>
      <c r="L611" s="12"/>
      <c r="M611" s="12"/>
      <c r="N611" s="12"/>
      <c r="O611" s="12"/>
      <c r="P611" s="12"/>
      <c r="Q611" s="12"/>
      <c r="R611" s="12"/>
      <c r="S611" s="12"/>
      <c r="T611" s="12"/>
      <c r="U611" s="12"/>
      <c r="V611" s="4"/>
      <c r="W611" s="4"/>
      <c r="X611" s="12"/>
      <c r="Y611" s="12"/>
      <c r="Z611" s="12"/>
      <c r="AA611" s="12"/>
    </row>
    <row r="612" spans="1:27">
      <c r="A612" s="12"/>
      <c r="B612" s="12"/>
      <c r="C612" s="12"/>
      <c r="D612" s="12"/>
      <c r="E612" s="12"/>
      <c r="F612" s="12"/>
      <c r="G612" s="12"/>
      <c r="H612" s="12"/>
      <c r="I612" s="12"/>
      <c r="J612" s="12"/>
      <c r="K612" s="12"/>
      <c r="L612" s="12"/>
      <c r="M612" s="12"/>
      <c r="N612" s="12"/>
      <c r="O612" s="12"/>
      <c r="P612" s="12"/>
      <c r="Q612" s="12"/>
      <c r="R612" s="12"/>
      <c r="S612" s="12"/>
      <c r="T612" s="12"/>
      <c r="U612" s="12"/>
      <c r="V612" s="4"/>
      <c r="W612" s="4"/>
      <c r="X612" s="12"/>
      <c r="Y612" s="12"/>
      <c r="Z612" s="12"/>
      <c r="AA612" s="12"/>
    </row>
    <row r="613" spans="1:27">
      <c r="A613" s="12"/>
      <c r="B613" s="12"/>
      <c r="C613" s="12"/>
      <c r="D613" s="12"/>
      <c r="E613" s="12"/>
      <c r="F613" s="12"/>
      <c r="G613" s="12"/>
      <c r="H613" s="12"/>
      <c r="I613" s="12"/>
      <c r="J613" s="12"/>
      <c r="K613" s="12"/>
      <c r="L613" s="12"/>
      <c r="M613" s="12"/>
      <c r="N613" s="12"/>
      <c r="O613" s="12"/>
      <c r="P613" s="12"/>
      <c r="Q613" s="12"/>
      <c r="R613" s="12"/>
      <c r="S613" s="12"/>
      <c r="T613" s="12"/>
      <c r="U613" s="12"/>
      <c r="V613" s="4"/>
      <c r="W613" s="4"/>
      <c r="X613" s="12"/>
      <c r="Y613" s="12"/>
      <c r="Z613" s="12"/>
      <c r="AA613" s="12"/>
    </row>
    <row r="614" spans="1:27">
      <c r="A614" s="12"/>
      <c r="B614" s="12"/>
      <c r="C614" s="12"/>
      <c r="D614" s="12"/>
      <c r="E614" s="12"/>
      <c r="F614" s="12"/>
      <c r="G614" s="12"/>
      <c r="H614" s="12"/>
      <c r="I614" s="12"/>
      <c r="J614" s="12"/>
      <c r="K614" s="12"/>
      <c r="L614" s="12"/>
      <c r="M614" s="12"/>
      <c r="N614" s="12"/>
      <c r="O614" s="12"/>
      <c r="P614" s="12"/>
      <c r="Q614" s="12"/>
      <c r="R614" s="12"/>
      <c r="S614" s="12"/>
      <c r="T614" s="12"/>
      <c r="U614" s="12"/>
      <c r="V614" s="4"/>
      <c r="W614" s="4"/>
      <c r="X614" s="12"/>
      <c r="Y614" s="12"/>
      <c r="Z614" s="12"/>
      <c r="AA614" s="12"/>
    </row>
    <row r="615" spans="1:27">
      <c r="A615" s="12"/>
      <c r="B615" s="12"/>
      <c r="C615" s="12"/>
      <c r="D615" s="12"/>
      <c r="E615" s="12"/>
      <c r="F615" s="12"/>
      <c r="G615" s="12"/>
      <c r="H615" s="12"/>
      <c r="I615" s="12"/>
      <c r="J615" s="12"/>
      <c r="K615" s="12"/>
      <c r="L615" s="12"/>
      <c r="M615" s="12"/>
      <c r="N615" s="12"/>
      <c r="O615" s="12"/>
      <c r="P615" s="12"/>
      <c r="Q615" s="12"/>
      <c r="R615" s="12"/>
      <c r="S615" s="12"/>
      <c r="T615" s="12"/>
      <c r="U615" s="12"/>
      <c r="V615" s="4"/>
      <c r="W615" s="4"/>
      <c r="X615" s="12"/>
      <c r="Y615" s="12"/>
      <c r="Z615" s="12"/>
      <c r="AA615" s="12"/>
    </row>
    <row r="616" spans="1:27">
      <c r="A616" s="12"/>
      <c r="B616" s="12"/>
      <c r="C616" s="12"/>
      <c r="D616" s="12"/>
      <c r="E616" s="12"/>
      <c r="F616" s="12"/>
      <c r="G616" s="12"/>
      <c r="H616" s="12"/>
      <c r="I616" s="12"/>
      <c r="J616" s="12"/>
      <c r="K616" s="12"/>
      <c r="L616" s="12"/>
      <c r="M616" s="12"/>
      <c r="N616" s="12"/>
      <c r="O616" s="12"/>
      <c r="P616" s="12"/>
      <c r="Q616" s="12"/>
      <c r="R616" s="12"/>
      <c r="S616" s="12"/>
      <c r="T616" s="12"/>
      <c r="U616" s="12"/>
      <c r="V616" s="4"/>
      <c r="W616" s="4"/>
      <c r="X616" s="12"/>
      <c r="Y616" s="12"/>
      <c r="Z616" s="12"/>
      <c r="AA616" s="12"/>
    </row>
    <row r="617" spans="1:27">
      <c r="A617" s="12"/>
      <c r="B617" s="12"/>
      <c r="C617" s="12"/>
      <c r="D617" s="12"/>
      <c r="E617" s="12"/>
      <c r="F617" s="12"/>
      <c r="G617" s="12"/>
      <c r="H617" s="12"/>
      <c r="I617" s="12"/>
      <c r="J617" s="12"/>
      <c r="K617" s="12"/>
      <c r="L617" s="12"/>
      <c r="M617" s="12"/>
      <c r="N617" s="12"/>
      <c r="O617" s="12"/>
      <c r="P617" s="12"/>
      <c r="Q617" s="12"/>
      <c r="R617" s="12"/>
      <c r="S617" s="12"/>
      <c r="T617" s="12"/>
      <c r="U617" s="12"/>
      <c r="V617" s="4"/>
      <c r="W617" s="4"/>
      <c r="X617" s="12"/>
      <c r="Y617" s="12"/>
      <c r="Z617" s="12"/>
      <c r="AA617" s="12"/>
    </row>
    <row r="618" spans="1:27">
      <c r="A618" s="12"/>
      <c r="B618" s="12"/>
      <c r="C618" s="12"/>
      <c r="D618" s="12"/>
      <c r="E618" s="12"/>
      <c r="F618" s="12"/>
      <c r="G618" s="12"/>
      <c r="H618" s="12"/>
      <c r="I618" s="12"/>
      <c r="J618" s="12"/>
      <c r="K618" s="12"/>
      <c r="L618" s="12"/>
      <c r="M618" s="12"/>
      <c r="N618" s="12"/>
      <c r="O618" s="12"/>
      <c r="P618" s="12"/>
      <c r="Q618" s="12"/>
      <c r="R618" s="12"/>
      <c r="S618" s="12"/>
      <c r="T618" s="12"/>
      <c r="U618" s="12"/>
      <c r="V618" s="4"/>
      <c r="W618" s="4"/>
      <c r="X618" s="12"/>
      <c r="Y618" s="12"/>
      <c r="Z618" s="12"/>
      <c r="AA618" s="12"/>
    </row>
    <row r="619" spans="1:27">
      <c r="A619" s="12"/>
      <c r="B619" s="12"/>
      <c r="C619" s="12"/>
      <c r="D619" s="12"/>
      <c r="E619" s="12"/>
      <c r="F619" s="12"/>
      <c r="G619" s="12"/>
      <c r="H619" s="12"/>
      <c r="I619" s="12"/>
      <c r="J619" s="12"/>
      <c r="K619" s="12"/>
      <c r="L619" s="12"/>
      <c r="M619" s="12"/>
      <c r="N619" s="12"/>
      <c r="O619" s="12"/>
      <c r="P619" s="12"/>
      <c r="Q619" s="12"/>
      <c r="R619" s="12"/>
      <c r="S619" s="12"/>
      <c r="T619" s="12"/>
      <c r="U619" s="12"/>
      <c r="V619" s="4"/>
      <c r="W619" s="4"/>
      <c r="X619" s="12"/>
      <c r="Y619" s="12"/>
      <c r="Z619" s="12"/>
      <c r="AA619" s="12"/>
    </row>
    <row r="620" spans="1:27">
      <c r="A620" s="12"/>
      <c r="B620" s="12"/>
      <c r="C620" s="12"/>
      <c r="D620" s="12"/>
      <c r="E620" s="12"/>
      <c r="F620" s="12"/>
      <c r="G620" s="12"/>
      <c r="H620" s="12"/>
      <c r="I620" s="12"/>
      <c r="J620" s="12"/>
      <c r="K620" s="12"/>
      <c r="L620" s="12"/>
      <c r="M620" s="12"/>
      <c r="N620" s="12"/>
      <c r="O620" s="12"/>
      <c r="P620" s="12"/>
      <c r="Q620" s="12"/>
      <c r="R620" s="12"/>
      <c r="S620" s="12"/>
      <c r="T620" s="12"/>
      <c r="U620" s="12"/>
      <c r="V620" s="4"/>
      <c r="W620" s="4"/>
      <c r="X620" s="12"/>
      <c r="Y620" s="12"/>
      <c r="Z620" s="12"/>
      <c r="AA620" s="12"/>
    </row>
    <row r="621" spans="1:27">
      <c r="A621" s="12"/>
      <c r="B621" s="12"/>
      <c r="C621" s="12"/>
      <c r="D621" s="12"/>
      <c r="E621" s="12"/>
      <c r="F621" s="12"/>
      <c r="G621" s="12"/>
      <c r="H621" s="12"/>
      <c r="I621" s="12"/>
      <c r="J621" s="12"/>
      <c r="K621" s="12"/>
      <c r="L621" s="12"/>
      <c r="M621" s="12"/>
      <c r="N621" s="12"/>
      <c r="O621" s="12"/>
      <c r="P621" s="12"/>
      <c r="Q621" s="12"/>
      <c r="R621" s="12"/>
      <c r="S621" s="12"/>
      <c r="T621" s="12"/>
      <c r="U621" s="12"/>
      <c r="V621" s="4"/>
      <c r="W621" s="4"/>
      <c r="X621" s="12"/>
      <c r="Y621" s="12"/>
      <c r="Z621" s="12"/>
      <c r="AA621" s="12"/>
    </row>
    <row r="622" spans="1:27">
      <c r="A622" s="12"/>
      <c r="B622" s="12"/>
      <c r="C622" s="12"/>
      <c r="D622" s="12"/>
      <c r="E622" s="12"/>
      <c r="F622" s="12"/>
      <c r="G622" s="12"/>
      <c r="H622" s="12"/>
      <c r="I622" s="12"/>
      <c r="J622" s="12"/>
      <c r="K622" s="12"/>
      <c r="L622" s="12"/>
      <c r="M622" s="12"/>
      <c r="N622" s="12"/>
      <c r="O622" s="12"/>
      <c r="P622" s="12"/>
      <c r="Q622" s="12"/>
      <c r="R622" s="12"/>
      <c r="S622" s="12"/>
      <c r="T622" s="12"/>
      <c r="U622" s="12"/>
      <c r="V622" s="4"/>
      <c r="W622" s="4"/>
      <c r="X622" s="12"/>
      <c r="Y622" s="12"/>
      <c r="Z622" s="12"/>
      <c r="AA622" s="12"/>
    </row>
    <row r="623" spans="1:27">
      <c r="A623" s="12"/>
      <c r="B623" s="12"/>
      <c r="C623" s="12"/>
      <c r="D623" s="12"/>
      <c r="E623" s="12"/>
      <c r="F623" s="12"/>
      <c r="G623" s="12"/>
      <c r="H623" s="12"/>
      <c r="I623" s="12"/>
      <c r="J623" s="12"/>
      <c r="K623" s="12"/>
      <c r="L623" s="12"/>
      <c r="M623" s="12"/>
      <c r="N623" s="12"/>
      <c r="O623" s="12"/>
      <c r="P623" s="12"/>
      <c r="Q623" s="12"/>
      <c r="R623" s="12"/>
      <c r="S623" s="12"/>
      <c r="T623" s="12"/>
      <c r="U623" s="12"/>
      <c r="V623" s="4"/>
      <c r="W623" s="4"/>
      <c r="X623" s="12"/>
      <c r="Y623" s="12"/>
      <c r="Z623" s="12"/>
      <c r="AA623" s="12"/>
    </row>
    <row r="624" spans="1:27">
      <c r="A624" s="12"/>
      <c r="B624" s="12"/>
      <c r="C624" s="12"/>
      <c r="D624" s="12"/>
      <c r="E624" s="12"/>
      <c r="F624" s="12"/>
      <c r="G624" s="12"/>
      <c r="H624" s="12"/>
      <c r="I624" s="12"/>
      <c r="J624" s="12"/>
      <c r="K624" s="12"/>
      <c r="L624" s="12"/>
      <c r="M624" s="12"/>
      <c r="N624" s="12"/>
      <c r="O624" s="12"/>
      <c r="P624" s="12"/>
      <c r="Q624" s="12"/>
      <c r="R624" s="12"/>
      <c r="S624" s="12"/>
      <c r="T624" s="12"/>
      <c r="U624" s="12"/>
      <c r="V624" s="4"/>
      <c r="W624" s="4"/>
      <c r="X624" s="12"/>
      <c r="Y624" s="12"/>
      <c r="Z624" s="12"/>
      <c r="AA624" s="12"/>
    </row>
    <row r="625" spans="1:27">
      <c r="A625" s="12"/>
      <c r="B625" s="12"/>
      <c r="C625" s="12"/>
      <c r="D625" s="12"/>
      <c r="E625" s="12"/>
      <c r="F625" s="12"/>
      <c r="G625" s="12"/>
      <c r="H625" s="12"/>
      <c r="I625" s="12"/>
      <c r="J625" s="12"/>
      <c r="K625" s="12"/>
      <c r="L625" s="12"/>
      <c r="M625" s="12"/>
      <c r="N625" s="12"/>
      <c r="O625" s="12"/>
      <c r="P625" s="12"/>
      <c r="Q625" s="12"/>
      <c r="R625" s="12"/>
      <c r="S625" s="12"/>
      <c r="T625" s="12"/>
      <c r="U625" s="12"/>
      <c r="V625" s="4"/>
      <c r="W625" s="4"/>
      <c r="X625" s="12"/>
      <c r="Y625" s="12"/>
      <c r="Z625" s="12"/>
      <c r="AA625" s="12"/>
    </row>
    <row r="626" spans="1:27">
      <c r="A626" s="12"/>
      <c r="B626" s="12"/>
      <c r="C626" s="12"/>
      <c r="D626" s="12"/>
      <c r="E626" s="12"/>
      <c r="F626" s="12"/>
      <c r="G626" s="12"/>
      <c r="H626" s="12"/>
      <c r="I626" s="12"/>
      <c r="J626" s="12"/>
      <c r="K626" s="12"/>
      <c r="L626" s="12"/>
      <c r="M626" s="12"/>
      <c r="N626" s="12"/>
      <c r="O626" s="12"/>
      <c r="P626" s="12"/>
      <c r="Q626" s="12"/>
      <c r="R626" s="12"/>
      <c r="S626" s="12"/>
      <c r="T626" s="12"/>
      <c r="U626" s="12"/>
      <c r="V626" s="4"/>
      <c r="W626" s="4"/>
      <c r="X626" s="12"/>
      <c r="Y626" s="12"/>
      <c r="Z626" s="12"/>
      <c r="AA626" s="12"/>
    </row>
    <row r="627" spans="1:27">
      <c r="A627" s="12"/>
      <c r="B627" s="12"/>
      <c r="C627" s="12"/>
      <c r="D627" s="12"/>
      <c r="E627" s="12"/>
      <c r="F627" s="12"/>
      <c r="G627" s="12"/>
      <c r="H627" s="12"/>
      <c r="I627" s="12"/>
      <c r="J627" s="12"/>
      <c r="K627" s="12"/>
      <c r="L627" s="12"/>
      <c r="M627" s="12"/>
      <c r="N627" s="12"/>
      <c r="O627" s="12"/>
      <c r="P627" s="12"/>
      <c r="Q627" s="12"/>
      <c r="R627" s="12"/>
      <c r="S627" s="12"/>
      <c r="T627" s="12"/>
      <c r="U627" s="12"/>
      <c r="V627" s="4"/>
      <c r="W627" s="4"/>
      <c r="X627" s="12"/>
      <c r="Y627" s="12"/>
      <c r="Z627" s="12"/>
      <c r="AA627" s="12"/>
    </row>
    <row r="628" spans="1:27">
      <c r="A628" s="12"/>
      <c r="B628" s="12"/>
      <c r="C628" s="12"/>
      <c r="D628" s="12"/>
      <c r="E628" s="12"/>
      <c r="F628" s="12"/>
      <c r="G628" s="12"/>
      <c r="H628" s="12"/>
      <c r="I628" s="12"/>
      <c r="J628" s="12"/>
      <c r="K628" s="12"/>
      <c r="L628" s="12"/>
      <c r="M628" s="12"/>
      <c r="N628" s="12"/>
      <c r="O628" s="12"/>
      <c r="P628" s="12"/>
      <c r="Q628" s="12"/>
      <c r="R628" s="12"/>
      <c r="S628" s="12"/>
      <c r="T628" s="12"/>
      <c r="U628" s="12"/>
      <c r="V628" s="4"/>
      <c r="W628" s="4"/>
      <c r="X628" s="12"/>
      <c r="Y628" s="12"/>
      <c r="Z628" s="12"/>
      <c r="AA628" s="12"/>
    </row>
    <row r="629" spans="1:27">
      <c r="A629" s="12"/>
      <c r="B629" s="12"/>
      <c r="C629" s="12"/>
      <c r="D629" s="12"/>
      <c r="E629" s="12"/>
      <c r="F629" s="12"/>
      <c r="G629" s="12"/>
      <c r="H629" s="12"/>
      <c r="I629" s="12"/>
      <c r="J629" s="12"/>
      <c r="K629" s="12"/>
      <c r="L629" s="12"/>
      <c r="M629" s="12"/>
      <c r="N629" s="12"/>
      <c r="O629" s="12"/>
      <c r="P629" s="12"/>
      <c r="Q629" s="12"/>
      <c r="R629" s="12"/>
      <c r="S629" s="12"/>
      <c r="T629" s="12"/>
      <c r="U629" s="12"/>
      <c r="V629" s="4"/>
      <c r="W629" s="4"/>
      <c r="X629" s="12"/>
      <c r="Y629" s="12"/>
      <c r="Z629" s="12"/>
      <c r="AA629" s="12"/>
    </row>
    <row r="630" spans="1:27">
      <c r="A630" s="12"/>
      <c r="B630" s="12"/>
      <c r="C630" s="12"/>
      <c r="D630" s="12"/>
      <c r="E630" s="12"/>
      <c r="F630" s="12"/>
      <c r="G630" s="12"/>
      <c r="H630" s="12"/>
      <c r="I630" s="12"/>
      <c r="J630" s="12"/>
      <c r="K630" s="12"/>
      <c r="L630" s="12"/>
      <c r="M630" s="12"/>
      <c r="N630" s="12"/>
      <c r="O630" s="12"/>
      <c r="P630" s="12"/>
      <c r="Q630" s="12"/>
      <c r="R630" s="12"/>
      <c r="S630" s="12"/>
      <c r="T630" s="12"/>
      <c r="U630" s="12"/>
      <c r="V630" s="4"/>
      <c r="W630" s="4"/>
      <c r="X630" s="12"/>
      <c r="Y630" s="12"/>
      <c r="Z630" s="12"/>
      <c r="AA630" s="12"/>
    </row>
    <row r="631" spans="1:27">
      <c r="A631" s="12"/>
      <c r="B631" s="12"/>
      <c r="C631" s="12"/>
      <c r="D631" s="12"/>
      <c r="E631" s="12"/>
      <c r="F631" s="12"/>
      <c r="G631" s="12"/>
      <c r="H631" s="12"/>
      <c r="I631" s="12"/>
      <c r="J631" s="12"/>
      <c r="K631" s="12"/>
      <c r="L631" s="12"/>
      <c r="M631" s="12"/>
      <c r="N631" s="12"/>
      <c r="O631" s="12"/>
      <c r="P631" s="12"/>
      <c r="Q631" s="12"/>
      <c r="R631" s="12"/>
      <c r="S631" s="12"/>
      <c r="T631" s="12"/>
      <c r="U631" s="12"/>
      <c r="V631" s="4"/>
      <c r="W631" s="4"/>
      <c r="X631" s="12"/>
      <c r="Y631" s="12"/>
      <c r="Z631" s="12"/>
      <c r="AA631" s="12"/>
    </row>
    <row r="632" spans="1:27">
      <c r="A632" s="12"/>
      <c r="B632" s="12"/>
      <c r="C632" s="12"/>
      <c r="D632" s="12"/>
      <c r="E632" s="12"/>
      <c r="F632" s="12"/>
      <c r="G632" s="12"/>
      <c r="H632" s="12"/>
      <c r="I632" s="12"/>
      <c r="J632" s="12"/>
      <c r="K632" s="12"/>
      <c r="L632" s="12"/>
      <c r="M632" s="12"/>
      <c r="N632" s="12"/>
      <c r="O632" s="12"/>
      <c r="P632" s="12"/>
      <c r="Q632" s="12"/>
      <c r="R632" s="12"/>
      <c r="S632" s="12"/>
      <c r="T632" s="12"/>
      <c r="U632" s="12"/>
      <c r="V632" s="4"/>
      <c r="W632" s="4"/>
      <c r="X632" s="12"/>
      <c r="Y632" s="12"/>
      <c r="Z632" s="12"/>
      <c r="AA632" s="12"/>
    </row>
    <row r="633" spans="1:27">
      <c r="A633" s="12"/>
      <c r="B633" s="12"/>
      <c r="C633" s="12"/>
      <c r="D633" s="12"/>
      <c r="E633" s="12"/>
      <c r="F633" s="12"/>
      <c r="G633" s="12"/>
      <c r="H633" s="12"/>
      <c r="I633" s="12"/>
      <c r="J633" s="12"/>
      <c r="K633" s="12"/>
      <c r="L633" s="12"/>
      <c r="M633" s="12"/>
      <c r="N633" s="12"/>
      <c r="O633" s="12"/>
      <c r="P633" s="12"/>
      <c r="Q633" s="12"/>
      <c r="R633" s="12"/>
      <c r="S633" s="12"/>
      <c r="T633" s="12"/>
      <c r="U633" s="12"/>
      <c r="V633" s="4"/>
      <c r="W633" s="4"/>
      <c r="X633" s="12"/>
      <c r="Y633" s="12"/>
      <c r="Z633" s="12"/>
      <c r="AA633" s="12"/>
    </row>
    <row r="634" spans="1:27">
      <c r="A634" s="12"/>
      <c r="B634" s="12"/>
      <c r="C634" s="12"/>
      <c r="D634" s="12"/>
      <c r="E634" s="12"/>
      <c r="F634" s="12"/>
      <c r="G634" s="12"/>
      <c r="H634" s="12"/>
      <c r="I634" s="12"/>
      <c r="J634" s="12"/>
      <c r="K634" s="12"/>
      <c r="L634" s="12"/>
      <c r="M634" s="12"/>
      <c r="N634" s="12"/>
      <c r="O634" s="12"/>
      <c r="P634" s="12"/>
      <c r="Q634" s="12"/>
      <c r="R634" s="12"/>
      <c r="S634" s="12"/>
      <c r="T634" s="12"/>
      <c r="U634" s="12"/>
      <c r="V634" s="4"/>
      <c r="W634" s="4"/>
      <c r="X634" s="12"/>
      <c r="Y634" s="12"/>
      <c r="Z634" s="12"/>
      <c r="AA634" s="12"/>
    </row>
    <row r="635" spans="1:27">
      <c r="A635" s="12"/>
      <c r="B635" s="12"/>
      <c r="C635" s="12"/>
      <c r="D635" s="12"/>
      <c r="E635" s="12"/>
      <c r="F635" s="12"/>
      <c r="G635" s="12"/>
      <c r="H635" s="12"/>
      <c r="I635" s="12"/>
      <c r="J635" s="12"/>
      <c r="K635" s="12"/>
      <c r="L635" s="12"/>
      <c r="M635" s="12"/>
      <c r="N635" s="12"/>
      <c r="O635" s="12"/>
      <c r="P635" s="12"/>
      <c r="Q635" s="12"/>
      <c r="R635" s="12"/>
      <c r="S635" s="12"/>
      <c r="T635" s="12"/>
      <c r="U635" s="12"/>
      <c r="V635" s="4"/>
      <c r="W635" s="4"/>
      <c r="X635" s="12"/>
      <c r="Y635" s="12"/>
      <c r="Z635" s="12"/>
      <c r="AA635" s="12"/>
    </row>
    <row r="636" spans="1:27">
      <c r="A636" s="12"/>
      <c r="B636" s="12"/>
      <c r="C636" s="12"/>
      <c r="D636" s="12"/>
      <c r="E636" s="12"/>
      <c r="F636" s="12"/>
      <c r="G636" s="12"/>
      <c r="H636" s="12"/>
      <c r="I636" s="12"/>
      <c r="J636" s="12"/>
      <c r="K636" s="12"/>
      <c r="L636" s="12"/>
      <c r="M636" s="12"/>
      <c r="N636" s="12"/>
      <c r="O636" s="12"/>
      <c r="P636" s="12"/>
      <c r="Q636" s="12"/>
      <c r="R636" s="12"/>
      <c r="S636" s="12"/>
      <c r="T636" s="12"/>
      <c r="U636" s="12"/>
      <c r="V636" s="4"/>
      <c r="W636" s="4"/>
      <c r="X636" s="12"/>
      <c r="Y636" s="12"/>
      <c r="Z636" s="12"/>
      <c r="AA636" s="12"/>
    </row>
    <row r="637" spans="1:27">
      <c r="A637" s="12"/>
      <c r="B637" s="12"/>
      <c r="C637" s="12"/>
      <c r="D637" s="12"/>
      <c r="E637" s="12"/>
      <c r="F637" s="12"/>
      <c r="G637" s="12"/>
      <c r="H637" s="12"/>
      <c r="I637" s="12"/>
      <c r="J637" s="12"/>
      <c r="K637" s="12"/>
      <c r="L637" s="12"/>
      <c r="M637" s="12"/>
      <c r="N637" s="12"/>
      <c r="O637" s="12"/>
      <c r="P637" s="12"/>
      <c r="Q637" s="12"/>
      <c r="R637" s="12"/>
      <c r="S637" s="12"/>
      <c r="T637" s="12"/>
      <c r="U637" s="12"/>
      <c r="V637" s="4"/>
      <c r="W637" s="4"/>
      <c r="X637" s="12"/>
      <c r="Y637" s="12"/>
      <c r="Z637" s="12"/>
      <c r="AA637" s="12"/>
    </row>
    <row r="638" spans="1:27">
      <c r="A638" s="12"/>
      <c r="B638" s="12"/>
      <c r="C638" s="12"/>
      <c r="D638" s="12"/>
      <c r="E638" s="12"/>
      <c r="F638" s="12"/>
      <c r="G638" s="12"/>
      <c r="H638" s="12"/>
      <c r="I638" s="12"/>
      <c r="J638" s="12"/>
      <c r="K638" s="12"/>
      <c r="L638" s="12"/>
      <c r="M638" s="12"/>
      <c r="N638" s="12"/>
      <c r="O638" s="12"/>
      <c r="P638" s="12"/>
      <c r="Q638" s="12"/>
      <c r="R638" s="12"/>
      <c r="S638" s="12"/>
      <c r="T638" s="12"/>
      <c r="U638" s="12"/>
      <c r="V638" s="4"/>
      <c r="W638" s="4"/>
      <c r="X638" s="12"/>
      <c r="Y638" s="12"/>
      <c r="Z638" s="12"/>
      <c r="AA638" s="12"/>
    </row>
    <row r="639" spans="1:27">
      <c r="A639" s="12"/>
      <c r="B639" s="12"/>
      <c r="C639" s="12"/>
      <c r="D639" s="12"/>
      <c r="E639" s="12"/>
      <c r="F639" s="12"/>
      <c r="G639" s="12"/>
      <c r="H639" s="12"/>
      <c r="I639" s="12"/>
      <c r="J639" s="12"/>
      <c r="K639" s="12"/>
      <c r="L639" s="12"/>
      <c r="M639" s="12"/>
      <c r="N639" s="12"/>
      <c r="O639" s="12"/>
      <c r="P639" s="12"/>
      <c r="Q639" s="12"/>
      <c r="R639" s="12"/>
      <c r="S639" s="12"/>
      <c r="T639" s="12"/>
      <c r="U639" s="12"/>
      <c r="V639" s="4"/>
      <c r="W639" s="4"/>
      <c r="X639" s="12"/>
      <c r="Y639" s="12"/>
      <c r="Z639" s="12"/>
      <c r="AA639" s="12"/>
    </row>
    <row r="640" spans="1:27">
      <c r="A640" s="12"/>
      <c r="B640" s="12"/>
      <c r="C640" s="12"/>
      <c r="D640" s="12"/>
      <c r="E640" s="12"/>
      <c r="F640" s="12"/>
      <c r="G640" s="12"/>
      <c r="H640" s="12"/>
      <c r="I640" s="12"/>
      <c r="J640" s="12"/>
      <c r="K640" s="12"/>
      <c r="L640" s="12"/>
      <c r="M640" s="12"/>
      <c r="N640" s="12"/>
      <c r="O640" s="12"/>
      <c r="P640" s="12"/>
      <c r="Q640" s="12"/>
      <c r="R640" s="12"/>
      <c r="S640" s="12"/>
      <c r="T640" s="12"/>
      <c r="U640" s="12"/>
      <c r="V640" s="4"/>
      <c r="W640" s="4"/>
      <c r="X640" s="12"/>
      <c r="Y640" s="12"/>
      <c r="Z640" s="12"/>
      <c r="AA640" s="12"/>
    </row>
    <row r="641" spans="1:27">
      <c r="A641" s="12"/>
      <c r="B641" s="12"/>
      <c r="C641" s="12"/>
      <c r="D641" s="12"/>
      <c r="E641" s="12"/>
      <c r="F641" s="12"/>
      <c r="G641" s="12"/>
      <c r="H641" s="12"/>
      <c r="I641" s="12"/>
      <c r="J641" s="12"/>
      <c r="K641" s="12"/>
      <c r="L641" s="12"/>
      <c r="M641" s="12"/>
      <c r="N641" s="12"/>
      <c r="O641" s="12"/>
      <c r="P641" s="12"/>
      <c r="Q641" s="12"/>
      <c r="R641" s="12"/>
      <c r="S641" s="12"/>
      <c r="T641" s="12"/>
      <c r="U641" s="12"/>
      <c r="V641" s="4"/>
      <c r="W641" s="4"/>
      <c r="X641" s="12"/>
      <c r="Y641" s="12"/>
      <c r="Z641" s="12"/>
      <c r="AA641" s="12"/>
    </row>
    <row r="642" spans="1:27">
      <c r="A642" s="12"/>
      <c r="B642" s="12"/>
      <c r="C642" s="12"/>
      <c r="D642" s="12"/>
      <c r="E642" s="12"/>
      <c r="F642" s="12"/>
      <c r="G642" s="12"/>
      <c r="H642" s="12"/>
      <c r="I642" s="12"/>
      <c r="J642" s="12"/>
      <c r="K642" s="12"/>
      <c r="L642" s="12"/>
      <c r="M642" s="12"/>
      <c r="N642" s="12"/>
      <c r="O642" s="12"/>
      <c r="P642" s="12"/>
      <c r="Q642" s="12"/>
      <c r="R642" s="12"/>
      <c r="S642" s="12"/>
      <c r="T642" s="12"/>
      <c r="U642" s="12"/>
      <c r="V642" s="4"/>
      <c r="W642" s="4"/>
      <c r="X642" s="12"/>
      <c r="Y642" s="12"/>
      <c r="Z642" s="12"/>
      <c r="AA642" s="12"/>
    </row>
    <row r="643" spans="1:27">
      <c r="A643" s="12"/>
      <c r="B643" s="12"/>
      <c r="C643" s="12"/>
      <c r="D643" s="12"/>
      <c r="E643" s="12"/>
      <c r="F643" s="12"/>
      <c r="G643" s="12"/>
      <c r="H643" s="12"/>
      <c r="I643" s="12"/>
      <c r="J643" s="12"/>
      <c r="K643" s="12"/>
      <c r="L643" s="12"/>
      <c r="M643" s="12"/>
      <c r="N643" s="12"/>
      <c r="O643" s="12"/>
      <c r="P643" s="12"/>
      <c r="Q643" s="12"/>
      <c r="R643" s="12"/>
      <c r="S643" s="12"/>
      <c r="T643" s="12"/>
      <c r="U643" s="12"/>
      <c r="V643" s="4"/>
      <c r="W643" s="4"/>
      <c r="X643" s="12"/>
      <c r="Y643" s="12"/>
      <c r="Z643" s="12"/>
      <c r="AA643" s="12"/>
    </row>
    <row r="644" spans="1:27">
      <c r="A644" s="12"/>
      <c r="B644" s="12"/>
      <c r="C644" s="12"/>
      <c r="D644" s="12"/>
      <c r="E644" s="12"/>
      <c r="F644" s="12"/>
      <c r="G644" s="12"/>
      <c r="H644" s="12"/>
      <c r="I644" s="12"/>
      <c r="J644" s="12"/>
      <c r="K644" s="12"/>
      <c r="L644" s="12"/>
      <c r="M644" s="12"/>
      <c r="N644" s="12"/>
      <c r="O644" s="12"/>
      <c r="P644" s="12"/>
      <c r="Q644" s="12"/>
      <c r="R644" s="12"/>
      <c r="S644" s="12"/>
      <c r="T644" s="12"/>
      <c r="U644" s="12"/>
      <c r="V644" s="4"/>
      <c r="W644" s="4"/>
      <c r="X644" s="12"/>
      <c r="Y644" s="12"/>
      <c r="Z644" s="12"/>
      <c r="AA644" s="12"/>
    </row>
    <row r="645" spans="1:27">
      <c r="A645" s="12"/>
      <c r="B645" s="12"/>
      <c r="C645" s="12"/>
      <c r="D645" s="12"/>
      <c r="E645" s="12"/>
      <c r="F645" s="12"/>
      <c r="G645" s="12"/>
      <c r="H645" s="12"/>
      <c r="I645" s="12"/>
      <c r="J645" s="12"/>
      <c r="K645" s="12"/>
      <c r="L645" s="12"/>
      <c r="M645" s="12"/>
      <c r="N645" s="12"/>
      <c r="O645" s="12"/>
      <c r="P645" s="12"/>
      <c r="Q645" s="12"/>
      <c r="R645" s="12"/>
      <c r="S645" s="12"/>
      <c r="T645" s="12"/>
      <c r="U645" s="12"/>
      <c r="V645" s="4"/>
      <c r="W645" s="4"/>
      <c r="X645" s="12"/>
      <c r="Y645" s="12"/>
      <c r="Z645" s="12"/>
      <c r="AA645" s="12"/>
    </row>
    <row r="646" spans="1:27">
      <c r="A646" s="12"/>
      <c r="B646" s="12"/>
      <c r="C646" s="12"/>
      <c r="D646" s="12"/>
      <c r="E646" s="12"/>
      <c r="F646" s="12"/>
      <c r="G646" s="12"/>
      <c r="H646" s="12"/>
      <c r="I646" s="12"/>
      <c r="J646" s="12"/>
      <c r="K646" s="12"/>
      <c r="L646" s="12"/>
      <c r="M646" s="12"/>
      <c r="N646" s="12"/>
      <c r="O646" s="12"/>
      <c r="P646" s="12"/>
      <c r="Q646" s="12"/>
      <c r="R646" s="12"/>
      <c r="S646" s="12"/>
      <c r="T646" s="12"/>
      <c r="U646" s="12"/>
      <c r="V646" s="4"/>
      <c r="W646" s="4"/>
      <c r="X646" s="12"/>
      <c r="Y646" s="12"/>
      <c r="Z646" s="12"/>
      <c r="AA646" s="12"/>
    </row>
    <row r="647" spans="1:27">
      <c r="A647" s="12"/>
      <c r="B647" s="12"/>
      <c r="C647" s="12"/>
      <c r="D647" s="12"/>
      <c r="E647" s="12"/>
      <c r="F647" s="12"/>
      <c r="G647" s="12"/>
      <c r="H647" s="12"/>
      <c r="I647" s="12"/>
      <c r="J647" s="12"/>
      <c r="K647" s="12"/>
      <c r="L647" s="12"/>
      <c r="M647" s="12"/>
      <c r="N647" s="12"/>
      <c r="O647" s="12"/>
      <c r="P647" s="12"/>
      <c r="Q647" s="12"/>
      <c r="R647" s="12"/>
      <c r="S647" s="12"/>
      <c r="T647" s="12"/>
      <c r="U647" s="12"/>
      <c r="V647" s="4"/>
      <c r="W647" s="4"/>
      <c r="X647" s="12"/>
      <c r="Y647" s="12"/>
      <c r="Z647" s="12"/>
      <c r="AA647" s="12"/>
    </row>
    <row r="648" spans="1:27">
      <c r="A648" s="12"/>
      <c r="B648" s="12"/>
      <c r="C648" s="12"/>
      <c r="D648" s="12"/>
      <c r="E648" s="12"/>
      <c r="F648" s="12"/>
      <c r="G648" s="12"/>
      <c r="H648" s="12"/>
      <c r="I648" s="12"/>
      <c r="J648" s="12"/>
      <c r="K648" s="12"/>
      <c r="L648" s="12"/>
      <c r="M648" s="12"/>
      <c r="N648" s="12"/>
      <c r="O648" s="12"/>
      <c r="P648" s="12"/>
      <c r="Q648" s="12"/>
      <c r="R648" s="12"/>
      <c r="S648" s="12"/>
      <c r="T648" s="12"/>
      <c r="U648" s="12"/>
      <c r="V648" s="4"/>
      <c r="W648" s="4"/>
      <c r="X648" s="12"/>
      <c r="Y648" s="12"/>
      <c r="Z648" s="12"/>
      <c r="AA648" s="12"/>
    </row>
    <row r="649" spans="1:27">
      <c r="A649" s="12"/>
      <c r="B649" s="12"/>
      <c r="C649" s="12"/>
      <c r="D649" s="12"/>
      <c r="E649" s="12"/>
      <c r="F649" s="12"/>
      <c r="G649" s="12"/>
      <c r="H649" s="12"/>
      <c r="I649" s="12"/>
      <c r="J649" s="12"/>
      <c r="K649" s="12"/>
      <c r="L649" s="12"/>
      <c r="M649" s="12"/>
      <c r="N649" s="12"/>
      <c r="O649" s="12"/>
      <c r="P649" s="12"/>
      <c r="Q649" s="12"/>
      <c r="R649" s="12"/>
      <c r="S649" s="12"/>
      <c r="T649" s="12"/>
      <c r="U649" s="12"/>
      <c r="V649" s="4"/>
      <c r="W649" s="4"/>
      <c r="X649" s="12"/>
      <c r="Y649" s="12"/>
      <c r="Z649" s="12"/>
      <c r="AA649" s="12"/>
    </row>
    <row r="650" spans="1:27">
      <c r="A650" s="12"/>
      <c r="B650" s="12"/>
      <c r="C650" s="12"/>
      <c r="D650" s="12"/>
      <c r="E650" s="12"/>
      <c r="F650" s="12"/>
      <c r="G650" s="12"/>
      <c r="H650" s="12"/>
      <c r="I650" s="12"/>
      <c r="J650" s="12"/>
      <c r="K650" s="12"/>
      <c r="L650" s="12"/>
      <c r="M650" s="12"/>
      <c r="N650" s="12"/>
      <c r="O650" s="12"/>
      <c r="P650" s="12"/>
      <c r="Q650" s="12"/>
      <c r="R650" s="12"/>
      <c r="S650" s="12"/>
      <c r="T650" s="12"/>
      <c r="U650" s="12"/>
      <c r="V650" s="4"/>
      <c r="W650" s="4"/>
      <c r="X650" s="12"/>
      <c r="Y650" s="12"/>
      <c r="Z650" s="12"/>
      <c r="AA650" s="12"/>
    </row>
    <row r="651" spans="1:27">
      <c r="A651" s="12"/>
      <c r="B651" s="12"/>
      <c r="C651" s="12"/>
      <c r="D651" s="12"/>
      <c r="E651" s="12"/>
      <c r="F651" s="12"/>
      <c r="G651" s="12"/>
      <c r="H651" s="12"/>
      <c r="I651" s="12"/>
      <c r="J651" s="12"/>
      <c r="K651" s="12"/>
      <c r="L651" s="12"/>
      <c r="M651" s="12"/>
      <c r="N651" s="12"/>
      <c r="O651" s="12"/>
      <c r="P651" s="12"/>
      <c r="Q651" s="12"/>
      <c r="R651" s="12"/>
      <c r="S651" s="12"/>
      <c r="T651" s="12"/>
      <c r="U651" s="12"/>
      <c r="V651" s="4"/>
      <c r="W651" s="4"/>
      <c r="X651" s="12"/>
      <c r="Y651" s="12"/>
      <c r="Z651" s="12"/>
      <c r="AA651" s="12"/>
    </row>
    <row r="652" spans="1:27">
      <c r="A652" s="12"/>
      <c r="B652" s="12"/>
      <c r="C652" s="12"/>
      <c r="D652" s="12"/>
      <c r="E652" s="12"/>
      <c r="F652" s="12"/>
      <c r="G652" s="12"/>
      <c r="H652" s="12"/>
      <c r="I652" s="12"/>
      <c r="J652" s="12"/>
      <c r="K652" s="12"/>
      <c r="L652" s="12"/>
      <c r="M652" s="12"/>
      <c r="N652" s="12"/>
      <c r="O652" s="12"/>
      <c r="P652" s="12"/>
      <c r="Q652" s="12"/>
      <c r="R652" s="12"/>
      <c r="S652" s="12"/>
      <c r="T652" s="12"/>
      <c r="U652" s="12"/>
      <c r="V652" s="4"/>
      <c r="W652" s="4"/>
      <c r="X652" s="12"/>
      <c r="Y652" s="12"/>
      <c r="Z652" s="12"/>
      <c r="AA652" s="12"/>
    </row>
    <row r="653" spans="1:27">
      <c r="A653" s="12"/>
      <c r="B653" s="12"/>
      <c r="C653" s="12"/>
      <c r="D653" s="12"/>
      <c r="E653" s="12"/>
      <c r="F653" s="12"/>
      <c r="G653" s="12"/>
      <c r="H653" s="12"/>
      <c r="I653" s="12"/>
      <c r="J653" s="12"/>
      <c r="K653" s="12"/>
      <c r="L653" s="12"/>
      <c r="M653" s="12"/>
      <c r="N653" s="12"/>
      <c r="O653" s="12"/>
      <c r="P653" s="12"/>
      <c r="Q653" s="12"/>
      <c r="R653" s="12"/>
      <c r="S653" s="12"/>
      <c r="T653" s="12"/>
      <c r="U653" s="12"/>
      <c r="V653" s="4"/>
      <c r="W653" s="4"/>
      <c r="X653" s="12"/>
      <c r="Y653" s="12"/>
      <c r="Z653" s="12"/>
      <c r="AA653" s="12"/>
    </row>
    <row r="654" spans="1:27">
      <c r="A654" s="12"/>
      <c r="B654" s="12"/>
      <c r="C654" s="12"/>
      <c r="D654" s="12"/>
      <c r="E654" s="12"/>
      <c r="F654" s="12"/>
      <c r="G654" s="12"/>
      <c r="H654" s="12"/>
      <c r="I654" s="12"/>
      <c r="J654" s="12"/>
      <c r="K654" s="12"/>
      <c r="L654" s="12"/>
      <c r="M654" s="12"/>
      <c r="N654" s="12"/>
      <c r="O654" s="12"/>
      <c r="P654" s="12"/>
      <c r="Q654" s="12"/>
      <c r="R654" s="12"/>
      <c r="S654" s="12"/>
      <c r="T654" s="12"/>
      <c r="U654" s="12"/>
      <c r="V654" s="4"/>
      <c r="W654" s="4"/>
      <c r="X654" s="12"/>
      <c r="Y654" s="12"/>
      <c r="Z654" s="12"/>
      <c r="AA654" s="12"/>
    </row>
    <row r="655" spans="1:27">
      <c r="A655" s="12"/>
      <c r="B655" s="12"/>
      <c r="C655" s="12"/>
      <c r="D655" s="12"/>
      <c r="E655" s="12"/>
      <c r="F655" s="12"/>
      <c r="G655" s="12"/>
      <c r="H655" s="12"/>
      <c r="I655" s="12"/>
      <c r="J655" s="12"/>
      <c r="K655" s="12"/>
      <c r="L655" s="12"/>
      <c r="M655" s="12"/>
      <c r="N655" s="12"/>
      <c r="O655" s="12"/>
      <c r="P655" s="12"/>
      <c r="Q655" s="12"/>
      <c r="R655" s="12"/>
      <c r="S655" s="12"/>
      <c r="T655" s="12"/>
      <c r="U655" s="12"/>
      <c r="V655" s="4"/>
      <c r="W655" s="4"/>
      <c r="X655" s="12"/>
      <c r="Y655" s="12"/>
      <c r="Z655" s="12"/>
      <c r="AA655" s="12"/>
    </row>
    <row r="656" spans="1:27">
      <c r="A656" s="12"/>
      <c r="B656" s="12"/>
      <c r="C656" s="12"/>
      <c r="D656" s="12"/>
      <c r="E656" s="12"/>
      <c r="F656" s="12"/>
      <c r="G656" s="12"/>
      <c r="H656" s="12"/>
      <c r="I656" s="12"/>
      <c r="J656" s="12"/>
      <c r="K656" s="12"/>
      <c r="L656" s="12"/>
      <c r="M656" s="12"/>
      <c r="N656" s="12"/>
      <c r="O656" s="12"/>
      <c r="P656" s="12"/>
      <c r="Q656" s="12"/>
      <c r="R656" s="12"/>
      <c r="S656" s="12"/>
      <c r="T656" s="12"/>
      <c r="U656" s="12"/>
      <c r="V656" s="4"/>
      <c r="W656" s="4"/>
      <c r="X656" s="12"/>
      <c r="Y656" s="12"/>
      <c r="Z656" s="12"/>
      <c r="AA656" s="12"/>
    </row>
    <row r="657" spans="1:27">
      <c r="A657" s="12"/>
      <c r="B657" s="12"/>
      <c r="C657" s="12"/>
      <c r="D657" s="12"/>
      <c r="E657" s="12"/>
      <c r="F657" s="12"/>
      <c r="G657" s="12"/>
      <c r="H657" s="12"/>
      <c r="I657" s="12"/>
      <c r="J657" s="12"/>
      <c r="K657" s="12"/>
      <c r="L657" s="12"/>
      <c r="M657" s="12"/>
      <c r="N657" s="12"/>
      <c r="O657" s="12"/>
      <c r="P657" s="12"/>
      <c r="Q657" s="12"/>
      <c r="R657" s="12"/>
      <c r="S657" s="12"/>
      <c r="T657" s="12"/>
      <c r="U657" s="12"/>
      <c r="V657" s="4"/>
      <c r="W657" s="4"/>
      <c r="X657" s="12"/>
      <c r="Y657" s="12"/>
      <c r="Z657" s="12"/>
      <c r="AA657" s="12"/>
    </row>
    <row r="658" spans="1:27">
      <c r="A658" s="12"/>
      <c r="B658" s="12"/>
      <c r="C658" s="12"/>
      <c r="D658" s="12"/>
      <c r="E658" s="12"/>
      <c r="F658" s="12"/>
      <c r="G658" s="12"/>
      <c r="H658" s="12"/>
      <c r="I658" s="12"/>
      <c r="J658" s="12"/>
      <c r="K658" s="12"/>
      <c r="L658" s="12"/>
      <c r="M658" s="12"/>
      <c r="N658" s="12"/>
      <c r="O658" s="12"/>
      <c r="P658" s="12"/>
      <c r="Q658" s="12"/>
      <c r="R658" s="12"/>
      <c r="S658" s="12"/>
      <c r="T658" s="12"/>
      <c r="U658" s="12"/>
      <c r="V658" s="4"/>
      <c r="W658" s="4"/>
      <c r="X658" s="12"/>
      <c r="Y658" s="12"/>
      <c r="Z658" s="12"/>
      <c r="AA658" s="12"/>
    </row>
    <row r="659" spans="1:27">
      <c r="A659" s="12"/>
      <c r="B659" s="12"/>
      <c r="C659" s="12"/>
      <c r="D659" s="12"/>
      <c r="E659" s="12"/>
      <c r="F659" s="12"/>
      <c r="G659" s="12"/>
      <c r="H659" s="12"/>
      <c r="I659" s="12"/>
      <c r="J659" s="12"/>
      <c r="K659" s="12"/>
      <c r="L659" s="12"/>
      <c r="M659" s="12"/>
      <c r="N659" s="12"/>
      <c r="O659" s="12"/>
      <c r="P659" s="12"/>
      <c r="Q659" s="12"/>
      <c r="R659" s="12"/>
      <c r="S659" s="12"/>
      <c r="T659" s="12"/>
      <c r="U659" s="12"/>
      <c r="V659" s="4"/>
      <c r="W659" s="4"/>
      <c r="X659" s="12"/>
      <c r="Y659" s="12"/>
      <c r="Z659" s="12"/>
      <c r="AA659" s="12"/>
    </row>
    <row r="660" spans="1:27">
      <c r="A660" s="12"/>
      <c r="B660" s="12"/>
      <c r="C660" s="12"/>
      <c r="D660" s="12"/>
      <c r="E660" s="12"/>
      <c r="F660" s="12"/>
      <c r="G660" s="12"/>
      <c r="H660" s="12"/>
      <c r="I660" s="12"/>
      <c r="J660" s="12"/>
      <c r="K660" s="12"/>
      <c r="L660" s="12"/>
      <c r="M660" s="12"/>
      <c r="N660" s="12"/>
      <c r="O660" s="12"/>
      <c r="P660" s="12"/>
      <c r="Q660" s="12"/>
      <c r="R660" s="12"/>
      <c r="S660" s="12"/>
      <c r="T660" s="12"/>
      <c r="U660" s="12"/>
      <c r="V660" s="4"/>
      <c r="W660" s="4"/>
      <c r="X660" s="12"/>
      <c r="Y660" s="12"/>
      <c r="Z660" s="12"/>
      <c r="AA660" s="12"/>
    </row>
    <row r="661" spans="1:27">
      <c r="A661" s="12"/>
      <c r="B661" s="12"/>
      <c r="C661" s="12"/>
      <c r="D661" s="12"/>
      <c r="E661" s="12"/>
      <c r="F661" s="12"/>
      <c r="G661" s="12"/>
      <c r="H661" s="12"/>
      <c r="I661" s="12"/>
      <c r="J661" s="12"/>
      <c r="K661" s="12"/>
      <c r="L661" s="12"/>
      <c r="M661" s="12"/>
      <c r="N661" s="12"/>
      <c r="O661" s="12"/>
      <c r="P661" s="12"/>
      <c r="Q661" s="12"/>
      <c r="R661" s="12"/>
      <c r="S661" s="12"/>
      <c r="T661" s="12"/>
      <c r="U661" s="12"/>
      <c r="V661" s="4"/>
      <c r="W661" s="4"/>
      <c r="X661" s="12"/>
      <c r="Y661" s="12"/>
      <c r="Z661" s="12"/>
      <c r="AA661" s="12"/>
    </row>
    <row r="662" spans="1:27">
      <c r="A662" s="12"/>
      <c r="B662" s="12"/>
      <c r="C662" s="12"/>
      <c r="D662" s="12"/>
      <c r="E662" s="12"/>
      <c r="F662" s="12"/>
      <c r="G662" s="12"/>
      <c r="H662" s="12"/>
      <c r="I662" s="12"/>
      <c r="J662" s="12"/>
      <c r="K662" s="12"/>
      <c r="L662" s="12"/>
      <c r="M662" s="12"/>
      <c r="N662" s="12"/>
      <c r="O662" s="12"/>
      <c r="P662" s="12"/>
      <c r="Q662" s="12"/>
      <c r="R662" s="12"/>
      <c r="S662" s="12"/>
      <c r="T662" s="12"/>
      <c r="U662" s="12"/>
      <c r="V662" s="4"/>
      <c r="W662" s="4"/>
      <c r="X662" s="12"/>
      <c r="Y662" s="12"/>
      <c r="Z662" s="12"/>
      <c r="AA662" s="12"/>
    </row>
    <row r="663" spans="1:27">
      <c r="A663" s="12"/>
      <c r="B663" s="12"/>
      <c r="C663" s="12"/>
      <c r="D663" s="12"/>
      <c r="E663" s="12"/>
      <c r="F663" s="12"/>
      <c r="G663" s="12"/>
      <c r="H663" s="12"/>
      <c r="I663" s="12"/>
      <c r="J663" s="12"/>
      <c r="K663" s="12"/>
      <c r="L663" s="12"/>
      <c r="M663" s="12"/>
      <c r="N663" s="12"/>
      <c r="O663" s="12"/>
      <c r="P663" s="12"/>
      <c r="Q663" s="12"/>
      <c r="R663" s="12"/>
      <c r="S663" s="12"/>
      <c r="T663" s="12"/>
      <c r="U663" s="12"/>
      <c r="V663" s="4"/>
      <c r="W663" s="4"/>
      <c r="X663" s="12"/>
      <c r="Y663" s="12"/>
      <c r="Z663" s="12"/>
      <c r="AA663" s="12"/>
    </row>
    <row r="664" spans="1:27">
      <c r="A664" s="12"/>
      <c r="B664" s="12"/>
      <c r="C664" s="12"/>
      <c r="D664" s="12"/>
      <c r="E664" s="12"/>
      <c r="F664" s="12"/>
      <c r="G664" s="12"/>
      <c r="H664" s="12"/>
      <c r="I664" s="12"/>
      <c r="J664" s="12"/>
      <c r="K664" s="12"/>
      <c r="L664" s="12"/>
      <c r="M664" s="12"/>
      <c r="N664" s="12"/>
      <c r="O664" s="12"/>
      <c r="P664" s="12"/>
      <c r="Q664" s="12"/>
      <c r="R664" s="12"/>
      <c r="S664" s="12"/>
      <c r="T664" s="12"/>
      <c r="U664" s="12"/>
      <c r="V664" s="4"/>
      <c r="W664" s="4"/>
      <c r="X664" s="12"/>
      <c r="Y664" s="12"/>
      <c r="Z664" s="12"/>
      <c r="AA664" s="12"/>
    </row>
    <row r="665" spans="1:27">
      <c r="A665" s="12"/>
      <c r="B665" s="12"/>
      <c r="C665" s="12"/>
      <c r="D665" s="12"/>
      <c r="E665" s="12"/>
      <c r="F665" s="12"/>
      <c r="G665" s="12"/>
      <c r="H665" s="12"/>
      <c r="I665" s="12"/>
      <c r="J665" s="12"/>
      <c r="K665" s="12"/>
      <c r="L665" s="12"/>
      <c r="M665" s="12"/>
      <c r="N665" s="12"/>
      <c r="O665" s="12"/>
      <c r="P665" s="12"/>
      <c r="Q665" s="12"/>
      <c r="R665" s="12"/>
      <c r="S665" s="12"/>
      <c r="T665" s="12"/>
      <c r="U665" s="12"/>
      <c r="V665" s="4"/>
      <c r="W665" s="4"/>
      <c r="X665" s="12"/>
      <c r="Y665" s="12"/>
      <c r="Z665" s="12"/>
      <c r="AA665" s="12"/>
    </row>
    <row r="666" spans="1:27">
      <c r="A666" s="12"/>
      <c r="B666" s="12"/>
      <c r="C666" s="12"/>
      <c r="D666" s="12"/>
      <c r="E666" s="12"/>
      <c r="F666" s="12"/>
      <c r="G666" s="12"/>
      <c r="H666" s="12"/>
      <c r="I666" s="12"/>
      <c r="J666" s="12"/>
      <c r="K666" s="12"/>
      <c r="L666" s="12"/>
      <c r="M666" s="12"/>
      <c r="N666" s="12"/>
      <c r="O666" s="12"/>
      <c r="P666" s="12"/>
      <c r="Q666" s="12"/>
      <c r="R666" s="12"/>
      <c r="S666" s="12"/>
      <c r="T666" s="12"/>
      <c r="U666" s="12"/>
      <c r="V666" s="4"/>
      <c r="W666" s="4"/>
      <c r="X666" s="12"/>
      <c r="Y666" s="12"/>
      <c r="Z666" s="12"/>
      <c r="AA666" s="12"/>
    </row>
    <row r="667" spans="1:27">
      <c r="A667" s="12"/>
      <c r="B667" s="12"/>
      <c r="C667" s="12"/>
      <c r="D667" s="12"/>
      <c r="E667" s="12"/>
      <c r="F667" s="12"/>
      <c r="G667" s="12"/>
      <c r="H667" s="12"/>
      <c r="I667" s="12"/>
      <c r="J667" s="12"/>
      <c r="K667" s="12"/>
      <c r="L667" s="12"/>
      <c r="M667" s="12"/>
      <c r="N667" s="12"/>
      <c r="O667" s="12"/>
      <c r="P667" s="12"/>
      <c r="Q667" s="12"/>
      <c r="R667" s="12"/>
      <c r="S667" s="12"/>
      <c r="T667" s="12"/>
      <c r="U667" s="12"/>
      <c r="V667" s="4"/>
      <c r="W667" s="4"/>
      <c r="X667" s="12"/>
      <c r="Y667" s="12"/>
      <c r="Z667" s="12"/>
      <c r="AA667" s="12"/>
    </row>
    <row r="668" spans="1:27">
      <c r="A668" s="12"/>
      <c r="B668" s="12"/>
      <c r="C668" s="12"/>
      <c r="D668" s="12"/>
      <c r="E668" s="12"/>
      <c r="F668" s="12"/>
      <c r="G668" s="12"/>
      <c r="H668" s="12"/>
      <c r="I668" s="12"/>
      <c r="J668" s="12"/>
      <c r="K668" s="12"/>
      <c r="L668" s="12"/>
      <c r="M668" s="12"/>
      <c r="N668" s="12"/>
      <c r="O668" s="12"/>
      <c r="P668" s="12"/>
      <c r="Q668" s="12"/>
      <c r="R668" s="12"/>
      <c r="S668" s="12"/>
      <c r="T668" s="12"/>
      <c r="U668" s="12"/>
      <c r="V668" s="4"/>
      <c r="W668" s="4"/>
      <c r="X668" s="12"/>
      <c r="Y668" s="12"/>
      <c r="Z668" s="12"/>
      <c r="AA668" s="12"/>
    </row>
    <row r="669" spans="1:27">
      <c r="A669" s="12"/>
      <c r="B669" s="12"/>
      <c r="C669" s="12"/>
      <c r="D669" s="12"/>
      <c r="E669" s="12"/>
      <c r="F669" s="12"/>
      <c r="G669" s="12"/>
      <c r="H669" s="12"/>
      <c r="I669" s="12"/>
      <c r="J669" s="12"/>
      <c r="K669" s="12"/>
      <c r="L669" s="12"/>
      <c r="M669" s="12"/>
      <c r="N669" s="12"/>
      <c r="O669" s="12"/>
      <c r="P669" s="12"/>
      <c r="Q669" s="12"/>
      <c r="R669" s="12"/>
      <c r="S669" s="12"/>
      <c r="T669" s="12"/>
      <c r="U669" s="12"/>
      <c r="V669" s="4"/>
      <c r="W669" s="4"/>
      <c r="X669" s="12"/>
      <c r="Y669" s="12"/>
      <c r="Z669" s="12"/>
      <c r="AA669" s="12"/>
    </row>
    <row r="670" spans="1:27">
      <c r="A670" s="12"/>
      <c r="B670" s="12"/>
      <c r="C670" s="12"/>
      <c r="D670" s="12"/>
      <c r="E670" s="12"/>
      <c r="F670" s="12"/>
      <c r="G670" s="12"/>
      <c r="H670" s="12"/>
      <c r="I670" s="12"/>
      <c r="J670" s="12"/>
      <c r="K670" s="12"/>
      <c r="L670" s="12"/>
      <c r="M670" s="12"/>
      <c r="N670" s="12"/>
      <c r="O670" s="12"/>
      <c r="P670" s="12"/>
      <c r="Q670" s="12"/>
      <c r="R670" s="12"/>
      <c r="S670" s="12"/>
      <c r="T670" s="12"/>
      <c r="U670" s="12"/>
      <c r="V670" s="4"/>
      <c r="W670" s="4"/>
      <c r="X670" s="12"/>
      <c r="Y670" s="12"/>
      <c r="Z670" s="12"/>
      <c r="AA670" s="12"/>
    </row>
    <row r="671" spans="1:27">
      <c r="A671" s="12"/>
      <c r="B671" s="12"/>
      <c r="C671" s="12"/>
      <c r="D671" s="12"/>
      <c r="E671" s="12"/>
      <c r="F671" s="12"/>
      <c r="G671" s="12"/>
      <c r="H671" s="12"/>
      <c r="I671" s="12"/>
      <c r="J671" s="12"/>
      <c r="K671" s="12"/>
      <c r="L671" s="12"/>
      <c r="M671" s="12"/>
      <c r="N671" s="12"/>
      <c r="O671" s="12"/>
      <c r="P671" s="12"/>
      <c r="Q671" s="12"/>
      <c r="R671" s="12"/>
      <c r="S671" s="12"/>
      <c r="T671" s="12"/>
      <c r="U671" s="12"/>
      <c r="V671" s="4"/>
      <c r="W671" s="4"/>
      <c r="X671" s="12"/>
      <c r="Y671" s="12"/>
      <c r="Z671" s="12"/>
      <c r="AA671" s="12"/>
    </row>
    <row r="672" spans="1:27">
      <c r="A672" s="12"/>
      <c r="B672" s="12"/>
      <c r="C672" s="12"/>
      <c r="D672" s="12"/>
      <c r="E672" s="12"/>
      <c r="F672" s="12"/>
      <c r="G672" s="12"/>
      <c r="H672" s="12"/>
      <c r="I672" s="12"/>
      <c r="J672" s="12"/>
      <c r="K672" s="12"/>
      <c r="L672" s="12"/>
      <c r="M672" s="12"/>
      <c r="N672" s="12"/>
      <c r="O672" s="12"/>
      <c r="P672" s="12"/>
      <c r="Q672" s="12"/>
      <c r="R672" s="12"/>
      <c r="S672" s="12"/>
      <c r="T672" s="12"/>
      <c r="U672" s="12"/>
      <c r="V672" s="4"/>
      <c r="W672" s="4"/>
      <c r="X672" s="12"/>
      <c r="Y672" s="12"/>
      <c r="Z672" s="12"/>
      <c r="AA672" s="12"/>
    </row>
    <row r="673" spans="1:27">
      <c r="A673" s="12"/>
      <c r="B673" s="12"/>
      <c r="C673" s="12"/>
      <c r="D673" s="12"/>
      <c r="E673" s="12"/>
      <c r="F673" s="12"/>
      <c r="G673" s="12"/>
      <c r="H673" s="12"/>
      <c r="I673" s="12"/>
      <c r="J673" s="12"/>
      <c r="K673" s="12"/>
      <c r="L673" s="12"/>
      <c r="M673" s="12"/>
      <c r="N673" s="12"/>
      <c r="O673" s="12"/>
      <c r="P673" s="12"/>
      <c r="Q673" s="12"/>
      <c r="R673" s="12"/>
      <c r="S673" s="12"/>
      <c r="T673" s="12"/>
      <c r="U673" s="12"/>
      <c r="V673" s="4"/>
      <c r="W673" s="4"/>
      <c r="X673" s="12"/>
      <c r="Y673" s="12"/>
      <c r="Z673" s="12"/>
      <c r="AA673" s="12"/>
    </row>
    <row r="674" spans="1:27">
      <c r="A674" s="12"/>
      <c r="B674" s="12"/>
      <c r="C674" s="12"/>
      <c r="D674" s="12"/>
      <c r="E674" s="12"/>
      <c r="F674" s="12"/>
      <c r="G674" s="12"/>
      <c r="H674" s="12"/>
      <c r="I674" s="12"/>
      <c r="J674" s="12"/>
      <c r="K674" s="12"/>
      <c r="L674" s="12"/>
      <c r="M674" s="12"/>
      <c r="N674" s="12"/>
      <c r="O674" s="12"/>
      <c r="P674" s="12"/>
      <c r="Q674" s="12"/>
      <c r="R674" s="12"/>
      <c r="S674" s="12"/>
      <c r="T674" s="12"/>
      <c r="U674" s="12"/>
      <c r="V674" s="4"/>
      <c r="W674" s="4"/>
      <c r="X674" s="12"/>
      <c r="Y674" s="12"/>
      <c r="Z674" s="12"/>
      <c r="AA674" s="12"/>
    </row>
    <row r="675" spans="1:27">
      <c r="A675" s="12"/>
      <c r="B675" s="12"/>
      <c r="C675" s="12"/>
      <c r="D675" s="12"/>
      <c r="E675" s="12"/>
      <c r="F675" s="12"/>
      <c r="G675" s="12"/>
      <c r="H675" s="12"/>
      <c r="I675" s="12"/>
      <c r="J675" s="12"/>
      <c r="K675" s="12"/>
      <c r="L675" s="12"/>
      <c r="M675" s="12"/>
      <c r="N675" s="12"/>
      <c r="O675" s="12"/>
      <c r="P675" s="12"/>
      <c r="Q675" s="12"/>
      <c r="R675" s="12"/>
      <c r="S675" s="12"/>
      <c r="T675" s="12"/>
      <c r="U675" s="12"/>
      <c r="V675" s="4"/>
      <c r="W675" s="4"/>
      <c r="X675" s="12"/>
      <c r="Y675" s="12"/>
      <c r="Z675" s="12"/>
      <c r="AA675" s="12"/>
    </row>
    <row r="676" spans="1:27">
      <c r="A676" s="12"/>
      <c r="B676" s="12"/>
      <c r="C676" s="12"/>
      <c r="D676" s="12"/>
      <c r="E676" s="12"/>
      <c r="F676" s="12"/>
      <c r="G676" s="12"/>
      <c r="H676" s="12"/>
      <c r="I676" s="12"/>
      <c r="J676" s="12"/>
      <c r="K676" s="12"/>
      <c r="L676" s="12"/>
      <c r="M676" s="12"/>
      <c r="N676" s="12"/>
      <c r="O676" s="12"/>
      <c r="P676" s="12"/>
      <c r="Q676" s="12"/>
      <c r="R676" s="12"/>
      <c r="S676" s="12"/>
      <c r="T676" s="12"/>
      <c r="U676" s="12"/>
      <c r="V676" s="4"/>
      <c r="W676" s="4"/>
      <c r="X676" s="12"/>
      <c r="Y676" s="12"/>
      <c r="Z676" s="12"/>
      <c r="AA676" s="12"/>
    </row>
    <row r="677" spans="1:27">
      <c r="A677" s="12"/>
      <c r="B677" s="12"/>
      <c r="C677" s="12"/>
      <c r="D677" s="12"/>
      <c r="E677" s="12"/>
      <c r="F677" s="12"/>
      <c r="G677" s="12"/>
      <c r="H677" s="12"/>
      <c r="I677" s="12"/>
      <c r="J677" s="12"/>
      <c r="K677" s="12"/>
      <c r="L677" s="12"/>
      <c r="M677" s="12"/>
      <c r="N677" s="12"/>
      <c r="O677" s="12"/>
      <c r="P677" s="12"/>
      <c r="Q677" s="12"/>
      <c r="R677" s="12"/>
      <c r="S677" s="12"/>
      <c r="T677" s="12"/>
      <c r="U677" s="12"/>
      <c r="V677" s="4"/>
      <c r="W677" s="4"/>
      <c r="X677" s="12"/>
      <c r="Y677" s="12"/>
      <c r="Z677" s="12"/>
      <c r="AA677" s="12"/>
    </row>
    <row r="678" spans="1:27">
      <c r="A678" s="12"/>
      <c r="B678" s="12"/>
      <c r="C678" s="12"/>
      <c r="D678" s="12"/>
      <c r="E678" s="12"/>
      <c r="F678" s="12"/>
      <c r="G678" s="12"/>
      <c r="H678" s="12"/>
      <c r="I678" s="12"/>
      <c r="J678" s="12"/>
      <c r="K678" s="12"/>
      <c r="L678" s="12"/>
      <c r="M678" s="12"/>
      <c r="N678" s="12"/>
      <c r="O678" s="12"/>
      <c r="P678" s="12"/>
      <c r="Q678" s="12"/>
      <c r="R678" s="12"/>
      <c r="S678" s="12"/>
      <c r="T678" s="12"/>
      <c r="U678" s="12"/>
      <c r="V678" s="4"/>
      <c r="W678" s="4"/>
      <c r="X678" s="12"/>
      <c r="Y678" s="12"/>
      <c r="Z678" s="12"/>
      <c r="AA678" s="12"/>
    </row>
    <row r="679" spans="1:27">
      <c r="A679" s="12"/>
      <c r="B679" s="12"/>
      <c r="C679" s="12"/>
      <c r="D679" s="12"/>
      <c r="E679" s="12"/>
      <c r="F679" s="12"/>
      <c r="G679" s="12"/>
      <c r="H679" s="12"/>
      <c r="I679" s="12"/>
      <c r="J679" s="12"/>
      <c r="K679" s="12"/>
      <c r="L679" s="12"/>
      <c r="M679" s="12"/>
      <c r="N679" s="12"/>
      <c r="O679" s="12"/>
      <c r="P679" s="12"/>
      <c r="Q679" s="12"/>
      <c r="R679" s="12"/>
      <c r="S679" s="12"/>
      <c r="T679" s="12"/>
      <c r="U679" s="12"/>
      <c r="V679" s="4"/>
      <c r="W679" s="4"/>
      <c r="X679" s="12"/>
      <c r="Y679" s="12"/>
      <c r="Z679" s="12"/>
      <c r="AA679" s="12"/>
    </row>
    <row r="680" spans="1:27">
      <c r="A680" s="12"/>
      <c r="B680" s="12"/>
      <c r="C680" s="12"/>
      <c r="D680" s="12"/>
      <c r="E680" s="12"/>
      <c r="F680" s="12"/>
      <c r="G680" s="12"/>
      <c r="H680" s="12"/>
      <c r="I680" s="12"/>
      <c r="J680" s="12"/>
      <c r="K680" s="12"/>
      <c r="L680" s="12"/>
      <c r="M680" s="12"/>
      <c r="N680" s="12"/>
      <c r="O680" s="12"/>
      <c r="P680" s="12"/>
      <c r="Q680" s="12"/>
      <c r="R680" s="12"/>
      <c r="S680" s="12"/>
      <c r="T680" s="12"/>
      <c r="U680" s="12"/>
      <c r="V680" s="4"/>
      <c r="W680" s="4"/>
      <c r="X680" s="12"/>
      <c r="Y680" s="12"/>
      <c r="Z680" s="12"/>
      <c r="AA680" s="12"/>
    </row>
    <row r="681" spans="1:27">
      <c r="A681" s="12"/>
      <c r="B681" s="12"/>
      <c r="C681" s="12"/>
      <c r="D681" s="12"/>
      <c r="E681" s="12"/>
      <c r="F681" s="12"/>
      <c r="G681" s="12"/>
      <c r="H681" s="12"/>
      <c r="I681" s="12"/>
      <c r="J681" s="12"/>
      <c r="K681" s="12"/>
      <c r="L681" s="12"/>
      <c r="M681" s="12"/>
      <c r="N681" s="12"/>
      <c r="O681" s="12"/>
      <c r="P681" s="12"/>
      <c r="Q681" s="12"/>
      <c r="R681" s="12"/>
      <c r="S681" s="12"/>
      <c r="T681" s="12"/>
      <c r="U681" s="12"/>
      <c r="V681" s="4"/>
      <c r="W681" s="4"/>
      <c r="X681" s="12"/>
      <c r="Y681" s="12"/>
      <c r="Z681" s="12"/>
      <c r="AA681" s="12"/>
    </row>
    <row r="682" spans="1:27">
      <c r="A682" s="12"/>
      <c r="B682" s="12"/>
      <c r="C682" s="12"/>
      <c r="D682" s="12"/>
      <c r="E682" s="12"/>
      <c r="F682" s="12"/>
      <c r="G682" s="12"/>
      <c r="H682" s="12"/>
      <c r="I682" s="12"/>
      <c r="J682" s="12"/>
      <c r="K682" s="12"/>
      <c r="L682" s="12"/>
      <c r="M682" s="12"/>
      <c r="N682" s="12"/>
      <c r="O682" s="12"/>
      <c r="P682" s="12"/>
      <c r="Q682" s="12"/>
      <c r="R682" s="12"/>
      <c r="S682" s="12"/>
      <c r="T682" s="12"/>
      <c r="U682" s="12"/>
      <c r="V682" s="4"/>
      <c r="W682" s="4"/>
      <c r="X682" s="12"/>
      <c r="Y682" s="12"/>
      <c r="Z682" s="12"/>
      <c r="AA682" s="12"/>
    </row>
    <row r="683" spans="1:27">
      <c r="A683" s="12"/>
      <c r="B683" s="12"/>
      <c r="C683" s="12"/>
      <c r="D683" s="12"/>
      <c r="E683" s="12"/>
      <c r="F683" s="12"/>
      <c r="G683" s="12"/>
      <c r="H683" s="12"/>
      <c r="I683" s="12"/>
      <c r="J683" s="12"/>
      <c r="K683" s="12"/>
      <c r="L683" s="12"/>
      <c r="M683" s="12"/>
      <c r="N683" s="12"/>
      <c r="O683" s="12"/>
      <c r="P683" s="12"/>
      <c r="Q683" s="12"/>
      <c r="R683" s="12"/>
      <c r="S683" s="12"/>
      <c r="T683" s="12"/>
      <c r="U683" s="12"/>
      <c r="V683" s="4"/>
      <c r="W683" s="4"/>
      <c r="X683" s="12"/>
      <c r="Y683" s="12"/>
      <c r="Z683" s="12"/>
      <c r="AA683" s="12"/>
    </row>
    <row r="684" spans="1:27">
      <c r="A684" s="12"/>
      <c r="B684" s="12"/>
      <c r="C684" s="12"/>
      <c r="D684" s="12"/>
      <c r="E684" s="12"/>
      <c r="F684" s="12"/>
      <c r="G684" s="12"/>
      <c r="H684" s="12"/>
      <c r="I684" s="12"/>
      <c r="J684" s="12"/>
      <c r="K684" s="12"/>
      <c r="L684" s="12"/>
      <c r="M684" s="12"/>
      <c r="N684" s="12"/>
      <c r="O684" s="12"/>
      <c r="P684" s="12"/>
      <c r="Q684" s="12"/>
      <c r="R684" s="12"/>
      <c r="S684" s="12"/>
      <c r="T684" s="12"/>
      <c r="U684" s="12"/>
      <c r="V684" s="4"/>
      <c r="W684" s="4"/>
      <c r="X684" s="12"/>
      <c r="Y684" s="12"/>
      <c r="Z684" s="12"/>
      <c r="AA684" s="12"/>
    </row>
    <row r="685" spans="1:27">
      <c r="A685" s="12"/>
      <c r="B685" s="12"/>
      <c r="C685" s="12"/>
      <c r="D685" s="12"/>
      <c r="E685" s="12"/>
      <c r="F685" s="12"/>
      <c r="G685" s="12"/>
      <c r="H685" s="12"/>
      <c r="I685" s="12"/>
      <c r="J685" s="12"/>
      <c r="K685" s="12"/>
      <c r="L685" s="12"/>
      <c r="M685" s="12"/>
      <c r="N685" s="12"/>
      <c r="O685" s="12"/>
      <c r="P685" s="12"/>
      <c r="Q685" s="12"/>
      <c r="R685" s="12"/>
      <c r="S685" s="12"/>
      <c r="T685" s="12"/>
      <c r="U685" s="12"/>
      <c r="V685" s="4"/>
      <c r="W685" s="4"/>
      <c r="X685" s="12"/>
      <c r="Y685" s="12"/>
      <c r="Z685" s="12"/>
      <c r="AA685" s="12"/>
    </row>
    <row r="686" spans="1:27">
      <c r="A686" s="12"/>
      <c r="B686" s="12"/>
      <c r="C686" s="12"/>
      <c r="D686" s="12"/>
      <c r="E686" s="12"/>
      <c r="F686" s="12"/>
      <c r="G686" s="12"/>
      <c r="H686" s="12"/>
      <c r="I686" s="12"/>
      <c r="J686" s="12"/>
      <c r="K686" s="12"/>
      <c r="L686" s="12"/>
      <c r="M686" s="12"/>
      <c r="N686" s="12"/>
      <c r="O686" s="12"/>
      <c r="P686" s="12"/>
      <c r="Q686" s="12"/>
      <c r="R686" s="12"/>
      <c r="S686" s="12"/>
      <c r="T686" s="12"/>
      <c r="U686" s="12"/>
      <c r="V686" s="4"/>
      <c r="W686" s="4"/>
      <c r="X686" s="12"/>
      <c r="Y686" s="12"/>
      <c r="Z686" s="12"/>
      <c r="AA686" s="12"/>
    </row>
    <row r="687" spans="1:27">
      <c r="A687" s="12"/>
      <c r="B687" s="12"/>
      <c r="C687" s="12"/>
      <c r="D687" s="12"/>
      <c r="E687" s="12"/>
      <c r="F687" s="12"/>
      <c r="G687" s="12"/>
      <c r="H687" s="12"/>
      <c r="I687" s="12"/>
      <c r="J687" s="12"/>
      <c r="K687" s="12"/>
      <c r="L687" s="12"/>
      <c r="M687" s="12"/>
      <c r="N687" s="12"/>
      <c r="O687" s="12"/>
      <c r="P687" s="12"/>
      <c r="Q687" s="12"/>
      <c r="R687" s="12"/>
      <c r="S687" s="12"/>
      <c r="T687" s="12"/>
      <c r="U687" s="12"/>
      <c r="V687" s="4"/>
      <c r="W687" s="4"/>
      <c r="X687" s="12"/>
      <c r="Y687" s="12"/>
      <c r="Z687" s="12"/>
      <c r="AA687" s="12"/>
    </row>
    <row r="688" spans="1:27">
      <c r="A688" s="12"/>
      <c r="B688" s="12"/>
      <c r="C688" s="12"/>
      <c r="D688" s="12"/>
      <c r="E688" s="12"/>
      <c r="F688" s="12"/>
      <c r="G688" s="12"/>
      <c r="H688" s="12"/>
      <c r="I688" s="12"/>
      <c r="J688" s="12"/>
      <c r="K688" s="12"/>
      <c r="L688" s="12"/>
      <c r="M688" s="12"/>
      <c r="N688" s="12"/>
      <c r="O688" s="12"/>
      <c r="P688" s="12"/>
      <c r="Q688" s="12"/>
      <c r="R688" s="12"/>
      <c r="S688" s="12"/>
      <c r="T688" s="12"/>
      <c r="U688" s="12"/>
      <c r="V688" s="4"/>
      <c r="W688" s="4"/>
      <c r="X688" s="12"/>
      <c r="Y688" s="12"/>
      <c r="Z688" s="12"/>
      <c r="AA688" s="12"/>
    </row>
    <row r="689" spans="1:27">
      <c r="A689" s="12"/>
      <c r="B689" s="12"/>
      <c r="C689" s="12"/>
      <c r="D689" s="12"/>
      <c r="E689" s="12"/>
      <c r="F689" s="12"/>
      <c r="G689" s="12"/>
      <c r="H689" s="12"/>
      <c r="I689" s="12"/>
      <c r="J689" s="12"/>
      <c r="K689" s="12"/>
      <c r="L689" s="12"/>
      <c r="M689" s="12"/>
      <c r="N689" s="12"/>
      <c r="O689" s="12"/>
      <c r="P689" s="12"/>
      <c r="Q689" s="12"/>
      <c r="R689" s="12"/>
      <c r="S689" s="12"/>
      <c r="T689" s="12"/>
      <c r="U689" s="12"/>
      <c r="V689" s="4"/>
      <c r="W689" s="4"/>
      <c r="X689" s="12"/>
      <c r="Y689" s="12"/>
      <c r="Z689" s="12"/>
      <c r="AA689" s="12"/>
    </row>
    <row r="690" spans="1:27">
      <c r="A690" s="12"/>
      <c r="B690" s="12"/>
      <c r="C690" s="12"/>
      <c r="D690" s="12"/>
      <c r="E690" s="12"/>
      <c r="F690" s="12"/>
      <c r="G690" s="12"/>
      <c r="H690" s="12"/>
      <c r="I690" s="12"/>
      <c r="J690" s="12"/>
      <c r="K690" s="12"/>
      <c r="L690" s="12"/>
      <c r="M690" s="12"/>
      <c r="N690" s="12"/>
      <c r="O690" s="12"/>
      <c r="P690" s="12"/>
      <c r="Q690" s="12"/>
      <c r="R690" s="12"/>
      <c r="S690" s="12"/>
      <c r="T690" s="12"/>
      <c r="U690" s="12"/>
      <c r="V690" s="4"/>
      <c r="W690" s="4"/>
      <c r="X690" s="12"/>
      <c r="Y690" s="12"/>
      <c r="Z690" s="12"/>
      <c r="AA690" s="12"/>
    </row>
    <row r="691" spans="1:27">
      <c r="A691" s="12"/>
      <c r="B691" s="12"/>
      <c r="C691" s="12"/>
      <c r="D691" s="12"/>
      <c r="E691" s="12"/>
      <c r="F691" s="12"/>
      <c r="G691" s="12"/>
      <c r="H691" s="12"/>
      <c r="I691" s="12"/>
      <c r="J691" s="12"/>
      <c r="K691" s="12"/>
      <c r="L691" s="12"/>
      <c r="M691" s="12"/>
      <c r="N691" s="12"/>
      <c r="O691" s="12"/>
      <c r="P691" s="12"/>
      <c r="Q691" s="12"/>
      <c r="R691" s="12"/>
      <c r="S691" s="12"/>
      <c r="T691" s="12"/>
      <c r="U691" s="12"/>
      <c r="V691" s="4"/>
      <c r="W691" s="4"/>
      <c r="X691" s="12"/>
      <c r="Y691" s="12"/>
      <c r="Z691" s="12"/>
      <c r="AA691" s="12"/>
    </row>
    <row r="692" spans="1:27">
      <c r="A692" s="12"/>
      <c r="B692" s="12"/>
      <c r="C692" s="12"/>
      <c r="D692" s="12"/>
      <c r="E692" s="12"/>
      <c r="F692" s="12"/>
      <c r="G692" s="12"/>
      <c r="H692" s="12"/>
      <c r="I692" s="12"/>
      <c r="J692" s="12"/>
      <c r="K692" s="12"/>
      <c r="L692" s="12"/>
      <c r="M692" s="12"/>
      <c r="N692" s="12"/>
      <c r="O692" s="12"/>
      <c r="P692" s="12"/>
      <c r="Q692" s="12"/>
      <c r="R692" s="12"/>
      <c r="S692" s="12"/>
      <c r="T692" s="12"/>
      <c r="U692" s="12"/>
      <c r="V692" s="4"/>
      <c r="W692" s="4"/>
      <c r="X692" s="12"/>
      <c r="Y692" s="12"/>
      <c r="Z692" s="12"/>
      <c r="AA692" s="12"/>
    </row>
    <row r="693" spans="1:27">
      <c r="A693" s="12"/>
      <c r="B693" s="12"/>
      <c r="C693" s="12"/>
      <c r="D693" s="12"/>
      <c r="E693" s="12"/>
      <c r="F693" s="12"/>
      <c r="G693" s="12"/>
      <c r="H693" s="12"/>
      <c r="I693" s="12"/>
      <c r="J693" s="12"/>
      <c r="K693" s="12"/>
      <c r="L693" s="12"/>
      <c r="M693" s="12"/>
      <c r="N693" s="12"/>
      <c r="O693" s="12"/>
      <c r="P693" s="12"/>
      <c r="Q693" s="12"/>
      <c r="R693" s="12"/>
      <c r="S693" s="12"/>
      <c r="T693" s="12"/>
      <c r="U693" s="12"/>
      <c r="V693" s="4"/>
      <c r="W693" s="4"/>
      <c r="X693" s="12"/>
      <c r="Y693" s="12"/>
      <c r="Z693" s="12"/>
      <c r="AA693" s="12"/>
    </row>
    <row r="694" spans="1:27">
      <c r="A694" s="12"/>
      <c r="B694" s="12"/>
      <c r="C694" s="12"/>
      <c r="D694" s="12"/>
      <c r="E694" s="12"/>
      <c r="F694" s="12"/>
      <c r="G694" s="12"/>
      <c r="H694" s="12"/>
      <c r="I694" s="12"/>
      <c r="J694" s="12"/>
      <c r="K694" s="12"/>
      <c r="L694" s="12"/>
      <c r="M694" s="12"/>
      <c r="N694" s="12"/>
      <c r="O694" s="12"/>
      <c r="P694" s="12"/>
      <c r="Q694" s="12"/>
      <c r="R694" s="12"/>
      <c r="S694" s="12"/>
      <c r="T694" s="12"/>
      <c r="U694" s="12"/>
      <c r="V694" s="4"/>
      <c r="W694" s="4"/>
      <c r="X694" s="12"/>
      <c r="Y694" s="12"/>
      <c r="Z694" s="12"/>
      <c r="AA694" s="12"/>
    </row>
    <row r="695" spans="1:27">
      <c r="A695" s="12"/>
      <c r="B695" s="12"/>
      <c r="C695" s="12"/>
      <c r="D695" s="12"/>
      <c r="E695" s="12"/>
      <c r="F695" s="12"/>
      <c r="G695" s="12"/>
      <c r="H695" s="12"/>
      <c r="I695" s="12"/>
      <c r="J695" s="12"/>
      <c r="K695" s="12"/>
      <c r="L695" s="12"/>
      <c r="M695" s="12"/>
      <c r="N695" s="12"/>
      <c r="O695" s="12"/>
      <c r="P695" s="12"/>
      <c r="Q695" s="12"/>
      <c r="R695" s="12"/>
      <c r="S695" s="12"/>
      <c r="T695" s="12"/>
      <c r="U695" s="12"/>
      <c r="V695" s="4"/>
      <c r="W695" s="4"/>
      <c r="X695" s="12"/>
      <c r="Y695" s="12"/>
      <c r="Z695" s="12"/>
      <c r="AA695" s="12"/>
    </row>
    <row r="696" spans="1:27">
      <c r="A696" s="12"/>
      <c r="B696" s="12"/>
      <c r="C696" s="12"/>
      <c r="D696" s="12"/>
      <c r="E696" s="12"/>
      <c r="F696" s="12"/>
      <c r="G696" s="12"/>
      <c r="H696" s="12"/>
      <c r="I696" s="12"/>
      <c r="J696" s="12"/>
      <c r="K696" s="12"/>
      <c r="L696" s="12"/>
      <c r="M696" s="12"/>
      <c r="N696" s="12"/>
      <c r="O696" s="12"/>
      <c r="P696" s="12"/>
      <c r="Q696" s="12"/>
      <c r="R696" s="12"/>
      <c r="S696" s="12"/>
      <c r="T696" s="12"/>
      <c r="U696" s="12"/>
      <c r="V696" s="4"/>
      <c r="W696" s="4"/>
      <c r="X696" s="12"/>
      <c r="Y696" s="12"/>
      <c r="Z696" s="12"/>
      <c r="AA696" s="12"/>
    </row>
    <row r="697" spans="1:27">
      <c r="A697" s="12"/>
      <c r="B697" s="12"/>
      <c r="C697" s="12"/>
      <c r="D697" s="12"/>
      <c r="E697" s="12"/>
      <c r="F697" s="12"/>
      <c r="G697" s="12"/>
      <c r="H697" s="12"/>
      <c r="I697" s="12"/>
      <c r="J697" s="12"/>
      <c r="K697" s="12"/>
      <c r="L697" s="12"/>
      <c r="M697" s="12"/>
      <c r="N697" s="12"/>
      <c r="O697" s="12"/>
      <c r="P697" s="12"/>
      <c r="Q697" s="12"/>
      <c r="R697" s="12"/>
      <c r="S697" s="12"/>
      <c r="T697" s="12"/>
      <c r="U697" s="12"/>
      <c r="V697" s="4"/>
      <c r="W697" s="4"/>
      <c r="X697" s="12"/>
      <c r="Y697" s="12"/>
      <c r="Z697" s="12"/>
      <c r="AA697" s="12"/>
    </row>
    <row r="698" spans="1:27">
      <c r="A698" s="12"/>
      <c r="B698" s="12"/>
      <c r="C698" s="12"/>
      <c r="D698" s="12"/>
      <c r="E698" s="12"/>
      <c r="F698" s="12"/>
      <c r="G698" s="12"/>
      <c r="H698" s="12"/>
      <c r="I698" s="12"/>
      <c r="J698" s="12"/>
      <c r="K698" s="12"/>
      <c r="L698" s="12"/>
      <c r="M698" s="12"/>
      <c r="N698" s="12"/>
      <c r="O698" s="12"/>
      <c r="P698" s="12"/>
      <c r="Q698" s="12"/>
      <c r="R698" s="12"/>
      <c r="S698" s="12"/>
      <c r="T698" s="12"/>
      <c r="U698" s="12"/>
      <c r="V698" s="4"/>
      <c r="W698" s="4"/>
      <c r="X698" s="12"/>
      <c r="Y698" s="12"/>
      <c r="Z698" s="12"/>
      <c r="AA698" s="12"/>
    </row>
    <row r="699" spans="1:27">
      <c r="A699" s="12"/>
      <c r="B699" s="12"/>
      <c r="C699" s="12"/>
      <c r="D699" s="12"/>
      <c r="E699" s="12"/>
      <c r="F699" s="12"/>
      <c r="G699" s="12"/>
      <c r="H699" s="12"/>
      <c r="I699" s="12"/>
      <c r="J699" s="12"/>
      <c r="K699" s="12"/>
      <c r="L699" s="12"/>
      <c r="M699" s="12"/>
      <c r="N699" s="12"/>
      <c r="O699" s="12"/>
      <c r="P699" s="12"/>
      <c r="Q699" s="12"/>
      <c r="R699" s="12"/>
      <c r="S699" s="12"/>
      <c r="T699" s="12"/>
      <c r="U699" s="12"/>
      <c r="V699" s="4"/>
      <c r="W699" s="4"/>
      <c r="X699" s="12"/>
      <c r="Y699" s="12"/>
      <c r="Z699" s="12"/>
      <c r="AA699" s="12"/>
    </row>
    <row r="700" spans="1:27">
      <c r="A700" s="12"/>
      <c r="B700" s="12"/>
      <c r="C700" s="12"/>
      <c r="D700" s="12"/>
      <c r="E700" s="12"/>
      <c r="F700" s="12"/>
      <c r="G700" s="12"/>
      <c r="H700" s="12"/>
      <c r="I700" s="12"/>
      <c r="J700" s="12"/>
      <c r="K700" s="12"/>
      <c r="L700" s="12"/>
      <c r="M700" s="12"/>
      <c r="N700" s="12"/>
      <c r="O700" s="12"/>
      <c r="P700" s="12"/>
      <c r="Q700" s="12"/>
      <c r="R700" s="12"/>
      <c r="S700" s="12"/>
      <c r="T700" s="12"/>
      <c r="U700" s="12"/>
      <c r="V700" s="4"/>
      <c r="W700" s="4"/>
      <c r="X700" s="12"/>
      <c r="Y700" s="12"/>
      <c r="Z700" s="12"/>
      <c r="AA700" s="12"/>
    </row>
    <row r="701" spans="1:27">
      <c r="A701" s="12"/>
      <c r="B701" s="12"/>
      <c r="C701" s="12"/>
      <c r="D701" s="12"/>
      <c r="E701" s="12"/>
      <c r="F701" s="12"/>
      <c r="G701" s="12"/>
      <c r="H701" s="12"/>
      <c r="I701" s="12"/>
      <c r="J701" s="12"/>
      <c r="K701" s="12"/>
      <c r="L701" s="12"/>
      <c r="M701" s="12"/>
      <c r="N701" s="12"/>
      <c r="O701" s="12"/>
      <c r="P701" s="12"/>
      <c r="Q701" s="12"/>
      <c r="R701" s="12"/>
      <c r="S701" s="12"/>
      <c r="T701" s="12"/>
      <c r="U701" s="12"/>
      <c r="V701" s="4"/>
      <c r="W701" s="4"/>
      <c r="X701" s="12"/>
      <c r="Y701" s="12"/>
      <c r="Z701" s="12"/>
      <c r="AA701" s="12"/>
    </row>
    <row r="702" spans="1:27">
      <c r="A702" s="12"/>
      <c r="B702" s="12"/>
      <c r="C702" s="12"/>
      <c r="D702" s="12"/>
      <c r="E702" s="12"/>
      <c r="F702" s="12"/>
      <c r="G702" s="12"/>
      <c r="H702" s="12"/>
      <c r="I702" s="12"/>
      <c r="J702" s="12"/>
      <c r="K702" s="12"/>
      <c r="L702" s="12"/>
      <c r="M702" s="12"/>
      <c r="N702" s="12"/>
      <c r="O702" s="12"/>
      <c r="P702" s="12"/>
      <c r="Q702" s="12"/>
      <c r="R702" s="12"/>
      <c r="S702" s="12"/>
      <c r="T702" s="12"/>
      <c r="U702" s="12"/>
      <c r="V702" s="4"/>
      <c r="W702" s="4"/>
      <c r="X702" s="12"/>
      <c r="Y702" s="12"/>
      <c r="Z702" s="12"/>
      <c r="AA702" s="12"/>
    </row>
    <row r="703" spans="1:27">
      <c r="A703" s="12"/>
      <c r="B703" s="12"/>
      <c r="C703" s="12"/>
      <c r="D703" s="12"/>
      <c r="E703" s="12"/>
      <c r="F703" s="12"/>
      <c r="G703" s="12"/>
      <c r="H703" s="12"/>
      <c r="I703" s="12"/>
      <c r="J703" s="12"/>
      <c r="K703" s="12"/>
      <c r="L703" s="12"/>
      <c r="M703" s="12"/>
      <c r="N703" s="12"/>
      <c r="O703" s="12"/>
      <c r="P703" s="12"/>
      <c r="Q703" s="12"/>
      <c r="R703" s="12"/>
      <c r="S703" s="12"/>
      <c r="T703" s="12"/>
      <c r="U703" s="12"/>
      <c r="V703" s="4"/>
      <c r="W703" s="4"/>
      <c r="X703" s="12"/>
      <c r="Y703" s="12"/>
      <c r="Z703" s="12"/>
      <c r="AA703" s="12"/>
    </row>
    <row r="704" spans="1:27">
      <c r="A704" s="12"/>
      <c r="B704" s="12"/>
      <c r="C704" s="12"/>
      <c r="D704" s="12"/>
      <c r="E704" s="12"/>
      <c r="F704" s="12"/>
      <c r="G704" s="12"/>
      <c r="H704" s="12"/>
      <c r="I704" s="12"/>
      <c r="J704" s="12"/>
      <c r="K704" s="12"/>
      <c r="L704" s="12"/>
      <c r="M704" s="12"/>
      <c r="N704" s="12"/>
      <c r="O704" s="12"/>
      <c r="P704" s="12"/>
      <c r="Q704" s="12"/>
      <c r="R704" s="12"/>
      <c r="S704" s="12"/>
      <c r="T704" s="12"/>
      <c r="U704" s="12"/>
      <c r="V704" s="4"/>
      <c r="W704" s="4"/>
      <c r="X704" s="12"/>
      <c r="Y704" s="12"/>
      <c r="Z704" s="12"/>
      <c r="AA704" s="12"/>
    </row>
    <row r="705" spans="1:27">
      <c r="A705" s="12"/>
      <c r="B705" s="12"/>
      <c r="C705" s="12"/>
      <c r="D705" s="12"/>
      <c r="E705" s="12"/>
      <c r="F705" s="12"/>
      <c r="G705" s="12"/>
      <c r="H705" s="12"/>
      <c r="I705" s="12"/>
      <c r="J705" s="12"/>
      <c r="K705" s="12"/>
      <c r="L705" s="12"/>
      <c r="M705" s="12"/>
      <c r="N705" s="12"/>
      <c r="O705" s="12"/>
      <c r="P705" s="12"/>
      <c r="Q705" s="12"/>
      <c r="R705" s="12"/>
      <c r="S705" s="12"/>
      <c r="T705" s="12"/>
      <c r="U705" s="12"/>
      <c r="V705" s="4"/>
      <c r="W705" s="4"/>
      <c r="X705" s="12"/>
      <c r="Y705" s="12"/>
      <c r="Z705" s="12"/>
      <c r="AA705" s="12"/>
    </row>
    <row r="706" spans="1:27">
      <c r="A706" s="12"/>
      <c r="B706" s="12"/>
      <c r="C706" s="12"/>
      <c r="D706" s="12"/>
      <c r="E706" s="12"/>
      <c r="F706" s="12"/>
      <c r="G706" s="12"/>
      <c r="H706" s="12"/>
      <c r="I706" s="12"/>
      <c r="J706" s="12"/>
      <c r="K706" s="12"/>
      <c r="L706" s="12"/>
      <c r="M706" s="12"/>
      <c r="N706" s="12"/>
      <c r="O706" s="12"/>
      <c r="P706" s="12"/>
      <c r="Q706" s="12"/>
      <c r="R706" s="12"/>
      <c r="S706" s="12"/>
      <c r="T706" s="12"/>
      <c r="U706" s="12"/>
      <c r="V706" s="4"/>
      <c r="W706" s="4"/>
      <c r="X706" s="12"/>
      <c r="Y706" s="12"/>
      <c r="Z706" s="12"/>
      <c r="AA706" s="12"/>
    </row>
    <row r="707" spans="1:27">
      <c r="A707" s="12"/>
      <c r="B707" s="12"/>
      <c r="C707" s="12"/>
      <c r="D707" s="12"/>
      <c r="E707" s="12"/>
      <c r="F707" s="12"/>
      <c r="G707" s="12"/>
      <c r="H707" s="12"/>
      <c r="I707" s="12"/>
      <c r="J707" s="12"/>
      <c r="K707" s="12"/>
      <c r="L707" s="12"/>
      <c r="M707" s="12"/>
      <c r="N707" s="12"/>
      <c r="O707" s="12"/>
      <c r="P707" s="12"/>
      <c r="Q707" s="12"/>
      <c r="R707" s="12"/>
      <c r="S707" s="12"/>
      <c r="T707" s="12"/>
      <c r="U707" s="12"/>
      <c r="V707" s="4"/>
      <c r="W707" s="4"/>
      <c r="X707" s="12"/>
      <c r="Y707" s="12"/>
      <c r="Z707" s="12"/>
      <c r="AA707" s="12"/>
    </row>
    <row r="708" spans="1:27">
      <c r="A708" s="12"/>
      <c r="B708" s="12"/>
      <c r="C708" s="12"/>
      <c r="D708" s="12"/>
      <c r="E708" s="12"/>
      <c r="F708" s="12"/>
      <c r="G708" s="12"/>
      <c r="H708" s="12"/>
      <c r="I708" s="12"/>
      <c r="J708" s="12"/>
      <c r="K708" s="12"/>
      <c r="L708" s="12"/>
      <c r="M708" s="12"/>
      <c r="N708" s="12"/>
      <c r="O708" s="12"/>
      <c r="P708" s="12"/>
      <c r="Q708" s="12"/>
      <c r="R708" s="12"/>
      <c r="S708" s="12"/>
      <c r="T708" s="12"/>
      <c r="U708" s="12"/>
      <c r="V708" s="4"/>
      <c r="W708" s="4"/>
      <c r="X708" s="12"/>
      <c r="Y708" s="12"/>
      <c r="Z708" s="12"/>
      <c r="AA708" s="12"/>
    </row>
    <row r="709" spans="1:27">
      <c r="A709" s="12"/>
      <c r="B709" s="12"/>
      <c r="C709" s="12"/>
      <c r="D709" s="12"/>
      <c r="E709" s="12"/>
      <c r="F709" s="12"/>
      <c r="G709" s="12"/>
      <c r="H709" s="12"/>
      <c r="I709" s="12"/>
      <c r="J709" s="12"/>
      <c r="K709" s="12"/>
      <c r="L709" s="12"/>
      <c r="M709" s="12"/>
      <c r="N709" s="12"/>
      <c r="O709" s="12"/>
      <c r="P709" s="12"/>
      <c r="Q709" s="12"/>
      <c r="R709" s="12"/>
      <c r="S709" s="12"/>
      <c r="T709" s="12"/>
      <c r="U709" s="12"/>
      <c r="V709" s="4"/>
      <c r="W709" s="4"/>
      <c r="X709" s="12"/>
      <c r="Y709" s="12"/>
      <c r="Z709" s="12"/>
      <c r="AA709" s="12"/>
    </row>
    <row r="710" spans="1:27">
      <c r="A710" s="12"/>
      <c r="B710" s="12"/>
      <c r="C710" s="12"/>
      <c r="D710" s="12"/>
      <c r="E710" s="12"/>
      <c r="F710" s="12"/>
      <c r="G710" s="12"/>
      <c r="H710" s="12"/>
      <c r="I710" s="12"/>
      <c r="J710" s="12"/>
      <c r="K710" s="12"/>
      <c r="L710" s="12"/>
      <c r="M710" s="12"/>
      <c r="N710" s="12"/>
      <c r="O710" s="12"/>
      <c r="P710" s="12"/>
      <c r="Q710" s="12"/>
      <c r="R710" s="12"/>
      <c r="S710" s="12"/>
      <c r="T710" s="12"/>
      <c r="U710" s="12"/>
      <c r="V710" s="4"/>
      <c r="W710" s="4"/>
      <c r="X710" s="12"/>
      <c r="Y710" s="12"/>
      <c r="Z710" s="12"/>
      <c r="AA710" s="12"/>
    </row>
    <row r="711" spans="1:27">
      <c r="A711" s="12"/>
      <c r="B711" s="12"/>
      <c r="C711" s="12"/>
      <c r="D711" s="12"/>
      <c r="E711" s="12"/>
      <c r="F711" s="12"/>
      <c r="G711" s="12"/>
      <c r="H711" s="12"/>
      <c r="I711" s="12"/>
      <c r="J711" s="12"/>
      <c r="K711" s="12"/>
      <c r="L711" s="12"/>
      <c r="M711" s="12"/>
      <c r="N711" s="12"/>
      <c r="O711" s="12"/>
      <c r="P711" s="12"/>
      <c r="Q711" s="12"/>
      <c r="R711" s="12"/>
      <c r="S711" s="12"/>
      <c r="T711" s="12"/>
      <c r="U711" s="12"/>
      <c r="V711" s="4"/>
      <c r="W711" s="4"/>
      <c r="X711" s="12"/>
      <c r="Y711" s="12"/>
      <c r="Z711" s="12"/>
      <c r="AA711" s="12"/>
    </row>
    <row r="712" spans="1:27">
      <c r="A712" s="12"/>
      <c r="B712" s="12"/>
      <c r="C712" s="12"/>
      <c r="D712" s="12"/>
      <c r="E712" s="12"/>
      <c r="F712" s="12"/>
      <c r="G712" s="12"/>
      <c r="H712" s="12"/>
      <c r="I712" s="12"/>
      <c r="J712" s="12"/>
      <c r="K712" s="12"/>
      <c r="L712" s="12"/>
      <c r="M712" s="12"/>
      <c r="N712" s="12"/>
      <c r="O712" s="12"/>
      <c r="P712" s="12"/>
      <c r="Q712" s="12"/>
      <c r="R712" s="12"/>
      <c r="S712" s="12"/>
      <c r="T712" s="12"/>
      <c r="U712" s="12"/>
      <c r="V712" s="4"/>
      <c r="W712" s="4"/>
      <c r="X712" s="12"/>
      <c r="Y712" s="12"/>
      <c r="Z712" s="12"/>
      <c r="AA712" s="12"/>
    </row>
    <row r="713" spans="1:27">
      <c r="A713" s="12"/>
      <c r="B713" s="12"/>
      <c r="C713" s="12"/>
      <c r="D713" s="12"/>
      <c r="E713" s="12"/>
      <c r="F713" s="12"/>
      <c r="G713" s="12"/>
      <c r="H713" s="12"/>
      <c r="I713" s="12"/>
      <c r="J713" s="12"/>
      <c r="K713" s="12"/>
      <c r="L713" s="12"/>
      <c r="M713" s="12"/>
      <c r="N713" s="12"/>
      <c r="O713" s="12"/>
      <c r="P713" s="12"/>
      <c r="Q713" s="12"/>
      <c r="R713" s="12"/>
      <c r="S713" s="12"/>
      <c r="T713" s="12"/>
      <c r="U713" s="12"/>
      <c r="V713" s="4"/>
      <c r="W713" s="4"/>
      <c r="X713" s="12"/>
      <c r="Y713" s="12"/>
      <c r="Z713" s="12"/>
      <c r="AA713" s="12"/>
    </row>
    <row r="714" spans="1:27">
      <c r="A714" s="12"/>
      <c r="B714" s="12"/>
      <c r="C714" s="12"/>
      <c r="D714" s="12"/>
      <c r="E714" s="12"/>
      <c r="F714" s="12"/>
      <c r="G714" s="12"/>
      <c r="H714" s="12"/>
      <c r="I714" s="12"/>
      <c r="J714" s="12"/>
      <c r="K714" s="12"/>
      <c r="L714" s="12"/>
      <c r="M714" s="12"/>
      <c r="N714" s="12"/>
      <c r="O714" s="12"/>
      <c r="P714" s="12"/>
      <c r="Q714" s="12"/>
      <c r="R714" s="12"/>
      <c r="S714" s="12"/>
      <c r="T714" s="12"/>
      <c r="U714" s="12"/>
      <c r="V714" s="4"/>
      <c r="W714" s="4"/>
      <c r="X714" s="12"/>
      <c r="Y714" s="12"/>
      <c r="Z714" s="12"/>
      <c r="AA714" s="12"/>
    </row>
    <row r="715" spans="1:27">
      <c r="A715" s="12"/>
      <c r="B715" s="12"/>
      <c r="C715" s="12"/>
      <c r="D715" s="12"/>
      <c r="E715" s="12"/>
      <c r="F715" s="12"/>
      <c r="G715" s="12"/>
      <c r="H715" s="12"/>
      <c r="I715" s="12"/>
      <c r="J715" s="12"/>
      <c r="K715" s="12"/>
      <c r="L715" s="12"/>
      <c r="M715" s="12"/>
      <c r="N715" s="12"/>
      <c r="O715" s="12"/>
      <c r="P715" s="12"/>
      <c r="Q715" s="12"/>
      <c r="R715" s="12"/>
      <c r="S715" s="12"/>
      <c r="T715" s="12"/>
      <c r="U715" s="12"/>
      <c r="V715" s="4"/>
      <c r="W715" s="4"/>
      <c r="X715" s="12"/>
      <c r="Y715" s="12"/>
      <c r="Z715" s="12"/>
      <c r="AA715" s="12"/>
    </row>
    <row r="716" spans="1:27">
      <c r="A716" s="12"/>
      <c r="B716" s="12"/>
      <c r="C716" s="12"/>
      <c r="D716" s="12"/>
      <c r="E716" s="12"/>
      <c r="F716" s="12"/>
      <c r="G716" s="12"/>
      <c r="H716" s="12"/>
      <c r="I716" s="12"/>
      <c r="J716" s="12"/>
      <c r="K716" s="12"/>
      <c r="L716" s="12"/>
      <c r="M716" s="12"/>
      <c r="N716" s="12"/>
      <c r="O716" s="12"/>
      <c r="P716" s="12"/>
      <c r="Q716" s="12"/>
      <c r="R716" s="12"/>
      <c r="S716" s="12"/>
      <c r="T716" s="12"/>
      <c r="U716" s="12"/>
      <c r="V716" s="4"/>
      <c r="W716" s="4"/>
      <c r="X716" s="12"/>
      <c r="Y716" s="12"/>
      <c r="Z716" s="12"/>
      <c r="AA716" s="12"/>
    </row>
    <row r="717" spans="1:27">
      <c r="A717" s="12"/>
      <c r="B717" s="12"/>
      <c r="C717" s="12"/>
      <c r="D717" s="12"/>
      <c r="E717" s="12"/>
      <c r="F717" s="12"/>
      <c r="G717" s="12"/>
      <c r="H717" s="12"/>
      <c r="I717" s="12"/>
      <c r="J717" s="12"/>
      <c r="K717" s="12"/>
      <c r="L717" s="12"/>
      <c r="M717" s="12"/>
      <c r="N717" s="12"/>
      <c r="O717" s="12"/>
      <c r="P717" s="12"/>
      <c r="Q717" s="12"/>
      <c r="R717" s="12"/>
      <c r="S717" s="12"/>
      <c r="T717" s="12"/>
      <c r="U717" s="12"/>
      <c r="V717" s="4"/>
      <c r="W717" s="4"/>
      <c r="X717" s="12"/>
      <c r="Y717" s="12"/>
      <c r="Z717" s="12"/>
      <c r="AA717" s="12"/>
    </row>
    <row r="718" spans="1:27">
      <c r="A718" s="12"/>
      <c r="B718" s="12"/>
      <c r="C718" s="12"/>
      <c r="D718" s="12"/>
      <c r="E718" s="12"/>
      <c r="F718" s="12"/>
      <c r="G718" s="12"/>
      <c r="H718" s="12"/>
      <c r="I718" s="12"/>
      <c r="J718" s="12"/>
      <c r="K718" s="12"/>
      <c r="L718" s="12"/>
      <c r="M718" s="12"/>
      <c r="N718" s="12"/>
      <c r="O718" s="12"/>
      <c r="P718" s="12"/>
      <c r="Q718" s="12"/>
      <c r="R718" s="12"/>
      <c r="S718" s="12"/>
      <c r="T718" s="12"/>
      <c r="U718" s="12"/>
      <c r="V718" s="4"/>
      <c r="W718" s="4"/>
      <c r="X718" s="12"/>
      <c r="Y718" s="12"/>
      <c r="Z718" s="12"/>
      <c r="AA718" s="12"/>
    </row>
    <row r="719" spans="1:27">
      <c r="A719" s="12"/>
      <c r="B719" s="12"/>
      <c r="C719" s="12"/>
      <c r="D719" s="12"/>
      <c r="E719" s="12"/>
      <c r="F719" s="12"/>
      <c r="G719" s="12"/>
      <c r="H719" s="12"/>
      <c r="I719" s="12"/>
      <c r="J719" s="12"/>
      <c r="K719" s="12"/>
      <c r="L719" s="12"/>
      <c r="M719" s="12"/>
      <c r="N719" s="12"/>
      <c r="O719" s="12"/>
      <c r="P719" s="12"/>
      <c r="Q719" s="12"/>
      <c r="R719" s="12"/>
      <c r="S719" s="12"/>
      <c r="T719" s="12"/>
      <c r="U719" s="12"/>
      <c r="V719" s="4"/>
      <c r="W719" s="4"/>
      <c r="X719" s="12"/>
      <c r="Y719" s="12"/>
      <c r="Z719" s="12"/>
      <c r="AA719" s="12"/>
    </row>
    <row r="720" spans="1:27">
      <c r="A720" s="12"/>
      <c r="B720" s="12"/>
      <c r="C720" s="12"/>
      <c r="D720" s="12"/>
      <c r="E720" s="12"/>
      <c r="F720" s="12"/>
      <c r="G720" s="12"/>
      <c r="H720" s="12"/>
      <c r="I720" s="12"/>
      <c r="J720" s="12"/>
      <c r="K720" s="12"/>
      <c r="L720" s="12"/>
      <c r="M720" s="12"/>
      <c r="N720" s="12"/>
      <c r="O720" s="12"/>
      <c r="P720" s="12"/>
      <c r="Q720" s="12"/>
      <c r="R720" s="12"/>
      <c r="S720" s="12"/>
      <c r="T720" s="12"/>
      <c r="U720" s="12"/>
      <c r="V720" s="4"/>
      <c r="W720" s="4"/>
      <c r="X720" s="12"/>
      <c r="Y720" s="12"/>
      <c r="Z720" s="12"/>
      <c r="AA720" s="12"/>
    </row>
    <row r="721" spans="1:27">
      <c r="A721" s="12"/>
      <c r="B721" s="12"/>
      <c r="C721" s="12"/>
      <c r="D721" s="12"/>
      <c r="E721" s="12"/>
      <c r="F721" s="12"/>
      <c r="G721" s="12"/>
      <c r="H721" s="12"/>
      <c r="I721" s="12"/>
      <c r="J721" s="12"/>
      <c r="K721" s="12"/>
      <c r="L721" s="12"/>
      <c r="M721" s="12"/>
      <c r="N721" s="12"/>
      <c r="O721" s="12"/>
      <c r="P721" s="12"/>
      <c r="Q721" s="12"/>
      <c r="R721" s="12"/>
      <c r="S721" s="12"/>
      <c r="T721" s="12"/>
      <c r="U721" s="12"/>
      <c r="V721" s="4"/>
      <c r="W721" s="4"/>
      <c r="X721" s="12"/>
      <c r="Y721" s="12"/>
      <c r="Z721" s="12"/>
      <c r="AA721" s="12"/>
    </row>
    <row r="722" spans="1:27">
      <c r="A722" s="12"/>
      <c r="B722" s="12"/>
      <c r="C722" s="12"/>
      <c r="D722" s="12"/>
      <c r="E722" s="12"/>
      <c r="F722" s="12"/>
      <c r="G722" s="12"/>
      <c r="H722" s="12"/>
      <c r="I722" s="12"/>
      <c r="J722" s="12"/>
      <c r="K722" s="12"/>
      <c r="L722" s="12"/>
      <c r="M722" s="12"/>
      <c r="N722" s="12"/>
      <c r="O722" s="12"/>
      <c r="P722" s="12"/>
      <c r="Q722" s="12"/>
      <c r="R722" s="12"/>
      <c r="S722" s="12"/>
      <c r="T722" s="12"/>
      <c r="U722" s="12"/>
      <c r="V722" s="4"/>
      <c r="W722" s="4"/>
      <c r="X722" s="12"/>
      <c r="Y722" s="12"/>
      <c r="Z722" s="12"/>
      <c r="AA722" s="12"/>
    </row>
    <row r="723" spans="1:27">
      <c r="A723" s="12"/>
      <c r="B723" s="12"/>
      <c r="C723" s="12"/>
      <c r="D723" s="12"/>
      <c r="E723" s="12"/>
      <c r="F723" s="12"/>
      <c r="G723" s="12"/>
      <c r="H723" s="12"/>
      <c r="I723" s="12"/>
      <c r="J723" s="12"/>
      <c r="K723" s="12"/>
      <c r="L723" s="12"/>
      <c r="M723" s="12"/>
      <c r="N723" s="12"/>
      <c r="O723" s="12"/>
      <c r="P723" s="12"/>
      <c r="Q723" s="12"/>
      <c r="R723" s="12"/>
      <c r="S723" s="12"/>
      <c r="T723" s="12"/>
      <c r="U723" s="12"/>
      <c r="V723" s="4"/>
      <c r="W723" s="4"/>
      <c r="X723" s="12"/>
      <c r="Y723" s="12"/>
      <c r="Z723" s="12"/>
      <c r="AA723" s="12"/>
    </row>
    <row r="724" spans="1:27">
      <c r="A724" s="12"/>
      <c r="B724" s="12"/>
      <c r="C724" s="12"/>
      <c r="D724" s="12"/>
      <c r="E724" s="12"/>
      <c r="F724" s="12"/>
      <c r="G724" s="12"/>
      <c r="H724" s="12"/>
      <c r="I724" s="12"/>
      <c r="J724" s="12"/>
      <c r="K724" s="12"/>
      <c r="L724" s="12"/>
      <c r="M724" s="12"/>
      <c r="N724" s="12"/>
      <c r="O724" s="12"/>
      <c r="P724" s="12"/>
      <c r="Q724" s="12"/>
      <c r="R724" s="12"/>
      <c r="S724" s="12"/>
      <c r="T724" s="12"/>
      <c r="U724" s="12"/>
      <c r="V724" s="4"/>
      <c r="W724" s="4"/>
      <c r="X724" s="12"/>
      <c r="Y724" s="12"/>
      <c r="Z724" s="12"/>
      <c r="AA724" s="12"/>
    </row>
    <row r="725" spans="1:27">
      <c r="A725" s="12"/>
      <c r="B725" s="12"/>
      <c r="C725" s="12"/>
      <c r="D725" s="12"/>
      <c r="E725" s="12"/>
      <c r="F725" s="12"/>
      <c r="G725" s="12"/>
      <c r="H725" s="12"/>
      <c r="I725" s="12"/>
      <c r="J725" s="12"/>
      <c r="K725" s="12"/>
      <c r="L725" s="12"/>
      <c r="M725" s="12"/>
      <c r="N725" s="12"/>
      <c r="O725" s="12"/>
      <c r="P725" s="12"/>
      <c r="Q725" s="12"/>
      <c r="R725" s="12"/>
      <c r="S725" s="12"/>
      <c r="T725" s="12"/>
      <c r="U725" s="12"/>
      <c r="V725" s="4"/>
      <c r="W725" s="4"/>
      <c r="X725" s="12"/>
      <c r="Y725" s="12"/>
      <c r="Z725" s="12"/>
      <c r="AA725" s="12"/>
    </row>
    <row r="726" spans="1:27">
      <c r="A726" s="12"/>
      <c r="B726" s="12"/>
      <c r="C726" s="12"/>
      <c r="D726" s="12"/>
      <c r="E726" s="12"/>
      <c r="F726" s="12"/>
      <c r="G726" s="12"/>
      <c r="H726" s="12"/>
      <c r="I726" s="12"/>
      <c r="J726" s="12"/>
      <c r="K726" s="12"/>
      <c r="L726" s="12"/>
      <c r="M726" s="12"/>
      <c r="N726" s="12"/>
      <c r="O726" s="12"/>
      <c r="P726" s="12"/>
      <c r="Q726" s="12"/>
      <c r="R726" s="12"/>
      <c r="S726" s="12"/>
      <c r="T726" s="12"/>
      <c r="U726" s="12"/>
      <c r="V726" s="4"/>
      <c r="W726" s="4"/>
      <c r="X726" s="12"/>
      <c r="Y726" s="12"/>
      <c r="Z726" s="12"/>
      <c r="AA726" s="12"/>
    </row>
    <row r="727" spans="1:27">
      <c r="A727" s="12"/>
      <c r="B727" s="12"/>
      <c r="C727" s="12"/>
      <c r="D727" s="12"/>
      <c r="E727" s="12"/>
      <c r="F727" s="12"/>
      <c r="G727" s="12"/>
      <c r="H727" s="12"/>
      <c r="I727" s="12"/>
      <c r="J727" s="12"/>
      <c r="K727" s="12"/>
      <c r="L727" s="12"/>
      <c r="M727" s="12"/>
      <c r="N727" s="12"/>
      <c r="O727" s="12"/>
      <c r="P727" s="12"/>
      <c r="Q727" s="12"/>
      <c r="R727" s="12"/>
      <c r="S727" s="12"/>
      <c r="T727" s="12"/>
      <c r="U727" s="12"/>
      <c r="V727" s="4"/>
      <c r="W727" s="4"/>
      <c r="X727" s="12"/>
      <c r="Y727" s="12"/>
      <c r="Z727" s="12"/>
      <c r="AA727" s="12"/>
    </row>
    <row r="728" spans="1:27">
      <c r="A728" s="12"/>
      <c r="B728" s="12"/>
      <c r="C728" s="12"/>
      <c r="D728" s="12"/>
      <c r="E728" s="12"/>
      <c r="F728" s="12"/>
      <c r="G728" s="12"/>
      <c r="H728" s="12"/>
      <c r="I728" s="12"/>
      <c r="J728" s="12"/>
      <c r="K728" s="12"/>
      <c r="L728" s="12"/>
      <c r="M728" s="12"/>
      <c r="N728" s="12"/>
      <c r="O728" s="12"/>
      <c r="P728" s="12"/>
      <c r="Q728" s="12"/>
      <c r="R728" s="12"/>
      <c r="S728" s="12"/>
      <c r="T728" s="12"/>
      <c r="U728" s="12"/>
      <c r="V728" s="4"/>
      <c r="W728" s="4"/>
      <c r="X728" s="12"/>
      <c r="Y728" s="12"/>
      <c r="Z728" s="12"/>
      <c r="AA728" s="12"/>
    </row>
    <row r="729" spans="1:27">
      <c r="A729" s="12"/>
      <c r="B729" s="12"/>
      <c r="C729" s="12"/>
      <c r="D729" s="12"/>
      <c r="E729" s="12"/>
      <c r="F729" s="12"/>
      <c r="G729" s="12"/>
      <c r="H729" s="12"/>
      <c r="I729" s="12"/>
      <c r="J729" s="12"/>
      <c r="K729" s="12"/>
      <c r="L729" s="12"/>
      <c r="M729" s="12"/>
      <c r="N729" s="12"/>
      <c r="O729" s="12"/>
      <c r="P729" s="12"/>
      <c r="Q729" s="12"/>
      <c r="R729" s="12"/>
      <c r="S729" s="12"/>
      <c r="T729" s="12"/>
      <c r="U729" s="12"/>
      <c r="V729" s="4"/>
      <c r="W729" s="4"/>
      <c r="X729" s="12"/>
      <c r="Y729" s="12"/>
      <c r="Z729" s="12"/>
      <c r="AA729" s="12"/>
    </row>
    <row r="730" spans="1:27">
      <c r="A730" s="12"/>
      <c r="B730" s="12"/>
      <c r="C730" s="12"/>
      <c r="D730" s="12"/>
      <c r="E730" s="12"/>
      <c r="F730" s="12"/>
      <c r="G730" s="12"/>
      <c r="H730" s="12"/>
      <c r="I730" s="12"/>
      <c r="J730" s="12"/>
      <c r="K730" s="12"/>
      <c r="L730" s="12"/>
      <c r="M730" s="12"/>
      <c r="N730" s="12"/>
      <c r="O730" s="12"/>
      <c r="P730" s="12"/>
      <c r="Q730" s="12"/>
      <c r="R730" s="12"/>
      <c r="S730" s="12"/>
      <c r="T730" s="12"/>
      <c r="U730" s="12"/>
      <c r="V730" s="4"/>
      <c r="W730" s="4"/>
      <c r="X730" s="12"/>
      <c r="Y730" s="12"/>
      <c r="Z730" s="12"/>
      <c r="AA730" s="12"/>
    </row>
    <row r="731" spans="1:27">
      <c r="A731" s="12"/>
      <c r="B731" s="12"/>
      <c r="C731" s="12"/>
      <c r="D731" s="12"/>
      <c r="E731" s="12"/>
      <c r="F731" s="12"/>
      <c r="G731" s="12"/>
      <c r="H731" s="12"/>
      <c r="I731" s="12"/>
      <c r="J731" s="12"/>
      <c r="K731" s="12"/>
      <c r="L731" s="12"/>
      <c r="M731" s="12"/>
      <c r="N731" s="12"/>
      <c r="O731" s="12"/>
      <c r="P731" s="12"/>
      <c r="Q731" s="12"/>
      <c r="R731" s="12"/>
      <c r="S731" s="12"/>
      <c r="T731" s="12"/>
      <c r="U731" s="12"/>
      <c r="V731" s="4"/>
      <c r="W731" s="4"/>
      <c r="X731" s="12"/>
      <c r="Y731" s="12"/>
      <c r="Z731" s="12"/>
      <c r="AA731" s="12"/>
    </row>
    <row r="732" spans="1:27">
      <c r="A732" s="12"/>
      <c r="B732" s="12"/>
      <c r="C732" s="12"/>
      <c r="D732" s="12"/>
      <c r="E732" s="12"/>
      <c r="F732" s="12"/>
      <c r="G732" s="12"/>
      <c r="H732" s="12"/>
      <c r="I732" s="12"/>
      <c r="J732" s="12"/>
      <c r="K732" s="12"/>
      <c r="L732" s="12"/>
      <c r="M732" s="12"/>
      <c r="N732" s="12"/>
      <c r="O732" s="12"/>
      <c r="P732" s="12"/>
      <c r="Q732" s="12"/>
      <c r="R732" s="12"/>
      <c r="S732" s="12"/>
      <c r="T732" s="12"/>
      <c r="U732" s="12"/>
      <c r="V732" s="4"/>
      <c r="W732" s="4"/>
      <c r="X732" s="12"/>
      <c r="Y732" s="12"/>
      <c r="Z732" s="12"/>
      <c r="AA732" s="12"/>
    </row>
    <row r="733" spans="1:27">
      <c r="A733" s="12"/>
      <c r="B733" s="12"/>
      <c r="C733" s="12"/>
      <c r="D733" s="12"/>
      <c r="E733" s="12"/>
      <c r="F733" s="12"/>
      <c r="G733" s="12"/>
      <c r="H733" s="12"/>
      <c r="I733" s="12"/>
      <c r="J733" s="12"/>
      <c r="K733" s="12"/>
      <c r="L733" s="12"/>
      <c r="M733" s="12"/>
      <c r="N733" s="12"/>
      <c r="O733" s="12"/>
      <c r="P733" s="12"/>
      <c r="Q733" s="12"/>
      <c r="R733" s="12"/>
      <c r="S733" s="12"/>
      <c r="T733" s="12"/>
      <c r="U733" s="12"/>
      <c r="V733" s="4"/>
      <c r="W733" s="4"/>
      <c r="X733" s="12"/>
      <c r="Y733" s="12"/>
      <c r="Z733" s="12"/>
      <c r="AA733" s="12"/>
    </row>
    <row r="734" spans="1:27">
      <c r="A734" s="12"/>
      <c r="B734" s="12"/>
      <c r="C734" s="12"/>
      <c r="D734" s="12"/>
      <c r="E734" s="12"/>
      <c r="F734" s="12"/>
      <c r="G734" s="12"/>
      <c r="H734" s="12"/>
      <c r="I734" s="12"/>
      <c r="J734" s="12"/>
      <c r="K734" s="12"/>
      <c r="L734" s="12"/>
      <c r="M734" s="12"/>
      <c r="N734" s="12"/>
      <c r="O734" s="12"/>
      <c r="P734" s="12"/>
      <c r="Q734" s="12"/>
      <c r="R734" s="12"/>
      <c r="S734" s="12"/>
      <c r="T734" s="12"/>
      <c r="U734" s="12"/>
      <c r="V734" s="4"/>
      <c r="W734" s="4"/>
      <c r="X734" s="12"/>
      <c r="Y734" s="12"/>
      <c r="Z734" s="12"/>
      <c r="AA734" s="12"/>
    </row>
    <row r="735" spans="1:27">
      <c r="A735" s="12"/>
      <c r="B735" s="12"/>
      <c r="C735" s="12"/>
      <c r="D735" s="12"/>
      <c r="E735" s="12"/>
      <c r="F735" s="12"/>
      <c r="G735" s="12"/>
      <c r="H735" s="12"/>
      <c r="I735" s="12"/>
      <c r="J735" s="12"/>
      <c r="K735" s="12"/>
      <c r="L735" s="12"/>
      <c r="M735" s="12"/>
      <c r="N735" s="12"/>
      <c r="O735" s="12"/>
      <c r="P735" s="12"/>
      <c r="Q735" s="12"/>
      <c r="R735" s="12"/>
      <c r="S735" s="12"/>
      <c r="T735" s="12"/>
      <c r="U735" s="12"/>
      <c r="V735" s="4"/>
      <c r="W735" s="4"/>
      <c r="X735" s="12"/>
      <c r="Y735" s="12"/>
      <c r="Z735" s="12"/>
      <c r="AA735" s="12"/>
    </row>
    <row r="736" spans="1:27">
      <c r="A736" s="12"/>
      <c r="B736" s="12"/>
      <c r="C736" s="12"/>
      <c r="D736" s="12"/>
      <c r="E736" s="12"/>
      <c r="F736" s="12"/>
      <c r="G736" s="12"/>
      <c r="H736" s="12"/>
      <c r="I736" s="12"/>
      <c r="J736" s="12"/>
      <c r="K736" s="12"/>
      <c r="L736" s="12"/>
      <c r="M736" s="12"/>
      <c r="N736" s="12"/>
      <c r="O736" s="12"/>
      <c r="P736" s="12"/>
      <c r="Q736" s="12"/>
      <c r="R736" s="12"/>
      <c r="S736" s="12"/>
      <c r="T736" s="12"/>
      <c r="U736" s="12"/>
      <c r="V736" s="4"/>
      <c r="W736" s="4"/>
      <c r="X736" s="12"/>
      <c r="Y736" s="12"/>
      <c r="Z736" s="12"/>
      <c r="AA736" s="12"/>
    </row>
    <row r="737" spans="1:27">
      <c r="A737" s="12"/>
      <c r="B737" s="12"/>
      <c r="C737" s="12"/>
      <c r="D737" s="12"/>
      <c r="E737" s="12"/>
      <c r="F737" s="12"/>
      <c r="G737" s="12"/>
      <c r="H737" s="12"/>
      <c r="I737" s="12"/>
      <c r="J737" s="12"/>
      <c r="K737" s="12"/>
      <c r="L737" s="12"/>
      <c r="M737" s="12"/>
      <c r="N737" s="12"/>
      <c r="O737" s="12"/>
      <c r="P737" s="12"/>
      <c r="Q737" s="12"/>
      <c r="R737" s="12"/>
      <c r="S737" s="12"/>
      <c r="T737" s="12"/>
      <c r="U737" s="12"/>
      <c r="V737" s="4"/>
      <c r="W737" s="4"/>
      <c r="X737" s="12"/>
      <c r="Y737" s="12"/>
      <c r="Z737" s="12"/>
      <c r="AA737" s="12"/>
    </row>
    <row r="738" spans="1:27">
      <c r="A738" s="12"/>
      <c r="B738" s="12"/>
      <c r="C738" s="12"/>
      <c r="D738" s="12"/>
      <c r="E738" s="12"/>
      <c r="F738" s="12"/>
      <c r="G738" s="12"/>
      <c r="H738" s="12"/>
      <c r="I738" s="12"/>
      <c r="J738" s="12"/>
      <c r="K738" s="12"/>
      <c r="L738" s="12"/>
      <c r="M738" s="12"/>
      <c r="N738" s="12"/>
      <c r="O738" s="12"/>
      <c r="P738" s="12"/>
      <c r="Q738" s="12"/>
      <c r="R738" s="12"/>
      <c r="S738" s="12"/>
      <c r="T738" s="12"/>
      <c r="U738" s="12"/>
      <c r="V738" s="4"/>
      <c r="W738" s="4"/>
      <c r="X738" s="12"/>
      <c r="Y738" s="12"/>
      <c r="Z738" s="12"/>
      <c r="AA738" s="12"/>
    </row>
    <row r="739" spans="1:27">
      <c r="A739" s="12"/>
      <c r="B739" s="12"/>
      <c r="C739" s="12"/>
      <c r="D739" s="12"/>
      <c r="E739" s="12"/>
      <c r="F739" s="12"/>
      <c r="G739" s="12"/>
      <c r="H739" s="12"/>
      <c r="I739" s="12"/>
      <c r="J739" s="12"/>
      <c r="K739" s="12"/>
      <c r="L739" s="12"/>
      <c r="M739" s="12"/>
      <c r="N739" s="12"/>
      <c r="O739" s="12"/>
      <c r="P739" s="12"/>
      <c r="Q739" s="12"/>
      <c r="R739" s="12"/>
      <c r="S739" s="12"/>
      <c r="T739" s="12"/>
      <c r="U739" s="12"/>
      <c r="V739" s="4"/>
      <c r="W739" s="4"/>
      <c r="X739" s="12"/>
      <c r="Y739" s="12"/>
      <c r="Z739" s="12"/>
      <c r="AA739" s="12"/>
    </row>
    <row r="740" spans="1:27">
      <c r="A740" s="12"/>
      <c r="B740" s="12"/>
      <c r="C740" s="12"/>
      <c r="D740" s="12"/>
      <c r="E740" s="12"/>
      <c r="F740" s="12"/>
      <c r="G740" s="12"/>
      <c r="H740" s="12"/>
      <c r="I740" s="12"/>
      <c r="J740" s="12"/>
      <c r="K740" s="12"/>
      <c r="L740" s="12"/>
      <c r="M740" s="12"/>
      <c r="N740" s="12"/>
      <c r="O740" s="12"/>
      <c r="P740" s="12"/>
      <c r="Q740" s="12"/>
      <c r="R740" s="12"/>
      <c r="S740" s="12"/>
      <c r="T740" s="12"/>
      <c r="U740" s="12"/>
      <c r="V740" s="4"/>
      <c r="W740" s="4"/>
      <c r="X740" s="12"/>
      <c r="Y740" s="12"/>
      <c r="Z740" s="12"/>
      <c r="AA740" s="12"/>
    </row>
    <row r="741" spans="1:27">
      <c r="A741" s="12"/>
      <c r="B741" s="12"/>
      <c r="C741" s="12"/>
      <c r="D741" s="12"/>
      <c r="E741" s="12"/>
      <c r="F741" s="12"/>
      <c r="G741" s="12"/>
      <c r="H741" s="12"/>
      <c r="I741" s="12"/>
      <c r="J741" s="12"/>
      <c r="K741" s="12"/>
      <c r="L741" s="12"/>
      <c r="M741" s="12"/>
      <c r="N741" s="12"/>
      <c r="O741" s="12"/>
      <c r="P741" s="12"/>
      <c r="Q741" s="12"/>
      <c r="R741" s="12"/>
      <c r="S741" s="12"/>
      <c r="T741" s="12"/>
      <c r="U741" s="12"/>
      <c r="V741" s="4"/>
      <c r="W741" s="4"/>
      <c r="X741" s="12"/>
      <c r="Y741" s="12"/>
      <c r="Z741" s="12"/>
      <c r="AA741" s="12"/>
    </row>
    <row r="742" spans="1:27">
      <c r="A742" s="12"/>
      <c r="B742" s="12"/>
      <c r="C742" s="12"/>
      <c r="D742" s="12"/>
      <c r="E742" s="12"/>
      <c r="F742" s="12"/>
      <c r="G742" s="12"/>
      <c r="H742" s="12"/>
      <c r="I742" s="12"/>
      <c r="J742" s="12"/>
      <c r="K742" s="12"/>
      <c r="L742" s="12"/>
      <c r="M742" s="12"/>
      <c r="N742" s="12"/>
      <c r="O742" s="12"/>
      <c r="P742" s="12"/>
      <c r="Q742" s="12"/>
      <c r="R742" s="12"/>
      <c r="S742" s="12"/>
      <c r="T742" s="12"/>
      <c r="U742" s="12"/>
      <c r="V742" s="4"/>
      <c r="W742" s="4"/>
      <c r="X742" s="12"/>
      <c r="Y742" s="12"/>
      <c r="Z742" s="12"/>
      <c r="AA742" s="12"/>
    </row>
    <row r="743" spans="1:27">
      <c r="A743" s="12"/>
      <c r="B743" s="12"/>
      <c r="C743" s="12"/>
      <c r="D743" s="12"/>
      <c r="E743" s="12"/>
      <c r="F743" s="12"/>
      <c r="G743" s="12"/>
      <c r="H743" s="12"/>
      <c r="I743" s="12"/>
      <c r="J743" s="12"/>
      <c r="K743" s="12"/>
      <c r="L743" s="12"/>
      <c r="M743" s="12"/>
      <c r="N743" s="12"/>
      <c r="O743" s="12"/>
      <c r="P743" s="12"/>
      <c r="Q743" s="12"/>
      <c r="R743" s="12"/>
      <c r="S743" s="12"/>
      <c r="T743" s="12"/>
      <c r="U743" s="12"/>
      <c r="V743" s="4"/>
      <c r="W743" s="4"/>
      <c r="X743" s="12"/>
      <c r="Y743" s="12"/>
      <c r="Z743" s="12"/>
      <c r="AA743" s="12"/>
    </row>
    <row r="744" spans="1:27">
      <c r="A744" s="12"/>
      <c r="B744" s="12"/>
      <c r="C744" s="12"/>
      <c r="D744" s="12"/>
      <c r="E744" s="12"/>
      <c r="F744" s="12"/>
      <c r="G744" s="12"/>
      <c r="H744" s="12"/>
      <c r="I744" s="12"/>
      <c r="J744" s="12"/>
      <c r="K744" s="12"/>
      <c r="L744" s="12"/>
      <c r="M744" s="12"/>
      <c r="N744" s="12"/>
      <c r="O744" s="12"/>
      <c r="P744" s="12"/>
      <c r="Q744" s="12"/>
      <c r="R744" s="12"/>
      <c r="S744" s="12"/>
      <c r="T744" s="12"/>
      <c r="U744" s="12"/>
      <c r="V744" s="4"/>
      <c r="W744" s="4"/>
      <c r="X744" s="12"/>
      <c r="Y744" s="12"/>
      <c r="Z744" s="12"/>
      <c r="AA744" s="12"/>
    </row>
    <row r="745" spans="1:27">
      <c r="A745" s="12"/>
      <c r="B745" s="12"/>
      <c r="C745" s="12"/>
      <c r="D745" s="12"/>
      <c r="E745" s="12"/>
      <c r="F745" s="12"/>
      <c r="G745" s="12"/>
      <c r="H745" s="12"/>
      <c r="I745" s="12"/>
      <c r="J745" s="12"/>
      <c r="K745" s="12"/>
      <c r="L745" s="12"/>
      <c r="M745" s="12"/>
      <c r="N745" s="12"/>
      <c r="O745" s="12"/>
      <c r="P745" s="12"/>
      <c r="Q745" s="12"/>
      <c r="R745" s="12"/>
      <c r="S745" s="12"/>
      <c r="T745" s="12"/>
      <c r="U745" s="12"/>
      <c r="V745" s="4"/>
      <c r="W745" s="4"/>
      <c r="X745" s="12"/>
      <c r="Y745" s="12"/>
      <c r="Z745" s="12"/>
      <c r="AA745" s="12"/>
    </row>
    <row r="746" spans="1:27">
      <c r="A746" s="12"/>
      <c r="B746" s="12"/>
      <c r="C746" s="12"/>
      <c r="D746" s="12"/>
      <c r="E746" s="12"/>
      <c r="F746" s="12"/>
      <c r="G746" s="12"/>
      <c r="H746" s="12"/>
      <c r="I746" s="12"/>
      <c r="J746" s="12"/>
      <c r="K746" s="12"/>
      <c r="L746" s="12"/>
      <c r="M746" s="12"/>
      <c r="N746" s="12"/>
      <c r="O746" s="12"/>
      <c r="P746" s="12"/>
      <c r="Q746" s="12"/>
      <c r="R746" s="12"/>
      <c r="S746" s="12"/>
      <c r="T746" s="12"/>
      <c r="U746" s="12"/>
      <c r="V746" s="4"/>
      <c r="W746" s="4"/>
      <c r="X746" s="12"/>
      <c r="Y746" s="12"/>
      <c r="Z746" s="12"/>
      <c r="AA746" s="12"/>
    </row>
    <row r="747" spans="1:27">
      <c r="A747" s="12"/>
      <c r="B747" s="12"/>
      <c r="C747" s="12"/>
      <c r="D747" s="12"/>
      <c r="E747" s="12"/>
      <c r="F747" s="12"/>
      <c r="G747" s="12"/>
      <c r="H747" s="12"/>
      <c r="I747" s="12"/>
      <c r="J747" s="12"/>
      <c r="K747" s="12"/>
      <c r="L747" s="12"/>
      <c r="M747" s="12"/>
      <c r="N747" s="12"/>
      <c r="O747" s="12"/>
      <c r="P747" s="12"/>
      <c r="Q747" s="12"/>
      <c r="R747" s="12"/>
      <c r="S747" s="12"/>
      <c r="T747" s="12"/>
      <c r="U747" s="12"/>
      <c r="V747" s="4"/>
      <c r="W747" s="4"/>
      <c r="X747" s="12"/>
      <c r="Y747" s="12"/>
      <c r="Z747" s="12"/>
      <c r="AA747" s="12"/>
    </row>
    <row r="748" spans="1:27">
      <c r="A748" s="12"/>
      <c r="B748" s="12"/>
      <c r="C748" s="12"/>
      <c r="D748" s="12"/>
      <c r="E748" s="12"/>
      <c r="F748" s="12"/>
      <c r="G748" s="12"/>
      <c r="H748" s="12"/>
      <c r="I748" s="12"/>
      <c r="J748" s="12"/>
      <c r="K748" s="12"/>
      <c r="L748" s="12"/>
      <c r="M748" s="12"/>
      <c r="N748" s="12"/>
      <c r="O748" s="12"/>
      <c r="P748" s="12"/>
      <c r="Q748" s="12"/>
      <c r="R748" s="12"/>
      <c r="S748" s="12"/>
      <c r="T748" s="12"/>
      <c r="U748" s="12"/>
      <c r="V748" s="4"/>
      <c r="W748" s="4"/>
      <c r="X748" s="12"/>
      <c r="Y748" s="12"/>
      <c r="Z748" s="12"/>
      <c r="AA748" s="12"/>
    </row>
    <row r="749" spans="1:27">
      <c r="A749" s="12"/>
      <c r="B749" s="12"/>
      <c r="C749" s="12"/>
      <c r="D749" s="12"/>
      <c r="E749" s="12"/>
      <c r="F749" s="12"/>
      <c r="G749" s="12"/>
      <c r="H749" s="12"/>
      <c r="I749" s="12"/>
      <c r="J749" s="12"/>
      <c r="K749" s="12"/>
      <c r="L749" s="12"/>
      <c r="M749" s="12"/>
      <c r="N749" s="12"/>
      <c r="O749" s="12"/>
      <c r="P749" s="12"/>
      <c r="Q749" s="12"/>
      <c r="R749" s="12"/>
      <c r="S749" s="12"/>
      <c r="T749" s="12"/>
      <c r="U749" s="12"/>
      <c r="V749" s="4"/>
      <c r="W749" s="4"/>
      <c r="X749" s="12"/>
      <c r="Y749" s="12"/>
      <c r="Z749" s="12"/>
      <c r="AA749" s="12"/>
    </row>
    <row r="750" spans="1:27">
      <c r="A750" s="12"/>
      <c r="B750" s="12"/>
      <c r="C750" s="12"/>
      <c r="D750" s="12"/>
      <c r="E750" s="12"/>
      <c r="F750" s="12"/>
      <c r="G750" s="12"/>
      <c r="H750" s="12"/>
      <c r="I750" s="12"/>
      <c r="J750" s="12"/>
      <c r="K750" s="12"/>
      <c r="L750" s="12"/>
      <c r="M750" s="12"/>
      <c r="N750" s="12"/>
      <c r="O750" s="12"/>
      <c r="P750" s="12"/>
      <c r="Q750" s="12"/>
      <c r="R750" s="12"/>
      <c r="S750" s="12"/>
      <c r="T750" s="12"/>
      <c r="U750" s="12"/>
      <c r="V750" s="4"/>
      <c r="W750" s="4"/>
      <c r="X750" s="12"/>
      <c r="Y750" s="12"/>
      <c r="Z750" s="12"/>
      <c r="AA750" s="12"/>
    </row>
    <row r="751" spans="1:27">
      <c r="A751" s="12"/>
      <c r="B751" s="12"/>
      <c r="C751" s="12"/>
      <c r="D751" s="12"/>
      <c r="E751" s="12"/>
      <c r="F751" s="12"/>
      <c r="G751" s="12"/>
      <c r="H751" s="12"/>
      <c r="I751" s="12"/>
      <c r="J751" s="12"/>
      <c r="K751" s="12"/>
      <c r="L751" s="12"/>
      <c r="M751" s="12"/>
      <c r="N751" s="12"/>
      <c r="O751" s="12"/>
      <c r="P751" s="12"/>
      <c r="Q751" s="12"/>
      <c r="R751" s="12"/>
      <c r="S751" s="12"/>
      <c r="T751" s="12"/>
      <c r="U751" s="12"/>
      <c r="V751" s="4"/>
      <c r="W751" s="4"/>
      <c r="X751" s="12"/>
      <c r="Y751" s="12"/>
      <c r="Z751" s="12"/>
      <c r="AA751" s="12"/>
    </row>
    <row r="752" spans="1:27">
      <c r="A752" s="12"/>
      <c r="B752" s="12"/>
      <c r="C752" s="12"/>
      <c r="D752" s="12"/>
      <c r="E752" s="12"/>
      <c r="F752" s="12"/>
      <c r="G752" s="12"/>
      <c r="H752" s="12"/>
      <c r="I752" s="12"/>
      <c r="J752" s="12"/>
      <c r="K752" s="12"/>
      <c r="L752" s="12"/>
      <c r="M752" s="12"/>
      <c r="N752" s="12"/>
      <c r="O752" s="12"/>
      <c r="P752" s="12"/>
      <c r="Q752" s="12"/>
      <c r="R752" s="12"/>
      <c r="S752" s="12"/>
      <c r="T752" s="12"/>
      <c r="U752" s="12"/>
      <c r="V752" s="4"/>
      <c r="W752" s="4"/>
      <c r="X752" s="12"/>
      <c r="Y752" s="12"/>
      <c r="Z752" s="12"/>
      <c r="AA752" s="12"/>
    </row>
    <row r="753" spans="1:27">
      <c r="A753" s="12"/>
      <c r="B753" s="12"/>
      <c r="C753" s="12"/>
      <c r="D753" s="12"/>
      <c r="E753" s="12"/>
      <c r="F753" s="12"/>
      <c r="G753" s="12"/>
      <c r="H753" s="12"/>
      <c r="I753" s="12"/>
      <c r="J753" s="12"/>
      <c r="K753" s="12"/>
      <c r="L753" s="12"/>
      <c r="M753" s="12"/>
      <c r="N753" s="12"/>
      <c r="O753" s="12"/>
      <c r="P753" s="12"/>
      <c r="Q753" s="12"/>
      <c r="R753" s="12"/>
      <c r="S753" s="12"/>
      <c r="T753" s="12"/>
      <c r="U753" s="12"/>
      <c r="V753" s="4"/>
      <c r="W753" s="4"/>
      <c r="X753" s="12"/>
      <c r="Y753" s="12"/>
      <c r="Z753" s="12"/>
      <c r="AA753" s="12"/>
    </row>
    <row r="754" spans="1:27">
      <c r="A754" s="12"/>
      <c r="B754" s="12"/>
      <c r="C754" s="12"/>
      <c r="D754" s="12"/>
      <c r="E754" s="12"/>
      <c r="F754" s="12"/>
      <c r="G754" s="12"/>
      <c r="H754" s="12"/>
      <c r="I754" s="12"/>
      <c r="J754" s="12"/>
      <c r="K754" s="12"/>
      <c r="L754" s="12"/>
      <c r="M754" s="12"/>
      <c r="N754" s="12"/>
      <c r="O754" s="12"/>
      <c r="P754" s="12"/>
      <c r="Q754" s="12"/>
      <c r="R754" s="12"/>
      <c r="S754" s="12"/>
      <c r="T754" s="12"/>
      <c r="U754" s="12"/>
      <c r="V754" s="4"/>
      <c r="W754" s="4"/>
      <c r="X754" s="12"/>
      <c r="Y754" s="12"/>
      <c r="Z754" s="12"/>
      <c r="AA754" s="12"/>
    </row>
    <row r="755" spans="1:27">
      <c r="A755" s="12"/>
      <c r="B755" s="12"/>
      <c r="C755" s="12"/>
      <c r="D755" s="12"/>
      <c r="E755" s="12"/>
      <c r="F755" s="12"/>
      <c r="G755" s="12"/>
      <c r="H755" s="12"/>
      <c r="I755" s="12"/>
      <c r="J755" s="12"/>
      <c r="K755" s="12"/>
      <c r="L755" s="12"/>
      <c r="M755" s="12"/>
      <c r="N755" s="12"/>
      <c r="O755" s="12"/>
      <c r="P755" s="12"/>
      <c r="Q755" s="12"/>
      <c r="R755" s="12"/>
      <c r="S755" s="12"/>
      <c r="T755" s="12"/>
      <c r="U755" s="12"/>
      <c r="V755" s="4"/>
      <c r="W755" s="4"/>
      <c r="X755" s="12"/>
      <c r="Y755" s="12"/>
      <c r="Z755" s="12"/>
      <c r="AA755" s="12"/>
    </row>
    <row r="756" spans="1:27">
      <c r="A756" s="12"/>
      <c r="B756" s="12"/>
      <c r="C756" s="12"/>
      <c r="D756" s="12"/>
      <c r="E756" s="12"/>
      <c r="F756" s="12"/>
      <c r="G756" s="12"/>
      <c r="H756" s="12"/>
      <c r="I756" s="12"/>
      <c r="J756" s="12"/>
      <c r="K756" s="12"/>
      <c r="L756" s="12"/>
      <c r="M756" s="12"/>
      <c r="N756" s="12"/>
      <c r="O756" s="12"/>
      <c r="P756" s="12"/>
      <c r="Q756" s="12"/>
      <c r="R756" s="12"/>
      <c r="S756" s="12"/>
      <c r="T756" s="12"/>
      <c r="U756" s="12"/>
      <c r="V756" s="4"/>
      <c r="W756" s="4"/>
      <c r="X756" s="12"/>
      <c r="Y756" s="12"/>
      <c r="Z756" s="12"/>
      <c r="AA756" s="12"/>
    </row>
    <row r="757" spans="1:27">
      <c r="A757" s="12"/>
      <c r="B757" s="12"/>
      <c r="C757" s="12"/>
      <c r="D757" s="12"/>
      <c r="E757" s="12"/>
      <c r="F757" s="12"/>
      <c r="G757" s="12"/>
      <c r="H757" s="12"/>
      <c r="I757" s="12"/>
      <c r="J757" s="12"/>
      <c r="K757" s="12"/>
      <c r="L757" s="12"/>
      <c r="M757" s="12"/>
      <c r="N757" s="12"/>
      <c r="O757" s="12"/>
      <c r="P757" s="12"/>
      <c r="Q757" s="12"/>
      <c r="R757" s="12"/>
      <c r="S757" s="12"/>
      <c r="T757" s="12"/>
      <c r="U757" s="12"/>
      <c r="V757" s="4"/>
      <c r="W757" s="4"/>
      <c r="X757" s="12"/>
      <c r="Y757" s="12"/>
      <c r="Z757" s="12"/>
      <c r="AA757" s="12"/>
    </row>
    <row r="758" spans="1:27">
      <c r="A758" s="12"/>
      <c r="B758" s="12"/>
      <c r="C758" s="12"/>
      <c r="D758" s="12"/>
      <c r="E758" s="12"/>
      <c r="F758" s="12"/>
      <c r="G758" s="12"/>
      <c r="H758" s="12"/>
      <c r="I758" s="12"/>
      <c r="J758" s="12"/>
      <c r="K758" s="12"/>
      <c r="L758" s="12"/>
      <c r="M758" s="12"/>
      <c r="N758" s="12"/>
      <c r="O758" s="12"/>
      <c r="P758" s="12"/>
      <c r="Q758" s="12"/>
      <c r="R758" s="12"/>
      <c r="S758" s="12"/>
      <c r="T758" s="12"/>
      <c r="U758" s="12"/>
      <c r="V758" s="4"/>
      <c r="W758" s="4"/>
      <c r="X758" s="12"/>
      <c r="Y758" s="12"/>
      <c r="Z758" s="12"/>
      <c r="AA758" s="12"/>
    </row>
    <row r="759" spans="1:27">
      <c r="A759" s="12"/>
      <c r="B759" s="12"/>
      <c r="C759" s="12"/>
      <c r="D759" s="12"/>
      <c r="E759" s="12"/>
      <c r="F759" s="12"/>
      <c r="G759" s="12"/>
      <c r="H759" s="12"/>
      <c r="I759" s="12"/>
      <c r="J759" s="12"/>
      <c r="K759" s="12"/>
      <c r="L759" s="12"/>
      <c r="M759" s="12"/>
      <c r="N759" s="12"/>
      <c r="O759" s="12"/>
      <c r="P759" s="12"/>
      <c r="Q759" s="12"/>
      <c r="R759" s="12"/>
      <c r="S759" s="12"/>
      <c r="T759" s="12"/>
      <c r="U759" s="12"/>
      <c r="V759" s="4"/>
      <c r="W759" s="4"/>
      <c r="X759" s="12"/>
      <c r="Y759" s="12"/>
      <c r="Z759" s="12"/>
      <c r="AA759" s="12"/>
    </row>
    <row r="760" spans="1:27">
      <c r="A760" s="12"/>
      <c r="B760" s="12"/>
      <c r="C760" s="12"/>
      <c r="D760" s="12"/>
      <c r="E760" s="12"/>
      <c r="F760" s="12"/>
      <c r="G760" s="12"/>
      <c r="H760" s="12"/>
      <c r="I760" s="12"/>
      <c r="J760" s="12"/>
      <c r="K760" s="12"/>
      <c r="L760" s="12"/>
      <c r="M760" s="12"/>
      <c r="N760" s="12"/>
      <c r="O760" s="12"/>
      <c r="P760" s="12"/>
      <c r="Q760" s="12"/>
      <c r="R760" s="12"/>
      <c r="S760" s="12"/>
      <c r="T760" s="12"/>
      <c r="U760" s="12"/>
      <c r="V760" s="4"/>
      <c r="W760" s="4"/>
      <c r="X760" s="12"/>
      <c r="Y760" s="12"/>
      <c r="Z760" s="12"/>
      <c r="AA760" s="12"/>
    </row>
    <row r="761" spans="1:27">
      <c r="A761" s="12"/>
      <c r="B761" s="12"/>
      <c r="C761" s="12"/>
      <c r="D761" s="12"/>
      <c r="E761" s="12"/>
      <c r="F761" s="12"/>
      <c r="G761" s="12"/>
      <c r="H761" s="12"/>
      <c r="I761" s="12"/>
      <c r="J761" s="12"/>
      <c r="K761" s="12"/>
      <c r="L761" s="12"/>
      <c r="M761" s="12"/>
      <c r="N761" s="12"/>
      <c r="O761" s="12"/>
      <c r="P761" s="12"/>
      <c r="Q761" s="12"/>
      <c r="R761" s="12"/>
      <c r="S761" s="12"/>
      <c r="T761" s="12"/>
      <c r="U761" s="12"/>
      <c r="V761" s="4"/>
      <c r="W761" s="4"/>
      <c r="X761" s="12"/>
      <c r="Y761" s="12"/>
      <c r="Z761" s="12"/>
      <c r="AA761" s="12"/>
    </row>
    <row r="762" spans="1:27">
      <c r="A762" s="12"/>
      <c r="B762" s="12"/>
      <c r="C762" s="12"/>
      <c r="D762" s="12"/>
      <c r="E762" s="12"/>
      <c r="F762" s="12"/>
      <c r="G762" s="12"/>
      <c r="H762" s="12"/>
      <c r="I762" s="12"/>
      <c r="J762" s="12"/>
      <c r="K762" s="12"/>
      <c r="L762" s="12"/>
      <c r="M762" s="12"/>
      <c r="N762" s="12"/>
      <c r="O762" s="12"/>
      <c r="P762" s="12"/>
      <c r="Q762" s="12"/>
      <c r="R762" s="12"/>
      <c r="S762" s="12"/>
      <c r="T762" s="12"/>
      <c r="U762" s="12"/>
      <c r="V762" s="4"/>
      <c r="W762" s="4"/>
      <c r="X762" s="12"/>
      <c r="Y762" s="12"/>
      <c r="Z762" s="12"/>
      <c r="AA762" s="12"/>
    </row>
    <row r="763" spans="1:27">
      <c r="A763" s="12"/>
      <c r="B763" s="12"/>
      <c r="C763" s="12"/>
      <c r="D763" s="12"/>
      <c r="E763" s="12"/>
      <c r="F763" s="12"/>
      <c r="G763" s="12"/>
      <c r="H763" s="12"/>
      <c r="I763" s="12"/>
      <c r="J763" s="12"/>
      <c r="K763" s="12"/>
      <c r="L763" s="12"/>
      <c r="M763" s="12"/>
      <c r="N763" s="12"/>
      <c r="O763" s="12"/>
      <c r="P763" s="12"/>
      <c r="Q763" s="12"/>
      <c r="R763" s="12"/>
      <c r="S763" s="12"/>
      <c r="T763" s="12"/>
      <c r="U763" s="12"/>
      <c r="V763" s="4"/>
      <c r="W763" s="4"/>
      <c r="X763" s="12"/>
      <c r="Y763" s="12"/>
      <c r="Z763" s="12"/>
      <c r="AA763" s="12"/>
    </row>
    <row r="764" spans="1:27">
      <c r="A764" s="12"/>
      <c r="B764" s="12"/>
      <c r="C764" s="12"/>
      <c r="D764" s="12"/>
      <c r="E764" s="12"/>
      <c r="F764" s="12"/>
      <c r="G764" s="12"/>
      <c r="H764" s="12"/>
      <c r="I764" s="12"/>
      <c r="J764" s="12"/>
      <c r="K764" s="12"/>
      <c r="L764" s="12"/>
      <c r="M764" s="12"/>
      <c r="N764" s="12"/>
      <c r="O764" s="12"/>
      <c r="P764" s="12"/>
      <c r="Q764" s="12"/>
      <c r="R764" s="12"/>
      <c r="S764" s="12"/>
      <c r="T764" s="12"/>
      <c r="U764" s="12"/>
      <c r="V764" s="4"/>
      <c r="W764" s="4"/>
      <c r="X764" s="12"/>
      <c r="Y764" s="12"/>
      <c r="Z764" s="12"/>
      <c r="AA764" s="12"/>
    </row>
    <row r="765" spans="1:27">
      <c r="A765" s="12"/>
      <c r="B765" s="12"/>
      <c r="C765" s="12"/>
      <c r="D765" s="12"/>
      <c r="E765" s="12"/>
      <c r="F765" s="12"/>
      <c r="G765" s="12"/>
      <c r="H765" s="12"/>
      <c r="I765" s="12"/>
      <c r="J765" s="12"/>
      <c r="K765" s="12"/>
      <c r="L765" s="12"/>
      <c r="M765" s="12"/>
      <c r="N765" s="12"/>
      <c r="O765" s="12"/>
      <c r="P765" s="12"/>
      <c r="Q765" s="12"/>
      <c r="R765" s="12"/>
      <c r="S765" s="12"/>
      <c r="T765" s="12"/>
      <c r="U765" s="12"/>
      <c r="V765" s="4"/>
      <c r="W765" s="4"/>
      <c r="X765" s="12"/>
      <c r="Y765" s="12"/>
      <c r="Z765" s="12"/>
      <c r="AA765" s="12"/>
    </row>
    <row r="766" spans="1:27">
      <c r="A766" s="12"/>
      <c r="B766" s="12"/>
      <c r="C766" s="12"/>
      <c r="D766" s="12"/>
      <c r="E766" s="12"/>
      <c r="F766" s="12"/>
      <c r="G766" s="12"/>
      <c r="H766" s="12"/>
      <c r="I766" s="12"/>
      <c r="J766" s="12"/>
      <c r="K766" s="12"/>
      <c r="L766" s="12"/>
      <c r="M766" s="12"/>
      <c r="N766" s="12"/>
      <c r="O766" s="12"/>
      <c r="P766" s="12"/>
      <c r="Q766" s="12"/>
      <c r="R766" s="12"/>
      <c r="S766" s="12"/>
      <c r="T766" s="12"/>
      <c r="U766" s="12"/>
      <c r="V766" s="4"/>
      <c r="W766" s="4"/>
      <c r="X766" s="12"/>
      <c r="Y766" s="12"/>
      <c r="Z766" s="12"/>
      <c r="AA766" s="12"/>
    </row>
    <row r="767" spans="1:27">
      <c r="A767" s="12"/>
      <c r="B767" s="12"/>
      <c r="C767" s="12"/>
      <c r="D767" s="12"/>
      <c r="E767" s="12"/>
      <c r="F767" s="12"/>
      <c r="G767" s="12"/>
      <c r="H767" s="12"/>
      <c r="I767" s="12"/>
      <c r="J767" s="12"/>
      <c r="K767" s="12"/>
      <c r="L767" s="12"/>
      <c r="M767" s="12"/>
      <c r="N767" s="12"/>
      <c r="O767" s="12"/>
      <c r="P767" s="12"/>
      <c r="Q767" s="12"/>
      <c r="R767" s="12"/>
      <c r="S767" s="12"/>
      <c r="T767" s="12"/>
      <c r="U767" s="12"/>
      <c r="V767" s="4"/>
      <c r="W767" s="4"/>
      <c r="X767" s="12"/>
      <c r="Y767" s="12"/>
      <c r="Z767" s="12"/>
      <c r="AA767" s="12"/>
    </row>
    <row r="768" spans="1:27">
      <c r="A768" s="12"/>
      <c r="B768" s="12"/>
      <c r="C768" s="12"/>
      <c r="D768" s="12"/>
      <c r="E768" s="12"/>
      <c r="F768" s="12"/>
      <c r="G768" s="12"/>
      <c r="H768" s="12"/>
      <c r="I768" s="12"/>
      <c r="J768" s="12"/>
      <c r="K768" s="12"/>
      <c r="L768" s="12"/>
      <c r="M768" s="12"/>
      <c r="N768" s="12"/>
      <c r="O768" s="12"/>
      <c r="P768" s="12"/>
      <c r="Q768" s="12"/>
      <c r="R768" s="12"/>
      <c r="S768" s="12"/>
      <c r="T768" s="12"/>
      <c r="U768" s="12"/>
      <c r="V768" s="4"/>
      <c r="W768" s="4"/>
      <c r="X768" s="12"/>
      <c r="Y768" s="12"/>
      <c r="Z768" s="12"/>
      <c r="AA768" s="12"/>
    </row>
    <row r="769" spans="1:27">
      <c r="A769" s="12"/>
      <c r="B769" s="12"/>
      <c r="C769" s="12"/>
      <c r="D769" s="12"/>
      <c r="E769" s="12"/>
      <c r="F769" s="12"/>
      <c r="G769" s="12"/>
      <c r="H769" s="12"/>
      <c r="I769" s="12"/>
      <c r="J769" s="12"/>
      <c r="K769" s="12"/>
      <c r="L769" s="12"/>
      <c r="M769" s="12"/>
      <c r="N769" s="12"/>
      <c r="O769" s="12"/>
      <c r="P769" s="12"/>
      <c r="Q769" s="12"/>
      <c r="R769" s="12"/>
      <c r="S769" s="12"/>
      <c r="T769" s="12"/>
      <c r="U769" s="12"/>
      <c r="V769" s="4"/>
      <c r="W769" s="4"/>
      <c r="X769" s="12"/>
      <c r="Y769" s="12"/>
      <c r="Z769" s="12"/>
      <c r="AA769" s="12"/>
    </row>
    <row r="770" spans="1:27">
      <c r="A770" s="12"/>
      <c r="B770" s="12"/>
      <c r="C770" s="12"/>
      <c r="D770" s="12"/>
      <c r="E770" s="12"/>
      <c r="F770" s="12"/>
      <c r="G770" s="12"/>
      <c r="H770" s="12"/>
      <c r="I770" s="12"/>
      <c r="J770" s="12"/>
      <c r="K770" s="12"/>
      <c r="L770" s="12"/>
      <c r="M770" s="12"/>
      <c r="N770" s="12"/>
      <c r="O770" s="12"/>
      <c r="P770" s="12"/>
      <c r="Q770" s="12"/>
      <c r="R770" s="12"/>
      <c r="S770" s="12"/>
      <c r="T770" s="12"/>
      <c r="U770" s="12"/>
      <c r="V770" s="4"/>
      <c r="W770" s="4"/>
      <c r="X770" s="12"/>
      <c r="Y770" s="12"/>
      <c r="Z770" s="12"/>
      <c r="AA770" s="12"/>
    </row>
    <row r="771" spans="1:27">
      <c r="A771" s="12"/>
      <c r="B771" s="12"/>
      <c r="C771" s="12"/>
      <c r="D771" s="12"/>
      <c r="E771" s="12"/>
      <c r="F771" s="12"/>
      <c r="G771" s="12"/>
      <c r="H771" s="12"/>
      <c r="I771" s="12"/>
      <c r="J771" s="12"/>
      <c r="K771" s="12"/>
      <c r="L771" s="12"/>
      <c r="M771" s="12"/>
      <c r="N771" s="12"/>
      <c r="O771" s="12"/>
      <c r="P771" s="12"/>
      <c r="Q771" s="12"/>
      <c r="R771" s="12"/>
      <c r="S771" s="12"/>
      <c r="T771" s="12"/>
      <c r="U771" s="12"/>
      <c r="V771" s="4"/>
      <c r="W771" s="4"/>
      <c r="X771" s="12"/>
      <c r="Y771" s="12"/>
      <c r="Z771" s="12"/>
      <c r="AA771" s="12"/>
    </row>
    <row r="772" spans="1:27">
      <c r="A772" s="12"/>
      <c r="B772" s="12"/>
      <c r="C772" s="12"/>
      <c r="D772" s="12"/>
      <c r="E772" s="12"/>
      <c r="F772" s="12"/>
      <c r="G772" s="12"/>
      <c r="H772" s="12"/>
      <c r="I772" s="12"/>
      <c r="J772" s="12"/>
      <c r="K772" s="12"/>
      <c r="L772" s="12"/>
      <c r="M772" s="12"/>
      <c r="N772" s="12"/>
      <c r="O772" s="12"/>
      <c r="P772" s="12"/>
      <c r="Q772" s="12"/>
      <c r="R772" s="12"/>
      <c r="S772" s="12"/>
      <c r="T772" s="12"/>
      <c r="U772" s="12"/>
      <c r="V772" s="4"/>
      <c r="W772" s="4"/>
      <c r="X772" s="12"/>
      <c r="Y772" s="12"/>
      <c r="Z772" s="12"/>
      <c r="AA772" s="12"/>
    </row>
    <row r="773" spans="1:27">
      <c r="A773" s="12"/>
      <c r="B773" s="12"/>
      <c r="C773" s="12"/>
      <c r="D773" s="12"/>
      <c r="E773" s="12"/>
      <c r="F773" s="12"/>
      <c r="G773" s="12"/>
      <c r="H773" s="12"/>
      <c r="I773" s="12"/>
      <c r="J773" s="12"/>
      <c r="K773" s="12"/>
      <c r="L773" s="12"/>
      <c r="M773" s="12"/>
      <c r="N773" s="12"/>
      <c r="O773" s="12"/>
      <c r="P773" s="12"/>
      <c r="Q773" s="12"/>
      <c r="R773" s="12"/>
      <c r="S773" s="12"/>
      <c r="T773" s="12"/>
      <c r="U773" s="12"/>
      <c r="V773" s="4"/>
      <c r="W773" s="4"/>
      <c r="X773" s="12"/>
      <c r="Y773" s="12"/>
      <c r="Z773" s="12"/>
      <c r="AA773" s="12"/>
    </row>
    <row r="774" spans="1:27">
      <c r="A774" s="12"/>
      <c r="B774" s="12"/>
      <c r="C774" s="12"/>
      <c r="D774" s="12"/>
      <c r="E774" s="12"/>
      <c r="F774" s="12"/>
      <c r="G774" s="12"/>
      <c r="H774" s="12"/>
      <c r="I774" s="12"/>
      <c r="J774" s="12"/>
      <c r="K774" s="12"/>
      <c r="L774" s="12"/>
      <c r="M774" s="12"/>
      <c r="N774" s="12"/>
      <c r="O774" s="12"/>
      <c r="P774" s="12"/>
      <c r="Q774" s="12"/>
      <c r="R774" s="12"/>
      <c r="S774" s="12"/>
      <c r="T774" s="12"/>
      <c r="U774" s="12"/>
      <c r="V774" s="4"/>
      <c r="W774" s="4"/>
      <c r="X774" s="12"/>
      <c r="Y774" s="12"/>
      <c r="Z774" s="12"/>
      <c r="AA774" s="12"/>
    </row>
    <row r="775" spans="1:27">
      <c r="A775" s="12"/>
      <c r="B775" s="12"/>
      <c r="C775" s="12"/>
      <c r="D775" s="12"/>
      <c r="E775" s="12"/>
      <c r="F775" s="12"/>
      <c r="G775" s="12"/>
      <c r="H775" s="12"/>
      <c r="I775" s="12"/>
      <c r="J775" s="12"/>
      <c r="K775" s="12"/>
      <c r="L775" s="12"/>
      <c r="M775" s="12"/>
      <c r="N775" s="12"/>
      <c r="O775" s="12"/>
      <c r="P775" s="12"/>
      <c r="Q775" s="12"/>
      <c r="R775" s="12"/>
      <c r="S775" s="12"/>
      <c r="T775" s="12"/>
      <c r="U775" s="12"/>
      <c r="V775" s="4"/>
      <c r="W775" s="4"/>
      <c r="X775" s="12"/>
      <c r="Y775" s="12"/>
      <c r="Z775" s="12"/>
      <c r="AA775" s="12"/>
    </row>
    <row r="776" spans="1:27">
      <c r="A776" s="12"/>
      <c r="B776" s="12"/>
      <c r="C776" s="12"/>
      <c r="D776" s="12"/>
      <c r="E776" s="12"/>
      <c r="F776" s="12"/>
      <c r="G776" s="12"/>
      <c r="H776" s="12"/>
      <c r="I776" s="12"/>
      <c r="J776" s="12"/>
      <c r="K776" s="12"/>
      <c r="L776" s="12"/>
      <c r="M776" s="12"/>
      <c r="N776" s="12"/>
      <c r="O776" s="12"/>
      <c r="P776" s="12"/>
      <c r="Q776" s="12"/>
      <c r="R776" s="12"/>
      <c r="S776" s="12"/>
      <c r="T776" s="12"/>
      <c r="U776" s="12"/>
      <c r="V776" s="4"/>
      <c r="W776" s="4"/>
      <c r="X776" s="12"/>
      <c r="Y776" s="12"/>
      <c r="Z776" s="12"/>
      <c r="AA776" s="12"/>
    </row>
    <row r="777" spans="1:27">
      <c r="A777" s="12"/>
      <c r="B777" s="12"/>
      <c r="C777" s="12"/>
      <c r="D777" s="12"/>
      <c r="E777" s="12"/>
      <c r="F777" s="12"/>
      <c r="G777" s="12"/>
      <c r="H777" s="12"/>
      <c r="I777" s="12"/>
      <c r="J777" s="12"/>
      <c r="K777" s="12"/>
      <c r="L777" s="12"/>
      <c r="M777" s="12"/>
      <c r="N777" s="12"/>
      <c r="O777" s="12"/>
      <c r="P777" s="12"/>
      <c r="Q777" s="12"/>
      <c r="R777" s="12"/>
      <c r="S777" s="12"/>
      <c r="T777" s="12"/>
      <c r="U777" s="12"/>
      <c r="V777" s="4"/>
      <c r="W777" s="4"/>
      <c r="X777" s="12"/>
      <c r="Y777" s="12"/>
      <c r="Z777" s="12"/>
      <c r="AA777" s="12"/>
    </row>
    <row r="778" spans="1:27">
      <c r="A778" s="12"/>
      <c r="B778" s="12"/>
      <c r="C778" s="12"/>
      <c r="D778" s="12"/>
      <c r="E778" s="12"/>
      <c r="F778" s="12"/>
      <c r="G778" s="12"/>
      <c r="H778" s="12"/>
      <c r="I778" s="12"/>
      <c r="J778" s="12"/>
      <c r="K778" s="12"/>
      <c r="L778" s="12"/>
      <c r="M778" s="12"/>
      <c r="N778" s="12"/>
      <c r="O778" s="12"/>
      <c r="P778" s="12"/>
      <c r="Q778" s="12"/>
      <c r="R778" s="12"/>
      <c r="S778" s="12"/>
      <c r="T778" s="12"/>
      <c r="U778" s="12"/>
      <c r="V778" s="4"/>
      <c r="W778" s="4"/>
      <c r="X778" s="12"/>
      <c r="Y778" s="12"/>
      <c r="Z778" s="12"/>
      <c r="AA778" s="12"/>
    </row>
    <row r="779" spans="1:27">
      <c r="A779" s="12"/>
      <c r="B779" s="12"/>
      <c r="C779" s="12"/>
      <c r="D779" s="12"/>
      <c r="E779" s="12"/>
      <c r="F779" s="12"/>
      <c r="G779" s="12"/>
      <c r="H779" s="12"/>
      <c r="I779" s="12"/>
      <c r="J779" s="12"/>
      <c r="K779" s="12"/>
      <c r="L779" s="12"/>
      <c r="M779" s="12"/>
      <c r="N779" s="12"/>
      <c r="O779" s="12"/>
      <c r="P779" s="12"/>
      <c r="Q779" s="12"/>
      <c r="R779" s="12"/>
      <c r="S779" s="12"/>
      <c r="T779" s="12"/>
      <c r="U779" s="12"/>
      <c r="V779" s="4"/>
      <c r="W779" s="4"/>
      <c r="X779" s="12"/>
      <c r="Y779" s="12"/>
      <c r="Z779" s="12"/>
      <c r="AA779" s="12"/>
    </row>
    <row r="780" spans="1:27">
      <c r="A780" s="12"/>
      <c r="B780" s="12"/>
      <c r="C780" s="12"/>
      <c r="D780" s="12"/>
      <c r="E780" s="12"/>
      <c r="F780" s="12"/>
      <c r="G780" s="12"/>
      <c r="H780" s="12"/>
      <c r="I780" s="12"/>
      <c r="J780" s="12"/>
      <c r="K780" s="12"/>
      <c r="L780" s="12"/>
      <c r="M780" s="12"/>
      <c r="N780" s="12"/>
      <c r="O780" s="12"/>
      <c r="P780" s="12"/>
      <c r="Q780" s="12"/>
      <c r="R780" s="12"/>
      <c r="S780" s="12"/>
      <c r="T780" s="12"/>
      <c r="U780" s="12"/>
      <c r="V780" s="4"/>
      <c r="W780" s="4"/>
      <c r="X780" s="12"/>
      <c r="Y780" s="12"/>
      <c r="Z780" s="12"/>
      <c r="AA780" s="12"/>
    </row>
    <row r="781" spans="1:27">
      <c r="A781" s="12"/>
      <c r="B781" s="12"/>
      <c r="C781" s="12"/>
      <c r="D781" s="12"/>
      <c r="E781" s="12"/>
      <c r="F781" s="12"/>
      <c r="G781" s="12"/>
      <c r="H781" s="12"/>
      <c r="I781" s="12"/>
      <c r="J781" s="12"/>
      <c r="K781" s="12"/>
      <c r="L781" s="12"/>
      <c r="M781" s="12"/>
      <c r="N781" s="12"/>
      <c r="O781" s="12"/>
      <c r="P781" s="12"/>
      <c r="Q781" s="12"/>
      <c r="R781" s="12"/>
      <c r="S781" s="12"/>
      <c r="T781" s="12"/>
      <c r="U781" s="12"/>
      <c r="V781" s="4"/>
      <c r="W781" s="4"/>
      <c r="X781" s="12"/>
      <c r="Y781" s="12"/>
      <c r="Z781" s="12"/>
      <c r="AA781" s="12"/>
    </row>
    <row r="782" spans="1:27">
      <c r="A782" s="12"/>
      <c r="B782" s="12"/>
      <c r="C782" s="12"/>
      <c r="D782" s="12"/>
      <c r="E782" s="12"/>
      <c r="F782" s="12"/>
      <c r="G782" s="12"/>
      <c r="H782" s="12"/>
      <c r="I782" s="12"/>
      <c r="J782" s="12"/>
      <c r="K782" s="12"/>
      <c r="L782" s="12"/>
      <c r="M782" s="12"/>
      <c r="N782" s="12"/>
      <c r="O782" s="12"/>
      <c r="P782" s="12"/>
      <c r="Q782" s="12"/>
      <c r="R782" s="12"/>
      <c r="S782" s="12"/>
      <c r="T782" s="12"/>
      <c r="U782" s="12"/>
      <c r="V782" s="4"/>
      <c r="W782" s="4"/>
      <c r="X782" s="12"/>
      <c r="Y782" s="12"/>
      <c r="Z782" s="12"/>
      <c r="AA782" s="12"/>
    </row>
    <row r="783" spans="1:27">
      <c r="A783" s="12"/>
      <c r="B783" s="12"/>
      <c r="C783" s="12"/>
      <c r="D783" s="12"/>
      <c r="E783" s="12"/>
      <c r="F783" s="12"/>
      <c r="G783" s="12"/>
      <c r="H783" s="12"/>
      <c r="I783" s="12"/>
      <c r="J783" s="12"/>
      <c r="K783" s="12"/>
      <c r="L783" s="12"/>
      <c r="M783" s="12"/>
      <c r="N783" s="12"/>
      <c r="O783" s="12"/>
      <c r="P783" s="12"/>
      <c r="Q783" s="12"/>
      <c r="R783" s="12"/>
      <c r="S783" s="12"/>
      <c r="T783" s="12"/>
      <c r="U783" s="12"/>
      <c r="V783" s="4"/>
      <c r="W783" s="4"/>
      <c r="X783" s="12"/>
      <c r="Y783" s="12"/>
      <c r="Z783" s="12"/>
      <c r="AA783" s="12"/>
    </row>
    <row r="784" spans="1:27">
      <c r="A784" s="12"/>
      <c r="B784" s="12"/>
      <c r="C784" s="12"/>
      <c r="D784" s="12"/>
      <c r="E784" s="12"/>
      <c r="F784" s="12"/>
      <c r="G784" s="12"/>
      <c r="H784" s="12"/>
      <c r="I784" s="12"/>
      <c r="J784" s="12"/>
      <c r="K784" s="12"/>
      <c r="L784" s="12"/>
      <c r="M784" s="12"/>
      <c r="N784" s="12"/>
      <c r="O784" s="12"/>
      <c r="P784" s="12"/>
      <c r="Q784" s="12"/>
      <c r="R784" s="12"/>
      <c r="S784" s="12"/>
      <c r="T784" s="12"/>
      <c r="U784" s="12"/>
      <c r="V784" s="4"/>
      <c r="W784" s="4"/>
      <c r="X784" s="12"/>
      <c r="Y784" s="12"/>
      <c r="Z784" s="12"/>
      <c r="AA784" s="12"/>
    </row>
    <row r="785" spans="1:27">
      <c r="A785" s="12"/>
      <c r="B785" s="12"/>
      <c r="C785" s="12"/>
      <c r="D785" s="12"/>
      <c r="E785" s="12"/>
      <c r="F785" s="12"/>
      <c r="G785" s="12"/>
      <c r="H785" s="12"/>
      <c r="I785" s="12"/>
      <c r="J785" s="12"/>
      <c r="K785" s="12"/>
      <c r="L785" s="12"/>
      <c r="M785" s="12"/>
      <c r="N785" s="12"/>
      <c r="O785" s="12"/>
      <c r="P785" s="12"/>
      <c r="Q785" s="12"/>
      <c r="R785" s="12"/>
      <c r="S785" s="12"/>
      <c r="T785" s="12"/>
      <c r="U785" s="12"/>
      <c r="V785" s="4"/>
      <c r="W785" s="4"/>
      <c r="X785" s="12"/>
      <c r="Y785" s="12"/>
      <c r="Z785" s="12"/>
      <c r="AA785" s="12"/>
    </row>
    <row r="786" spans="1:27">
      <c r="A786" s="12"/>
      <c r="B786" s="12"/>
      <c r="C786" s="12"/>
      <c r="D786" s="12"/>
      <c r="E786" s="12"/>
      <c r="F786" s="12"/>
      <c r="G786" s="12"/>
      <c r="H786" s="12"/>
      <c r="I786" s="12"/>
      <c r="J786" s="12"/>
      <c r="K786" s="12"/>
      <c r="L786" s="12"/>
      <c r="M786" s="12"/>
      <c r="N786" s="12"/>
      <c r="O786" s="12"/>
      <c r="P786" s="12"/>
      <c r="Q786" s="12"/>
      <c r="R786" s="12"/>
      <c r="S786" s="12"/>
      <c r="T786" s="12"/>
      <c r="U786" s="12"/>
      <c r="V786" s="4"/>
      <c r="W786" s="4"/>
      <c r="X786" s="12"/>
      <c r="Y786" s="12"/>
      <c r="Z786" s="12"/>
      <c r="AA786" s="12"/>
    </row>
    <row r="787" spans="1:27">
      <c r="A787" s="12"/>
      <c r="B787" s="12"/>
      <c r="C787" s="12"/>
      <c r="D787" s="12"/>
      <c r="E787" s="12"/>
      <c r="F787" s="12"/>
      <c r="G787" s="12"/>
      <c r="H787" s="12"/>
      <c r="I787" s="12"/>
      <c r="J787" s="12"/>
      <c r="K787" s="12"/>
      <c r="L787" s="12"/>
      <c r="M787" s="12"/>
      <c r="N787" s="12"/>
      <c r="O787" s="12"/>
      <c r="P787" s="12"/>
      <c r="Q787" s="12"/>
      <c r="R787" s="12"/>
      <c r="S787" s="12"/>
      <c r="T787" s="12"/>
      <c r="U787" s="12"/>
      <c r="V787" s="4"/>
      <c r="W787" s="4"/>
      <c r="X787" s="12"/>
      <c r="Y787" s="12"/>
      <c r="Z787" s="12"/>
      <c r="AA787" s="12"/>
    </row>
    <row r="788" spans="1:27">
      <c r="A788" s="12"/>
      <c r="B788" s="12"/>
      <c r="C788" s="12"/>
      <c r="D788" s="12"/>
      <c r="E788" s="12"/>
      <c r="F788" s="12"/>
      <c r="G788" s="12"/>
      <c r="H788" s="12"/>
      <c r="I788" s="12"/>
      <c r="J788" s="12"/>
      <c r="K788" s="12"/>
      <c r="L788" s="12"/>
      <c r="M788" s="12"/>
      <c r="N788" s="12"/>
      <c r="O788" s="12"/>
      <c r="P788" s="12"/>
      <c r="Q788" s="12"/>
      <c r="R788" s="12"/>
      <c r="S788" s="12"/>
      <c r="T788" s="12"/>
      <c r="U788" s="12"/>
      <c r="V788" s="4"/>
      <c r="W788" s="4"/>
      <c r="X788" s="12"/>
      <c r="Y788" s="12"/>
      <c r="Z788" s="12"/>
      <c r="AA788" s="12"/>
    </row>
    <row r="789" spans="1:27">
      <c r="A789" s="12"/>
      <c r="B789" s="12"/>
      <c r="C789" s="12"/>
      <c r="D789" s="12"/>
      <c r="E789" s="12"/>
      <c r="F789" s="12"/>
      <c r="G789" s="12"/>
      <c r="H789" s="12"/>
      <c r="I789" s="12"/>
      <c r="J789" s="12"/>
      <c r="K789" s="12"/>
      <c r="L789" s="12"/>
      <c r="M789" s="12"/>
      <c r="N789" s="12"/>
      <c r="O789" s="12"/>
      <c r="P789" s="12"/>
      <c r="Q789" s="12"/>
      <c r="R789" s="12"/>
      <c r="S789" s="12"/>
      <c r="T789" s="12"/>
      <c r="U789" s="12"/>
      <c r="V789" s="4"/>
      <c r="W789" s="4"/>
      <c r="X789" s="12"/>
      <c r="Y789" s="12"/>
      <c r="Z789" s="12"/>
      <c r="AA789" s="12"/>
    </row>
    <row r="790" spans="1:27">
      <c r="A790" s="12"/>
      <c r="B790" s="12"/>
      <c r="C790" s="12"/>
      <c r="D790" s="12"/>
      <c r="E790" s="12"/>
      <c r="F790" s="12"/>
      <c r="G790" s="12"/>
      <c r="H790" s="12"/>
      <c r="I790" s="12"/>
      <c r="J790" s="12"/>
      <c r="K790" s="12"/>
      <c r="L790" s="12"/>
      <c r="M790" s="12"/>
      <c r="N790" s="12"/>
      <c r="O790" s="12"/>
      <c r="P790" s="12"/>
      <c r="Q790" s="12"/>
      <c r="R790" s="12"/>
      <c r="S790" s="12"/>
      <c r="T790" s="12"/>
      <c r="U790" s="12"/>
      <c r="V790" s="4"/>
      <c r="W790" s="4"/>
      <c r="X790" s="12"/>
      <c r="Y790" s="12"/>
      <c r="Z790" s="12"/>
      <c r="AA790" s="12"/>
    </row>
    <row r="791" spans="1:27">
      <c r="A791" s="12"/>
      <c r="B791" s="12"/>
      <c r="C791" s="12"/>
      <c r="D791" s="12"/>
      <c r="E791" s="12"/>
      <c r="F791" s="12"/>
      <c r="G791" s="12"/>
      <c r="H791" s="12"/>
      <c r="I791" s="12"/>
      <c r="J791" s="12"/>
      <c r="K791" s="12"/>
      <c r="L791" s="12"/>
      <c r="M791" s="12"/>
      <c r="N791" s="12"/>
      <c r="O791" s="12"/>
      <c r="P791" s="12"/>
      <c r="Q791" s="12"/>
      <c r="R791" s="12"/>
      <c r="S791" s="12"/>
      <c r="T791" s="12"/>
      <c r="U791" s="12"/>
      <c r="V791" s="4"/>
      <c r="W791" s="4"/>
      <c r="X791" s="12"/>
      <c r="Y791" s="12"/>
      <c r="Z791" s="12"/>
      <c r="AA791" s="12"/>
    </row>
    <row r="792" spans="1:27">
      <c r="A792" s="12"/>
      <c r="B792" s="12"/>
      <c r="C792" s="12"/>
      <c r="D792" s="12"/>
      <c r="E792" s="12"/>
      <c r="F792" s="12"/>
      <c r="G792" s="12"/>
      <c r="H792" s="12"/>
      <c r="I792" s="12"/>
      <c r="J792" s="12"/>
      <c r="K792" s="12"/>
      <c r="L792" s="12"/>
      <c r="M792" s="12"/>
      <c r="N792" s="12"/>
      <c r="O792" s="12"/>
      <c r="P792" s="12"/>
      <c r="Q792" s="12"/>
      <c r="R792" s="12"/>
      <c r="S792" s="12"/>
      <c r="T792" s="12"/>
      <c r="U792" s="12"/>
      <c r="V792" s="4"/>
      <c r="W792" s="4"/>
      <c r="X792" s="12"/>
      <c r="Y792" s="12"/>
      <c r="Z792" s="12"/>
      <c r="AA792" s="12"/>
    </row>
    <row r="793" spans="1:27">
      <c r="A793" s="12"/>
      <c r="B793" s="12"/>
      <c r="C793" s="12"/>
      <c r="D793" s="12"/>
      <c r="E793" s="12"/>
      <c r="F793" s="12"/>
      <c r="G793" s="12"/>
      <c r="H793" s="12"/>
      <c r="I793" s="12"/>
      <c r="J793" s="12"/>
      <c r="K793" s="12"/>
      <c r="L793" s="12"/>
      <c r="M793" s="12"/>
      <c r="N793" s="12"/>
      <c r="O793" s="12"/>
      <c r="P793" s="12"/>
      <c r="Q793" s="12"/>
      <c r="R793" s="12"/>
      <c r="S793" s="12"/>
      <c r="T793" s="12"/>
      <c r="U793" s="12"/>
      <c r="V793" s="4"/>
      <c r="W793" s="4"/>
      <c r="X793" s="12"/>
      <c r="Y793" s="12"/>
      <c r="Z793" s="12"/>
      <c r="AA793" s="12"/>
    </row>
    <row r="794" spans="1:27">
      <c r="A794" s="12"/>
      <c r="B794" s="12"/>
      <c r="C794" s="12"/>
      <c r="D794" s="12"/>
      <c r="E794" s="12"/>
      <c r="F794" s="12"/>
      <c r="G794" s="12"/>
      <c r="H794" s="12"/>
      <c r="I794" s="12"/>
      <c r="J794" s="12"/>
      <c r="K794" s="12"/>
      <c r="L794" s="12"/>
      <c r="M794" s="12"/>
      <c r="N794" s="12"/>
      <c r="O794" s="12"/>
      <c r="P794" s="12"/>
      <c r="Q794" s="12"/>
      <c r="R794" s="12"/>
      <c r="S794" s="12"/>
      <c r="T794" s="12"/>
      <c r="U794" s="12"/>
      <c r="V794" s="4"/>
      <c r="W794" s="4"/>
      <c r="X794" s="12"/>
      <c r="Y794" s="12"/>
      <c r="Z794" s="12"/>
      <c r="AA794" s="12"/>
    </row>
    <row r="795" spans="1:27">
      <c r="A795" s="12"/>
      <c r="B795" s="12"/>
      <c r="C795" s="12"/>
      <c r="D795" s="12"/>
      <c r="E795" s="12"/>
      <c r="F795" s="12"/>
      <c r="G795" s="12"/>
      <c r="H795" s="12"/>
      <c r="I795" s="12"/>
      <c r="J795" s="12"/>
      <c r="K795" s="12"/>
      <c r="L795" s="12"/>
      <c r="M795" s="12"/>
      <c r="N795" s="12"/>
      <c r="O795" s="12"/>
      <c r="P795" s="12"/>
      <c r="Q795" s="12"/>
      <c r="R795" s="12"/>
      <c r="S795" s="12"/>
      <c r="T795" s="12"/>
      <c r="U795" s="12"/>
      <c r="V795" s="4"/>
      <c r="W795" s="4"/>
      <c r="X795" s="12"/>
      <c r="Y795" s="12"/>
      <c r="Z795" s="12"/>
      <c r="AA795" s="12"/>
    </row>
    <row r="796" spans="1:27">
      <c r="A796" s="12"/>
      <c r="B796" s="12"/>
      <c r="C796" s="12"/>
      <c r="D796" s="12"/>
      <c r="E796" s="12"/>
      <c r="F796" s="12"/>
      <c r="G796" s="12"/>
      <c r="H796" s="12"/>
      <c r="I796" s="12"/>
      <c r="J796" s="12"/>
      <c r="K796" s="12"/>
      <c r="L796" s="12"/>
      <c r="M796" s="12"/>
      <c r="N796" s="12"/>
      <c r="O796" s="12"/>
      <c r="P796" s="12"/>
      <c r="Q796" s="12"/>
      <c r="R796" s="12"/>
      <c r="S796" s="12"/>
      <c r="T796" s="12"/>
      <c r="U796" s="12"/>
      <c r="V796" s="4"/>
      <c r="W796" s="4"/>
      <c r="X796" s="12"/>
      <c r="Y796" s="12"/>
      <c r="Z796" s="12"/>
      <c r="AA796" s="12"/>
    </row>
    <row r="797" spans="1:27">
      <c r="A797" s="12"/>
      <c r="B797" s="12"/>
      <c r="C797" s="12"/>
      <c r="D797" s="12"/>
      <c r="E797" s="12"/>
      <c r="F797" s="12"/>
      <c r="G797" s="12"/>
      <c r="H797" s="12"/>
      <c r="I797" s="12"/>
      <c r="J797" s="12"/>
      <c r="K797" s="12"/>
      <c r="L797" s="12"/>
      <c r="M797" s="12"/>
      <c r="N797" s="12"/>
      <c r="O797" s="12"/>
      <c r="P797" s="12"/>
      <c r="Q797" s="12"/>
      <c r="R797" s="12"/>
      <c r="S797" s="12"/>
      <c r="T797" s="12"/>
      <c r="U797" s="12"/>
      <c r="V797" s="4"/>
      <c r="W797" s="4"/>
      <c r="X797" s="12"/>
      <c r="Y797" s="12"/>
      <c r="Z797" s="12"/>
      <c r="AA797" s="12"/>
    </row>
    <row r="798" spans="1:27">
      <c r="A798" s="12"/>
      <c r="B798" s="12"/>
      <c r="C798" s="12"/>
      <c r="D798" s="12"/>
      <c r="E798" s="12"/>
      <c r="F798" s="12"/>
      <c r="G798" s="12"/>
      <c r="H798" s="12"/>
      <c r="I798" s="12"/>
      <c r="J798" s="12"/>
      <c r="K798" s="12"/>
      <c r="L798" s="12"/>
      <c r="M798" s="12"/>
      <c r="N798" s="12"/>
      <c r="O798" s="12"/>
      <c r="P798" s="12"/>
      <c r="Q798" s="12"/>
      <c r="R798" s="12"/>
      <c r="S798" s="12"/>
      <c r="T798" s="12"/>
      <c r="U798" s="12"/>
      <c r="V798" s="4"/>
      <c r="W798" s="4"/>
      <c r="X798" s="12"/>
      <c r="Y798" s="12"/>
      <c r="Z798" s="12"/>
      <c r="AA798" s="12"/>
    </row>
    <row r="799" spans="1:27">
      <c r="A799" s="12"/>
      <c r="B799" s="12"/>
      <c r="C799" s="12"/>
      <c r="D799" s="12"/>
      <c r="E799" s="12"/>
      <c r="F799" s="12"/>
      <c r="G799" s="12"/>
      <c r="H799" s="12"/>
      <c r="I799" s="12"/>
      <c r="J799" s="12"/>
      <c r="K799" s="12"/>
      <c r="L799" s="12"/>
      <c r="M799" s="12"/>
      <c r="N799" s="12"/>
      <c r="O799" s="12"/>
      <c r="P799" s="12"/>
      <c r="Q799" s="12"/>
      <c r="R799" s="12"/>
      <c r="S799" s="12"/>
      <c r="T799" s="12"/>
      <c r="U799" s="12"/>
      <c r="V799" s="4"/>
      <c r="W799" s="4"/>
      <c r="X799" s="12"/>
      <c r="Y799" s="12"/>
      <c r="Z799" s="12"/>
      <c r="AA799" s="12"/>
    </row>
    <row r="800" spans="1:27">
      <c r="A800" s="12"/>
      <c r="B800" s="12"/>
      <c r="C800" s="12"/>
      <c r="D800" s="12"/>
      <c r="E800" s="12"/>
      <c r="F800" s="12"/>
      <c r="G800" s="12"/>
      <c r="H800" s="12"/>
      <c r="I800" s="12"/>
      <c r="J800" s="12"/>
      <c r="K800" s="12"/>
      <c r="L800" s="12"/>
      <c r="M800" s="12"/>
      <c r="N800" s="12"/>
      <c r="O800" s="12"/>
      <c r="P800" s="12"/>
      <c r="Q800" s="12"/>
      <c r="R800" s="12"/>
      <c r="S800" s="12"/>
      <c r="T800" s="12"/>
      <c r="U800" s="12"/>
      <c r="V800" s="4"/>
      <c r="W800" s="4"/>
      <c r="X800" s="12"/>
      <c r="Y800" s="12"/>
      <c r="Z800" s="12"/>
      <c r="AA800" s="12"/>
    </row>
    <row r="801" spans="1:27">
      <c r="A801" s="12"/>
      <c r="B801" s="12"/>
      <c r="C801" s="12"/>
      <c r="D801" s="12"/>
      <c r="E801" s="12"/>
      <c r="F801" s="12"/>
      <c r="G801" s="12"/>
      <c r="H801" s="12"/>
      <c r="I801" s="12"/>
      <c r="J801" s="12"/>
      <c r="K801" s="12"/>
      <c r="L801" s="12"/>
      <c r="M801" s="12"/>
      <c r="N801" s="12"/>
      <c r="O801" s="12"/>
      <c r="P801" s="12"/>
      <c r="Q801" s="12"/>
      <c r="R801" s="12"/>
      <c r="S801" s="12"/>
      <c r="T801" s="12"/>
      <c r="U801" s="12"/>
      <c r="V801" s="4"/>
      <c r="W801" s="4"/>
      <c r="X801" s="12"/>
      <c r="Y801" s="12"/>
      <c r="Z801" s="12"/>
      <c r="AA801" s="12"/>
    </row>
    <row r="802" spans="1:27">
      <c r="A802" s="12"/>
      <c r="B802" s="12"/>
      <c r="C802" s="12"/>
      <c r="D802" s="12"/>
      <c r="E802" s="12"/>
      <c r="F802" s="12"/>
      <c r="G802" s="12"/>
      <c r="H802" s="12"/>
      <c r="I802" s="12"/>
      <c r="J802" s="12"/>
      <c r="K802" s="12"/>
      <c r="L802" s="12"/>
      <c r="M802" s="12"/>
      <c r="N802" s="12"/>
      <c r="O802" s="12"/>
      <c r="P802" s="12"/>
      <c r="Q802" s="12"/>
      <c r="R802" s="12"/>
      <c r="S802" s="12"/>
      <c r="T802" s="12"/>
      <c r="U802" s="12"/>
      <c r="V802" s="4"/>
      <c r="W802" s="4"/>
      <c r="X802" s="12"/>
      <c r="Y802" s="12"/>
      <c r="Z802" s="12"/>
      <c r="AA802" s="12"/>
    </row>
    <row r="803" spans="1:27">
      <c r="A803" s="12"/>
      <c r="B803" s="12"/>
      <c r="C803" s="12"/>
      <c r="D803" s="12"/>
      <c r="E803" s="12"/>
      <c r="F803" s="12"/>
      <c r="G803" s="12"/>
      <c r="H803" s="12"/>
      <c r="I803" s="12"/>
      <c r="J803" s="12"/>
      <c r="K803" s="12"/>
      <c r="L803" s="12"/>
      <c r="M803" s="12"/>
      <c r="N803" s="12"/>
      <c r="O803" s="12"/>
      <c r="P803" s="12"/>
      <c r="Q803" s="12"/>
      <c r="R803" s="12"/>
      <c r="S803" s="12"/>
      <c r="T803" s="12"/>
      <c r="U803" s="12"/>
      <c r="V803" s="4"/>
      <c r="W803" s="4"/>
      <c r="X803" s="12"/>
      <c r="Y803" s="12"/>
      <c r="Z803" s="12"/>
      <c r="AA803" s="12"/>
    </row>
    <row r="804" spans="1:27">
      <c r="A804" s="12"/>
      <c r="B804" s="12"/>
      <c r="C804" s="12"/>
      <c r="D804" s="12"/>
      <c r="E804" s="12"/>
      <c r="F804" s="12"/>
      <c r="G804" s="12"/>
      <c r="H804" s="12"/>
      <c r="I804" s="12"/>
      <c r="J804" s="12"/>
      <c r="K804" s="12"/>
      <c r="L804" s="12"/>
      <c r="M804" s="12"/>
      <c r="N804" s="12"/>
      <c r="O804" s="12"/>
      <c r="P804" s="12"/>
      <c r="Q804" s="12"/>
      <c r="R804" s="12"/>
      <c r="S804" s="12"/>
      <c r="T804" s="12"/>
      <c r="U804" s="12"/>
      <c r="V804" s="4"/>
      <c r="W804" s="4"/>
      <c r="X804" s="12"/>
      <c r="Y804" s="12"/>
      <c r="Z804" s="12"/>
      <c r="AA804" s="12"/>
    </row>
    <row r="805" spans="1:27">
      <c r="A805" s="12"/>
      <c r="B805" s="12"/>
      <c r="C805" s="12"/>
      <c r="D805" s="12"/>
      <c r="E805" s="12"/>
      <c r="F805" s="12"/>
      <c r="G805" s="12"/>
      <c r="H805" s="12"/>
      <c r="I805" s="12"/>
      <c r="J805" s="12"/>
      <c r="K805" s="12"/>
      <c r="L805" s="12"/>
      <c r="M805" s="12"/>
      <c r="N805" s="12"/>
      <c r="O805" s="12"/>
      <c r="P805" s="12"/>
      <c r="Q805" s="12"/>
      <c r="R805" s="12"/>
      <c r="S805" s="12"/>
      <c r="T805" s="12"/>
      <c r="U805" s="12"/>
      <c r="V805" s="4"/>
      <c r="W805" s="4"/>
      <c r="X805" s="12"/>
      <c r="Y805" s="12"/>
      <c r="Z805" s="12"/>
      <c r="AA805" s="12"/>
    </row>
    <row r="806" spans="1:27">
      <c r="A806" s="12"/>
      <c r="B806" s="12"/>
      <c r="C806" s="12"/>
      <c r="D806" s="12"/>
      <c r="E806" s="12"/>
      <c r="F806" s="12"/>
      <c r="G806" s="12"/>
      <c r="H806" s="12"/>
      <c r="I806" s="12"/>
      <c r="J806" s="12"/>
      <c r="K806" s="12"/>
      <c r="L806" s="12"/>
      <c r="M806" s="12"/>
      <c r="N806" s="12"/>
      <c r="O806" s="12"/>
      <c r="P806" s="12"/>
      <c r="Q806" s="12"/>
      <c r="R806" s="12"/>
      <c r="S806" s="12"/>
      <c r="T806" s="12"/>
      <c r="U806" s="12"/>
      <c r="V806" s="4"/>
      <c r="W806" s="4"/>
      <c r="X806" s="12"/>
      <c r="Y806" s="12"/>
      <c r="Z806" s="12"/>
      <c r="AA806" s="12"/>
    </row>
    <row r="807" spans="1:27">
      <c r="A807" s="12"/>
      <c r="B807" s="12"/>
      <c r="C807" s="12"/>
      <c r="D807" s="12"/>
      <c r="E807" s="12"/>
      <c r="F807" s="12"/>
      <c r="G807" s="12"/>
      <c r="H807" s="12"/>
      <c r="I807" s="12"/>
      <c r="J807" s="12"/>
      <c r="K807" s="12"/>
      <c r="L807" s="12"/>
      <c r="M807" s="12"/>
      <c r="N807" s="12"/>
      <c r="O807" s="12"/>
      <c r="P807" s="12"/>
      <c r="Q807" s="12"/>
      <c r="R807" s="12"/>
      <c r="S807" s="12"/>
      <c r="T807" s="12"/>
      <c r="U807" s="12"/>
      <c r="V807" s="4"/>
      <c r="W807" s="4"/>
      <c r="X807" s="12"/>
      <c r="Y807" s="12"/>
      <c r="Z807" s="12"/>
      <c r="AA807" s="12"/>
    </row>
    <row r="808" spans="1:27">
      <c r="A808" s="12"/>
      <c r="B808" s="12"/>
      <c r="C808" s="12"/>
      <c r="D808" s="12"/>
      <c r="E808" s="12"/>
      <c r="F808" s="12"/>
      <c r="G808" s="12"/>
      <c r="H808" s="12"/>
      <c r="I808" s="12"/>
      <c r="J808" s="12"/>
      <c r="K808" s="12"/>
      <c r="L808" s="12"/>
      <c r="M808" s="12"/>
      <c r="N808" s="12"/>
      <c r="O808" s="12"/>
      <c r="P808" s="12"/>
      <c r="Q808" s="12"/>
      <c r="R808" s="12"/>
      <c r="S808" s="12"/>
      <c r="T808" s="12"/>
      <c r="U808" s="12"/>
      <c r="V808" s="4"/>
      <c r="W808" s="4"/>
      <c r="X808" s="12"/>
      <c r="Y808" s="12"/>
      <c r="Z808" s="12"/>
      <c r="AA808" s="12"/>
    </row>
    <row r="809" spans="1:27">
      <c r="A809" s="12"/>
      <c r="B809" s="12"/>
      <c r="C809" s="12"/>
      <c r="D809" s="12"/>
      <c r="E809" s="12"/>
      <c r="F809" s="12"/>
      <c r="G809" s="12"/>
      <c r="H809" s="12"/>
      <c r="I809" s="12"/>
      <c r="J809" s="12"/>
      <c r="K809" s="12"/>
      <c r="L809" s="12"/>
      <c r="M809" s="12"/>
      <c r="N809" s="12"/>
      <c r="O809" s="12"/>
      <c r="P809" s="12"/>
      <c r="Q809" s="12"/>
      <c r="R809" s="12"/>
      <c r="S809" s="12"/>
      <c r="T809" s="12"/>
      <c r="U809" s="12"/>
      <c r="V809" s="4"/>
      <c r="W809" s="4"/>
      <c r="X809" s="12"/>
      <c r="Y809" s="12"/>
      <c r="Z809" s="12"/>
      <c r="AA809" s="12"/>
    </row>
    <row r="810" spans="1:27">
      <c r="A810" s="12"/>
      <c r="B810" s="12"/>
      <c r="C810" s="12"/>
      <c r="D810" s="12"/>
      <c r="E810" s="12"/>
      <c r="F810" s="12"/>
      <c r="G810" s="12"/>
      <c r="H810" s="12"/>
      <c r="I810" s="12"/>
      <c r="J810" s="12"/>
      <c r="K810" s="12"/>
      <c r="L810" s="12"/>
      <c r="M810" s="12"/>
      <c r="N810" s="12"/>
      <c r="O810" s="12"/>
      <c r="P810" s="12"/>
      <c r="Q810" s="12"/>
      <c r="R810" s="12"/>
      <c r="S810" s="12"/>
      <c r="T810" s="12"/>
      <c r="U810" s="12"/>
      <c r="V810" s="4"/>
      <c r="W810" s="4"/>
      <c r="X810" s="12"/>
      <c r="Y810" s="12"/>
      <c r="Z810" s="12"/>
      <c r="AA810" s="12"/>
    </row>
    <row r="811" spans="1:27">
      <c r="A811" s="12"/>
      <c r="B811" s="12"/>
      <c r="C811" s="12"/>
      <c r="D811" s="12"/>
      <c r="E811" s="12"/>
      <c r="F811" s="12"/>
      <c r="G811" s="12"/>
      <c r="H811" s="12"/>
      <c r="I811" s="12"/>
      <c r="J811" s="12"/>
      <c r="K811" s="12"/>
      <c r="L811" s="12"/>
      <c r="M811" s="12"/>
      <c r="N811" s="12"/>
      <c r="O811" s="12"/>
      <c r="P811" s="12"/>
      <c r="Q811" s="12"/>
      <c r="R811" s="12"/>
      <c r="S811" s="12"/>
      <c r="T811" s="12"/>
      <c r="U811" s="12"/>
      <c r="V811" s="4"/>
      <c r="W811" s="4"/>
      <c r="X811" s="12"/>
      <c r="Y811" s="12"/>
      <c r="Z811" s="12"/>
      <c r="AA811" s="12"/>
    </row>
    <row r="812" spans="1:27">
      <c r="A812" s="12"/>
      <c r="B812" s="12"/>
      <c r="C812" s="12"/>
      <c r="D812" s="12"/>
      <c r="E812" s="12"/>
      <c r="F812" s="12"/>
      <c r="G812" s="12"/>
      <c r="H812" s="12"/>
      <c r="I812" s="12"/>
      <c r="J812" s="12"/>
      <c r="K812" s="12"/>
      <c r="L812" s="12"/>
      <c r="M812" s="12"/>
      <c r="N812" s="12"/>
      <c r="O812" s="12"/>
      <c r="P812" s="12"/>
      <c r="Q812" s="12"/>
      <c r="R812" s="12"/>
      <c r="S812" s="12"/>
      <c r="T812" s="12"/>
      <c r="U812" s="12"/>
      <c r="V812" s="4"/>
      <c r="W812" s="4"/>
      <c r="X812" s="12"/>
      <c r="Y812" s="12"/>
      <c r="Z812" s="12"/>
      <c r="AA812" s="12"/>
    </row>
    <row r="813" spans="1:27">
      <c r="A813" s="12"/>
      <c r="B813" s="12"/>
      <c r="C813" s="12"/>
      <c r="D813" s="12"/>
      <c r="E813" s="12"/>
      <c r="F813" s="12"/>
      <c r="G813" s="12"/>
      <c r="H813" s="12"/>
      <c r="I813" s="12"/>
      <c r="J813" s="12"/>
      <c r="K813" s="12"/>
      <c r="L813" s="12"/>
      <c r="M813" s="12"/>
      <c r="N813" s="12"/>
      <c r="O813" s="12"/>
      <c r="P813" s="12"/>
      <c r="Q813" s="12"/>
      <c r="R813" s="12"/>
      <c r="S813" s="12"/>
      <c r="T813" s="12"/>
      <c r="U813" s="12"/>
      <c r="V813" s="4"/>
      <c r="W813" s="4"/>
      <c r="X813" s="12"/>
      <c r="Y813" s="12"/>
      <c r="Z813" s="12"/>
      <c r="AA813" s="12"/>
    </row>
    <row r="814" spans="1:27">
      <c r="A814" s="12"/>
      <c r="B814" s="12"/>
      <c r="C814" s="12"/>
      <c r="D814" s="12"/>
      <c r="E814" s="12"/>
      <c r="F814" s="12"/>
      <c r="G814" s="12"/>
      <c r="H814" s="12"/>
      <c r="I814" s="12"/>
      <c r="J814" s="12"/>
      <c r="K814" s="12"/>
      <c r="L814" s="12"/>
      <c r="M814" s="12"/>
      <c r="N814" s="12"/>
      <c r="O814" s="12"/>
      <c r="P814" s="12"/>
      <c r="Q814" s="12"/>
      <c r="R814" s="12"/>
      <c r="S814" s="12"/>
      <c r="T814" s="12"/>
      <c r="U814" s="12"/>
      <c r="V814" s="4"/>
      <c r="W814" s="4"/>
      <c r="X814" s="12"/>
      <c r="Y814" s="12"/>
      <c r="Z814" s="12"/>
      <c r="AA814" s="12"/>
    </row>
    <row r="815" spans="1:27">
      <c r="A815" s="12"/>
      <c r="B815" s="12"/>
      <c r="C815" s="12"/>
      <c r="D815" s="12"/>
      <c r="E815" s="12"/>
      <c r="F815" s="12"/>
      <c r="G815" s="12"/>
      <c r="H815" s="12"/>
      <c r="I815" s="12"/>
      <c r="J815" s="12"/>
      <c r="K815" s="12"/>
      <c r="L815" s="12"/>
      <c r="M815" s="12"/>
      <c r="N815" s="12"/>
      <c r="O815" s="12"/>
      <c r="P815" s="12"/>
      <c r="Q815" s="12"/>
      <c r="R815" s="12"/>
      <c r="S815" s="12"/>
      <c r="T815" s="12"/>
      <c r="U815" s="12"/>
      <c r="V815" s="4"/>
      <c r="W815" s="4"/>
      <c r="X815" s="12"/>
      <c r="Y815" s="12"/>
      <c r="Z815" s="12"/>
      <c r="AA815" s="12"/>
    </row>
    <row r="816" spans="1:27">
      <c r="A816" s="12"/>
      <c r="B816" s="12"/>
      <c r="C816" s="12"/>
      <c r="D816" s="12"/>
      <c r="E816" s="12"/>
      <c r="F816" s="12"/>
      <c r="G816" s="12"/>
      <c r="H816" s="12"/>
      <c r="I816" s="12"/>
      <c r="J816" s="12"/>
      <c r="K816" s="12"/>
      <c r="L816" s="12"/>
      <c r="M816" s="12"/>
      <c r="N816" s="12"/>
      <c r="O816" s="12"/>
      <c r="P816" s="12"/>
      <c r="Q816" s="12"/>
      <c r="R816" s="12"/>
      <c r="S816" s="12"/>
      <c r="T816" s="12"/>
      <c r="U816" s="12"/>
      <c r="V816" s="4"/>
      <c r="W816" s="4"/>
      <c r="X816" s="12"/>
      <c r="Y816" s="12"/>
      <c r="Z816" s="12"/>
      <c r="AA816" s="12"/>
    </row>
    <row r="817" spans="1:27">
      <c r="A817" s="12"/>
      <c r="B817" s="12"/>
      <c r="C817" s="12"/>
      <c r="D817" s="12"/>
      <c r="E817" s="12"/>
      <c r="F817" s="12"/>
      <c r="G817" s="12"/>
      <c r="H817" s="12"/>
      <c r="I817" s="12"/>
      <c r="J817" s="12"/>
      <c r="K817" s="12"/>
      <c r="L817" s="12"/>
      <c r="M817" s="12"/>
      <c r="N817" s="12"/>
      <c r="O817" s="12"/>
      <c r="P817" s="12"/>
      <c r="Q817" s="12"/>
      <c r="R817" s="12"/>
      <c r="S817" s="12"/>
      <c r="T817" s="12"/>
      <c r="U817" s="12"/>
      <c r="V817" s="4"/>
      <c r="W817" s="4"/>
      <c r="X817" s="12"/>
      <c r="Y817" s="12"/>
      <c r="Z817" s="12"/>
      <c r="AA817" s="12"/>
    </row>
    <row r="818" spans="1:27">
      <c r="A818" s="12"/>
      <c r="B818" s="12"/>
      <c r="C818" s="12"/>
      <c r="D818" s="12"/>
      <c r="E818" s="12"/>
      <c r="F818" s="12"/>
      <c r="G818" s="12"/>
      <c r="H818" s="12"/>
      <c r="I818" s="12"/>
      <c r="J818" s="12"/>
      <c r="K818" s="12"/>
      <c r="L818" s="12"/>
      <c r="M818" s="12"/>
      <c r="N818" s="12"/>
      <c r="O818" s="12"/>
      <c r="P818" s="12"/>
      <c r="Q818" s="12"/>
      <c r="R818" s="12"/>
      <c r="S818" s="12"/>
      <c r="T818" s="12"/>
      <c r="U818" s="12"/>
      <c r="V818" s="4"/>
      <c r="W818" s="4"/>
      <c r="X818" s="12"/>
      <c r="Y818" s="12"/>
      <c r="Z818" s="12"/>
      <c r="AA818" s="12"/>
    </row>
    <row r="819" spans="1:27">
      <c r="A819" s="12"/>
      <c r="B819" s="12"/>
      <c r="C819" s="12"/>
      <c r="D819" s="12"/>
      <c r="E819" s="12"/>
      <c r="F819" s="12"/>
      <c r="G819" s="12"/>
      <c r="H819" s="12"/>
      <c r="I819" s="12"/>
      <c r="J819" s="12"/>
      <c r="K819" s="12"/>
      <c r="L819" s="12"/>
      <c r="M819" s="12"/>
      <c r="N819" s="12"/>
      <c r="O819" s="12"/>
      <c r="P819" s="12"/>
      <c r="Q819" s="12"/>
      <c r="R819" s="12"/>
      <c r="S819" s="12"/>
      <c r="T819" s="12"/>
      <c r="U819" s="12"/>
      <c r="V819" s="4"/>
      <c r="W819" s="4"/>
      <c r="X819" s="12"/>
      <c r="Y819" s="12"/>
      <c r="Z819" s="12"/>
      <c r="AA819" s="12"/>
    </row>
    <row r="820" spans="1:27">
      <c r="A820" s="12"/>
      <c r="B820" s="12"/>
      <c r="C820" s="12"/>
      <c r="D820" s="12"/>
      <c r="E820" s="12"/>
      <c r="F820" s="12"/>
      <c r="G820" s="12"/>
      <c r="H820" s="12"/>
      <c r="I820" s="12"/>
      <c r="J820" s="12"/>
      <c r="K820" s="12"/>
      <c r="L820" s="12"/>
      <c r="M820" s="12"/>
      <c r="N820" s="12"/>
      <c r="O820" s="12"/>
      <c r="P820" s="12"/>
      <c r="Q820" s="12"/>
      <c r="R820" s="12"/>
      <c r="S820" s="12"/>
      <c r="T820" s="12"/>
      <c r="U820" s="12"/>
      <c r="V820" s="4"/>
      <c r="W820" s="4"/>
      <c r="X820" s="12"/>
      <c r="Y820" s="12"/>
      <c r="Z820" s="12"/>
      <c r="AA820" s="12"/>
    </row>
    <row r="821" spans="1:27">
      <c r="A821" s="12"/>
      <c r="B821" s="12"/>
      <c r="C821" s="12"/>
      <c r="D821" s="12"/>
      <c r="E821" s="12"/>
      <c r="F821" s="12"/>
      <c r="G821" s="12"/>
      <c r="H821" s="12"/>
      <c r="I821" s="12"/>
      <c r="J821" s="12"/>
      <c r="K821" s="12"/>
      <c r="L821" s="12"/>
      <c r="M821" s="12"/>
      <c r="N821" s="12"/>
      <c r="O821" s="12"/>
      <c r="P821" s="12"/>
      <c r="Q821" s="12"/>
      <c r="R821" s="12"/>
      <c r="S821" s="12"/>
      <c r="T821" s="12"/>
      <c r="U821" s="12"/>
      <c r="V821" s="4"/>
      <c r="W821" s="4"/>
      <c r="X821" s="12"/>
      <c r="Y821" s="12"/>
      <c r="Z821" s="12"/>
      <c r="AA821" s="12"/>
    </row>
    <row r="822" spans="1:27">
      <c r="A822" s="12"/>
      <c r="B822" s="12"/>
      <c r="C822" s="12"/>
      <c r="D822" s="12"/>
      <c r="E822" s="12"/>
      <c r="F822" s="12"/>
      <c r="G822" s="12"/>
      <c r="H822" s="12"/>
      <c r="I822" s="12"/>
      <c r="J822" s="12"/>
      <c r="K822" s="12"/>
      <c r="L822" s="12"/>
      <c r="M822" s="12"/>
      <c r="N822" s="12"/>
      <c r="O822" s="12"/>
      <c r="P822" s="12"/>
      <c r="Q822" s="12"/>
      <c r="R822" s="12"/>
      <c r="S822" s="12"/>
      <c r="T822" s="12"/>
      <c r="U822" s="12"/>
      <c r="V822" s="4"/>
      <c r="W822" s="4"/>
      <c r="X822" s="12"/>
      <c r="Y822" s="12"/>
      <c r="Z822" s="12"/>
      <c r="AA822" s="12"/>
    </row>
    <row r="823" spans="1:27">
      <c r="A823" s="12"/>
      <c r="B823" s="12"/>
      <c r="C823" s="12"/>
      <c r="D823" s="12"/>
      <c r="E823" s="12"/>
      <c r="F823" s="12"/>
      <c r="G823" s="12"/>
      <c r="H823" s="12"/>
      <c r="I823" s="12"/>
      <c r="J823" s="12"/>
      <c r="K823" s="12"/>
      <c r="L823" s="12"/>
      <c r="M823" s="12"/>
      <c r="N823" s="12"/>
      <c r="O823" s="12"/>
      <c r="P823" s="12"/>
      <c r="Q823" s="12"/>
      <c r="R823" s="12"/>
      <c r="S823" s="12"/>
      <c r="T823" s="12"/>
      <c r="U823" s="12"/>
      <c r="V823" s="4"/>
      <c r="W823" s="4"/>
      <c r="X823" s="12"/>
      <c r="Y823" s="12"/>
      <c r="Z823" s="12"/>
      <c r="AA823" s="12"/>
    </row>
    <row r="824" spans="1:27">
      <c r="A824" s="12"/>
      <c r="B824" s="12"/>
      <c r="C824" s="12"/>
      <c r="D824" s="12"/>
      <c r="E824" s="12"/>
      <c r="F824" s="12"/>
      <c r="G824" s="12"/>
      <c r="H824" s="12"/>
      <c r="I824" s="12"/>
      <c r="J824" s="12"/>
      <c r="K824" s="12"/>
      <c r="L824" s="12"/>
      <c r="M824" s="12"/>
      <c r="N824" s="12"/>
      <c r="O824" s="12"/>
      <c r="P824" s="12"/>
      <c r="Q824" s="12"/>
      <c r="R824" s="12"/>
      <c r="S824" s="12"/>
      <c r="T824" s="12"/>
      <c r="U824" s="12"/>
      <c r="V824" s="4"/>
      <c r="W824" s="4"/>
      <c r="X824" s="12"/>
      <c r="Y824" s="12"/>
      <c r="Z824" s="12"/>
      <c r="AA824" s="12"/>
    </row>
    <row r="825" spans="1:27">
      <c r="A825" s="12"/>
      <c r="B825" s="12"/>
      <c r="C825" s="12"/>
      <c r="D825" s="12"/>
      <c r="E825" s="12"/>
      <c r="F825" s="12"/>
      <c r="G825" s="12"/>
      <c r="H825" s="12"/>
      <c r="I825" s="12"/>
      <c r="J825" s="12"/>
      <c r="K825" s="12"/>
      <c r="L825" s="12"/>
      <c r="M825" s="12"/>
      <c r="N825" s="12"/>
      <c r="O825" s="12"/>
      <c r="P825" s="12"/>
      <c r="Q825" s="12"/>
      <c r="R825" s="12"/>
      <c r="S825" s="12"/>
      <c r="T825" s="12"/>
      <c r="U825" s="12"/>
      <c r="V825" s="4"/>
      <c r="W825" s="4"/>
      <c r="X825" s="12"/>
      <c r="Y825" s="12"/>
      <c r="Z825" s="12"/>
      <c r="AA825" s="12"/>
    </row>
    <row r="826" spans="1:27">
      <c r="A826" s="12"/>
      <c r="B826" s="12"/>
      <c r="C826" s="12"/>
      <c r="D826" s="12"/>
      <c r="E826" s="12"/>
      <c r="F826" s="12"/>
      <c r="G826" s="12"/>
      <c r="H826" s="12"/>
      <c r="I826" s="12"/>
      <c r="J826" s="12"/>
      <c r="K826" s="12"/>
      <c r="L826" s="12"/>
      <c r="M826" s="12"/>
      <c r="N826" s="12"/>
      <c r="O826" s="12"/>
      <c r="P826" s="12"/>
      <c r="Q826" s="12"/>
      <c r="R826" s="12"/>
      <c r="S826" s="12"/>
      <c r="T826" s="12"/>
      <c r="U826" s="12"/>
      <c r="V826" s="4"/>
      <c r="W826" s="4"/>
      <c r="X826" s="12"/>
      <c r="Y826" s="12"/>
      <c r="Z826" s="12"/>
      <c r="AA826" s="12"/>
    </row>
    <row r="827" spans="1:27">
      <c r="A827" s="12"/>
      <c r="B827" s="12"/>
      <c r="C827" s="12"/>
      <c r="D827" s="12"/>
      <c r="E827" s="12"/>
      <c r="F827" s="12"/>
      <c r="G827" s="12"/>
      <c r="H827" s="12"/>
      <c r="I827" s="12"/>
      <c r="J827" s="12"/>
      <c r="K827" s="12"/>
      <c r="L827" s="12"/>
      <c r="M827" s="12"/>
      <c r="N827" s="12"/>
      <c r="O827" s="12"/>
      <c r="P827" s="12"/>
      <c r="Q827" s="12"/>
      <c r="R827" s="12"/>
      <c r="S827" s="12"/>
      <c r="T827" s="12"/>
      <c r="U827" s="12"/>
      <c r="V827" s="4"/>
      <c r="W827" s="4"/>
      <c r="X827" s="12"/>
      <c r="Y827" s="12"/>
      <c r="Z827" s="12"/>
      <c r="AA827" s="12"/>
    </row>
    <row r="828" spans="1:27">
      <c r="A828" s="12"/>
      <c r="B828" s="12"/>
      <c r="C828" s="12"/>
      <c r="D828" s="12"/>
      <c r="E828" s="12"/>
      <c r="F828" s="12"/>
      <c r="G828" s="12"/>
      <c r="H828" s="12"/>
      <c r="I828" s="12"/>
      <c r="J828" s="12"/>
      <c r="K828" s="12"/>
      <c r="L828" s="12"/>
      <c r="M828" s="12"/>
      <c r="N828" s="12"/>
      <c r="O828" s="12"/>
      <c r="P828" s="12"/>
      <c r="Q828" s="12"/>
      <c r="R828" s="12"/>
      <c r="S828" s="12"/>
      <c r="T828" s="12"/>
      <c r="U828" s="12"/>
      <c r="V828" s="4"/>
      <c r="W828" s="4"/>
      <c r="X828" s="12"/>
      <c r="Y828" s="12"/>
      <c r="Z828" s="12"/>
      <c r="AA828" s="12"/>
    </row>
    <row r="829" spans="1:27">
      <c r="A829" s="12"/>
      <c r="B829" s="12"/>
      <c r="C829" s="12"/>
      <c r="D829" s="12"/>
      <c r="E829" s="12"/>
      <c r="F829" s="12"/>
      <c r="G829" s="12"/>
      <c r="H829" s="12"/>
      <c r="I829" s="12"/>
      <c r="J829" s="12"/>
      <c r="K829" s="12"/>
      <c r="L829" s="12"/>
      <c r="M829" s="12"/>
      <c r="N829" s="12"/>
      <c r="O829" s="12"/>
      <c r="P829" s="12"/>
      <c r="Q829" s="12"/>
      <c r="R829" s="12"/>
      <c r="S829" s="12"/>
      <c r="T829" s="12"/>
      <c r="U829" s="12"/>
      <c r="V829" s="4"/>
      <c r="W829" s="4"/>
      <c r="X829" s="12"/>
      <c r="Y829" s="12"/>
      <c r="Z829" s="12"/>
      <c r="AA829" s="12"/>
    </row>
    <row r="830" spans="1:27">
      <c r="A830" s="12"/>
      <c r="B830" s="12"/>
      <c r="C830" s="12"/>
      <c r="D830" s="12"/>
      <c r="E830" s="12"/>
      <c r="F830" s="12"/>
      <c r="G830" s="12"/>
      <c r="H830" s="12"/>
      <c r="I830" s="12"/>
      <c r="J830" s="12"/>
      <c r="K830" s="12"/>
      <c r="L830" s="12"/>
      <c r="M830" s="12"/>
      <c r="N830" s="12"/>
      <c r="O830" s="12"/>
      <c r="P830" s="12"/>
      <c r="Q830" s="12"/>
      <c r="R830" s="12"/>
      <c r="S830" s="12"/>
      <c r="T830" s="12"/>
      <c r="U830" s="12"/>
      <c r="V830" s="4"/>
      <c r="W830" s="4"/>
      <c r="X830" s="12"/>
      <c r="Y830" s="12"/>
      <c r="Z830" s="12"/>
      <c r="AA830" s="12"/>
    </row>
    <row r="831" spans="1:27">
      <c r="A831" s="12"/>
      <c r="B831" s="12"/>
      <c r="C831" s="12"/>
      <c r="D831" s="12"/>
      <c r="E831" s="12"/>
      <c r="F831" s="12"/>
      <c r="G831" s="12"/>
      <c r="H831" s="12"/>
      <c r="I831" s="12"/>
      <c r="J831" s="12"/>
      <c r="K831" s="12"/>
      <c r="L831" s="12"/>
      <c r="M831" s="12"/>
      <c r="N831" s="12"/>
      <c r="O831" s="12"/>
      <c r="P831" s="12"/>
      <c r="Q831" s="12"/>
      <c r="R831" s="12"/>
      <c r="S831" s="12"/>
      <c r="T831" s="12"/>
      <c r="U831" s="12"/>
      <c r="V831" s="4"/>
      <c r="W831" s="4"/>
      <c r="X831" s="12"/>
      <c r="Y831" s="12"/>
      <c r="Z831" s="12"/>
      <c r="AA831" s="12"/>
    </row>
    <row r="832" spans="1:27">
      <c r="A832" s="12"/>
      <c r="B832" s="12"/>
      <c r="C832" s="12"/>
      <c r="D832" s="12"/>
      <c r="E832" s="12"/>
      <c r="F832" s="12"/>
      <c r="G832" s="12"/>
      <c r="H832" s="12"/>
      <c r="I832" s="12"/>
      <c r="J832" s="12"/>
      <c r="K832" s="12"/>
      <c r="L832" s="12"/>
      <c r="M832" s="12"/>
      <c r="N832" s="12"/>
      <c r="O832" s="12"/>
      <c r="P832" s="12"/>
      <c r="Q832" s="12"/>
      <c r="R832" s="12"/>
      <c r="S832" s="12"/>
      <c r="T832" s="12"/>
      <c r="U832" s="12"/>
      <c r="V832" s="4"/>
      <c r="W832" s="4"/>
      <c r="X832" s="12"/>
      <c r="Y832" s="12"/>
      <c r="Z832" s="12"/>
      <c r="AA832" s="12"/>
    </row>
    <row r="833" spans="1:27">
      <c r="A833" s="12"/>
      <c r="B833" s="12"/>
      <c r="C833" s="12"/>
      <c r="D833" s="12"/>
      <c r="E833" s="12"/>
      <c r="F833" s="12"/>
      <c r="G833" s="12"/>
      <c r="H833" s="12"/>
      <c r="I833" s="12"/>
      <c r="J833" s="12"/>
      <c r="K833" s="12"/>
      <c r="L833" s="12"/>
      <c r="M833" s="12"/>
      <c r="N833" s="12"/>
      <c r="O833" s="12"/>
      <c r="P833" s="12"/>
      <c r="Q833" s="12"/>
      <c r="R833" s="12"/>
      <c r="S833" s="12"/>
      <c r="T833" s="12"/>
      <c r="U833" s="12"/>
      <c r="V833" s="4"/>
      <c r="W833" s="4"/>
      <c r="X833" s="12"/>
      <c r="Y833" s="12"/>
      <c r="Z833" s="12"/>
      <c r="AA833" s="12"/>
    </row>
    <row r="834" spans="1:27">
      <c r="A834" s="12"/>
      <c r="B834" s="12"/>
      <c r="C834" s="12"/>
      <c r="D834" s="12"/>
      <c r="E834" s="12"/>
      <c r="F834" s="12"/>
      <c r="G834" s="12"/>
      <c r="H834" s="12"/>
      <c r="I834" s="12"/>
      <c r="J834" s="12"/>
      <c r="K834" s="12"/>
      <c r="L834" s="12"/>
      <c r="M834" s="12"/>
      <c r="N834" s="12"/>
      <c r="O834" s="12"/>
      <c r="P834" s="12"/>
      <c r="Q834" s="12"/>
      <c r="R834" s="12"/>
      <c r="S834" s="12"/>
      <c r="T834" s="12"/>
      <c r="U834" s="12"/>
      <c r="V834" s="4"/>
      <c r="W834" s="4"/>
      <c r="X834" s="12"/>
      <c r="Y834" s="12"/>
      <c r="Z834" s="12"/>
      <c r="AA834" s="12"/>
    </row>
    <row r="835" spans="1:27">
      <c r="A835" s="12"/>
      <c r="B835" s="12"/>
      <c r="C835" s="12"/>
      <c r="D835" s="12"/>
      <c r="E835" s="12"/>
      <c r="F835" s="12"/>
      <c r="G835" s="12"/>
      <c r="H835" s="12"/>
      <c r="I835" s="12"/>
      <c r="J835" s="12"/>
      <c r="K835" s="12"/>
      <c r="L835" s="12"/>
      <c r="M835" s="12"/>
      <c r="N835" s="12"/>
      <c r="O835" s="12"/>
      <c r="P835" s="12"/>
      <c r="Q835" s="12"/>
      <c r="R835" s="12"/>
      <c r="S835" s="12"/>
      <c r="T835" s="12"/>
      <c r="U835" s="12"/>
      <c r="V835" s="4"/>
      <c r="W835" s="4"/>
      <c r="X835" s="12"/>
      <c r="Y835" s="12"/>
      <c r="Z835" s="12"/>
      <c r="AA835" s="12"/>
    </row>
    <row r="836" spans="1:27">
      <c r="A836" s="12"/>
      <c r="B836" s="12"/>
      <c r="C836" s="12"/>
      <c r="D836" s="12"/>
      <c r="E836" s="12"/>
      <c r="F836" s="12"/>
      <c r="G836" s="12"/>
      <c r="H836" s="12"/>
      <c r="I836" s="12"/>
      <c r="J836" s="12"/>
      <c r="K836" s="12"/>
      <c r="L836" s="12"/>
      <c r="M836" s="12"/>
      <c r="N836" s="12"/>
      <c r="O836" s="12"/>
      <c r="P836" s="12"/>
      <c r="Q836" s="12"/>
      <c r="R836" s="12"/>
      <c r="S836" s="12"/>
      <c r="T836" s="12"/>
      <c r="U836" s="12"/>
      <c r="V836" s="4"/>
      <c r="W836" s="4"/>
      <c r="X836" s="12"/>
      <c r="Y836" s="12"/>
      <c r="Z836" s="12"/>
      <c r="AA836" s="12"/>
    </row>
    <row r="837" spans="1:27">
      <c r="A837" s="12"/>
      <c r="B837" s="12"/>
      <c r="C837" s="12"/>
      <c r="D837" s="12"/>
      <c r="E837" s="12"/>
      <c r="F837" s="12"/>
      <c r="G837" s="12"/>
      <c r="H837" s="12"/>
      <c r="I837" s="12"/>
      <c r="J837" s="12"/>
      <c r="K837" s="12"/>
      <c r="L837" s="12"/>
      <c r="M837" s="12"/>
      <c r="N837" s="12"/>
      <c r="O837" s="12"/>
      <c r="P837" s="12"/>
      <c r="Q837" s="12"/>
      <c r="R837" s="12"/>
      <c r="S837" s="12"/>
      <c r="T837" s="12"/>
      <c r="U837" s="12"/>
      <c r="V837" s="4"/>
      <c r="W837" s="4"/>
      <c r="X837" s="12"/>
      <c r="Y837" s="12"/>
      <c r="Z837" s="12"/>
      <c r="AA837" s="12"/>
    </row>
    <row r="838" spans="1:27">
      <c r="A838" s="12"/>
      <c r="B838" s="12"/>
      <c r="C838" s="12"/>
      <c r="D838" s="12"/>
      <c r="E838" s="12"/>
      <c r="F838" s="12"/>
      <c r="G838" s="12"/>
      <c r="H838" s="12"/>
      <c r="I838" s="12"/>
      <c r="J838" s="12"/>
      <c r="K838" s="12"/>
      <c r="L838" s="12"/>
      <c r="M838" s="12"/>
      <c r="N838" s="12"/>
      <c r="O838" s="12"/>
      <c r="P838" s="12"/>
      <c r="Q838" s="12"/>
      <c r="R838" s="12"/>
      <c r="S838" s="12"/>
      <c r="T838" s="12"/>
      <c r="U838" s="12"/>
      <c r="V838" s="4"/>
      <c r="W838" s="4"/>
      <c r="X838" s="12"/>
      <c r="Y838" s="12"/>
      <c r="Z838" s="12"/>
      <c r="AA838" s="12"/>
    </row>
    <row r="839" spans="1:27">
      <c r="A839" s="12"/>
      <c r="B839" s="12"/>
      <c r="C839" s="12"/>
      <c r="D839" s="12"/>
      <c r="E839" s="12"/>
      <c r="F839" s="12"/>
      <c r="G839" s="12"/>
      <c r="H839" s="12"/>
      <c r="I839" s="12"/>
      <c r="J839" s="12"/>
      <c r="K839" s="12"/>
      <c r="L839" s="12"/>
      <c r="M839" s="12"/>
      <c r="N839" s="12"/>
      <c r="O839" s="12"/>
      <c r="P839" s="12"/>
      <c r="Q839" s="12"/>
      <c r="R839" s="12"/>
      <c r="S839" s="12"/>
      <c r="T839" s="12"/>
      <c r="U839" s="12"/>
      <c r="V839" s="4"/>
      <c r="W839" s="4"/>
      <c r="X839" s="12"/>
      <c r="Y839" s="12"/>
      <c r="Z839" s="12"/>
      <c r="AA839" s="12"/>
    </row>
    <row r="840" spans="1:27">
      <c r="A840" s="12"/>
      <c r="B840" s="12"/>
      <c r="C840" s="12"/>
      <c r="D840" s="12"/>
      <c r="E840" s="12"/>
      <c r="F840" s="12"/>
      <c r="G840" s="12"/>
      <c r="H840" s="12"/>
      <c r="I840" s="12"/>
      <c r="J840" s="12"/>
      <c r="K840" s="12"/>
      <c r="L840" s="12"/>
      <c r="M840" s="12"/>
      <c r="N840" s="12"/>
      <c r="O840" s="12"/>
      <c r="P840" s="12"/>
      <c r="Q840" s="12"/>
      <c r="R840" s="12"/>
      <c r="S840" s="12"/>
      <c r="T840" s="12"/>
      <c r="U840" s="12"/>
      <c r="V840" s="4"/>
      <c r="W840" s="4"/>
      <c r="X840" s="12"/>
      <c r="Y840" s="12"/>
      <c r="Z840" s="12"/>
      <c r="AA840" s="12"/>
    </row>
    <row r="841" spans="1:27">
      <c r="A841" s="12"/>
      <c r="B841" s="12"/>
      <c r="C841" s="12"/>
      <c r="D841" s="12"/>
      <c r="E841" s="12"/>
      <c r="F841" s="12"/>
      <c r="G841" s="12"/>
      <c r="H841" s="12"/>
      <c r="I841" s="12"/>
      <c r="J841" s="12"/>
      <c r="K841" s="12"/>
      <c r="L841" s="12"/>
      <c r="M841" s="12"/>
      <c r="N841" s="12"/>
      <c r="O841" s="12"/>
      <c r="P841" s="12"/>
      <c r="Q841" s="12"/>
      <c r="R841" s="12"/>
      <c r="S841" s="12"/>
      <c r="T841" s="12"/>
      <c r="U841" s="12"/>
      <c r="V841" s="4"/>
      <c r="W841" s="4"/>
      <c r="X841" s="12"/>
      <c r="Y841" s="12"/>
      <c r="Z841" s="12"/>
      <c r="AA841" s="12"/>
    </row>
    <row r="842" spans="1:27">
      <c r="A842" s="12"/>
      <c r="B842" s="12"/>
      <c r="C842" s="12"/>
      <c r="D842" s="12"/>
      <c r="E842" s="12"/>
      <c r="F842" s="12"/>
      <c r="G842" s="12"/>
      <c r="H842" s="12"/>
      <c r="I842" s="12"/>
      <c r="J842" s="12"/>
      <c r="K842" s="12"/>
      <c r="L842" s="12"/>
      <c r="M842" s="12"/>
      <c r="N842" s="12"/>
      <c r="O842" s="12"/>
      <c r="P842" s="12"/>
      <c r="Q842" s="12"/>
      <c r="R842" s="12"/>
      <c r="S842" s="12"/>
      <c r="T842" s="12"/>
      <c r="U842" s="12"/>
      <c r="V842" s="4"/>
      <c r="W842" s="4"/>
      <c r="X842" s="12"/>
      <c r="Y842" s="12"/>
      <c r="Z842" s="12"/>
      <c r="AA842" s="12"/>
    </row>
    <row r="843" spans="1:27">
      <c r="A843" s="12"/>
      <c r="B843" s="12"/>
      <c r="C843" s="12"/>
      <c r="D843" s="12"/>
      <c r="E843" s="12"/>
      <c r="F843" s="12"/>
      <c r="G843" s="12"/>
      <c r="H843" s="12"/>
      <c r="I843" s="12"/>
      <c r="J843" s="12"/>
      <c r="K843" s="12"/>
      <c r="L843" s="12"/>
      <c r="M843" s="12"/>
      <c r="N843" s="12"/>
      <c r="O843" s="12"/>
      <c r="P843" s="12"/>
      <c r="Q843" s="12"/>
      <c r="R843" s="12"/>
      <c r="S843" s="12"/>
      <c r="T843" s="12"/>
      <c r="U843" s="12"/>
      <c r="V843" s="4"/>
      <c r="W843" s="4"/>
      <c r="X843" s="12"/>
      <c r="Y843" s="12"/>
      <c r="Z843" s="12"/>
      <c r="AA843" s="12"/>
    </row>
    <row r="844" spans="1:27">
      <c r="A844" s="12"/>
      <c r="B844" s="12"/>
      <c r="C844" s="12"/>
      <c r="D844" s="12"/>
      <c r="E844" s="12"/>
      <c r="F844" s="12"/>
      <c r="G844" s="12"/>
      <c r="H844" s="12"/>
      <c r="I844" s="12"/>
      <c r="J844" s="12"/>
      <c r="K844" s="12"/>
      <c r="L844" s="12"/>
      <c r="M844" s="12"/>
      <c r="N844" s="12"/>
      <c r="O844" s="12"/>
      <c r="P844" s="12"/>
      <c r="Q844" s="12"/>
      <c r="R844" s="12"/>
      <c r="S844" s="12"/>
      <c r="T844" s="12"/>
      <c r="U844" s="12"/>
      <c r="V844" s="4"/>
      <c r="W844" s="4"/>
      <c r="X844" s="12"/>
      <c r="Y844" s="12"/>
      <c r="Z844" s="12"/>
      <c r="AA844" s="12"/>
    </row>
    <row r="845" spans="1:27">
      <c r="A845" s="12"/>
      <c r="B845" s="12"/>
      <c r="C845" s="12"/>
      <c r="D845" s="12"/>
      <c r="E845" s="12"/>
      <c r="F845" s="12"/>
      <c r="G845" s="12"/>
      <c r="H845" s="12"/>
      <c r="I845" s="12"/>
      <c r="J845" s="12"/>
      <c r="K845" s="12"/>
      <c r="L845" s="12"/>
      <c r="M845" s="12"/>
      <c r="N845" s="12"/>
      <c r="O845" s="12"/>
      <c r="P845" s="12"/>
      <c r="Q845" s="12"/>
      <c r="R845" s="12"/>
      <c r="S845" s="12"/>
      <c r="T845" s="12"/>
      <c r="U845" s="12"/>
      <c r="V845" s="4"/>
      <c r="W845" s="4"/>
      <c r="X845" s="12"/>
      <c r="Y845" s="12"/>
      <c r="Z845" s="12"/>
      <c r="AA845" s="12"/>
    </row>
    <row r="846" spans="1:27">
      <c r="A846" s="12"/>
      <c r="B846" s="12"/>
      <c r="C846" s="12"/>
      <c r="D846" s="12"/>
      <c r="E846" s="12"/>
      <c r="F846" s="12"/>
      <c r="G846" s="12"/>
      <c r="H846" s="12"/>
      <c r="I846" s="12"/>
      <c r="J846" s="12"/>
      <c r="K846" s="12"/>
      <c r="L846" s="12"/>
      <c r="M846" s="12"/>
      <c r="N846" s="12"/>
      <c r="O846" s="12"/>
      <c r="P846" s="12"/>
      <c r="Q846" s="12"/>
      <c r="R846" s="12"/>
      <c r="S846" s="12"/>
      <c r="T846" s="12"/>
      <c r="U846" s="12"/>
      <c r="V846" s="4"/>
      <c r="W846" s="4"/>
      <c r="X846" s="12"/>
      <c r="Y846" s="12"/>
      <c r="Z846" s="12"/>
      <c r="AA846" s="12"/>
    </row>
    <row r="847" spans="1:27">
      <c r="A847" s="12"/>
      <c r="B847" s="12"/>
      <c r="C847" s="12"/>
      <c r="D847" s="12"/>
      <c r="E847" s="12"/>
      <c r="F847" s="12"/>
      <c r="G847" s="12"/>
      <c r="H847" s="12"/>
      <c r="I847" s="12"/>
      <c r="J847" s="12"/>
      <c r="K847" s="12"/>
      <c r="L847" s="12"/>
      <c r="M847" s="12"/>
      <c r="N847" s="12"/>
      <c r="O847" s="12"/>
      <c r="P847" s="12"/>
      <c r="Q847" s="12"/>
      <c r="R847" s="12"/>
      <c r="S847" s="12"/>
      <c r="T847" s="12"/>
      <c r="U847" s="12"/>
      <c r="V847" s="4"/>
      <c r="W847" s="4"/>
      <c r="X847" s="12"/>
      <c r="Y847" s="12"/>
      <c r="Z847" s="12"/>
      <c r="AA847" s="12"/>
    </row>
    <row r="848" spans="1:27">
      <c r="A848" s="12"/>
      <c r="B848" s="12"/>
      <c r="C848" s="12"/>
      <c r="D848" s="12"/>
      <c r="E848" s="12"/>
      <c r="F848" s="12"/>
      <c r="G848" s="12"/>
      <c r="H848" s="12"/>
      <c r="I848" s="12"/>
      <c r="J848" s="12"/>
      <c r="K848" s="12"/>
      <c r="L848" s="12"/>
      <c r="M848" s="12"/>
      <c r="N848" s="12"/>
      <c r="O848" s="12"/>
      <c r="P848" s="12"/>
      <c r="Q848" s="12"/>
      <c r="R848" s="12"/>
      <c r="S848" s="12"/>
      <c r="T848" s="12"/>
      <c r="U848" s="12"/>
      <c r="V848" s="4"/>
      <c r="W848" s="4"/>
      <c r="X848" s="12"/>
      <c r="Y848" s="12"/>
      <c r="Z848" s="12"/>
      <c r="AA848" s="12"/>
    </row>
    <row r="849" spans="1:27">
      <c r="A849" s="12"/>
      <c r="B849" s="12"/>
      <c r="C849" s="12"/>
      <c r="D849" s="12"/>
      <c r="E849" s="12"/>
      <c r="F849" s="12"/>
      <c r="G849" s="12"/>
      <c r="H849" s="12"/>
      <c r="I849" s="12"/>
      <c r="J849" s="12"/>
      <c r="K849" s="12"/>
      <c r="L849" s="12"/>
      <c r="M849" s="12"/>
      <c r="N849" s="12"/>
      <c r="O849" s="12"/>
      <c r="P849" s="12"/>
      <c r="Q849" s="12"/>
      <c r="R849" s="12"/>
      <c r="S849" s="12"/>
      <c r="T849" s="12"/>
      <c r="U849" s="12"/>
      <c r="V849" s="4"/>
      <c r="W849" s="4"/>
      <c r="X849" s="12"/>
      <c r="Y849" s="12"/>
      <c r="Z849" s="12"/>
      <c r="AA849" s="12"/>
    </row>
    <row r="850" spans="1:27">
      <c r="A850" s="12"/>
      <c r="B850" s="12"/>
      <c r="C850" s="12"/>
      <c r="D850" s="12"/>
      <c r="E850" s="12"/>
      <c r="F850" s="12"/>
      <c r="G850" s="12"/>
      <c r="H850" s="12"/>
      <c r="I850" s="12"/>
      <c r="J850" s="12"/>
      <c r="K850" s="12"/>
      <c r="L850" s="12"/>
      <c r="M850" s="12"/>
      <c r="N850" s="12"/>
      <c r="O850" s="12"/>
      <c r="P850" s="12"/>
      <c r="Q850" s="12"/>
      <c r="R850" s="12"/>
      <c r="S850" s="12"/>
      <c r="T850" s="12"/>
      <c r="U850" s="12"/>
      <c r="V850" s="4"/>
      <c r="W850" s="4"/>
      <c r="X850" s="12"/>
      <c r="Y850" s="12"/>
      <c r="Z850" s="12"/>
      <c r="AA850" s="12"/>
    </row>
    <row r="851" spans="1:27">
      <c r="A851" s="12"/>
      <c r="B851" s="12"/>
      <c r="C851" s="12"/>
      <c r="D851" s="12"/>
      <c r="E851" s="12"/>
      <c r="F851" s="12"/>
      <c r="G851" s="12"/>
      <c r="H851" s="12"/>
      <c r="I851" s="12"/>
      <c r="J851" s="12"/>
      <c r="K851" s="12"/>
      <c r="L851" s="12"/>
      <c r="M851" s="12"/>
      <c r="N851" s="12"/>
      <c r="O851" s="12"/>
      <c r="P851" s="12"/>
      <c r="Q851" s="12"/>
      <c r="R851" s="12"/>
      <c r="S851" s="12"/>
      <c r="T851" s="12"/>
      <c r="U851" s="12"/>
      <c r="V851" s="4"/>
      <c r="W851" s="4"/>
      <c r="X851" s="12"/>
      <c r="Y851" s="12"/>
      <c r="Z851" s="12"/>
      <c r="AA851" s="12"/>
    </row>
    <row r="852" spans="1:27">
      <c r="A852" s="12"/>
      <c r="B852" s="12"/>
      <c r="C852" s="12"/>
      <c r="D852" s="12"/>
      <c r="E852" s="12"/>
      <c r="F852" s="12"/>
      <c r="G852" s="12"/>
      <c r="H852" s="12"/>
      <c r="I852" s="12"/>
      <c r="J852" s="12"/>
      <c r="K852" s="12"/>
      <c r="L852" s="12"/>
      <c r="M852" s="12"/>
      <c r="N852" s="12"/>
      <c r="O852" s="12"/>
      <c r="P852" s="12"/>
      <c r="Q852" s="12"/>
      <c r="R852" s="12"/>
      <c r="S852" s="12"/>
      <c r="T852" s="12"/>
      <c r="U852" s="12"/>
      <c r="V852" s="4"/>
      <c r="W852" s="4"/>
      <c r="X852" s="12"/>
      <c r="Y852" s="12"/>
      <c r="Z852" s="12"/>
      <c r="AA852" s="12"/>
    </row>
    <row r="853" spans="1:27">
      <c r="A853" s="12"/>
      <c r="B853" s="12"/>
      <c r="C853" s="12"/>
      <c r="D853" s="12"/>
      <c r="E853" s="12"/>
      <c r="F853" s="12"/>
      <c r="G853" s="12"/>
      <c r="H853" s="12"/>
      <c r="I853" s="12"/>
      <c r="J853" s="12"/>
      <c r="K853" s="12"/>
      <c r="L853" s="12"/>
      <c r="M853" s="12"/>
      <c r="N853" s="12"/>
      <c r="O853" s="12"/>
      <c r="P853" s="12"/>
      <c r="Q853" s="12"/>
      <c r="R853" s="12"/>
      <c r="S853" s="12"/>
      <c r="T853" s="12"/>
      <c r="U853" s="12"/>
      <c r="V853" s="4"/>
      <c r="W853" s="4"/>
      <c r="X853" s="12"/>
      <c r="Y853" s="12"/>
      <c r="Z853" s="12"/>
      <c r="AA853" s="12"/>
    </row>
    <row r="854" spans="1:27">
      <c r="A854" s="12"/>
      <c r="B854" s="12"/>
      <c r="C854" s="12"/>
      <c r="D854" s="12"/>
      <c r="E854" s="12"/>
      <c r="F854" s="12"/>
      <c r="G854" s="12"/>
      <c r="H854" s="12"/>
      <c r="I854" s="12"/>
      <c r="J854" s="12"/>
      <c r="K854" s="12"/>
      <c r="L854" s="12"/>
      <c r="M854" s="12"/>
      <c r="N854" s="12"/>
      <c r="O854" s="12"/>
      <c r="P854" s="12"/>
      <c r="Q854" s="12"/>
      <c r="R854" s="12"/>
      <c r="S854" s="12"/>
      <c r="T854" s="12"/>
      <c r="U854" s="12"/>
      <c r="V854" s="4"/>
      <c r="W854" s="4"/>
      <c r="X854" s="12"/>
      <c r="Y854" s="12"/>
      <c r="Z854" s="12"/>
      <c r="AA854" s="12"/>
    </row>
    <row r="855" spans="1:27">
      <c r="A855" s="12"/>
      <c r="B855" s="12"/>
      <c r="C855" s="12"/>
      <c r="D855" s="12"/>
      <c r="E855" s="12"/>
      <c r="F855" s="12"/>
      <c r="G855" s="12"/>
      <c r="H855" s="12"/>
      <c r="I855" s="12"/>
      <c r="J855" s="12"/>
      <c r="K855" s="12"/>
      <c r="L855" s="12"/>
      <c r="M855" s="12"/>
      <c r="N855" s="12"/>
      <c r="O855" s="12"/>
      <c r="P855" s="12"/>
      <c r="Q855" s="12"/>
      <c r="R855" s="12"/>
      <c r="S855" s="12"/>
      <c r="T855" s="12"/>
      <c r="U855" s="12"/>
      <c r="V855" s="4"/>
      <c r="W855" s="4"/>
      <c r="X855" s="12"/>
      <c r="Y855" s="12"/>
      <c r="Z855" s="12"/>
      <c r="AA855" s="12"/>
    </row>
    <row r="856" spans="1:27">
      <c r="A856" s="12"/>
      <c r="B856" s="12"/>
      <c r="C856" s="12"/>
      <c r="D856" s="12"/>
      <c r="E856" s="12"/>
      <c r="F856" s="12"/>
      <c r="G856" s="12"/>
      <c r="H856" s="12"/>
      <c r="I856" s="12"/>
      <c r="J856" s="12"/>
      <c r="K856" s="12"/>
      <c r="L856" s="12"/>
      <c r="M856" s="12"/>
      <c r="N856" s="12"/>
      <c r="O856" s="12"/>
      <c r="P856" s="12"/>
      <c r="Q856" s="12"/>
      <c r="R856" s="12"/>
      <c r="S856" s="12"/>
      <c r="T856" s="12"/>
      <c r="U856" s="12"/>
      <c r="V856" s="4"/>
      <c r="W856" s="4"/>
      <c r="X856" s="12"/>
      <c r="Y856" s="12"/>
      <c r="Z856" s="12"/>
      <c r="AA856" s="12"/>
    </row>
    <row r="857" spans="1:27">
      <c r="A857" s="12"/>
      <c r="B857" s="12"/>
      <c r="C857" s="12"/>
      <c r="D857" s="12"/>
      <c r="E857" s="12"/>
      <c r="F857" s="12"/>
      <c r="G857" s="12"/>
      <c r="H857" s="12"/>
      <c r="I857" s="12"/>
      <c r="J857" s="12"/>
      <c r="K857" s="12"/>
      <c r="L857" s="12"/>
      <c r="M857" s="12"/>
      <c r="N857" s="12"/>
      <c r="O857" s="12"/>
      <c r="P857" s="12"/>
      <c r="Q857" s="12"/>
      <c r="R857" s="12"/>
      <c r="S857" s="12"/>
      <c r="T857" s="12"/>
      <c r="U857" s="12"/>
      <c r="V857" s="4"/>
      <c r="W857" s="4"/>
      <c r="X857" s="12"/>
      <c r="Y857" s="12"/>
      <c r="Z857" s="12"/>
      <c r="AA857" s="12"/>
    </row>
    <row r="858" spans="1:27">
      <c r="A858" s="12"/>
      <c r="B858" s="12"/>
      <c r="C858" s="12"/>
      <c r="D858" s="12"/>
      <c r="E858" s="12"/>
      <c r="F858" s="12"/>
      <c r="G858" s="12"/>
      <c r="H858" s="12"/>
      <c r="I858" s="12"/>
      <c r="J858" s="12"/>
      <c r="K858" s="12"/>
      <c r="L858" s="12"/>
      <c r="M858" s="12"/>
      <c r="N858" s="12"/>
      <c r="O858" s="12"/>
      <c r="P858" s="12"/>
      <c r="Q858" s="12"/>
      <c r="R858" s="12"/>
      <c r="S858" s="12"/>
      <c r="T858" s="12"/>
      <c r="U858" s="12"/>
      <c r="V858" s="4"/>
      <c r="W858" s="4"/>
      <c r="X858" s="12"/>
      <c r="Y858" s="12"/>
      <c r="Z858" s="12"/>
      <c r="AA858" s="12"/>
    </row>
    <row r="859" spans="1:27">
      <c r="A859" s="12"/>
      <c r="B859" s="12"/>
      <c r="C859" s="12"/>
      <c r="D859" s="12"/>
      <c r="E859" s="12"/>
      <c r="F859" s="12"/>
      <c r="G859" s="12"/>
      <c r="H859" s="12"/>
      <c r="I859" s="12"/>
      <c r="J859" s="12"/>
      <c r="K859" s="12"/>
      <c r="L859" s="12"/>
      <c r="M859" s="12"/>
      <c r="N859" s="12"/>
      <c r="O859" s="12"/>
      <c r="P859" s="12"/>
      <c r="Q859" s="12"/>
      <c r="R859" s="12"/>
      <c r="S859" s="12"/>
      <c r="T859" s="12"/>
      <c r="U859" s="12"/>
      <c r="V859" s="4"/>
      <c r="W859" s="4"/>
      <c r="X859" s="12"/>
      <c r="Y859" s="12"/>
      <c r="Z859" s="12"/>
      <c r="AA859" s="12"/>
    </row>
    <row r="860" spans="1:27">
      <c r="A860" s="12"/>
      <c r="B860" s="12"/>
      <c r="C860" s="12"/>
      <c r="D860" s="12"/>
      <c r="E860" s="12"/>
      <c r="F860" s="12"/>
      <c r="G860" s="12"/>
      <c r="H860" s="12"/>
      <c r="I860" s="12"/>
      <c r="J860" s="12"/>
      <c r="K860" s="12"/>
      <c r="L860" s="12"/>
      <c r="M860" s="12"/>
      <c r="N860" s="12"/>
      <c r="O860" s="12"/>
      <c r="P860" s="12"/>
      <c r="Q860" s="12"/>
      <c r="R860" s="12"/>
      <c r="S860" s="12"/>
      <c r="T860" s="12"/>
      <c r="U860" s="12"/>
      <c r="V860" s="4"/>
      <c r="W860" s="4"/>
      <c r="X860" s="12"/>
      <c r="Y860" s="12"/>
      <c r="Z860" s="12"/>
      <c r="AA860" s="12"/>
    </row>
    <row r="861" spans="1:27">
      <c r="A861" s="12"/>
      <c r="B861" s="12"/>
      <c r="C861" s="12"/>
      <c r="D861" s="12"/>
      <c r="E861" s="12"/>
      <c r="F861" s="12"/>
      <c r="G861" s="12"/>
      <c r="H861" s="12"/>
      <c r="I861" s="12"/>
      <c r="J861" s="12"/>
      <c r="K861" s="12"/>
      <c r="L861" s="12"/>
      <c r="M861" s="12"/>
      <c r="N861" s="12"/>
      <c r="O861" s="12"/>
      <c r="P861" s="12"/>
      <c r="Q861" s="12"/>
      <c r="R861" s="12"/>
      <c r="S861" s="12"/>
      <c r="T861" s="12"/>
      <c r="U861" s="12"/>
      <c r="V861" s="4"/>
      <c r="W861" s="4"/>
      <c r="X861" s="12"/>
      <c r="Y861" s="12"/>
      <c r="Z861" s="12"/>
      <c r="AA861" s="12"/>
    </row>
    <row r="862" spans="1:27">
      <c r="A862" s="12"/>
      <c r="B862" s="12"/>
      <c r="C862" s="12"/>
      <c r="D862" s="12"/>
      <c r="E862" s="12"/>
      <c r="F862" s="12"/>
      <c r="G862" s="12"/>
      <c r="H862" s="12"/>
      <c r="I862" s="12"/>
      <c r="J862" s="12"/>
      <c r="K862" s="12"/>
      <c r="L862" s="12"/>
      <c r="M862" s="12"/>
      <c r="N862" s="12"/>
      <c r="O862" s="12"/>
      <c r="P862" s="12"/>
      <c r="Q862" s="12"/>
      <c r="R862" s="12"/>
      <c r="S862" s="12"/>
      <c r="T862" s="12"/>
      <c r="U862" s="12"/>
      <c r="V862" s="4"/>
      <c r="W862" s="4"/>
      <c r="X862" s="12"/>
      <c r="Y862" s="12"/>
      <c r="Z862" s="12"/>
      <c r="AA862" s="12"/>
    </row>
    <row r="863" spans="1:27">
      <c r="A863" s="12"/>
      <c r="B863" s="12"/>
      <c r="C863" s="12"/>
      <c r="D863" s="12"/>
      <c r="E863" s="12"/>
      <c r="F863" s="12"/>
      <c r="G863" s="12"/>
      <c r="H863" s="12"/>
      <c r="I863" s="12"/>
      <c r="J863" s="12"/>
      <c r="K863" s="12"/>
      <c r="L863" s="12"/>
      <c r="M863" s="12"/>
      <c r="N863" s="12"/>
      <c r="O863" s="12"/>
      <c r="P863" s="12"/>
      <c r="Q863" s="12"/>
      <c r="R863" s="12"/>
      <c r="S863" s="12"/>
      <c r="T863" s="12"/>
      <c r="U863" s="12"/>
      <c r="V863" s="4"/>
      <c r="W863" s="4"/>
      <c r="X863" s="12"/>
      <c r="Y863" s="12"/>
      <c r="Z863" s="12"/>
      <c r="AA863" s="12"/>
    </row>
    <row r="864" spans="1:27">
      <c r="A864" s="12"/>
      <c r="B864" s="12"/>
      <c r="C864" s="12"/>
      <c r="D864" s="12"/>
      <c r="E864" s="12"/>
      <c r="F864" s="12"/>
      <c r="G864" s="12"/>
      <c r="H864" s="12"/>
      <c r="I864" s="12"/>
      <c r="J864" s="12"/>
      <c r="K864" s="12"/>
      <c r="L864" s="12"/>
      <c r="M864" s="12"/>
      <c r="N864" s="12"/>
      <c r="O864" s="12"/>
      <c r="P864" s="12"/>
      <c r="Q864" s="12"/>
      <c r="R864" s="12"/>
      <c r="S864" s="12"/>
      <c r="T864" s="12"/>
      <c r="U864" s="12"/>
      <c r="V864" s="4"/>
      <c r="W864" s="4"/>
      <c r="X864" s="12"/>
      <c r="Y864" s="12"/>
      <c r="Z864" s="12"/>
      <c r="AA864" s="12"/>
    </row>
    <row r="865" spans="1:27">
      <c r="A865" s="12"/>
      <c r="B865" s="12"/>
      <c r="C865" s="12"/>
      <c r="D865" s="12"/>
      <c r="E865" s="12"/>
      <c r="F865" s="12"/>
      <c r="G865" s="12"/>
      <c r="H865" s="12"/>
      <c r="I865" s="12"/>
      <c r="J865" s="12"/>
      <c r="K865" s="12"/>
      <c r="L865" s="12"/>
      <c r="M865" s="12"/>
      <c r="N865" s="12"/>
      <c r="O865" s="12"/>
      <c r="P865" s="12"/>
      <c r="Q865" s="12"/>
      <c r="R865" s="12"/>
      <c r="S865" s="12"/>
      <c r="T865" s="12"/>
      <c r="U865" s="12"/>
      <c r="V865" s="4"/>
      <c r="W865" s="4"/>
      <c r="X865" s="12"/>
      <c r="Y865" s="12"/>
      <c r="Z865" s="12"/>
      <c r="AA865" s="12"/>
    </row>
    <row r="866" spans="1:27">
      <c r="A866" s="12"/>
      <c r="B866" s="12"/>
      <c r="C866" s="12"/>
      <c r="D866" s="12"/>
      <c r="E866" s="12"/>
      <c r="F866" s="12"/>
      <c r="G866" s="12"/>
      <c r="H866" s="12"/>
      <c r="I866" s="12"/>
      <c r="J866" s="12"/>
      <c r="K866" s="12"/>
      <c r="L866" s="12"/>
      <c r="M866" s="12"/>
      <c r="N866" s="12"/>
      <c r="O866" s="12"/>
      <c r="P866" s="12"/>
      <c r="Q866" s="12"/>
      <c r="R866" s="12"/>
      <c r="S866" s="12"/>
      <c r="T866" s="12"/>
      <c r="U866" s="12"/>
      <c r="V866" s="4"/>
      <c r="W866" s="4"/>
      <c r="X866" s="12"/>
      <c r="Y866" s="12"/>
      <c r="Z866" s="12"/>
      <c r="AA866" s="12"/>
    </row>
    <row r="867" spans="1:27">
      <c r="A867" s="12"/>
      <c r="B867" s="12"/>
      <c r="C867" s="12"/>
      <c r="D867" s="12"/>
      <c r="E867" s="12"/>
      <c r="F867" s="12"/>
      <c r="G867" s="12"/>
      <c r="H867" s="12"/>
      <c r="I867" s="12"/>
      <c r="J867" s="12"/>
      <c r="K867" s="12"/>
      <c r="L867" s="12"/>
      <c r="M867" s="12"/>
      <c r="N867" s="12"/>
      <c r="O867" s="12"/>
      <c r="P867" s="12"/>
      <c r="Q867" s="12"/>
      <c r="R867" s="12"/>
      <c r="S867" s="12"/>
      <c r="T867" s="12"/>
      <c r="U867" s="12"/>
      <c r="V867" s="4"/>
      <c r="W867" s="4"/>
      <c r="X867" s="12"/>
      <c r="Y867" s="12"/>
      <c r="Z867" s="12"/>
      <c r="AA867" s="12"/>
    </row>
    <row r="868" spans="1:27">
      <c r="A868" s="12"/>
      <c r="B868" s="12"/>
      <c r="C868" s="12"/>
      <c r="D868" s="12"/>
      <c r="E868" s="12"/>
      <c r="F868" s="12"/>
      <c r="G868" s="12"/>
      <c r="H868" s="12"/>
      <c r="I868" s="12"/>
      <c r="J868" s="12"/>
      <c r="K868" s="12"/>
      <c r="L868" s="12"/>
      <c r="M868" s="12"/>
      <c r="N868" s="12"/>
      <c r="O868" s="12"/>
      <c r="P868" s="12"/>
      <c r="Q868" s="12"/>
      <c r="R868" s="12"/>
      <c r="S868" s="12"/>
      <c r="T868" s="12"/>
      <c r="U868" s="12"/>
      <c r="V868" s="4"/>
      <c r="W868" s="4"/>
      <c r="X868" s="12"/>
      <c r="Y868" s="12"/>
      <c r="Z868" s="12"/>
      <c r="AA868" s="12"/>
    </row>
    <row r="869" spans="1:27">
      <c r="A869" s="12"/>
      <c r="B869" s="12"/>
      <c r="C869" s="12"/>
      <c r="D869" s="12"/>
      <c r="E869" s="12"/>
      <c r="F869" s="12"/>
      <c r="G869" s="12"/>
      <c r="H869" s="12"/>
      <c r="I869" s="12"/>
      <c r="J869" s="12"/>
      <c r="K869" s="12"/>
      <c r="L869" s="12"/>
      <c r="M869" s="12"/>
      <c r="N869" s="12"/>
      <c r="O869" s="12"/>
      <c r="P869" s="12"/>
      <c r="Q869" s="12"/>
      <c r="R869" s="12"/>
      <c r="S869" s="12"/>
      <c r="T869" s="12"/>
      <c r="U869" s="12"/>
      <c r="V869" s="4"/>
      <c r="W869" s="4"/>
      <c r="X869" s="12"/>
      <c r="Y869" s="12"/>
      <c r="Z869" s="12"/>
      <c r="AA869" s="12"/>
    </row>
    <row r="870" spans="1:27">
      <c r="A870" s="12"/>
      <c r="B870" s="12"/>
      <c r="C870" s="12"/>
      <c r="D870" s="12"/>
      <c r="E870" s="12"/>
      <c r="F870" s="12"/>
      <c r="G870" s="12"/>
      <c r="H870" s="12"/>
      <c r="I870" s="12"/>
      <c r="J870" s="12"/>
      <c r="K870" s="12"/>
      <c r="L870" s="12"/>
      <c r="M870" s="12"/>
      <c r="N870" s="12"/>
      <c r="O870" s="12"/>
      <c r="P870" s="12"/>
      <c r="Q870" s="12"/>
      <c r="R870" s="12"/>
      <c r="S870" s="12"/>
      <c r="T870" s="12"/>
      <c r="U870" s="12"/>
      <c r="V870" s="4"/>
      <c r="W870" s="4"/>
      <c r="X870" s="12"/>
      <c r="Y870" s="12"/>
      <c r="Z870" s="12"/>
      <c r="AA870" s="12"/>
    </row>
    <row r="871" spans="1:27">
      <c r="A871" s="12"/>
      <c r="B871" s="12"/>
      <c r="C871" s="12"/>
      <c r="D871" s="12"/>
      <c r="E871" s="12"/>
      <c r="F871" s="12"/>
      <c r="G871" s="12"/>
      <c r="H871" s="12"/>
      <c r="I871" s="12"/>
      <c r="J871" s="12"/>
      <c r="K871" s="12"/>
      <c r="L871" s="12"/>
      <c r="M871" s="12"/>
      <c r="N871" s="12"/>
      <c r="O871" s="12"/>
      <c r="P871" s="12"/>
      <c r="Q871" s="12"/>
      <c r="R871" s="12"/>
      <c r="S871" s="12"/>
      <c r="T871" s="12"/>
      <c r="U871" s="12"/>
      <c r="V871" s="4"/>
      <c r="W871" s="4"/>
      <c r="X871" s="12"/>
      <c r="Y871" s="12"/>
      <c r="Z871" s="12"/>
      <c r="AA871" s="12"/>
    </row>
    <row r="872" spans="1:27">
      <c r="A872" s="12"/>
      <c r="B872" s="12"/>
      <c r="C872" s="12"/>
      <c r="D872" s="12"/>
      <c r="E872" s="12"/>
      <c r="F872" s="12"/>
      <c r="G872" s="12"/>
      <c r="H872" s="12"/>
      <c r="I872" s="12"/>
      <c r="J872" s="12"/>
      <c r="K872" s="12"/>
      <c r="L872" s="12"/>
      <c r="M872" s="12"/>
      <c r="N872" s="12"/>
      <c r="O872" s="12"/>
      <c r="P872" s="12"/>
      <c r="Q872" s="12"/>
      <c r="R872" s="12"/>
      <c r="S872" s="12"/>
      <c r="T872" s="12"/>
      <c r="U872" s="12"/>
      <c r="V872" s="4"/>
      <c r="W872" s="4"/>
      <c r="X872" s="12"/>
      <c r="Y872" s="12"/>
      <c r="Z872" s="12"/>
      <c r="AA872" s="12"/>
    </row>
    <row r="873" spans="1:27">
      <c r="A873" s="12"/>
      <c r="B873" s="12"/>
      <c r="C873" s="12"/>
      <c r="D873" s="12"/>
      <c r="E873" s="12"/>
      <c r="F873" s="12"/>
      <c r="G873" s="12"/>
      <c r="H873" s="12"/>
      <c r="I873" s="12"/>
      <c r="J873" s="12"/>
      <c r="K873" s="12"/>
      <c r="L873" s="12"/>
      <c r="M873" s="12"/>
      <c r="N873" s="12"/>
      <c r="O873" s="12"/>
      <c r="P873" s="12"/>
      <c r="Q873" s="12"/>
      <c r="R873" s="12"/>
      <c r="S873" s="12"/>
      <c r="T873" s="12"/>
      <c r="U873" s="12"/>
      <c r="V873" s="4"/>
      <c r="W873" s="4"/>
      <c r="X873" s="12"/>
      <c r="Y873" s="12"/>
      <c r="Z873" s="12"/>
      <c r="AA873" s="12"/>
    </row>
    <row r="874" spans="1:27">
      <c r="A874" s="12"/>
      <c r="B874" s="12"/>
      <c r="C874" s="12"/>
      <c r="D874" s="12"/>
      <c r="E874" s="12"/>
      <c r="F874" s="12"/>
      <c r="G874" s="12"/>
      <c r="H874" s="12"/>
      <c r="I874" s="12"/>
      <c r="J874" s="12"/>
      <c r="K874" s="12"/>
      <c r="L874" s="12"/>
      <c r="M874" s="12"/>
      <c r="N874" s="12"/>
      <c r="O874" s="12"/>
      <c r="P874" s="12"/>
      <c r="Q874" s="12"/>
      <c r="R874" s="12"/>
      <c r="S874" s="12"/>
      <c r="T874" s="12"/>
      <c r="U874" s="12"/>
      <c r="V874" s="4"/>
      <c r="W874" s="4"/>
      <c r="X874" s="12"/>
      <c r="Y874" s="12"/>
      <c r="Z874" s="12"/>
      <c r="AA874" s="12"/>
    </row>
    <row r="875" spans="1:27">
      <c r="A875" s="12"/>
      <c r="B875" s="12"/>
      <c r="C875" s="12"/>
      <c r="D875" s="12"/>
      <c r="E875" s="12"/>
      <c r="F875" s="12"/>
      <c r="G875" s="12"/>
      <c r="H875" s="12"/>
      <c r="I875" s="12"/>
      <c r="J875" s="12"/>
      <c r="K875" s="12"/>
      <c r="L875" s="12"/>
      <c r="M875" s="12"/>
      <c r="N875" s="12"/>
      <c r="O875" s="12"/>
      <c r="P875" s="12"/>
      <c r="Q875" s="12"/>
      <c r="R875" s="12"/>
      <c r="S875" s="12"/>
      <c r="T875" s="12"/>
      <c r="U875" s="12"/>
      <c r="V875" s="4"/>
      <c r="W875" s="4"/>
      <c r="X875" s="12"/>
      <c r="Y875" s="12"/>
      <c r="Z875" s="12"/>
      <c r="AA875" s="12"/>
    </row>
    <row r="876" spans="1:27">
      <c r="A876" s="12"/>
      <c r="B876" s="12"/>
      <c r="C876" s="12"/>
      <c r="D876" s="12"/>
      <c r="E876" s="12"/>
      <c r="F876" s="12"/>
      <c r="G876" s="12"/>
      <c r="H876" s="12"/>
      <c r="I876" s="12"/>
      <c r="J876" s="12"/>
      <c r="K876" s="12"/>
      <c r="L876" s="12"/>
      <c r="M876" s="12"/>
      <c r="N876" s="12"/>
      <c r="O876" s="12"/>
      <c r="P876" s="12"/>
      <c r="Q876" s="12"/>
      <c r="R876" s="12"/>
      <c r="S876" s="12"/>
      <c r="T876" s="12"/>
      <c r="U876" s="12"/>
      <c r="V876" s="4"/>
      <c r="W876" s="4"/>
      <c r="X876" s="12"/>
      <c r="Y876" s="12"/>
      <c r="Z876" s="12"/>
      <c r="AA876" s="12"/>
    </row>
    <row r="877" spans="1:27">
      <c r="A877" s="12"/>
      <c r="B877" s="12"/>
      <c r="C877" s="12"/>
      <c r="D877" s="12"/>
      <c r="E877" s="12"/>
      <c r="F877" s="12"/>
      <c r="G877" s="12"/>
      <c r="H877" s="12"/>
      <c r="I877" s="12"/>
      <c r="J877" s="12"/>
      <c r="K877" s="12"/>
      <c r="L877" s="12"/>
      <c r="M877" s="12"/>
      <c r="N877" s="12"/>
      <c r="O877" s="12"/>
      <c r="P877" s="12"/>
      <c r="Q877" s="12"/>
      <c r="R877" s="12"/>
      <c r="S877" s="12"/>
      <c r="T877" s="12"/>
      <c r="U877" s="12"/>
      <c r="V877" s="4"/>
      <c r="W877" s="4"/>
      <c r="X877" s="12"/>
      <c r="Y877" s="12"/>
      <c r="Z877" s="12"/>
      <c r="AA877" s="12"/>
    </row>
    <row r="878" spans="1:27">
      <c r="A878" s="12"/>
      <c r="B878" s="12"/>
      <c r="C878" s="12"/>
      <c r="D878" s="12"/>
      <c r="E878" s="12"/>
      <c r="F878" s="12"/>
      <c r="G878" s="12"/>
      <c r="H878" s="12"/>
      <c r="I878" s="12"/>
      <c r="J878" s="12"/>
      <c r="K878" s="12"/>
      <c r="L878" s="12"/>
      <c r="M878" s="12"/>
      <c r="N878" s="12"/>
      <c r="O878" s="12"/>
      <c r="P878" s="12"/>
      <c r="Q878" s="12"/>
      <c r="R878" s="12"/>
      <c r="S878" s="12"/>
      <c r="T878" s="12"/>
      <c r="U878" s="12"/>
      <c r="V878" s="4"/>
      <c r="W878" s="4"/>
      <c r="X878" s="12"/>
      <c r="Y878" s="12"/>
      <c r="Z878" s="12"/>
      <c r="AA878" s="12"/>
    </row>
    <row r="879" spans="1:27">
      <c r="A879" s="12"/>
      <c r="B879" s="12"/>
      <c r="C879" s="12"/>
      <c r="D879" s="12"/>
      <c r="E879" s="12"/>
      <c r="F879" s="12"/>
      <c r="G879" s="12"/>
      <c r="H879" s="12"/>
      <c r="I879" s="12"/>
      <c r="J879" s="12"/>
      <c r="K879" s="12"/>
      <c r="L879" s="12"/>
      <c r="M879" s="12"/>
      <c r="N879" s="12"/>
      <c r="O879" s="12"/>
      <c r="P879" s="12"/>
      <c r="Q879" s="12"/>
      <c r="R879" s="12"/>
      <c r="S879" s="12"/>
      <c r="T879" s="12"/>
      <c r="U879" s="12"/>
      <c r="V879" s="4"/>
      <c r="W879" s="4"/>
      <c r="X879" s="12"/>
      <c r="Y879" s="12"/>
      <c r="Z879" s="12"/>
      <c r="AA879" s="12"/>
    </row>
    <row r="880" spans="1:27">
      <c r="A880" s="12"/>
      <c r="B880" s="12"/>
      <c r="C880" s="12"/>
      <c r="D880" s="12"/>
      <c r="E880" s="12"/>
      <c r="F880" s="12"/>
      <c r="G880" s="12"/>
      <c r="H880" s="12"/>
      <c r="I880" s="12"/>
      <c r="J880" s="12"/>
      <c r="K880" s="12"/>
      <c r="L880" s="12"/>
      <c r="M880" s="12"/>
      <c r="N880" s="12"/>
      <c r="O880" s="12"/>
      <c r="P880" s="12"/>
      <c r="Q880" s="12"/>
      <c r="R880" s="12"/>
      <c r="S880" s="12"/>
      <c r="T880" s="12"/>
      <c r="U880" s="12"/>
      <c r="V880" s="4"/>
      <c r="W880" s="4"/>
      <c r="X880" s="12"/>
      <c r="Y880" s="12"/>
      <c r="Z880" s="12"/>
      <c r="AA880" s="12"/>
    </row>
    <row r="881" spans="1:27">
      <c r="A881" s="12"/>
      <c r="B881" s="12"/>
      <c r="C881" s="12"/>
      <c r="D881" s="12"/>
      <c r="E881" s="12"/>
      <c r="F881" s="12"/>
      <c r="G881" s="12"/>
      <c r="H881" s="12"/>
      <c r="I881" s="12"/>
      <c r="J881" s="12"/>
      <c r="K881" s="12"/>
      <c r="L881" s="12"/>
      <c r="M881" s="12"/>
      <c r="N881" s="12"/>
      <c r="O881" s="12"/>
      <c r="P881" s="12"/>
      <c r="Q881" s="12"/>
      <c r="R881" s="12"/>
      <c r="S881" s="12"/>
      <c r="T881" s="12"/>
      <c r="U881" s="12"/>
      <c r="V881" s="4"/>
      <c r="W881" s="4"/>
      <c r="X881" s="12"/>
      <c r="Y881" s="12"/>
      <c r="Z881" s="12"/>
      <c r="AA881" s="12"/>
    </row>
    <row r="882" spans="1:27">
      <c r="A882" s="12"/>
      <c r="B882" s="12"/>
      <c r="C882" s="12"/>
      <c r="D882" s="12"/>
      <c r="E882" s="12"/>
      <c r="F882" s="12"/>
      <c r="G882" s="12"/>
      <c r="H882" s="12"/>
      <c r="I882" s="12"/>
      <c r="J882" s="12"/>
      <c r="K882" s="12"/>
      <c r="L882" s="12"/>
      <c r="M882" s="12"/>
      <c r="N882" s="12"/>
      <c r="O882" s="12"/>
      <c r="P882" s="12"/>
      <c r="Q882" s="12"/>
      <c r="R882" s="12"/>
      <c r="S882" s="12"/>
      <c r="T882" s="12"/>
      <c r="U882" s="12"/>
      <c r="V882" s="4"/>
      <c r="W882" s="4"/>
      <c r="X882" s="12"/>
      <c r="Y882" s="12"/>
      <c r="Z882" s="12"/>
      <c r="AA882" s="12"/>
    </row>
    <row r="883" spans="1:27">
      <c r="A883" s="12"/>
      <c r="B883" s="12"/>
      <c r="C883" s="12"/>
      <c r="D883" s="12"/>
      <c r="E883" s="12"/>
      <c r="F883" s="12"/>
      <c r="G883" s="12"/>
      <c r="H883" s="12"/>
      <c r="I883" s="12"/>
      <c r="J883" s="12"/>
      <c r="K883" s="12"/>
      <c r="L883" s="12"/>
      <c r="M883" s="12"/>
      <c r="N883" s="12"/>
      <c r="O883" s="12"/>
      <c r="P883" s="12"/>
      <c r="Q883" s="12"/>
      <c r="R883" s="12"/>
      <c r="S883" s="12"/>
      <c r="T883" s="12"/>
      <c r="U883" s="12"/>
      <c r="V883" s="4"/>
      <c r="W883" s="4"/>
      <c r="X883" s="12"/>
      <c r="Y883" s="12"/>
      <c r="Z883" s="12"/>
      <c r="AA883" s="12"/>
    </row>
    <row r="884" spans="1:27">
      <c r="A884" s="12"/>
      <c r="B884" s="12"/>
      <c r="C884" s="12"/>
      <c r="D884" s="12"/>
      <c r="E884" s="12"/>
      <c r="F884" s="12"/>
      <c r="G884" s="12"/>
      <c r="H884" s="12"/>
      <c r="I884" s="12"/>
      <c r="J884" s="12"/>
      <c r="K884" s="12"/>
      <c r="L884" s="12"/>
      <c r="M884" s="12"/>
      <c r="N884" s="12"/>
      <c r="O884" s="12"/>
      <c r="P884" s="12"/>
      <c r="Q884" s="12"/>
      <c r="R884" s="12"/>
      <c r="S884" s="12"/>
      <c r="T884" s="12"/>
      <c r="U884" s="12"/>
      <c r="V884" s="4"/>
      <c r="W884" s="4"/>
      <c r="X884" s="12"/>
      <c r="Y884" s="12"/>
      <c r="Z884" s="12"/>
      <c r="AA884" s="12"/>
    </row>
    <row r="885" spans="1:27">
      <c r="A885" s="12"/>
      <c r="B885" s="12"/>
      <c r="C885" s="12"/>
      <c r="D885" s="12"/>
      <c r="E885" s="12"/>
      <c r="F885" s="12"/>
      <c r="G885" s="12"/>
      <c r="H885" s="12"/>
      <c r="I885" s="12"/>
      <c r="J885" s="12"/>
      <c r="K885" s="12"/>
      <c r="L885" s="12"/>
      <c r="M885" s="12"/>
      <c r="N885" s="12"/>
      <c r="O885" s="12"/>
      <c r="P885" s="12"/>
      <c r="Q885" s="12"/>
      <c r="R885" s="12"/>
      <c r="S885" s="12"/>
      <c r="T885" s="12"/>
      <c r="U885" s="12"/>
      <c r="V885" s="4"/>
      <c r="W885" s="4"/>
      <c r="X885" s="12"/>
      <c r="Y885" s="12"/>
      <c r="Z885" s="12"/>
      <c r="AA885" s="12"/>
    </row>
    <row r="886" spans="1:27">
      <c r="A886" s="12"/>
      <c r="B886" s="12"/>
      <c r="C886" s="12"/>
      <c r="D886" s="12"/>
      <c r="E886" s="12"/>
      <c r="F886" s="12"/>
      <c r="G886" s="12"/>
      <c r="H886" s="12"/>
      <c r="I886" s="12"/>
      <c r="J886" s="12"/>
      <c r="K886" s="12"/>
      <c r="L886" s="12"/>
      <c r="M886" s="12"/>
      <c r="N886" s="12"/>
      <c r="O886" s="12"/>
      <c r="P886" s="12"/>
      <c r="Q886" s="12"/>
      <c r="R886" s="12"/>
      <c r="S886" s="12"/>
      <c r="T886" s="12"/>
      <c r="U886" s="12"/>
      <c r="V886" s="4"/>
      <c r="W886" s="4"/>
      <c r="X886" s="12"/>
      <c r="Y886" s="12"/>
      <c r="Z886" s="12"/>
      <c r="AA886" s="12"/>
    </row>
    <row r="887" spans="1:27">
      <c r="A887" s="12"/>
      <c r="B887" s="12"/>
      <c r="C887" s="12"/>
      <c r="D887" s="12"/>
      <c r="E887" s="12"/>
      <c r="F887" s="12"/>
      <c r="G887" s="12"/>
      <c r="H887" s="12"/>
      <c r="I887" s="12"/>
      <c r="J887" s="12"/>
      <c r="K887" s="12"/>
      <c r="L887" s="12"/>
      <c r="M887" s="12"/>
      <c r="N887" s="12"/>
      <c r="O887" s="12"/>
      <c r="P887" s="12"/>
      <c r="Q887" s="12"/>
      <c r="R887" s="12"/>
      <c r="S887" s="12"/>
      <c r="T887" s="12"/>
      <c r="U887" s="12"/>
      <c r="V887" s="4"/>
      <c r="W887" s="4"/>
      <c r="X887" s="12"/>
      <c r="Y887" s="12"/>
      <c r="Z887" s="12"/>
      <c r="AA887" s="12"/>
    </row>
    <row r="888" spans="1:27">
      <c r="A888" s="12"/>
      <c r="B888" s="12"/>
      <c r="C888" s="12"/>
      <c r="D888" s="12"/>
      <c r="E888" s="12"/>
      <c r="F888" s="12"/>
      <c r="G888" s="12"/>
      <c r="H888" s="12"/>
      <c r="I888" s="12"/>
      <c r="J888" s="12"/>
      <c r="K888" s="12"/>
      <c r="L888" s="12"/>
      <c r="M888" s="12"/>
      <c r="N888" s="12"/>
      <c r="O888" s="12"/>
      <c r="P888" s="12"/>
      <c r="Q888" s="12"/>
      <c r="R888" s="12"/>
      <c r="S888" s="12"/>
      <c r="T888" s="12"/>
      <c r="U888" s="12"/>
      <c r="V888" s="4"/>
      <c r="W888" s="4"/>
      <c r="X888" s="12"/>
      <c r="Y888" s="12"/>
      <c r="Z888" s="12"/>
      <c r="AA888" s="12"/>
    </row>
    <row r="889" spans="1:27">
      <c r="A889" s="12"/>
      <c r="B889" s="12"/>
      <c r="C889" s="12"/>
      <c r="D889" s="12"/>
      <c r="E889" s="12"/>
      <c r="F889" s="12"/>
      <c r="G889" s="12"/>
      <c r="H889" s="12"/>
      <c r="I889" s="12"/>
      <c r="J889" s="12"/>
      <c r="K889" s="12"/>
      <c r="L889" s="12"/>
      <c r="M889" s="12"/>
      <c r="N889" s="12"/>
      <c r="O889" s="12"/>
      <c r="P889" s="12"/>
      <c r="Q889" s="12"/>
      <c r="R889" s="12"/>
      <c r="S889" s="12"/>
      <c r="T889" s="12"/>
      <c r="U889" s="12"/>
      <c r="V889" s="4"/>
      <c r="W889" s="4"/>
      <c r="X889" s="12"/>
      <c r="Y889" s="12"/>
      <c r="Z889" s="12"/>
      <c r="AA889" s="12"/>
    </row>
    <row r="890" spans="1:27">
      <c r="A890" s="12"/>
      <c r="B890" s="12"/>
      <c r="C890" s="12"/>
      <c r="D890" s="12"/>
      <c r="E890" s="12"/>
      <c r="F890" s="12"/>
      <c r="G890" s="12"/>
      <c r="H890" s="12"/>
      <c r="I890" s="12"/>
      <c r="J890" s="12"/>
      <c r="K890" s="12"/>
      <c r="L890" s="12"/>
      <c r="M890" s="12"/>
      <c r="N890" s="12"/>
      <c r="O890" s="12"/>
      <c r="P890" s="12"/>
      <c r="Q890" s="12"/>
      <c r="R890" s="12"/>
      <c r="S890" s="12"/>
      <c r="T890" s="12"/>
      <c r="U890" s="12"/>
      <c r="V890" s="4"/>
      <c r="W890" s="4"/>
      <c r="X890" s="12"/>
      <c r="Y890" s="12"/>
      <c r="Z890" s="12"/>
      <c r="AA890" s="12"/>
    </row>
    <row r="891" spans="1:27">
      <c r="A891" s="12"/>
      <c r="B891" s="12"/>
      <c r="C891" s="12"/>
      <c r="D891" s="12"/>
      <c r="E891" s="12"/>
      <c r="F891" s="12"/>
      <c r="G891" s="12"/>
      <c r="H891" s="12"/>
      <c r="I891" s="12"/>
      <c r="J891" s="12"/>
      <c r="K891" s="12"/>
      <c r="L891" s="12"/>
      <c r="M891" s="12"/>
      <c r="N891" s="12"/>
      <c r="O891" s="12"/>
      <c r="P891" s="12"/>
      <c r="Q891" s="12"/>
      <c r="R891" s="12"/>
      <c r="S891" s="12"/>
      <c r="T891" s="12"/>
      <c r="U891" s="12"/>
      <c r="V891" s="4"/>
      <c r="W891" s="4"/>
      <c r="X891" s="12"/>
      <c r="Y891" s="12"/>
      <c r="Z891" s="12"/>
      <c r="AA891" s="12"/>
    </row>
    <row r="892" spans="1:27">
      <c r="A892" s="12"/>
      <c r="B892" s="12"/>
      <c r="C892" s="12"/>
      <c r="D892" s="12"/>
      <c r="E892" s="12"/>
      <c r="F892" s="12"/>
      <c r="G892" s="12"/>
      <c r="H892" s="12"/>
      <c r="I892" s="12"/>
      <c r="J892" s="12"/>
      <c r="K892" s="12"/>
      <c r="L892" s="12"/>
      <c r="M892" s="12"/>
      <c r="N892" s="12"/>
      <c r="O892" s="12"/>
      <c r="P892" s="12"/>
      <c r="Q892" s="12"/>
      <c r="R892" s="12"/>
      <c r="S892" s="12"/>
      <c r="T892" s="12"/>
      <c r="U892" s="12"/>
      <c r="V892" s="4"/>
      <c r="W892" s="4"/>
      <c r="X892" s="12"/>
      <c r="Y892" s="12"/>
      <c r="Z892" s="12"/>
      <c r="AA892" s="12"/>
    </row>
    <row r="893" spans="1:27">
      <c r="A893" s="12"/>
      <c r="B893" s="12"/>
      <c r="C893" s="12"/>
      <c r="D893" s="12"/>
      <c r="E893" s="12"/>
      <c r="F893" s="12"/>
      <c r="G893" s="12"/>
      <c r="H893" s="12"/>
      <c r="I893" s="12"/>
      <c r="J893" s="12"/>
      <c r="K893" s="12"/>
      <c r="L893" s="12"/>
      <c r="M893" s="12"/>
      <c r="N893" s="12"/>
      <c r="O893" s="12"/>
      <c r="P893" s="12"/>
      <c r="Q893" s="12"/>
      <c r="R893" s="12"/>
      <c r="S893" s="12"/>
      <c r="T893" s="12"/>
      <c r="U893" s="12"/>
      <c r="V893" s="4"/>
      <c r="W893" s="4"/>
      <c r="X893" s="12"/>
      <c r="Y893" s="12"/>
      <c r="Z893" s="12"/>
      <c r="AA893" s="12"/>
    </row>
    <row r="894" spans="1:27">
      <c r="A894" s="12"/>
      <c r="B894" s="12"/>
      <c r="C894" s="12"/>
      <c r="D894" s="12"/>
      <c r="E894" s="12"/>
      <c r="F894" s="12"/>
      <c r="G894" s="12"/>
      <c r="H894" s="12"/>
      <c r="I894" s="12"/>
      <c r="J894" s="12"/>
      <c r="K894" s="12"/>
      <c r="L894" s="12"/>
      <c r="M894" s="12"/>
      <c r="N894" s="12"/>
      <c r="O894" s="12"/>
      <c r="P894" s="12"/>
      <c r="Q894" s="12"/>
      <c r="R894" s="12"/>
      <c r="S894" s="12"/>
      <c r="T894" s="12"/>
      <c r="U894" s="12"/>
      <c r="V894" s="4"/>
      <c r="W894" s="4"/>
      <c r="X894" s="12"/>
      <c r="Y894" s="12"/>
      <c r="Z894" s="12"/>
      <c r="AA894" s="12"/>
    </row>
    <row r="895" spans="1:27">
      <c r="A895" s="12"/>
      <c r="B895" s="12"/>
      <c r="C895" s="12"/>
      <c r="D895" s="12"/>
      <c r="E895" s="12"/>
      <c r="F895" s="12"/>
      <c r="G895" s="12"/>
      <c r="H895" s="12"/>
      <c r="I895" s="12"/>
      <c r="J895" s="12"/>
      <c r="K895" s="12"/>
      <c r="L895" s="12"/>
      <c r="M895" s="12"/>
      <c r="N895" s="12"/>
      <c r="O895" s="12"/>
      <c r="P895" s="12"/>
      <c r="Q895" s="12"/>
      <c r="R895" s="12"/>
      <c r="S895" s="12"/>
      <c r="T895" s="12"/>
      <c r="U895" s="12"/>
      <c r="V895" s="4"/>
      <c r="W895" s="4"/>
      <c r="X895" s="12"/>
      <c r="Y895" s="12"/>
      <c r="Z895" s="12"/>
      <c r="AA895" s="12"/>
    </row>
    <row r="896" spans="1:27">
      <c r="A896" s="12"/>
      <c r="B896" s="12"/>
      <c r="C896" s="12"/>
      <c r="D896" s="12"/>
      <c r="E896" s="12"/>
      <c r="F896" s="12"/>
      <c r="G896" s="12"/>
      <c r="H896" s="12"/>
      <c r="I896" s="12"/>
      <c r="J896" s="12"/>
      <c r="K896" s="12"/>
      <c r="L896" s="12"/>
      <c r="M896" s="12"/>
      <c r="N896" s="12"/>
      <c r="O896" s="12"/>
      <c r="P896" s="12"/>
      <c r="Q896" s="12"/>
      <c r="R896" s="12"/>
      <c r="S896" s="12"/>
      <c r="T896" s="12"/>
      <c r="U896" s="12"/>
      <c r="V896" s="4"/>
      <c r="W896" s="4"/>
      <c r="X896" s="12"/>
      <c r="Y896" s="12"/>
      <c r="Z896" s="12"/>
      <c r="AA896" s="12"/>
    </row>
    <row r="897" spans="1:27">
      <c r="A897" s="12"/>
      <c r="B897" s="12"/>
      <c r="C897" s="12"/>
      <c r="D897" s="12"/>
      <c r="E897" s="12"/>
      <c r="F897" s="12"/>
      <c r="G897" s="12"/>
      <c r="H897" s="12"/>
      <c r="I897" s="12"/>
      <c r="J897" s="12"/>
      <c r="K897" s="12"/>
      <c r="L897" s="12"/>
      <c r="M897" s="12"/>
      <c r="N897" s="12"/>
      <c r="O897" s="12"/>
      <c r="P897" s="12"/>
      <c r="Q897" s="12"/>
      <c r="R897" s="12"/>
      <c r="S897" s="12"/>
      <c r="T897" s="12"/>
      <c r="U897" s="12"/>
      <c r="V897" s="4"/>
      <c r="W897" s="4"/>
      <c r="X897" s="12"/>
      <c r="Y897" s="12"/>
      <c r="Z897" s="12"/>
      <c r="AA897" s="12"/>
    </row>
    <row r="898" spans="1:27">
      <c r="A898" s="12"/>
      <c r="B898" s="12"/>
      <c r="C898" s="12"/>
      <c r="D898" s="12"/>
      <c r="E898" s="12"/>
      <c r="F898" s="12"/>
      <c r="G898" s="12"/>
      <c r="H898" s="12"/>
      <c r="I898" s="12"/>
      <c r="J898" s="12"/>
      <c r="K898" s="12"/>
      <c r="L898" s="12"/>
      <c r="M898" s="12"/>
      <c r="N898" s="12"/>
      <c r="O898" s="12"/>
      <c r="P898" s="12"/>
      <c r="Q898" s="12"/>
      <c r="R898" s="12"/>
      <c r="S898" s="12"/>
      <c r="T898" s="12"/>
      <c r="U898" s="12"/>
      <c r="V898" s="4"/>
      <c r="W898" s="4"/>
      <c r="X898" s="12"/>
      <c r="Y898" s="12"/>
      <c r="Z898" s="12"/>
      <c r="AA898" s="12"/>
    </row>
    <row r="899" spans="1:27">
      <c r="A899" s="12"/>
      <c r="B899" s="12"/>
      <c r="C899" s="12"/>
      <c r="D899" s="12"/>
      <c r="E899" s="12"/>
      <c r="F899" s="12"/>
      <c r="G899" s="12"/>
      <c r="H899" s="12"/>
      <c r="I899" s="12"/>
      <c r="J899" s="12"/>
      <c r="K899" s="12"/>
      <c r="L899" s="12"/>
      <c r="M899" s="12"/>
      <c r="N899" s="12"/>
      <c r="O899" s="12"/>
      <c r="P899" s="12"/>
      <c r="Q899" s="12"/>
      <c r="R899" s="12"/>
      <c r="S899" s="12"/>
      <c r="T899" s="12"/>
      <c r="U899" s="12"/>
      <c r="V899" s="4"/>
      <c r="W899" s="4"/>
      <c r="X899" s="12"/>
      <c r="Y899" s="12"/>
      <c r="Z899" s="12"/>
      <c r="AA899" s="12"/>
    </row>
    <row r="900" spans="1:27">
      <c r="A900" s="12"/>
      <c r="B900" s="12"/>
      <c r="C900" s="12"/>
      <c r="D900" s="12"/>
      <c r="E900" s="12"/>
      <c r="F900" s="12"/>
      <c r="G900" s="12"/>
      <c r="H900" s="12"/>
      <c r="I900" s="12"/>
      <c r="J900" s="12"/>
      <c r="K900" s="12"/>
      <c r="L900" s="12"/>
      <c r="M900" s="12"/>
      <c r="N900" s="12"/>
      <c r="O900" s="12"/>
      <c r="P900" s="12"/>
      <c r="Q900" s="12"/>
      <c r="R900" s="12"/>
      <c r="S900" s="12"/>
      <c r="T900" s="12"/>
      <c r="U900" s="12"/>
      <c r="V900" s="4"/>
      <c r="W900" s="4"/>
      <c r="X900" s="12"/>
      <c r="Y900" s="12"/>
      <c r="Z900" s="12"/>
      <c r="AA900" s="12"/>
    </row>
    <row r="901" spans="1:27">
      <c r="A901" s="12"/>
      <c r="B901" s="12"/>
      <c r="C901" s="12"/>
      <c r="D901" s="12"/>
      <c r="E901" s="12"/>
      <c r="F901" s="12"/>
      <c r="G901" s="12"/>
      <c r="H901" s="12"/>
      <c r="I901" s="12"/>
      <c r="J901" s="12"/>
      <c r="K901" s="12"/>
      <c r="L901" s="12"/>
      <c r="M901" s="12"/>
      <c r="N901" s="12"/>
      <c r="O901" s="12"/>
      <c r="P901" s="12"/>
      <c r="Q901" s="12"/>
      <c r="R901" s="12"/>
      <c r="S901" s="12"/>
      <c r="T901" s="12"/>
      <c r="U901" s="12"/>
      <c r="V901" s="4"/>
      <c r="W901" s="4"/>
      <c r="X901" s="12"/>
      <c r="Y901" s="12"/>
      <c r="Z901" s="12"/>
      <c r="AA901" s="12"/>
    </row>
    <row r="902" spans="1:27">
      <c r="A902" s="12"/>
      <c r="B902" s="12"/>
      <c r="C902" s="12"/>
      <c r="D902" s="12"/>
      <c r="E902" s="12"/>
      <c r="F902" s="12"/>
      <c r="G902" s="12"/>
      <c r="H902" s="12"/>
      <c r="I902" s="12"/>
      <c r="J902" s="12"/>
      <c r="K902" s="12"/>
      <c r="L902" s="12"/>
      <c r="M902" s="12"/>
      <c r="N902" s="12"/>
      <c r="O902" s="12"/>
      <c r="P902" s="12"/>
      <c r="Q902" s="12"/>
      <c r="R902" s="12"/>
      <c r="S902" s="12"/>
      <c r="T902" s="12"/>
      <c r="U902" s="12"/>
      <c r="V902" s="4"/>
      <c r="W902" s="4"/>
      <c r="X902" s="12"/>
      <c r="Y902" s="12"/>
      <c r="Z902" s="12"/>
      <c r="AA902" s="12"/>
    </row>
    <row r="903" spans="1:27">
      <c r="A903" s="12"/>
      <c r="B903" s="12"/>
      <c r="C903" s="12"/>
      <c r="D903" s="12"/>
      <c r="E903" s="12"/>
      <c r="F903" s="12"/>
      <c r="G903" s="12"/>
      <c r="H903" s="12"/>
      <c r="I903" s="12"/>
      <c r="J903" s="12"/>
      <c r="K903" s="12"/>
      <c r="L903" s="12"/>
      <c r="M903" s="12"/>
      <c r="N903" s="12"/>
      <c r="O903" s="12"/>
      <c r="P903" s="12"/>
      <c r="Q903" s="12"/>
      <c r="R903" s="12"/>
      <c r="S903" s="12"/>
      <c r="T903" s="12"/>
      <c r="U903" s="12"/>
      <c r="V903" s="4"/>
      <c r="W903" s="4"/>
      <c r="X903" s="12"/>
      <c r="Y903" s="12"/>
      <c r="Z903" s="12"/>
      <c r="AA903" s="12"/>
    </row>
    <row r="904" spans="1:27">
      <c r="A904" s="12"/>
      <c r="B904" s="12"/>
      <c r="C904" s="12"/>
      <c r="D904" s="12"/>
      <c r="E904" s="12"/>
      <c r="F904" s="12"/>
      <c r="G904" s="12"/>
      <c r="H904" s="12"/>
      <c r="I904" s="12"/>
      <c r="J904" s="12"/>
      <c r="K904" s="12"/>
      <c r="L904" s="12"/>
      <c r="M904" s="12"/>
      <c r="N904" s="12"/>
      <c r="O904" s="12"/>
      <c r="P904" s="12"/>
      <c r="Q904" s="12"/>
      <c r="R904" s="12"/>
      <c r="S904" s="12"/>
      <c r="T904" s="12"/>
      <c r="U904" s="12"/>
      <c r="V904" s="4"/>
      <c r="W904" s="4"/>
      <c r="X904" s="12"/>
      <c r="Y904" s="12"/>
      <c r="Z904" s="12"/>
      <c r="AA904" s="12"/>
    </row>
    <row r="905" spans="1:27">
      <c r="A905" s="12"/>
      <c r="B905" s="12"/>
      <c r="C905" s="12"/>
      <c r="D905" s="12"/>
      <c r="E905" s="12"/>
      <c r="F905" s="12"/>
      <c r="G905" s="12"/>
      <c r="H905" s="12"/>
      <c r="I905" s="12"/>
      <c r="J905" s="12"/>
      <c r="K905" s="12"/>
      <c r="L905" s="12"/>
      <c r="M905" s="12"/>
      <c r="N905" s="12"/>
      <c r="O905" s="12"/>
      <c r="P905" s="12"/>
      <c r="Q905" s="12"/>
      <c r="R905" s="12"/>
      <c r="S905" s="12"/>
      <c r="T905" s="12"/>
      <c r="U905" s="12"/>
      <c r="V905" s="4"/>
      <c r="W905" s="4"/>
      <c r="X905" s="12"/>
      <c r="Y905" s="12"/>
      <c r="Z905" s="12"/>
      <c r="AA905" s="12"/>
    </row>
    <row r="906" spans="1:27">
      <c r="A906" s="12"/>
      <c r="B906" s="12"/>
      <c r="C906" s="12"/>
      <c r="D906" s="12"/>
      <c r="E906" s="12"/>
      <c r="F906" s="12"/>
      <c r="G906" s="12"/>
      <c r="H906" s="12"/>
      <c r="I906" s="12"/>
      <c r="J906" s="12"/>
      <c r="K906" s="12"/>
      <c r="L906" s="12"/>
      <c r="M906" s="12"/>
      <c r="N906" s="12"/>
      <c r="O906" s="12"/>
      <c r="P906" s="12"/>
      <c r="Q906" s="12"/>
      <c r="R906" s="12"/>
      <c r="S906" s="12"/>
      <c r="T906" s="12"/>
      <c r="U906" s="12"/>
      <c r="V906" s="4"/>
      <c r="W906" s="4"/>
      <c r="X906" s="12"/>
      <c r="Y906" s="12"/>
      <c r="Z906" s="12"/>
      <c r="AA906" s="12"/>
    </row>
    <row r="907" spans="1:27">
      <c r="A907" s="12"/>
      <c r="B907" s="12"/>
      <c r="C907" s="12"/>
      <c r="D907" s="12"/>
      <c r="E907" s="12"/>
      <c r="F907" s="12"/>
      <c r="G907" s="12"/>
      <c r="H907" s="12"/>
      <c r="I907" s="12"/>
      <c r="J907" s="12"/>
      <c r="K907" s="12"/>
      <c r="L907" s="12"/>
      <c r="M907" s="12"/>
      <c r="N907" s="12"/>
      <c r="O907" s="12"/>
      <c r="P907" s="12"/>
      <c r="Q907" s="12"/>
      <c r="R907" s="12"/>
      <c r="S907" s="12"/>
      <c r="T907" s="12"/>
      <c r="U907" s="12"/>
      <c r="V907" s="4"/>
      <c r="W907" s="4"/>
      <c r="X907" s="12"/>
      <c r="Y907" s="12"/>
      <c r="Z907" s="12"/>
      <c r="AA907" s="12"/>
    </row>
    <row r="908" spans="1:27">
      <c r="A908" s="12"/>
      <c r="B908" s="12"/>
      <c r="C908" s="12"/>
      <c r="D908" s="12"/>
      <c r="E908" s="12"/>
      <c r="F908" s="12"/>
      <c r="G908" s="12"/>
      <c r="H908" s="12"/>
      <c r="I908" s="12"/>
      <c r="J908" s="12"/>
      <c r="K908" s="12"/>
      <c r="L908" s="12"/>
      <c r="M908" s="12"/>
      <c r="N908" s="12"/>
      <c r="O908" s="12"/>
      <c r="P908" s="12"/>
      <c r="Q908" s="12"/>
      <c r="R908" s="12"/>
      <c r="S908" s="12"/>
      <c r="T908" s="12"/>
      <c r="U908" s="12"/>
      <c r="V908" s="4"/>
      <c r="W908" s="4"/>
      <c r="X908" s="12"/>
      <c r="Y908" s="12"/>
      <c r="Z908" s="12"/>
      <c r="AA908" s="12"/>
    </row>
    <row r="909" spans="1:27">
      <c r="A909" s="12"/>
      <c r="B909" s="12"/>
      <c r="C909" s="12"/>
      <c r="D909" s="12"/>
      <c r="E909" s="12"/>
      <c r="F909" s="12"/>
      <c r="G909" s="12"/>
      <c r="H909" s="12"/>
      <c r="I909" s="12"/>
      <c r="J909" s="12"/>
      <c r="K909" s="12"/>
      <c r="L909" s="12"/>
      <c r="M909" s="12"/>
      <c r="N909" s="12"/>
      <c r="O909" s="12"/>
      <c r="P909" s="12"/>
      <c r="Q909" s="12"/>
      <c r="R909" s="12"/>
      <c r="S909" s="12"/>
      <c r="T909" s="12"/>
      <c r="U909" s="12"/>
      <c r="V909" s="4"/>
      <c r="W909" s="4"/>
      <c r="X909" s="12"/>
      <c r="Y909" s="12"/>
      <c r="Z909" s="12"/>
      <c r="AA909" s="12"/>
    </row>
    <row r="910" spans="1:27">
      <c r="A910" s="12"/>
      <c r="B910" s="12"/>
      <c r="C910" s="12"/>
      <c r="D910" s="12"/>
      <c r="E910" s="12"/>
      <c r="F910" s="12"/>
      <c r="G910" s="12"/>
      <c r="H910" s="12"/>
      <c r="I910" s="12"/>
      <c r="J910" s="12"/>
      <c r="K910" s="12"/>
      <c r="L910" s="12"/>
      <c r="M910" s="12"/>
      <c r="N910" s="12"/>
      <c r="O910" s="12"/>
      <c r="P910" s="12"/>
      <c r="Q910" s="12"/>
      <c r="R910" s="12"/>
      <c r="S910" s="12"/>
      <c r="T910" s="12"/>
      <c r="U910" s="12"/>
      <c r="V910" s="4"/>
      <c r="W910" s="4"/>
      <c r="X910" s="12"/>
      <c r="Y910" s="12"/>
      <c r="Z910" s="12"/>
      <c r="AA910" s="12"/>
    </row>
    <row r="911" spans="1:27">
      <c r="A911" s="12"/>
      <c r="B911" s="12"/>
      <c r="C911" s="12"/>
      <c r="D911" s="12"/>
      <c r="E911" s="12"/>
      <c r="F911" s="12"/>
      <c r="G911" s="12"/>
      <c r="H911" s="12"/>
      <c r="I911" s="12"/>
      <c r="J911" s="12"/>
      <c r="K911" s="12"/>
      <c r="L911" s="12"/>
      <c r="M911" s="12"/>
      <c r="N911" s="12"/>
      <c r="O911" s="12"/>
      <c r="P911" s="12"/>
      <c r="Q911" s="12"/>
      <c r="R911" s="12"/>
      <c r="S911" s="12"/>
      <c r="T911" s="12"/>
      <c r="U911" s="12"/>
      <c r="V911" s="4"/>
      <c r="W911" s="4"/>
      <c r="X911" s="12"/>
      <c r="Y911" s="12"/>
      <c r="Z911" s="12"/>
      <c r="AA911" s="12"/>
    </row>
    <row r="912" spans="1:27">
      <c r="A912" s="12"/>
      <c r="B912" s="12"/>
      <c r="C912" s="12"/>
      <c r="D912" s="12"/>
      <c r="E912" s="12"/>
      <c r="F912" s="12"/>
      <c r="G912" s="12"/>
      <c r="H912" s="12"/>
      <c r="I912" s="12"/>
      <c r="J912" s="12"/>
      <c r="K912" s="12"/>
      <c r="L912" s="12"/>
      <c r="M912" s="12"/>
      <c r="N912" s="12"/>
      <c r="O912" s="12"/>
      <c r="P912" s="12"/>
      <c r="Q912" s="12"/>
      <c r="R912" s="12"/>
      <c r="S912" s="12"/>
      <c r="T912" s="12"/>
      <c r="U912" s="12"/>
      <c r="V912" s="4"/>
      <c r="W912" s="4"/>
      <c r="X912" s="12"/>
      <c r="Y912" s="12"/>
      <c r="Z912" s="12"/>
      <c r="AA912" s="12"/>
    </row>
    <row r="913" spans="1:27">
      <c r="A913" s="12"/>
      <c r="B913" s="12"/>
      <c r="C913" s="12"/>
      <c r="D913" s="12"/>
      <c r="E913" s="12"/>
      <c r="F913" s="12"/>
      <c r="G913" s="12"/>
      <c r="H913" s="12"/>
      <c r="I913" s="12"/>
      <c r="J913" s="12"/>
      <c r="K913" s="12"/>
      <c r="L913" s="12"/>
      <c r="M913" s="12"/>
      <c r="N913" s="12"/>
      <c r="O913" s="12"/>
      <c r="P913" s="12"/>
      <c r="Q913" s="12"/>
      <c r="R913" s="12"/>
      <c r="S913" s="12"/>
      <c r="T913" s="12"/>
      <c r="U913" s="12"/>
      <c r="V913" s="4"/>
      <c r="W913" s="4"/>
      <c r="X913" s="12"/>
      <c r="Y913" s="12"/>
      <c r="Z913" s="12"/>
      <c r="AA913" s="12"/>
    </row>
    <row r="914" spans="1:27">
      <c r="A914" s="12"/>
      <c r="B914" s="12"/>
      <c r="C914" s="12"/>
      <c r="D914" s="12"/>
      <c r="E914" s="12"/>
      <c r="F914" s="12"/>
      <c r="G914" s="12"/>
      <c r="H914" s="12"/>
      <c r="I914" s="12"/>
      <c r="J914" s="12"/>
      <c r="K914" s="12"/>
      <c r="L914" s="12"/>
      <c r="M914" s="12"/>
      <c r="N914" s="12"/>
      <c r="O914" s="12"/>
      <c r="P914" s="12"/>
      <c r="Q914" s="12"/>
      <c r="R914" s="12"/>
      <c r="S914" s="12"/>
      <c r="T914" s="12"/>
      <c r="U914" s="12"/>
      <c r="V914" s="4"/>
      <c r="W914" s="4"/>
      <c r="X914" s="12"/>
      <c r="Y914" s="12"/>
      <c r="Z914" s="12"/>
      <c r="AA914" s="12"/>
    </row>
    <row r="915" spans="1:27">
      <c r="A915" s="12"/>
      <c r="B915" s="12"/>
      <c r="C915" s="12"/>
      <c r="D915" s="12"/>
      <c r="E915" s="12"/>
      <c r="F915" s="12"/>
      <c r="G915" s="12"/>
      <c r="H915" s="12"/>
      <c r="I915" s="12"/>
      <c r="J915" s="12"/>
      <c r="K915" s="12"/>
      <c r="L915" s="12"/>
      <c r="M915" s="12"/>
      <c r="N915" s="12"/>
      <c r="O915" s="12"/>
      <c r="P915" s="12"/>
      <c r="Q915" s="12"/>
      <c r="R915" s="12"/>
      <c r="S915" s="12"/>
      <c r="T915" s="12"/>
      <c r="U915" s="12"/>
      <c r="V915" s="4"/>
      <c r="W915" s="4"/>
      <c r="X915" s="12"/>
      <c r="Y915" s="12"/>
      <c r="Z915" s="12"/>
      <c r="AA915" s="12"/>
    </row>
    <row r="916" spans="1:27">
      <c r="A916" s="12"/>
      <c r="B916" s="12"/>
      <c r="C916" s="12"/>
      <c r="D916" s="12"/>
      <c r="E916" s="12"/>
      <c r="F916" s="12"/>
      <c r="G916" s="12"/>
      <c r="H916" s="12"/>
      <c r="I916" s="12"/>
      <c r="J916" s="12"/>
      <c r="K916" s="12"/>
      <c r="L916" s="12"/>
      <c r="M916" s="12"/>
      <c r="N916" s="12"/>
      <c r="O916" s="12"/>
      <c r="P916" s="12"/>
      <c r="Q916" s="12"/>
      <c r="R916" s="12"/>
      <c r="S916" s="12"/>
      <c r="T916" s="12"/>
      <c r="U916" s="12"/>
      <c r="V916" s="4"/>
      <c r="W916" s="4"/>
      <c r="X916" s="12"/>
      <c r="Y916" s="12"/>
      <c r="Z916" s="12"/>
      <c r="AA916" s="12"/>
    </row>
    <row r="917" spans="1:27">
      <c r="A917" s="12"/>
      <c r="B917" s="12"/>
      <c r="C917" s="12"/>
      <c r="D917" s="12"/>
      <c r="E917" s="12"/>
      <c r="F917" s="12"/>
      <c r="G917" s="12"/>
      <c r="H917" s="12"/>
      <c r="I917" s="12"/>
      <c r="J917" s="12"/>
      <c r="K917" s="12"/>
      <c r="L917" s="12"/>
      <c r="M917" s="12"/>
      <c r="N917" s="12"/>
      <c r="O917" s="12"/>
      <c r="P917" s="12"/>
      <c r="Q917" s="12"/>
      <c r="R917" s="12"/>
      <c r="S917" s="12"/>
      <c r="T917" s="12"/>
      <c r="U917" s="12"/>
      <c r="V917" s="4"/>
      <c r="W917" s="4"/>
      <c r="X917" s="12"/>
      <c r="Y917" s="12"/>
      <c r="Z917" s="12"/>
      <c r="AA917" s="12"/>
    </row>
    <row r="918" spans="1:27">
      <c r="A918" s="12"/>
      <c r="B918" s="12"/>
      <c r="C918" s="12"/>
      <c r="D918" s="12"/>
      <c r="E918" s="12"/>
      <c r="F918" s="12"/>
      <c r="G918" s="12"/>
      <c r="H918" s="12"/>
      <c r="I918" s="12"/>
      <c r="J918" s="12"/>
      <c r="K918" s="12"/>
      <c r="L918" s="12"/>
      <c r="M918" s="12"/>
      <c r="N918" s="12"/>
      <c r="O918" s="12"/>
      <c r="P918" s="12"/>
      <c r="Q918" s="12"/>
      <c r="R918" s="12"/>
      <c r="S918" s="12"/>
      <c r="T918" s="12"/>
      <c r="U918" s="12"/>
      <c r="V918" s="4"/>
      <c r="W918" s="4"/>
      <c r="X918" s="12"/>
      <c r="Y918" s="12"/>
      <c r="Z918" s="12"/>
      <c r="AA918" s="12"/>
    </row>
    <row r="919" spans="1:27">
      <c r="A919" s="12"/>
      <c r="B919" s="12"/>
      <c r="C919" s="12"/>
      <c r="D919" s="12"/>
      <c r="E919" s="12"/>
      <c r="F919" s="12"/>
      <c r="G919" s="12"/>
      <c r="H919" s="12"/>
      <c r="I919" s="12"/>
      <c r="J919" s="12"/>
      <c r="K919" s="12"/>
      <c r="L919" s="12"/>
      <c r="M919" s="12"/>
      <c r="N919" s="12"/>
      <c r="O919" s="12"/>
      <c r="P919" s="12"/>
      <c r="Q919" s="12"/>
      <c r="R919" s="12"/>
      <c r="S919" s="12"/>
      <c r="T919" s="12"/>
      <c r="U919" s="12"/>
      <c r="V919" s="4"/>
      <c r="W919" s="4"/>
      <c r="X919" s="12"/>
      <c r="Y919" s="12"/>
      <c r="Z919" s="12"/>
      <c r="AA919" s="12"/>
    </row>
    <row r="920" spans="1:27">
      <c r="A920" s="12"/>
      <c r="B920" s="12"/>
      <c r="C920" s="12"/>
      <c r="D920" s="12"/>
      <c r="E920" s="12"/>
      <c r="F920" s="12"/>
      <c r="G920" s="12"/>
      <c r="H920" s="12"/>
      <c r="I920" s="12"/>
      <c r="J920" s="12"/>
      <c r="K920" s="12"/>
      <c r="L920" s="12"/>
      <c r="M920" s="12"/>
      <c r="N920" s="12"/>
      <c r="O920" s="12"/>
      <c r="P920" s="12"/>
      <c r="Q920" s="12"/>
      <c r="R920" s="12"/>
      <c r="S920" s="12"/>
      <c r="T920" s="12"/>
      <c r="U920" s="12"/>
      <c r="V920" s="4"/>
      <c r="W920" s="4"/>
      <c r="X920" s="12"/>
      <c r="Y920" s="12"/>
      <c r="Z920" s="12"/>
      <c r="AA920" s="12"/>
    </row>
    <row r="921" spans="1:27">
      <c r="A921" s="12"/>
      <c r="B921" s="12"/>
      <c r="C921" s="12"/>
      <c r="D921" s="12"/>
      <c r="E921" s="12"/>
      <c r="F921" s="12"/>
      <c r="G921" s="12"/>
      <c r="H921" s="12"/>
      <c r="I921" s="12"/>
      <c r="J921" s="12"/>
      <c r="K921" s="12"/>
      <c r="L921" s="12"/>
      <c r="M921" s="12"/>
      <c r="N921" s="12"/>
      <c r="O921" s="12"/>
      <c r="P921" s="12"/>
      <c r="Q921" s="12"/>
      <c r="R921" s="12"/>
      <c r="S921" s="12"/>
      <c r="T921" s="12"/>
      <c r="U921" s="12"/>
      <c r="V921" s="4"/>
      <c r="W921" s="4"/>
      <c r="X921" s="12"/>
      <c r="Y921" s="12"/>
      <c r="Z921" s="12"/>
      <c r="AA921" s="12"/>
    </row>
    <row r="922" spans="1:27">
      <c r="A922" s="12"/>
      <c r="B922" s="12"/>
      <c r="C922" s="12"/>
      <c r="D922" s="12"/>
      <c r="E922" s="12"/>
      <c r="F922" s="12"/>
      <c r="G922" s="12"/>
      <c r="H922" s="12"/>
      <c r="I922" s="12"/>
      <c r="J922" s="12"/>
      <c r="K922" s="12"/>
      <c r="L922" s="12"/>
      <c r="M922" s="12"/>
      <c r="N922" s="12"/>
      <c r="O922" s="12"/>
      <c r="P922" s="12"/>
      <c r="Q922" s="12"/>
      <c r="R922" s="12"/>
      <c r="S922" s="12"/>
      <c r="T922" s="12"/>
      <c r="U922" s="12"/>
      <c r="V922" s="4"/>
      <c r="W922" s="4"/>
      <c r="X922" s="12"/>
      <c r="Y922" s="12"/>
      <c r="Z922" s="12"/>
      <c r="AA922" s="12"/>
    </row>
    <row r="923" spans="1:27">
      <c r="A923" s="12"/>
      <c r="B923" s="12"/>
      <c r="C923" s="12"/>
      <c r="D923" s="12"/>
      <c r="E923" s="12"/>
      <c r="F923" s="12"/>
      <c r="G923" s="12"/>
      <c r="H923" s="12"/>
      <c r="I923" s="12"/>
      <c r="J923" s="12"/>
      <c r="K923" s="12"/>
      <c r="L923" s="12"/>
      <c r="M923" s="12"/>
      <c r="N923" s="12"/>
      <c r="O923" s="12"/>
      <c r="P923" s="12"/>
      <c r="Q923" s="12"/>
      <c r="R923" s="12"/>
      <c r="S923" s="12"/>
      <c r="T923" s="12"/>
      <c r="U923" s="12"/>
      <c r="V923" s="4"/>
      <c r="W923" s="4"/>
      <c r="X923" s="12"/>
      <c r="Y923" s="12"/>
      <c r="Z923" s="12"/>
      <c r="AA923" s="12"/>
    </row>
    <row r="924" spans="1:27">
      <c r="A924" s="12"/>
      <c r="B924" s="12"/>
      <c r="C924" s="12"/>
      <c r="D924" s="12"/>
      <c r="E924" s="12"/>
      <c r="F924" s="12"/>
      <c r="G924" s="12"/>
      <c r="H924" s="12"/>
      <c r="I924" s="12"/>
      <c r="J924" s="12"/>
      <c r="K924" s="12"/>
      <c r="L924" s="12"/>
      <c r="M924" s="12"/>
      <c r="N924" s="12"/>
      <c r="O924" s="12"/>
      <c r="P924" s="12"/>
      <c r="Q924" s="12"/>
      <c r="R924" s="12"/>
      <c r="S924" s="12"/>
      <c r="T924" s="12"/>
      <c r="U924" s="12"/>
      <c r="V924" s="4"/>
      <c r="W924" s="4"/>
      <c r="X924" s="12"/>
      <c r="Y924" s="12"/>
      <c r="Z924" s="12"/>
      <c r="AA924" s="12"/>
    </row>
    <row r="925" spans="1:27">
      <c r="A925" s="12"/>
      <c r="B925" s="12"/>
      <c r="C925" s="12"/>
      <c r="D925" s="12"/>
      <c r="E925" s="12"/>
      <c r="F925" s="12"/>
      <c r="G925" s="12"/>
      <c r="H925" s="12"/>
      <c r="I925" s="12"/>
      <c r="J925" s="12"/>
      <c r="K925" s="12"/>
      <c r="L925" s="12"/>
      <c r="M925" s="12"/>
      <c r="N925" s="12"/>
      <c r="O925" s="12"/>
      <c r="P925" s="12"/>
      <c r="Q925" s="12"/>
      <c r="R925" s="12"/>
      <c r="S925" s="12"/>
      <c r="T925" s="12"/>
      <c r="U925" s="12"/>
      <c r="V925" s="4"/>
      <c r="W925" s="4"/>
      <c r="X925" s="12"/>
      <c r="Y925" s="12"/>
      <c r="Z925" s="12"/>
      <c r="AA925" s="12"/>
    </row>
    <row r="926" spans="1:27">
      <c r="A926" s="12"/>
      <c r="B926" s="12"/>
      <c r="C926" s="12"/>
      <c r="D926" s="12"/>
      <c r="E926" s="12"/>
      <c r="F926" s="12"/>
      <c r="G926" s="12"/>
      <c r="H926" s="12"/>
      <c r="I926" s="12"/>
      <c r="J926" s="12"/>
      <c r="K926" s="12"/>
      <c r="L926" s="12"/>
      <c r="M926" s="12"/>
      <c r="N926" s="12"/>
      <c r="O926" s="12"/>
      <c r="P926" s="12"/>
      <c r="Q926" s="12"/>
      <c r="R926" s="12"/>
      <c r="S926" s="12"/>
      <c r="T926" s="12"/>
      <c r="U926" s="12"/>
      <c r="V926" s="4"/>
      <c r="W926" s="4"/>
      <c r="X926" s="12"/>
      <c r="Y926" s="12"/>
      <c r="Z926" s="12"/>
      <c r="AA926" s="12"/>
    </row>
    <row r="927" spans="1:27">
      <c r="A927" s="12"/>
      <c r="B927" s="12"/>
      <c r="C927" s="12"/>
      <c r="D927" s="12"/>
      <c r="E927" s="12"/>
      <c r="F927" s="12"/>
      <c r="G927" s="12"/>
      <c r="H927" s="12"/>
      <c r="I927" s="12"/>
      <c r="J927" s="12"/>
      <c r="K927" s="12"/>
      <c r="L927" s="12"/>
      <c r="M927" s="12"/>
      <c r="N927" s="12"/>
      <c r="O927" s="12"/>
      <c r="P927" s="12"/>
      <c r="Q927" s="12"/>
      <c r="R927" s="12"/>
      <c r="S927" s="12"/>
      <c r="T927" s="12"/>
      <c r="U927" s="12"/>
      <c r="V927" s="4"/>
      <c r="W927" s="4"/>
      <c r="X927" s="12"/>
      <c r="Y927" s="12"/>
      <c r="Z927" s="12"/>
      <c r="AA927" s="12"/>
    </row>
    <row r="928" spans="1:27">
      <c r="A928" s="12"/>
      <c r="B928" s="12"/>
      <c r="C928" s="12"/>
      <c r="D928" s="12"/>
      <c r="E928" s="12"/>
      <c r="F928" s="12"/>
      <c r="G928" s="12"/>
      <c r="H928" s="12"/>
      <c r="I928" s="12"/>
      <c r="J928" s="12"/>
      <c r="K928" s="12"/>
      <c r="L928" s="12"/>
      <c r="M928" s="12"/>
      <c r="N928" s="12"/>
      <c r="O928" s="12"/>
      <c r="P928" s="12"/>
      <c r="Q928" s="12"/>
      <c r="R928" s="12"/>
      <c r="S928" s="12"/>
      <c r="T928" s="12"/>
      <c r="U928" s="12"/>
      <c r="V928" s="4"/>
      <c r="W928" s="4"/>
      <c r="X928" s="12"/>
      <c r="Y928" s="12"/>
      <c r="Z928" s="12"/>
      <c r="AA928" s="12"/>
    </row>
    <row r="929" spans="1:27">
      <c r="A929" s="12"/>
      <c r="B929" s="12"/>
      <c r="C929" s="12"/>
      <c r="D929" s="12"/>
      <c r="E929" s="12"/>
      <c r="F929" s="12"/>
      <c r="G929" s="12"/>
      <c r="H929" s="12"/>
      <c r="I929" s="12"/>
      <c r="J929" s="12"/>
      <c r="K929" s="12"/>
      <c r="L929" s="12"/>
      <c r="M929" s="12"/>
      <c r="N929" s="12"/>
      <c r="O929" s="12"/>
      <c r="P929" s="12"/>
      <c r="Q929" s="12"/>
      <c r="R929" s="12"/>
      <c r="S929" s="12"/>
      <c r="T929" s="12"/>
      <c r="U929" s="12"/>
      <c r="V929" s="4"/>
      <c r="W929" s="4"/>
      <c r="X929" s="12"/>
      <c r="Y929" s="12"/>
      <c r="Z929" s="12"/>
      <c r="AA929" s="12"/>
    </row>
    <row r="930" spans="1:27">
      <c r="A930" s="12"/>
      <c r="B930" s="12"/>
      <c r="C930" s="12"/>
      <c r="D930" s="12"/>
      <c r="E930" s="12"/>
      <c r="F930" s="12"/>
      <c r="G930" s="12"/>
      <c r="H930" s="12"/>
      <c r="I930" s="12"/>
      <c r="J930" s="12"/>
      <c r="K930" s="12"/>
      <c r="L930" s="12"/>
      <c r="M930" s="12"/>
      <c r="N930" s="12"/>
      <c r="O930" s="12"/>
      <c r="P930" s="12"/>
      <c r="Q930" s="12"/>
      <c r="R930" s="12"/>
      <c r="S930" s="12"/>
      <c r="T930" s="12"/>
      <c r="U930" s="12"/>
      <c r="V930" s="4"/>
      <c r="W930" s="4"/>
      <c r="X930" s="12"/>
      <c r="Y930" s="12"/>
      <c r="Z930" s="12"/>
      <c r="AA930" s="12"/>
    </row>
    <row r="931" spans="1:27">
      <c r="A931" s="12"/>
      <c r="B931" s="12"/>
      <c r="C931" s="12"/>
      <c r="D931" s="12"/>
      <c r="E931" s="12"/>
      <c r="F931" s="12"/>
      <c r="G931" s="12"/>
      <c r="H931" s="12"/>
      <c r="I931" s="12"/>
      <c r="J931" s="12"/>
      <c r="K931" s="12"/>
      <c r="L931" s="12"/>
      <c r="M931" s="12"/>
      <c r="N931" s="12"/>
      <c r="O931" s="12"/>
      <c r="P931" s="12"/>
      <c r="Q931" s="12"/>
      <c r="R931" s="12"/>
      <c r="S931" s="12"/>
      <c r="T931" s="12"/>
      <c r="U931" s="12"/>
      <c r="V931" s="4"/>
      <c r="W931" s="4"/>
      <c r="X931" s="12"/>
      <c r="Y931" s="12"/>
      <c r="Z931" s="12"/>
      <c r="AA931" s="12"/>
    </row>
    <row r="932" spans="1:27">
      <c r="A932" s="12"/>
      <c r="B932" s="12"/>
      <c r="C932" s="12"/>
      <c r="D932" s="12"/>
      <c r="E932" s="12"/>
      <c r="F932" s="12"/>
      <c r="G932" s="12"/>
      <c r="H932" s="12"/>
      <c r="I932" s="12"/>
      <c r="J932" s="12"/>
      <c r="K932" s="12"/>
      <c r="L932" s="12"/>
      <c r="M932" s="12"/>
      <c r="N932" s="12"/>
      <c r="O932" s="12"/>
      <c r="P932" s="12"/>
      <c r="Q932" s="12"/>
      <c r="R932" s="12"/>
      <c r="S932" s="12"/>
      <c r="T932" s="12"/>
      <c r="U932" s="12"/>
      <c r="V932" s="4"/>
      <c r="W932" s="4"/>
      <c r="X932" s="12"/>
      <c r="Y932" s="12"/>
      <c r="Z932" s="12"/>
      <c r="AA932" s="12"/>
    </row>
    <row r="933" spans="1:27">
      <c r="A933" s="12"/>
      <c r="B933" s="12"/>
      <c r="C933" s="12"/>
      <c r="D933" s="12"/>
      <c r="E933" s="12"/>
      <c r="F933" s="12"/>
      <c r="G933" s="12"/>
      <c r="H933" s="12"/>
      <c r="I933" s="12"/>
      <c r="J933" s="12"/>
      <c r="K933" s="12"/>
      <c r="L933" s="12"/>
      <c r="M933" s="12"/>
      <c r="N933" s="12"/>
      <c r="O933" s="12"/>
      <c r="P933" s="12"/>
      <c r="Q933" s="12"/>
      <c r="R933" s="12"/>
      <c r="S933" s="12"/>
      <c r="T933" s="12"/>
      <c r="U933" s="12"/>
      <c r="V933" s="4"/>
      <c r="W933" s="4"/>
      <c r="X933" s="12"/>
      <c r="Y933" s="12"/>
      <c r="Z933" s="12"/>
      <c r="AA933" s="12"/>
    </row>
    <row r="934" spans="1:27">
      <c r="A934" s="12"/>
      <c r="B934" s="12"/>
      <c r="C934" s="12"/>
      <c r="D934" s="12"/>
      <c r="E934" s="12"/>
      <c r="F934" s="12"/>
      <c r="G934" s="12"/>
      <c r="H934" s="12"/>
      <c r="I934" s="12"/>
      <c r="J934" s="12"/>
      <c r="K934" s="12"/>
      <c r="L934" s="12"/>
      <c r="M934" s="12"/>
      <c r="N934" s="12"/>
      <c r="O934" s="12"/>
      <c r="P934" s="12"/>
      <c r="Q934" s="12"/>
      <c r="R934" s="12"/>
      <c r="S934" s="12"/>
      <c r="T934" s="12"/>
      <c r="U934" s="12"/>
      <c r="V934" s="4"/>
      <c r="W934" s="4"/>
      <c r="X934" s="12"/>
      <c r="Y934" s="12"/>
      <c r="Z934" s="12"/>
      <c r="AA934" s="12"/>
    </row>
    <row r="935" spans="1:27">
      <c r="A935" s="12"/>
      <c r="B935" s="12"/>
      <c r="C935" s="12"/>
      <c r="D935" s="12"/>
      <c r="E935" s="12"/>
      <c r="F935" s="12"/>
      <c r="G935" s="12"/>
      <c r="H935" s="12"/>
      <c r="I935" s="12"/>
      <c r="J935" s="12"/>
      <c r="K935" s="12"/>
      <c r="L935" s="12"/>
      <c r="M935" s="12"/>
      <c r="N935" s="12"/>
      <c r="O935" s="12"/>
      <c r="P935" s="12"/>
      <c r="Q935" s="12"/>
      <c r="R935" s="12"/>
      <c r="S935" s="12"/>
      <c r="T935" s="12"/>
      <c r="U935" s="12"/>
      <c r="V935" s="4"/>
      <c r="W935" s="4"/>
      <c r="X935" s="12"/>
      <c r="Y935" s="12"/>
      <c r="Z935" s="12"/>
      <c r="AA935" s="12"/>
    </row>
    <row r="936" spans="1:27">
      <c r="A936" s="12"/>
      <c r="B936" s="12"/>
      <c r="C936" s="12"/>
      <c r="D936" s="12"/>
      <c r="E936" s="12"/>
      <c r="F936" s="12"/>
      <c r="G936" s="12"/>
      <c r="H936" s="12"/>
      <c r="I936" s="12"/>
      <c r="J936" s="12"/>
      <c r="K936" s="12"/>
      <c r="L936" s="12"/>
      <c r="M936" s="12"/>
      <c r="N936" s="12"/>
      <c r="O936" s="12"/>
      <c r="P936" s="12"/>
      <c r="Q936" s="12"/>
      <c r="R936" s="12"/>
      <c r="S936" s="12"/>
      <c r="T936" s="12"/>
      <c r="U936" s="12"/>
      <c r="V936" s="4"/>
      <c r="W936" s="4"/>
      <c r="X936" s="12"/>
      <c r="Y936" s="12"/>
      <c r="Z936" s="12"/>
      <c r="AA936" s="12"/>
    </row>
    <row r="937" spans="1:27">
      <c r="A937" s="12"/>
      <c r="B937" s="12"/>
      <c r="C937" s="12"/>
      <c r="D937" s="12"/>
      <c r="E937" s="12"/>
      <c r="F937" s="12"/>
      <c r="G937" s="12"/>
      <c r="H937" s="12"/>
      <c r="I937" s="12"/>
      <c r="J937" s="12"/>
      <c r="K937" s="12"/>
      <c r="L937" s="12"/>
      <c r="M937" s="12"/>
      <c r="N937" s="12"/>
      <c r="O937" s="12"/>
      <c r="P937" s="12"/>
      <c r="Q937" s="12"/>
      <c r="R937" s="12"/>
      <c r="S937" s="12"/>
      <c r="T937" s="12"/>
      <c r="U937" s="12"/>
      <c r="V937" s="4"/>
      <c r="W937" s="4"/>
      <c r="X937" s="12"/>
      <c r="Y937" s="12"/>
      <c r="Z937" s="12"/>
      <c r="AA937" s="12"/>
    </row>
    <row r="938" spans="1:27">
      <c r="A938" s="12"/>
      <c r="B938" s="12"/>
      <c r="C938" s="12"/>
      <c r="D938" s="12"/>
      <c r="E938" s="12"/>
      <c r="F938" s="12"/>
      <c r="G938" s="12"/>
      <c r="H938" s="12"/>
      <c r="I938" s="12"/>
      <c r="J938" s="12"/>
      <c r="K938" s="12"/>
      <c r="L938" s="12"/>
      <c r="M938" s="12"/>
      <c r="N938" s="12"/>
      <c r="O938" s="12"/>
      <c r="P938" s="12"/>
      <c r="Q938" s="12"/>
      <c r="R938" s="12"/>
      <c r="S938" s="12"/>
      <c r="T938" s="12"/>
      <c r="U938" s="12"/>
      <c r="V938" s="4"/>
      <c r="W938" s="4"/>
      <c r="X938" s="12"/>
      <c r="Y938" s="12"/>
      <c r="Z938" s="12"/>
      <c r="AA938" s="12"/>
    </row>
    <row r="939" spans="1:27">
      <c r="A939" s="12"/>
      <c r="B939" s="12"/>
      <c r="C939" s="12"/>
      <c r="D939" s="12"/>
      <c r="E939" s="12"/>
      <c r="F939" s="12"/>
      <c r="G939" s="12"/>
      <c r="H939" s="12"/>
      <c r="I939" s="12"/>
      <c r="J939" s="12"/>
      <c r="K939" s="12"/>
      <c r="L939" s="12"/>
      <c r="M939" s="12"/>
      <c r="N939" s="12"/>
      <c r="O939" s="12"/>
      <c r="P939" s="12"/>
      <c r="Q939" s="12"/>
      <c r="R939" s="12"/>
      <c r="S939" s="12"/>
      <c r="T939" s="12"/>
      <c r="U939" s="12"/>
      <c r="V939" s="4"/>
      <c r="W939" s="4"/>
      <c r="X939" s="12"/>
      <c r="Y939" s="12"/>
      <c r="Z939" s="12"/>
      <c r="AA939" s="12"/>
    </row>
    <row r="940" spans="1:27">
      <c r="A940" s="12"/>
      <c r="B940" s="12"/>
      <c r="C940" s="12"/>
      <c r="D940" s="12"/>
      <c r="E940" s="12"/>
      <c r="F940" s="12"/>
      <c r="G940" s="12"/>
      <c r="H940" s="12"/>
      <c r="I940" s="12"/>
      <c r="J940" s="12"/>
      <c r="K940" s="12"/>
      <c r="L940" s="12"/>
      <c r="M940" s="12"/>
      <c r="N940" s="12"/>
      <c r="O940" s="12"/>
      <c r="P940" s="12"/>
      <c r="Q940" s="12"/>
      <c r="R940" s="12"/>
      <c r="S940" s="12"/>
      <c r="T940" s="12"/>
      <c r="U940" s="12"/>
      <c r="V940" s="4"/>
      <c r="W940" s="4"/>
      <c r="X940" s="12"/>
      <c r="Y940" s="12"/>
      <c r="Z940" s="12"/>
      <c r="AA940" s="12"/>
    </row>
    <row r="941" spans="1:27">
      <c r="A941" s="12"/>
      <c r="B941" s="12"/>
      <c r="C941" s="12"/>
      <c r="D941" s="12"/>
      <c r="E941" s="12"/>
      <c r="F941" s="12"/>
      <c r="G941" s="12"/>
      <c r="H941" s="12"/>
      <c r="I941" s="12"/>
      <c r="J941" s="12"/>
      <c r="K941" s="12"/>
      <c r="L941" s="12"/>
      <c r="M941" s="12"/>
      <c r="N941" s="12"/>
      <c r="O941" s="12"/>
      <c r="P941" s="12"/>
      <c r="Q941" s="12"/>
      <c r="R941" s="12"/>
      <c r="S941" s="12"/>
      <c r="T941" s="12"/>
      <c r="U941" s="12"/>
      <c r="V941" s="4"/>
      <c r="W941" s="4"/>
      <c r="X941" s="12"/>
      <c r="Y941" s="12"/>
      <c r="Z941" s="12"/>
      <c r="AA941" s="12"/>
    </row>
    <row r="942" spans="1:27">
      <c r="A942" s="12"/>
      <c r="B942" s="12"/>
      <c r="C942" s="12"/>
      <c r="D942" s="12"/>
      <c r="E942" s="12"/>
      <c r="F942" s="12"/>
      <c r="G942" s="12"/>
      <c r="H942" s="12"/>
      <c r="I942" s="12"/>
      <c r="J942" s="12"/>
      <c r="K942" s="12"/>
      <c r="L942" s="12"/>
      <c r="M942" s="12"/>
      <c r="N942" s="12"/>
      <c r="O942" s="12"/>
      <c r="P942" s="12"/>
      <c r="Q942" s="12"/>
      <c r="R942" s="12"/>
      <c r="S942" s="12"/>
      <c r="T942" s="12"/>
      <c r="U942" s="12"/>
      <c r="V942" s="4"/>
      <c r="W942" s="4"/>
      <c r="X942" s="12"/>
      <c r="Y942" s="12"/>
      <c r="Z942" s="12"/>
      <c r="AA942" s="12"/>
    </row>
    <row r="943" spans="1:27">
      <c r="A943" s="12"/>
      <c r="B943" s="12"/>
      <c r="C943" s="12"/>
      <c r="D943" s="12"/>
      <c r="E943" s="12"/>
      <c r="F943" s="12"/>
      <c r="G943" s="12"/>
      <c r="H943" s="12"/>
      <c r="I943" s="12"/>
      <c r="J943" s="12"/>
      <c r="K943" s="12"/>
      <c r="L943" s="12"/>
      <c r="M943" s="12"/>
      <c r="N943" s="12"/>
      <c r="O943" s="12"/>
      <c r="P943" s="12"/>
      <c r="Q943" s="12"/>
      <c r="R943" s="12"/>
      <c r="S943" s="12"/>
      <c r="T943" s="12"/>
      <c r="U943" s="12"/>
      <c r="V943" s="4"/>
      <c r="W943" s="4"/>
      <c r="X943" s="12"/>
      <c r="Y943" s="12"/>
      <c r="Z943" s="12"/>
      <c r="AA943" s="12"/>
    </row>
    <row r="944" spans="1:27">
      <c r="A944" s="12"/>
      <c r="B944" s="12"/>
      <c r="C944" s="12"/>
      <c r="D944" s="12"/>
      <c r="E944" s="12"/>
      <c r="F944" s="12"/>
      <c r="G944" s="12"/>
      <c r="H944" s="12"/>
      <c r="I944" s="12"/>
      <c r="J944" s="12"/>
      <c r="K944" s="12"/>
      <c r="L944" s="12"/>
      <c r="M944" s="12"/>
      <c r="N944" s="12"/>
      <c r="O944" s="12"/>
      <c r="P944" s="12"/>
      <c r="Q944" s="12"/>
      <c r="R944" s="12"/>
      <c r="S944" s="12"/>
      <c r="T944" s="12"/>
      <c r="U944" s="12"/>
      <c r="V944" s="4"/>
      <c r="W944" s="4"/>
      <c r="X944" s="12"/>
      <c r="Y944" s="12"/>
      <c r="Z944" s="12"/>
      <c r="AA944" s="12"/>
    </row>
    <row r="945" spans="1:27">
      <c r="A945" s="12"/>
      <c r="B945" s="12"/>
      <c r="C945" s="12"/>
      <c r="D945" s="12"/>
      <c r="E945" s="12"/>
      <c r="F945" s="12"/>
      <c r="G945" s="12"/>
      <c r="H945" s="12"/>
      <c r="I945" s="12"/>
      <c r="J945" s="12"/>
      <c r="K945" s="12"/>
      <c r="L945" s="12"/>
      <c r="M945" s="12"/>
      <c r="N945" s="12"/>
      <c r="O945" s="12"/>
      <c r="P945" s="12"/>
      <c r="Q945" s="12"/>
      <c r="R945" s="12"/>
      <c r="S945" s="12"/>
      <c r="T945" s="12"/>
      <c r="U945" s="12"/>
      <c r="V945" s="4"/>
      <c r="W945" s="4"/>
      <c r="X945" s="12"/>
      <c r="Y945" s="12"/>
      <c r="Z945" s="12"/>
      <c r="AA945" s="12"/>
    </row>
    <row r="946" spans="1:27">
      <c r="A946" s="12"/>
      <c r="B946" s="12"/>
      <c r="C946" s="12"/>
      <c r="D946" s="12"/>
      <c r="E946" s="12"/>
      <c r="F946" s="12"/>
      <c r="G946" s="12"/>
      <c r="H946" s="12"/>
      <c r="I946" s="12"/>
      <c r="J946" s="12"/>
      <c r="K946" s="12"/>
      <c r="L946" s="12"/>
      <c r="M946" s="12"/>
      <c r="N946" s="12"/>
      <c r="O946" s="12"/>
      <c r="P946" s="12"/>
      <c r="Q946" s="12"/>
      <c r="R946" s="12"/>
      <c r="S946" s="12"/>
      <c r="T946" s="12"/>
      <c r="U946" s="12"/>
      <c r="V946" s="4"/>
      <c r="W946" s="4"/>
      <c r="X946" s="12"/>
      <c r="Y946" s="12"/>
      <c r="Z946" s="12"/>
      <c r="AA946" s="12"/>
    </row>
    <row r="947" spans="1:27">
      <c r="A947" s="12"/>
      <c r="B947" s="12"/>
      <c r="C947" s="12"/>
      <c r="D947" s="12"/>
      <c r="E947" s="12"/>
      <c r="F947" s="12"/>
      <c r="G947" s="12"/>
      <c r="H947" s="12"/>
      <c r="I947" s="12"/>
      <c r="J947" s="12"/>
      <c r="K947" s="12"/>
      <c r="L947" s="12"/>
      <c r="M947" s="12"/>
      <c r="N947" s="12"/>
      <c r="O947" s="12"/>
      <c r="P947" s="12"/>
      <c r="Q947" s="12"/>
      <c r="R947" s="12"/>
      <c r="S947" s="12"/>
      <c r="T947" s="12"/>
      <c r="U947" s="12"/>
      <c r="V947" s="4"/>
      <c r="W947" s="4"/>
      <c r="X947" s="12"/>
      <c r="Y947" s="12"/>
      <c r="Z947" s="12"/>
      <c r="AA947" s="12"/>
    </row>
    <row r="948" spans="1:27">
      <c r="A948" s="12"/>
      <c r="B948" s="12"/>
      <c r="C948" s="12"/>
      <c r="D948" s="12"/>
      <c r="E948" s="12"/>
      <c r="F948" s="12"/>
      <c r="G948" s="12"/>
      <c r="H948" s="12"/>
      <c r="I948" s="12"/>
      <c r="J948" s="12"/>
      <c r="K948" s="12"/>
      <c r="L948" s="12"/>
      <c r="M948" s="12"/>
      <c r="N948" s="12"/>
      <c r="O948" s="12"/>
      <c r="P948" s="12"/>
      <c r="Q948" s="12"/>
      <c r="R948" s="12"/>
      <c r="S948" s="12"/>
      <c r="T948" s="12"/>
      <c r="U948" s="12"/>
      <c r="V948" s="4"/>
      <c r="W948" s="4"/>
      <c r="X948" s="12"/>
      <c r="Y948" s="12"/>
      <c r="Z948" s="12"/>
      <c r="AA948" s="12"/>
    </row>
    <row r="949" spans="1:27">
      <c r="A949" s="12"/>
      <c r="B949" s="12"/>
      <c r="C949" s="12"/>
      <c r="D949" s="12"/>
      <c r="E949" s="12"/>
      <c r="F949" s="12"/>
      <c r="G949" s="12"/>
      <c r="H949" s="12"/>
      <c r="I949" s="12"/>
      <c r="J949" s="12"/>
      <c r="K949" s="12"/>
      <c r="L949" s="12"/>
      <c r="M949" s="12"/>
      <c r="N949" s="12"/>
      <c r="O949" s="12"/>
      <c r="P949" s="12"/>
      <c r="Q949" s="12"/>
      <c r="R949" s="12"/>
      <c r="S949" s="12"/>
      <c r="T949" s="12"/>
      <c r="U949" s="12"/>
      <c r="V949" s="4"/>
      <c r="W949" s="4"/>
      <c r="X949" s="12"/>
      <c r="Y949" s="12"/>
      <c r="Z949" s="12"/>
      <c r="AA949" s="12"/>
    </row>
    <row r="950" spans="1:27">
      <c r="A950" s="12"/>
      <c r="B950" s="12"/>
      <c r="C950" s="12"/>
      <c r="D950" s="12"/>
      <c r="E950" s="12"/>
      <c r="F950" s="12"/>
      <c r="G950" s="12"/>
      <c r="H950" s="12"/>
      <c r="I950" s="12"/>
      <c r="J950" s="12"/>
      <c r="K950" s="12"/>
      <c r="L950" s="12"/>
      <c r="M950" s="12"/>
      <c r="N950" s="12"/>
      <c r="O950" s="12"/>
      <c r="P950" s="12"/>
      <c r="Q950" s="12"/>
      <c r="R950" s="12"/>
      <c r="S950" s="12"/>
      <c r="T950" s="12"/>
      <c r="U950" s="12"/>
      <c r="V950" s="4"/>
      <c r="W950" s="4"/>
      <c r="X950" s="12"/>
      <c r="Y950" s="12"/>
      <c r="Z950" s="12"/>
      <c r="AA950" s="12"/>
    </row>
    <row r="951" spans="1:27">
      <c r="A951" s="12"/>
      <c r="B951" s="12"/>
      <c r="C951" s="12"/>
      <c r="D951" s="12"/>
      <c r="E951" s="12"/>
      <c r="F951" s="12"/>
      <c r="G951" s="12"/>
      <c r="H951" s="12"/>
      <c r="I951" s="12"/>
      <c r="J951" s="12"/>
      <c r="K951" s="12"/>
      <c r="L951" s="12"/>
      <c r="M951" s="12"/>
      <c r="N951" s="12"/>
      <c r="O951" s="12"/>
      <c r="P951" s="12"/>
      <c r="Q951" s="12"/>
      <c r="R951" s="12"/>
      <c r="S951" s="12"/>
      <c r="T951" s="12"/>
      <c r="U951" s="12"/>
      <c r="V951" s="4"/>
      <c r="W951" s="4"/>
      <c r="X951" s="12"/>
      <c r="Y951" s="12"/>
      <c r="Z951" s="12"/>
      <c r="AA951" s="12"/>
    </row>
    <row r="952" spans="1:27">
      <c r="A952" s="12"/>
      <c r="B952" s="12"/>
      <c r="C952" s="12"/>
      <c r="D952" s="12"/>
      <c r="E952" s="12"/>
      <c r="F952" s="12"/>
      <c r="G952" s="12"/>
      <c r="H952" s="12"/>
      <c r="I952" s="12"/>
      <c r="J952" s="12"/>
      <c r="K952" s="12"/>
      <c r="L952" s="12"/>
      <c r="M952" s="12"/>
      <c r="N952" s="12"/>
      <c r="O952" s="12"/>
      <c r="P952" s="12"/>
      <c r="Q952" s="12"/>
      <c r="R952" s="12"/>
      <c r="S952" s="12"/>
      <c r="T952" s="12"/>
      <c r="U952" s="12"/>
      <c r="V952" s="4"/>
      <c r="W952" s="4"/>
      <c r="X952" s="12"/>
      <c r="Y952" s="12"/>
      <c r="Z952" s="12"/>
      <c r="AA952" s="12"/>
    </row>
    <row r="953" spans="1:27">
      <c r="A953" s="12"/>
      <c r="B953" s="12"/>
      <c r="C953" s="12"/>
      <c r="D953" s="12"/>
      <c r="E953" s="12"/>
      <c r="F953" s="12"/>
      <c r="G953" s="12"/>
      <c r="H953" s="12"/>
      <c r="I953" s="12"/>
      <c r="J953" s="12"/>
      <c r="K953" s="12"/>
      <c r="L953" s="12"/>
      <c r="M953" s="12"/>
      <c r="N953" s="12"/>
      <c r="O953" s="12"/>
      <c r="P953" s="12"/>
      <c r="Q953" s="12"/>
      <c r="R953" s="12"/>
      <c r="S953" s="12"/>
      <c r="T953" s="12"/>
      <c r="U953" s="12"/>
      <c r="V953" s="4"/>
      <c r="W953" s="4"/>
      <c r="X953" s="12"/>
      <c r="Y953" s="12"/>
      <c r="Z953" s="12"/>
      <c r="AA953" s="12"/>
    </row>
    <row r="954" spans="1:27">
      <c r="A954" s="12"/>
      <c r="B954" s="12"/>
      <c r="C954" s="12"/>
      <c r="D954" s="12"/>
      <c r="E954" s="12"/>
      <c r="F954" s="12"/>
      <c r="G954" s="12"/>
      <c r="H954" s="12"/>
      <c r="I954" s="12"/>
      <c r="J954" s="12"/>
      <c r="K954" s="12"/>
      <c r="L954" s="12"/>
      <c r="M954" s="12"/>
      <c r="N954" s="12"/>
      <c r="O954" s="12"/>
      <c r="P954" s="12"/>
      <c r="Q954" s="12"/>
      <c r="R954" s="12"/>
      <c r="S954" s="12"/>
      <c r="T954" s="12"/>
      <c r="U954" s="12"/>
      <c r="V954" s="4"/>
      <c r="W954" s="4"/>
      <c r="X954" s="12"/>
      <c r="Y954" s="12"/>
      <c r="Z954" s="12"/>
      <c r="AA954" s="12"/>
    </row>
    <row r="955" spans="1:27">
      <c r="A955" s="12"/>
      <c r="B955" s="12"/>
      <c r="C955" s="12"/>
      <c r="D955" s="12"/>
      <c r="E955" s="12"/>
      <c r="F955" s="12"/>
      <c r="G955" s="12"/>
      <c r="H955" s="12"/>
      <c r="I955" s="12"/>
      <c r="J955" s="12"/>
      <c r="K955" s="12"/>
      <c r="L955" s="12"/>
      <c r="M955" s="12"/>
      <c r="N955" s="12"/>
      <c r="O955" s="12"/>
      <c r="P955" s="12"/>
      <c r="Q955" s="12"/>
      <c r="R955" s="12"/>
      <c r="S955" s="12"/>
      <c r="T955" s="12"/>
      <c r="U955" s="12"/>
      <c r="V955" s="4"/>
      <c r="W955" s="4"/>
      <c r="X955" s="12"/>
      <c r="Y955" s="12"/>
      <c r="Z955" s="12"/>
      <c r="AA955" s="12"/>
    </row>
    <row r="956" spans="1:27">
      <c r="A956" s="12"/>
      <c r="B956" s="12"/>
      <c r="C956" s="12"/>
      <c r="D956" s="12"/>
      <c r="E956" s="12"/>
      <c r="F956" s="12"/>
      <c r="G956" s="12"/>
      <c r="H956" s="12"/>
      <c r="I956" s="12"/>
      <c r="J956" s="12"/>
      <c r="K956" s="12"/>
      <c r="L956" s="12"/>
      <c r="M956" s="12"/>
      <c r="N956" s="12"/>
      <c r="O956" s="12"/>
      <c r="P956" s="12"/>
      <c r="Q956" s="12"/>
      <c r="R956" s="12"/>
      <c r="S956" s="12"/>
      <c r="T956" s="12"/>
      <c r="U956" s="12"/>
      <c r="V956" s="4"/>
      <c r="W956" s="4"/>
      <c r="X956" s="12"/>
      <c r="Y956" s="12"/>
      <c r="Z956" s="12"/>
      <c r="AA956" s="12"/>
    </row>
    <row r="957" spans="1:27">
      <c r="A957" s="12"/>
      <c r="B957" s="12"/>
      <c r="C957" s="12"/>
      <c r="D957" s="12"/>
      <c r="E957" s="12"/>
      <c r="F957" s="12"/>
      <c r="G957" s="12"/>
      <c r="H957" s="12"/>
      <c r="I957" s="12"/>
      <c r="J957" s="12"/>
      <c r="K957" s="12"/>
      <c r="L957" s="12"/>
      <c r="M957" s="12"/>
      <c r="N957" s="12"/>
      <c r="O957" s="12"/>
      <c r="P957" s="12"/>
      <c r="Q957" s="12"/>
      <c r="R957" s="12"/>
      <c r="S957" s="12"/>
      <c r="T957" s="12"/>
      <c r="U957" s="12"/>
      <c r="V957" s="4"/>
      <c r="W957" s="4"/>
      <c r="X957" s="12"/>
      <c r="Y957" s="12"/>
      <c r="Z957" s="12"/>
      <c r="AA957" s="12"/>
    </row>
    <row r="958" spans="1:27">
      <c r="A958" s="12"/>
      <c r="B958" s="12"/>
      <c r="C958" s="12"/>
      <c r="D958" s="12"/>
      <c r="E958" s="12"/>
      <c r="F958" s="12"/>
      <c r="G958" s="12"/>
      <c r="H958" s="12"/>
      <c r="I958" s="12"/>
      <c r="J958" s="12"/>
      <c r="K958" s="12"/>
      <c r="L958" s="12"/>
      <c r="M958" s="12"/>
      <c r="N958" s="12"/>
      <c r="O958" s="12"/>
      <c r="P958" s="12"/>
      <c r="Q958" s="12"/>
      <c r="R958" s="12"/>
      <c r="S958" s="12"/>
      <c r="T958" s="12"/>
      <c r="U958" s="12"/>
      <c r="V958" s="4"/>
      <c r="W958" s="4"/>
      <c r="X958" s="12"/>
      <c r="Y958" s="12"/>
      <c r="Z958" s="12"/>
      <c r="AA958" s="12"/>
    </row>
    <row r="959" spans="1:27">
      <c r="A959" s="12"/>
      <c r="B959" s="12"/>
      <c r="C959" s="12"/>
      <c r="D959" s="12"/>
      <c r="E959" s="12"/>
      <c r="F959" s="12"/>
      <c r="G959" s="12"/>
      <c r="H959" s="12"/>
      <c r="I959" s="12"/>
      <c r="J959" s="12"/>
      <c r="K959" s="12"/>
      <c r="L959" s="12"/>
      <c r="M959" s="12"/>
      <c r="N959" s="12"/>
      <c r="O959" s="12"/>
      <c r="P959" s="12"/>
      <c r="Q959" s="12"/>
      <c r="R959" s="12"/>
      <c r="S959" s="12"/>
      <c r="T959" s="12"/>
      <c r="U959" s="12"/>
      <c r="V959" s="4"/>
      <c r="W959" s="4"/>
      <c r="X959" s="12"/>
      <c r="Y959" s="12"/>
      <c r="Z959" s="12"/>
      <c r="AA959" s="12"/>
    </row>
    <row r="960" spans="1:27">
      <c r="A960" s="12"/>
      <c r="B960" s="12"/>
      <c r="C960" s="12"/>
      <c r="D960" s="12"/>
      <c r="E960" s="12"/>
      <c r="F960" s="12"/>
      <c r="G960" s="12"/>
      <c r="H960" s="12"/>
      <c r="I960" s="12"/>
      <c r="J960" s="12"/>
      <c r="K960" s="12"/>
      <c r="L960" s="12"/>
      <c r="M960" s="12"/>
      <c r="N960" s="12"/>
      <c r="O960" s="12"/>
      <c r="P960" s="12"/>
      <c r="Q960" s="12"/>
      <c r="R960" s="12"/>
      <c r="S960" s="12"/>
      <c r="T960" s="12"/>
      <c r="U960" s="12"/>
      <c r="V960" s="4"/>
      <c r="W960" s="4"/>
      <c r="X960" s="12"/>
      <c r="Y960" s="12"/>
      <c r="Z960" s="12"/>
      <c r="AA960" s="12"/>
    </row>
    <row r="961" spans="1:27">
      <c r="A961" s="12"/>
      <c r="B961" s="12"/>
      <c r="C961" s="12"/>
      <c r="D961" s="12"/>
      <c r="E961" s="12"/>
      <c r="F961" s="12"/>
      <c r="G961" s="12"/>
      <c r="H961" s="12"/>
      <c r="I961" s="12"/>
      <c r="J961" s="12"/>
      <c r="K961" s="12"/>
      <c r="L961" s="12"/>
      <c r="M961" s="12"/>
      <c r="N961" s="12"/>
      <c r="O961" s="12"/>
      <c r="P961" s="12"/>
      <c r="Q961" s="12"/>
      <c r="R961" s="12"/>
      <c r="S961" s="12"/>
      <c r="T961" s="12"/>
      <c r="U961" s="12"/>
      <c r="V961" s="4"/>
      <c r="W961" s="4"/>
      <c r="X961" s="12"/>
      <c r="Y961" s="12"/>
      <c r="Z961" s="12"/>
      <c r="AA961" s="12"/>
    </row>
    <row r="962" spans="1:27">
      <c r="A962" s="12"/>
      <c r="B962" s="12"/>
      <c r="C962" s="12"/>
      <c r="D962" s="12"/>
      <c r="E962" s="12"/>
      <c r="F962" s="12"/>
      <c r="G962" s="12"/>
      <c r="H962" s="12"/>
      <c r="I962" s="12"/>
      <c r="J962" s="12"/>
      <c r="K962" s="12"/>
      <c r="L962" s="12"/>
      <c r="M962" s="12"/>
      <c r="N962" s="12"/>
      <c r="O962" s="12"/>
      <c r="P962" s="12"/>
      <c r="Q962" s="12"/>
      <c r="R962" s="12"/>
      <c r="S962" s="12"/>
      <c r="T962" s="12"/>
      <c r="U962" s="12"/>
      <c r="V962" s="4"/>
      <c r="W962" s="4"/>
      <c r="X962" s="12"/>
      <c r="Y962" s="12"/>
      <c r="Z962" s="12"/>
      <c r="AA962" s="12"/>
    </row>
    <row r="963" spans="1:27">
      <c r="A963" s="12"/>
      <c r="B963" s="12"/>
      <c r="C963" s="12"/>
      <c r="D963" s="12"/>
      <c r="E963" s="12"/>
      <c r="F963" s="12"/>
      <c r="G963" s="12"/>
      <c r="H963" s="12"/>
      <c r="I963" s="12"/>
      <c r="J963" s="12"/>
      <c r="K963" s="12"/>
      <c r="L963" s="12"/>
      <c r="M963" s="12"/>
      <c r="N963" s="12"/>
      <c r="O963" s="12"/>
      <c r="P963" s="12"/>
      <c r="Q963" s="12"/>
      <c r="R963" s="12"/>
      <c r="S963" s="12"/>
      <c r="T963" s="12"/>
      <c r="U963" s="12"/>
      <c r="V963" s="4"/>
      <c r="W963" s="4"/>
      <c r="X963" s="12"/>
      <c r="Y963" s="12"/>
      <c r="Z963" s="12"/>
      <c r="AA963" s="12"/>
    </row>
    <row r="964" spans="1:27">
      <c r="A964" s="12"/>
      <c r="B964" s="12"/>
      <c r="C964" s="12"/>
      <c r="D964" s="12"/>
      <c r="E964" s="12"/>
      <c r="F964" s="12"/>
      <c r="G964" s="12"/>
      <c r="H964" s="12"/>
      <c r="I964" s="12"/>
      <c r="J964" s="12"/>
      <c r="K964" s="12"/>
      <c r="L964" s="12"/>
      <c r="M964" s="12"/>
      <c r="N964" s="12"/>
      <c r="O964" s="12"/>
      <c r="P964" s="12"/>
      <c r="Q964" s="12"/>
      <c r="R964" s="12"/>
      <c r="S964" s="12"/>
      <c r="T964" s="12"/>
      <c r="U964" s="12"/>
      <c r="V964" s="4"/>
      <c r="W964" s="4"/>
      <c r="X964" s="12"/>
      <c r="Y964" s="12"/>
      <c r="Z964" s="12"/>
      <c r="AA964" s="12"/>
    </row>
    <row r="965" spans="1:27">
      <c r="A965" s="12"/>
      <c r="B965" s="12"/>
      <c r="C965" s="12"/>
      <c r="D965" s="12"/>
      <c r="E965" s="12"/>
      <c r="F965" s="12"/>
      <c r="G965" s="12"/>
      <c r="H965" s="12"/>
      <c r="I965" s="12"/>
      <c r="J965" s="12"/>
      <c r="K965" s="12"/>
      <c r="L965" s="12"/>
      <c r="M965" s="12"/>
      <c r="N965" s="12"/>
      <c r="O965" s="12"/>
      <c r="P965" s="12"/>
      <c r="Q965" s="12"/>
      <c r="R965" s="12"/>
      <c r="S965" s="12"/>
      <c r="T965" s="12"/>
      <c r="U965" s="12"/>
      <c r="V965" s="4"/>
      <c r="W965" s="4"/>
      <c r="X965" s="12"/>
      <c r="Y965" s="12"/>
      <c r="Z965" s="12"/>
      <c r="AA965" s="12"/>
    </row>
    <row r="966" spans="1:27">
      <c r="A966" s="12"/>
      <c r="B966" s="12"/>
      <c r="C966" s="12"/>
      <c r="D966" s="12"/>
      <c r="E966" s="12"/>
      <c r="F966" s="12"/>
      <c r="G966" s="12"/>
      <c r="H966" s="12"/>
      <c r="I966" s="12"/>
      <c r="J966" s="12"/>
      <c r="K966" s="12"/>
      <c r="L966" s="12"/>
      <c r="M966" s="12"/>
      <c r="N966" s="12"/>
      <c r="O966" s="12"/>
      <c r="P966" s="12"/>
      <c r="Q966" s="12"/>
      <c r="R966" s="12"/>
      <c r="S966" s="12"/>
      <c r="T966" s="12"/>
      <c r="U966" s="12"/>
      <c r="V966" s="4"/>
      <c r="W966" s="4"/>
      <c r="X966" s="12"/>
      <c r="Y966" s="12"/>
      <c r="Z966" s="12"/>
      <c r="AA966" s="12"/>
    </row>
    <row r="967" spans="1:27">
      <c r="A967" s="12"/>
      <c r="B967" s="12"/>
      <c r="C967" s="12"/>
      <c r="D967" s="12"/>
      <c r="E967" s="12"/>
      <c r="F967" s="12"/>
      <c r="G967" s="12"/>
      <c r="H967" s="12"/>
      <c r="I967" s="12"/>
      <c r="J967" s="12"/>
      <c r="K967" s="12"/>
      <c r="L967" s="12"/>
      <c r="M967" s="12"/>
      <c r="N967" s="12"/>
      <c r="O967" s="12"/>
      <c r="P967" s="12"/>
      <c r="Q967" s="12"/>
      <c r="R967" s="12"/>
      <c r="S967" s="12"/>
      <c r="T967" s="12"/>
      <c r="U967" s="12"/>
      <c r="V967" s="4"/>
      <c r="W967" s="4"/>
      <c r="X967" s="12"/>
      <c r="Y967" s="12"/>
      <c r="Z967" s="12"/>
      <c r="AA967" s="12"/>
    </row>
    <row r="968" spans="1:27">
      <c r="A968" s="12"/>
      <c r="B968" s="12"/>
      <c r="C968" s="12"/>
      <c r="D968" s="12"/>
      <c r="E968" s="12"/>
      <c r="F968" s="12"/>
      <c r="G968" s="12"/>
      <c r="H968" s="12"/>
      <c r="I968" s="12"/>
      <c r="J968" s="12"/>
      <c r="K968" s="12"/>
      <c r="L968" s="12"/>
      <c r="M968" s="12"/>
      <c r="N968" s="12"/>
      <c r="O968" s="12"/>
      <c r="P968" s="12"/>
      <c r="Q968" s="12"/>
      <c r="R968" s="12"/>
      <c r="S968" s="12"/>
      <c r="T968" s="12"/>
      <c r="U968" s="12"/>
      <c r="V968" s="4"/>
      <c r="W968" s="4"/>
      <c r="X968" s="12"/>
      <c r="Y968" s="12"/>
      <c r="Z968" s="12"/>
      <c r="AA968" s="12"/>
    </row>
    <row r="969" spans="1:27">
      <c r="A969" s="12"/>
      <c r="B969" s="12"/>
      <c r="C969" s="12"/>
      <c r="D969" s="12"/>
      <c r="E969" s="12"/>
      <c r="F969" s="12"/>
      <c r="G969" s="12"/>
      <c r="H969" s="12"/>
      <c r="I969" s="12"/>
      <c r="J969" s="12"/>
      <c r="K969" s="12"/>
      <c r="L969" s="12"/>
      <c r="M969" s="12"/>
      <c r="N969" s="12"/>
      <c r="O969" s="12"/>
      <c r="P969" s="12"/>
      <c r="Q969" s="12"/>
      <c r="R969" s="12"/>
      <c r="S969" s="12"/>
      <c r="T969" s="12"/>
      <c r="U969" s="12"/>
      <c r="V969" s="4"/>
      <c r="W969" s="4"/>
      <c r="X969" s="12"/>
      <c r="Y969" s="12"/>
      <c r="Z969" s="12"/>
      <c r="AA969" s="12"/>
    </row>
    <row r="970" spans="1:27">
      <c r="A970" s="12"/>
      <c r="B970" s="12"/>
      <c r="C970" s="12"/>
      <c r="D970" s="12"/>
      <c r="E970" s="12"/>
      <c r="F970" s="12"/>
      <c r="G970" s="12"/>
      <c r="H970" s="12"/>
      <c r="I970" s="12"/>
      <c r="J970" s="12"/>
      <c r="K970" s="12"/>
      <c r="L970" s="12"/>
      <c r="M970" s="12"/>
      <c r="N970" s="12"/>
      <c r="O970" s="12"/>
      <c r="P970" s="12"/>
      <c r="Q970" s="12"/>
      <c r="R970" s="12"/>
      <c r="S970" s="12"/>
      <c r="T970" s="12"/>
      <c r="U970" s="12"/>
      <c r="V970" s="4"/>
      <c r="W970" s="4"/>
      <c r="X970" s="12"/>
      <c r="Y970" s="12"/>
      <c r="Z970" s="12"/>
      <c r="AA970" s="12"/>
    </row>
    <row r="971" spans="1:27">
      <c r="A971" s="12"/>
      <c r="B971" s="12"/>
      <c r="C971" s="12"/>
      <c r="D971" s="12"/>
      <c r="E971" s="12"/>
      <c r="F971" s="12"/>
      <c r="G971" s="12"/>
      <c r="H971" s="12"/>
      <c r="I971" s="12"/>
      <c r="J971" s="12"/>
      <c r="K971" s="12"/>
      <c r="L971" s="12"/>
      <c r="M971" s="12"/>
      <c r="N971" s="12"/>
      <c r="O971" s="12"/>
      <c r="P971" s="12"/>
      <c r="Q971" s="12"/>
      <c r="R971" s="12"/>
      <c r="S971" s="12"/>
      <c r="T971" s="12"/>
      <c r="U971" s="12"/>
      <c r="V971" s="4"/>
      <c r="W971" s="4"/>
      <c r="X971" s="12"/>
      <c r="Y971" s="12"/>
      <c r="Z971" s="12"/>
      <c r="AA971" s="12"/>
    </row>
    <row r="972" spans="1:27">
      <c r="A972" s="12"/>
      <c r="B972" s="12"/>
      <c r="C972" s="12"/>
      <c r="D972" s="12"/>
      <c r="E972" s="12"/>
      <c r="F972" s="12"/>
      <c r="G972" s="12"/>
      <c r="H972" s="12"/>
      <c r="I972" s="12"/>
      <c r="J972" s="12"/>
      <c r="K972" s="12"/>
      <c r="L972" s="12"/>
      <c r="M972" s="12"/>
      <c r="N972" s="12"/>
      <c r="O972" s="12"/>
      <c r="P972" s="12"/>
      <c r="Q972" s="12"/>
      <c r="R972" s="12"/>
      <c r="S972" s="12"/>
      <c r="T972" s="12"/>
      <c r="U972" s="12"/>
      <c r="V972" s="4"/>
      <c r="W972" s="4"/>
      <c r="X972" s="12"/>
      <c r="Y972" s="12"/>
      <c r="Z972" s="12"/>
      <c r="AA972" s="12"/>
    </row>
    <row r="973" spans="1:27">
      <c r="A973" s="12"/>
      <c r="B973" s="12"/>
      <c r="C973" s="12"/>
      <c r="D973" s="12"/>
      <c r="E973" s="12"/>
      <c r="F973" s="12"/>
      <c r="G973" s="12"/>
      <c r="H973" s="12"/>
      <c r="I973" s="12"/>
      <c r="J973" s="12"/>
      <c r="K973" s="12"/>
      <c r="L973" s="12"/>
      <c r="M973" s="12"/>
      <c r="N973" s="12"/>
      <c r="O973" s="12"/>
      <c r="P973" s="12"/>
      <c r="Q973" s="12"/>
      <c r="R973" s="12"/>
      <c r="S973" s="12"/>
      <c r="T973" s="12"/>
      <c r="U973" s="12"/>
      <c r="V973" s="4"/>
      <c r="W973" s="4"/>
      <c r="X973" s="12"/>
      <c r="Y973" s="12"/>
      <c r="Z973" s="12"/>
      <c r="AA973" s="12"/>
    </row>
    <row r="974" spans="1:27">
      <c r="A974" s="12"/>
      <c r="B974" s="12"/>
      <c r="C974" s="12"/>
      <c r="D974" s="12"/>
      <c r="E974" s="12"/>
      <c r="F974" s="12"/>
      <c r="G974" s="12"/>
      <c r="H974" s="12"/>
      <c r="I974" s="12"/>
      <c r="J974" s="12"/>
      <c r="K974" s="12"/>
      <c r="L974" s="12"/>
      <c r="M974" s="12"/>
      <c r="N974" s="12"/>
      <c r="O974" s="12"/>
      <c r="P974" s="12"/>
      <c r="Q974" s="12"/>
      <c r="R974" s="12"/>
      <c r="S974" s="12"/>
      <c r="T974" s="12"/>
      <c r="U974" s="12"/>
      <c r="V974" s="4"/>
      <c r="W974" s="4"/>
      <c r="X974" s="12"/>
      <c r="Y974" s="12"/>
      <c r="Z974" s="12"/>
      <c r="AA974" s="12"/>
    </row>
    <row r="975" spans="1:27">
      <c r="A975" s="12"/>
      <c r="B975" s="12"/>
      <c r="C975" s="12"/>
      <c r="D975" s="12"/>
      <c r="E975" s="12"/>
      <c r="F975" s="12"/>
      <c r="G975" s="12"/>
      <c r="H975" s="12"/>
      <c r="I975" s="12"/>
      <c r="J975" s="12"/>
      <c r="K975" s="12"/>
      <c r="L975" s="12"/>
      <c r="M975" s="12"/>
      <c r="N975" s="12"/>
      <c r="O975" s="12"/>
      <c r="P975" s="12"/>
      <c r="Q975" s="12"/>
      <c r="R975" s="12"/>
      <c r="S975" s="12"/>
      <c r="T975" s="12"/>
      <c r="U975" s="12"/>
      <c r="V975" s="4"/>
      <c r="W975" s="4"/>
      <c r="X975" s="12"/>
      <c r="Y975" s="12"/>
      <c r="Z975" s="12"/>
      <c r="AA975" s="12"/>
    </row>
    <row r="976" spans="1:27">
      <c r="A976" s="12"/>
      <c r="B976" s="12"/>
      <c r="C976" s="12"/>
      <c r="D976" s="12"/>
      <c r="E976" s="12"/>
      <c r="F976" s="12"/>
      <c r="G976" s="12"/>
      <c r="H976" s="12"/>
      <c r="I976" s="12"/>
      <c r="J976" s="12"/>
      <c r="K976" s="12"/>
      <c r="L976" s="12"/>
      <c r="M976" s="12"/>
      <c r="N976" s="12"/>
      <c r="O976" s="12"/>
      <c r="P976" s="12"/>
      <c r="Q976" s="12"/>
      <c r="R976" s="12"/>
      <c r="S976" s="12"/>
      <c r="T976" s="12"/>
      <c r="U976" s="12"/>
      <c r="V976" s="4"/>
      <c r="W976" s="4"/>
      <c r="X976" s="12"/>
      <c r="Y976" s="12"/>
      <c r="Z976" s="12"/>
      <c r="AA976" s="12"/>
    </row>
    <row r="977" spans="1:27">
      <c r="A977" s="12"/>
      <c r="B977" s="12"/>
      <c r="C977" s="12"/>
      <c r="D977" s="12"/>
      <c r="E977" s="12"/>
      <c r="F977" s="12"/>
      <c r="G977" s="12"/>
      <c r="H977" s="12"/>
      <c r="I977" s="12"/>
      <c r="J977" s="12"/>
      <c r="K977" s="12"/>
      <c r="L977" s="12"/>
      <c r="M977" s="12"/>
      <c r="N977" s="12"/>
      <c r="O977" s="12"/>
      <c r="P977" s="12"/>
      <c r="Q977" s="12"/>
      <c r="R977" s="12"/>
      <c r="S977" s="12"/>
      <c r="T977" s="12"/>
      <c r="U977" s="12"/>
      <c r="V977" s="4"/>
      <c r="W977" s="4"/>
      <c r="X977" s="12"/>
      <c r="Y977" s="12"/>
      <c r="Z977" s="12"/>
      <c r="AA977" s="12"/>
    </row>
    <row r="978" spans="1:27">
      <c r="A978" s="12"/>
      <c r="B978" s="12"/>
      <c r="C978" s="12"/>
      <c r="D978" s="12"/>
      <c r="E978" s="12"/>
      <c r="F978" s="12"/>
      <c r="G978" s="12"/>
      <c r="H978" s="12"/>
      <c r="I978" s="12"/>
      <c r="J978" s="12"/>
      <c r="K978" s="12"/>
      <c r="L978" s="12"/>
      <c r="M978" s="12"/>
      <c r="N978" s="12"/>
      <c r="O978" s="12"/>
      <c r="P978" s="12"/>
      <c r="Q978" s="12"/>
      <c r="R978" s="12"/>
      <c r="S978" s="12"/>
      <c r="T978" s="12"/>
      <c r="U978" s="12"/>
      <c r="V978" s="4"/>
      <c r="W978" s="4"/>
      <c r="X978" s="12"/>
      <c r="Y978" s="12"/>
      <c r="Z978" s="12"/>
      <c r="AA978" s="12"/>
    </row>
    <row r="979" spans="1:27">
      <c r="A979" s="12"/>
      <c r="B979" s="12"/>
      <c r="C979" s="12"/>
      <c r="D979" s="12"/>
      <c r="E979" s="12"/>
      <c r="F979" s="12"/>
      <c r="G979" s="12"/>
      <c r="H979" s="12"/>
      <c r="I979" s="12"/>
      <c r="J979" s="12"/>
      <c r="K979" s="12"/>
      <c r="L979" s="12"/>
      <c r="M979" s="12"/>
      <c r="N979" s="12"/>
      <c r="O979" s="12"/>
      <c r="P979" s="12"/>
      <c r="Q979" s="12"/>
      <c r="R979" s="12"/>
      <c r="S979" s="12"/>
      <c r="T979" s="12"/>
      <c r="U979" s="12"/>
      <c r="V979" s="4"/>
      <c r="W979" s="4"/>
      <c r="X979" s="12"/>
      <c r="Y979" s="12"/>
      <c r="Z979" s="12"/>
      <c r="AA979" s="12"/>
    </row>
    <row r="980" spans="1:27">
      <c r="A980" s="12"/>
      <c r="B980" s="12"/>
      <c r="C980" s="12"/>
      <c r="D980" s="12"/>
      <c r="E980" s="12"/>
      <c r="F980" s="12"/>
      <c r="G980" s="12"/>
      <c r="H980" s="12"/>
      <c r="I980" s="12"/>
      <c r="J980" s="12"/>
      <c r="K980" s="12"/>
      <c r="L980" s="12"/>
      <c r="M980" s="12"/>
      <c r="N980" s="12"/>
      <c r="O980" s="12"/>
      <c r="P980" s="12"/>
      <c r="Q980" s="12"/>
      <c r="R980" s="12"/>
      <c r="S980" s="12"/>
      <c r="T980" s="12"/>
      <c r="U980" s="12"/>
      <c r="V980" s="4"/>
      <c r="W980" s="4"/>
      <c r="X980" s="12"/>
      <c r="Y980" s="12"/>
      <c r="Z980" s="12"/>
      <c r="AA980" s="12"/>
    </row>
    <row r="981" spans="1:27">
      <c r="A981" s="12"/>
      <c r="B981" s="12"/>
      <c r="C981" s="12"/>
      <c r="D981" s="12"/>
      <c r="E981" s="12"/>
      <c r="F981" s="12"/>
      <c r="G981" s="12"/>
      <c r="H981" s="12"/>
      <c r="I981" s="12"/>
      <c r="J981" s="12"/>
      <c r="K981" s="12"/>
      <c r="L981" s="12"/>
      <c r="M981" s="12"/>
      <c r="N981" s="12"/>
      <c r="O981" s="12"/>
      <c r="P981" s="12"/>
      <c r="Q981" s="12"/>
      <c r="R981" s="12"/>
      <c r="S981" s="12"/>
      <c r="T981" s="12"/>
      <c r="U981" s="12"/>
      <c r="V981" s="4"/>
      <c r="W981" s="4"/>
      <c r="X981" s="12"/>
      <c r="Y981" s="12"/>
      <c r="Z981" s="12"/>
      <c r="AA981" s="12"/>
    </row>
    <row r="982" spans="1:27">
      <c r="A982" s="12"/>
      <c r="B982" s="12"/>
      <c r="C982" s="12"/>
      <c r="D982" s="12"/>
      <c r="E982" s="12"/>
      <c r="F982" s="12"/>
      <c r="G982" s="12"/>
      <c r="H982" s="12"/>
      <c r="I982" s="12"/>
      <c r="J982" s="12"/>
      <c r="K982" s="12"/>
      <c r="L982" s="12"/>
      <c r="M982" s="12"/>
      <c r="N982" s="12"/>
      <c r="O982" s="12"/>
      <c r="P982" s="12"/>
      <c r="Q982" s="12"/>
      <c r="R982" s="12"/>
      <c r="S982" s="12"/>
      <c r="T982" s="12"/>
      <c r="U982" s="12"/>
      <c r="V982" s="4"/>
      <c r="W982" s="4"/>
      <c r="X982" s="12"/>
      <c r="Y982" s="12"/>
      <c r="Z982" s="12"/>
      <c r="AA982" s="12"/>
    </row>
    <row r="983" spans="1:27">
      <c r="A983" s="12"/>
      <c r="B983" s="12"/>
      <c r="C983" s="12"/>
      <c r="D983" s="12"/>
      <c r="E983" s="12"/>
      <c r="F983" s="12"/>
      <c r="G983" s="12"/>
      <c r="H983" s="12"/>
      <c r="I983" s="12"/>
      <c r="J983" s="12"/>
      <c r="K983" s="12"/>
      <c r="L983" s="12"/>
      <c r="M983" s="12"/>
      <c r="N983" s="12"/>
      <c r="O983" s="12"/>
      <c r="P983" s="12"/>
      <c r="Q983" s="12"/>
      <c r="R983" s="12"/>
      <c r="S983" s="12"/>
      <c r="T983" s="12"/>
      <c r="U983" s="12"/>
      <c r="V983" s="4"/>
      <c r="W983" s="4"/>
      <c r="X983" s="12"/>
      <c r="Y983" s="12"/>
      <c r="Z983" s="12"/>
      <c r="AA983" s="12"/>
    </row>
    <row r="984" spans="1:27">
      <c r="A984" s="12"/>
      <c r="B984" s="12"/>
      <c r="C984" s="12"/>
      <c r="D984" s="12"/>
      <c r="E984" s="12"/>
      <c r="F984" s="12"/>
      <c r="G984" s="12"/>
      <c r="H984" s="12"/>
      <c r="I984" s="12"/>
      <c r="J984" s="12"/>
      <c r="K984" s="12"/>
      <c r="L984" s="12"/>
      <c r="M984" s="12"/>
      <c r="N984" s="12"/>
      <c r="O984" s="12"/>
      <c r="P984" s="12"/>
      <c r="Q984" s="12"/>
      <c r="R984" s="12"/>
      <c r="S984" s="12"/>
      <c r="T984" s="12"/>
      <c r="U984" s="12"/>
      <c r="V984" s="4"/>
      <c r="W984" s="4"/>
      <c r="X984" s="12"/>
      <c r="Y984" s="12"/>
      <c r="Z984" s="12"/>
      <c r="AA984" s="12"/>
    </row>
    <row r="985" spans="1:27">
      <c r="A985" s="12"/>
      <c r="B985" s="12"/>
      <c r="C985" s="12"/>
      <c r="D985" s="12"/>
      <c r="E985" s="12"/>
      <c r="F985" s="12"/>
      <c r="G985" s="12"/>
      <c r="H985" s="12"/>
      <c r="I985" s="12"/>
      <c r="J985" s="12"/>
      <c r="K985" s="12"/>
      <c r="L985" s="12"/>
      <c r="M985" s="12"/>
      <c r="N985" s="12"/>
      <c r="O985" s="12"/>
      <c r="P985" s="12"/>
      <c r="Q985" s="12"/>
      <c r="R985" s="12"/>
      <c r="S985" s="12"/>
      <c r="T985" s="12"/>
      <c r="U985" s="12"/>
      <c r="V985" s="4"/>
      <c r="W985" s="4"/>
      <c r="X985" s="12"/>
      <c r="Y985" s="12"/>
      <c r="Z985" s="12"/>
      <c r="AA985" s="12"/>
    </row>
    <row r="986" spans="1:27">
      <c r="A986" s="12"/>
      <c r="B986" s="12"/>
      <c r="C986" s="12"/>
      <c r="D986" s="12"/>
      <c r="E986" s="12"/>
      <c r="F986" s="12"/>
      <c r="G986" s="12"/>
      <c r="H986" s="12"/>
      <c r="I986" s="12"/>
      <c r="J986" s="12"/>
      <c r="K986" s="12"/>
      <c r="L986" s="12"/>
      <c r="M986" s="12"/>
      <c r="N986" s="12"/>
      <c r="O986" s="12"/>
      <c r="P986" s="12"/>
      <c r="Q986" s="12"/>
      <c r="R986" s="12"/>
      <c r="S986" s="12"/>
      <c r="T986" s="12"/>
      <c r="U986" s="12"/>
      <c r="V986" s="4"/>
      <c r="W986" s="4"/>
      <c r="X986" s="12"/>
      <c r="Y986" s="12"/>
      <c r="Z986" s="12"/>
      <c r="AA986" s="12"/>
    </row>
    <row r="987" spans="1:27">
      <c r="A987" s="12"/>
      <c r="B987" s="12"/>
      <c r="C987" s="12"/>
      <c r="D987" s="12"/>
      <c r="E987" s="12"/>
      <c r="F987" s="12"/>
      <c r="G987" s="12"/>
      <c r="H987" s="12"/>
      <c r="I987" s="12"/>
      <c r="J987" s="12"/>
      <c r="K987" s="12"/>
      <c r="L987" s="12"/>
      <c r="M987" s="12"/>
      <c r="N987" s="12"/>
      <c r="O987" s="12"/>
      <c r="P987" s="12"/>
      <c r="Q987" s="12"/>
      <c r="R987" s="12"/>
      <c r="S987" s="12"/>
      <c r="T987" s="12"/>
      <c r="U987" s="12"/>
      <c r="V987" s="4"/>
      <c r="W987" s="4"/>
      <c r="X987" s="12"/>
      <c r="Y987" s="12"/>
      <c r="Z987" s="12"/>
      <c r="AA987" s="12"/>
    </row>
    <row r="988" spans="1:27">
      <c r="A988" s="12"/>
      <c r="B988" s="12"/>
      <c r="C988" s="12"/>
      <c r="D988" s="12"/>
      <c r="E988" s="12"/>
      <c r="F988" s="12"/>
      <c r="G988" s="12"/>
      <c r="H988" s="12"/>
      <c r="I988" s="12"/>
      <c r="J988" s="12"/>
      <c r="K988" s="12"/>
      <c r="L988" s="12"/>
      <c r="M988" s="12"/>
      <c r="N988" s="12"/>
      <c r="O988" s="12"/>
      <c r="P988" s="12"/>
      <c r="Q988" s="12"/>
      <c r="R988" s="12"/>
      <c r="S988" s="12"/>
      <c r="T988" s="12"/>
      <c r="U988" s="12"/>
      <c r="V988" s="4"/>
      <c r="W988" s="4"/>
      <c r="X988" s="12"/>
      <c r="Y988" s="12"/>
      <c r="Z988" s="12"/>
      <c r="AA988" s="12"/>
    </row>
    <row r="989" spans="1:27">
      <c r="A989" s="12"/>
      <c r="B989" s="12"/>
      <c r="C989" s="12"/>
      <c r="D989" s="12"/>
      <c r="E989" s="12"/>
      <c r="F989" s="12"/>
      <c r="G989" s="12"/>
      <c r="H989" s="12"/>
      <c r="I989" s="12"/>
      <c r="J989" s="12"/>
      <c r="K989" s="12"/>
      <c r="L989" s="12"/>
      <c r="M989" s="12"/>
      <c r="N989" s="12"/>
      <c r="O989" s="12"/>
      <c r="P989" s="12"/>
      <c r="Q989" s="12"/>
      <c r="R989" s="12"/>
      <c r="S989" s="12"/>
      <c r="T989" s="12"/>
      <c r="U989" s="12"/>
      <c r="V989" s="4"/>
      <c r="W989" s="4"/>
      <c r="X989" s="12"/>
      <c r="Y989" s="12"/>
      <c r="Z989" s="12"/>
      <c r="AA989" s="12"/>
    </row>
    <row r="990" spans="1:27">
      <c r="A990" s="12"/>
      <c r="B990" s="12"/>
      <c r="C990" s="12"/>
      <c r="D990" s="12"/>
      <c r="E990" s="12"/>
      <c r="F990" s="12"/>
      <c r="G990" s="12"/>
      <c r="H990" s="12"/>
      <c r="I990" s="12"/>
      <c r="J990" s="12"/>
      <c r="K990" s="12"/>
      <c r="L990" s="12"/>
      <c r="M990" s="12"/>
      <c r="N990" s="12"/>
      <c r="O990" s="12"/>
      <c r="P990" s="12"/>
      <c r="Q990" s="12"/>
      <c r="R990" s="12"/>
      <c r="S990" s="12"/>
      <c r="T990" s="12"/>
      <c r="U990" s="12"/>
      <c r="V990" s="4"/>
      <c r="W990" s="4"/>
      <c r="X990" s="12"/>
      <c r="Y990" s="12"/>
      <c r="Z990" s="12"/>
      <c r="AA990" s="12"/>
    </row>
    <row r="991" spans="1:27">
      <c r="A991" s="12"/>
      <c r="B991" s="12"/>
      <c r="C991" s="12"/>
      <c r="D991" s="12"/>
      <c r="E991" s="12"/>
      <c r="F991" s="12"/>
      <c r="G991" s="12"/>
      <c r="H991" s="12"/>
      <c r="I991" s="12"/>
      <c r="J991" s="12"/>
      <c r="K991" s="12"/>
      <c r="L991" s="12"/>
      <c r="M991" s="12"/>
      <c r="N991" s="12"/>
      <c r="O991" s="12"/>
      <c r="P991" s="12"/>
      <c r="Q991" s="12"/>
      <c r="R991" s="12"/>
      <c r="S991" s="12"/>
      <c r="T991" s="12"/>
      <c r="U991" s="12"/>
      <c r="V991" s="4"/>
      <c r="W991" s="4"/>
      <c r="X991" s="12"/>
      <c r="Y991" s="12"/>
      <c r="Z991" s="12"/>
      <c r="AA991" s="12"/>
    </row>
    <row r="992" spans="1:27">
      <c r="A992" s="12"/>
      <c r="B992" s="12"/>
      <c r="C992" s="12"/>
      <c r="D992" s="12"/>
      <c r="E992" s="12"/>
      <c r="F992" s="12"/>
      <c r="G992" s="12"/>
      <c r="H992" s="12"/>
      <c r="I992" s="12"/>
      <c r="J992" s="12"/>
      <c r="K992" s="12"/>
      <c r="L992" s="12"/>
      <c r="M992" s="12"/>
      <c r="N992" s="12"/>
      <c r="O992" s="12"/>
      <c r="P992" s="12"/>
      <c r="Q992" s="12"/>
      <c r="R992" s="12"/>
      <c r="S992" s="12"/>
      <c r="T992" s="12"/>
      <c r="U992" s="12"/>
      <c r="V992" s="4"/>
      <c r="W992" s="4"/>
      <c r="X992" s="12"/>
      <c r="Y992" s="12"/>
      <c r="Z992" s="12"/>
      <c r="AA992" s="12"/>
    </row>
    <row r="993" spans="1:27">
      <c r="A993" s="12"/>
      <c r="B993" s="12"/>
      <c r="C993" s="12"/>
      <c r="D993" s="12"/>
      <c r="E993" s="12"/>
      <c r="F993" s="12"/>
      <c r="G993" s="12"/>
      <c r="H993" s="12"/>
      <c r="I993" s="12"/>
      <c r="J993" s="12"/>
      <c r="K993" s="12"/>
      <c r="L993" s="12"/>
      <c r="M993" s="12"/>
      <c r="N993" s="12"/>
      <c r="O993" s="12"/>
      <c r="P993" s="12"/>
      <c r="Q993" s="12"/>
      <c r="R993" s="12"/>
      <c r="S993" s="12"/>
      <c r="T993" s="12"/>
      <c r="U993" s="12"/>
      <c r="V993" s="4"/>
      <c r="W993" s="4"/>
      <c r="X993" s="12"/>
      <c r="Y993" s="12"/>
      <c r="Z993" s="12"/>
      <c r="AA993" s="12"/>
    </row>
    <row r="994" spans="1:27">
      <c r="A994" s="12"/>
      <c r="B994" s="12"/>
      <c r="C994" s="12"/>
      <c r="D994" s="12"/>
      <c r="E994" s="12"/>
      <c r="F994" s="12"/>
      <c r="G994" s="12"/>
      <c r="H994" s="12"/>
      <c r="I994" s="12"/>
      <c r="J994" s="12"/>
      <c r="K994" s="12"/>
      <c r="L994" s="12"/>
      <c r="M994" s="12"/>
      <c r="N994" s="12"/>
      <c r="O994" s="12"/>
      <c r="P994" s="12"/>
      <c r="Q994" s="12"/>
      <c r="R994" s="12"/>
      <c r="S994" s="12"/>
      <c r="T994" s="12"/>
      <c r="U994" s="12"/>
      <c r="V994" s="4"/>
      <c r="W994" s="4"/>
      <c r="X994" s="12"/>
      <c r="Y994" s="12"/>
      <c r="Z994" s="12"/>
      <c r="AA994" s="12"/>
    </row>
    <row r="995" spans="1:27">
      <c r="A995" s="12"/>
      <c r="B995" s="12"/>
      <c r="C995" s="12"/>
      <c r="D995" s="12"/>
      <c r="E995" s="12"/>
      <c r="F995" s="12"/>
      <c r="G995" s="12"/>
      <c r="H995" s="12"/>
      <c r="I995" s="12"/>
      <c r="J995" s="12"/>
      <c r="K995" s="12"/>
      <c r="L995" s="12"/>
      <c r="M995" s="12"/>
      <c r="N995" s="12"/>
      <c r="O995" s="12"/>
      <c r="P995" s="12"/>
      <c r="Q995" s="12"/>
      <c r="R995" s="12"/>
      <c r="S995" s="12"/>
      <c r="T995" s="12"/>
      <c r="U995" s="12"/>
      <c r="V995" s="4"/>
      <c r="W995" s="4"/>
      <c r="X995" s="12"/>
      <c r="Y995" s="12"/>
      <c r="Z995" s="12"/>
      <c r="AA995" s="12"/>
    </row>
    <row r="996" spans="1:27">
      <c r="A996" s="12"/>
      <c r="B996" s="12"/>
      <c r="C996" s="12"/>
      <c r="D996" s="12"/>
      <c r="E996" s="12"/>
      <c r="F996" s="12"/>
      <c r="G996" s="12"/>
      <c r="H996" s="12"/>
      <c r="I996" s="12"/>
      <c r="J996" s="12"/>
      <c r="K996" s="12"/>
      <c r="L996" s="12"/>
      <c r="M996" s="12"/>
      <c r="N996" s="12"/>
      <c r="O996" s="12"/>
      <c r="P996" s="12"/>
      <c r="Q996" s="12"/>
      <c r="R996" s="12"/>
      <c r="S996" s="12"/>
      <c r="T996" s="12"/>
      <c r="U996" s="12"/>
      <c r="V996" s="4"/>
      <c r="W996" s="4"/>
      <c r="X996" s="12"/>
      <c r="Y996" s="12"/>
      <c r="Z996" s="12"/>
      <c r="AA996" s="12"/>
    </row>
    <row r="997" spans="1:27">
      <c r="A997" s="12"/>
      <c r="B997" s="12"/>
      <c r="C997" s="12"/>
      <c r="D997" s="12"/>
      <c r="E997" s="12"/>
      <c r="F997" s="12"/>
      <c r="G997" s="12"/>
      <c r="H997" s="12"/>
      <c r="I997" s="12"/>
      <c r="J997" s="12"/>
      <c r="K997" s="12"/>
      <c r="L997" s="12"/>
      <c r="M997" s="12"/>
      <c r="N997" s="12"/>
      <c r="O997" s="12"/>
      <c r="P997" s="12"/>
      <c r="Q997" s="12"/>
      <c r="R997" s="12"/>
      <c r="S997" s="12"/>
      <c r="T997" s="12"/>
      <c r="U997" s="12"/>
      <c r="V997" s="4"/>
      <c r="W997" s="4"/>
      <c r="X997" s="12"/>
      <c r="Y997" s="12"/>
      <c r="Z997" s="12"/>
      <c r="AA997" s="12"/>
    </row>
    <row r="998" spans="1:27">
      <c r="A998" s="12"/>
      <c r="B998" s="12"/>
      <c r="C998" s="12"/>
      <c r="D998" s="12"/>
      <c r="E998" s="12"/>
      <c r="F998" s="12"/>
      <c r="G998" s="12"/>
      <c r="H998" s="12"/>
      <c r="I998" s="12"/>
      <c r="J998" s="12"/>
      <c r="K998" s="12"/>
      <c r="L998" s="12"/>
      <c r="M998" s="12"/>
      <c r="N998" s="12"/>
      <c r="O998" s="12"/>
      <c r="P998" s="12"/>
      <c r="Q998" s="12"/>
      <c r="R998" s="12"/>
      <c r="S998" s="12"/>
      <c r="T998" s="12"/>
      <c r="U998" s="12"/>
      <c r="V998" s="4"/>
      <c r="W998" s="4"/>
      <c r="X998" s="12"/>
      <c r="Y998" s="12"/>
      <c r="Z998" s="12"/>
      <c r="AA998" s="12"/>
    </row>
    <row r="999" spans="1:27">
      <c r="A999" s="12"/>
      <c r="B999" s="12"/>
      <c r="C999" s="12"/>
      <c r="D999" s="12"/>
      <c r="E999" s="12"/>
      <c r="F999" s="12"/>
      <c r="G999" s="12"/>
      <c r="H999" s="12"/>
      <c r="I999" s="12"/>
      <c r="J999" s="12"/>
      <c r="K999" s="12"/>
      <c r="L999" s="12"/>
      <c r="M999" s="12"/>
      <c r="N999" s="12"/>
      <c r="O999" s="12"/>
      <c r="P999" s="12"/>
      <c r="Q999" s="12"/>
      <c r="R999" s="12"/>
      <c r="S999" s="12"/>
      <c r="T999" s="12"/>
      <c r="U999" s="12"/>
      <c r="V999" s="4"/>
      <c r="W999" s="4"/>
      <c r="X999" s="12"/>
      <c r="Y999" s="12"/>
      <c r="Z999" s="12"/>
      <c r="AA999" s="12"/>
    </row>
    <row r="1000" spans="1:27">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4"/>
      <c r="W1000" s="4"/>
      <c r="X1000" s="12"/>
      <c r="Y1000" s="12"/>
      <c r="Z1000" s="12"/>
      <c r="AA1000" s="12"/>
    </row>
  </sheetData>
  <mergeCells count="101">
    <mergeCell ref="B204:B206"/>
    <mergeCell ref="C204:C206"/>
    <mergeCell ref="B210:D210"/>
    <mergeCell ref="A211:D211"/>
    <mergeCell ref="A135:A158"/>
    <mergeCell ref="B135:B136"/>
    <mergeCell ref="B138:B144"/>
    <mergeCell ref="B145:B146"/>
    <mergeCell ref="B147:B149"/>
    <mergeCell ref="B158:D158"/>
    <mergeCell ref="A159:A210"/>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A3:E3"/>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R4:R5"/>
    <mergeCell ref="S4:S5"/>
    <mergeCell ref="V4:V5"/>
    <mergeCell ref="A4:A5"/>
    <mergeCell ref="C4:C5"/>
    <mergeCell ref="E4:E5"/>
    <mergeCell ref="F4:F5"/>
    <mergeCell ref="I4:I5"/>
    <mergeCell ref="A6:A68"/>
    <mergeCell ref="B68:D68"/>
    <mergeCell ref="B4:B5"/>
    <mergeCell ref="B6:B23"/>
    <mergeCell ref="B26:B36"/>
    <mergeCell ref="C26:C36"/>
    <mergeCell ref="B37:B39"/>
    <mergeCell ref="C37:C39"/>
    <mergeCell ref="B40:B46"/>
    <mergeCell ref="W4:W5"/>
    <mergeCell ref="G4:H4"/>
    <mergeCell ref="J4:L4"/>
    <mergeCell ref="M4:M5"/>
    <mergeCell ref="N4:N5"/>
    <mergeCell ref="O4:O5"/>
    <mergeCell ref="P4:P5"/>
    <mergeCell ref="Q4:Q5"/>
    <mergeCell ref="C40:C46"/>
  </mergeCells>
  <pageMargins left="0.31" right="0.21" top="0.26" bottom="0.28999999999999998" header="0" footer="0"/>
  <pageSetup scale="85" orientation="portrait" r:id="rId1"/>
</worksheet>
</file>

<file path=xl/worksheets/sheet12.xml><?xml version="1.0" encoding="utf-8"?>
<worksheet xmlns="http://schemas.openxmlformats.org/spreadsheetml/2006/main" xmlns:r="http://schemas.openxmlformats.org/officeDocument/2006/relationships">
  <dimension ref="A1:AA995"/>
  <sheetViews>
    <sheetView workbookViewId="0">
      <pane xSplit="4" ySplit="5" topLeftCell="E187" activePane="bottomRight" state="frozen"/>
      <selection pane="topRight" activeCell="E1" sqref="E1"/>
      <selection pane="bottomLeft" activeCell="A6" sqref="A6"/>
      <selection pane="bottomRight" activeCell="P187" sqref="P187:V187"/>
    </sheetView>
  </sheetViews>
  <sheetFormatPr defaultColWidth="14.42578125" defaultRowHeight="15" customHeight="1"/>
  <cols>
    <col min="1" max="1" width="6.7109375" style="731" customWidth="1"/>
    <col min="2" max="2" width="8" style="731" customWidth="1"/>
    <col min="3" max="3" width="6.140625" style="731" customWidth="1"/>
    <col min="4" max="4" width="5.7109375" style="731" customWidth="1"/>
    <col min="5" max="5" width="25.7109375" style="731" customWidth="1"/>
    <col min="6" max="6" width="7.42578125" style="731" customWidth="1"/>
    <col min="7" max="7" width="10.7109375" style="731" customWidth="1"/>
    <col min="8" max="8" width="8.28515625" style="731" customWidth="1"/>
    <col min="9" max="9" width="10.5703125" style="731" customWidth="1"/>
    <col min="10" max="10" width="11.85546875" style="731" customWidth="1"/>
    <col min="11" max="11" width="9.28515625" style="731" customWidth="1"/>
    <col min="12" max="12" width="6.7109375" style="731" customWidth="1"/>
    <col min="13" max="13" width="9" style="731" customWidth="1"/>
    <col min="14" max="14" width="9.7109375" style="731" customWidth="1"/>
    <col min="15" max="15" width="8.28515625" style="731" customWidth="1"/>
    <col min="16" max="16" width="9.5703125" style="731" customWidth="1"/>
    <col min="17" max="17" width="7.42578125" style="731" customWidth="1"/>
    <col min="18" max="18" width="9.140625" style="731" customWidth="1"/>
    <col min="19" max="20" width="10.42578125" style="731" customWidth="1"/>
    <col min="21" max="21" width="10.28515625" style="731" customWidth="1"/>
    <col min="22" max="22" width="47" style="731" customWidth="1"/>
    <col min="23" max="23" width="48.42578125" style="731" customWidth="1"/>
    <col min="24" max="27" width="14.42578125" style="731" customWidth="1"/>
    <col min="28" max="16384" width="14.42578125" style="731"/>
  </cols>
  <sheetData>
    <row r="1" spans="1:27" ht="20.25" customHeight="1">
      <c r="A1" s="522"/>
      <c r="B1" s="730"/>
      <c r="C1" s="730"/>
      <c r="D1" s="730"/>
      <c r="E1" s="523" t="s">
        <v>0</v>
      </c>
      <c r="J1" s="732"/>
      <c r="K1" s="732"/>
      <c r="L1" s="732"/>
      <c r="M1" s="732"/>
      <c r="N1" s="732"/>
      <c r="O1" s="732"/>
      <c r="P1" s="732"/>
      <c r="Q1" s="732"/>
      <c r="R1" s="732"/>
      <c r="S1" s="732"/>
      <c r="T1" s="732"/>
      <c r="U1" s="732"/>
      <c r="V1" s="733"/>
    </row>
    <row r="2" spans="1:27" ht="23.25" customHeight="1">
      <c r="A2" s="732"/>
      <c r="B2" s="732"/>
      <c r="C2" s="732"/>
      <c r="D2" s="732"/>
      <c r="E2" s="732"/>
      <c r="F2" s="732"/>
      <c r="G2" s="732"/>
      <c r="H2" s="732"/>
      <c r="I2" s="732"/>
      <c r="J2" s="732"/>
      <c r="K2" s="732"/>
      <c r="L2" s="732"/>
      <c r="M2" s="732"/>
      <c r="N2" s="732"/>
      <c r="O2" s="732"/>
      <c r="P2" s="732"/>
      <c r="Q2" s="732"/>
      <c r="R2" s="732"/>
      <c r="S2" s="732"/>
      <c r="T2" s="732"/>
      <c r="U2" s="732"/>
      <c r="V2" s="733"/>
    </row>
    <row r="3" spans="1:27" ht="22.5" customHeight="1">
      <c r="A3" s="734" t="s">
        <v>1727</v>
      </c>
      <c r="B3" s="734"/>
      <c r="C3" s="734"/>
      <c r="D3" s="734"/>
      <c r="E3" s="734"/>
      <c r="F3" s="519"/>
      <c r="G3" s="519"/>
      <c r="H3" s="519"/>
      <c r="I3" s="519"/>
      <c r="J3" s="519"/>
      <c r="K3" s="519"/>
      <c r="L3" s="519"/>
      <c r="M3" s="519"/>
      <c r="N3" s="519"/>
      <c r="O3" s="519"/>
      <c r="P3" s="519"/>
      <c r="Q3" s="519"/>
      <c r="R3" s="519"/>
      <c r="S3" s="519"/>
      <c r="T3" s="735"/>
      <c r="U3" s="519"/>
      <c r="V3" s="519" t="s">
        <v>2</v>
      </c>
    </row>
    <row r="4" spans="1:27" ht="24.75" customHeight="1">
      <c r="A4" s="699" t="s">
        <v>3</v>
      </c>
      <c r="B4" s="699" t="s">
        <v>4</v>
      </c>
      <c r="C4" s="699" t="s">
        <v>5</v>
      </c>
      <c r="D4" s="699" t="s">
        <v>6</v>
      </c>
      <c r="E4" s="699" t="s">
        <v>388</v>
      </c>
      <c r="F4" s="699" t="s">
        <v>8</v>
      </c>
      <c r="G4" s="699" t="s">
        <v>9</v>
      </c>
      <c r="H4" s="736"/>
      <c r="I4" s="699" t="s">
        <v>10</v>
      </c>
      <c r="J4" s="699" t="s">
        <v>11</v>
      </c>
      <c r="K4" s="736"/>
      <c r="L4" s="736"/>
      <c r="M4" s="699" t="s">
        <v>964</v>
      </c>
      <c r="N4" s="699" t="s">
        <v>13</v>
      </c>
      <c r="O4" s="699" t="s">
        <v>14</v>
      </c>
      <c r="P4" s="699" t="s">
        <v>445</v>
      </c>
      <c r="Q4" s="699" t="s">
        <v>16</v>
      </c>
      <c r="R4" s="699" t="s">
        <v>17</v>
      </c>
      <c r="S4" s="699" t="s">
        <v>18</v>
      </c>
      <c r="T4" s="644" t="s">
        <v>19</v>
      </c>
      <c r="U4" s="644" t="s">
        <v>19</v>
      </c>
      <c r="V4" s="737" t="s">
        <v>389</v>
      </c>
      <c r="W4" s="735"/>
      <c r="X4" s="732"/>
      <c r="Y4" s="732"/>
      <c r="Z4" s="732"/>
      <c r="AA4" s="732"/>
    </row>
    <row r="5" spans="1:27" ht="24.75" customHeight="1">
      <c r="A5" s="736"/>
      <c r="B5" s="736"/>
      <c r="C5" s="736"/>
      <c r="D5" s="736"/>
      <c r="E5" s="736"/>
      <c r="F5" s="736"/>
      <c r="G5" s="644" t="s">
        <v>21</v>
      </c>
      <c r="H5" s="644" t="s">
        <v>22</v>
      </c>
      <c r="I5" s="736"/>
      <c r="J5" s="644" t="s">
        <v>1692</v>
      </c>
      <c r="K5" s="644" t="s">
        <v>23</v>
      </c>
      <c r="L5" s="644" t="s">
        <v>24</v>
      </c>
      <c r="M5" s="736"/>
      <c r="N5" s="736"/>
      <c r="O5" s="736"/>
      <c r="P5" s="736"/>
      <c r="Q5" s="736"/>
      <c r="R5" s="736"/>
      <c r="S5" s="736"/>
      <c r="T5" s="644" t="s">
        <v>25</v>
      </c>
      <c r="U5" s="644" t="s">
        <v>26</v>
      </c>
      <c r="V5" s="736"/>
      <c r="W5" s="735"/>
      <c r="X5" s="732"/>
      <c r="Y5" s="732"/>
      <c r="Z5" s="732"/>
      <c r="AA5" s="732"/>
    </row>
    <row r="6" spans="1:27" ht="24.75" customHeight="1">
      <c r="A6" s="700" t="s">
        <v>171</v>
      </c>
      <c r="B6" s="699" t="s">
        <v>28</v>
      </c>
      <c r="C6" s="699" t="s">
        <v>29</v>
      </c>
      <c r="D6" s="644">
        <v>1</v>
      </c>
      <c r="E6" s="644" t="s">
        <v>30</v>
      </c>
      <c r="F6" s="644"/>
      <c r="G6" s="644"/>
      <c r="H6" s="644"/>
      <c r="I6" s="644"/>
      <c r="J6" s="644"/>
      <c r="K6" s="644"/>
      <c r="L6" s="644"/>
      <c r="M6" s="644"/>
      <c r="N6" s="644"/>
      <c r="O6" s="644"/>
      <c r="P6" s="644"/>
      <c r="Q6" s="644"/>
      <c r="R6" s="644"/>
      <c r="S6" s="644"/>
      <c r="T6" s="646">
        <f t="shared" ref="T6:T103" si="0">SUM(F6:S6)</f>
        <v>0</v>
      </c>
      <c r="U6" s="646">
        <f t="shared" ref="U6:U7" si="1">T6*10%+T6</f>
        <v>0</v>
      </c>
      <c r="V6" s="729"/>
      <c r="W6" s="735"/>
      <c r="X6" s="732"/>
      <c r="Y6" s="732"/>
      <c r="Z6" s="732"/>
      <c r="AA6" s="732"/>
    </row>
    <row r="7" spans="1:27" ht="24.75" customHeight="1">
      <c r="A7" s="736"/>
      <c r="B7" s="736"/>
      <c r="C7" s="736"/>
      <c r="D7" s="644">
        <v>2</v>
      </c>
      <c r="E7" s="644" t="s">
        <v>31</v>
      </c>
      <c r="F7" s="644"/>
      <c r="G7" s="644"/>
      <c r="H7" s="644"/>
      <c r="I7" s="644"/>
      <c r="J7" s="644"/>
      <c r="K7" s="646"/>
      <c r="L7" s="644"/>
      <c r="M7" s="644"/>
      <c r="N7" s="644"/>
      <c r="O7" s="644"/>
      <c r="P7" s="654"/>
      <c r="Q7" s="644"/>
      <c r="R7" s="644"/>
      <c r="S7" s="644"/>
      <c r="T7" s="646">
        <f t="shared" si="0"/>
        <v>0</v>
      </c>
      <c r="U7" s="646">
        <f t="shared" si="1"/>
        <v>0</v>
      </c>
      <c r="V7" s="729"/>
      <c r="W7" s="735"/>
      <c r="X7" s="732"/>
      <c r="Y7" s="732"/>
      <c r="Z7" s="732"/>
      <c r="AA7" s="732"/>
    </row>
    <row r="8" spans="1:27" ht="105">
      <c r="A8" s="736"/>
      <c r="B8" s="736"/>
      <c r="C8" s="736"/>
      <c r="D8" s="644">
        <v>3</v>
      </c>
      <c r="E8" s="644" t="s">
        <v>32</v>
      </c>
      <c r="F8" s="654">
        <v>26.93</v>
      </c>
      <c r="G8" s="644"/>
      <c r="H8" s="644"/>
      <c r="I8" s="644"/>
      <c r="J8" s="644"/>
      <c r="K8" s="644"/>
      <c r="L8" s="644"/>
      <c r="M8" s="644"/>
      <c r="N8" s="644"/>
      <c r="O8" s="654">
        <v>21.87</v>
      </c>
      <c r="P8" s="644"/>
      <c r="Q8" s="644"/>
      <c r="R8" s="654">
        <v>1.08</v>
      </c>
      <c r="S8" s="644"/>
      <c r="T8" s="646">
        <f t="shared" si="0"/>
        <v>49.879999999999995</v>
      </c>
      <c r="U8" s="646">
        <f t="shared" ref="U8:U12" si="2">T8</f>
        <v>49.879999999999995</v>
      </c>
      <c r="V8" s="729" t="s">
        <v>965</v>
      </c>
      <c r="W8" s="735"/>
      <c r="X8" s="732"/>
      <c r="Y8" s="732"/>
      <c r="Z8" s="732"/>
      <c r="AA8" s="732"/>
    </row>
    <row r="9" spans="1:27" ht="195">
      <c r="A9" s="736"/>
      <c r="B9" s="736"/>
      <c r="C9" s="736"/>
      <c r="D9" s="644">
        <v>4</v>
      </c>
      <c r="E9" s="644" t="s">
        <v>34</v>
      </c>
      <c r="F9" s="644"/>
      <c r="G9" s="644"/>
      <c r="H9" s="644"/>
      <c r="I9" s="644"/>
      <c r="J9" s="644"/>
      <c r="K9" s="644">
        <v>27.41</v>
      </c>
      <c r="L9" s="644"/>
      <c r="M9" s="646">
        <v>7.89</v>
      </c>
      <c r="N9" s="644"/>
      <c r="O9" s="644">
        <v>0</v>
      </c>
      <c r="P9" s="654">
        <v>17.38</v>
      </c>
      <c r="Q9" s="644"/>
      <c r="R9" s="644"/>
      <c r="S9" s="644"/>
      <c r="T9" s="646">
        <f t="shared" si="0"/>
        <v>52.679999999999993</v>
      </c>
      <c r="U9" s="646">
        <f t="shared" si="2"/>
        <v>52.679999999999993</v>
      </c>
      <c r="V9" s="729" t="s">
        <v>966</v>
      </c>
      <c r="W9" s="735"/>
      <c r="X9" s="732"/>
      <c r="Y9" s="732"/>
      <c r="Z9" s="732"/>
      <c r="AA9" s="732"/>
    </row>
    <row r="10" spans="1:27" ht="45">
      <c r="A10" s="736"/>
      <c r="B10" s="736"/>
      <c r="C10" s="736"/>
      <c r="D10" s="644">
        <v>5</v>
      </c>
      <c r="E10" s="644" t="s">
        <v>36</v>
      </c>
      <c r="F10" s="644"/>
      <c r="G10" s="644"/>
      <c r="H10" s="644"/>
      <c r="I10" s="644"/>
      <c r="J10" s="644"/>
      <c r="K10" s="644"/>
      <c r="L10" s="644"/>
      <c r="M10" s="644"/>
      <c r="N10" s="644"/>
      <c r="O10" s="644"/>
      <c r="P10" s="646">
        <v>19.734999999999999</v>
      </c>
      <c r="Q10" s="644"/>
      <c r="R10" s="644"/>
      <c r="S10" s="644"/>
      <c r="T10" s="646">
        <f t="shared" si="0"/>
        <v>19.734999999999999</v>
      </c>
      <c r="U10" s="646">
        <f t="shared" si="2"/>
        <v>19.734999999999999</v>
      </c>
      <c r="V10" s="729" t="s">
        <v>967</v>
      </c>
      <c r="W10" s="735"/>
      <c r="X10" s="732"/>
      <c r="Y10" s="732"/>
      <c r="Z10" s="732"/>
      <c r="AA10" s="732"/>
    </row>
    <row r="11" spans="1:27" ht="277.14999999999998" customHeight="1">
      <c r="A11" s="736"/>
      <c r="B11" s="736"/>
      <c r="C11" s="736"/>
      <c r="D11" s="644">
        <v>6</v>
      </c>
      <c r="E11" s="644" t="s">
        <v>38</v>
      </c>
      <c r="F11" s="644">
        <v>0.36</v>
      </c>
      <c r="G11" s="644"/>
      <c r="H11" s="644"/>
      <c r="I11" s="644"/>
      <c r="J11" s="644"/>
      <c r="K11" s="644"/>
      <c r="L11" s="644"/>
      <c r="M11" s="644"/>
      <c r="N11" s="654"/>
      <c r="O11" s="644">
        <v>1.1100000000000001</v>
      </c>
      <c r="P11" s="654">
        <v>0.67</v>
      </c>
      <c r="Q11" s="644"/>
      <c r="R11" s="644">
        <v>0</v>
      </c>
      <c r="S11" s="644"/>
      <c r="T11" s="646">
        <f t="shared" si="0"/>
        <v>2.14</v>
      </c>
      <c r="U11" s="646">
        <f t="shared" si="2"/>
        <v>2.14</v>
      </c>
      <c r="V11" s="729" t="s">
        <v>968</v>
      </c>
      <c r="W11" s="735"/>
      <c r="X11" s="732"/>
      <c r="Y11" s="732"/>
      <c r="Z11" s="732"/>
      <c r="AA11" s="732"/>
    </row>
    <row r="12" spans="1:27" ht="120">
      <c r="A12" s="736"/>
      <c r="B12" s="736"/>
      <c r="C12" s="736"/>
      <c r="D12" s="644">
        <v>7</v>
      </c>
      <c r="E12" s="644" t="s">
        <v>40</v>
      </c>
      <c r="F12" s="644"/>
      <c r="G12" s="644"/>
      <c r="H12" s="644"/>
      <c r="I12" s="644"/>
      <c r="J12" s="644"/>
      <c r="K12" s="644"/>
      <c r="L12" s="644"/>
      <c r="M12" s="644"/>
      <c r="N12" s="644"/>
      <c r="O12" s="644"/>
      <c r="P12" s="654">
        <v>0</v>
      </c>
      <c r="Q12" s="654">
        <v>0.75</v>
      </c>
      <c r="R12" s="644">
        <v>0.1</v>
      </c>
      <c r="S12" s="644"/>
      <c r="T12" s="646">
        <f t="shared" si="0"/>
        <v>0.85</v>
      </c>
      <c r="U12" s="646">
        <f t="shared" si="2"/>
        <v>0.85</v>
      </c>
      <c r="V12" s="729" t="s">
        <v>969</v>
      </c>
      <c r="W12" s="735"/>
      <c r="X12" s="732"/>
      <c r="Y12" s="732"/>
      <c r="Z12" s="732"/>
      <c r="AA12" s="732"/>
    </row>
    <row r="13" spans="1:27" ht="24.75" customHeight="1">
      <c r="A13" s="736"/>
      <c r="B13" s="736"/>
      <c r="C13" s="736"/>
      <c r="D13" s="644">
        <v>8</v>
      </c>
      <c r="E13" s="644" t="s">
        <v>42</v>
      </c>
      <c r="F13" s="644"/>
      <c r="G13" s="644"/>
      <c r="H13" s="644"/>
      <c r="I13" s="644"/>
      <c r="J13" s="644"/>
      <c r="K13" s="644"/>
      <c r="L13" s="644"/>
      <c r="M13" s="644"/>
      <c r="N13" s="646"/>
      <c r="O13" s="644"/>
      <c r="P13" s="644"/>
      <c r="Q13" s="644"/>
      <c r="R13" s="644"/>
      <c r="S13" s="644"/>
      <c r="T13" s="646">
        <f t="shared" si="0"/>
        <v>0</v>
      </c>
      <c r="U13" s="646">
        <f>T13*10%+T13</f>
        <v>0</v>
      </c>
      <c r="V13" s="729"/>
      <c r="W13" s="735"/>
      <c r="X13" s="732"/>
      <c r="Y13" s="732"/>
      <c r="Z13" s="732"/>
      <c r="AA13" s="732"/>
    </row>
    <row r="14" spans="1:27" ht="90">
      <c r="A14" s="736"/>
      <c r="B14" s="736"/>
      <c r="C14" s="736"/>
      <c r="D14" s="644">
        <v>9</v>
      </c>
      <c r="E14" s="644" t="s">
        <v>43</v>
      </c>
      <c r="F14" s="644"/>
      <c r="G14" s="644"/>
      <c r="H14" s="644"/>
      <c r="I14" s="644"/>
      <c r="J14" s="644"/>
      <c r="K14" s="644"/>
      <c r="L14" s="644"/>
      <c r="M14" s="644"/>
      <c r="N14" s="646"/>
      <c r="O14" s="644"/>
      <c r="P14" s="682">
        <v>0.15851999999999999</v>
      </c>
      <c r="Q14" s="683"/>
      <c r="R14" s="683">
        <v>0.18</v>
      </c>
      <c r="S14" s="683"/>
      <c r="T14" s="646">
        <f t="shared" si="0"/>
        <v>0.33851999999999999</v>
      </c>
      <c r="U14" s="646">
        <f>T14</f>
        <v>0.33851999999999999</v>
      </c>
      <c r="V14" s="729" t="s">
        <v>645</v>
      </c>
      <c r="W14" s="735"/>
      <c r="X14" s="732"/>
      <c r="Y14" s="732"/>
      <c r="Z14" s="732"/>
      <c r="AA14" s="732"/>
    </row>
    <row r="15" spans="1:27" ht="105">
      <c r="A15" s="736"/>
      <c r="B15" s="736"/>
      <c r="C15" s="736"/>
      <c r="D15" s="644">
        <v>10</v>
      </c>
      <c r="E15" s="644" t="s">
        <v>44</v>
      </c>
      <c r="F15" s="644"/>
      <c r="G15" s="644"/>
      <c r="H15" s="644"/>
      <c r="I15" s="646">
        <v>0.02</v>
      </c>
      <c r="J15" s="644"/>
      <c r="K15" s="644"/>
      <c r="L15" s="644"/>
      <c r="M15" s="644"/>
      <c r="N15" s="646">
        <v>0.82</v>
      </c>
      <c r="O15" s="644"/>
      <c r="P15" s="644"/>
      <c r="Q15" s="644"/>
      <c r="R15" s="644"/>
      <c r="S15" s="644"/>
      <c r="T15" s="646">
        <f t="shared" si="0"/>
        <v>0.84</v>
      </c>
      <c r="U15" s="646">
        <v>0.82</v>
      </c>
      <c r="V15" s="729" t="s">
        <v>1598</v>
      </c>
      <c r="W15" s="735"/>
      <c r="X15" s="732"/>
      <c r="Y15" s="732"/>
      <c r="Z15" s="732"/>
      <c r="AA15" s="732"/>
    </row>
    <row r="16" spans="1:27" ht="24.75" customHeight="1">
      <c r="A16" s="736"/>
      <c r="B16" s="736"/>
      <c r="C16" s="736"/>
      <c r="D16" s="644">
        <v>11</v>
      </c>
      <c r="E16" s="644" t="s">
        <v>45</v>
      </c>
      <c r="F16" s="644"/>
      <c r="G16" s="654"/>
      <c r="H16" s="654"/>
      <c r="I16" s="644"/>
      <c r="J16" s="644"/>
      <c r="K16" s="644"/>
      <c r="L16" s="644"/>
      <c r="M16" s="644"/>
      <c r="N16" s="644"/>
      <c r="O16" s="644"/>
      <c r="P16" s="644"/>
      <c r="Q16" s="644"/>
      <c r="R16" s="644"/>
      <c r="S16" s="644"/>
      <c r="T16" s="646">
        <f t="shared" si="0"/>
        <v>0</v>
      </c>
      <c r="U16" s="646">
        <f>T16*10%+T16</f>
        <v>0</v>
      </c>
      <c r="V16" s="729"/>
      <c r="W16" s="735"/>
      <c r="X16" s="732"/>
      <c r="Y16" s="732"/>
      <c r="Z16" s="732"/>
      <c r="AA16" s="732"/>
    </row>
    <row r="17" spans="1:27" ht="60">
      <c r="A17" s="736"/>
      <c r="B17" s="736"/>
      <c r="C17" s="736"/>
      <c r="D17" s="644">
        <v>12</v>
      </c>
      <c r="E17" s="644" t="s">
        <v>46</v>
      </c>
      <c r="F17" s="644"/>
      <c r="G17" s="644"/>
      <c r="H17" s="644"/>
      <c r="I17" s="644"/>
      <c r="J17" s="644"/>
      <c r="K17" s="644"/>
      <c r="L17" s="644"/>
      <c r="M17" s="644"/>
      <c r="N17" s="646">
        <v>1</v>
      </c>
      <c r="O17" s="644"/>
      <c r="P17" s="644"/>
      <c r="Q17" s="644"/>
      <c r="R17" s="644"/>
      <c r="S17" s="644"/>
      <c r="T17" s="646">
        <f t="shared" si="0"/>
        <v>1</v>
      </c>
      <c r="U17" s="646">
        <v>1</v>
      </c>
      <c r="V17" s="729" t="s">
        <v>452</v>
      </c>
      <c r="W17" s="735"/>
      <c r="X17" s="732"/>
      <c r="Y17" s="732"/>
      <c r="Z17" s="732"/>
      <c r="AA17" s="732"/>
    </row>
    <row r="18" spans="1:27" ht="24.75" customHeight="1">
      <c r="A18" s="736"/>
      <c r="B18" s="736"/>
      <c r="C18" s="736"/>
      <c r="D18" s="644">
        <v>13</v>
      </c>
      <c r="E18" s="644" t="s">
        <v>48</v>
      </c>
      <c r="F18" s="644"/>
      <c r="G18" s="644"/>
      <c r="H18" s="644"/>
      <c r="I18" s="644"/>
      <c r="J18" s="644"/>
      <c r="K18" s="644"/>
      <c r="L18" s="644"/>
      <c r="M18" s="644"/>
      <c r="N18" s="644"/>
      <c r="O18" s="644"/>
      <c r="P18" s="654"/>
      <c r="Q18" s="644"/>
      <c r="R18" s="644"/>
      <c r="S18" s="644"/>
      <c r="T18" s="646">
        <f t="shared" si="0"/>
        <v>0</v>
      </c>
      <c r="U18" s="646">
        <f t="shared" ref="U18:U19" si="3">T18*10%+T18</f>
        <v>0</v>
      </c>
      <c r="V18" s="729"/>
      <c r="W18" s="735"/>
      <c r="X18" s="732"/>
      <c r="Y18" s="732"/>
      <c r="Z18" s="732"/>
      <c r="AA18" s="732"/>
    </row>
    <row r="19" spans="1:27" ht="24.75" customHeight="1">
      <c r="A19" s="736"/>
      <c r="B19" s="736"/>
      <c r="C19" s="736"/>
      <c r="D19" s="644">
        <v>14</v>
      </c>
      <c r="E19" s="644" t="s">
        <v>49</v>
      </c>
      <c r="F19" s="644"/>
      <c r="G19" s="644"/>
      <c r="H19" s="644"/>
      <c r="I19" s="644"/>
      <c r="J19" s="644"/>
      <c r="K19" s="644"/>
      <c r="L19" s="644"/>
      <c r="M19" s="644"/>
      <c r="N19" s="644"/>
      <c r="O19" s="644"/>
      <c r="P19" s="644"/>
      <c r="Q19" s="644"/>
      <c r="R19" s="644"/>
      <c r="S19" s="644"/>
      <c r="T19" s="646">
        <f t="shared" si="0"/>
        <v>0</v>
      </c>
      <c r="U19" s="646">
        <f t="shared" si="3"/>
        <v>0</v>
      </c>
      <c r="V19" s="729"/>
      <c r="W19" s="735"/>
      <c r="X19" s="732"/>
      <c r="Y19" s="732"/>
      <c r="Z19" s="732"/>
      <c r="AA19" s="732"/>
    </row>
    <row r="20" spans="1:27" ht="360">
      <c r="A20" s="736"/>
      <c r="B20" s="736"/>
      <c r="C20" s="736"/>
      <c r="D20" s="644">
        <v>15</v>
      </c>
      <c r="E20" s="644" t="s">
        <v>50</v>
      </c>
      <c r="F20" s="644"/>
      <c r="G20" s="644"/>
      <c r="H20" s="644"/>
      <c r="I20" s="654">
        <v>0.59</v>
      </c>
      <c r="J20" s="644"/>
      <c r="K20" s="644"/>
      <c r="L20" s="644"/>
      <c r="M20" s="644"/>
      <c r="N20" s="646">
        <v>0.75</v>
      </c>
      <c r="O20" s="644"/>
      <c r="P20" s="654">
        <v>3</v>
      </c>
      <c r="Q20" s="654"/>
      <c r="R20" s="644"/>
      <c r="S20" s="644"/>
      <c r="T20" s="646">
        <f t="shared" si="0"/>
        <v>4.34</v>
      </c>
      <c r="U20" s="646">
        <f>0.65+1+1+2</f>
        <v>4.6500000000000004</v>
      </c>
      <c r="V20" s="729" t="s">
        <v>970</v>
      </c>
      <c r="W20" s="735"/>
      <c r="X20" s="732"/>
      <c r="Y20" s="732"/>
      <c r="Z20" s="732"/>
      <c r="AA20" s="732"/>
    </row>
    <row r="21" spans="1:27" ht="24.75" customHeight="1">
      <c r="A21" s="736"/>
      <c r="B21" s="736"/>
      <c r="C21" s="736"/>
      <c r="D21" s="644">
        <v>16</v>
      </c>
      <c r="E21" s="644" t="s">
        <v>51</v>
      </c>
      <c r="F21" s="644"/>
      <c r="G21" s="644"/>
      <c r="H21" s="644"/>
      <c r="I21" s="644"/>
      <c r="J21" s="644"/>
      <c r="K21" s="644"/>
      <c r="L21" s="644"/>
      <c r="M21" s="644"/>
      <c r="N21" s="644"/>
      <c r="O21" s="644"/>
      <c r="P21" s="644"/>
      <c r="Q21" s="644"/>
      <c r="R21" s="644"/>
      <c r="S21" s="644"/>
      <c r="T21" s="646">
        <f t="shared" si="0"/>
        <v>0</v>
      </c>
      <c r="U21" s="646">
        <f>T21*10%+T21</f>
        <v>0</v>
      </c>
      <c r="V21" s="729"/>
      <c r="W21" s="735"/>
      <c r="X21" s="732"/>
      <c r="Y21" s="732"/>
      <c r="Z21" s="732"/>
      <c r="AA21" s="732"/>
    </row>
    <row r="22" spans="1:27" ht="90">
      <c r="A22" s="736"/>
      <c r="B22" s="736"/>
      <c r="C22" s="736"/>
      <c r="D22" s="644">
        <v>17</v>
      </c>
      <c r="E22" s="644" t="s">
        <v>52</v>
      </c>
      <c r="F22" s="644"/>
      <c r="G22" s="644"/>
      <c r="H22" s="644"/>
      <c r="I22" s="646"/>
      <c r="J22" s="644"/>
      <c r="K22" s="644"/>
      <c r="L22" s="644"/>
      <c r="M22" s="644"/>
      <c r="N22" s="647"/>
      <c r="O22" s="645"/>
      <c r="P22" s="648">
        <v>0.3</v>
      </c>
      <c r="Q22" s="645">
        <v>2.8</v>
      </c>
      <c r="R22" s="644"/>
      <c r="S22" s="654"/>
      <c r="T22" s="646">
        <f t="shared" si="0"/>
        <v>3.0999999999999996</v>
      </c>
      <c r="U22" s="658">
        <f>T22+0.5</f>
        <v>3.5999999999999996</v>
      </c>
      <c r="V22" s="738" t="s">
        <v>971</v>
      </c>
      <c r="W22" s="735"/>
      <c r="X22" s="732"/>
      <c r="Y22" s="732"/>
      <c r="Z22" s="732"/>
      <c r="AA22" s="732"/>
    </row>
    <row r="23" spans="1:27" ht="60">
      <c r="A23" s="736"/>
      <c r="B23" s="736"/>
      <c r="C23" s="736"/>
      <c r="D23" s="644">
        <v>18</v>
      </c>
      <c r="E23" s="644" t="s">
        <v>53</v>
      </c>
      <c r="F23" s="644"/>
      <c r="G23" s="644"/>
      <c r="H23" s="644"/>
      <c r="I23" s="644"/>
      <c r="J23" s="644"/>
      <c r="K23" s="644"/>
      <c r="L23" s="644"/>
      <c r="M23" s="644"/>
      <c r="N23" s="644"/>
      <c r="O23" s="644"/>
      <c r="P23" s="654">
        <v>3.24</v>
      </c>
      <c r="Q23" s="654"/>
      <c r="R23" s="644"/>
      <c r="S23" s="654"/>
      <c r="T23" s="646">
        <f t="shared" si="0"/>
        <v>3.24</v>
      </c>
      <c r="U23" s="646">
        <f>T23</f>
        <v>3.24</v>
      </c>
      <c r="V23" s="729" t="s">
        <v>1733</v>
      </c>
      <c r="W23" s="735"/>
      <c r="X23" s="732"/>
      <c r="Y23" s="732"/>
      <c r="Z23" s="732"/>
      <c r="AA23" s="732"/>
    </row>
    <row r="24" spans="1:27" ht="24.75" customHeight="1">
      <c r="A24" s="736"/>
      <c r="B24" s="699" t="s">
        <v>54</v>
      </c>
      <c r="C24" s="699" t="s">
        <v>55</v>
      </c>
      <c r="D24" s="644">
        <v>19</v>
      </c>
      <c r="E24" s="644" t="s">
        <v>55</v>
      </c>
      <c r="F24" s="644"/>
      <c r="G24" s="644"/>
      <c r="H24" s="644"/>
      <c r="I24" s="644"/>
      <c r="J24" s="644"/>
      <c r="K24" s="644"/>
      <c r="L24" s="644"/>
      <c r="M24" s="644"/>
      <c r="N24" s="644"/>
      <c r="O24" s="644"/>
      <c r="P24" s="644"/>
      <c r="Q24" s="644"/>
      <c r="R24" s="644"/>
      <c r="S24" s="644"/>
      <c r="T24" s="646">
        <f t="shared" si="0"/>
        <v>0</v>
      </c>
      <c r="U24" s="646">
        <f>T24*10%+T24</f>
        <v>0</v>
      </c>
      <c r="V24" s="729"/>
      <c r="W24" s="735"/>
      <c r="X24" s="732"/>
      <c r="Y24" s="732"/>
      <c r="Z24" s="732"/>
      <c r="AA24" s="732"/>
    </row>
    <row r="25" spans="1:27" ht="60">
      <c r="A25" s="736"/>
      <c r="B25" s="736"/>
      <c r="C25" s="736"/>
      <c r="D25" s="644">
        <v>20</v>
      </c>
      <c r="E25" s="644" t="s">
        <v>56</v>
      </c>
      <c r="F25" s="644"/>
      <c r="G25" s="644"/>
      <c r="H25" s="644"/>
      <c r="I25" s="644"/>
      <c r="J25" s="644"/>
      <c r="K25" s="644"/>
      <c r="L25" s="644"/>
      <c r="M25" s="644"/>
      <c r="N25" s="644"/>
      <c r="O25" s="644"/>
      <c r="P25" s="644"/>
      <c r="Q25" s="646">
        <v>1.5</v>
      </c>
      <c r="R25" s="644"/>
      <c r="S25" s="644"/>
      <c r="T25" s="646">
        <f t="shared" si="0"/>
        <v>1.5</v>
      </c>
      <c r="U25" s="646">
        <f>0.25</f>
        <v>0.25</v>
      </c>
      <c r="V25" s="738" t="s">
        <v>972</v>
      </c>
      <c r="W25" s="735"/>
      <c r="X25" s="732"/>
      <c r="Y25" s="732"/>
      <c r="Z25" s="732"/>
      <c r="AA25" s="732"/>
    </row>
    <row r="26" spans="1:27" ht="315" customHeight="1">
      <c r="A26" s="736"/>
      <c r="B26" s="699" t="s">
        <v>58</v>
      </c>
      <c r="C26" s="699" t="s">
        <v>59</v>
      </c>
      <c r="D26" s="644">
        <v>21</v>
      </c>
      <c r="E26" s="644" t="s">
        <v>60</v>
      </c>
      <c r="F26" s="649"/>
      <c r="G26" s="649"/>
      <c r="H26" s="650"/>
      <c r="I26" s="651">
        <v>0.8</v>
      </c>
      <c r="J26" s="649"/>
      <c r="K26" s="651"/>
      <c r="L26" s="649"/>
      <c r="M26" s="649"/>
      <c r="N26" s="651">
        <f>0.5+0.42+0.125</f>
        <v>1.0449999999999999</v>
      </c>
      <c r="O26" s="649"/>
      <c r="P26" s="650">
        <f>16.32+1.584</f>
        <v>17.904</v>
      </c>
      <c r="Q26" s="650">
        <v>0.1</v>
      </c>
      <c r="R26" s="651">
        <v>0.5</v>
      </c>
      <c r="S26" s="649"/>
      <c r="T26" s="646">
        <f t="shared" si="0"/>
        <v>20.349</v>
      </c>
      <c r="U26" s="658">
        <f>I26+N26+P26+Q26+R26</f>
        <v>20.349</v>
      </c>
      <c r="V26" s="729" t="s">
        <v>973</v>
      </c>
      <c r="W26" s="735"/>
      <c r="X26" s="732"/>
      <c r="Y26" s="732"/>
      <c r="Z26" s="732"/>
      <c r="AA26" s="732"/>
    </row>
    <row r="27" spans="1:27" ht="225">
      <c r="A27" s="736"/>
      <c r="B27" s="736"/>
      <c r="C27" s="736"/>
      <c r="D27" s="644">
        <v>22</v>
      </c>
      <c r="E27" s="644" t="s">
        <v>62</v>
      </c>
      <c r="F27" s="650"/>
      <c r="G27" s="649"/>
      <c r="H27" s="650"/>
      <c r="I27" s="739">
        <f>276746/100000</f>
        <v>2.7674599999999998</v>
      </c>
      <c r="J27" s="649"/>
      <c r="K27" s="649"/>
      <c r="L27" s="649"/>
      <c r="M27" s="650">
        <v>1</v>
      </c>
      <c r="N27" s="649"/>
      <c r="O27" s="649"/>
      <c r="P27" s="650">
        <f>140.423+2.4</f>
        <v>142.82300000000001</v>
      </c>
      <c r="Q27" s="650">
        <v>1</v>
      </c>
      <c r="R27" s="651"/>
      <c r="S27" s="649"/>
      <c r="T27" s="646">
        <f t="shared" si="0"/>
        <v>147.59046000000001</v>
      </c>
      <c r="U27" s="658">
        <f>M27+P27+Q27</f>
        <v>144.82300000000001</v>
      </c>
      <c r="V27" s="738" t="s">
        <v>974</v>
      </c>
      <c r="W27" s="735"/>
      <c r="X27" s="732"/>
      <c r="Y27" s="732"/>
      <c r="Z27" s="732"/>
      <c r="AA27" s="732"/>
    </row>
    <row r="28" spans="1:27" ht="165">
      <c r="A28" s="736"/>
      <c r="B28" s="736"/>
      <c r="C28" s="736"/>
      <c r="D28" s="644">
        <v>23</v>
      </c>
      <c r="E28" s="644" t="s">
        <v>64</v>
      </c>
      <c r="F28" s="649"/>
      <c r="G28" s="649"/>
      <c r="H28" s="649"/>
      <c r="I28" s="649"/>
      <c r="J28" s="649"/>
      <c r="K28" s="651"/>
      <c r="L28" s="649"/>
      <c r="M28" s="649"/>
      <c r="N28" s="649">
        <v>0.11</v>
      </c>
      <c r="O28" s="650">
        <v>27.66</v>
      </c>
      <c r="P28" s="649"/>
      <c r="Q28" s="650"/>
      <c r="R28" s="649"/>
      <c r="S28" s="649"/>
      <c r="T28" s="646">
        <f t="shared" si="0"/>
        <v>27.77</v>
      </c>
      <c r="U28" s="658">
        <f>T28</f>
        <v>27.77</v>
      </c>
      <c r="V28" s="740" t="s">
        <v>975</v>
      </c>
      <c r="W28" s="735"/>
      <c r="X28" s="732"/>
      <c r="Y28" s="732"/>
      <c r="Z28" s="732"/>
      <c r="AA28" s="732"/>
    </row>
    <row r="29" spans="1:27" ht="339.6" customHeight="1">
      <c r="A29" s="736"/>
      <c r="B29" s="736"/>
      <c r="C29" s="736"/>
      <c r="D29" s="644">
        <v>24</v>
      </c>
      <c r="E29" s="741" t="s">
        <v>66</v>
      </c>
      <c r="F29" s="649"/>
      <c r="G29" s="649"/>
      <c r="H29" s="650"/>
      <c r="I29" s="649"/>
      <c r="J29" s="649"/>
      <c r="K29" s="649"/>
      <c r="L29" s="649"/>
      <c r="M29" s="649"/>
      <c r="N29" s="684">
        <f>1+0.688+0.688+0.5+4</f>
        <v>6.8759999999999994</v>
      </c>
      <c r="O29" s="650"/>
      <c r="P29" s="649">
        <v>8.25</v>
      </c>
      <c r="Q29" s="651">
        <v>1</v>
      </c>
      <c r="R29" s="649"/>
      <c r="S29" s="649"/>
      <c r="T29" s="646">
        <f t="shared" si="0"/>
        <v>16.125999999999998</v>
      </c>
      <c r="U29" s="652">
        <v>18.125999999999998</v>
      </c>
      <c r="V29" s="742" t="s">
        <v>976</v>
      </c>
      <c r="W29" s="735"/>
      <c r="X29" s="732"/>
      <c r="Y29" s="732"/>
      <c r="Z29" s="732"/>
      <c r="AA29" s="732"/>
    </row>
    <row r="30" spans="1:27" ht="299.45" customHeight="1">
      <c r="A30" s="736"/>
      <c r="B30" s="736"/>
      <c r="C30" s="736"/>
      <c r="D30" s="644">
        <v>25</v>
      </c>
      <c r="E30" s="644" t="s">
        <v>68</v>
      </c>
      <c r="F30" s="649"/>
      <c r="G30" s="649"/>
      <c r="H30" s="649"/>
      <c r="I30" s="649"/>
      <c r="J30" s="649"/>
      <c r="K30" s="649"/>
      <c r="L30" s="649"/>
      <c r="M30" s="649"/>
      <c r="N30" s="651">
        <v>0.5</v>
      </c>
      <c r="O30" s="653">
        <v>6.4500000000000002E-2</v>
      </c>
      <c r="P30" s="649">
        <v>0.89600000000000002</v>
      </c>
      <c r="Q30" s="743"/>
      <c r="R30" s="649"/>
      <c r="S30" s="649"/>
      <c r="T30" s="646">
        <f t="shared" si="0"/>
        <v>1.4605000000000001</v>
      </c>
      <c r="U30" s="658">
        <f>T30</f>
        <v>1.4605000000000001</v>
      </c>
      <c r="V30" s="744" t="s">
        <v>977</v>
      </c>
      <c r="W30" s="735"/>
      <c r="X30" s="732"/>
      <c r="Y30" s="732"/>
      <c r="Z30" s="732"/>
      <c r="AA30" s="732"/>
    </row>
    <row r="31" spans="1:27" ht="240">
      <c r="A31" s="736"/>
      <c r="B31" s="736"/>
      <c r="C31" s="736"/>
      <c r="D31" s="644">
        <v>26</v>
      </c>
      <c r="E31" s="741" t="s">
        <v>70</v>
      </c>
      <c r="F31" s="649"/>
      <c r="G31" s="649"/>
      <c r="H31" s="649"/>
      <c r="I31" s="651"/>
      <c r="J31" s="649"/>
      <c r="K31" s="649"/>
      <c r="L31" s="649"/>
      <c r="M31" s="649"/>
      <c r="N31" s="651">
        <v>2.4</v>
      </c>
      <c r="O31" s="649"/>
      <c r="P31" s="649"/>
      <c r="Q31" s="684">
        <v>3.2</v>
      </c>
      <c r="R31" s="685">
        <v>0.2</v>
      </c>
      <c r="S31" s="649"/>
      <c r="T31" s="646">
        <f t="shared" si="0"/>
        <v>5.8</v>
      </c>
      <c r="U31" s="658">
        <f>T31-0.2</f>
        <v>5.6</v>
      </c>
      <c r="V31" s="744" t="s">
        <v>978</v>
      </c>
      <c r="W31" s="735"/>
      <c r="X31" s="732"/>
      <c r="Y31" s="732"/>
      <c r="Z31" s="732"/>
      <c r="AA31" s="732"/>
    </row>
    <row r="32" spans="1:27" ht="165">
      <c r="A32" s="736"/>
      <c r="B32" s="736"/>
      <c r="C32" s="736"/>
      <c r="D32" s="644">
        <v>27</v>
      </c>
      <c r="E32" s="644" t="s">
        <v>72</v>
      </c>
      <c r="F32" s="649"/>
      <c r="G32" s="649"/>
      <c r="H32" s="650"/>
      <c r="I32" s="745"/>
      <c r="J32" s="649"/>
      <c r="K32" s="649"/>
      <c r="L32" s="649"/>
      <c r="M32" s="649"/>
      <c r="N32" s="651">
        <v>1</v>
      </c>
      <c r="O32" s="650"/>
      <c r="P32" s="650">
        <v>4.5</v>
      </c>
      <c r="Q32" s="649"/>
      <c r="R32" s="649"/>
      <c r="S32" s="649"/>
      <c r="T32" s="646">
        <f t="shared" si="0"/>
        <v>5.5</v>
      </c>
      <c r="U32" s="646">
        <f>T32</f>
        <v>5.5</v>
      </c>
      <c r="V32" s="740" t="s">
        <v>922</v>
      </c>
      <c r="W32" s="735"/>
      <c r="X32" s="732"/>
      <c r="Y32" s="732"/>
      <c r="Z32" s="732"/>
      <c r="AA32" s="732"/>
    </row>
    <row r="33" spans="1:27" ht="60">
      <c r="A33" s="736"/>
      <c r="B33" s="736"/>
      <c r="C33" s="736"/>
      <c r="D33" s="644">
        <v>28</v>
      </c>
      <c r="E33" s="644" t="s">
        <v>34</v>
      </c>
      <c r="F33" s="649"/>
      <c r="G33" s="649"/>
      <c r="H33" s="649"/>
      <c r="I33" s="649"/>
      <c r="J33" s="649"/>
      <c r="K33" s="651">
        <v>1.1839999999999999</v>
      </c>
      <c r="L33" s="649"/>
      <c r="M33" s="651">
        <v>1.1839999999999999</v>
      </c>
      <c r="N33" s="649"/>
      <c r="O33" s="649"/>
      <c r="P33" s="649"/>
      <c r="Q33" s="649"/>
      <c r="R33" s="649"/>
      <c r="S33" s="649"/>
      <c r="T33" s="646">
        <f t="shared" si="0"/>
        <v>2.3679999999999999</v>
      </c>
      <c r="U33" s="646">
        <f>2.37</f>
        <v>2.37</v>
      </c>
      <c r="V33" s="729" t="s">
        <v>1734</v>
      </c>
      <c r="W33" s="735"/>
      <c r="X33" s="732"/>
      <c r="Y33" s="732"/>
      <c r="Z33" s="732"/>
      <c r="AA33" s="732"/>
    </row>
    <row r="34" spans="1:27" ht="45">
      <c r="A34" s="736"/>
      <c r="B34" s="736"/>
      <c r="C34" s="736"/>
      <c r="D34" s="644">
        <v>29</v>
      </c>
      <c r="E34" s="644" t="s">
        <v>36</v>
      </c>
      <c r="F34" s="649"/>
      <c r="G34" s="649"/>
      <c r="H34" s="649"/>
      <c r="I34" s="649"/>
      <c r="J34" s="649"/>
      <c r="K34" s="649"/>
      <c r="L34" s="649"/>
      <c r="M34" s="649"/>
      <c r="N34" s="649"/>
      <c r="O34" s="649"/>
      <c r="P34" s="651">
        <v>2.96</v>
      </c>
      <c r="Q34" s="649"/>
      <c r="R34" s="649"/>
      <c r="S34" s="649"/>
      <c r="T34" s="646">
        <f t="shared" si="0"/>
        <v>2.96</v>
      </c>
      <c r="U34" s="646">
        <f t="shared" ref="U34:U35" si="4">T34</f>
        <v>2.96</v>
      </c>
      <c r="V34" s="729" t="s">
        <v>1735</v>
      </c>
      <c r="W34" s="735"/>
      <c r="X34" s="732"/>
      <c r="Y34" s="732"/>
      <c r="Z34" s="732"/>
      <c r="AA34" s="732"/>
    </row>
    <row r="35" spans="1:27" ht="105">
      <c r="A35" s="736"/>
      <c r="B35" s="736"/>
      <c r="C35" s="736"/>
      <c r="D35" s="644">
        <v>30</v>
      </c>
      <c r="E35" s="644" t="s">
        <v>74</v>
      </c>
      <c r="F35" s="649"/>
      <c r="G35" s="649"/>
      <c r="H35" s="649"/>
      <c r="I35" s="651"/>
      <c r="J35" s="649"/>
      <c r="K35" s="649"/>
      <c r="L35" s="649"/>
      <c r="M35" s="649"/>
      <c r="N35" s="649"/>
      <c r="O35" s="649"/>
      <c r="P35" s="649"/>
      <c r="Q35" s="651">
        <v>3.43</v>
      </c>
      <c r="R35" s="685">
        <v>1.75</v>
      </c>
      <c r="S35" s="649"/>
      <c r="T35" s="646">
        <f t="shared" si="0"/>
        <v>5.18</v>
      </c>
      <c r="U35" s="646">
        <f t="shared" si="4"/>
        <v>5.18</v>
      </c>
      <c r="V35" s="746" t="s">
        <v>979</v>
      </c>
      <c r="W35" s="735"/>
      <c r="X35" s="732"/>
      <c r="Y35" s="732"/>
      <c r="Z35" s="732"/>
      <c r="AA35" s="732"/>
    </row>
    <row r="36" spans="1:27" ht="24.75" customHeight="1">
      <c r="A36" s="736"/>
      <c r="B36" s="736"/>
      <c r="C36" s="736"/>
      <c r="D36" s="644">
        <v>31</v>
      </c>
      <c r="E36" s="644" t="s">
        <v>53</v>
      </c>
      <c r="F36" s="649"/>
      <c r="G36" s="649"/>
      <c r="H36" s="649"/>
      <c r="I36" s="649"/>
      <c r="J36" s="649"/>
      <c r="K36" s="649"/>
      <c r="L36" s="649"/>
      <c r="M36" s="649"/>
      <c r="N36" s="649"/>
      <c r="O36" s="649"/>
      <c r="P36" s="649"/>
      <c r="Q36" s="649"/>
      <c r="R36" s="649"/>
      <c r="S36" s="649"/>
      <c r="T36" s="646">
        <f t="shared" si="0"/>
        <v>0</v>
      </c>
      <c r="U36" s="646">
        <f>T36*10%+T36</f>
        <v>0</v>
      </c>
      <c r="V36" s="729"/>
      <c r="W36" s="735"/>
      <c r="X36" s="732"/>
      <c r="Y36" s="732"/>
      <c r="Z36" s="732"/>
      <c r="AA36" s="732"/>
    </row>
    <row r="37" spans="1:27" ht="120">
      <c r="A37" s="736"/>
      <c r="B37" s="699" t="s">
        <v>76</v>
      </c>
      <c r="C37" s="699" t="s">
        <v>77</v>
      </c>
      <c r="D37" s="644">
        <v>32</v>
      </c>
      <c r="E37" s="644" t="s">
        <v>78</v>
      </c>
      <c r="F37" s="645"/>
      <c r="G37" s="645"/>
      <c r="H37" s="645"/>
      <c r="I37" s="647"/>
      <c r="J37" s="645"/>
      <c r="K37" s="645"/>
      <c r="L37" s="645"/>
      <c r="M37" s="647"/>
      <c r="N37" s="647">
        <v>2.5760000000000001</v>
      </c>
      <c r="O37" s="648">
        <v>28.164300000000001</v>
      </c>
      <c r="P37" s="648">
        <v>8.2100000000000009</v>
      </c>
      <c r="Q37" s="647">
        <v>4</v>
      </c>
      <c r="R37" s="654">
        <v>3.9775</v>
      </c>
      <c r="S37" s="645">
        <v>1.73</v>
      </c>
      <c r="T37" s="646">
        <f t="shared" si="0"/>
        <v>48.657799999999995</v>
      </c>
      <c r="U37" s="646">
        <f>T37-0.3815</f>
        <v>48.276299999999992</v>
      </c>
      <c r="V37" s="746" t="s">
        <v>980</v>
      </c>
      <c r="W37" s="735"/>
      <c r="X37" s="732"/>
      <c r="Y37" s="732"/>
      <c r="Z37" s="732"/>
      <c r="AA37" s="732"/>
    </row>
    <row r="38" spans="1:27" ht="24.75" customHeight="1">
      <c r="A38" s="736"/>
      <c r="B38" s="736"/>
      <c r="C38" s="736"/>
      <c r="D38" s="644">
        <v>33</v>
      </c>
      <c r="E38" s="644" t="s">
        <v>80</v>
      </c>
      <c r="F38" s="645"/>
      <c r="G38" s="645"/>
      <c r="H38" s="645"/>
      <c r="I38" s="645"/>
      <c r="J38" s="645"/>
      <c r="K38" s="645"/>
      <c r="L38" s="645"/>
      <c r="M38" s="645"/>
      <c r="N38" s="645"/>
      <c r="O38" s="645"/>
      <c r="P38" s="645"/>
      <c r="Q38" s="645"/>
      <c r="R38" s="645"/>
      <c r="S38" s="645"/>
      <c r="T38" s="646">
        <f t="shared" si="0"/>
        <v>0</v>
      </c>
      <c r="U38" s="646">
        <f t="shared" ref="U38:U39" si="5">T38*10%+T38</f>
        <v>0</v>
      </c>
      <c r="V38" s="729"/>
      <c r="W38" s="735"/>
      <c r="X38" s="732"/>
      <c r="Y38" s="732"/>
      <c r="Z38" s="732"/>
      <c r="AA38" s="732"/>
    </row>
    <row r="39" spans="1:27" ht="24.75" customHeight="1">
      <c r="A39" s="736"/>
      <c r="B39" s="736"/>
      <c r="C39" s="736"/>
      <c r="D39" s="644">
        <v>34</v>
      </c>
      <c r="E39" s="644" t="s">
        <v>81</v>
      </c>
      <c r="F39" s="645"/>
      <c r="G39" s="645"/>
      <c r="H39" s="645"/>
      <c r="I39" s="645"/>
      <c r="J39" s="645"/>
      <c r="K39" s="645"/>
      <c r="L39" s="645"/>
      <c r="M39" s="645"/>
      <c r="N39" s="647"/>
      <c r="O39" s="645"/>
      <c r="P39" s="648"/>
      <c r="Q39" s="645"/>
      <c r="R39" s="645"/>
      <c r="S39" s="645"/>
      <c r="T39" s="646">
        <f t="shared" si="0"/>
        <v>0</v>
      </c>
      <c r="U39" s="646">
        <f t="shared" si="5"/>
        <v>0</v>
      </c>
      <c r="V39" s="729"/>
      <c r="W39" s="735"/>
      <c r="X39" s="732"/>
      <c r="Y39" s="732"/>
      <c r="Z39" s="732"/>
      <c r="AA39" s="732"/>
    </row>
    <row r="40" spans="1:27" ht="345">
      <c r="A40" s="736"/>
      <c r="B40" s="699" t="s">
        <v>82</v>
      </c>
      <c r="C40" s="699" t="s">
        <v>83</v>
      </c>
      <c r="D40" s="644">
        <v>35</v>
      </c>
      <c r="E40" s="644" t="s">
        <v>84</v>
      </c>
      <c r="F40" s="655"/>
      <c r="G40" s="655"/>
      <c r="H40" s="655"/>
      <c r="I40" s="747"/>
      <c r="J40" s="655"/>
      <c r="K40" s="655"/>
      <c r="L40" s="655"/>
      <c r="M40" s="655"/>
      <c r="N40" s="747">
        <v>1.2</v>
      </c>
      <c r="O40" s="655"/>
      <c r="P40" s="657">
        <f>0.6+1.92+0.15+0.1+0.5</f>
        <v>3.27</v>
      </c>
      <c r="Q40" s="657">
        <v>0.25</v>
      </c>
      <c r="R40" s="655"/>
      <c r="S40" s="655"/>
      <c r="T40" s="646">
        <f t="shared" si="0"/>
        <v>4.72</v>
      </c>
      <c r="U40" s="646">
        <v>4.72</v>
      </c>
      <c r="V40" s="746" t="s">
        <v>1736</v>
      </c>
      <c r="W40" s="735"/>
      <c r="X40" s="732"/>
      <c r="Y40" s="732"/>
      <c r="Z40" s="732"/>
      <c r="AA40" s="732"/>
    </row>
    <row r="41" spans="1:27" ht="30">
      <c r="A41" s="736"/>
      <c r="B41" s="736"/>
      <c r="C41" s="736"/>
      <c r="D41" s="644">
        <v>36</v>
      </c>
      <c r="E41" s="644" t="s">
        <v>85</v>
      </c>
      <c r="F41" s="655"/>
      <c r="G41" s="655"/>
      <c r="H41" s="655"/>
      <c r="I41" s="655"/>
      <c r="J41" s="655"/>
      <c r="K41" s="747"/>
      <c r="L41" s="655"/>
      <c r="M41" s="655"/>
      <c r="N41" s="747">
        <v>0.25</v>
      </c>
      <c r="O41" s="655"/>
      <c r="P41" s="655"/>
      <c r="Q41" s="655"/>
      <c r="R41" s="655"/>
      <c r="S41" s="655"/>
      <c r="T41" s="646">
        <f t="shared" si="0"/>
        <v>0.25</v>
      </c>
      <c r="U41" s="646">
        <v>0.25</v>
      </c>
      <c r="V41" s="746" t="s">
        <v>981</v>
      </c>
      <c r="W41" s="735"/>
      <c r="X41" s="732"/>
      <c r="Y41" s="732"/>
      <c r="Z41" s="732"/>
      <c r="AA41" s="732"/>
    </row>
    <row r="42" spans="1:27" ht="24.75" customHeight="1">
      <c r="A42" s="736"/>
      <c r="B42" s="736"/>
      <c r="C42" s="736"/>
      <c r="D42" s="644">
        <v>37</v>
      </c>
      <c r="E42" s="644" t="s">
        <v>86</v>
      </c>
      <c r="F42" s="655"/>
      <c r="G42" s="655"/>
      <c r="H42" s="655"/>
      <c r="I42" s="655"/>
      <c r="J42" s="655"/>
      <c r="K42" s="747"/>
      <c r="L42" s="655"/>
      <c r="M42" s="655"/>
      <c r="N42" s="655"/>
      <c r="O42" s="655"/>
      <c r="P42" s="655"/>
      <c r="Q42" s="655"/>
      <c r="R42" s="655"/>
      <c r="S42" s="655"/>
      <c r="T42" s="646">
        <f t="shared" si="0"/>
        <v>0</v>
      </c>
      <c r="U42" s="646">
        <f>T42*10%+T42</f>
        <v>0</v>
      </c>
      <c r="V42" s="746"/>
      <c r="W42" s="735"/>
      <c r="X42" s="732"/>
      <c r="Y42" s="732"/>
      <c r="Z42" s="732"/>
      <c r="AA42" s="732"/>
    </row>
    <row r="43" spans="1:27" ht="300">
      <c r="A43" s="736"/>
      <c r="B43" s="736"/>
      <c r="C43" s="736"/>
      <c r="D43" s="644">
        <v>38</v>
      </c>
      <c r="E43" s="644" t="s">
        <v>87</v>
      </c>
      <c r="F43" s="655"/>
      <c r="G43" s="655"/>
      <c r="H43" s="655"/>
      <c r="I43" s="655"/>
      <c r="J43" s="655"/>
      <c r="K43" s="655"/>
      <c r="L43" s="655"/>
      <c r="M43" s="655"/>
      <c r="N43" s="747">
        <v>10.5</v>
      </c>
      <c r="O43" s="657">
        <v>0.16</v>
      </c>
      <c r="P43" s="657">
        <v>11.6</v>
      </c>
      <c r="Q43" s="657">
        <v>2.1</v>
      </c>
      <c r="R43" s="655"/>
      <c r="S43" s="655"/>
      <c r="T43" s="646">
        <f t="shared" si="0"/>
        <v>24.36</v>
      </c>
      <c r="U43" s="646">
        <v>24.36</v>
      </c>
      <c r="V43" s="746" t="s">
        <v>1737</v>
      </c>
      <c r="W43" s="735"/>
      <c r="X43" s="732"/>
      <c r="Y43" s="732"/>
      <c r="Z43" s="732"/>
      <c r="AA43" s="732"/>
    </row>
    <row r="44" spans="1:27" ht="90">
      <c r="A44" s="736"/>
      <c r="B44" s="736"/>
      <c r="C44" s="736"/>
      <c r="D44" s="644">
        <v>39</v>
      </c>
      <c r="E44" s="644" t="s">
        <v>88</v>
      </c>
      <c r="F44" s="655"/>
      <c r="G44" s="655"/>
      <c r="H44" s="655"/>
      <c r="I44" s="655"/>
      <c r="J44" s="655"/>
      <c r="K44" s="655"/>
      <c r="L44" s="655"/>
      <c r="M44" s="655"/>
      <c r="N44" s="655">
        <v>1</v>
      </c>
      <c r="O44" s="655"/>
      <c r="P44" s="657">
        <v>0.4</v>
      </c>
      <c r="Q44" s="657"/>
      <c r="R44" s="655"/>
      <c r="S44" s="655"/>
      <c r="T44" s="646">
        <f t="shared" si="0"/>
        <v>1.4</v>
      </c>
      <c r="U44" s="646">
        <v>1.4</v>
      </c>
      <c r="V44" s="746" t="s">
        <v>401</v>
      </c>
      <c r="W44" s="735"/>
      <c r="X44" s="732"/>
      <c r="Y44" s="732"/>
      <c r="Z44" s="732"/>
      <c r="AA44" s="732"/>
    </row>
    <row r="45" spans="1:27" ht="195">
      <c r="A45" s="736"/>
      <c r="B45" s="736"/>
      <c r="C45" s="736"/>
      <c r="D45" s="644">
        <v>40</v>
      </c>
      <c r="E45" s="644" t="s">
        <v>89</v>
      </c>
      <c r="F45" s="655"/>
      <c r="G45" s="655"/>
      <c r="H45" s="655"/>
      <c r="I45" s="655"/>
      <c r="J45" s="655"/>
      <c r="K45" s="655"/>
      <c r="L45" s="655"/>
      <c r="M45" s="655"/>
      <c r="N45" s="646">
        <v>0.10920000000000001</v>
      </c>
      <c r="O45" s="655"/>
      <c r="P45" s="657"/>
      <c r="Q45" s="747">
        <f>0.42+1.75</f>
        <v>2.17</v>
      </c>
      <c r="R45" s="657"/>
      <c r="S45" s="655"/>
      <c r="T45" s="646">
        <f t="shared" si="0"/>
        <v>2.2791999999999999</v>
      </c>
      <c r="U45" s="646">
        <v>2.2799999999999998</v>
      </c>
      <c r="V45" s="746" t="s">
        <v>1738</v>
      </c>
      <c r="W45" s="735"/>
      <c r="X45" s="732"/>
      <c r="Y45" s="732"/>
      <c r="Z45" s="732"/>
      <c r="AA45" s="732"/>
    </row>
    <row r="46" spans="1:27" ht="60">
      <c r="A46" s="736"/>
      <c r="B46" s="736"/>
      <c r="C46" s="736"/>
      <c r="D46" s="644">
        <v>41</v>
      </c>
      <c r="E46" s="644" t="s">
        <v>53</v>
      </c>
      <c r="F46" s="655"/>
      <c r="G46" s="655"/>
      <c r="H46" s="655"/>
      <c r="I46" s="655"/>
      <c r="J46" s="655"/>
      <c r="K46" s="655"/>
      <c r="L46" s="655"/>
      <c r="M46" s="655"/>
      <c r="N46" s="655"/>
      <c r="O46" s="655"/>
      <c r="P46" s="655">
        <v>2.5</v>
      </c>
      <c r="Q46" s="655"/>
      <c r="R46" s="655"/>
      <c r="S46" s="655"/>
      <c r="T46" s="646">
        <f t="shared" si="0"/>
        <v>2.5</v>
      </c>
      <c r="U46" s="646">
        <v>2.5</v>
      </c>
      <c r="V46" s="746" t="s">
        <v>1739</v>
      </c>
      <c r="W46" s="735"/>
      <c r="X46" s="732"/>
      <c r="Y46" s="732"/>
      <c r="Z46" s="732"/>
      <c r="AA46" s="732"/>
    </row>
    <row r="47" spans="1:27" ht="75">
      <c r="A47" s="736"/>
      <c r="B47" s="699" t="s">
        <v>90</v>
      </c>
      <c r="C47" s="699" t="s">
        <v>91</v>
      </c>
      <c r="D47" s="644">
        <v>42</v>
      </c>
      <c r="E47" s="644" t="s">
        <v>92</v>
      </c>
      <c r="F47" s="648">
        <v>3.1379999999999999</v>
      </c>
      <c r="G47" s="645"/>
      <c r="H47" s="645"/>
      <c r="I47" s="647"/>
      <c r="J47" s="645"/>
      <c r="K47" s="645"/>
      <c r="L47" s="645"/>
      <c r="M47" s="645"/>
      <c r="N47" s="686">
        <v>1.1000000000000001</v>
      </c>
      <c r="O47" s="645"/>
      <c r="P47" s="648"/>
      <c r="Q47" s="645"/>
      <c r="R47" s="645"/>
      <c r="S47" s="645"/>
      <c r="T47" s="646">
        <f t="shared" si="0"/>
        <v>4.2379999999999995</v>
      </c>
      <c r="U47" s="646">
        <f t="shared" ref="U47:U50" si="6">T47</f>
        <v>4.2379999999999995</v>
      </c>
      <c r="V47" s="729" t="s">
        <v>1740</v>
      </c>
      <c r="W47" s="735"/>
      <c r="X47" s="732"/>
      <c r="Y47" s="732"/>
      <c r="Z47" s="732"/>
      <c r="AA47" s="732"/>
    </row>
    <row r="48" spans="1:27" ht="75">
      <c r="A48" s="736"/>
      <c r="B48" s="736"/>
      <c r="C48" s="736"/>
      <c r="D48" s="644">
        <v>43</v>
      </c>
      <c r="E48" s="644" t="s">
        <v>93</v>
      </c>
      <c r="F48" s="648">
        <v>0.79200000000000004</v>
      </c>
      <c r="G48" s="645"/>
      <c r="H48" s="645"/>
      <c r="I48" s="647"/>
      <c r="J48" s="645"/>
      <c r="K48" s="645"/>
      <c r="L48" s="645"/>
      <c r="M48" s="645"/>
      <c r="N48" s="686">
        <v>0.34499999999999997</v>
      </c>
      <c r="O48" s="645"/>
      <c r="P48" s="648"/>
      <c r="Q48" s="645"/>
      <c r="R48" s="645"/>
      <c r="S48" s="645"/>
      <c r="T48" s="646">
        <f t="shared" si="0"/>
        <v>1.137</v>
      </c>
      <c r="U48" s="646">
        <f t="shared" si="6"/>
        <v>1.137</v>
      </c>
      <c r="V48" s="729" t="s">
        <v>597</v>
      </c>
      <c r="W48" s="735"/>
      <c r="X48" s="732"/>
      <c r="Y48" s="732"/>
      <c r="Z48" s="732"/>
      <c r="AA48" s="732"/>
    </row>
    <row r="49" spans="1:27" ht="210">
      <c r="A49" s="736"/>
      <c r="B49" s="736"/>
      <c r="C49" s="736"/>
      <c r="D49" s="644">
        <v>44</v>
      </c>
      <c r="E49" s="644" t="s">
        <v>95</v>
      </c>
      <c r="F49" s="648">
        <v>0.89139999999999997</v>
      </c>
      <c r="G49" s="645"/>
      <c r="H49" s="645"/>
      <c r="I49" s="647"/>
      <c r="J49" s="645"/>
      <c r="K49" s="645"/>
      <c r="L49" s="645"/>
      <c r="M49" s="645"/>
      <c r="N49" s="748">
        <v>0.375</v>
      </c>
      <c r="O49" s="648">
        <v>0.34350000000000003</v>
      </c>
      <c r="P49" s="648"/>
      <c r="Q49" s="645"/>
      <c r="R49" s="645"/>
      <c r="S49" s="645"/>
      <c r="T49" s="646">
        <f t="shared" si="0"/>
        <v>1.6099000000000001</v>
      </c>
      <c r="U49" s="646">
        <f t="shared" si="6"/>
        <v>1.6099000000000001</v>
      </c>
      <c r="V49" s="729" t="s">
        <v>1741</v>
      </c>
      <c r="W49" s="735"/>
      <c r="X49" s="732"/>
      <c r="Y49" s="732"/>
      <c r="Z49" s="732"/>
      <c r="AA49" s="732"/>
    </row>
    <row r="50" spans="1:27" ht="45">
      <c r="A50" s="736"/>
      <c r="B50" s="736"/>
      <c r="C50" s="736"/>
      <c r="D50" s="644">
        <v>45</v>
      </c>
      <c r="E50" s="644" t="s">
        <v>96</v>
      </c>
      <c r="F50" s="648">
        <v>0.46100000000000002</v>
      </c>
      <c r="G50" s="645"/>
      <c r="H50" s="645"/>
      <c r="I50" s="645"/>
      <c r="J50" s="645"/>
      <c r="K50" s="645"/>
      <c r="L50" s="645"/>
      <c r="M50" s="645"/>
      <c r="N50" s="647"/>
      <c r="O50" s="648">
        <v>0.46100000000000002</v>
      </c>
      <c r="P50" s="645"/>
      <c r="Q50" s="645"/>
      <c r="R50" s="645"/>
      <c r="S50" s="645"/>
      <c r="T50" s="646">
        <f t="shared" si="0"/>
        <v>0.92200000000000004</v>
      </c>
      <c r="U50" s="646">
        <f t="shared" si="6"/>
        <v>0.92200000000000004</v>
      </c>
      <c r="V50" s="729" t="s">
        <v>982</v>
      </c>
      <c r="W50" s="735"/>
      <c r="X50" s="732"/>
      <c r="Y50" s="732"/>
      <c r="Z50" s="732"/>
      <c r="AA50" s="732"/>
    </row>
    <row r="51" spans="1:27" ht="24.75" customHeight="1">
      <c r="A51" s="736"/>
      <c r="B51" s="736"/>
      <c r="C51" s="736"/>
      <c r="D51" s="644">
        <v>46</v>
      </c>
      <c r="E51" s="644" t="s">
        <v>98</v>
      </c>
      <c r="F51" s="645"/>
      <c r="G51" s="645"/>
      <c r="H51" s="645"/>
      <c r="I51" s="645"/>
      <c r="J51" s="645"/>
      <c r="K51" s="645"/>
      <c r="L51" s="645"/>
      <c r="M51" s="645"/>
      <c r="N51" s="645"/>
      <c r="O51" s="645"/>
      <c r="P51" s="645"/>
      <c r="Q51" s="645"/>
      <c r="R51" s="645"/>
      <c r="S51" s="645"/>
      <c r="T51" s="646">
        <f t="shared" si="0"/>
        <v>0</v>
      </c>
      <c r="U51" s="646">
        <f>T51*10%+T51</f>
        <v>0</v>
      </c>
      <c r="V51" s="729"/>
      <c r="W51" s="735"/>
      <c r="X51" s="732"/>
      <c r="Y51" s="732"/>
      <c r="Z51" s="732"/>
      <c r="AA51" s="732"/>
    </row>
    <row r="52" spans="1:27" ht="30">
      <c r="A52" s="736"/>
      <c r="B52" s="736"/>
      <c r="C52" s="736"/>
      <c r="D52" s="644">
        <v>47</v>
      </c>
      <c r="E52" s="644" t="s">
        <v>99</v>
      </c>
      <c r="F52" s="648">
        <v>1.2</v>
      </c>
      <c r="G52" s="645"/>
      <c r="H52" s="645">
        <v>0</v>
      </c>
      <c r="I52" s="645"/>
      <c r="J52" s="645"/>
      <c r="K52" s="645"/>
      <c r="L52" s="645"/>
      <c r="M52" s="645"/>
      <c r="N52" s="645"/>
      <c r="O52" s="645"/>
      <c r="P52" s="645"/>
      <c r="Q52" s="645"/>
      <c r="R52" s="645"/>
      <c r="S52" s="645"/>
      <c r="T52" s="646">
        <f t="shared" si="0"/>
        <v>1.2</v>
      </c>
      <c r="U52" s="646">
        <f t="shared" ref="U52:U55" si="7">T52</f>
        <v>1.2</v>
      </c>
      <c r="V52" s="729" t="s">
        <v>983</v>
      </c>
      <c r="W52" s="735"/>
      <c r="X52" s="732"/>
      <c r="Y52" s="732"/>
      <c r="Z52" s="732"/>
      <c r="AA52" s="732"/>
    </row>
    <row r="53" spans="1:27" ht="30">
      <c r="A53" s="736"/>
      <c r="B53" s="736"/>
      <c r="C53" s="736"/>
      <c r="D53" s="644">
        <v>48</v>
      </c>
      <c r="E53" s="644" t="s">
        <v>101</v>
      </c>
      <c r="F53" s="645"/>
      <c r="G53" s="645"/>
      <c r="H53" s="645"/>
      <c r="I53" s="645"/>
      <c r="J53" s="645"/>
      <c r="K53" s="645"/>
      <c r="L53" s="645"/>
      <c r="M53" s="645"/>
      <c r="N53" s="646">
        <v>0.28899999999999998</v>
      </c>
      <c r="O53" s="645"/>
      <c r="P53" s="648"/>
      <c r="Q53" s="645">
        <v>0</v>
      </c>
      <c r="R53" s="645"/>
      <c r="S53" s="645"/>
      <c r="T53" s="646">
        <f t="shared" si="0"/>
        <v>0.28899999999999998</v>
      </c>
      <c r="U53" s="646">
        <f t="shared" si="7"/>
        <v>0.28899999999999998</v>
      </c>
      <c r="V53" s="729" t="s">
        <v>102</v>
      </c>
      <c r="W53" s="735"/>
      <c r="X53" s="732"/>
      <c r="Y53" s="732"/>
      <c r="Z53" s="732"/>
      <c r="AA53" s="732"/>
    </row>
    <row r="54" spans="1:27" ht="60">
      <c r="A54" s="736"/>
      <c r="B54" s="736"/>
      <c r="C54" s="736"/>
      <c r="D54" s="644">
        <v>49</v>
      </c>
      <c r="E54" s="644" t="s">
        <v>103</v>
      </c>
      <c r="F54" s="645"/>
      <c r="G54" s="645"/>
      <c r="H54" s="645"/>
      <c r="I54" s="645"/>
      <c r="J54" s="645"/>
      <c r="K54" s="645"/>
      <c r="L54" s="645"/>
      <c r="M54" s="645"/>
      <c r="N54" s="645"/>
      <c r="O54" s="645"/>
      <c r="P54" s="645"/>
      <c r="Q54" s="647">
        <v>1.7</v>
      </c>
      <c r="R54" s="648">
        <v>1</v>
      </c>
      <c r="S54" s="645"/>
      <c r="T54" s="646">
        <f t="shared" si="0"/>
        <v>2.7</v>
      </c>
      <c r="U54" s="646">
        <f t="shared" si="7"/>
        <v>2.7</v>
      </c>
      <c r="V54" s="744" t="s">
        <v>984</v>
      </c>
      <c r="W54" s="735"/>
      <c r="X54" s="732"/>
      <c r="Y54" s="732"/>
      <c r="Z54" s="732"/>
      <c r="AA54" s="732"/>
    </row>
    <row r="55" spans="1:27" ht="105">
      <c r="A55" s="736"/>
      <c r="B55" s="736"/>
      <c r="C55" s="736"/>
      <c r="D55" s="644">
        <v>50</v>
      </c>
      <c r="E55" s="644" t="s">
        <v>105</v>
      </c>
      <c r="F55" s="645"/>
      <c r="G55" s="645"/>
      <c r="H55" s="645"/>
      <c r="I55" s="647"/>
      <c r="J55" s="645"/>
      <c r="K55" s="645">
        <v>0.26</v>
      </c>
      <c r="L55" s="645"/>
      <c r="M55" s="645"/>
      <c r="N55" s="647"/>
      <c r="O55" s="645"/>
      <c r="P55" s="648"/>
      <c r="Q55" s="647">
        <v>6.4</v>
      </c>
      <c r="R55" s="648">
        <v>0.04</v>
      </c>
      <c r="S55" s="645"/>
      <c r="T55" s="646">
        <f t="shared" si="0"/>
        <v>6.7</v>
      </c>
      <c r="U55" s="646">
        <f t="shared" si="7"/>
        <v>6.7</v>
      </c>
      <c r="V55" s="738" t="s">
        <v>985</v>
      </c>
      <c r="W55" s="735"/>
      <c r="X55" s="732"/>
      <c r="Y55" s="732"/>
      <c r="Z55" s="732"/>
      <c r="AA55" s="732"/>
    </row>
    <row r="56" spans="1:27" ht="24.75" customHeight="1">
      <c r="A56" s="736"/>
      <c r="B56" s="736"/>
      <c r="C56" s="736"/>
      <c r="D56" s="644">
        <v>51</v>
      </c>
      <c r="E56" s="644" t="s">
        <v>53</v>
      </c>
      <c r="F56" s="645"/>
      <c r="G56" s="645"/>
      <c r="H56" s="645"/>
      <c r="I56" s="645"/>
      <c r="J56" s="645"/>
      <c r="K56" s="645"/>
      <c r="L56" s="645"/>
      <c r="M56" s="645"/>
      <c r="N56" s="648"/>
      <c r="O56" s="645"/>
      <c r="P56" s="645"/>
      <c r="Q56" s="645"/>
      <c r="R56" s="645"/>
      <c r="S56" s="645"/>
      <c r="T56" s="646">
        <f t="shared" si="0"/>
        <v>0</v>
      </c>
      <c r="U56" s="646">
        <f>T56*10%+T56</f>
        <v>0</v>
      </c>
      <c r="V56" s="729"/>
      <c r="W56" s="735"/>
      <c r="X56" s="732"/>
      <c r="Y56" s="732"/>
      <c r="Z56" s="732"/>
      <c r="AA56" s="732"/>
    </row>
    <row r="57" spans="1:27" ht="270">
      <c r="A57" s="736"/>
      <c r="B57" s="699" t="s">
        <v>107</v>
      </c>
      <c r="C57" s="699" t="s">
        <v>108</v>
      </c>
      <c r="D57" s="644">
        <v>52</v>
      </c>
      <c r="E57" s="644" t="s">
        <v>109</v>
      </c>
      <c r="F57" s="649"/>
      <c r="G57" s="649"/>
      <c r="H57" s="649"/>
      <c r="I57" s="651"/>
      <c r="J57" s="649"/>
      <c r="K57" s="651"/>
      <c r="L57" s="649"/>
      <c r="M57" s="649"/>
      <c r="N57" s="651">
        <v>2</v>
      </c>
      <c r="O57" s="650">
        <v>16.596</v>
      </c>
      <c r="P57" s="649"/>
      <c r="Q57" s="649"/>
      <c r="R57" s="649"/>
      <c r="S57" s="649"/>
      <c r="T57" s="646">
        <f t="shared" si="0"/>
        <v>18.596</v>
      </c>
      <c r="U57" s="658">
        <f>N57+O57</f>
        <v>18.596</v>
      </c>
      <c r="V57" s="746" t="s">
        <v>986</v>
      </c>
      <c r="W57" s="735"/>
      <c r="X57" s="732"/>
      <c r="Y57" s="732"/>
      <c r="Z57" s="732"/>
      <c r="AA57" s="732"/>
    </row>
    <row r="58" spans="1:27" ht="165">
      <c r="A58" s="736"/>
      <c r="B58" s="736"/>
      <c r="C58" s="736"/>
      <c r="D58" s="644">
        <v>53</v>
      </c>
      <c r="E58" s="644" t="s">
        <v>111</v>
      </c>
      <c r="F58" s="649"/>
      <c r="G58" s="649"/>
      <c r="H58" s="649"/>
      <c r="I58" s="649"/>
      <c r="J58" s="649"/>
      <c r="K58" s="651"/>
      <c r="L58" s="649"/>
      <c r="M58" s="649"/>
      <c r="N58" s="651">
        <v>2.5299999999999998</v>
      </c>
      <c r="O58" s="650">
        <v>1.8440000000000001</v>
      </c>
      <c r="P58" s="649"/>
      <c r="Q58" s="650">
        <v>3</v>
      </c>
      <c r="R58" s="649"/>
      <c r="S58" s="649"/>
      <c r="T58" s="646">
        <f t="shared" si="0"/>
        <v>7.3739999999999997</v>
      </c>
      <c r="U58" s="658">
        <f t="shared" ref="U58:U59" si="8">T58</f>
        <v>7.3739999999999997</v>
      </c>
      <c r="V58" s="740" t="s">
        <v>987</v>
      </c>
      <c r="W58" s="735"/>
      <c r="X58" s="732"/>
      <c r="Y58" s="732"/>
      <c r="Z58" s="732"/>
      <c r="AA58" s="732"/>
    </row>
    <row r="59" spans="1:27" ht="90">
      <c r="A59" s="736"/>
      <c r="B59" s="736"/>
      <c r="C59" s="736"/>
      <c r="D59" s="644">
        <v>54</v>
      </c>
      <c r="E59" s="741" t="s">
        <v>113</v>
      </c>
      <c r="F59" s="649"/>
      <c r="G59" s="649"/>
      <c r="H59" s="650"/>
      <c r="I59" s="649"/>
      <c r="J59" s="649"/>
      <c r="K59" s="649"/>
      <c r="L59" s="649"/>
      <c r="M59" s="649"/>
      <c r="N59" s="649"/>
      <c r="O59" s="650">
        <v>0.22500000000000001</v>
      </c>
      <c r="P59" s="650">
        <v>3.5</v>
      </c>
      <c r="Q59" s="649"/>
      <c r="R59" s="649"/>
      <c r="S59" s="649"/>
      <c r="T59" s="646">
        <f t="shared" si="0"/>
        <v>3.7250000000000001</v>
      </c>
      <c r="U59" s="646">
        <f t="shared" si="8"/>
        <v>3.7250000000000001</v>
      </c>
      <c r="V59" s="740" t="s">
        <v>988</v>
      </c>
      <c r="W59" s="735"/>
      <c r="X59" s="732"/>
      <c r="Y59" s="732"/>
      <c r="Z59" s="732"/>
      <c r="AA59" s="732"/>
    </row>
    <row r="60" spans="1:27" ht="24.75" customHeight="1">
      <c r="A60" s="736"/>
      <c r="B60" s="736"/>
      <c r="C60" s="736"/>
      <c r="D60" s="644">
        <v>55</v>
      </c>
      <c r="E60" s="644" t="s">
        <v>114</v>
      </c>
      <c r="F60" s="649"/>
      <c r="G60" s="649"/>
      <c r="H60" s="649"/>
      <c r="I60" s="649"/>
      <c r="J60" s="649"/>
      <c r="K60" s="651"/>
      <c r="L60" s="649"/>
      <c r="M60" s="649"/>
      <c r="N60" s="649"/>
      <c r="O60" s="649"/>
      <c r="P60" s="649"/>
      <c r="Q60" s="649"/>
      <c r="R60" s="649"/>
      <c r="S60" s="649"/>
      <c r="T60" s="646">
        <f t="shared" si="0"/>
        <v>0</v>
      </c>
      <c r="U60" s="646">
        <f>T60*10%+T60</f>
        <v>0</v>
      </c>
      <c r="V60" s="744"/>
      <c r="W60" s="735"/>
      <c r="X60" s="732"/>
      <c r="Y60" s="732"/>
      <c r="Z60" s="732"/>
      <c r="AA60" s="732"/>
    </row>
    <row r="61" spans="1:27" ht="90">
      <c r="A61" s="736"/>
      <c r="B61" s="736"/>
      <c r="C61" s="736"/>
      <c r="D61" s="644">
        <v>56</v>
      </c>
      <c r="E61" s="644" t="s">
        <v>115</v>
      </c>
      <c r="F61" s="649"/>
      <c r="G61" s="649"/>
      <c r="H61" s="649"/>
      <c r="I61" s="649"/>
      <c r="J61" s="649"/>
      <c r="K61" s="649"/>
      <c r="L61" s="649"/>
      <c r="M61" s="649"/>
      <c r="N61" s="649"/>
      <c r="O61" s="650">
        <v>3.69</v>
      </c>
      <c r="P61" s="649"/>
      <c r="Q61" s="649">
        <v>0.5</v>
      </c>
      <c r="R61" s="649"/>
      <c r="S61" s="649"/>
      <c r="T61" s="646">
        <f t="shared" si="0"/>
        <v>4.1899999999999995</v>
      </c>
      <c r="U61" s="646">
        <f>T61</f>
        <v>4.1899999999999995</v>
      </c>
      <c r="V61" s="746" t="s">
        <v>989</v>
      </c>
      <c r="W61" s="735"/>
      <c r="X61" s="732"/>
      <c r="Y61" s="732"/>
      <c r="Z61" s="732"/>
      <c r="AA61" s="732"/>
    </row>
    <row r="62" spans="1:27" ht="44.45" customHeight="1">
      <c r="A62" s="736"/>
      <c r="B62" s="736"/>
      <c r="C62" s="736"/>
      <c r="D62" s="644">
        <v>57</v>
      </c>
      <c r="E62" s="644" t="s">
        <v>116</v>
      </c>
      <c r="F62" s="649"/>
      <c r="G62" s="649"/>
      <c r="H62" s="650"/>
      <c r="I62" s="649"/>
      <c r="J62" s="649"/>
      <c r="K62" s="649"/>
      <c r="L62" s="649"/>
      <c r="M62" s="651">
        <v>1.05</v>
      </c>
      <c r="N62" s="649"/>
      <c r="O62" s="649"/>
      <c r="P62" s="649"/>
      <c r="Q62" s="649"/>
      <c r="R62" s="649"/>
      <c r="S62" s="649"/>
      <c r="T62" s="646">
        <f t="shared" si="0"/>
        <v>1.05</v>
      </c>
      <c r="U62" s="646">
        <f>M62</f>
        <v>1.05</v>
      </c>
      <c r="V62" s="740" t="s">
        <v>1731</v>
      </c>
      <c r="W62" s="735"/>
      <c r="X62" s="732"/>
      <c r="Y62" s="732"/>
      <c r="Z62" s="732"/>
      <c r="AA62" s="732"/>
    </row>
    <row r="63" spans="1:27" ht="90">
      <c r="A63" s="736"/>
      <c r="B63" s="736"/>
      <c r="C63" s="736"/>
      <c r="D63" s="644">
        <v>58</v>
      </c>
      <c r="E63" s="644" t="s">
        <v>117</v>
      </c>
      <c r="F63" s="649"/>
      <c r="G63" s="649"/>
      <c r="H63" s="649"/>
      <c r="I63" s="649"/>
      <c r="J63" s="649"/>
      <c r="K63" s="651"/>
      <c r="L63" s="649"/>
      <c r="M63" s="649"/>
      <c r="N63" s="649"/>
      <c r="O63" s="659">
        <v>0.92200000000000004</v>
      </c>
      <c r="P63" s="649"/>
      <c r="Q63" s="650">
        <v>0.75</v>
      </c>
      <c r="R63" s="649"/>
      <c r="S63" s="649"/>
      <c r="T63" s="646">
        <f t="shared" si="0"/>
        <v>1.6720000000000002</v>
      </c>
      <c r="U63" s="646">
        <f>T63</f>
        <v>1.6720000000000002</v>
      </c>
      <c r="V63" s="740" t="s">
        <v>990</v>
      </c>
      <c r="W63" s="735"/>
      <c r="X63" s="732"/>
      <c r="Y63" s="732"/>
      <c r="Z63" s="732"/>
      <c r="AA63" s="732"/>
    </row>
    <row r="64" spans="1:27" ht="24.75" customHeight="1">
      <c r="A64" s="736"/>
      <c r="B64" s="736"/>
      <c r="C64" s="736"/>
      <c r="D64" s="644">
        <v>59</v>
      </c>
      <c r="E64" s="644" t="s">
        <v>119</v>
      </c>
      <c r="F64" s="649"/>
      <c r="G64" s="649"/>
      <c r="H64" s="649"/>
      <c r="I64" s="649"/>
      <c r="J64" s="649"/>
      <c r="K64" s="649"/>
      <c r="L64" s="649"/>
      <c r="M64" s="649"/>
      <c r="N64" s="649"/>
      <c r="O64" s="649"/>
      <c r="P64" s="649"/>
      <c r="Q64" s="649"/>
      <c r="R64" s="649"/>
      <c r="S64" s="649"/>
      <c r="T64" s="646">
        <f t="shared" si="0"/>
        <v>0</v>
      </c>
      <c r="U64" s="646">
        <f t="shared" ref="U64:U66" si="9">T64*10%+T64</f>
        <v>0</v>
      </c>
      <c r="V64" s="729"/>
      <c r="W64" s="735"/>
      <c r="X64" s="732"/>
      <c r="Y64" s="732"/>
      <c r="Z64" s="732"/>
      <c r="AA64" s="732"/>
    </row>
    <row r="65" spans="1:27" ht="24.75" customHeight="1">
      <c r="A65" s="736"/>
      <c r="B65" s="736"/>
      <c r="C65" s="736"/>
      <c r="D65" s="644">
        <v>60</v>
      </c>
      <c r="E65" s="644" t="s">
        <v>120</v>
      </c>
      <c r="F65" s="649"/>
      <c r="G65" s="649"/>
      <c r="H65" s="649"/>
      <c r="I65" s="649"/>
      <c r="J65" s="649"/>
      <c r="K65" s="649"/>
      <c r="L65" s="649"/>
      <c r="M65" s="649"/>
      <c r="N65" s="649"/>
      <c r="O65" s="649"/>
      <c r="P65" s="649"/>
      <c r="Q65" s="649"/>
      <c r="R65" s="649"/>
      <c r="S65" s="649"/>
      <c r="T65" s="646">
        <f t="shared" si="0"/>
        <v>0</v>
      </c>
      <c r="U65" s="646">
        <f t="shared" si="9"/>
        <v>0</v>
      </c>
      <c r="V65" s="729"/>
      <c r="W65" s="735"/>
      <c r="X65" s="732"/>
      <c r="Y65" s="732"/>
      <c r="Z65" s="732"/>
      <c r="AA65" s="732"/>
    </row>
    <row r="66" spans="1:27" ht="24.75" customHeight="1">
      <c r="A66" s="736"/>
      <c r="B66" s="736"/>
      <c r="C66" s="736"/>
      <c r="D66" s="644">
        <v>61</v>
      </c>
      <c r="E66" s="644" t="s">
        <v>53</v>
      </c>
      <c r="F66" s="649"/>
      <c r="G66" s="649"/>
      <c r="H66" s="649"/>
      <c r="I66" s="649"/>
      <c r="J66" s="649"/>
      <c r="K66" s="649"/>
      <c r="L66" s="649"/>
      <c r="M66" s="649"/>
      <c r="N66" s="649"/>
      <c r="O66" s="649"/>
      <c r="P66" s="649"/>
      <c r="Q66" s="649"/>
      <c r="R66" s="649"/>
      <c r="S66" s="649"/>
      <c r="T66" s="646">
        <f t="shared" si="0"/>
        <v>0</v>
      </c>
      <c r="U66" s="646">
        <f t="shared" si="9"/>
        <v>0</v>
      </c>
      <c r="V66" s="729"/>
      <c r="W66" s="735"/>
      <c r="X66" s="732"/>
      <c r="Y66" s="732"/>
      <c r="Z66" s="732"/>
      <c r="AA66" s="732"/>
    </row>
    <row r="67" spans="1:27" ht="83.25" customHeight="1">
      <c r="A67" s="736"/>
      <c r="B67" s="644" t="s">
        <v>121</v>
      </c>
      <c r="C67" s="644" t="s">
        <v>122</v>
      </c>
      <c r="D67" s="644">
        <v>62</v>
      </c>
      <c r="E67" s="644" t="s">
        <v>123</v>
      </c>
      <c r="F67" s="645"/>
      <c r="G67" s="645"/>
      <c r="H67" s="645"/>
      <c r="I67" s="645"/>
      <c r="J67" s="645"/>
      <c r="K67" s="645"/>
      <c r="L67" s="645"/>
      <c r="M67" s="647"/>
      <c r="N67" s="645"/>
      <c r="O67" s="648">
        <v>0.5</v>
      </c>
      <c r="P67" s="648"/>
      <c r="Q67" s="647"/>
      <c r="R67" s="645"/>
      <c r="S67" s="648"/>
      <c r="T67" s="646">
        <f t="shared" si="0"/>
        <v>0.5</v>
      </c>
      <c r="U67" s="646">
        <f>T67</f>
        <v>0.5</v>
      </c>
      <c r="V67" s="749" t="s">
        <v>660</v>
      </c>
      <c r="W67" s="735"/>
      <c r="X67" s="732"/>
      <c r="Y67" s="732"/>
      <c r="Z67" s="732"/>
      <c r="AA67" s="732"/>
    </row>
    <row r="68" spans="1:27" ht="24.75" customHeight="1">
      <c r="A68" s="736"/>
      <c r="B68" s="701" t="s">
        <v>125</v>
      </c>
      <c r="C68" s="736"/>
      <c r="D68" s="736"/>
      <c r="E68" s="660"/>
      <c r="F68" s="660">
        <f t="shared" ref="F68:S68" si="10">SUM(F6:F67)</f>
        <v>33.772399999999998</v>
      </c>
      <c r="G68" s="660">
        <f t="shared" si="10"/>
        <v>0</v>
      </c>
      <c r="H68" s="660">
        <f t="shared" si="10"/>
        <v>0</v>
      </c>
      <c r="I68" s="660">
        <f t="shared" si="10"/>
        <v>4.17746</v>
      </c>
      <c r="J68" s="660">
        <f t="shared" si="10"/>
        <v>0</v>
      </c>
      <c r="K68" s="660">
        <f t="shared" si="10"/>
        <v>28.854000000000003</v>
      </c>
      <c r="L68" s="660">
        <f t="shared" si="10"/>
        <v>0</v>
      </c>
      <c r="M68" s="660">
        <f t="shared" si="10"/>
        <v>11.124000000000001</v>
      </c>
      <c r="N68" s="660">
        <f t="shared" si="10"/>
        <v>36.775199999999998</v>
      </c>
      <c r="O68" s="660">
        <f t="shared" si="10"/>
        <v>103.6103</v>
      </c>
      <c r="P68" s="660">
        <f t="shared" si="10"/>
        <v>251.29652000000002</v>
      </c>
      <c r="Q68" s="660">
        <f t="shared" si="10"/>
        <v>34.650000000000006</v>
      </c>
      <c r="R68" s="660">
        <f t="shared" si="10"/>
        <v>8.8274999999999988</v>
      </c>
      <c r="S68" s="660">
        <f t="shared" si="10"/>
        <v>1.73</v>
      </c>
      <c r="T68" s="660">
        <f t="shared" si="0"/>
        <v>514.81737999999996</v>
      </c>
      <c r="U68" s="660">
        <f>SUM(U6:U67)</f>
        <v>513.01121999999998</v>
      </c>
      <c r="V68" s="729"/>
      <c r="W68" s="735"/>
      <c r="X68" s="732"/>
      <c r="Y68" s="732"/>
      <c r="Z68" s="732"/>
      <c r="AA68" s="732"/>
    </row>
    <row r="69" spans="1:27" ht="59.45" customHeight="1">
      <c r="A69" s="700" t="s">
        <v>126</v>
      </c>
      <c r="B69" s="644" t="s">
        <v>127</v>
      </c>
      <c r="C69" s="644" t="s">
        <v>128</v>
      </c>
      <c r="D69" s="644">
        <v>63</v>
      </c>
      <c r="E69" s="644" t="s">
        <v>129</v>
      </c>
      <c r="F69" s="645"/>
      <c r="G69" s="645"/>
      <c r="H69" s="645"/>
      <c r="I69" s="645"/>
      <c r="J69" s="645"/>
      <c r="K69" s="645"/>
      <c r="L69" s="645"/>
      <c r="M69" s="648"/>
      <c r="N69" s="647">
        <v>6.25</v>
      </c>
      <c r="O69" s="645"/>
      <c r="P69" s="647"/>
      <c r="Q69" s="645"/>
      <c r="R69" s="648">
        <v>3.75</v>
      </c>
      <c r="S69" s="648">
        <v>2</v>
      </c>
      <c r="T69" s="646">
        <f t="shared" si="0"/>
        <v>12</v>
      </c>
      <c r="U69" s="646">
        <f t="shared" ref="U69:U73" si="11">T69</f>
        <v>12</v>
      </c>
      <c r="V69" s="749" t="s">
        <v>991</v>
      </c>
      <c r="W69" s="750" t="s">
        <v>991</v>
      </c>
      <c r="X69" s="732"/>
      <c r="Y69" s="732"/>
      <c r="Z69" s="732"/>
      <c r="AA69" s="732"/>
    </row>
    <row r="70" spans="1:27" ht="90">
      <c r="A70" s="736"/>
      <c r="B70" s="699" t="s">
        <v>131</v>
      </c>
      <c r="C70" s="699" t="s">
        <v>132</v>
      </c>
      <c r="D70" s="644">
        <v>64</v>
      </c>
      <c r="E70" s="644" t="s">
        <v>133</v>
      </c>
      <c r="F70" s="663"/>
      <c r="G70" s="663"/>
      <c r="H70" s="671"/>
      <c r="I70" s="751">
        <v>0.84</v>
      </c>
      <c r="J70" s="663"/>
      <c r="K70" s="751"/>
      <c r="L70" s="752"/>
      <c r="M70" s="752"/>
      <c r="N70" s="753">
        <v>1.1000000000000001</v>
      </c>
      <c r="O70" s="754"/>
      <c r="P70" s="753">
        <v>0.69</v>
      </c>
      <c r="Q70" s="753">
        <v>0.59</v>
      </c>
      <c r="R70" s="755">
        <v>2.1</v>
      </c>
      <c r="S70" s="670"/>
      <c r="T70" s="646">
        <f t="shared" si="0"/>
        <v>5.32</v>
      </c>
      <c r="U70" s="646">
        <f t="shared" si="11"/>
        <v>5.32</v>
      </c>
      <c r="V70" s="729" t="s">
        <v>992</v>
      </c>
      <c r="W70" s="750" t="s">
        <v>993</v>
      </c>
      <c r="X70" s="732"/>
      <c r="Y70" s="732"/>
      <c r="Z70" s="732"/>
      <c r="AA70" s="732"/>
    </row>
    <row r="71" spans="1:27" ht="45">
      <c r="A71" s="736"/>
      <c r="B71" s="736"/>
      <c r="C71" s="736"/>
      <c r="D71" s="644">
        <v>65</v>
      </c>
      <c r="E71" s="644" t="s">
        <v>135</v>
      </c>
      <c r="F71" s="663"/>
      <c r="G71" s="663"/>
      <c r="H71" s="663"/>
      <c r="I71" s="663"/>
      <c r="J71" s="663"/>
      <c r="K71" s="663"/>
      <c r="L71" s="663"/>
      <c r="M71" s="663"/>
      <c r="N71" s="756"/>
      <c r="O71" s="663"/>
      <c r="P71" s="670">
        <v>0.45</v>
      </c>
      <c r="Q71" s="757"/>
      <c r="R71" s="663"/>
      <c r="S71" s="670"/>
      <c r="T71" s="646">
        <f t="shared" si="0"/>
        <v>0.45</v>
      </c>
      <c r="U71" s="646">
        <f t="shared" si="11"/>
        <v>0.45</v>
      </c>
      <c r="V71" s="729" t="s">
        <v>136</v>
      </c>
      <c r="W71" s="750" t="s">
        <v>136</v>
      </c>
      <c r="X71" s="732"/>
      <c r="Y71" s="732"/>
      <c r="Z71" s="732"/>
      <c r="AA71" s="732"/>
    </row>
    <row r="72" spans="1:27" ht="75">
      <c r="A72" s="736"/>
      <c r="B72" s="736"/>
      <c r="C72" s="736"/>
      <c r="D72" s="644">
        <v>66</v>
      </c>
      <c r="E72" s="644" t="s">
        <v>137</v>
      </c>
      <c r="F72" s="663"/>
      <c r="G72" s="663"/>
      <c r="H72" s="663"/>
      <c r="I72" s="663"/>
      <c r="J72" s="663"/>
      <c r="K72" s="751">
        <v>0</v>
      </c>
      <c r="L72" s="663"/>
      <c r="M72" s="663"/>
      <c r="N72" s="669">
        <v>0.2</v>
      </c>
      <c r="O72" s="663"/>
      <c r="P72" s="670">
        <v>0.09</v>
      </c>
      <c r="Q72" s="669">
        <v>0.05</v>
      </c>
      <c r="R72" s="758">
        <v>0.15</v>
      </c>
      <c r="S72" s="663"/>
      <c r="T72" s="646">
        <f t="shared" si="0"/>
        <v>0.49</v>
      </c>
      <c r="U72" s="646">
        <f t="shared" si="11"/>
        <v>0.49</v>
      </c>
      <c r="V72" s="729" t="s">
        <v>545</v>
      </c>
      <c r="W72" s="750" t="s">
        <v>138</v>
      </c>
      <c r="X72" s="732"/>
      <c r="Y72" s="732"/>
      <c r="Z72" s="732"/>
      <c r="AA72" s="732"/>
    </row>
    <row r="73" spans="1:27" ht="90">
      <c r="A73" s="736"/>
      <c r="B73" s="736"/>
      <c r="C73" s="736"/>
      <c r="D73" s="644">
        <v>67</v>
      </c>
      <c r="E73" s="644" t="s">
        <v>139</v>
      </c>
      <c r="F73" s="663"/>
      <c r="G73" s="663"/>
      <c r="H73" s="663"/>
      <c r="I73" s="759"/>
      <c r="J73" s="760"/>
      <c r="K73" s="761"/>
      <c r="L73" s="760"/>
      <c r="M73" s="760"/>
      <c r="N73" s="753">
        <v>0.4</v>
      </c>
      <c r="O73" s="759">
        <v>0.88</v>
      </c>
      <c r="P73" s="755">
        <v>17.87</v>
      </c>
      <c r="Q73" s="753">
        <v>0.5</v>
      </c>
      <c r="R73" s="755">
        <v>2.5</v>
      </c>
      <c r="S73" s="755">
        <v>2</v>
      </c>
      <c r="T73" s="646">
        <f t="shared" si="0"/>
        <v>24.150000000000002</v>
      </c>
      <c r="U73" s="646">
        <f t="shared" si="11"/>
        <v>24.150000000000002</v>
      </c>
      <c r="V73" s="729" t="s">
        <v>994</v>
      </c>
      <c r="W73" s="750" t="s">
        <v>994</v>
      </c>
      <c r="X73" s="732"/>
      <c r="Y73" s="732"/>
      <c r="Z73" s="732"/>
      <c r="AA73" s="732"/>
    </row>
    <row r="74" spans="1:27" ht="75">
      <c r="A74" s="736"/>
      <c r="B74" s="736"/>
      <c r="C74" s="736"/>
      <c r="D74" s="644">
        <v>68</v>
      </c>
      <c r="E74" s="644" t="s">
        <v>141</v>
      </c>
      <c r="F74" s="671"/>
      <c r="G74" s="663"/>
      <c r="H74" s="663"/>
      <c r="I74" s="756"/>
      <c r="J74" s="663"/>
      <c r="K74" s="761"/>
      <c r="L74" s="760"/>
      <c r="M74" s="760"/>
      <c r="N74" s="753">
        <v>0.4</v>
      </c>
      <c r="O74" s="762"/>
      <c r="P74" s="755">
        <v>0.1</v>
      </c>
      <c r="Q74" s="753">
        <v>0.5</v>
      </c>
      <c r="R74" s="755"/>
      <c r="S74" s="755">
        <v>0.55000000000000004</v>
      </c>
      <c r="T74" s="646">
        <f t="shared" si="0"/>
        <v>1.55</v>
      </c>
      <c r="U74" s="646">
        <f>T74-0.55</f>
        <v>1</v>
      </c>
      <c r="V74" s="729" t="s">
        <v>995</v>
      </c>
      <c r="W74" s="750" t="s">
        <v>996</v>
      </c>
      <c r="X74" s="732"/>
      <c r="Y74" s="732"/>
      <c r="Z74" s="732"/>
      <c r="AA74" s="732"/>
    </row>
    <row r="75" spans="1:27" ht="360">
      <c r="A75" s="736"/>
      <c r="B75" s="699" t="s">
        <v>143</v>
      </c>
      <c r="C75" s="699" t="s">
        <v>144</v>
      </c>
      <c r="D75" s="644">
        <v>69</v>
      </c>
      <c r="E75" s="644" t="s">
        <v>145</v>
      </c>
      <c r="F75" s="763"/>
      <c r="G75" s="763"/>
      <c r="H75" s="763"/>
      <c r="I75" s="763"/>
      <c r="J75" s="763"/>
      <c r="K75" s="763"/>
      <c r="L75" s="763"/>
      <c r="M75" s="682">
        <v>0.68</v>
      </c>
      <c r="N75" s="763"/>
      <c r="O75" s="682">
        <v>23.643000000000001</v>
      </c>
      <c r="P75" s="682">
        <v>0.6</v>
      </c>
      <c r="Q75" s="763"/>
      <c r="R75" s="763"/>
      <c r="S75" s="763"/>
      <c r="T75" s="646">
        <f t="shared" si="0"/>
        <v>24.923000000000002</v>
      </c>
      <c r="U75" s="658">
        <v>24.923000000000002</v>
      </c>
      <c r="V75" s="749" t="s">
        <v>997</v>
      </c>
      <c r="W75" s="531" t="s">
        <v>997</v>
      </c>
      <c r="X75" s="732"/>
      <c r="Y75" s="732"/>
      <c r="Z75" s="732"/>
      <c r="AA75" s="732"/>
    </row>
    <row r="76" spans="1:27" ht="180">
      <c r="A76" s="736"/>
      <c r="B76" s="736"/>
      <c r="C76" s="736"/>
      <c r="D76" s="644">
        <v>70</v>
      </c>
      <c r="E76" s="644" t="s">
        <v>147</v>
      </c>
      <c r="F76" s="763"/>
      <c r="G76" s="763"/>
      <c r="H76" s="763"/>
      <c r="I76" s="764">
        <v>0.108</v>
      </c>
      <c r="J76" s="763"/>
      <c r="K76" s="763"/>
      <c r="L76" s="763"/>
      <c r="M76" s="763"/>
      <c r="N76" s="763"/>
      <c r="O76" s="763"/>
      <c r="P76" s="682">
        <v>1.1000000000000001</v>
      </c>
      <c r="Q76" s="763"/>
      <c r="R76" s="763"/>
      <c r="S76" s="763"/>
      <c r="T76" s="646">
        <f t="shared" si="0"/>
        <v>1.2080000000000002</v>
      </c>
      <c r="U76" s="658">
        <v>1.2080000000000002</v>
      </c>
      <c r="V76" s="749" t="s">
        <v>998</v>
      </c>
      <c r="W76" s="531" t="s">
        <v>998</v>
      </c>
      <c r="X76" s="732"/>
      <c r="Y76" s="732"/>
      <c r="Z76" s="732"/>
      <c r="AA76" s="732"/>
    </row>
    <row r="77" spans="1:27" ht="39.75" customHeight="1">
      <c r="A77" s="736"/>
      <c r="B77" s="736"/>
      <c r="C77" s="736"/>
      <c r="D77" s="644">
        <v>71</v>
      </c>
      <c r="E77" s="644" t="s">
        <v>149</v>
      </c>
      <c r="F77" s="763"/>
      <c r="G77" s="763"/>
      <c r="H77" s="763"/>
      <c r="I77" s="763"/>
      <c r="J77" s="763"/>
      <c r="K77" s="763"/>
      <c r="L77" s="763"/>
      <c r="M77" s="763"/>
      <c r="N77" s="763"/>
      <c r="O77" s="763"/>
      <c r="P77" s="763"/>
      <c r="Q77" s="763"/>
      <c r="R77" s="763"/>
      <c r="S77" s="763"/>
      <c r="T77" s="646">
        <f t="shared" si="0"/>
        <v>0</v>
      </c>
      <c r="U77" s="658">
        <v>0</v>
      </c>
      <c r="V77" s="482"/>
      <c r="W77" s="531"/>
      <c r="X77" s="732"/>
      <c r="Y77" s="732"/>
      <c r="Z77" s="732"/>
      <c r="AA77" s="732"/>
    </row>
    <row r="78" spans="1:27" ht="409.5">
      <c r="A78" s="736"/>
      <c r="B78" s="736"/>
      <c r="C78" s="736"/>
      <c r="D78" s="644">
        <v>72</v>
      </c>
      <c r="E78" s="644" t="s">
        <v>150</v>
      </c>
      <c r="F78" s="763"/>
      <c r="G78" s="763"/>
      <c r="H78" s="763"/>
      <c r="I78" s="763"/>
      <c r="J78" s="763"/>
      <c r="K78" s="763"/>
      <c r="L78" s="763"/>
      <c r="M78" s="763"/>
      <c r="N78" s="682">
        <v>2.169</v>
      </c>
      <c r="O78" s="763"/>
      <c r="P78" s="763"/>
      <c r="Q78" s="682">
        <v>1.6907000000000001</v>
      </c>
      <c r="R78" s="682">
        <v>2.4218999999999999</v>
      </c>
      <c r="S78" s="763"/>
      <c r="T78" s="646">
        <f t="shared" si="0"/>
        <v>6.2816000000000001</v>
      </c>
      <c r="U78" s="658">
        <v>6.2816000000000001</v>
      </c>
      <c r="V78" s="749" t="s">
        <v>999</v>
      </c>
      <c r="W78" s="531" t="s">
        <v>1000</v>
      </c>
      <c r="X78" s="732"/>
      <c r="Y78" s="732"/>
      <c r="Z78" s="732"/>
      <c r="AA78" s="732"/>
    </row>
    <row r="79" spans="1:27" ht="409.5">
      <c r="A79" s="736"/>
      <c r="B79" s="699" t="s">
        <v>152</v>
      </c>
      <c r="C79" s="699" t="s">
        <v>153</v>
      </c>
      <c r="D79" s="644">
        <v>73</v>
      </c>
      <c r="E79" s="644" t="s">
        <v>154</v>
      </c>
      <c r="F79" s="765">
        <v>1.51</v>
      </c>
      <c r="G79" s="765">
        <v>2.5</v>
      </c>
      <c r="H79" s="766"/>
      <c r="I79" s="766">
        <v>8.4</v>
      </c>
      <c r="J79" s="767"/>
      <c r="K79" s="766"/>
      <c r="L79" s="767">
        <v>2.2000000000000002</v>
      </c>
      <c r="M79" s="766">
        <v>7.5</v>
      </c>
      <c r="N79" s="766">
        <v>5.2</v>
      </c>
      <c r="O79" s="766"/>
      <c r="P79" s="766">
        <v>3</v>
      </c>
      <c r="Q79" s="767"/>
      <c r="R79" s="766">
        <v>11.9</v>
      </c>
      <c r="S79" s="766">
        <v>0.5</v>
      </c>
      <c r="T79" s="646">
        <f t="shared" si="0"/>
        <v>42.71</v>
      </c>
      <c r="U79" s="646">
        <v>42</v>
      </c>
      <c r="V79" s="744" t="s">
        <v>1001</v>
      </c>
      <c r="W79" s="735"/>
      <c r="X79" s="732"/>
      <c r="Y79" s="732"/>
      <c r="Z79" s="732"/>
      <c r="AA79" s="732"/>
    </row>
    <row r="80" spans="1:27" ht="120">
      <c r="A80" s="736"/>
      <c r="B80" s="736"/>
      <c r="C80" s="736"/>
      <c r="D80" s="644">
        <v>74</v>
      </c>
      <c r="E80" s="644" t="s">
        <v>155</v>
      </c>
      <c r="F80" s="766">
        <v>26</v>
      </c>
      <c r="G80" s="766"/>
      <c r="H80" s="767"/>
      <c r="I80" s="767"/>
      <c r="J80" s="767"/>
      <c r="K80" s="767"/>
      <c r="L80" s="767"/>
      <c r="M80" s="767"/>
      <c r="N80" s="767"/>
      <c r="O80" s="767"/>
      <c r="P80" s="767"/>
      <c r="Q80" s="767"/>
      <c r="R80" s="767"/>
      <c r="S80" s="767"/>
      <c r="T80" s="646">
        <f t="shared" si="0"/>
        <v>26</v>
      </c>
      <c r="U80" s="646">
        <v>33.799999999999997</v>
      </c>
      <c r="V80" s="744" t="s">
        <v>1002</v>
      </c>
      <c r="W80" s="735"/>
      <c r="X80" s="732"/>
      <c r="Y80" s="732"/>
      <c r="Z80" s="732"/>
      <c r="AA80" s="732"/>
    </row>
    <row r="81" spans="1:27" ht="195">
      <c r="A81" s="736"/>
      <c r="B81" s="736"/>
      <c r="C81" s="736"/>
      <c r="D81" s="644">
        <v>75</v>
      </c>
      <c r="E81" s="644" t="s">
        <v>157</v>
      </c>
      <c r="F81" s="766">
        <v>1.03</v>
      </c>
      <c r="G81" s="766"/>
      <c r="H81" s="767"/>
      <c r="I81" s="767"/>
      <c r="J81" s="767"/>
      <c r="K81" s="767"/>
      <c r="L81" s="767"/>
      <c r="M81" s="767"/>
      <c r="N81" s="767"/>
      <c r="O81" s="767"/>
      <c r="P81" s="766">
        <v>2.5</v>
      </c>
      <c r="Q81" s="767"/>
      <c r="R81" s="767"/>
      <c r="S81" s="767"/>
      <c r="T81" s="646">
        <f t="shared" si="0"/>
        <v>3.5300000000000002</v>
      </c>
      <c r="U81" s="646">
        <v>6.4</v>
      </c>
      <c r="V81" s="744" t="s">
        <v>1003</v>
      </c>
      <c r="W81" s="735"/>
      <c r="X81" s="732"/>
      <c r="Y81" s="732"/>
      <c r="Z81" s="732"/>
      <c r="AA81" s="732"/>
    </row>
    <row r="82" spans="1:27" ht="90">
      <c r="A82" s="736"/>
      <c r="B82" s="736"/>
      <c r="C82" s="736"/>
      <c r="D82" s="644">
        <v>76</v>
      </c>
      <c r="E82" s="644" t="s">
        <v>159</v>
      </c>
      <c r="F82" s="767"/>
      <c r="G82" s="767"/>
      <c r="H82" s="767"/>
      <c r="I82" s="767"/>
      <c r="J82" s="767"/>
      <c r="K82" s="766"/>
      <c r="L82" s="767"/>
      <c r="M82" s="766">
        <v>1.6</v>
      </c>
      <c r="N82" s="767"/>
      <c r="O82" s="767"/>
      <c r="P82" s="767"/>
      <c r="Q82" s="767"/>
      <c r="R82" s="767"/>
      <c r="S82" s="767"/>
      <c r="T82" s="646">
        <f t="shared" si="0"/>
        <v>1.6</v>
      </c>
      <c r="U82" s="646">
        <v>2.1</v>
      </c>
      <c r="V82" s="744" t="s">
        <v>488</v>
      </c>
      <c r="W82" s="735"/>
      <c r="X82" s="732"/>
      <c r="Y82" s="732"/>
      <c r="Z82" s="732"/>
      <c r="AA82" s="732"/>
    </row>
    <row r="83" spans="1:27" ht="409.5">
      <c r="A83" s="736"/>
      <c r="B83" s="736"/>
      <c r="C83" s="736"/>
      <c r="D83" s="644">
        <v>77</v>
      </c>
      <c r="E83" s="644" t="s">
        <v>161</v>
      </c>
      <c r="F83" s="766">
        <v>1</v>
      </c>
      <c r="G83" s="766">
        <v>1.5</v>
      </c>
      <c r="H83" s="766"/>
      <c r="I83" s="766">
        <v>2</v>
      </c>
      <c r="J83" s="767"/>
      <c r="K83" s="766"/>
      <c r="L83" s="767">
        <v>1.1000000000000001</v>
      </c>
      <c r="M83" s="766"/>
      <c r="N83" s="766">
        <v>0.4</v>
      </c>
      <c r="O83" s="767"/>
      <c r="P83" s="767"/>
      <c r="Q83" s="767"/>
      <c r="R83" s="767"/>
      <c r="S83" s="766">
        <v>0.5</v>
      </c>
      <c r="T83" s="646">
        <f t="shared" si="0"/>
        <v>6.5</v>
      </c>
      <c r="U83" s="646">
        <v>8.9</v>
      </c>
      <c r="V83" s="744" t="s">
        <v>1004</v>
      </c>
      <c r="W83" s="735"/>
      <c r="X83" s="732"/>
      <c r="Y83" s="732"/>
      <c r="Z83" s="732"/>
      <c r="AA83" s="732"/>
    </row>
    <row r="84" spans="1:27" ht="165">
      <c r="A84" s="736"/>
      <c r="B84" s="736"/>
      <c r="C84" s="736"/>
      <c r="D84" s="644">
        <v>78</v>
      </c>
      <c r="E84" s="644" t="s">
        <v>163</v>
      </c>
      <c r="F84" s="767"/>
      <c r="G84" s="767"/>
      <c r="H84" s="767"/>
      <c r="I84" s="767"/>
      <c r="J84" s="767"/>
      <c r="K84" s="767"/>
      <c r="L84" s="767"/>
      <c r="M84" s="767"/>
      <c r="N84" s="767"/>
      <c r="O84" s="767"/>
      <c r="P84" s="767"/>
      <c r="Q84" s="766">
        <v>8</v>
      </c>
      <c r="R84" s="767"/>
      <c r="S84" s="767"/>
      <c r="T84" s="646">
        <f t="shared" si="0"/>
        <v>8</v>
      </c>
      <c r="U84" s="646">
        <v>8</v>
      </c>
      <c r="V84" s="744" t="s">
        <v>1005</v>
      </c>
      <c r="W84" s="735"/>
      <c r="X84" s="732"/>
      <c r="Y84" s="732"/>
      <c r="Z84" s="732"/>
      <c r="AA84" s="732"/>
    </row>
    <row r="85" spans="1:27" ht="39.75" customHeight="1">
      <c r="A85" s="736"/>
      <c r="B85" s="736"/>
      <c r="C85" s="736"/>
      <c r="D85" s="644">
        <v>79</v>
      </c>
      <c r="E85" s="644" t="s">
        <v>53</v>
      </c>
      <c r="F85" s="767"/>
      <c r="G85" s="767"/>
      <c r="H85" s="767"/>
      <c r="I85" s="767"/>
      <c r="J85" s="767"/>
      <c r="K85" s="767"/>
      <c r="L85" s="767"/>
      <c r="M85" s="767"/>
      <c r="N85" s="767"/>
      <c r="O85" s="767"/>
      <c r="P85" s="767"/>
      <c r="Q85" s="767"/>
      <c r="R85" s="767"/>
      <c r="S85" s="767"/>
      <c r="T85" s="646">
        <f t="shared" si="0"/>
        <v>0</v>
      </c>
      <c r="U85" s="646"/>
      <c r="V85" s="768"/>
      <c r="W85" s="735"/>
      <c r="X85" s="732"/>
      <c r="Y85" s="732"/>
      <c r="Z85" s="732"/>
      <c r="AA85" s="732"/>
    </row>
    <row r="86" spans="1:27" ht="120">
      <c r="A86" s="736"/>
      <c r="B86" s="699" t="s">
        <v>165</v>
      </c>
      <c r="C86" s="699" t="s">
        <v>166</v>
      </c>
      <c r="D86" s="644">
        <v>80</v>
      </c>
      <c r="E86" s="644" t="s">
        <v>167</v>
      </c>
      <c r="F86" s="645"/>
      <c r="G86" s="645"/>
      <c r="H86" s="645"/>
      <c r="I86" s="645"/>
      <c r="J86" s="645"/>
      <c r="K86" s="769"/>
      <c r="L86" s="645"/>
      <c r="M86" s="747"/>
      <c r="N86" s="655"/>
      <c r="O86" s="655"/>
      <c r="P86" s="657">
        <v>2.4</v>
      </c>
      <c r="Q86" s="747">
        <v>1</v>
      </c>
      <c r="R86" s="657"/>
      <c r="S86" s="655"/>
      <c r="T86" s="646">
        <f t="shared" si="0"/>
        <v>3.4</v>
      </c>
      <c r="U86" s="646">
        <v>3.4</v>
      </c>
      <c r="V86" s="770" t="s">
        <v>1742</v>
      </c>
      <c r="W86" s="735"/>
      <c r="X86" s="732"/>
      <c r="Y86" s="732"/>
      <c r="Z86" s="732"/>
      <c r="AA86" s="732"/>
    </row>
    <row r="87" spans="1:27" ht="30">
      <c r="A87" s="736"/>
      <c r="B87" s="736"/>
      <c r="C87" s="736"/>
      <c r="D87" s="644">
        <v>81</v>
      </c>
      <c r="E87" s="644" t="s">
        <v>168</v>
      </c>
      <c r="F87" s="645"/>
      <c r="G87" s="645"/>
      <c r="H87" s="645"/>
      <c r="I87" s="645"/>
      <c r="J87" s="645"/>
      <c r="K87" s="645"/>
      <c r="L87" s="645"/>
      <c r="M87" s="747"/>
      <c r="N87" s="747">
        <v>0</v>
      </c>
      <c r="O87" s="655"/>
      <c r="P87" s="657">
        <v>0.1</v>
      </c>
      <c r="Q87" s="657"/>
      <c r="R87" s="655"/>
      <c r="S87" s="655"/>
      <c r="T87" s="646">
        <f t="shared" si="0"/>
        <v>0.1</v>
      </c>
      <c r="U87" s="646">
        <v>0.1</v>
      </c>
      <c r="V87" s="770" t="s">
        <v>169</v>
      </c>
      <c r="W87" s="735"/>
      <c r="X87" s="732"/>
      <c r="Y87" s="732"/>
      <c r="Z87" s="732"/>
      <c r="AA87" s="732"/>
    </row>
    <row r="88" spans="1:27" ht="39.75" customHeight="1">
      <c r="A88" s="736"/>
      <c r="B88" s="736"/>
      <c r="C88" s="736"/>
      <c r="D88" s="644">
        <v>82</v>
      </c>
      <c r="E88" s="644" t="s">
        <v>170</v>
      </c>
      <c r="F88" s="645"/>
      <c r="G88" s="645"/>
      <c r="H88" s="645"/>
      <c r="I88" s="645"/>
      <c r="J88" s="645"/>
      <c r="K88" s="645"/>
      <c r="L88" s="645"/>
      <c r="M88" s="655"/>
      <c r="N88" s="655"/>
      <c r="O88" s="655"/>
      <c r="P88" s="657"/>
      <c r="Q88" s="655"/>
      <c r="R88" s="655"/>
      <c r="S88" s="655"/>
      <c r="T88" s="646">
        <f t="shared" si="0"/>
        <v>0</v>
      </c>
      <c r="U88" s="646"/>
      <c r="V88" s="687"/>
      <c r="W88" s="735"/>
      <c r="X88" s="732"/>
      <c r="Y88" s="732"/>
      <c r="Z88" s="732"/>
      <c r="AA88" s="732"/>
    </row>
    <row r="89" spans="1:27" ht="210">
      <c r="A89" s="736"/>
      <c r="B89" s="736"/>
      <c r="C89" s="736"/>
      <c r="D89" s="644">
        <v>83</v>
      </c>
      <c r="E89" s="644" t="s">
        <v>172</v>
      </c>
      <c r="F89" s="645"/>
      <c r="G89" s="645"/>
      <c r="H89" s="645"/>
      <c r="I89" s="645"/>
      <c r="J89" s="645"/>
      <c r="K89" s="747">
        <v>0.5</v>
      </c>
      <c r="L89" s="645"/>
      <c r="M89" s="657"/>
      <c r="N89" s="747"/>
      <c r="O89" s="655"/>
      <c r="P89" s="657">
        <v>1</v>
      </c>
      <c r="Q89" s="747"/>
      <c r="R89" s="657"/>
      <c r="S89" s="655"/>
      <c r="T89" s="646">
        <f t="shared" si="0"/>
        <v>1.5</v>
      </c>
      <c r="U89" s="646">
        <v>1.5</v>
      </c>
      <c r="V89" s="770" t="s">
        <v>1743</v>
      </c>
      <c r="W89" s="735"/>
      <c r="X89" s="732"/>
      <c r="Y89" s="732"/>
      <c r="Z89" s="732"/>
      <c r="AA89" s="732"/>
    </row>
    <row r="90" spans="1:27" ht="116.25" customHeight="1">
      <c r="A90" s="736"/>
      <c r="B90" s="644" t="s">
        <v>173</v>
      </c>
      <c r="C90" s="644" t="s">
        <v>174</v>
      </c>
      <c r="D90" s="644">
        <v>84</v>
      </c>
      <c r="E90" s="644" t="s">
        <v>175</v>
      </c>
      <c r="F90" s="645"/>
      <c r="G90" s="645"/>
      <c r="H90" s="645"/>
      <c r="I90" s="647"/>
      <c r="J90" s="645"/>
      <c r="K90" s="647"/>
      <c r="L90" s="645"/>
      <c r="M90" s="645"/>
      <c r="N90" s="747">
        <v>1</v>
      </c>
      <c r="O90" s="655"/>
      <c r="P90" s="655"/>
      <c r="Q90" s="747">
        <v>1.5</v>
      </c>
      <c r="R90" s="657">
        <v>0.5</v>
      </c>
      <c r="S90" s="655"/>
      <c r="T90" s="646">
        <f t="shared" si="0"/>
        <v>3</v>
      </c>
      <c r="U90" s="646">
        <v>3</v>
      </c>
      <c r="V90" s="729" t="s">
        <v>1744</v>
      </c>
      <c r="W90" s="735"/>
      <c r="X90" s="732"/>
      <c r="Y90" s="732"/>
      <c r="Z90" s="732"/>
      <c r="AA90" s="732"/>
    </row>
    <row r="91" spans="1:27" ht="39.75" customHeight="1">
      <c r="A91" s="736"/>
      <c r="B91" s="644" t="s">
        <v>176</v>
      </c>
      <c r="C91" s="644" t="s">
        <v>177</v>
      </c>
      <c r="D91" s="644">
        <v>85</v>
      </c>
      <c r="E91" s="644" t="s">
        <v>178</v>
      </c>
      <c r="F91" s="655"/>
      <c r="G91" s="655"/>
      <c r="H91" s="655"/>
      <c r="I91" s="655"/>
      <c r="J91" s="655"/>
      <c r="K91" s="747"/>
      <c r="L91" s="655"/>
      <c r="M91" s="655"/>
      <c r="N91" s="747">
        <v>0.5</v>
      </c>
      <c r="O91" s="655"/>
      <c r="P91" s="655"/>
      <c r="Q91" s="747">
        <v>1</v>
      </c>
      <c r="R91" s="657"/>
      <c r="S91" s="655"/>
      <c r="T91" s="646">
        <f t="shared" si="0"/>
        <v>1.5</v>
      </c>
      <c r="U91" s="646">
        <v>1.5</v>
      </c>
      <c r="V91" s="729" t="s">
        <v>424</v>
      </c>
      <c r="W91" s="735"/>
      <c r="X91" s="732"/>
      <c r="Y91" s="732"/>
      <c r="Z91" s="732"/>
      <c r="AA91" s="732"/>
    </row>
    <row r="92" spans="1:27" ht="39.75" customHeight="1">
      <c r="A92" s="736"/>
      <c r="B92" s="644" t="s">
        <v>180</v>
      </c>
      <c r="C92" s="644" t="s">
        <v>53</v>
      </c>
      <c r="D92" s="644">
        <v>86</v>
      </c>
      <c r="E92" s="644" t="s">
        <v>181</v>
      </c>
      <c r="F92" s="645"/>
      <c r="G92" s="645"/>
      <c r="H92" s="645"/>
      <c r="I92" s="645"/>
      <c r="J92" s="645"/>
      <c r="K92" s="645"/>
      <c r="L92" s="645"/>
      <c r="M92" s="645"/>
      <c r="N92" s="645"/>
      <c r="O92" s="645"/>
      <c r="P92" s="645"/>
      <c r="Q92" s="645"/>
      <c r="R92" s="645"/>
      <c r="S92" s="645"/>
      <c r="T92" s="646">
        <f t="shared" si="0"/>
        <v>0</v>
      </c>
      <c r="U92" s="646"/>
      <c r="V92" s="729"/>
      <c r="W92" s="735"/>
      <c r="X92" s="732"/>
      <c r="Y92" s="732"/>
      <c r="Z92" s="732"/>
      <c r="AA92" s="732"/>
    </row>
    <row r="93" spans="1:27" ht="39.75" customHeight="1">
      <c r="A93" s="736"/>
      <c r="B93" s="701" t="s">
        <v>182</v>
      </c>
      <c r="C93" s="736"/>
      <c r="D93" s="736"/>
      <c r="E93" s="660"/>
      <c r="F93" s="660">
        <f t="shared" ref="F93:S93" si="12">SUM(F69:F92)</f>
        <v>29.540000000000003</v>
      </c>
      <c r="G93" s="660">
        <f t="shared" si="12"/>
        <v>4</v>
      </c>
      <c r="H93" s="660">
        <f t="shared" si="12"/>
        <v>0</v>
      </c>
      <c r="I93" s="660">
        <f t="shared" si="12"/>
        <v>11.348000000000001</v>
      </c>
      <c r="J93" s="660">
        <f t="shared" si="12"/>
        <v>0</v>
      </c>
      <c r="K93" s="660">
        <f t="shared" si="12"/>
        <v>0.5</v>
      </c>
      <c r="L93" s="660">
        <f t="shared" si="12"/>
        <v>3.3000000000000003</v>
      </c>
      <c r="M93" s="667">
        <f t="shared" si="12"/>
        <v>9.7799999999999994</v>
      </c>
      <c r="N93" s="668">
        <f t="shared" si="12"/>
        <v>17.619</v>
      </c>
      <c r="O93" s="660">
        <f t="shared" si="12"/>
        <v>24.523</v>
      </c>
      <c r="P93" s="668">
        <f t="shared" si="12"/>
        <v>29.900000000000006</v>
      </c>
      <c r="Q93" s="660">
        <f t="shared" si="12"/>
        <v>14.8307</v>
      </c>
      <c r="R93" s="667">
        <f t="shared" si="12"/>
        <v>23.321899999999999</v>
      </c>
      <c r="S93" s="667">
        <f t="shared" si="12"/>
        <v>5.55</v>
      </c>
      <c r="T93" s="660">
        <f t="shared" si="0"/>
        <v>174.21260000000001</v>
      </c>
      <c r="U93" s="668">
        <f>SUM(U69:U92)</f>
        <v>186.52259999999998</v>
      </c>
      <c r="V93" s="729"/>
      <c r="W93" s="735"/>
      <c r="X93" s="732"/>
      <c r="Y93" s="732"/>
      <c r="Z93" s="732"/>
      <c r="AA93" s="732"/>
    </row>
    <row r="94" spans="1:27" ht="39.75" customHeight="1">
      <c r="A94" s="700" t="s">
        <v>183</v>
      </c>
      <c r="B94" s="699" t="s">
        <v>184</v>
      </c>
      <c r="C94" s="699" t="s">
        <v>185</v>
      </c>
      <c r="D94" s="644">
        <v>87</v>
      </c>
      <c r="E94" s="644" t="s">
        <v>186</v>
      </c>
      <c r="F94" s="663"/>
      <c r="G94" s="663"/>
      <c r="H94" s="663"/>
      <c r="I94" s="663"/>
      <c r="J94" s="663"/>
      <c r="K94" s="669">
        <v>4</v>
      </c>
      <c r="L94" s="663"/>
      <c r="M94" s="663"/>
      <c r="N94" s="663"/>
      <c r="O94" s="663"/>
      <c r="P94" s="663"/>
      <c r="Q94" s="663"/>
      <c r="R94" s="663"/>
      <c r="S94" s="663"/>
      <c r="T94" s="646">
        <f t="shared" si="0"/>
        <v>4</v>
      </c>
      <c r="U94" s="669">
        <v>0</v>
      </c>
      <c r="V94" s="738" t="s">
        <v>1006</v>
      </c>
      <c r="W94" s="532"/>
      <c r="X94" s="732"/>
      <c r="Y94" s="732"/>
      <c r="Z94" s="732"/>
      <c r="AA94" s="732"/>
    </row>
    <row r="95" spans="1:27" ht="39.75" customHeight="1">
      <c r="A95" s="736"/>
      <c r="B95" s="736"/>
      <c r="C95" s="736"/>
      <c r="D95" s="644">
        <v>88</v>
      </c>
      <c r="E95" s="644" t="s">
        <v>188</v>
      </c>
      <c r="F95" s="663"/>
      <c r="G95" s="663"/>
      <c r="H95" s="663"/>
      <c r="I95" s="663"/>
      <c r="J95" s="663"/>
      <c r="K95" s="663"/>
      <c r="L95" s="663"/>
      <c r="M95" s="663"/>
      <c r="N95" s="663"/>
      <c r="O95" s="663"/>
      <c r="P95" s="670">
        <v>5</v>
      </c>
      <c r="Q95" s="663"/>
      <c r="R95" s="663"/>
      <c r="S95" s="663"/>
      <c r="T95" s="646">
        <f t="shared" si="0"/>
        <v>5</v>
      </c>
      <c r="U95" s="669">
        <v>5</v>
      </c>
      <c r="V95" s="483" t="s">
        <v>780</v>
      </c>
      <c r="W95" s="533" t="s">
        <v>780</v>
      </c>
      <c r="X95" s="732"/>
      <c r="Y95" s="732"/>
      <c r="Z95" s="732"/>
      <c r="AA95" s="732"/>
    </row>
    <row r="96" spans="1:27" ht="39.75" customHeight="1">
      <c r="A96" s="736"/>
      <c r="B96" s="736"/>
      <c r="C96" s="736"/>
      <c r="D96" s="644">
        <v>89</v>
      </c>
      <c r="E96" s="644" t="s">
        <v>190</v>
      </c>
      <c r="F96" s="663"/>
      <c r="G96" s="663"/>
      <c r="H96" s="663"/>
      <c r="I96" s="663"/>
      <c r="J96" s="663"/>
      <c r="K96" s="663"/>
      <c r="L96" s="663"/>
      <c r="M96" s="663"/>
      <c r="N96" s="663"/>
      <c r="O96" s="663"/>
      <c r="P96" s="663"/>
      <c r="Q96" s="663"/>
      <c r="R96" s="663"/>
      <c r="S96" s="663"/>
      <c r="T96" s="646">
        <f t="shared" si="0"/>
        <v>0</v>
      </c>
      <c r="U96" s="669">
        <v>0</v>
      </c>
      <c r="V96" s="483"/>
      <c r="W96" s="533"/>
      <c r="X96" s="732"/>
      <c r="Y96" s="732"/>
      <c r="Z96" s="732"/>
      <c r="AA96" s="732"/>
    </row>
    <row r="97" spans="1:27" ht="39.75" customHeight="1">
      <c r="A97" s="736"/>
      <c r="B97" s="736"/>
      <c r="C97" s="736"/>
      <c r="D97" s="644">
        <v>90</v>
      </c>
      <c r="E97" s="644" t="s">
        <v>191</v>
      </c>
      <c r="F97" s="663"/>
      <c r="G97" s="663"/>
      <c r="H97" s="663"/>
      <c r="I97" s="663"/>
      <c r="J97" s="663"/>
      <c r="K97" s="663"/>
      <c r="L97" s="663"/>
      <c r="M97" s="663"/>
      <c r="N97" s="663"/>
      <c r="O97" s="663"/>
      <c r="P97" s="671"/>
      <c r="Q97" s="663"/>
      <c r="R97" s="663"/>
      <c r="S97" s="663"/>
      <c r="T97" s="646">
        <f t="shared" si="0"/>
        <v>0</v>
      </c>
      <c r="U97" s="669">
        <v>0</v>
      </c>
      <c r="V97" s="483"/>
      <c r="W97" s="533"/>
      <c r="X97" s="732"/>
      <c r="Y97" s="732"/>
      <c r="Z97" s="732"/>
      <c r="AA97" s="732"/>
    </row>
    <row r="98" spans="1:27" ht="39.75" customHeight="1">
      <c r="A98" s="736"/>
      <c r="B98" s="736"/>
      <c r="C98" s="736"/>
      <c r="D98" s="644">
        <v>91</v>
      </c>
      <c r="E98" s="644" t="s">
        <v>192</v>
      </c>
      <c r="F98" s="663"/>
      <c r="G98" s="663"/>
      <c r="H98" s="663"/>
      <c r="I98" s="663"/>
      <c r="J98" s="663"/>
      <c r="K98" s="669">
        <v>0</v>
      </c>
      <c r="L98" s="663"/>
      <c r="M98" s="663"/>
      <c r="N98" s="663"/>
      <c r="O98" s="663"/>
      <c r="P98" s="670">
        <v>0</v>
      </c>
      <c r="Q98" s="663"/>
      <c r="R98" s="663"/>
      <c r="S98" s="663"/>
      <c r="T98" s="646">
        <f t="shared" si="0"/>
        <v>0</v>
      </c>
      <c r="U98" s="669">
        <v>0</v>
      </c>
      <c r="V98" s="484"/>
      <c r="W98" s="534"/>
      <c r="X98" s="732"/>
      <c r="Y98" s="732"/>
      <c r="Z98" s="732"/>
      <c r="AA98" s="732"/>
    </row>
    <row r="99" spans="1:27" ht="39.75" customHeight="1">
      <c r="A99" s="736"/>
      <c r="B99" s="736"/>
      <c r="C99" s="736"/>
      <c r="D99" s="644">
        <v>92</v>
      </c>
      <c r="E99" s="644" t="s">
        <v>193</v>
      </c>
      <c r="F99" s="663"/>
      <c r="G99" s="663"/>
      <c r="H99" s="663"/>
      <c r="I99" s="663"/>
      <c r="J99" s="663"/>
      <c r="K99" s="663"/>
      <c r="L99" s="663"/>
      <c r="M99" s="663"/>
      <c r="N99" s="663"/>
      <c r="O99" s="663"/>
      <c r="P99" s="670">
        <v>2</v>
      </c>
      <c r="Q99" s="663"/>
      <c r="R99" s="663"/>
      <c r="S99" s="663"/>
      <c r="T99" s="646">
        <f t="shared" si="0"/>
        <v>2</v>
      </c>
      <c r="U99" s="669">
        <v>2</v>
      </c>
      <c r="V99" s="484" t="s">
        <v>622</v>
      </c>
      <c r="W99" s="534" t="s">
        <v>622</v>
      </c>
      <c r="X99" s="732"/>
      <c r="Y99" s="732"/>
      <c r="Z99" s="732"/>
      <c r="AA99" s="732"/>
    </row>
    <row r="100" spans="1:27" ht="39.75" customHeight="1">
      <c r="A100" s="736"/>
      <c r="B100" s="736"/>
      <c r="C100" s="736"/>
      <c r="D100" s="644">
        <v>93</v>
      </c>
      <c r="E100" s="644" t="s">
        <v>195</v>
      </c>
      <c r="F100" s="663"/>
      <c r="G100" s="663"/>
      <c r="H100" s="663"/>
      <c r="I100" s="671"/>
      <c r="J100" s="663"/>
      <c r="K100" s="663"/>
      <c r="L100" s="663"/>
      <c r="M100" s="663"/>
      <c r="N100" s="663"/>
      <c r="O100" s="663"/>
      <c r="P100" s="663"/>
      <c r="Q100" s="663"/>
      <c r="R100" s="663"/>
      <c r="S100" s="663"/>
      <c r="T100" s="646">
        <f t="shared" si="0"/>
        <v>0</v>
      </c>
      <c r="U100" s="669">
        <v>0</v>
      </c>
      <c r="V100" s="484"/>
      <c r="W100" s="534"/>
      <c r="X100" s="732"/>
      <c r="Y100" s="732"/>
      <c r="Z100" s="732"/>
      <c r="AA100" s="732"/>
    </row>
    <row r="101" spans="1:27" ht="39.75" customHeight="1">
      <c r="A101" s="736"/>
      <c r="B101" s="736"/>
      <c r="C101" s="736"/>
      <c r="D101" s="644">
        <v>94</v>
      </c>
      <c r="E101" s="644" t="s">
        <v>196</v>
      </c>
      <c r="F101" s="663"/>
      <c r="G101" s="663"/>
      <c r="H101" s="663"/>
      <c r="I101" s="671"/>
      <c r="J101" s="663"/>
      <c r="K101" s="663"/>
      <c r="L101" s="663"/>
      <c r="M101" s="663"/>
      <c r="N101" s="663"/>
      <c r="O101" s="663"/>
      <c r="P101" s="663"/>
      <c r="Q101" s="663"/>
      <c r="R101" s="663"/>
      <c r="S101" s="663"/>
      <c r="T101" s="646">
        <f t="shared" si="0"/>
        <v>0</v>
      </c>
      <c r="U101" s="669">
        <v>0</v>
      </c>
      <c r="V101" s="484"/>
      <c r="W101" s="534"/>
      <c r="X101" s="732"/>
      <c r="Y101" s="732"/>
      <c r="Z101" s="732"/>
      <c r="AA101" s="732"/>
    </row>
    <row r="102" spans="1:27" ht="39.75" customHeight="1">
      <c r="A102" s="736"/>
      <c r="B102" s="736"/>
      <c r="C102" s="736"/>
      <c r="D102" s="644">
        <v>95</v>
      </c>
      <c r="E102" s="644" t="s">
        <v>197</v>
      </c>
      <c r="F102" s="663"/>
      <c r="G102" s="663"/>
      <c r="H102" s="671"/>
      <c r="I102" s="669">
        <v>0</v>
      </c>
      <c r="J102" s="663"/>
      <c r="K102" s="663"/>
      <c r="L102" s="663"/>
      <c r="M102" s="663"/>
      <c r="N102" s="663"/>
      <c r="O102" s="663"/>
      <c r="P102" s="663"/>
      <c r="Q102" s="663"/>
      <c r="R102" s="663"/>
      <c r="S102" s="663"/>
      <c r="T102" s="646">
        <f t="shared" si="0"/>
        <v>0</v>
      </c>
      <c r="U102" s="669">
        <v>0</v>
      </c>
      <c r="V102" s="483"/>
      <c r="W102" s="533"/>
      <c r="X102" s="732"/>
      <c r="Y102" s="732"/>
      <c r="Z102" s="732"/>
      <c r="AA102" s="732"/>
    </row>
    <row r="103" spans="1:27" ht="165">
      <c r="A103" s="736"/>
      <c r="B103" s="736"/>
      <c r="C103" s="736"/>
      <c r="D103" s="644">
        <v>96</v>
      </c>
      <c r="E103" s="644" t="s">
        <v>199</v>
      </c>
      <c r="F103" s="663"/>
      <c r="G103" s="663"/>
      <c r="H103" s="663"/>
      <c r="I103" s="663"/>
      <c r="J103" s="663"/>
      <c r="K103" s="663"/>
      <c r="L103" s="663"/>
      <c r="M103" s="663"/>
      <c r="N103" s="669">
        <v>0</v>
      </c>
      <c r="O103" s="663"/>
      <c r="P103" s="664">
        <v>2</v>
      </c>
      <c r="Q103" s="669">
        <v>1</v>
      </c>
      <c r="R103" s="670">
        <v>1</v>
      </c>
      <c r="S103" s="663"/>
      <c r="T103" s="646">
        <f t="shared" si="0"/>
        <v>4</v>
      </c>
      <c r="U103" s="669">
        <v>4</v>
      </c>
      <c r="V103" s="738" t="s">
        <v>200</v>
      </c>
      <c r="W103" s="533" t="s">
        <v>200</v>
      </c>
      <c r="X103" s="732"/>
      <c r="Y103" s="732"/>
      <c r="Z103" s="732"/>
      <c r="AA103" s="732"/>
    </row>
    <row r="104" spans="1:27" ht="240">
      <c r="A104" s="736"/>
      <c r="B104" s="699" t="s">
        <v>201</v>
      </c>
      <c r="C104" s="699" t="s">
        <v>202</v>
      </c>
      <c r="D104" s="644">
        <v>97</v>
      </c>
      <c r="E104" s="644" t="s">
        <v>203</v>
      </c>
      <c r="F104" s="672"/>
      <c r="G104" s="672"/>
      <c r="H104" s="672"/>
      <c r="I104" s="666">
        <v>1</v>
      </c>
      <c r="J104" s="672"/>
      <c r="K104" s="666"/>
      <c r="L104" s="672"/>
      <c r="M104" s="666"/>
      <c r="N104" s="666">
        <v>3.75</v>
      </c>
      <c r="O104" s="672">
        <v>4.2</v>
      </c>
      <c r="P104" s="673">
        <v>14.6</v>
      </c>
      <c r="Q104" s="666">
        <v>2.5</v>
      </c>
      <c r="R104" s="673">
        <v>6</v>
      </c>
      <c r="S104" s="672"/>
      <c r="T104" s="674">
        <v>32.049999999999997</v>
      </c>
      <c r="U104" s="674">
        <v>32.049999999999997</v>
      </c>
      <c r="V104" s="749" t="s">
        <v>204</v>
      </c>
      <c r="W104" s="771"/>
      <c r="X104" s="732"/>
      <c r="Y104" s="732"/>
      <c r="Z104" s="732"/>
      <c r="AA104" s="732"/>
    </row>
    <row r="105" spans="1:27" ht="39.75" customHeight="1">
      <c r="A105" s="736"/>
      <c r="B105" s="736"/>
      <c r="C105" s="736"/>
      <c r="D105" s="644">
        <v>98</v>
      </c>
      <c r="E105" s="644" t="s">
        <v>53</v>
      </c>
      <c r="F105" s="675"/>
      <c r="G105" s="675"/>
      <c r="H105" s="675"/>
      <c r="I105" s="675"/>
      <c r="J105" s="675"/>
      <c r="K105" s="675"/>
      <c r="L105" s="675"/>
      <c r="M105" s="675"/>
      <c r="N105" s="674"/>
      <c r="O105" s="675"/>
      <c r="P105" s="675"/>
      <c r="Q105" s="674"/>
      <c r="R105" s="675"/>
      <c r="S105" s="675"/>
      <c r="T105" s="674">
        <v>0</v>
      </c>
      <c r="U105" s="674">
        <v>0</v>
      </c>
      <c r="V105" s="744"/>
      <c r="W105" s="772"/>
      <c r="X105" s="732"/>
      <c r="Y105" s="732"/>
      <c r="Z105" s="732"/>
      <c r="AA105" s="732"/>
    </row>
    <row r="106" spans="1:27" ht="60">
      <c r="A106" s="736"/>
      <c r="B106" s="699" t="s">
        <v>205</v>
      </c>
      <c r="C106" s="699" t="s">
        <v>206</v>
      </c>
      <c r="D106" s="644">
        <v>99</v>
      </c>
      <c r="E106" s="644" t="s">
        <v>207</v>
      </c>
      <c r="F106" s="675"/>
      <c r="G106" s="675"/>
      <c r="H106" s="676"/>
      <c r="I106" s="674">
        <v>2</v>
      </c>
      <c r="J106" s="675"/>
      <c r="K106" s="674"/>
      <c r="L106" s="675"/>
      <c r="M106" s="675"/>
      <c r="N106" s="674">
        <v>1</v>
      </c>
      <c r="O106" s="675"/>
      <c r="P106" s="675"/>
      <c r="Q106" s="674">
        <v>1</v>
      </c>
      <c r="R106" s="675"/>
      <c r="S106" s="675"/>
      <c r="T106" s="674">
        <v>4</v>
      </c>
      <c r="U106" s="674">
        <v>3</v>
      </c>
      <c r="V106" s="749" t="s">
        <v>625</v>
      </c>
      <c r="W106" s="773" t="s">
        <v>429</v>
      </c>
      <c r="X106" s="732"/>
      <c r="Y106" s="732"/>
      <c r="Z106" s="732"/>
      <c r="AA106" s="732"/>
    </row>
    <row r="107" spans="1:27" ht="39.75" customHeight="1">
      <c r="A107" s="736"/>
      <c r="B107" s="736"/>
      <c r="C107" s="736"/>
      <c r="D107" s="644">
        <v>100</v>
      </c>
      <c r="E107" s="644" t="s">
        <v>209</v>
      </c>
      <c r="F107" s="675"/>
      <c r="G107" s="675"/>
      <c r="H107" s="675"/>
      <c r="I107" s="674"/>
      <c r="J107" s="675"/>
      <c r="K107" s="674"/>
      <c r="L107" s="675"/>
      <c r="M107" s="675"/>
      <c r="N107" s="675"/>
      <c r="O107" s="675"/>
      <c r="P107" s="675"/>
      <c r="Q107" s="675"/>
      <c r="R107" s="675"/>
      <c r="S107" s="675"/>
      <c r="T107" s="674">
        <v>0</v>
      </c>
      <c r="U107" s="674">
        <v>0</v>
      </c>
      <c r="V107" s="749"/>
      <c r="W107" s="772"/>
      <c r="X107" s="732"/>
      <c r="Y107" s="732"/>
      <c r="Z107" s="732"/>
      <c r="AA107" s="732"/>
    </row>
    <row r="108" spans="1:27" ht="39.75" customHeight="1">
      <c r="A108" s="736"/>
      <c r="B108" s="736"/>
      <c r="C108" s="736"/>
      <c r="D108" s="644">
        <v>101</v>
      </c>
      <c r="E108" s="644" t="s">
        <v>210</v>
      </c>
      <c r="F108" s="675"/>
      <c r="G108" s="675"/>
      <c r="H108" s="675"/>
      <c r="I108" s="675"/>
      <c r="J108" s="675"/>
      <c r="K108" s="675"/>
      <c r="L108" s="675"/>
      <c r="M108" s="675"/>
      <c r="N108" s="675"/>
      <c r="O108" s="675"/>
      <c r="P108" s="675"/>
      <c r="Q108" s="675"/>
      <c r="R108" s="675"/>
      <c r="S108" s="675"/>
      <c r="T108" s="674">
        <v>0</v>
      </c>
      <c r="U108" s="674">
        <v>0</v>
      </c>
      <c r="V108" s="744"/>
      <c r="W108" s="772"/>
      <c r="X108" s="732"/>
      <c r="Y108" s="732"/>
      <c r="Z108" s="732"/>
      <c r="AA108" s="732"/>
    </row>
    <row r="109" spans="1:27" ht="39.75" customHeight="1">
      <c r="A109" s="736"/>
      <c r="B109" s="736"/>
      <c r="C109" s="736"/>
      <c r="D109" s="644">
        <v>102</v>
      </c>
      <c r="E109" s="644" t="s">
        <v>211</v>
      </c>
      <c r="F109" s="675"/>
      <c r="G109" s="675"/>
      <c r="H109" s="675"/>
      <c r="I109" s="675"/>
      <c r="J109" s="675"/>
      <c r="K109" s="675"/>
      <c r="L109" s="675"/>
      <c r="M109" s="675"/>
      <c r="N109" s="675"/>
      <c r="O109" s="675"/>
      <c r="P109" s="675"/>
      <c r="Q109" s="674"/>
      <c r="R109" s="675"/>
      <c r="S109" s="675"/>
      <c r="T109" s="674">
        <v>0</v>
      </c>
      <c r="U109" s="674">
        <v>0</v>
      </c>
      <c r="V109" s="744"/>
      <c r="W109" s="772"/>
      <c r="X109" s="732"/>
      <c r="Y109" s="732"/>
      <c r="Z109" s="732"/>
      <c r="AA109" s="732"/>
    </row>
    <row r="110" spans="1:27" ht="45">
      <c r="A110" s="736"/>
      <c r="B110" s="736"/>
      <c r="C110" s="736"/>
      <c r="D110" s="644">
        <v>103</v>
      </c>
      <c r="E110" s="644" t="s">
        <v>53</v>
      </c>
      <c r="F110" s="675"/>
      <c r="G110" s="675"/>
      <c r="H110" s="675"/>
      <c r="I110" s="675"/>
      <c r="J110" s="675"/>
      <c r="K110" s="675"/>
      <c r="L110" s="675"/>
      <c r="M110" s="675"/>
      <c r="N110" s="675"/>
      <c r="O110" s="675"/>
      <c r="P110" s="676">
        <v>2.8</v>
      </c>
      <c r="Q110" s="675"/>
      <c r="R110" s="676">
        <v>0</v>
      </c>
      <c r="S110" s="676"/>
      <c r="T110" s="674">
        <v>2.8</v>
      </c>
      <c r="U110" s="674">
        <v>2.8</v>
      </c>
      <c r="V110" s="749" t="s">
        <v>212</v>
      </c>
      <c r="W110" s="772"/>
      <c r="X110" s="732"/>
      <c r="Y110" s="732"/>
      <c r="Z110" s="732"/>
      <c r="AA110" s="732"/>
    </row>
    <row r="111" spans="1:27" ht="285">
      <c r="A111" s="736"/>
      <c r="B111" s="699" t="s">
        <v>213</v>
      </c>
      <c r="C111" s="699" t="s">
        <v>214</v>
      </c>
      <c r="D111" s="644">
        <v>104</v>
      </c>
      <c r="E111" s="644" t="s">
        <v>215</v>
      </c>
      <c r="F111" s="749"/>
      <c r="G111" s="749"/>
      <c r="H111" s="749"/>
      <c r="I111" s="749"/>
      <c r="J111" s="749"/>
      <c r="K111" s="749"/>
      <c r="L111" s="749"/>
      <c r="M111" s="749"/>
      <c r="N111" s="673">
        <v>0.8</v>
      </c>
      <c r="O111" s="749"/>
      <c r="P111" s="673"/>
      <c r="Q111" s="673">
        <v>1.5</v>
      </c>
      <c r="R111" s="774">
        <v>1.5</v>
      </c>
      <c r="S111" s="774"/>
      <c r="T111" s="674">
        <v>3.8</v>
      </c>
      <c r="U111" s="775">
        <v>3.8</v>
      </c>
      <c r="V111" s="749" t="s">
        <v>1639</v>
      </c>
      <c r="W111" s="772"/>
      <c r="X111" s="732"/>
      <c r="Y111" s="732"/>
      <c r="Z111" s="732"/>
      <c r="AA111" s="732"/>
    </row>
    <row r="112" spans="1:27" ht="75">
      <c r="A112" s="736"/>
      <c r="B112" s="736"/>
      <c r="C112" s="736"/>
      <c r="D112" s="644">
        <v>105</v>
      </c>
      <c r="E112" s="644" t="s">
        <v>216</v>
      </c>
      <c r="F112" s="749"/>
      <c r="G112" s="749"/>
      <c r="H112" s="749"/>
      <c r="I112" s="749"/>
      <c r="J112" s="749"/>
      <c r="K112" s="749"/>
      <c r="L112" s="749"/>
      <c r="M112" s="749"/>
      <c r="N112" s="749"/>
      <c r="O112" s="749"/>
      <c r="P112" s="776">
        <v>2</v>
      </c>
      <c r="Q112" s="749"/>
      <c r="R112" s="749"/>
      <c r="S112" s="749"/>
      <c r="T112" s="674">
        <v>2</v>
      </c>
      <c r="U112" s="775">
        <v>2</v>
      </c>
      <c r="V112" s="744" t="s">
        <v>217</v>
      </c>
      <c r="W112" s="772"/>
      <c r="X112" s="732"/>
      <c r="Y112" s="732"/>
      <c r="Z112" s="732"/>
      <c r="AA112" s="732"/>
    </row>
    <row r="113" spans="1:27" ht="60">
      <c r="A113" s="736"/>
      <c r="B113" s="736"/>
      <c r="C113" s="736"/>
      <c r="D113" s="644">
        <v>106</v>
      </c>
      <c r="E113" s="644" t="s">
        <v>218</v>
      </c>
      <c r="F113" s="749"/>
      <c r="G113" s="749"/>
      <c r="H113" s="749"/>
      <c r="I113" s="666"/>
      <c r="J113" s="749"/>
      <c r="K113" s="777"/>
      <c r="L113" s="749"/>
      <c r="M113" s="749"/>
      <c r="N113" s="778">
        <v>0.2</v>
      </c>
      <c r="O113" s="749"/>
      <c r="P113" s="774"/>
      <c r="Q113" s="777"/>
      <c r="R113" s="774"/>
      <c r="S113" s="774"/>
      <c r="T113" s="674">
        <v>0.2</v>
      </c>
      <c r="U113" s="674">
        <v>0.2</v>
      </c>
      <c r="V113" s="749" t="s">
        <v>219</v>
      </c>
      <c r="W113" s="772"/>
      <c r="X113" s="732"/>
      <c r="Y113" s="732"/>
      <c r="Z113" s="732"/>
      <c r="AA113" s="732"/>
    </row>
    <row r="114" spans="1:27" ht="90">
      <c r="A114" s="736"/>
      <c r="B114" s="699" t="s">
        <v>220</v>
      </c>
      <c r="C114" s="699" t="s">
        <v>221</v>
      </c>
      <c r="D114" s="644">
        <v>107</v>
      </c>
      <c r="E114" s="644" t="s">
        <v>222</v>
      </c>
      <c r="F114" s="675"/>
      <c r="G114" s="675"/>
      <c r="H114" s="675"/>
      <c r="I114" s="674"/>
      <c r="J114" s="675"/>
      <c r="K114" s="674"/>
      <c r="L114" s="675"/>
      <c r="M114" s="675"/>
      <c r="N114" s="674"/>
      <c r="O114" s="675"/>
      <c r="P114" s="673">
        <v>2.5</v>
      </c>
      <c r="Q114" s="672"/>
      <c r="R114" s="673">
        <v>1</v>
      </c>
      <c r="S114" s="675"/>
      <c r="T114" s="674">
        <v>3.5</v>
      </c>
      <c r="U114" s="674">
        <v>3.5</v>
      </c>
      <c r="V114" s="749" t="s">
        <v>223</v>
      </c>
      <c r="W114" s="772"/>
      <c r="X114" s="732"/>
      <c r="Y114" s="732"/>
      <c r="Z114" s="732"/>
      <c r="AA114" s="732"/>
    </row>
    <row r="115" spans="1:27" ht="39.75" customHeight="1">
      <c r="A115" s="736"/>
      <c r="B115" s="736"/>
      <c r="C115" s="736"/>
      <c r="D115" s="644">
        <v>108</v>
      </c>
      <c r="E115" s="644" t="s">
        <v>224</v>
      </c>
      <c r="F115" s="675"/>
      <c r="G115" s="675"/>
      <c r="H115" s="675"/>
      <c r="I115" s="674"/>
      <c r="J115" s="675"/>
      <c r="K115" s="674"/>
      <c r="L115" s="675"/>
      <c r="M115" s="675"/>
      <c r="N115" s="675"/>
      <c r="O115" s="675"/>
      <c r="P115" s="676">
        <v>2.25</v>
      </c>
      <c r="Q115" s="675"/>
      <c r="R115" s="675"/>
      <c r="S115" s="675"/>
      <c r="T115" s="674">
        <v>2.25</v>
      </c>
      <c r="U115" s="674">
        <v>2.25</v>
      </c>
      <c r="V115" s="749" t="s">
        <v>225</v>
      </c>
      <c r="W115" s="772"/>
      <c r="X115" s="732"/>
      <c r="Y115" s="732"/>
      <c r="Z115" s="732"/>
      <c r="AA115" s="732"/>
    </row>
    <row r="116" spans="1:27" ht="39.75" customHeight="1">
      <c r="A116" s="736"/>
      <c r="B116" s="736"/>
      <c r="C116" s="736"/>
      <c r="D116" s="644">
        <v>109</v>
      </c>
      <c r="E116" s="644" t="s">
        <v>226</v>
      </c>
      <c r="F116" s="675"/>
      <c r="G116" s="675"/>
      <c r="H116" s="676"/>
      <c r="I116" s="674"/>
      <c r="J116" s="675"/>
      <c r="K116" s="674"/>
      <c r="L116" s="675"/>
      <c r="M116" s="675"/>
      <c r="N116" s="675"/>
      <c r="O116" s="675"/>
      <c r="P116" s="675"/>
      <c r="Q116" s="675"/>
      <c r="R116" s="675"/>
      <c r="S116" s="675"/>
      <c r="T116" s="674">
        <v>0</v>
      </c>
      <c r="U116" s="674">
        <v>0</v>
      </c>
      <c r="V116" s="744"/>
      <c r="W116" s="772"/>
      <c r="X116" s="732"/>
      <c r="Y116" s="732"/>
      <c r="Z116" s="732"/>
      <c r="AA116" s="732"/>
    </row>
    <row r="117" spans="1:27" ht="150">
      <c r="A117" s="736"/>
      <c r="B117" s="736"/>
      <c r="C117" s="736"/>
      <c r="D117" s="644">
        <v>110</v>
      </c>
      <c r="E117" s="644" t="s">
        <v>227</v>
      </c>
      <c r="F117" s="675"/>
      <c r="G117" s="675"/>
      <c r="H117" s="675"/>
      <c r="I117" s="674"/>
      <c r="J117" s="675"/>
      <c r="K117" s="674"/>
      <c r="L117" s="675"/>
      <c r="M117" s="676"/>
      <c r="N117" s="674">
        <v>3</v>
      </c>
      <c r="O117" s="676">
        <v>23.33</v>
      </c>
      <c r="P117" s="674"/>
      <c r="Q117" s="676">
        <v>4.58</v>
      </c>
      <c r="R117" s="676">
        <v>3</v>
      </c>
      <c r="S117" s="675"/>
      <c r="T117" s="646">
        <f>SUM(F117:S117)</f>
        <v>33.909999999999997</v>
      </c>
      <c r="U117" s="674">
        <f>T117</f>
        <v>33.909999999999997</v>
      </c>
      <c r="V117" s="744" t="s">
        <v>1007</v>
      </c>
      <c r="W117" s="772"/>
      <c r="X117" s="732"/>
      <c r="Y117" s="732"/>
      <c r="Z117" s="732"/>
      <c r="AA117" s="732"/>
    </row>
    <row r="118" spans="1:27" ht="39.75" customHeight="1">
      <c r="A118" s="736"/>
      <c r="B118" s="736"/>
      <c r="C118" s="736"/>
      <c r="D118" s="644">
        <v>111</v>
      </c>
      <c r="E118" s="644" t="s">
        <v>53</v>
      </c>
      <c r="F118" s="675"/>
      <c r="G118" s="675"/>
      <c r="H118" s="675"/>
      <c r="I118" s="676"/>
      <c r="J118" s="675"/>
      <c r="K118" s="676"/>
      <c r="L118" s="675"/>
      <c r="M118" s="675"/>
      <c r="N118" s="675"/>
      <c r="O118" s="675"/>
      <c r="P118" s="676"/>
      <c r="Q118" s="674"/>
      <c r="R118" s="675"/>
      <c r="S118" s="676"/>
      <c r="T118" s="674">
        <v>0</v>
      </c>
      <c r="U118" s="674">
        <v>0</v>
      </c>
      <c r="V118" s="749"/>
      <c r="W118" s="772"/>
      <c r="X118" s="732"/>
      <c r="Y118" s="732"/>
      <c r="Z118" s="732"/>
      <c r="AA118" s="732"/>
    </row>
    <row r="119" spans="1:27" ht="39.75" customHeight="1">
      <c r="A119" s="736"/>
      <c r="B119" s="699" t="s">
        <v>229</v>
      </c>
      <c r="C119" s="699" t="s">
        <v>230</v>
      </c>
      <c r="D119" s="644">
        <v>112</v>
      </c>
      <c r="E119" s="644" t="s">
        <v>231</v>
      </c>
      <c r="F119" s="675"/>
      <c r="G119" s="675"/>
      <c r="H119" s="675"/>
      <c r="I119" s="674"/>
      <c r="J119" s="675"/>
      <c r="K119" s="674"/>
      <c r="L119" s="675"/>
      <c r="M119" s="674"/>
      <c r="N119" s="675"/>
      <c r="O119" s="675"/>
      <c r="P119" s="675"/>
      <c r="Q119" s="674"/>
      <c r="R119" s="675"/>
      <c r="S119" s="675"/>
      <c r="T119" s="674">
        <v>0</v>
      </c>
      <c r="U119" s="674">
        <v>0</v>
      </c>
      <c r="V119" s="744"/>
      <c r="W119" s="772"/>
      <c r="X119" s="732"/>
      <c r="Y119" s="732"/>
      <c r="Z119" s="732"/>
      <c r="AA119" s="732"/>
    </row>
    <row r="120" spans="1:27" ht="39.75" customHeight="1">
      <c r="A120" s="736"/>
      <c r="B120" s="736"/>
      <c r="C120" s="736"/>
      <c r="D120" s="644">
        <v>113</v>
      </c>
      <c r="E120" s="644" t="s">
        <v>232</v>
      </c>
      <c r="F120" s="672"/>
      <c r="G120" s="672"/>
      <c r="H120" s="672"/>
      <c r="I120" s="666"/>
      <c r="J120" s="672"/>
      <c r="K120" s="666"/>
      <c r="L120" s="672"/>
      <c r="M120" s="666"/>
      <c r="N120" s="666">
        <v>0.5</v>
      </c>
      <c r="O120" s="672"/>
      <c r="P120" s="672"/>
      <c r="Q120" s="666">
        <v>0.3</v>
      </c>
      <c r="R120" s="672"/>
      <c r="S120" s="672"/>
      <c r="T120" s="674">
        <v>0.8</v>
      </c>
      <c r="U120" s="674">
        <v>0.8</v>
      </c>
      <c r="V120" s="749" t="s">
        <v>627</v>
      </c>
      <c r="W120" s="772"/>
      <c r="X120" s="732"/>
      <c r="Y120" s="732"/>
      <c r="Z120" s="732"/>
      <c r="AA120" s="732"/>
    </row>
    <row r="121" spans="1:27" ht="94.9" customHeight="1">
      <c r="A121" s="736"/>
      <c r="B121" s="644" t="s">
        <v>234</v>
      </c>
      <c r="C121" s="644" t="s">
        <v>235</v>
      </c>
      <c r="D121" s="644">
        <v>114</v>
      </c>
      <c r="E121" s="644" t="s">
        <v>236</v>
      </c>
      <c r="F121" s="675"/>
      <c r="G121" s="675"/>
      <c r="H121" s="675">
        <v>5</v>
      </c>
      <c r="I121" s="675">
        <v>0.14000000000000001</v>
      </c>
      <c r="J121" s="675"/>
      <c r="K121" s="675"/>
      <c r="L121" s="675"/>
      <c r="M121" s="675"/>
      <c r="N121" s="676">
        <v>0.5</v>
      </c>
      <c r="O121" s="675"/>
      <c r="P121" s="676">
        <v>14.9</v>
      </c>
      <c r="Q121" s="674">
        <v>0.5</v>
      </c>
      <c r="R121" s="676">
        <v>0.5</v>
      </c>
      <c r="S121" s="676"/>
      <c r="T121" s="674">
        <v>21.54</v>
      </c>
      <c r="U121" s="674">
        <v>21.54</v>
      </c>
      <c r="V121" s="779" t="s">
        <v>497</v>
      </c>
      <c r="W121" s="772"/>
      <c r="X121" s="732"/>
      <c r="Y121" s="732"/>
      <c r="Z121" s="732"/>
      <c r="AA121" s="732"/>
    </row>
    <row r="122" spans="1:27" ht="39.75" customHeight="1">
      <c r="A122" s="736"/>
      <c r="B122" s="699" t="s">
        <v>238</v>
      </c>
      <c r="C122" s="699" t="s">
        <v>239</v>
      </c>
      <c r="D122" s="644">
        <v>115</v>
      </c>
      <c r="E122" s="644" t="s">
        <v>240</v>
      </c>
      <c r="F122" s="675"/>
      <c r="G122" s="675"/>
      <c r="H122" s="675"/>
      <c r="I122" s="675"/>
      <c r="J122" s="675"/>
      <c r="K122" s="675"/>
      <c r="L122" s="675"/>
      <c r="M122" s="674">
        <v>2</v>
      </c>
      <c r="N122" s="675"/>
      <c r="O122" s="675"/>
      <c r="P122" s="675"/>
      <c r="Q122" s="675">
        <v>6.9</v>
      </c>
      <c r="R122" s="675"/>
      <c r="S122" s="675"/>
      <c r="T122" s="674">
        <v>8.9</v>
      </c>
      <c r="U122" s="674">
        <v>8.9</v>
      </c>
      <c r="V122" s="749" t="s">
        <v>498</v>
      </c>
      <c r="W122" s="772"/>
      <c r="X122" s="732"/>
      <c r="Y122" s="732"/>
      <c r="Z122" s="732"/>
      <c r="AA122" s="732"/>
    </row>
    <row r="123" spans="1:27" ht="39.75" customHeight="1">
      <c r="A123" s="736"/>
      <c r="B123" s="736"/>
      <c r="C123" s="736"/>
      <c r="D123" s="644">
        <v>116</v>
      </c>
      <c r="E123" s="644" t="s">
        <v>242</v>
      </c>
      <c r="F123" s="675"/>
      <c r="G123" s="675"/>
      <c r="H123" s="675"/>
      <c r="I123" s="675"/>
      <c r="J123" s="675"/>
      <c r="K123" s="675"/>
      <c r="L123" s="675"/>
      <c r="M123" s="674">
        <v>6.95</v>
      </c>
      <c r="N123" s="675"/>
      <c r="O123" s="675"/>
      <c r="P123" s="675"/>
      <c r="Q123" s="674"/>
      <c r="R123" s="675"/>
      <c r="S123" s="675"/>
      <c r="T123" s="674">
        <v>6.95</v>
      </c>
      <c r="U123" s="674">
        <v>6.95</v>
      </c>
      <c r="V123" s="749" t="s">
        <v>243</v>
      </c>
      <c r="W123" s="772"/>
      <c r="X123" s="732"/>
      <c r="Y123" s="732"/>
      <c r="Z123" s="732"/>
      <c r="AA123" s="732"/>
    </row>
    <row r="124" spans="1:27" ht="39.75" customHeight="1">
      <c r="A124" s="736"/>
      <c r="B124" s="736"/>
      <c r="C124" s="736"/>
      <c r="D124" s="644">
        <v>117</v>
      </c>
      <c r="E124" s="644" t="s">
        <v>244</v>
      </c>
      <c r="F124" s="675"/>
      <c r="G124" s="675"/>
      <c r="H124" s="675"/>
      <c r="I124" s="675"/>
      <c r="J124" s="675"/>
      <c r="K124" s="675"/>
      <c r="L124" s="675"/>
      <c r="M124" s="675"/>
      <c r="N124" s="675"/>
      <c r="O124" s="675"/>
      <c r="P124" s="675"/>
      <c r="Q124" s="675"/>
      <c r="R124" s="675"/>
      <c r="S124" s="675"/>
      <c r="T124" s="674">
        <v>0</v>
      </c>
      <c r="U124" s="674">
        <v>0</v>
      </c>
      <c r="V124" s="744"/>
      <c r="W124" s="772"/>
      <c r="X124" s="732"/>
      <c r="Y124" s="732"/>
      <c r="Z124" s="732"/>
      <c r="AA124" s="732"/>
    </row>
    <row r="125" spans="1:27" ht="39.75" customHeight="1">
      <c r="A125" s="736"/>
      <c r="B125" s="736"/>
      <c r="C125" s="736"/>
      <c r="D125" s="644">
        <v>118</v>
      </c>
      <c r="E125" s="644" t="s">
        <v>53</v>
      </c>
      <c r="F125" s="675"/>
      <c r="G125" s="675"/>
      <c r="H125" s="675"/>
      <c r="I125" s="675"/>
      <c r="J125" s="675"/>
      <c r="K125" s="675"/>
      <c r="L125" s="675"/>
      <c r="M125" s="675"/>
      <c r="N125" s="675"/>
      <c r="O125" s="675"/>
      <c r="P125" s="675"/>
      <c r="Q125" s="674"/>
      <c r="R125" s="675"/>
      <c r="S125" s="675"/>
      <c r="T125" s="674">
        <v>0</v>
      </c>
      <c r="U125" s="674">
        <v>0</v>
      </c>
      <c r="V125" s="780"/>
      <c r="W125" s="772"/>
      <c r="X125" s="732"/>
      <c r="Y125" s="732"/>
      <c r="Z125" s="732"/>
      <c r="AA125" s="732"/>
    </row>
    <row r="126" spans="1:27" ht="61.15" customHeight="1">
      <c r="A126" s="736"/>
      <c r="B126" s="644" t="s">
        <v>245</v>
      </c>
      <c r="C126" s="644" t="s">
        <v>246</v>
      </c>
      <c r="D126" s="644">
        <v>119</v>
      </c>
      <c r="E126" s="644" t="s">
        <v>247</v>
      </c>
      <c r="F126" s="672"/>
      <c r="G126" s="672"/>
      <c r="H126" s="673"/>
      <c r="I126" s="666"/>
      <c r="J126" s="672"/>
      <c r="K126" s="672"/>
      <c r="L126" s="672"/>
      <c r="M126" s="672"/>
      <c r="N126" s="666">
        <v>2</v>
      </c>
      <c r="O126" s="672"/>
      <c r="P126" s="673">
        <v>8</v>
      </c>
      <c r="Q126" s="666"/>
      <c r="R126" s="672"/>
      <c r="S126" s="672">
        <v>0</v>
      </c>
      <c r="T126" s="674">
        <v>10</v>
      </c>
      <c r="U126" s="674">
        <v>10</v>
      </c>
      <c r="V126" s="749" t="s">
        <v>248</v>
      </c>
      <c r="W126" s="772"/>
      <c r="X126" s="732"/>
      <c r="Y126" s="732"/>
      <c r="Z126" s="732"/>
      <c r="AA126" s="732"/>
    </row>
    <row r="127" spans="1:27" ht="39.75" customHeight="1">
      <c r="A127" s="736"/>
      <c r="B127" s="644" t="s">
        <v>249</v>
      </c>
      <c r="C127" s="644" t="s">
        <v>250</v>
      </c>
      <c r="D127" s="644">
        <v>120</v>
      </c>
      <c r="E127" s="644" t="s">
        <v>251</v>
      </c>
      <c r="F127" s="675"/>
      <c r="G127" s="675"/>
      <c r="H127" s="675"/>
      <c r="I127" s="675"/>
      <c r="J127" s="675"/>
      <c r="K127" s="676"/>
      <c r="L127" s="675"/>
      <c r="M127" s="676"/>
      <c r="N127" s="674"/>
      <c r="O127" s="675"/>
      <c r="P127" s="676"/>
      <c r="Q127" s="674"/>
      <c r="R127" s="676"/>
      <c r="S127" s="675"/>
      <c r="T127" s="674">
        <v>0</v>
      </c>
      <c r="U127" s="674">
        <v>0</v>
      </c>
      <c r="V127" s="744"/>
      <c r="W127" s="772"/>
      <c r="X127" s="732"/>
      <c r="Y127" s="732"/>
      <c r="Z127" s="732"/>
      <c r="AA127" s="732"/>
    </row>
    <row r="128" spans="1:27" ht="64.900000000000006" customHeight="1">
      <c r="A128" s="736"/>
      <c r="B128" s="699" t="s">
        <v>252</v>
      </c>
      <c r="C128" s="699" t="s">
        <v>253</v>
      </c>
      <c r="D128" s="644">
        <v>121</v>
      </c>
      <c r="E128" s="644" t="s">
        <v>254</v>
      </c>
      <c r="F128" s="664">
        <v>0</v>
      </c>
      <c r="G128" s="664">
        <v>0</v>
      </c>
      <c r="H128" s="664">
        <v>0</v>
      </c>
      <c r="I128" s="669">
        <v>0</v>
      </c>
      <c r="J128" s="664">
        <v>0</v>
      </c>
      <c r="K128" s="664">
        <v>0</v>
      </c>
      <c r="L128" s="664">
        <v>0</v>
      </c>
      <c r="M128" s="664">
        <v>0</v>
      </c>
      <c r="N128" s="664">
        <v>0.48</v>
      </c>
      <c r="O128" s="664">
        <v>0</v>
      </c>
      <c r="P128" s="664">
        <v>0</v>
      </c>
      <c r="Q128" s="664">
        <v>0</v>
      </c>
      <c r="R128" s="664">
        <v>0</v>
      </c>
      <c r="S128" s="664">
        <v>0</v>
      </c>
      <c r="T128" s="646">
        <f t="shared" ref="T128:T130" si="13">SUM(F128:S128)</f>
        <v>0.48</v>
      </c>
      <c r="U128" s="669">
        <v>0.96</v>
      </c>
      <c r="V128" s="749" t="s">
        <v>499</v>
      </c>
      <c r="W128" s="531" t="s">
        <v>500</v>
      </c>
      <c r="X128" s="732"/>
      <c r="Y128" s="732"/>
      <c r="Z128" s="732"/>
      <c r="AA128" s="732"/>
    </row>
    <row r="129" spans="1:27" ht="39.75" customHeight="1">
      <c r="A129" s="736"/>
      <c r="B129" s="736"/>
      <c r="C129" s="736"/>
      <c r="D129" s="644">
        <v>122</v>
      </c>
      <c r="E129" s="644" t="s">
        <v>256</v>
      </c>
      <c r="F129" s="664">
        <v>0</v>
      </c>
      <c r="G129" s="664">
        <v>0</v>
      </c>
      <c r="H129" s="664">
        <v>0</v>
      </c>
      <c r="I129" s="664">
        <v>0</v>
      </c>
      <c r="J129" s="664">
        <v>0</v>
      </c>
      <c r="K129" s="664">
        <v>0</v>
      </c>
      <c r="L129" s="664">
        <v>0</v>
      </c>
      <c r="M129" s="664">
        <v>0</v>
      </c>
      <c r="N129" s="664">
        <v>0</v>
      </c>
      <c r="O129" s="664">
        <v>0</v>
      </c>
      <c r="P129" s="664">
        <v>0</v>
      </c>
      <c r="Q129" s="664">
        <v>0</v>
      </c>
      <c r="R129" s="664">
        <v>0</v>
      </c>
      <c r="S129" s="664">
        <v>0</v>
      </c>
      <c r="T129" s="646">
        <f t="shared" si="13"/>
        <v>0</v>
      </c>
      <c r="U129" s="669">
        <v>0</v>
      </c>
      <c r="V129" s="482"/>
      <c r="W129" s="535"/>
      <c r="X129" s="732"/>
      <c r="Y129" s="732"/>
      <c r="Z129" s="732"/>
      <c r="AA129" s="732"/>
    </row>
    <row r="130" spans="1:27" ht="90">
      <c r="A130" s="736"/>
      <c r="B130" s="736"/>
      <c r="C130" s="736"/>
      <c r="D130" s="644">
        <v>123</v>
      </c>
      <c r="E130" s="644" t="s">
        <v>257</v>
      </c>
      <c r="F130" s="664">
        <v>0</v>
      </c>
      <c r="G130" s="664">
        <v>0</v>
      </c>
      <c r="H130" s="664">
        <v>0</v>
      </c>
      <c r="I130" s="664">
        <v>0</v>
      </c>
      <c r="J130" s="664">
        <v>0</v>
      </c>
      <c r="K130" s="664">
        <v>0</v>
      </c>
      <c r="L130" s="664">
        <v>0</v>
      </c>
      <c r="M130" s="664">
        <v>0</v>
      </c>
      <c r="N130" s="664">
        <v>0</v>
      </c>
      <c r="O130" s="664">
        <v>0</v>
      </c>
      <c r="P130" s="677">
        <v>0</v>
      </c>
      <c r="Q130" s="669">
        <v>1.5</v>
      </c>
      <c r="R130" s="664">
        <v>0</v>
      </c>
      <c r="S130" s="664">
        <v>0</v>
      </c>
      <c r="T130" s="646">
        <f t="shared" si="13"/>
        <v>1.5</v>
      </c>
      <c r="U130" s="669">
        <v>1.5</v>
      </c>
      <c r="V130" s="749" t="s">
        <v>258</v>
      </c>
      <c r="W130" s="535" t="s">
        <v>258</v>
      </c>
      <c r="X130" s="732"/>
      <c r="Y130" s="732"/>
      <c r="Z130" s="732"/>
      <c r="AA130" s="732"/>
    </row>
    <row r="131" spans="1:27" ht="39.75" customHeight="1">
      <c r="A131" s="736"/>
      <c r="B131" s="699" t="s">
        <v>259</v>
      </c>
      <c r="C131" s="699" t="s">
        <v>260</v>
      </c>
      <c r="D131" s="644">
        <v>124</v>
      </c>
      <c r="E131" s="644" t="s">
        <v>261</v>
      </c>
      <c r="F131" s="664"/>
      <c r="G131" s="664"/>
      <c r="H131" s="677"/>
      <c r="I131" s="664"/>
      <c r="J131" s="664"/>
      <c r="K131" s="664"/>
      <c r="L131" s="664"/>
      <c r="M131" s="664"/>
      <c r="N131" s="664">
        <v>1</v>
      </c>
      <c r="O131" s="664"/>
      <c r="P131" s="664"/>
      <c r="Q131" s="677">
        <v>0.5</v>
      </c>
      <c r="R131" s="664"/>
      <c r="S131" s="664"/>
      <c r="T131" s="647">
        <v>1.5</v>
      </c>
      <c r="U131" s="647">
        <v>1.5</v>
      </c>
      <c r="V131" s="781" t="s">
        <v>628</v>
      </c>
      <c r="W131" s="735"/>
      <c r="X131" s="732"/>
      <c r="Y131" s="732"/>
      <c r="Z131" s="732"/>
      <c r="AA131" s="732"/>
    </row>
    <row r="132" spans="1:27" ht="39.75" customHeight="1">
      <c r="A132" s="736"/>
      <c r="B132" s="736"/>
      <c r="C132" s="736"/>
      <c r="D132" s="644">
        <v>125</v>
      </c>
      <c r="E132" s="644" t="s">
        <v>263</v>
      </c>
      <c r="F132" s="664"/>
      <c r="G132" s="664"/>
      <c r="H132" s="677"/>
      <c r="I132" s="664"/>
      <c r="J132" s="664"/>
      <c r="K132" s="664"/>
      <c r="L132" s="664"/>
      <c r="M132" s="664"/>
      <c r="N132" s="664">
        <v>1</v>
      </c>
      <c r="O132" s="664"/>
      <c r="P132" s="664"/>
      <c r="Q132" s="677">
        <v>0.5</v>
      </c>
      <c r="R132" s="664"/>
      <c r="S132" s="664"/>
      <c r="T132" s="647">
        <v>1.5</v>
      </c>
      <c r="U132" s="647">
        <v>1.5</v>
      </c>
      <c r="V132" s="781" t="s">
        <v>628</v>
      </c>
      <c r="W132" s="735"/>
      <c r="X132" s="732"/>
      <c r="Y132" s="732"/>
      <c r="Z132" s="732"/>
      <c r="AA132" s="732"/>
    </row>
    <row r="133" spans="1:27" ht="39.75" customHeight="1">
      <c r="A133" s="736"/>
      <c r="B133" s="644" t="s">
        <v>264</v>
      </c>
      <c r="C133" s="644" t="s">
        <v>265</v>
      </c>
      <c r="D133" s="644">
        <v>126</v>
      </c>
      <c r="E133" s="644" t="s">
        <v>181</v>
      </c>
      <c r="F133" s="645"/>
      <c r="G133" s="645"/>
      <c r="H133" s="645"/>
      <c r="I133" s="645"/>
      <c r="J133" s="645"/>
      <c r="K133" s="645"/>
      <c r="L133" s="645"/>
      <c r="M133" s="645"/>
      <c r="N133" s="645"/>
      <c r="O133" s="645"/>
      <c r="P133" s="645"/>
      <c r="Q133" s="645"/>
      <c r="R133" s="645"/>
      <c r="S133" s="645"/>
      <c r="T133" s="646">
        <f t="shared" ref="T133:T211" si="14">SUM(F133:S133)</f>
        <v>0</v>
      </c>
      <c r="U133" s="646">
        <f>T133*10%+T133</f>
        <v>0</v>
      </c>
      <c r="V133" s="729"/>
      <c r="W133" s="735"/>
      <c r="X133" s="732"/>
      <c r="Y133" s="732"/>
      <c r="Z133" s="732"/>
      <c r="AA133" s="732"/>
    </row>
    <row r="134" spans="1:27" ht="39.75" customHeight="1">
      <c r="A134" s="736"/>
      <c r="B134" s="701" t="s">
        <v>266</v>
      </c>
      <c r="C134" s="736"/>
      <c r="D134" s="736"/>
      <c r="E134" s="660"/>
      <c r="F134" s="660">
        <f t="shared" ref="F134:S134" si="15">SUM(F94:F133)</f>
        <v>0</v>
      </c>
      <c r="G134" s="660">
        <f t="shared" si="15"/>
        <v>0</v>
      </c>
      <c r="H134" s="660">
        <f t="shared" si="15"/>
        <v>5</v>
      </c>
      <c r="I134" s="660">
        <f t="shared" si="15"/>
        <v>3.14</v>
      </c>
      <c r="J134" s="660">
        <f t="shared" si="15"/>
        <v>0</v>
      </c>
      <c r="K134" s="668">
        <f t="shared" si="15"/>
        <v>4</v>
      </c>
      <c r="L134" s="660">
        <f t="shared" si="15"/>
        <v>0</v>
      </c>
      <c r="M134" s="660">
        <f t="shared" si="15"/>
        <v>8.9499999999999993</v>
      </c>
      <c r="N134" s="660">
        <f t="shared" si="15"/>
        <v>14.23</v>
      </c>
      <c r="O134" s="660">
        <f t="shared" si="15"/>
        <v>27.529999999999998</v>
      </c>
      <c r="P134" s="660">
        <f t="shared" si="15"/>
        <v>56.050000000000004</v>
      </c>
      <c r="Q134" s="660">
        <f t="shared" si="15"/>
        <v>20.78</v>
      </c>
      <c r="R134" s="660">
        <f t="shared" si="15"/>
        <v>13</v>
      </c>
      <c r="S134" s="660">
        <f t="shared" si="15"/>
        <v>0</v>
      </c>
      <c r="T134" s="660">
        <f t="shared" si="14"/>
        <v>152.68</v>
      </c>
      <c r="U134" s="668">
        <f>SUM(U94:U133)</f>
        <v>148.16</v>
      </c>
      <c r="V134" s="729"/>
      <c r="W134" s="735"/>
      <c r="X134" s="732"/>
      <c r="Y134" s="732"/>
      <c r="Z134" s="732"/>
      <c r="AA134" s="732"/>
    </row>
    <row r="135" spans="1:27" ht="39.75" customHeight="1">
      <c r="A135" s="700" t="s">
        <v>267</v>
      </c>
      <c r="B135" s="699" t="s">
        <v>268</v>
      </c>
      <c r="C135" s="699" t="s">
        <v>269</v>
      </c>
      <c r="D135" s="644">
        <v>127</v>
      </c>
      <c r="E135" s="644" t="s">
        <v>270</v>
      </c>
      <c r="F135" s="645"/>
      <c r="G135" s="645"/>
      <c r="H135" s="645"/>
      <c r="I135" s="645"/>
      <c r="J135" s="645"/>
      <c r="K135" s="645"/>
      <c r="L135" s="645"/>
      <c r="M135" s="645"/>
      <c r="N135" s="645"/>
      <c r="O135" s="645"/>
      <c r="P135" s="645"/>
      <c r="Q135" s="645"/>
      <c r="R135" s="645"/>
      <c r="S135" s="645"/>
      <c r="T135" s="646">
        <f t="shared" si="14"/>
        <v>0</v>
      </c>
      <c r="U135" s="646"/>
      <c r="V135" s="520"/>
      <c r="W135" s="735"/>
      <c r="X135" s="732"/>
      <c r="Y135" s="732"/>
      <c r="Z135" s="732"/>
      <c r="AA135" s="732"/>
    </row>
    <row r="136" spans="1:27" ht="39.75" customHeight="1">
      <c r="A136" s="736"/>
      <c r="B136" s="736"/>
      <c r="C136" s="736"/>
      <c r="D136" s="644">
        <v>128</v>
      </c>
      <c r="E136" s="644" t="s">
        <v>271</v>
      </c>
      <c r="F136" s="645"/>
      <c r="G136" s="645"/>
      <c r="H136" s="645"/>
      <c r="I136" s="645"/>
      <c r="J136" s="645"/>
      <c r="K136" s="647"/>
      <c r="L136" s="645"/>
      <c r="M136" s="645"/>
      <c r="N136" s="647"/>
      <c r="O136" s="645"/>
      <c r="P136" s="646"/>
      <c r="Q136" s="686">
        <f>(0.75*2)</f>
        <v>1.5</v>
      </c>
      <c r="R136" s="682"/>
      <c r="S136" s="682"/>
      <c r="T136" s="646">
        <f t="shared" si="14"/>
        <v>1.5</v>
      </c>
      <c r="U136" s="686">
        <f>T136</f>
        <v>1.5</v>
      </c>
      <c r="V136" s="779" t="s">
        <v>272</v>
      </c>
      <c r="W136" s="735"/>
      <c r="X136" s="732"/>
      <c r="Y136" s="732"/>
      <c r="Z136" s="732"/>
      <c r="AA136" s="732"/>
    </row>
    <row r="137" spans="1:27" ht="39.75" customHeight="1">
      <c r="A137" s="736"/>
      <c r="B137" s="644"/>
      <c r="C137" s="644"/>
      <c r="D137" s="644">
        <v>129</v>
      </c>
      <c r="E137" s="644" t="s">
        <v>273</v>
      </c>
      <c r="F137" s="645"/>
      <c r="G137" s="645"/>
      <c r="H137" s="645"/>
      <c r="I137" s="645"/>
      <c r="J137" s="645"/>
      <c r="K137" s="645"/>
      <c r="L137" s="645"/>
      <c r="M137" s="645"/>
      <c r="N137" s="645"/>
      <c r="O137" s="645"/>
      <c r="P137" s="645"/>
      <c r="Q137" s="645"/>
      <c r="R137" s="645"/>
      <c r="S137" s="645"/>
      <c r="T137" s="646">
        <f t="shared" si="14"/>
        <v>0</v>
      </c>
      <c r="U137" s="646">
        <f t="shared" ref="U137:U138" si="16">T137*10%+T137</f>
        <v>0</v>
      </c>
      <c r="V137" s="520"/>
      <c r="W137" s="735"/>
      <c r="X137" s="732"/>
      <c r="Y137" s="732"/>
      <c r="Z137" s="732"/>
      <c r="AA137" s="732"/>
    </row>
    <row r="138" spans="1:27" ht="39.75" customHeight="1">
      <c r="A138" s="736"/>
      <c r="B138" s="699" t="s">
        <v>274</v>
      </c>
      <c r="C138" s="699" t="s">
        <v>275</v>
      </c>
      <c r="D138" s="644">
        <v>130</v>
      </c>
      <c r="E138" s="644" t="s">
        <v>276</v>
      </c>
      <c r="F138" s="645"/>
      <c r="G138" s="645"/>
      <c r="H138" s="645"/>
      <c r="I138" s="645"/>
      <c r="J138" s="645"/>
      <c r="K138" s="645"/>
      <c r="L138" s="645"/>
      <c r="M138" s="645"/>
      <c r="N138" s="645"/>
      <c r="O138" s="645"/>
      <c r="P138" s="645"/>
      <c r="Q138" s="645"/>
      <c r="R138" s="645"/>
      <c r="S138" s="645"/>
      <c r="T138" s="646">
        <f t="shared" si="14"/>
        <v>0</v>
      </c>
      <c r="U138" s="646">
        <f t="shared" si="16"/>
        <v>0</v>
      </c>
      <c r="V138" s="520"/>
      <c r="W138" s="735"/>
      <c r="X138" s="732"/>
      <c r="Y138" s="732"/>
      <c r="Z138" s="732"/>
      <c r="AA138" s="732"/>
    </row>
    <row r="139" spans="1:27" ht="39.75" customHeight="1">
      <c r="A139" s="736"/>
      <c r="B139" s="736"/>
      <c r="C139" s="736"/>
      <c r="D139" s="644">
        <v>131</v>
      </c>
      <c r="E139" s="644" t="s">
        <v>277</v>
      </c>
      <c r="F139" s="645"/>
      <c r="G139" s="645"/>
      <c r="H139" s="645"/>
      <c r="I139" s="645"/>
      <c r="J139" s="645"/>
      <c r="K139" s="645"/>
      <c r="L139" s="645"/>
      <c r="M139" s="645"/>
      <c r="N139" s="647">
        <v>0.28000000000000003</v>
      </c>
      <c r="O139" s="645"/>
      <c r="P139" s="645"/>
      <c r="Q139" s="645"/>
      <c r="R139" s="645"/>
      <c r="S139" s="645"/>
      <c r="T139" s="646">
        <f t="shared" si="14"/>
        <v>0.28000000000000003</v>
      </c>
      <c r="U139" s="646">
        <v>0.3</v>
      </c>
      <c r="V139" s="521" t="s">
        <v>629</v>
      </c>
      <c r="W139" s="735"/>
      <c r="X139" s="732"/>
      <c r="Y139" s="732"/>
      <c r="Z139" s="732"/>
      <c r="AA139" s="732"/>
    </row>
    <row r="140" spans="1:27" ht="39.75" customHeight="1">
      <c r="A140" s="736"/>
      <c r="B140" s="736"/>
      <c r="C140" s="736"/>
      <c r="D140" s="644">
        <v>132</v>
      </c>
      <c r="E140" s="644" t="s">
        <v>279</v>
      </c>
      <c r="F140" s="645"/>
      <c r="G140" s="645"/>
      <c r="H140" s="645"/>
      <c r="I140" s="645"/>
      <c r="J140" s="645"/>
      <c r="K140" s="645"/>
      <c r="L140" s="645"/>
      <c r="M140" s="645"/>
      <c r="N140" s="645"/>
      <c r="O140" s="645"/>
      <c r="P140" s="645"/>
      <c r="Q140" s="645"/>
      <c r="R140" s="645"/>
      <c r="S140" s="645"/>
      <c r="T140" s="646">
        <f t="shared" si="14"/>
        <v>0</v>
      </c>
      <c r="U140" s="646">
        <f t="shared" ref="U140:U141" si="17">T140*10%+T140</f>
        <v>0</v>
      </c>
      <c r="V140" s="520"/>
      <c r="W140" s="735"/>
      <c r="X140" s="732"/>
      <c r="Y140" s="732"/>
      <c r="Z140" s="732"/>
      <c r="AA140" s="732"/>
    </row>
    <row r="141" spans="1:27" ht="39.75" customHeight="1">
      <c r="A141" s="736"/>
      <c r="B141" s="736"/>
      <c r="C141" s="736"/>
      <c r="D141" s="644">
        <v>133</v>
      </c>
      <c r="E141" s="644" t="s">
        <v>280</v>
      </c>
      <c r="F141" s="645"/>
      <c r="G141" s="645"/>
      <c r="H141" s="645"/>
      <c r="I141" s="645"/>
      <c r="J141" s="645"/>
      <c r="K141" s="645"/>
      <c r="L141" s="645"/>
      <c r="M141" s="645"/>
      <c r="N141" s="645"/>
      <c r="O141" s="645"/>
      <c r="P141" s="645"/>
      <c r="Q141" s="645"/>
      <c r="R141" s="645"/>
      <c r="S141" s="645"/>
      <c r="T141" s="646">
        <f t="shared" si="14"/>
        <v>0</v>
      </c>
      <c r="U141" s="646">
        <f t="shared" si="17"/>
        <v>0</v>
      </c>
      <c r="V141" s="520"/>
      <c r="W141" s="735"/>
      <c r="X141" s="732"/>
      <c r="Y141" s="732"/>
      <c r="Z141" s="732"/>
      <c r="AA141" s="732"/>
    </row>
    <row r="142" spans="1:27" ht="39.75" customHeight="1">
      <c r="A142" s="736"/>
      <c r="B142" s="736"/>
      <c r="C142" s="736"/>
      <c r="D142" s="644">
        <v>134</v>
      </c>
      <c r="E142" s="644" t="s">
        <v>281</v>
      </c>
      <c r="F142" s="645"/>
      <c r="G142" s="645"/>
      <c r="H142" s="645"/>
      <c r="I142" s="645"/>
      <c r="J142" s="645"/>
      <c r="K142" s="645"/>
      <c r="L142" s="645"/>
      <c r="M142" s="645"/>
      <c r="N142" s="645"/>
      <c r="O142" s="645"/>
      <c r="P142" s="782">
        <f>(5*0.005*12)+(5*0.0025*12)</f>
        <v>0.45000000000000007</v>
      </c>
      <c r="Q142" s="645"/>
      <c r="R142" s="645"/>
      <c r="S142" s="645"/>
      <c r="T142" s="646">
        <f t="shared" si="14"/>
        <v>0.45000000000000007</v>
      </c>
      <c r="U142" s="646">
        <f>T142</f>
        <v>0.45000000000000007</v>
      </c>
      <c r="V142" s="520" t="s">
        <v>842</v>
      </c>
      <c r="W142" s="735"/>
      <c r="X142" s="732"/>
      <c r="Y142" s="732"/>
      <c r="Z142" s="732"/>
      <c r="AA142" s="732"/>
    </row>
    <row r="143" spans="1:27" ht="39.75" customHeight="1">
      <c r="A143" s="736"/>
      <c r="B143" s="736"/>
      <c r="C143" s="736"/>
      <c r="D143" s="644">
        <v>135</v>
      </c>
      <c r="E143" s="644" t="s">
        <v>283</v>
      </c>
      <c r="F143" s="645"/>
      <c r="G143" s="645"/>
      <c r="H143" s="645"/>
      <c r="I143" s="645"/>
      <c r="J143" s="645"/>
      <c r="K143" s="645"/>
      <c r="L143" s="645"/>
      <c r="M143" s="645"/>
      <c r="N143" s="645"/>
      <c r="O143" s="645"/>
      <c r="P143" s="645"/>
      <c r="Q143" s="645"/>
      <c r="R143" s="645"/>
      <c r="S143" s="645"/>
      <c r="T143" s="646">
        <f t="shared" si="14"/>
        <v>0</v>
      </c>
      <c r="U143" s="646">
        <f t="shared" ref="U143:U144" si="18">T143*10%+T143</f>
        <v>0</v>
      </c>
      <c r="V143" s="520"/>
      <c r="W143" s="735"/>
      <c r="X143" s="732"/>
      <c r="Y143" s="732"/>
      <c r="Z143" s="732"/>
      <c r="AA143" s="732"/>
    </row>
    <row r="144" spans="1:27" ht="39.75" customHeight="1">
      <c r="A144" s="736"/>
      <c r="B144" s="736"/>
      <c r="C144" s="736"/>
      <c r="D144" s="644">
        <v>136</v>
      </c>
      <c r="E144" s="644" t="s">
        <v>284</v>
      </c>
      <c r="F144" s="645"/>
      <c r="G144" s="645"/>
      <c r="H144" s="645"/>
      <c r="I144" s="645"/>
      <c r="J144" s="645"/>
      <c r="K144" s="645"/>
      <c r="L144" s="645"/>
      <c r="M144" s="645"/>
      <c r="N144" s="645"/>
      <c r="O144" s="645"/>
      <c r="P144" s="647"/>
      <c r="Q144" s="645"/>
      <c r="R144" s="645"/>
      <c r="S144" s="645"/>
      <c r="T144" s="646">
        <f t="shared" si="14"/>
        <v>0</v>
      </c>
      <c r="U144" s="646">
        <f t="shared" si="18"/>
        <v>0</v>
      </c>
      <c r="V144" s="779"/>
      <c r="W144" s="735"/>
      <c r="X144" s="732"/>
      <c r="Y144" s="732"/>
      <c r="Z144" s="732"/>
      <c r="AA144" s="732"/>
    </row>
    <row r="145" spans="1:27" ht="39.75" customHeight="1">
      <c r="A145" s="736"/>
      <c r="B145" s="699" t="s">
        <v>285</v>
      </c>
      <c r="C145" s="699" t="s">
        <v>286</v>
      </c>
      <c r="D145" s="644">
        <v>137</v>
      </c>
      <c r="E145" s="644" t="s">
        <v>287</v>
      </c>
      <c r="F145" s="645"/>
      <c r="G145" s="645"/>
      <c r="H145" s="645"/>
      <c r="I145" s="645"/>
      <c r="J145" s="645"/>
      <c r="K145" s="645"/>
      <c r="L145" s="645"/>
      <c r="M145" s="647"/>
      <c r="N145" s="645"/>
      <c r="O145" s="645"/>
      <c r="P145" s="686"/>
      <c r="Q145" s="645"/>
      <c r="R145" s="645"/>
      <c r="S145" s="645"/>
      <c r="T145" s="646">
        <f t="shared" si="14"/>
        <v>0</v>
      </c>
      <c r="U145" s="646">
        <f>T145</f>
        <v>0</v>
      </c>
      <c r="V145" s="779"/>
      <c r="W145" s="735"/>
      <c r="X145" s="732"/>
      <c r="Y145" s="732"/>
      <c r="Z145" s="732"/>
      <c r="AA145" s="732"/>
    </row>
    <row r="146" spans="1:27" ht="39.75" customHeight="1">
      <c r="A146" s="736"/>
      <c r="B146" s="736"/>
      <c r="C146" s="736"/>
      <c r="D146" s="644">
        <v>138</v>
      </c>
      <c r="E146" s="644" t="s">
        <v>288</v>
      </c>
      <c r="F146" s="645"/>
      <c r="G146" s="645"/>
      <c r="H146" s="647"/>
      <c r="I146" s="647"/>
      <c r="J146" s="645"/>
      <c r="K146" s="647"/>
      <c r="L146" s="645"/>
      <c r="M146" s="647"/>
      <c r="N146" s="645"/>
      <c r="O146" s="645"/>
      <c r="P146" s="645"/>
      <c r="Q146" s="645"/>
      <c r="R146" s="645"/>
      <c r="S146" s="645"/>
      <c r="T146" s="646">
        <f t="shared" si="14"/>
        <v>0</v>
      </c>
      <c r="U146" s="646">
        <f>T146*10%+T146</f>
        <v>0</v>
      </c>
      <c r="V146" s="779"/>
      <c r="W146" s="735"/>
      <c r="X146" s="732"/>
      <c r="Y146" s="732"/>
      <c r="Z146" s="732"/>
      <c r="AA146" s="732"/>
    </row>
    <row r="147" spans="1:27" ht="45">
      <c r="A147" s="736"/>
      <c r="B147" s="699" t="s">
        <v>289</v>
      </c>
      <c r="C147" s="699" t="s">
        <v>290</v>
      </c>
      <c r="D147" s="644">
        <v>139</v>
      </c>
      <c r="E147" s="644" t="s">
        <v>291</v>
      </c>
      <c r="F147" s="645"/>
      <c r="G147" s="645"/>
      <c r="H147" s="645"/>
      <c r="I147" s="645"/>
      <c r="J147" s="645"/>
      <c r="K147" s="645"/>
      <c r="L147" s="645"/>
      <c r="M147" s="645"/>
      <c r="N147" s="647"/>
      <c r="O147" s="645"/>
      <c r="P147" s="647">
        <v>2</v>
      </c>
      <c r="Q147" s="645"/>
      <c r="R147" s="647"/>
      <c r="S147" s="645"/>
      <c r="T147" s="646">
        <f t="shared" si="14"/>
        <v>2</v>
      </c>
      <c r="U147" s="646">
        <f t="shared" ref="U147:U148" si="19">T147</f>
        <v>2</v>
      </c>
      <c r="V147" s="779" t="s">
        <v>786</v>
      </c>
      <c r="W147" s="735"/>
      <c r="X147" s="732"/>
      <c r="Y147" s="732"/>
      <c r="Z147" s="732"/>
      <c r="AA147" s="732"/>
    </row>
    <row r="148" spans="1:27" ht="60">
      <c r="A148" s="736"/>
      <c r="B148" s="736"/>
      <c r="C148" s="736"/>
      <c r="D148" s="644">
        <v>140</v>
      </c>
      <c r="E148" s="644" t="s">
        <v>293</v>
      </c>
      <c r="F148" s="645"/>
      <c r="G148" s="645"/>
      <c r="H148" s="645"/>
      <c r="I148" s="645"/>
      <c r="J148" s="645"/>
      <c r="K148" s="645"/>
      <c r="L148" s="645"/>
      <c r="M148" s="645"/>
      <c r="N148" s="645"/>
      <c r="O148" s="645"/>
      <c r="P148" s="686">
        <f>2+( 2* 0.235)</f>
        <v>2.4699999999999998</v>
      </c>
      <c r="Q148" s="682"/>
      <c r="R148" s="682"/>
      <c r="S148" s="682"/>
      <c r="T148" s="646">
        <f t="shared" si="14"/>
        <v>2.4699999999999998</v>
      </c>
      <c r="U148" s="658">
        <f t="shared" si="19"/>
        <v>2.4699999999999998</v>
      </c>
      <c r="V148" s="779" t="s">
        <v>294</v>
      </c>
      <c r="W148" s="735"/>
      <c r="X148" s="732"/>
      <c r="Y148" s="732"/>
      <c r="Z148" s="732"/>
      <c r="AA148" s="732"/>
    </row>
    <row r="149" spans="1:27" ht="39.75" customHeight="1">
      <c r="A149" s="736"/>
      <c r="B149" s="736"/>
      <c r="C149" s="736"/>
      <c r="D149" s="644">
        <v>141</v>
      </c>
      <c r="E149" s="644" t="s">
        <v>295</v>
      </c>
      <c r="F149" s="645"/>
      <c r="G149" s="645"/>
      <c r="H149" s="645"/>
      <c r="I149" s="645"/>
      <c r="J149" s="645"/>
      <c r="K149" s="645"/>
      <c r="L149" s="645"/>
      <c r="M149" s="645"/>
      <c r="N149" s="645"/>
      <c r="O149" s="645"/>
      <c r="P149" s="645"/>
      <c r="Q149" s="645"/>
      <c r="R149" s="645"/>
      <c r="S149" s="645"/>
      <c r="T149" s="646">
        <f t="shared" si="14"/>
        <v>0</v>
      </c>
      <c r="U149" s="646">
        <f>T149*10%+T149</f>
        <v>0</v>
      </c>
      <c r="V149" s="520"/>
      <c r="W149" s="735"/>
      <c r="X149" s="732"/>
      <c r="Y149" s="732"/>
      <c r="Z149" s="732"/>
      <c r="AA149" s="732"/>
    </row>
    <row r="150" spans="1:27" ht="39.75" customHeight="1">
      <c r="A150" s="736"/>
      <c r="B150" s="699" t="s">
        <v>296</v>
      </c>
      <c r="C150" s="699" t="s">
        <v>297</v>
      </c>
      <c r="D150" s="644">
        <v>142</v>
      </c>
      <c r="E150" s="644" t="s">
        <v>298</v>
      </c>
      <c r="F150" s="645"/>
      <c r="G150" s="645"/>
      <c r="H150" s="645"/>
      <c r="I150" s="645"/>
      <c r="J150" s="645"/>
      <c r="K150" s="645"/>
      <c r="L150" s="645"/>
      <c r="M150" s="645"/>
      <c r="N150" s="645"/>
      <c r="O150" s="645"/>
      <c r="P150" s="783">
        <v>327.68334000000004</v>
      </c>
      <c r="Q150" s="645"/>
      <c r="R150" s="645"/>
      <c r="S150" s="645"/>
      <c r="T150" s="646">
        <f t="shared" si="14"/>
        <v>327.68334000000004</v>
      </c>
      <c r="U150" s="783">
        <v>348.88445209800005</v>
      </c>
      <c r="V150" s="881" t="s">
        <v>1732</v>
      </c>
      <c r="W150" s="735"/>
      <c r="X150" s="732"/>
      <c r="Y150" s="732"/>
      <c r="Z150" s="732"/>
      <c r="AA150" s="732"/>
    </row>
    <row r="151" spans="1:27" ht="39.75" customHeight="1">
      <c r="A151" s="736"/>
      <c r="B151" s="736"/>
      <c r="C151" s="736"/>
      <c r="D151" s="644">
        <v>143</v>
      </c>
      <c r="E151" s="644" t="s">
        <v>299</v>
      </c>
      <c r="F151" s="645"/>
      <c r="G151" s="645"/>
      <c r="H151" s="645"/>
      <c r="I151" s="645"/>
      <c r="J151" s="645"/>
      <c r="K151" s="645"/>
      <c r="L151" s="645"/>
      <c r="M151" s="645"/>
      <c r="N151" s="645"/>
      <c r="O151" s="645"/>
      <c r="P151" s="645"/>
      <c r="Q151" s="645"/>
      <c r="R151" s="645"/>
      <c r="S151" s="645"/>
      <c r="T151" s="646">
        <f t="shared" si="14"/>
        <v>0</v>
      </c>
      <c r="U151" s="646">
        <f t="shared" ref="U151:U153" si="20">T151*10%+T151</f>
        <v>0</v>
      </c>
      <c r="V151" s="520"/>
      <c r="W151" s="735"/>
      <c r="X151" s="732"/>
      <c r="Y151" s="732"/>
      <c r="Z151" s="732"/>
      <c r="AA151" s="732"/>
    </row>
    <row r="152" spans="1:27" ht="39.75" customHeight="1">
      <c r="A152" s="736"/>
      <c r="B152" s="736"/>
      <c r="C152" s="736"/>
      <c r="D152" s="644">
        <v>144</v>
      </c>
      <c r="E152" s="644" t="s">
        <v>300</v>
      </c>
      <c r="F152" s="645"/>
      <c r="G152" s="645"/>
      <c r="H152" s="645"/>
      <c r="I152" s="645"/>
      <c r="J152" s="645"/>
      <c r="K152" s="645"/>
      <c r="L152" s="645"/>
      <c r="M152" s="645"/>
      <c r="N152" s="645"/>
      <c r="O152" s="645"/>
      <c r="P152" s="645"/>
      <c r="Q152" s="645"/>
      <c r="R152" s="645"/>
      <c r="S152" s="645"/>
      <c r="T152" s="646">
        <f t="shared" si="14"/>
        <v>0</v>
      </c>
      <c r="U152" s="646">
        <f t="shared" si="20"/>
        <v>0</v>
      </c>
      <c r="V152" s="520"/>
      <c r="W152" s="735"/>
      <c r="X152" s="732"/>
      <c r="Y152" s="732"/>
      <c r="Z152" s="732"/>
      <c r="AA152" s="732"/>
    </row>
    <row r="153" spans="1:27" ht="39.75" customHeight="1">
      <c r="A153" s="736"/>
      <c r="B153" s="736"/>
      <c r="C153" s="736"/>
      <c r="D153" s="644">
        <v>145</v>
      </c>
      <c r="E153" s="644" t="s">
        <v>301</v>
      </c>
      <c r="F153" s="645"/>
      <c r="G153" s="645"/>
      <c r="H153" s="645"/>
      <c r="I153" s="645"/>
      <c r="J153" s="645"/>
      <c r="K153" s="645"/>
      <c r="L153" s="645"/>
      <c r="M153" s="645"/>
      <c r="N153" s="645"/>
      <c r="O153" s="645"/>
      <c r="P153" s="645"/>
      <c r="Q153" s="645"/>
      <c r="R153" s="645"/>
      <c r="S153" s="645"/>
      <c r="T153" s="646">
        <f t="shared" si="14"/>
        <v>0</v>
      </c>
      <c r="U153" s="646">
        <f t="shared" si="20"/>
        <v>0</v>
      </c>
      <c r="V153" s="520"/>
      <c r="W153" s="735"/>
      <c r="X153" s="732"/>
      <c r="Y153" s="732"/>
      <c r="Z153" s="732"/>
      <c r="AA153" s="732"/>
    </row>
    <row r="154" spans="1:27" ht="75.599999999999994" customHeight="1">
      <c r="A154" s="736"/>
      <c r="B154" s="644" t="s">
        <v>302</v>
      </c>
      <c r="C154" s="644" t="s">
        <v>303</v>
      </c>
      <c r="D154" s="644">
        <v>146</v>
      </c>
      <c r="E154" s="644" t="s">
        <v>304</v>
      </c>
      <c r="F154" s="645"/>
      <c r="G154" s="645"/>
      <c r="H154" s="645"/>
      <c r="I154" s="645"/>
      <c r="J154" s="645"/>
      <c r="K154" s="645"/>
      <c r="L154" s="645"/>
      <c r="M154" s="645"/>
      <c r="N154" s="645"/>
      <c r="O154" s="645"/>
      <c r="P154" s="645"/>
      <c r="Q154" s="645"/>
      <c r="R154" s="686">
        <f>(0.4*12)+(12*0.1)</f>
        <v>6.0000000000000009</v>
      </c>
      <c r="S154" s="682"/>
      <c r="T154" s="646">
        <f t="shared" si="14"/>
        <v>6.0000000000000009</v>
      </c>
      <c r="U154" s="686">
        <f>T154</f>
        <v>6.0000000000000009</v>
      </c>
      <c r="V154" s="779" t="s">
        <v>571</v>
      </c>
      <c r="W154" s="735"/>
      <c r="X154" s="732"/>
      <c r="Y154" s="732"/>
      <c r="Z154" s="732"/>
      <c r="AA154" s="732"/>
    </row>
    <row r="155" spans="1:27" ht="39.75" customHeight="1">
      <c r="A155" s="736"/>
      <c r="B155" s="644" t="s">
        <v>306</v>
      </c>
      <c r="C155" s="644" t="s">
        <v>307</v>
      </c>
      <c r="D155" s="644">
        <v>147</v>
      </c>
      <c r="E155" s="644" t="s">
        <v>157</v>
      </c>
      <c r="F155" s="645"/>
      <c r="G155" s="645"/>
      <c r="H155" s="645"/>
      <c r="I155" s="645"/>
      <c r="J155" s="645"/>
      <c r="K155" s="645"/>
      <c r="L155" s="645"/>
      <c r="M155" s="645"/>
      <c r="N155" s="645"/>
      <c r="O155" s="645"/>
      <c r="P155" s="645"/>
      <c r="Q155" s="645"/>
      <c r="R155" s="645"/>
      <c r="S155" s="645"/>
      <c r="T155" s="646">
        <f t="shared" si="14"/>
        <v>0</v>
      </c>
      <c r="U155" s="646">
        <f t="shared" ref="U155:U156" si="21">T155*10%+T155</f>
        <v>0</v>
      </c>
      <c r="V155" s="520"/>
      <c r="W155" s="735"/>
      <c r="X155" s="732"/>
      <c r="Y155" s="732"/>
      <c r="Z155" s="732"/>
      <c r="AA155" s="732"/>
    </row>
    <row r="156" spans="1:27" ht="39.75" customHeight="1">
      <c r="A156" s="736"/>
      <c r="B156" s="644" t="s">
        <v>308</v>
      </c>
      <c r="C156" s="644" t="s">
        <v>309</v>
      </c>
      <c r="D156" s="644">
        <v>148</v>
      </c>
      <c r="E156" s="644" t="s">
        <v>310</v>
      </c>
      <c r="F156" s="645"/>
      <c r="G156" s="645"/>
      <c r="H156" s="645"/>
      <c r="I156" s="645"/>
      <c r="J156" s="645"/>
      <c r="K156" s="645"/>
      <c r="L156" s="645"/>
      <c r="M156" s="645"/>
      <c r="N156" s="647"/>
      <c r="O156" s="645"/>
      <c r="P156" s="647"/>
      <c r="Q156" s="645"/>
      <c r="R156" s="645"/>
      <c r="S156" s="645"/>
      <c r="T156" s="646">
        <f t="shared" si="14"/>
        <v>0</v>
      </c>
      <c r="U156" s="646">
        <f t="shared" si="21"/>
        <v>0</v>
      </c>
      <c r="V156" s="779"/>
      <c r="W156" s="735"/>
      <c r="X156" s="732"/>
      <c r="Y156" s="732"/>
      <c r="Z156" s="732"/>
      <c r="AA156" s="732"/>
    </row>
    <row r="157" spans="1:27" ht="60">
      <c r="A157" s="736"/>
      <c r="B157" s="644" t="s">
        <v>311</v>
      </c>
      <c r="C157" s="644" t="s">
        <v>312</v>
      </c>
      <c r="D157" s="644">
        <v>149</v>
      </c>
      <c r="E157" s="644" t="s">
        <v>313</v>
      </c>
      <c r="F157" s="767"/>
      <c r="G157" s="767"/>
      <c r="H157" s="767"/>
      <c r="I157" s="767"/>
      <c r="J157" s="767"/>
      <c r="K157" s="767"/>
      <c r="L157" s="767"/>
      <c r="M157" s="767"/>
      <c r="N157" s="767"/>
      <c r="O157" s="767"/>
      <c r="P157" s="785">
        <f>(2*1.75)+(28*0.05)</f>
        <v>4.9000000000000004</v>
      </c>
      <c r="Q157" s="767"/>
      <c r="R157" s="767"/>
      <c r="S157" s="767"/>
      <c r="T157" s="646">
        <f t="shared" si="14"/>
        <v>4.9000000000000004</v>
      </c>
      <c r="U157" s="785">
        <f>(2*1.75)+(30*0.05)</f>
        <v>5</v>
      </c>
      <c r="V157" s="779" t="s">
        <v>1660</v>
      </c>
      <c r="W157" s="735"/>
      <c r="X157" s="732"/>
      <c r="Y157" s="732"/>
      <c r="Z157" s="732"/>
      <c r="AA157" s="732"/>
    </row>
    <row r="158" spans="1:27" ht="39.75" customHeight="1">
      <c r="A158" s="736"/>
      <c r="B158" s="701" t="s">
        <v>315</v>
      </c>
      <c r="C158" s="736"/>
      <c r="D158" s="736"/>
      <c r="E158" s="660"/>
      <c r="F158" s="660">
        <f t="shared" ref="F158:S158" si="22">SUM(F135:F157)</f>
        <v>0</v>
      </c>
      <c r="G158" s="660">
        <f t="shared" si="22"/>
        <v>0</v>
      </c>
      <c r="H158" s="660">
        <f t="shared" si="22"/>
        <v>0</v>
      </c>
      <c r="I158" s="660">
        <f t="shared" si="22"/>
        <v>0</v>
      </c>
      <c r="J158" s="660">
        <f t="shared" si="22"/>
        <v>0</v>
      </c>
      <c r="K158" s="660">
        <f t="shared" si="22"/>
        <v>0</v>
      </c>
      <c r="L158" s="660">
        <f t="shared" si="22"/>
        <v>0</v>
      </c>
      <c r="M158" s="660">
        <f t="shared" si="22"/>
        <v>0</v>
      </c>
      <c r="N158" s="660">
        <f t="shared" si="22"/>
        <v>0.28000000000000003</v>
      </c>
      <c r="O158" s="660">
        <f t="shared" si="22"/>
        <v>0</v>
      </c>
      <c r="P158" s="660">
        <f t="shared" si="22"/>
        <v>337.50334000000004</v>
      </c>
      <c r="Q158" s="660">
        <f t="shared" si="22"/>
        <v>1.5</v>
      </c>
      <c r="R158" s="660">
        <f t="shared" si="22"/>
        <v>6.0000000000000009</v>
      </c>
      <c r="S158" s="660">
        <f t="shared" si="22"/>
        <v>0</v>
      </c>
      <c r="T158" s="660">
        <f t="shared" si="14"/>
        <v>345.28334000000001</v>
      </c>
      <c r="U158" s="668">
        <f>SUM(U135:U157)</f>
        <v>366.60445209800008</v>
      </c>
      <c r="V158" s="729"/>
      <c r="W158" s="519"/>
      <c r="X158" s="622"/>
      <c r="Y158" s="622"/>
      <c r="Z158" s="622"/>
      <c r="AA158" s="622"/>
    </row>
    <row r="159" spans="1:27" ht="195">
      <c r="A159" s="700" t="s">
        <v>316</v>
      </c>
      <c r="B159" s="699" t="s">
        <v>317</v>
      </c>
      <c r="C159" s="699" t="s">
        <v>269</v>
      </c>
      <c r="D159" s="644">
        <v>150</v>
      </c>
      <c r="E159" s="644" t="s">
        <v>318</v>
      </c>
      <c r="F159" s="682"/>
      <c r="G159" s="683"/>
      <c r="H159" s="683"/>
      <c r="I159" s="682"/>
      <c r="J159" s="682"/>
      <c r="K159" s="682"/>
      <c r="L159" s="682"/>
      <c r="M159" s="682"/>
      <c r="N159" s="686">
        <v>6</v>
      </c>
      <c r="O159" s="682">
        <v>110.63500000000001</v>
      </c>
      <c r="P159" s="683"/>
      <c r="Q159" s="682">
        <v>1</v>
      </c>
      <c r="R159" s="682"/>
      <c r="S159" s="682"/>
      <c r="T159" s="646">
        <f t="shared" si="14"/>
        <v>117.63500000000001</v>
      </c>
      <c r="U159" s="646">
        <f t="shared" ref="U159:U160" si="23">T159</f>
        <v>117.63500000000001</v>
      </c>
      <c r="V159" s="786" t="s">
        <v>1745</v>
      </c>
      <c r="W159" s="735"/>
      <c r="X159" s="732"/>
      <c r="Y159" s="732"/>
      <c r="Z159" s="732"/>
      <c r="AA159" s="732"/>
    </row>
    <row r="160" spans="1:27" ht="124.5" customHeight="1">
      <c r="A160" s="736"/>
      <c r="B160" s="736"/>
      <c r="C160" s="736"/>
      <c r="D160" s="644">
        <v>151</v>
      </c>
      <c r="E160" s="644" t="s">
        <v>319</v>
      </c>
      <c r="F160" s="682"/>
      <c r="G160" s="683"/>
      <c r="H160" s="683"/>
      <c r="I160" s="686"/>
      <c r="J160" s="682"/>
      <c r="K160" s="682"/>
      <c r="L160" s="682"/>
      <c r="M160" s="682"/>
      <c r="N160" s="686"/>
      <c r="O160" s="683"/>
      <c r="P160" s="683">
        <v>6.69</v>
      </c>
      <c r="Q160" s="686"/>
      <c r="R160" s="683">
        <v>1.25</v>
      </c>
      <c r="S160" s="682"/>
      <c r="T160" s="646">
        <f t="shared" si="14"/>
        <v>7.94</v>
      </c>
      <c r="U160" s="646">
        <f t="shared" si="23"/>
        <v>7.94</v>
      </c>
      <c r="V160" s="729" t="s">
        <v>1008</v>
      </c>
      <c r="W160" s="735"/>
      <c r="X160" s="732"/>
      <c r="Y160" s="732"/>
      <c r="Z160" s="732"/>
      <c r="AA160" s="732"/>
    </row>
    <row r="161" spans="1:27" ht="39.75" customHeight="1">
      <c r="A161" s="736"/>
      <c r="B161" s="736"/>
      <c r="C161" s="736"/>
      <c r="D161" s="644">
        <v>152</v>
      </c>
      <c r="E161" s="741" t="s">
        <v>321</v>
      </c>
      <c r="F161" s="682"/>
      <c r="G161" s="682"/>
      <c r="H161" s="682"/>
      <c r="I161" s="682"/>
      <c r="J161" s="682"/>
      <c r="K161" s="682"/>
      <c r="L161" s="682"/>
      <c r="M161" s="682"/>
      <c r="N161" s="682"/>
      <c r="O161" s="682"/>
      <c r="P161" s="683"/>
      <c r="Q161" s="682"/>
      <c r="R161" s="682"/>
      <c r="S161" s="682"/>
      <c r="T161" s="646">
        <f t="shared" si="14"/>
        <v>0</v>
      </c>
      <c r="U161" s="646">
        <f t="shared" ref="U161:U162" si="24">T161*10%+T161</f>
        <v>0</v>
      </c>
      <c r="V161" s="729"/>
      <c r="W161" s="735"/>
      <c r="X161" s="732"/>
      <c r="Y161" s="732"/>
      <c r="Z161" s="732"/>
      <c r="AA161" s="732"/>
    </row>
    <row r="162" spans="1:27" ht="39.75" customHeight="1">
      <c r="A162" s="736"/>
      <c r="B162" s="736"/>
      <c r="C162" s="736"/>
      <c r="D162" s="644">
        <v>153</v>
      </c>
      <c r="E162" s="644" t="s">
        <v>322</v>
      </c>
      <c r="F162" s="787"/>
      <c r="G162" s="787"/>
      <c r="H162" s="787"/>
      <c r="I162" s="787"/>
      <c r="J162" s="787"/>
      <c r="K162" s="787"/>
      <c r="L162" s="787"/>
      <c r="M162" s="787"/>
      <c r="N162" s="686"/>
      <c r="O162" s="787"/>
      <c r="P162" s="787"/>
      <c r="Q162" s="787"/>
      <c r="R162" s="787"/>
      <c r="S162" s="787"/>
      <c r="T162" s="646">
        <f t="shared" si="14"/>
        <v>0</v>
      </c>
      <c r="U162" s="646">
        <f t="shared" si="24"/>
        <v>0</v>
      </c>
      <c r="V162" s="729"/>
      <c r="W162" s="735"/>
      <c r="X162" s="732"/>
      <c r="Y162" s="732"/>
      <c r="Z162" s="732"/>
      <c r="AA162" s="732"/>
    </row>
    <row r="163" spans="1:27" ht="45">
      <c r="A163" s="736"/>
      <c r="B163" s="699" t="s">
        <v>324</v>
      </c>
      <c r="C163" s="699" t="s">
        <v>325</v>
      </c>
      <c r="D163" s="644">
        <v>154</v>
      </c>
      <c r="E163" s="644" t="s">
        <v>326</v>
      </c>
      <c r="F163" s="645"/>
      <c r="G163" s="645"/>
      <c r="H163" s="645"/>
      <c r="I163" s="645"/>
      <c r="J163" s="645"/>
      <c r="K163" s="647"/>
      <c r="L163" s="645"/>
      <c r="M163" s="647"/>
      <c r="N163" s="645"/>
      <c r="O163" s="645"/>
      <c r="P163" s="645"/>
      <c r="Q163" s="648">
        <v>0.125</v>
      </c>
      <c r="R163" s="645"/>
      <c r="S163" s="645"/>
      <c r="T163" s="646">
        <f t="shared" si="14"/>
        <v>0.125</v>
      </c>
      <c r="U163" s="646">
        <f t="shared" ref="U163:U165" si="25">T163</f>
        <v>0.125</v>
      </c>
      <c r="V163" s="729" t="s">
        <v>1009</v>
      </c>
      <c r="W163" s="735"/>
      <c r="X163" s="732"/>
      <c r="Y163" s="732"/>
      <c r="Z163" s="732"/>
      <c r="AA163" s="732"/>
    </row>
    <row r="164" spans="1:27" ht="60">
      <c r="A164" s="736"/>
      <c r="B164" s="736"/>
      <c r="C164" s="736"/>
      <c r="D164" s="644">
        <v>155</v>
      </c>
      <c r="E164" s="741" t="s">
        <v>328</v>
      </c>
      <c r="F164" s="645"/>
      <c r="G164" s="645"/>
      <c r="H164" s="645"/>
      <c r="I164" s="645"/>
      <c r="J164" s="645"/>
      <c r="K164" s="645"/>
      <c r="L164" s="645"/>
      <c r="M164" s="645"/>
      <c r="N164" s="682">
        <v>1.0874999999999999</v>
      </c>
      <c r="O164" s="645"/>
      <c r="P164" s="648"/>
      <c r="Q164" s="645"/>
      <c r="R164" s="645"/>
      <c r="S164" s="645"/>
      <c r="T164" s="646">
        <f t="shared" si="14"/>
        <v>1.0874999999999999</v>
      </c>
      <c r="U164" s="646">
        <f t="shared" si="25"/>
        <v>1.0874999999999999</v>
      </c>
      <c r="V164" s="740" t="s">
        <v>1010</v>
      </c>
      <c r="W164" s="735"/>
      <c r="X164" s="732"/>
      <c r="Y164" s="732"/>
      <c r="Z164" s="732"/>
      <c r="AA164" s="732"/>
    </row>
    <row r="165" spans="1:27" ht="39.75" customHeight="1">
      <c r="A165" s="736"/>
      <c r="B165" s="736"/>
      <c r="C165" s="736"/>
      <c r="D165" s="644">
        <v>156</v>
      </c>
      <c r="E165" s="644" t="s">
        <v>329</v>
      </c>
      <c r="F165" s="645"/>
      <c r="G165" s="645"/>
      <c r="H165" s="648"/>
      <c r="I165" s="647"/>
      <c r="J165" s="645"/>
      <c r="K165" s="645"/>
      <c r="L165" s="645"/>
      <c r="M165" s="645"/>
      <c r="N165" s="645"/>
      <c r="O165" s="645"/>
      <c r="P165" s="648">
        <v>1</v>
      </c>
      <c r="Q165" s="645"/>
      <c r="R165" s="645"/>
      <c r="S165" s="645"/>
      <c r="T165" s="646">
        <f t="shared" si="14"/>
        <v>1</v>
      </c>
      <c r="U165" s="646">
        <f t="shared" si="25"/>
        <v>1</v>
      </c>
      <c r="V165" s="729" t="s">
        <v>846</v>
      </c>
      <c r="W165" s="735"/>
      <c r="X165" s="732"/>
      <c r="Y165" s="732"/>
      <c r="Z165" s="732"/>
      <c r="AA165" s="732"/>
    </row>
    <row r="166" spans="1:27" ht="39.75" customHeight="1">
      <c r="A166" s="736"/>
      <c r="B166" s="736"/>
      <c r="C166" s="736"/>
      <c r="D166" s="644">
        <v>157</v>
      </c>
      <c r="E166" s="644" t="s">
        <v>331</v>
      </c>
      <c r="F166" s="645"/>
      <c r="G166" s="645"/>
      <c r="H166" s="645"/>
      <c r="I166" s="645"/>
      <c r="J166" s="645"/>
      <c r="K166" s="645"/>
      <c r="L166" s="645"/>
      <c r="M166" s="645"/>
      <c r="N166" s="645"/>
      <c r="O166" s="645"/>
      <c r="P166" s="645"/>
      <c r="Q166" s="645"/>
      <c r="R166" s="645"/>
      <c r="S166" s="645"/>
      <c r="T166" s="646">
        <f t="shared" si="14"/>
        <v>0</v>
      </c>
      <c r="U166" s="646">
        <f t="shared" ref="U166:U167" si="26">T166*10%+T166</f>
        <v>0</v>
      </c>
      <c r="V166" s="729"/>
      <c r="W166" s="735"/>
      <c r="X166" s="732"/>
      <c r="Y166" s="732"/>
      <c r="Z166" s="732"/>
      <c r="AA166" s="732"/>
    </row>
    <row r="167" spans="1:27" ht="39.75" customHeight="1">
      <c r="A167" s="736"/>
      <c r="B167" s="736"/>
      <c r="C167" s="736"/>
      <c r="D167" s="644">
        <v>158</v>
      </c>
      <c r="E167" s="644" t="s">
        <v>332</v>
      </c>
      <c r="F167" s="645"/>
      <c r="G167" s="645"/>
      <c r="H167" s="645"/>
      <c r="I167" s="645"/>
      <c r="J167" s="645"/>
      <c r="K167" s="645"/>
      <c r="L167" s="645"/>
      <c r="M167" s="645"/>
      <c r="N167" s="645"/>
      <c r="O167" s="645"/>
      <c r="P167" s="645"/>
      <c r="Q167" s="647"/>
      <c r="R167" s="645"/>
      <c r="S167" s="645"/>
      <c r="T167" s="646">
        <f t="shared" si="14"/>
        <v>0</v>
      </c>
      <c r="U167" s="646">
        <f t="shared" si="26"/>
        <v>0</v>
      </c>
      <c r="V167" s="729"/>
      <c r="W167" s="735"/>
      <c r="X167" s="732"/>
      <c r="Y167" s="732"/>
      <c r="Z167" s="732"/>
      <c r="AA167" s="732"/>
    </row>
    <row r="168" spans="1:27" ht="39.75" customHeight="1">
      <c r="A168" s="736"/>
      <c r="B168" s="699" t="s">
        <v>333</v>
      </c>
      <c r="C168" s="699" t="s">
        <v>275</v>
      </c>
      <c r="D168" s="644">
        <v>159</v>
      </c>
      <c r="E168" s="741" t="s">
        <v>276</v>
      </c>
      <c r="F168" s="645"/>
      <c r="G168" s="645"/>
      <c r="H168" s="645"/>
      <c r="I168" s="645"/>
      <c r="J168" s="645"/>
      <c r="K168" s="647"/>
      <c r="L168" s="645"/>
      <c r="M168" s="645"/>
      <c r="N168" s="648">
        <v>16.21</v>
      </c>
      <c r="O168" s="648">
        <v>240.57499999999999</v>
      </c>
      <c r="P168" s="648">
        <v>23.21</v>
      </c>
      <c r="Q168" s="645">
        <v>3.9220000000000002</v>
      </c>
      <c r="R168" s="645"/>
      <c r="S168" s="645"/>
      <c r="T168" s="646">
        <f t="shared" si="14"/>
        <v>283.91699999999997</v>
      </c>
      <c r="U168" s="658">
        <f>T168+2</f>
        <v>285.91699999999997</v>
      </c>
      <c r="V168" s="744" t="s">
        <v>1746</v>
      </c>
      <c r="W168" s="735"/>
      <c r="X168" s="732"/>
      <c r="Y168" s="732"/>
      <c r="Z168" s="732"/>
      <c r="AA168" s="732"/>
    </row>
    <row r="169" spans="1:27" ht="39.75" customHeight="1">
      <c r="A169" s="736"/>
      <c r="B169" s="736"/>
      <c r="C169" s="736"/>
      <c r="D169" s="644">
        <v>160</v>
      </c>
      <c r="E169" s="644" t="s">
        <v>334</v>
      </c>
      <c r="F169" s="645"/>
      <c r="G169" s="645"/>
      <c r="H169" s="645"/>
      <c r="I169" s="645"/>
      <c r="J169" s="645"/>
      <c r="K169" s="645"/>
      <c r="L169" s="645"/>
      <c r="M169" s="645"/>
      <c r="N169" s="645"/>
      <c r="O169" s="645"/>
      <c r="P169" s="645"/>
      <c r="Q169" s="645"/>
      <c r="R169" s="645"/>
      <c r="S169" s="645"/>
      <c r="T169" s="646">
        <f t="shared" si="14"/>
        <v>0</v>
      </c>
      <c r="U169" s="646">
        <f t="shared" ref="U169:U171" si="27">T169*10%+T169</f>
        <v>0</v>
      </c>
      <c r="V169" s="729"/>
      <c r="W169" s="735"/>
      <c r="X169" s="732"/>
      <c r="Y169" s="732"/>
      <c r="Z169" s="732"/>
      <c r="AA169" s="732"/>
    </row>
    <row r="170" spans="1:27" ht="39.75" customHeight="1">
      <c r="A170" s="736"/>
      <c r="B170" s="736"/>
      <c r="C170" s="736"/>
      <c r="D170" s="644">
        <v>161</v>
      </c>
      <c r="E170" s="644" t="s">
        <v>279</v>
      </c>
      <c r="F170" s="645"/>
      <c r="G170" s="645"/>
      <c r="H170" s="645"/>
      <c r="I170" s="645"/>
      <c r="J170" s="645"/>
      <c r="K170" s="645"/>
      <c r="L170" s="645"/>
      <c r="M170" s="645"/>
      <c r="N170" s="645"/>
      <c r="O170" s="645"/>
      <c r="P170" s="645"/>
      <c r="Q170" s="645"/>
      <c r="R170" s="645"/>
      <c r="S170" s="645"/>
      <c r="T170" s="646">
        <f t="shared" si="14"/>
        <v>0</v>
      </c>
      <c r="U170" s="646">
        <f t="shared" si="27"/>
        <v>0</v>
      </c>
      <c r="V170" s="729"/>
      <c r="W170" s="735"/>
      <c r="X170" s="732"/>
      <c r="Y170" s="732"/>
      <c r="Z170" s="732"/>
      <c r="AA170" s="732"/>
    </row>
    <row r="171" spans="1:27" ht="39.75" customHeight="1">
      <c r="A171" s="736"/>
      <c r="B171" s="736"/>
      <c r="C171" s="736"/>
      <c r="D171" s="644">
        <v>162</v>
      </c>
      <c r="E171" s="644" t="s">
        <v>280</v>
      </c>
      <c r="F171" s="645"/>
      <c r="G171" s="645"/>
      <c r="H171" s="645"/>
      <c r="I171" s="645"/>
      <c r="J171" s="645"/>
      <c r="K171" s="645"/>
      <c r="L171" s="645"/>
      <c r="M171" s="645"/>
      <c r="N171" s="645"/>
      <c r="O171" s="645"/>
      <c r="P171" s="645"/>
      <c r="Q171" s="645"/>
      <c r="R171" s="645"/>
      <c r="S171" s="645"/>
      <c r="T171" s="646">
        <f t="shared" si="14"/>
        <v>0</v>
      </c>
      <c r="U171" s="646">
        <f t="shared" si="27"/>
        <v>0</v>
      </c>
      <c r="V171" s="729"/>
      <c r="W171" s="735"/>
      <c r="X171" s="732"/>
      <c r="Y171" s="732"/>
      <c r="Z171" s="732"/>
      <c r="AA171" s="732"/>
    </row>
    <row r="172" spans="1:27" ht="69" customHeight="1">
      <c r="A172" s="736"/>
      <c r="B172" s="736"/>
      <c r="C172" s="736"/>
      <c r="D172" s="644">
        <v>163</v>
      </c>
      <c r="E172" s="644" t="s">
        <v>335</v>
      </c>
      <c r="F172" s="645"/>
      <c r="G172" s="645"/>
      <c r="H172" s="645"/>
      <c r="I172" s="645"/>
      <c r="J172" s="645"/>
      <c r="K172" s="645"/>
      <c r="L172" s="645"/>
      <c r="M172" s="645"/>
      <c r="N172" s="645"/>
      <c r="O172" s="648">
        <v>4.6100000000000003</v>
      </c>
      <c r="P172" s="648"/>
      <c r="Q172" s="647">
        <v>10</v>
      </c>
      <c r="R172" s="645"/>
      <c r="S172" s="645"/>
      <c r="T172" s="646">
        <f t="shared" si="14"/>
        <v>14.61</v>
      </c>
      <c r="U172" s="646">
        <f>T172</f>
        <v>14.61</v>
      </c>
      <c r="V172" s="729" t="s">
        <v>1011</v>
      </c>
      <c r="W172" s="735"/>
      <c r="X172" s="732"/>
      <c r="Y172" s="732"/>
      <c r="Z172" s="732"/>
      <c r="AA172" s="732"/>
    </row>
    <row r="173" spans="1:27" ht="39.75" customHeight="1">
      <c r="A173" s="736"/>
      <c r="B173" s="699" t="s">
        <v>336</v>
      </c>
      <c r="C173" s="699" t="s">
        <v>337</v>
      </c>
      <c r="D173" s="644">
        <v>164</v>
      </c>
      <c r="E173" s="644" t="s">
        <v>338</v>
      </c>
      <c r="F173" s="645"/>
      <c r="G173" s="648"/>
      <c r="H173" s="648"/>
      <c r="I173" s="645"/>
      <c r="J173" s="645"/>
      <c r="K173" s="645"/>
      <c r="L173" s="645"/>
      <c r="M173" s="645"/>
      <c r="N173" s="645"/>
      <c r="O173" s="645"/>
      <c r="P173" s="645"/>
      <c r="Q173" s="645"/>
      <c r="R173" s="645"/>
      <c r="S173" s="645"/>
      <c r="T173" s="646">
        <f t="shared" si="14"/>
        <v>0</v>
      </c>
      <c r="U173" s="646"/>
      <c r="V173" s="729"/>
      <c r="W173" s="735"/>
      <c r="X173" s="732"/>
      <c r="Y173" s="732"/>
      <c r="Z173" s="732"/>
      <c r="AA173" s="732"/>
    </row>
    <row r="174" spans="1:27" ht="39.75" customHeight="1">
      <c r="A174" s="736"/>
      <c r="B174" s="736"/>
      <c r="C174" s="736"/>
      <c r="D174" s="644">
        <v>165</v>
      </c>
      <c r="E174" s="644" t="s">
        <v>339</v>
      </c>
      <c r="F174" s="645"/>
      <c r="G174" s="648"/>
      <c r="H174" s="648"/>
      <c r="I174" s="645"/>
      <c r="J174" s="645"/>
      <c r="K174" s="645"/>
      <c r="L174" s="645"/>
      <c r="M174" s="645"/>
      <c r="N174" s="645"/>
      <c r="O174" s="645"/>
      <c r="P174" s="645"/>
      <c r="Q174" s="645"/>
      <c r="R174" s="645"/>
      <c r="S174" s="645"/>
      <c r="T174" s="646">
        <f t="shared" si="14"/>
        <v>0</v>
      </c>
      <c r="U174" s="646"/>
      <c r="V174" s="729"/>
      <c r="W174" s="735"/>
      <c r="X174" s="732"/>
      <c r="Y174" s="732"/>
      <c r="Z174" s="732"/>
      <c r="AA174" s="732"/>
    </row>
    <row r="175" spans="1:27" ht="39.75" customHeight="1">
      <c r="A175" s="736"/>
      <c r="B175" s="736"/>
      <c r="C175" s="736"/>
      <c r="D175" s="644">
        <v>166</v>
      </c>
      <c r="E175" s="644" t="s">
        <v>340</v>
      </c>
      <c r="F175" s="645"/>
      <c r="G175" s="648"/>
      <c r="H175" s="648"/>
      <c r="I175" s="645"/>
      <c r="J175" s="645"/>
      <c r="K175" s="645"/>
      <c r="L175" s="645"/>
      <c r="M175" s="645"/>
      <c r="N175" s="645"/>
      <c r="O175" s="645"/>
      <c r="P175" s="645"/>
      <c r="Q175" s="645"/>
      <c r="R175" s="645"/>
      <c r="S175" s="645"/>
      <c r="T175" s="646">
        <f t="shared" si="14"/>
        <v>0</v>
      </c>
      <c r="U175" s="646">
        <f t="shared" ref="U175:U177" si="28">T175*10%+T175</f>
        <v>0</v>
      </c>
      <c r="V175" s="729"/>
      <c r="W175" s="735"/>
      <c r="X175" s="732"/>
      <c r="Y175" s="732"/>
      <c r="Z175" s="732"/>
      <c r="AA175" s="732"/>
    </row>
    <row r="176" spans="1:27" ht="39.75" customHeight="1">
      <c r="A176" s="736"/>
      <c r="B176" s="736"/>
      <c r="C176" s="736"/>
      <c r="D176" s="644">
        <v>167</v>
      </c>
      <c r="E176" s="644" t="s">
        <v>341</v>
      </c>
      <c r="F176" s="645"/>
      <c r="G176" s="648"/>
      <c r="H176" s="648"/>
      <c r="I176" s="645"/>
      <c r="J176" s="645"/>
      <c r="K176" s="645"/>
      <c r="L176" s="645"/>
      <c r="M176" s="645"/>
      <c r="N176" s="645"/>
      <c r="O176" s="645"/>
      <c r="P176" s="645"/>
      <c r="Q176" s="645"/>
      <c r="R176" s="645"/>
      <c r="S176" s="645"/>
      <c r="T176" s="646">
        <f t="shared" si="14"/>
        <v>0</v>
      </c>
      <c r="U176" s="646">
        <f t="shared" si="28"/>
        <v>0</v>
      </c>
      <c r="V176" s="729"/>
      <c r="W176" s="735"/>
      <c r="X176" s="732"/>
      <c r="Y176" s="732"/>
      <c r="Z176" s="732"/>
      <c r="AA176" s="732"/>
    </row>
    <row r="177" spans="1:27" ht="39.75" customHeight="1">
      <c r="A177" s="736"/>
      <c r="B177" s="736"/>
      <c r="C177" s="736"/>
      <c r="D177" s="644">
        <v>168</v>
      </c>
      <c r="E177" s="644" t="s">
        <v>342</v>
      </c>
      <c r="F177" s="645"/>
      <c r="G177" s="648"/>
      <c r="H177" s="648"/>
      <c r="I177" s="645"/>
      <c r="J177" s="645"/>
      <c r="K177" s="645"/>
      <c r="L177" s="645"/>
      <c r="M177" s="645"/>
      <c r="N177" s="645"/>
      <c r="O177" s="645"/>
      <c r="P177" s="645"/>
      <c r="Q177" s="645"/>
      <c r="R177" s="645"/>
      <c r="S177" s="645"/>
      <c r="T177" s="646">
        <f t="shared" si="14"/>
        <v>0</v>
      </c>
      <c r="U177" s="646">
        <f t="shared" si="28"/>
        <v>0</v>
      </c>
      <c r="V177" s="729"/>
      <c r="W177" s="735"/>
      <c r="X177" s="732"/>
      <c r="Y177" s="732"/>
      <c r="Z177" s="732"/>
      <c r="AA177" s="732"/>
    </row>
    <row r="178" spans="1:27" ht="39.75" customHeight="1">
      <c r="A178" s="736"/>
      <c r="B178" s="736"/>
      <c r="C178" s="736"/>
      <c r="D178" s="644">
        <v>169</v>
      </c>
      <c r="E178" s="644" t="s">
        <v>343</v>
      </c>
      <c r="F178" s="645"/>
      <c r="G178" s="648"/>
      <c r="H178" s="648"/>
      <c r="I178" s="647"/>
      <c r="J178" s="645"/>
      <c r="K178" s="645"/>
      <c r="L178" s="645"/>
      <c r="M178" s="645"/>
      <c r="N178" s="645"/>
      <c r="O178" s="645"/>
      <c r="P178" s="645"/>
      <c r="Q178" s="645"/>
      <c r="R178" s="645"/>
      <c r="S178" s="645"/>
      <c r="T178" s="646">
        <f t="shared" si="14"/>
        <v>0</v>
      </c>
      <c r="U178" s="646"/>
      <c r="V178" s="729"/>
      <c r="W178" s="735"/>
      <c r="X178" s="732"/>
      <c r="Y178" s="732"/>
      <c r="Z178" s="732"/>
      <c r="AA178" s="732"/>
    </row>
    <row r="179" spans="1:27" ht="39.75" customHeight="1">
      <c r="A179" s="736"/>
      <c r="B179" s="736"/>
      <c r="C179" s="736"/>
      <c r="D179" s="644">
        <v>170</v>
      </c>
      <c r="E179" s="644" t="s">
        <v>344</v>
      </c>
      <c r="F179" s="645"/>
      <c r="G179" s="645"/>
      <c r="H179" s="645"/>
      <c r="I179" s="645"/>
      <c r="J179" s="645"/>
      <c r="K179" s="645"/>
      <c r="L179" s="645"/>
      <c r="M179" s="645"/>
      <c r="N179" s="645"/>
      <c r="O179" s="645"/>
      <c r="P179" s="645"/>
      <c r="Q179" s="645"/>
      <c r="R179" s="645"/>
      <c r="S179" s="645"/>
      <c r="T179" s="646">
        <f t="shared" si="14"/>
        <v>0</v>
      </c>
      <c r="U179" s="646">
        <f t="shared" ref="U179:U183" si="29">T179*10%+T179</f>
        <v>0</v>
      </c>
      <c r="V179" s="729"/>
      <c r="W179" s="735"/>
      <c r="X179" s="732"/>
      <c r="Y179" s="732"/>
      <c r="Z179" s="732"/>
      <c r="AA179" s="732"/>
    </row>
    <row r="180" spans="1:27" ht="39.75" customHeight="1">
      <c r="A180" s="736"/>
      <c r="B180" s="699" t="s">
        <v>345</v>
      </c>
      <c r="C180" s="699" t="s">
        <v>346</v>
      </c>
      <c r="D180" s="644">
        <v>171</v>
      </c>
      <c r="E180" s="644" t="s">
        <v>347</v>
      </c>
      <c r="F180" s="645"/>
      <c r="G180" s="645"/>
      <c r="H180" s="645"/>
      <c r="I180" s="645"/>
      <c r="J180" s="645"/>
      <c r="K180" s="645"/>
      <c r="L180" s="645"/>
      <c r="M180" s="645"/>
      <c r="N180" s="645"/>
      <c r="O180" s="645"/>
      <c r="P180" s="645"/>
      <c r="Q180" s="645"/>
      <c r="R180" s="645"/>
      <c r="S180" s="645"/>
      <c r="T180" s="646">
        <f t="shared" si="14"/>
        <v>0</v>
      </c>
      <c r="U180" s="646">
        <f t="shared" si="29"/>
        <v>0</v>
      </c>
      <c r="V180" s="729"/>
      <c r="W180" s="735"/>
      <c r="X180" s="732"/>
      <c r="Y180" s="732"/>
      <c r="Z180" s="732"/>
      <c r="AA180" s="732"/>
    </row>
    <row r="181" spans="1:27" ht="39.75" customHeight="1">
      <c r="A181" s="736"/>
      <c r="B181" s="736"/>
      <c r="C181" s="736"/>
      <c r="D181" s="644">
        <v>172</v>
      </c>
      <c r="E181" s="644" t="s">
        <v>348</v>
      </c>
      <c r="F181" s="645"/>
      <c r="G181" s="645"/>
      <c r="H181" s="645"/>
      <c r="I181" s="645"/>
      <c r="J181" s="645"/>
      <c r="K181" s="645"/>
      <c r="L181" s="645"/>
      <c r="M181" s="645"/>
      <c r="N181" s="645"/>
      <c r="O181" s="645"/>
      <c r="P181" s="647"/>
      <c r="Q181" s="645"/>
      <c r="R181" s="645"/>
      <c r="S181" s="645"/>
      <c r="T181" s="646">
        <f t="shared" si="14"/>
        <v>0</v>
      </c>
      <c r="U181" s="646">
        <f t="shared" si="29"/>
        <v>0</v>
      </c>
      <c r="V181" s="729"/>
      <c r="W181" s="735"/>
      <c r="X181" s="732"/>
      <c r="Y181" s="732"/>
      <c r="Z181" s="732"/>
      <c r="AA181" s="732"/>
    </row>
    <row r="182" spans="1:27" ht="39.75" customHeight="1">
      <c r="A182" s="736"/>
      <c r="B182" s="736"/>
      <c r="C182" s="736"/>
      <c r="D182" s="644">
        <v>173</v>
      </c>
      <c r="E182" s="644" t="s">
        <v>349</v>
      </c>
      <c r="F182" s="645"/>
      <c r="G182" s="645"/>
      <c r="H182" s="645"/>
      <c r="I182" s="645"/>
      <c r="J182" s="645"/>
      <c r="K182" s="645"/>
      <c r="L182" s="645"/>
      <c r="M182" s="645"/>
      <c r="N182" s="645"/>
      <c r="O182" s="645"/>
      <c r="P182" s="645"/>
      <c r="Q182" s="645"/>
      <c r="R182" s="645"/>
      <c r="S182" s="645"/>
      <c r="T182" s="646">
        <f t="shared" si="14"/>
        <v>0</v>
      </c>
      <c r="U182" s="646">
        <f t="shared" si="29"/>
        <v>0</v>
      </c>
      <c r="V182" s="729"/>
      <c r="W182" s="735"/>
      <c r="X182" s="732"/>
      <c r="Y182" s="732"/>
      <c r="Z182" s="732"/>
      <c r="AA182" s="732"/>
    </row>
    <row r="183" spans="1:27" ht="39.75" customHeight="1">
      <c r="A183" s="736"/>
      <c r="B183" s="736"/>
      <c r="C183" s="736"/>
      <c r="D183" s="644">
        <v>174</v>
      </c>
      <c r="E183" s="644" t="s">
        <v>350</v>
      </c>
      <c r="F183" s="645"/>
      <c r="G183" s="645"/>
      <c r="H183" s="645"/>
      <c r="I183" s="645"/>
      <c r="J183" s="645"/>
      <c r="K183" s="645"/>
      <c r="L183" s="645"/>
      <c r="M183" s="645"/>
      <c r="N183" s="645"/>
      <c r="O183" s="645"/>
      <c r="P183" s="647"/>
      <c r="Q183" s="645"/>
      <c r="R183" s="645"/>
      <c r="S183" s="645"/>
      <c r="T183" s="646">
        <f t="shared" si="14"/>
        <v>0</v>
      </c>
      <c r="U183" s="646">
        <f t="shared" si="29"/>
        <v>0</v>
      </c>
      <c r="V183" s="729"/>
      <c r="W183" s="735"/>
      <c r="X183" s="732"/>
      <c r="Y183" s="732"/>
      <c r="Z183" s="732"/>
      <c r="AA183" s="732"/>
    </row>
    <row r="184" spans="1:27" ht="409.5">
      <c r="A184" s="736"/>
      <c r="B184" s="699" t="s">
        <v>351</v>
      </c>
      <c r="C184" s="699" t="s">
        <v>290</v>
      </c>
      <c r="D184" s="644">
        <v>175</v>
      </c>
      <c r="E184" s="644" t="s">
        <v>291</v>
      </c>
      <c r="F184" s="649"/>
      <c r="G184" s="649"/>
      <c r="H184" s="649"/>
      <c r="I184" s="650">
        <v>4</v>
      </c>
      <c r="J184" s="649"/>
      <c r="K184" s="649"/>
      <c r="L184" s="649"/>
      <c r="M184" s="649"/>
      <c r="N184" s="651">
        <v>6.63</v>
      </c>
      <c r="O184" s="649"/>
      <c r="P184" s="678">
        <f>5+27.08</f>
        <v>32.08</v>
      </c>
      <c r="Q184" s="651">
        <v>1</v>
      </c>
      <c r="R184" s="650">
        <v>0.79</v>
      </c>
      <c r="S184" s="650"/>
      <c r="T184" s="646">
        <f t="shared" si="14"/>
        <v>44.499999999999993</v>
      </c>
      <c r="U184" s="646">
        <f t="shared" ref="U184:U186" si="30">T184</f>
        <v>44.499999999999993</v>
      </c>
      <c r="V184" s="788" t="s">
        <v>1012</v>
      </c>
      <c r="W184" s="735"/>
      <c r="X184" s="732"/>
      <c r="Y184" s="732"/>
      <c r="Z184" s="732"/>
      <c r="AA184" s="732"/>
    </row>
    <row r="185" spans="1:27" ht="409.5">
      <c r="A185" s="736"/>
      <c r="B185" s="736"/>
      <c r="C185" s="736"/>
      <c r="D185" s="644">
        <v>176</v>
      </c>
      <c r="E185" s="644" t="s">
        <v>293</v>
      </c>
      <c r="F185" s="649"/>
      <c r="G185" s="649"/>
      <c r="H185" s="649"/>
      <c r="I185" s="649"/>
      <c r="J185" s="649"/>
      <c r="K185" s="649"/>
      <c r="L185" s="649"/>
      <c r="M185" s="650">
        <v>9.9</v>
      </c>
      <c r="N185" s="649"/>
      <c r="O185" s="649"/>
      <c r="P185" s="650">
        <v>36.43</v>
      </c>
      <c r="Q185" s="650">
        <v>3.5</v>
      </c>
      <c r="R185" s="649"/>
      <c r="S185" s="649"/>
      <c r="T185" s="646">
        <f t="shared" si="14"/>
        <v>49.83</v>
      </c>
      <c r="U185" s="646">
        <f t="shared" si="30"/>
        <v>49.83</v>
      </c>
      <c r="V185" s="788" t="s">
        <v>1013</v>
      </c>
      <c r="W185" s="735"/>
      <c r="X185" s="732"/>
      <c r="Y185" s="732"/>
      <c r="Z185" s="732"/>
      <c r="AA185" s="732"/>
    </row>
    <row r="186" spans="1:27" ht="75">
      <c r="A186" s="736"/>
      <c r="B186" s="736"/>
      <c r="C186" s="736"/>
      <c r="D186" s="644">
        <v>177</v>
      </c>
      <c r="E186" s="644" t="s">
        <v>295</v>
      </c>
      <c r="F186" s="649"/>
      <c r="G186" s="649"/>
      <c r="H186" s="649"/>
      <c r="I186" s="649"/>
      <c r="J186" s="649"/>
      <c r="K186" s="649"/>
      <c r="L186" s="649"/>
      <c r="M186" s="649"/>
      <c r="N186" s="651">
        <v>1</v>
      </c>
      <c r="O186" s="649"/>
      <c r="P186" s="649"/>
      <c r="Q186" s="649"/>
      <c r="R186" s="649"/>
      <c r="S186" s="649"/>
      <c r="T186" s="646">
        <f t="shared" si="14"/>
        <v>1</v>
      </c>
      <c r="U186" s="646">
        <f t="shared" si="30"/>
        <v>1</v>
      </c>
      <c r="V186" s="738" t="s">
        <v>352</v>
      </c>
      <c r="W186" s="735"/>
      <c r="X186" s="732"/>
      <c r="Y186" s="732"/>
      <c r="Z186" s="732"/>
      <c r="AA186" s="732"/>
    </row>
    <row r="187" spans="1:27" ht="39.75" customHeight="1">
      <c r="A187" s="736"/>
      <c r="B187" s="699" t="s">
        <v>353</v>
      </c>
      <c r="C187" s="699" t="s">
        <v>354</v>
      </c>
      <c r="D187" s="644">
        <v>178</v>
      </c>
      <c r="E187" s="644" t="s">
        <v>355</v>
      </c>
      <c r="F187" s="645"/>
      <c r="G187" s="645"/>
      <c r="H187" s="645"/>
      <c r="I187" s="645"/>
      <c r="J187" s="645"/>
      <c r="K187" s="645"/>
      <c r="L187" s="645"/>
      <c r="M187" s="645"/>
      <c r="N187" s="645"/>
      <c r="O187" s="645"/>
      <c r="P187" s="847">
        <v>1.5</v>
      </c>
      <c r="Q187" s="829"/>
      <c r="R187" s="829"/>
      <c r="S187" s="829"/>
      <c r="T187" s="847">
        <f t="shared" ref="T187" si="31">SUM(F187:S187)</f>
        <v>1.5</v>
      </c>
      <c r="U187" s="847">
        <f>T187</f>
        <v>1.5</v>
      </c>
      <c r="V187" s="744" t="s">
        <v>1857</v>
      </c>
      <c r="W187" s="735"/>
      <c r="X187" s="732"/>
      <c r="Y187" s="732"/>
      <c r="Z187" s="732"/>
      <c r="AA187" s="732"/>
    </row>
    <row r="188" spans="1:27" ht="39.75" customHeight="1">
      <c r="A188" s="736"/>
      <c r="B188" s="736"/>
      <c r="C188" s="736"/>
      <c r="D188" s="644">
        <v>179</v>
      </c>
      <c r="E188" s="644" t="s">
        <v>157</v>
      </c>
      <c r="F188" s="645"/>
      <c r="G188" s="645"/>
      <c r="H188" s="645"/>
      <c r="I188" s="645"/>
      <c r="J188" s="645"/>
      <c r="K188" s="645"/>
      <c r="L188" s="645"/>
      <c r="M188" s="645"/>
      <c r="N188" s="645"/>
      <c r="O188" s="645"/>
      <c r="P188" s="645"/>
      <c r="Q188" s="645"/>
      <c r="R188" s="645"/>
      <c r="S188" s="645"/>
      <c r="T188" s="646">
        <f t="shared" si="14"/>
        <v>0</v>
      </c>
      <c r="U188" s="646">
        <f t="shared" ref="U187:U190" si="32">T188*10%+T188</f>
        <v>0</v>
      </c>
      <c r="V188" s="729"/>
      <c r="W188" s="735"/>
      <c r="X188" s="732"/>
      <c r="Y188" s="732"/>
      <c r="Z188" s="732"/>
      <c r="AA188" s="732"/>
    </row>
    <row r="189" spans="1:27" ht="39.75" customHeight="1">
      <c r="A189" s="736"/>
      <c r="B189" s="736"/>
      <c r="C189" s="736"/>
      <c r="D189" s="644">
        <v>180</v>
      </c>
      <c r="E189" s="644" t="s">
        <v>356</v>
      </c>
      <c r="F189" s="645"/>
      <c r="G189" s="645"/>
      <c r="H189" s="645"/>
      <c r="I189" s="645"/>
      <c r="J189" s="645"/>
      <c r="K189" s="647"/>
      <c r="L189" s="645"/>
      <c r="M189" s="645"/>
      <c r="N189" s="645"/>
      <c r="O189" s="645"/>
      <c r="P189" s="648"/>
      <c r="Q189" s="645"/>
      <c r="R189" s="645"/>
      <c r="S189" s="645"/>
      <c r="T189" s="646">
        <f t="shared" si="14"/>
        <v>0</v>
      </c>
      <c r="U189" s="646">
        <f t="shared" si="32"/>
        <v>0</v>
      </c>
      <c r="V189" s="729"/>
      <c r="W189" s="735"/>
      <c r="X189" s="732"/>
      <c r="Y189" s="732"/>
      <c r="Z189" s="732"/>
      <c r="AA189" s="732"/>
    </row>
    <row r="190" spans="1:27" ht="39.75" customHeight="1">
      <c r="A190" s="736"/>
      <c r="B190" s="736"/>
      <c r="C190" s="736"/>
      <c r="D190" s="644">
        <v>181</v>
      </c>
      <c r="E190" s="644" t="s">
        <v>357</v>
      </c>
      <c r="F190" s="645"/>
      <c r="G190" s="645"/>
      <c r="H190" s="645"/>
      <c r="I190" s="645"/>
      <c r="J190" s="645"/>
      <c r="K190" s="645"/>
      <c r="L190" s="645"/>
      <c r="M190" s="645"/>
      <c r="N190" s="645"/>
      <c r="O190" s="645"/>
      <c r="P190" s="645"/>
      <c r="Q190" s="645"/>
      <c r="R190" s="645"/>
      <c r="S190" s="645"/>
      <c r="T190" s="646">
        <f t="shared" si="14"/>
        <v>0</v>
      </c>
      <c r="U190" s="646">
        <f t="shared" si="32"/>
        <v>0</v>
      </c>
      <c r="V190" s="729"/>
      <c r="W190" s="735"/>
      <c r="X190" s="732"/>
      <c r="Y190" s="732"/>
      <c r="Z190" s="732"/>
      <c r="AA190" s="732"/>
    </row>
    <row r="191" spans="1:27" ht="39.75" customHeight="1">
      <c r="A191" s="736"/>
      <c r="B191" s="736"/>
      <c r="C191" s="736"/>
      <c r="D191" s="644">
        <v>182</v>
      </c>
      <c r="E191" s="644" t="s">
        <v>358</v>
      </c>
      <c r="F191" s="645"/>
      <c r="G191" s="645"/>
      <c r="H191" s="645"/>
      <c r="I191" s="645"/>
      <c r="J191" s="645"/>
      <c r="K191" s="645"/>
      <c r="L191" s="645"/>
      <c r="M191" s="645"/>
      <c r="N191" s="645"/>
      <c r="O191" s="645"/>
      <c r="P191" s="647">
        <v>18</v>
      </c>
      <c r="Q191" s="645"/>
      <c r="R191" s="645"/>
      <c r="S191" s="645"/>
      <c r="T191" s="646">
        <f t="shared" si="14"/>
        <v>18</v>
      </c>
      <c r="U191" s="658">
        <f>T191*1.05</f>
        <v>18.900000000000002</v>
      </c>
      <c r="V191" s="729" t="s">
        <v>1014</v>
      </c>
      <c r="W191" s="735">
        <v>4</v>
      </c>
      <c r="X191" s="732"/>
      <c r="Y191" s="732"/>
      <c r="Z191" s="732"/>
      <c r="AA191" s="732"/>
    </row>
    <row r="192" spans="1:27" ht="39.75" customHeight="1">
      <c r="A192" s="736"/>
      <c r="B192" s="736"/>
      <c r="C192" s="736"/>
      <c r="D192" s="644">
        <v>183</v>
      </c>
      <c r="E192" s="644" t="s">
        <v>360</v>
      </c>
      <c r="F192" s="645"/>
      <c r="G192" s="645"/>
      <c r="H192" s="645"/>
      <c r="I192" s="645"/>
      <c r="J192" s="645"/>
      <c r="K192" s="645"/>
      <c r="L192" s="645"/>
      <c r="M192" s="645"/>
      <c r="N192" s="645"/>
      <c r="O192" s="645"/>
      <c r="P192" s="648"/>
      <c r="Q192" s="645"/>
      <c r="R192" s="645"/>
      <c r="S192" s="645"/>
      <c r="T192" s="646">
        <f t="shared" si="14"/>
        <v>0</v>
      </c>
      <c r="U192" s="646">
        <f t="shared" ref="U192:U193" si="33">T192*10%+T192</f>
        <v>0</v>
      </c>
      <c r="V192" s="729"/>
      <c r="W192" s="735"/>
      <c r="X192" s="732"/>
      <c r="Y192" s="732"/>
      <c r="Z192" s="732"/>
      <c r="AA192" s="732"/>
    </row>
    <row r="193" spans="1:27" ht="39.75" customHeight="1">
      <c r="A193" s="736"/>
      <c r="B193" s="644" t="s">
        <v>361</v>
      </c>
      <c r="C193" s="644" t="s">
        <v>362</v>
      </c>
      <c r="D193" s="644">
        <v>184</v>
      </c>
      <c r="E193" s="644" t="s">
        <v>363</v>
      </c>
      <c r="F193" s="645"/>
      <c r="G193" s="645"/>
      <c r="H193" s="645"/>
      <c r="I193" s="645"/>
      <c r="J193" s="645"/>
      <c r="K193" s="645"/>
      <c r="L193" s="645"/>
      <c r="M193" s="645"/>
      <c r="N193" s="645"/>
      <c r="O193" s="645"/>
      <c r="P193" s="647"/>
      <c r="Q193" s="645"/>
      <c r="R193" s="645"/>
      <c r="S193" s="645"/>
      <c r="T193" s="646">
        <f t="shared" si="14"/>
        <v>0</v>
      </c>
      <c r="U193" s="646">
        <f t="shared" si="33"/>
        <v>0</v>
      </c>
      <c r="V193" s="729"/>
      <c r="W193" s="735"/>
      <c r="X193" s="732"/>
      <c r="Y193" s="732"/>
      <c r="Z193" s="732"/>
      <c r="AA193" s="732"/>
    </row>
    <row r="194" spans="1:27" ht="39.75" customHeight="1">
      <c r="A194" s="736"/>
      <c r="B194" s="699" t="s">
        <v>364</v>
      </c>
      <c r="C194" s="699" t="s">
        <v>297</v>
      </c>
      <c r="D194" s="644">
        <v>185</v>
      </c>
      <c r="E194" s="644" t="s">
        <v>298</v>
      </c>
      <c r="F194" s="645"/>
      <c r="G194" s="645"/>
      <c r="H194" s="645"/>
      <c r="I194" s="645"/>
      <c r="J194" s="645"/>
      <c r="K194" s="645"/>
      <c r="L194" s="645"/>
      <c r="M194" s="645"/>
      <c r="N194" s="645"/>
      <c r="O194" s="645"/>
      <c r="P194" s="783">
        <v>1924.5371299999986</v>
      </c>
      <c r="Q194" s="645"/>
      <c r="R194" s="645"/>
      <c r="S194" s="645"/>
      <c r="T194" s="646">
        <f t="shared" si="14"/>
        <v>1924.5371299999986</v>
      </c>
      <c r="U194" s="783">
        <v>2067.7226924719985</v>
      </c>
      <c r="V194" s="881" t="s">
        <v>1732</v>
      </c>
      <c r="W194" s="735"/>
      <c r="X194" s="732"/>
      <c r="Y194" s="732"/>
      <c r="Z194" s="732"/>
      <c r="AA194" s="732"/>
    </row>
    <row r="195" spans="1:27" ht="39.75" customHeight="1">
      <c r="A195" s="736"/>
      <c r="B195" s="736"/>
      <c r="C195" s="736"/>
      <c r="D195" s="644">
        <v>186</v>
      </c>
      <c r="E195" s="644" t="s">
        <v>299</v>
      </c>
      <c r="F195" s="645"/>
      <c r="G195" s="645"/>
      <c r="H195" s="645"/>
      <c r="I195" s="645"/>
      <c r="J195" s="645"/>
      <c r="K195" s="645"/>
      <c r="L195" s="645"/>
      <c r="M195" s="645"/>
      <c r="N195" s="645"/>
      <c r="O195" s="645"/>
      <c r="P195" s="648">
        <f>55.343+4.02</f>
        <v>59.363</v>
      </c>
      <c r="Q195" s="647"/>
      <c r="R195" s="645"/>
      <c r="S195" s="645"/>
      <c r="T195" s="646">
        <f t="shared" si="14"/>
        <v>59.363</v>
      </c>
      <c r="U195" s="646">
        <f>T195</f>
        <v>59.363</v>
      </c>
      <c r="V195" s="729" t="s">
        <v>1015</v>
      </c>
      <c r="W195" s="735"/>
      <c r="X195" s="732"/>
      <c r="Y195" s="732"/>
      <c r="Z195" s="732"/>
      <c r="AA195" s="732"/>
    </row>
    <row r="196" spans="1:27" ht="39.75" customHeight="1">
      <c r="A196" s="736"/>
      <c r="B196" s="736"/>
      <c r="C196" s="736"/>
      <c r="D196" s="644">
        <v>187</v>
      </c>
      <c r="E196" s="644" t="s">
        <v>367</v>
      </c>
      <c r="F196" s="645"/>
      <c r="G196" s="645"/>
      <c r="H196" s="645"/>
      <c r="I196" s="645"/>
      <c r="J196" s="645"/>
      <c r="K196" s="645"/>
      <c r="L196" s="645"/>
      <c r="M196" s="645"/>
      <c r="N196" s="645"/>
      <c r="O196" s="645"/>
      <c r="P196" s="783">
        <v>549.41599999999994</v>
      </c>
      <c r="Q196" s="645"/>
      <c r="R196" s="645"/>
      <c r="S196" s="645"/>
      <c r="T196" s="646">
        <f t="shared" si="14"/>
        <v>549.41599999999994</v>
      </c>
      <c r="U196" s="783">
        <v>595.2372944</v>
      </c>
      <c r="V196" s="881" t="s">
        <v>1732</v>
      </c>
      <c r="W196" s="735"/>
      <c r="X196" s="732"/>
      <c r="Y196" s="732"/>
      <c r="Z196" s="732"/>
      <c r="AA196" s="732"/>
    </row>
    <row r="197" spans="1:27" ht="39.75" customHeight="1">
      <c r="A197" s="736"/>
      <c r="B197" s="736"/>
      <c r="C197" s="736"/>
      <c r="D197" s="644">
        <v>188</v>
      </c>
      <c r="E197" s="644" t="s">
        <v>300</v>
      </c>
      <c r="F197" s="645"/>
      <c r="G197" s="645"/>
      <c r="H197" s="645"/>
      <c r="I197" s="645"/>
      <c r="J197" s="645"/>
      <c r="K197" s="645"/>
      <c r="L197" s="645"/>
      <c r="M197" s="645"/>
      <c r="N197" s="645"/>
      <c r="O197" s="645"/>
      <c r="P197" s="645"/>
      <c r="Q197" s="645"/>
      <c r="R197" s="645"/>
      <c r="S197" s="645"/>
      <c r="T197" s="646">
        <f t="shared" si="14"/>
        <v>0</v>
      </c>
      <c r="U197" s="646">
        <f t="shared" ref="U197:U198" si="34">T197*10%+T197</f>
        <v>0</v>
      </c>
      <c r="V197" s="729"/>
      <c r="W197" s="735"/>
      <c r="X197" s="732"/>
      <c r="Y197" s="732"/>
      <c r="Z197" s="732"/>
      <c r="AA197" s="732"/>
    </row>
    <row r="198" spans="1:27" ht="39.75" customHeight="1">
      <c r="A198" s="736"/>
      <c r="B198" s="736"/>
      <c r="C198" s="736"/>
      <c r="D198" s="644">
        <v>189</v>
      </c>
      <c r="E198" s="644" t="s">
        <v>301</v>
      </c>
      <c r="F198" s="645"/>
      <c r="G198" s="645"/>
      <c r="H198" s="645"/>
      <c r="I198" s="645"/>
      <c r="J198" s="645"/>
      <c r="K198" s="645"/>
      <c r="L198" s="645"/>
      <c r="M198" s="645"/>
      <c r="N198" s="645"/>
      <c r="O198" s="645"/>
      <c r="P198" s="645"/>
      <c r="Q198" s="645"/>
      <c r="R198" s="645"/>
      <c r="S198" s="645"/>
      <c r="T198" s="646">
        <f t="shared" si="14"/>
        <v>0</v>
      </c>
      <c r="U198" s="646">
        <f t="shared" si="34"/>
        <v>0</v>
      </c>
      <c r="V198" s="729"/>
      <c r="W198" s="735"/>
      <c r="X198" s="732"/>
      <c r="Y198" s="732"/>
      <c r="Z198" s="732"/>
      <c r="AA198" s="732"/>
    </row>
    <row r="199" spans="1:27" ht="39.75" customHeight="1">
      <c r="A199" s="736"/>
      <c r="B199" s="736"/>
      <c r="C199" s="736"/>
      <c r="D199" s="644">
        <v>190</v>
      </c>
      <c r="E199" s="644" t="s">
        <v>368</v>
      </c>
      <c r="F199" s="645"/>
      <c r="G199" s="645"/>
      <c r="H199" s="645"/>
      <c r="I199" s="645"/>
      <c r="J199" s="645"/>
      <c r="K199" s="645"/>
      <c r="L199" s="645"/>
      <c r="M199" s="645"/>
      <c r="N199" s="645"/>
      <c r="O199" s="645"/>
      <c r="P199" s="648"/>
      <c r="Q199" s="645"/>
      <c r="R199" s="645"/>
      <c r="S199" s="645"/>
      <c r="T199" s="646">
        <f t="shared" si="14"/>
        <v>0</v>
      </c>
      <c r="U199" s="646"/>
      <c r="V199" s="729" t="s">
        <v>369</v>
      </c>
      <c r="W199" s="735"/>
      <c r="X199" s="732"/>
      <c r="Y199" s="732"/>
      <c r="Z199" s="732"/>
      <c r="AA199" s="732"/>
    </row>
    <row r="200" spans="1:27" ht="39.75" customHeight="1">
      <c r="A200" s="736"/>
      <c r="B200" s="699" t="s">
        <v>370</v>
      </c>
      <c r="C200" s="699" t="s">
        <v>371</v>
      </c>
      <c r="D200" s="644">
        <v>191</v>
      </c>
      <c r="E200" s="644" t="s">
        <v>372</v>
      </c>
      <c r="F200" s="645"/>
      <c r="G200" s="645"/>
      <c r="H200" s="645"/>
      <c r="I200" s="645"/>
      <c r="J200" s="645"/>
      <c r="K200" s="645"/>
      <c r="L200" s="645"/>
      <c r="M200" s="645"/>
      <c r="N200" s="647"/>
      <c r="O200" s="645"/>
      <c r="P200" s="645"/>
      <c r="Q200" s="645"/>
      <c r="R200" s="645"/>
      <c r="S200" s="645"/>
      <c r="T200" s="646">
        <f t="shared" si="14"/>
        <v>0</v>
      </c>
      <c r="U200" s="646">
        <f>T200*10%+T200</f>
        <v>0</v>
      </c>
      <c r="V200" s="729"/>
      <c r="W200" s="735"/>
      <c r="X200" s="732"/>
      <c r="Y200" s="732"/>
      <c r="Z200" s="732"/>
      <c r="AA200" s="732"/>
    </row>
    <row r="201" spans="1:27" ht="185.25" customHeight="1">
      <c r="A201" s="736"/>
      <c r="B201" s="736"/>
      <c r="C201" s="736"/>
      <c r="D201" s="644">
        <v>192</v>
      </c>
      <c r="E201" s="644" t="s">
        <v>373</v>
      </c>
      <c r="F201" s="645"/>
      <c r="G201" s="645"/>
      <c r="H201" s="648"/>
      <c r="I201" s="645"/>
      <c r="J201" s="645"/>
      <c r="K201" s="645"/>
      <c r="L201" s="645"/>
      <c r="M201" s="645"/>
      <c r="N201" s="647">
        <v>6</v>
      </c>
      <c r="O201" s="645"/>
      <c r="P201" s="647"/>
      <c r="Q201" s="648"/>
      <c r="R201" s="645"/>
      <c r="S201" s="645"/>
      <c r="T201" s="646">
        <f t="shared" si="14"/>
        <v>6</v>
      </c>
      <c r="U201" s="646">
        <v>12</v>
      </c>
      <c r="V201" s="749" t="s">
        <v>1016</v>
      </c>
      <c r="W201" s="735"/>
      <c r="X201" s="732"/>
      <c r="Y201" s="732"/>
      <c r="Z201" s="732"/>
      <c r="AA201" s="732"/>
    </row>
    <row r="202" spans="1:27" ht="39.75" customHeight="1">
      <c r="A202" s="736"/>
      <c r="B202" s="699" t="s">
        <v>374</v>
      </c>
      <c r="C202" s="699" t="s">
        <v>303</v>
      </c>
      <c r="D202" s="644">
        <v>193</v>
      </c>
      <c r="E202" s="644" t="s">
        <v>375</v>
      </c>
      <c r="F202" s="645"/>
      <c r="G202" s="645"/>
      <c r="H202" s="645"/>
      <c r="I202" s="645"/>
      <c r="J202" s="645"/>
      <c r="K202" s="645"/>
      <c r="L202" s="645"/>
      <c r="M202" s="645"/>
      <c r="N202" s="645"/>
      <c r="O202" s="645"/>
      <c r="P202" s="647"/>
      <c r="Q202" s="645"/>
      <c r="R202" s="645"/>
      <c r="S202" s="648"/>
      <c r="T202" s="646">
        <f t="shared" si="14"/>
        <v>0</v>
      </c>
      <c r="U202" s="646">
        <f>T202*10%+T202</f>
        <v>0</v>
      </c>
      <c r="V202" s="729"/>
      <c r="W202" s="735"/>
      <c r="X202" s="732"/>
      <c r="Y202" s="732"/>
      <c r="Z202" s="732"/>
      <c r="AA202" s="732"/>
    </row>
    <row r="203" spans="1:27" ht="240">
      <c r="A203" s="736"/>
      <c r="B203" s="736"/>
      <c r="C203" s="736"/>
      <c r="D203" s="644">
        <v>194</v>
      </c>
      <c r="E203" s="644" t="s">
        <v>304</v>
      </c>
      <c r="F203" s="645"/>
      <c r="G203" s="645"/>
      <c r="H203" s="645"/>
      <c r="I203" s="645"/>
      <c r="J203" s="645"/>
      <c r="K203" s="645"/>
      <c r="L203" s="645"/>
      <c r="M203" s="645"/>
      <c r="N203" s="647">
        <v>1.2</v>
      </c>
      <c r="O203" s="645"/>
      <c r="P203" s="645"/>
      <c r="Q203" s="647"/>
      <c r="R203" s="647">
        <v>45</v>
      </c>
      <c r="S203" s="645"/>
      <c r="T203" s="646">
        <f t="shared" si="14"/>
        <v>46.2</v>
      </c>
      <c r="U203" s="658">
        <f>R203*1.05+N203</f>
        <v>48.45</v>
      </c>
      <c r="V203" s="729" t="s">
        <v>1747</v>
      </c>
      <c r="W203" s="735"/>
      <c r="X203" s="732"/>
      <c r="Y203" s="732"/>
      <c r="Z203" s="732"/>
      <c r="AA203" s="732"/>
    </row>
    <row r="204" spans="1:27" ht="150">
      <c r="A204" s="736"/>
      <c r="B204" s="699" t="s">
        <v>376</v>
      </c>
      <c r="C204" s="699" t="s">
        <v>377</v>
      </c>
      <c r="D204" s="644">
        <v>195</v>
      </c>
      <c r="E204" s="644" t="s">
        <v>378</v>
      </c>
      <c r="F204" s="645"/>
      <c r="G204" s="645"/>
      <c r="H204" s="645"/>
      <c r="I204" s="645"/>
      <c r="J204" s="645"/>
      <c r="K204" s="645"/>
      <c r="L204" s="645"/>
      <c r="M204" s="645"/>
      <c r="N204" s="645"/>
      <c r="O204" s="645"/>
      <c r="P204" s="647"/>
      <c r="Q204" s="648">
        <v>0.8</v>
      </c>
      <c r="R204" s="647">
        <v>1.5</v>
      </c>
      <c r="S204" s="645">
        <v>0.7</v>
      </c>
      <c r="T204" s="646">
        <f t="shared" si="14"/>
        <v>3</v>
      </c>
      <c r="U204" s="646">
        <f>T204</f>
        <v>3</v>
      </c>
      <c r="V204" s="749" t="s">
        <v>1017</v>
      </c>
      <c r="W204" s="735"/>
      <c r="X204" s="732"/>
      <c r="Y204" s="732"/>
      <c r="Z204" s="732"/>
      <c r="AA204" s="732"/>
    </row>
    <row r="205" spans="1:27" ht="39.75" customHeight="1">
      <c r="A205" s="736"/>
      <c r="B205" s="736"/>
      <c r="C205" s="736"/>
      <c r="D205" s="644">
        <v>196</v>
      </c>
      <c r="E205" s="644" t="s">
        <v>379</v>
      </c>
      <c r="F205" s="645"/>
      <c r="G205" s="645"/>
      <c r="H205" s="645"/>
      <c r="I205" s="645"/>
      <c r="J205" s="645"/>
      <c r="K205" s="645"/>
      <c r="L205" s="645"/>
      <c r="M205" s="645"/>
      <c r="N205" s="645"/>
      <c r="O205" s="645"/>
      <c r="P205" s="645"/>
      <c r="Q205" s="645"/>
      <c r="R205" s="645"/>
      <c r="S205" s="645"/>
      <c r="T205" s="646">
        <f t="shared" si="14"/>
        <v>0</v>
      </c>
      <c r="U205" s="646">
        <f>T205*10%+T205</f>
        <v>0</v>
      </c>
      <c r="V205" s="729"/>
      <c r="W205" s="735"/>
      <c r="X205" s="732"/>
      <c r="Y205" s="732"/>
      <c r="Z205" s="732"/>
      <c r="AA205" s="732"/>
    </row>
    <row r="206" spans="1:27" ht="405">
      <c r="A206" s="736"/>
      <c r="B206" s="736"/>
      <c r="C206" s="736"/>
      <c r="D206" s="644">
        <v>197</v>
      </c>
      <c r="E206" s="644" t="s">
        <v>380</v>
      </c>
      <c r="F206" s="781"/>
      <c r="G206" s="781"/>
      <c r="H206" s="781"/>
      <c r="I206" s="781"/>
      <c r="J206" s="781"/>
      <c r="K206" s="781"/>
      <c r="L206" s="781"/>
      <c r="M206" s="781"/>
      <c r="N206" s="767">
        <v>0.25</v>
      </c>
      <c r="O206" s="781"/>
      <c r="P206" s="789">
        <v>47.006999999999998</v>
      </c>
      <c r="Q206" s="767"/>
      <c r="R206" s="767">
        <v>0.05</v>
      </c>
      <c r="S206" s="767"/>
      <c r="T206" s="646">
        <f t="shared" si="14"/>
        <v>47.306999999999995</v>
      </c>
      <c r="U206" s="789">
        <v>47.057000000000002</v>
      </c>
      <c r="V206" s="744" t="s">
        <v>1730</v>
      </c>
      <c r="W206" s="735"/>
      <c r="X206" s="732"/>
      <c r="Y206" s="732"/>
      <c r="Z206" s="732"/>
      <c r="AA206" s="732"/>
    </row>
    <row r="207" spans="1:27" ht="39.75" customHeight="1">
      <c r="A207" s="736"/>
      <c r="B207" s="644" t="s">
        <v>381</v>
      </c>
      <c r="C207" s="644" t="s">
        <v>309</v>
      </c>
      <c r="D207" s="644">
        <v>198</v>
      </c>
      <c r="E207" s="644" t="s">
        <v>310</v>
      </c>
      <c r="F207" s="645"/>
      <c r="G207" s="645"/>
      <c r="H207" s="645"/>
      <c r="I207" s="645"/>
      <c r="J207" s="645"/>
      <c r="K207" s="645"/>
      <c r="L207" s="645"/>
      <c r="M207" s="645"/>
      <c r="N207" s="645"/>
      <c r="O207" s="645"/>
      <c r="P207" s="645"/>
      <c r="Q207" s="645"/>
      <c r="R207" s="645"/>
      <c r="S207" s="645"/>
      <c r="T207" s="646">
        <f t="shared" si="14"/>
        <v>0</v>
      </c>
      <c r="U207" s="646">
        <f>T207*10%+T207</f>
        <v>0</v>
      </c>
      <c r="V207" s="729" t="s">
        <v>1018</v>
      </c>
      <c r="W207" s="735"/>
      <c r="X207" s="732"/>
      <c r="Y207" s="732"/>
      <c r="Z207" s="732"/>
      <c r="AA207" s="732"/>
    </row>
    <row r="208" spans="1:27" ht="105">
      <c r="A208" s="736"/>
      <c r="B208" s="644" t="s">
        <v>382</v>
      </c>
      <c r="C208" s="644" t="s">
        <v>312</v>
      </c>
      <c r="D208" s="644">
        <v>199</v>
      </c>
      <c r="E208" s="644" t="s">
        <v>313</v>
      </c>
      <c r="F208" s="767"/>
      <c r="G208" s="767"/>
      <c r="H208" s="767"/>
      <c r="I208" s="767"/>
      <c r="J208" s="767"/>
      <c r="K208" s="767"/>
      <c r="L208" s="767"/>
      <c r="M208" s="767"/>
      <c r="N208" s="767"/>
      <c r="O208" s="767"/>
      <c r="Q208" s="767"/>
      <c r="R208" s="767">
        <v>96.45</v>
      </c>
      <c r="S208" s="767"/>
      <c r="T208" s="646">
        <f t="shared" si="14"/>
        <v>96.45</v>
      </c>
      <c r="U208" s="646">
        <f>T208</f>
        <v>96.45</v>
      </c>
      <c r="V208" s="729" t="s">
        <v>1748</v>
      </c>
      <c r="W208" s="735"/>
      <c r="X208" s="732"/>
      <c r="Y208" s="732"/>
      <c r="Z208" s="732"/>
      <c r="AA208" s="732"/>
    </row>
    <row r="209" spans="1:27" ht="75">
      <c r="A209" s="736"/>
      <c r="B209" s="644" t="s">
        <v>383</v>
      </c>
      <c r="C209" s="644"/>
      <c r="D209" s="644">
        <v>200</v>
      </c>
      <c r="E209" s="644" t="s">
        <v>384</v>
      </c>
      <c r="F209" s="768"/>
      <c r="G209" s="768"/>
      <c r="H209" s="768"/>
      <c r="I209" s="768"/>
      <c r="J209" s="768"/>
      <c r="K209" s="768"/>
      <c r="L209" s="768"/>
      <c r="M209" s="768"/>
      <c r="N209" s="790">
        <v>0.1956</v>
      </c>
      <c r="O209" s="790"/>
      <c r="P209" s="790"/>
      <c r="Q209" s="790"/>
      <c r="R209" s="790">
        <v>1</v>
      </c>
      <c r="S209" s="790"/>
      <c r="T209" s="646">
        <f t="shared" si="14"/>
        <v>1.1956</v>
      </c>
      <c r="U209" s="658">
        <v>1.1956</v>
      </c>
      <c r="V209" s="749" t="s">
        <v>385</v>
      </c>
      <c r="W209" s="531" t="s">
        <v>385</v>
      </c>
      <c r="X209" s="732"/>
      <c r="Y209" s="732"/>
      <c r="Z209" s="732"/>
      <c r="AA209" s="732"/>
    </row>
    <row r="210" spans="1:27" ht="39.75" customHeight="1">
      <c r="A210" s="736"/>
      <c r="B210" s="701" t="s">
        <v>386</v>
      </c>
      <c r="C210" s="736"/>
      <c r="D210" s="736"/>
      <c r="E210" s="660"/>
      <c r="F210" s="660">
        <f t="shared" ref="F210:S210" si="35">SUM(F159:F209)</f>
        <v>0</v>
      </c>
      <c r="G210" s="667">
        <f t="shared" si="35"/>
        <v>0</v>
      </c>
      <c r="H210" s="667">
        <f t="shared" si="35"/>
        <v>0</v>
      </c>
      <c r="I210" s="660">
        <f t="shared" si="35"/>
        <v>4</v>
      </c>
      <c r="J210" s="660">
        <f t="shared" si="35"/>
        <v>0</v>
      </c>
      <c r="K210" s="660">
        <f t="shared" si="35"/>
        <v>0</v>
      </c>
      <c r="L210" s="660">
        <f t="shared" si="35"/>
        <v>0</v>
      </c>
      <c r="M210" s="660">
        <f t="shared" si="35"/>
        <v>9.9</v>
      </c>
      <c r="N210" s="668">
        <f t="shared" si="35"/>
        <v>38.573099999999997</v>
      </c>
      <c r="O210" s="660">
        <f t="shared" si="35"/>
        <v>355.82</v>
      </c>
      <c r="P210" s="667">
        <f t="shared" si="35"/>
        <v>2699.2331299999983</v>
      </c>
      <c r="Q210" s="660">
        <f t="shared" si="35"/>
        <v>20.347000000000001</v>
      </c>
      <c r="R210" s="660">
        <f t="shared" si="35"/>
        <v>146.04</v>
      </c>
      <c r="S210" s="660">
        <f t="shared" si="35"/>
        <v>0.7</v>
      </c>
      <c r="T210" s="660">
        <f t="shared" si="14"/>
        <v>3274.6132299999981</v>
      </c>
      <c r="U210" s="668">
        <f>SUM(U159:U209)</f>
        <v>3474.5200868719976</v>
      </c>
      <c r="V210" s="729"/>
      <c r="W210" s="735"/>
      <c r="X210" s="732"/>
      <c r="Y210" s="732"/>
      <c r="Z210" s="732"/>
      <c r="AA210" s="732"/>
    </row>
    <row r="211" spans="1:27" ht="39.75" customHeight="1">
      <c r="A211" s="702" t="s">
        <v>387</v>
      </c>
      <c r="B211" s="736"/>
      <c r="C211" s="736"/>
      <c r="D211" s="736"/>
      <c r="E211" s="791"/>
      <c r="F211" s="679">
        <f t="shared" ref="F211:S211" si="36">F210+F158+F134+F93+F68</f>
        <v>63.312399999999997</v>
      </c>
      <c r="G211" s="680">
        <f t="shared" si="36"/>
        <v>4</v>
      </c>
      <c r="H211" s="680">
        <f t="shared" si="36"/>
        <v>5</v>
      </c>
      <c r="I211" s="679">
        <f t="shared" si="36"/>
        <v>22.665459999999999</v>
      </c>
      <c r="J211" s="679">
        <f t="shared" si="36"/>
        <v>0</v>
      </c>
      <c r="K211" s="681">
        <f t="shared" si="36"/>
        <v>33.353999999999999</v>
      </c>
      <c r="L211" s="679">
        <f t="shared" si="36"/>
        <v>3.3000000000000003</v>
      </c>
      <c r="M211" s="680">
        <f t="shared" si="36"/>
        <v>39.754000000000005</v>
      </c>
      <c r="N211" s="681">
        <f t="shared" si="36"/>
        <v>107.4773</v>
      </c>
      <c r="O211" s="679">
        <f t="shared" si="36"/>
        <v>511.48329999999999</v>
      </c>
      <c r="P211" s="680">
        <f t="shared" si="36"/>
        <v>3373.9829899999986</v>
      </c>
      <c r="Q211" s="679">
        <f t="shared" si="36"/>
        <v>92.107700000000008</v>
      </c>
      <c r="R211" s="680">
        <f t="shared" si="36"/>
        <v>197.18939999999998</v>
      </c>
      <c r="S211" s="680">
        <f t="shared" si="36"/>
        <v>7.98</v>
      </c>
      <c r="T211" s="791">
        <f t="shared" si="14"/>
        <v>4461.6065499999977</v>
      </c>
      <c r="U211" s="681">
        <f>U210+U158+U134+U93+U68</f>
        <v>4688.8183589699975</v>
      </c>
      <c r="V211" s="729"/>
      <c r="W211" s="735"/>
      <c r="X211" s="732"/>
      <c r="Y211" s="732"/>
      <c r="Z211" s="732"/>
      <c r="AA211" s="732"/>
    </row>
    <row r="212" spans="1:27" ht="24.75" customHeight="1">
      <c r="A212" s="732"/>
      <c r="B212" s="732"/>
      <c r="C212" s="732"/>
      <c r="D212" s="732"/>
      <c r="E212" s="732"/>
      <c r="F212" s="732"/>
      <c r="G212" s="732"/>
      <c r="H212" s="732"/>
      <c r="I212" s="732"/>
      <c r="J212" s="732"/>
      <c r="K212" s="732"/>
      <c r="L212" s="732"/>
      <c r="M212" s="732"/>
      <c r="N212" s="732"/>
      <c r="O212" s="732"/>
      <c r="P212" s="732"/>
      <c r="Q212" s="732"/>
      <c r="R212" s="732"/>
      <c r="S212" s="732"/>
      <c r="T212" s="732"/>
      <c r="U212" s="732"/>
      <c r="V212" s="733"/>
      <c r="W212" s="732"/>
      <c r="X212" s="732"/>
      <c r="Y212" s="732"/>
      <c r="Z212" s="732"/>
      <c r="AA212" s="732"/>
    </row>
    <row r="213" spans="1:27" ht="24.75" customHeight="1">
      <c r="A213" s="732"/>
      <c r="B213" s="732"/>
      <c r="C213" s="732"/>
      <c r="D213" s="732"/>
      <c r="E213" s="732"/>
      <c r="F213" s="732"/>
      <c r="G213" s="732"/>
      <c r="H213" s="732"/>
      <c r="I213" s="732"/>
      <c r="J213" s="732"/>
      <c r="K213" s="732"/>
      <c r="L213" s="732"/>
      <c r="M213" s="732"/>
      <c r="N213" s="732"/>
      <c r="O213" s="732"/>
      <c r="P213" s="732"/>
      <c r="Q213" s="732"/>
      <c r="R213" s="732"/>
      <c r="S213" s="732"/>
      <c r="T213" s="732"/>
      <c r="U213" s="732"/>
      <c r="V213" s="733"/>
      <c r="W213" s="732"/>
      <c r="X213" s="732"/>
      <c r="Y213" s="732"/>
      <c r="Z213" s="732"/>
      <c r="AA213" s="732"/>
    </row>
    <row r="214" spans="1:27" ht="24.75" customHeight="1">
      <c r="A214" s="732"/>
      <c r="B214" s="732"/>
      <c r="C214" s="732"/>
      <c r="D214" s="732"/>
      <c r="E214" s="732"/>
      <c r="F214" s="732"/>
      <c r="G214" s="732"/>
      <c r="H214" s="732"/>
      <c r="I214" s="732"/>
      <c r="J214" s="732"/>
      <c r="K214" s="732"/>
      <c r="L214" s="732"/>
      <c r="M214" s="732"/>
      <c r="N214" s="732"/>
      <c r="O214" s="732"/>
      <c r="P214" s="732"/>
      <c r="Q214" s="732"/>
      <c r="R214" s="732"/>
      <c r="S214" s="732"/>
      <c r="T214" s="732"/>
      <c r="U214" s="732"/>
      <c r="V214" s="733"/>
      <c r="W214" s="732"/>
      <c r="X214" s="732"/>
      <c r="Y214" s="732"/>
      <c r="Z214" s="732"/>
      <c r="AA214" s="732"/>
    </row>
    <row r="215" spans="1:27" ht="24.75" customHeight="1">
      <c r="A215" s="732"/>
      <c r="B215" s="732"/>
      <c r="C215" s="732"/>
      <c r="D215" s="732"/>
      <c r="E215" s="732"/>
      <c r="F215" s="732"/>
      <c r="G215" s="732"/>
      <c r="H215" s="732"/>
      <c r="I215" s="732"/>
      <c r="J215" s="732"/>
      <c r="K215" s="732"/>
      <c r="L215" s="732"/>
      <c r="M215" s="732"/>
      <c r="N215" s="732"/>
      <c r="O215" s="732"/>
      <c r="P215" s="732"/>
      <c r="Q215" s="732"/>
      <c r="R215" s="732"/>
      <c r="S215" s="732"/>
      <c r="T215" s="732"/>
      <c r="U215" s="732"/>
      <c r="V215" s="733"/>
      <c r="W215" s="732"/>
      <c r="X215" s="732"/>
      <c r="Y215" s="732"/>
      <c r="Z215" s="732"/>
      <c r="AA215" s="732"/>
    </row>
    <row r="216" spans="1:27" ht="24.75" customHeight="1">
      <c r="A216" s="732"/>
      <c r="B216" s="732"/>
      <c r="C216" s="732"/>
      <c r="D216" s="732"/>
      <c r="E216" s="732"/>
      <c r="F216" s="732"/>
      <c r="G216" s="732"/>
      <c r="H216" s="732"/>
      <c r="I216" s="732"/>
      <c r="J216" s="732"/>
      <c r="K216" s="732"/>
      <c r="L216" s="732"/>
      <c r="M216" s="732"/>
      <c r="N216" s="732"/>
      <c r="O216" s="732"/>
      <c r="P216" s="732"/>
      <c r="Q216" s="732"/>
      <c r="R216" s="732"/>
      <c r="S216" s="732"/>
      <c r="T216" s="732"/>
      <c r="U216" s="732"/>
      <c r="V216" s="733"/>
      <c r="W216" s="732"/>
      <c r="X216" s="732"/>
      <c r="Y216" s="732"/>
      <c r="Z216" s="732"/>
      <c r="AA216" s="732"/>
    </row>
    <row r="217" spans="1:27" ht="24.75" customHeight="1">
      <c r="A217" s="732"/>
      <c r="B217" s="732"/>
      <c r="C217" s="732"/>
      <c r="D217" s="732"/>
      <c r="E217" s="732"/>
      <c r="F217" s="732"/>
      <c r="G217" s="732"/>
      <c r="H217" s="732"/>
      <c r="I217" s="732"/>
      <c r="J217" s="732"/>
      <c r="K217" s="732"/>
      <c r="L217" s="732"/>
      <c r="M217" s="732"/>
      <c r="N217" s="732"/>
      <c r="O217" s="732"/>
      <c r="P217" s="732"/>
      <c r="Q217" s="732"/>
      <c r="R217" s="732"/>
      <c r="S217" s="732"/>
      <c r="T217" s="732"/>
      <c r="U217" s="732"/>
      <c r="V217" s="733"/>
      <c r="W217" s="732"/>
      <c r="X217" s="732"/>
      <c r="Y217" s="732"/>
      <c r="Z217" s="732"/>
      <c r="AA217" s="732"/>
    </row>
    <row r="218" spans="1:27" ht="24.75" customHeight="1">
      <c r="A218" s="732"/>
      <c r="B218" s="732"/>
      <c r="C218" s="732"/>
      <c r="D218" s="732"/>
      <c r="E218" s="732"/>
      <c r="F218" s="732"/>
      <c r="G218" s="732"/>
      <c r="H218" s="732"/>
      <c r="I218" s="732"/>
      <c r="J218" s="732"/>
      <c r="K218" s="732"/>
      <c r="L218" s="732"/>
      <c r="M218" s="732"/>
      <c r="N218" s="732"/>
      <c r="O218" s="732"/>
      <c r="P218" s="732"/>
      <c r="Q218" s="732"/>
      <c r="R218" s="732"/>
      <c r="S218" s="732"/>
      <c r="T218" s="732"/>
      <c r="U218" s="732"/>
      <c r="V218" s="733"/>
      <c r="W218" s="732"/>
      <c r="X218" s="732"/>
      <c r="Y218" s="732"/>
      <c r="Z218" s="732"/>
      <c r="AA218" s="732"/>
    </row>
    <row r="219" spans="1:27" ht="24.75" customHeight="1">
      <c r="A219" s="732"/>
      <c r="B219" s="732"/>
      <c r="C219" s="732"/>
      <c r="D219" s="732"/>
      <c r="E219" s="732"/>
      <c r="F219" s="732"/>
      <c r="G219" s="732"/>
      <c r="H219" s="732"/>
      <c r="I219" s="732"/>
      <c r="J219" s="732"/>
      <c r="K219" s="732"/>
      <c r="L219" s="732"/>
      <c r="M219" s="732"/>
      <c r="N219" s="732"/>
      <c r="O219" s="732"/>
      <c r="P219" s="732"/>
      <c r="Q219" s="732"/>
      <c r="R219" s="732"/>
      <c r="S219" s="732"/>
      <c r="T219" s="732"/>
      <c r="U219" s="732"/>
      <c r="V219" s="733"/>
      <c r="W219" s="732"/>
      <c r="X219" s="732"/>
      <c r="Y219" s="732"/>
      <c r="Z219" s="732"/>
      <c r="AA219" s="732"/>
    </row>
    <row r="220" spans="1:27" ht="24.75" customHeight="1">
      <c r="A220" s="732"/>
      <c r="B220" s="732"/>
      <c r="C220" s="732"/>
      <c r="D220" s="732"/>
      <c r="E220" s="732"/>
      <c r="F220" s="732"/>
      <c r="G220" s="732"/>
      <c r="H220" s="732"/>
      <c r="I220" s="732"/>
      <c r="J220" s="732"/>
      <c r="K220" s="732"/>
      <c r="L220" s="732"/>
      <c r="M220" s="732"/>
      <c r="N220" s="732"/>
      <c r="O220" s="732"/>
      <c r="P220" s="732"/>
      <c r="Q220" s="732"/>
      <c r="R220" s="732"/>
      <c r="S220" s="732"/>
      <c r="T220" s="732"/>
      <c r="U220" s="732"/>
      <c r="V220" s="733"/>
      <c r="W220" s="732"/>
      <c r="X220" s="732"/>
      <c r="Y220" s="732"/>
      <c r="Z220" s="732"/>
      <c r="AA220" s="732"/>
    </row>
    <row r="221" spans="1:27" ht="24.75" customHeight="1">
      <c r="A221" s="732"/>
      <c r="B221" s="732"/>
      <c r="C221" s="732"/>
      <c r="D221" s="732"/>
      <c r="E221" s="732"/>
      <c r="F221" s="732"/>
      <c r="G221" s="732"/>
      <c r="H221" s="732"/>
      <c r="I221" s="732"/>
      <c r="J221" s="732"/>
      <c r="K221" s="732"/>
      <c r="L221" s="732"/>
      <c r="M221" s="732"/>
      <c r="N221" s="732"/>
      <c r="O221" s="732"/>
      <c r="P221" s="732"/>
      <c r="Q221" s="732"/>
      <c r="R221" s="732"/>
      <c r="S221" s="732"/>
      <c r="T221" s="732"/>
      <c r="U221" s="732"/>
      <c r="V221" s="733"/>
      <c r="W221" s="732"/>
      <c r="X221" s="732"/>
      <c r="Y221" s="732"/>
      <c r="Z221" s="732"/>
      <c r="AA221" s="732"/>
    </row>
    <row r="222" spans="1:27" ht="24.75" customHeight="1">
      <c r="A222" s="732"/>
      <c r="B222" s="732"/>
      <c r="C222" s="732"/>
      <c r="D222" s="732"/>
      <c r="E222" s="732"/>
      <c r="F222" s="732"/>
      <c r="G222" s="732"/>
      <c r="H222" s="732"/>
      <c r="I222" s="732"/>
      <c r="J222" s="732"/>
      <c r="K222" s="732"/>
      <c r="L222" s="732"/>
      <c r="M222" s="732"/>
      <c r="N222" s="732"/>
      <c r="O222" s="732"/>
      <c r="P222" s="732"/>
      <c r="Q222" s="732"/>
      <c r="R222" s="732"/>
      <c r="S222" s="732"/>
      <c r="T222" s="732"/>
      <c r="U222" s="732"/>
      <c r="V222" s="733"/>
      <c r="W222" s="732"/>
      <c r="X222" s="732"/>
      <c r="Y222" s="732"/>
      <c r="Z222" s="732"/>
      <c r="AA222" s="732"/>
    </row>
    <row r="223" spans="1:27" ht="24.75" customHeight="1">
      <c r="A223" s="732"/>
      <c r="B223" s="732"/>
      <c r="C223" s="732"/>
      <c r="D223" s="732"/>
      <c r="E223" s="732"/>
      <c r="F223" s="732"/>
      <c r="G223" s="732"/>
      <c r="H223" s="732"/>
      <c r="I223" s="732"/>
      <c r="J223" s="732"/>
      <c r="K223" s="732"/>
      <c r="L223" s="732"/>
      <c r="M223" s="732"/>
      <c r="N223" s="732"/>
      <c r="O223" s="732"/>
      <c r="P223" s="732"/>
      <c r="Q223" s="732"/>
      <c r="R223" s="732"/>
      <c r="S223" s="732"/>
      <c r="T223" s="732"/>
      <c r="U223" s="732"/>
      <c r="V223" s="733"/>
      <c r="W223" s="732"/>
      <c r="X223" s="732"/>
      <c r="Y223" s="732"/>
      <c r="Z223" s="732"/>
      <c r="AA223" s="732"/>
    </row>
    <row r="224" spans="1:27" ht="24.75" customHeight="1">
      <c r="A224" s="732"/>
      <c r="B224" s="732"/>
      <c r="C224" s="732"/>
      <c r="D224" s="732"/>
      <c r="E224" s="732"/>
      <c r="F224" s="732"/>
      <c r="G224" s="732"/>
      <c r="H224" s="732"/>
      <c r="I224" s="732"/>
      <c r="J224" s="732"/>
      <c r="K224" s="732"/>
      <c r="L224" s="732"/>
      <c r="M224" s="732"/>
      <c r="N224" s="732"/>
      <c r="O224" s="732"/>
      <c r="P224" s="732"/>
      <c r="Q224" s="732"/>
      <c r="R224" s="732"/>
      <c r="S224" s="732"/>
      <c r="T224" s="732"/>
      <c r="U224" s="732"/>
      <c r="V224" s="733"/>
      <c r="W224" s="732"/>
      <c r="X224" s="732"/>
      <c r="Y224" s="732"/>
      <c r="Z224" s="732"/>
      <c r="AA224" s="732"/>
    </row>
    <row r="225" spans="1:27" ht="24.75" customHeight="1">
      <c r="A225" s="732"/>
      <c r="B225" s="732"/>
      <c r="C225" s="732"/>
      <c r="D225" s="732"/>
      <c r="E225" s="732"/>
      <c r="F225" s="732"/>
      <c r="G225" s="732"/>
      <c r="H225" s="732"/>
      <c r="I225" s="732"/>
      <c r="J225" s="732"/>
      <c r="K225" s="732"/>
      <c r="L225" s="732"/>
      <c r="M225" s="732"/>
      <c r="N225" s="732"/>
      <c r="O225" s="732"/>
      <c r="P225" s="732"/>
      <c r="Q225" s="732"/>
      <c r="R225" s="732"/>
      <c r="S225" s="732"/>
      <c r="T225" s="732"/>
      <c r="U225" s="732"/>
      <c r="V225" s="733"/>
      <c r="W225" s="732"/>
      <c r="X225" s="732"/>
      <c r="Y225" s="732"/>
      <c r="Z225" s="732"/>
      <c r="AA225" s="732"/>
    </row>
    <row r="226" spans="1:27" ht="24.75" customHeight="1">
      <c r="A226" s="732"/>
      <c r="B226" s="732"/>
      <c r="C226" s="732"/>
      <c r="D226" s="732"/>
      <c r="E226" s="732"/>
      <c r="F226" s="732"/>
      <c r="G226" s="732"/>
      <c r="H226" s="732"/>
      <c r="I226" s="732"/>
      <c r="J226" s="732"/>
      <c r="K226" s="732"/>
      <c r="L226" s="732"/>
      <c r="M226" s="732"/>
      <c r="N226" s="732"/>
      <c r="O226" s="732"/>
      <c r="P226" s="732"/>
      <c r="Q226" s="732"/>
      <c r="R226" s="732"/>
      <c r="S226" s="732"/>
      <c r="T226" s="732"/>
      <c r="U226" s="732"/>
      <c r="V226" s="733"/>
      <c r="W226" s="732"/>
      <c r="X226" s="732"/>
      <c r="Y226" s="732"/>
      <c r="Z226" s="732"/>
      <c r="AA226" s="732"/>
    </row>
    <row r="227" spans="1:27" ht="24.75" customHeight="1">
      <c r="A227" s="732"/>
      <c r="B227" s="732"/>
      <c r="C227" s="732"/>
      <c r="D227" s="732"/>
      <c r="E227" s="732"/>
      <c r="F227" s="732"/>
      <c r="G227" s="732"/>
      <c r="H227" s="732"/>
      <c r="I227" s="732"/>
      <c r="J227" s="732"/>
      <c r="K227" s="732"/>
      <c r="L227" s="732"/>
      <c r="M227" s="732"/>
      <c r="N227" s="732"/>
      <c r="O227" s="732"/>
      <c r="P227" s="732"/>
      <c r="Q227" s="732"/>
      <c r="R227" s="732"/>
      <c r="S227" s="732"/>
      <c r="T227" s="732"/>
      <c r="U227" s="732"/>
      <c r="V227" s="733"/>
      <c r="W227" s="732"/>
      <c r="X227" s="732"/>
      <c r="Y227" s="732"/>
      <c r="Z227" s="732"/>
      <c r="AA227" s="732"/>
    </row>
    <row r="228" spans="1:27" ht="24.75" customHeight="1">
      <c r="A228" s="732"/>
      <c r="B228" s="732"/>
      <c r="C228" s="732"/>
      <c r="D228" s="732"/>
      <c r="E228" s="732"/>
      <c r="F228" s="732"/>
      <c r="G228" s="732"/>
      <c r="H228" s="732"/>
      <c r="I228" s="732"/>
      <c r="J228" s="732"/>
      <c r="K228" s="732"/>
      <c r="L228" s="732"/>
      <c r="M228" s="732"/>
      <c r="N228" s="732"/>
      <c r="O228" s="732"/>
      <c r="P228" s="732"/>
      <c r="Q228" s="732"/>
      <c r="R228" s="732"/>
      <c r="S228" s="732"/>
      <c r="T228" s="732"/>
      <c r="U228" s="732"/>
      <c r="V228" s="733"/>
      <c r="W228" s="732"/>
      <c r="X228" s="732"/>
      <c r="Y228" s="732"/>
      <c r="Z228" s="732"/>
      <c r="AA228" s="732"/>
    </row>
    <row r="229" spans="1:27" ht="24.75" customHeight="1">
      <c r="A229" s="732"/>
      <c r="B229" s="732"/>
      <c r="C229" s="732"/>
      <c r="D229" s="732"/>
      <c r="E229" s="732"/>
      <c r="F229" s="732"/>
      <c r="G229" s="732"/>
      <c r="H229" s="732"/>
      <c r="I229" s="732"/>
      <c r="J229" s="732"/>
      <c r="K229" s="732"/>
      <c r="L229" s="732"/>
      <c r="M229" s="732"/>
      <c r="N229" s="732"/>
      <c r="O229" s="732"/>
      <c r="P229" s="732"/>
      <c r="Q229" s="732"/>
      <c r="R229" s="732"/>
      <c r="S229" s="732"/>
      <c r="T229" s="732"/>
      <c r="U229" s="732"/>
      <c r="V229" s="733"/>
      <c r="W229" s="732"/>
      <c r="X229" s="732"/>
      <c r="Y229" s="732"/>
      <c r="Z229" s="732"/>
      <c r="AA229" s="732"/>
    </row>
    <row r="230" spans="1:27" ht="24.75" customHeight="1">
      <c r="A230" s="732"/>
      <c r="B230" s="732"/>
      <c r="C230" s="732"/>
      <c r="D230" s="732"/>
      <c r="E230" s="732"/>
      <c r="F230" s="732"/>
      <c r="G230" s="732"/>
      <c r="H230" s="732"/>
      <c r="I230" s="732"/>
      <c r="J230" s="732"/>
      <c r="K230" s="732"/>
      <c r="L230" s="732"/>
      <c r="M230" s="732"/>
      <c r="N230" s="732"/>
      <c r="O230" s="732"/>
      <c r="P230" s="732"/>
      <c r="Q230" s="732"/>
      <c r="R230" s="732"/>
      <c r="S230" s="732"/>
      <c r="T230" s="732"/>
      <c r="U230" s="732"/>
      <c r="V230" s="733"/>
      <c r="W230" s="732"/>
      <c r="X230" s="732"/>
      <c r="Y230" s="732"/>
      <c r="Z230" s="732"/>
      <c r="AA230" s="732"/>
    </row>
    <row r="231" spans="1:27" ht="24.75" customHeight="1">
      <c r="A231" s="732"/>
      <c r="B231" s="732"/>
      <c r="C231" s="732"/>
      <c r="D231" s="732"/>
      <c r="E231" s="732"/>
      <c r="F231" s="732"/>
      <c r="G231" s="732"/>
      <c r="H231" s="732"/>
      <c r="I231" s="732"/>
      <c r="J231" s="732"/>
      <c r="K231" s="732"/>
      <c r="L231" s="732"/>
      <c r="M231" s="732"/>
      <c r="N231" s="732"/>
      <c r="O231" s="732"/>
      <c r="P231" s="732"/>
      <c r="Q231" s="732"/>
      <c r="R231" s="732"/>
      <c r="S231" s="732"/>
      <c r="T231" s="732"/>
      <c r="U231" s="732"/>
      <c r="V231" s="733"/>
      <c r="W231" s="732"/>
      <c r="X231" s="732"/>
      <c r="Y231" s="732"/>
      <c r="Z231" s="732"/>
      <c r="AA231" s="732"/>
    </row>
    <row r="232" spans="1:27" ht="24.75" customHeight="1">
      <c r="A232" s="732"/>
      <c r="B232" s="732"/>
      <c r="C232" s="732"/>
      <c r="D232" s="732"/>
      <c r="E232" s="732"/>
      <c r="F232" s="732"/>
      <c r="G232" s="732"/>
      <c r="H232" s="732"/>
      <c r="I232" s="732"/>
      <c r="J232" s="732"/>
      <c r="K232" s="732"/>
      <c r="L232" s="732"/>
      <c r="M232" s="732"/>
      <c r="N232" s="732"/>
      <c r="O232" s="732"/>
      <c r="P232" s="732"/>
      <c r="Q232" s="732"/>
      <c r="R232" s="732"/>
      <c r="S232" s="732"/>
      <c r="T232" s="732"/>
      <c r="U232" s="732"/>
      <c r="V232" s="733"/>
      <c r="W232" s="732"/>
      <c r="X232" s="732"/>
      <c r="Y232" s="732"/>
      <c r="Z232" s="732"/>
      <c r="AA232" s="732"/>
    </row>
    <row r="233" spans="1:27" ht="24.75" customHeight="1">
      <c r="A233" s="732"/>
      <c r="B233" s="732"/>
      <c r="C233" s="732"/>
      <c r="D233" s="732"/>
      <c r="E233" s="732"/>
      <c r="F233" s="732"/>
      <c r="G233" s="732"/>
      <c r="H233" s="732"/>
      <c r="I233" s="732"/>
      <c r="J233" s="732"/>
      <c r="K233" s="732"/>
      <c r="L233" s="732"/>
      <c r="M233" s="732"/>
      <c r="N233" s="732"/>
      <c r="O233" s="732"/>
      <c r="P233" s="732"/>
      <c r="Q233" s="732"/>
      <c r="R233" s="732"/>
      <c r="S233" s="732"/>
      <c r="T233" s="732"/>
      <c r="U233" s="732"/>
      <c r="V233" s="733"/>
      <c r="W233" s="732"/>
      <c r="X233" s="732"/>
      <c r="Y233" s="732"/>
      <c r="Z233" s="732"/>
      <c r="AA233" s="732"/>
    </row>
    <row r="234" spans="1:27" ht="24.75" customHeight="1">
      <c r="A234" s="732"/>
      <c r="B234" s="732"/>
      <c r="C234" s="732"/>
      <c r="D234" s="732"/>
      <c r="E234" s="732"/>
      <c r="F234" s="732"/>
      <c r="G234" s="732"/>
      <c r="H234" s="732"/>
      <c r="I234" s="732"/>
      <c r="J234" s="732"/>
      <c r="K234" s="732"/>
      <c r="L234" s="732"/>
      <c r="M234" s="732"/>
      <c r="N234" s="732"/>
      <c r="O234" s="732"/>
      <c r="P234" s="732"/>
      <c r="Q234" s="732"/>
      <c r="R234" s="732"/>
      <c r="S234" s="732"/>
      <c r="T234" s="732"/>
      <c r="U234" s="732"/>
      <c r="V234" s="733"/>
      <c r="W234" s="732"/>
      <c r="X234" s="732"/>
      <c r="Y234" s="732"/>
      <c r="Z234" s="732"/>
      <c r="AA234" s="732"/>
    </row>
    <row r="235" spans="1:27" ht="24.75" customHeight="1">
      <c r="A235" s="732"/>
      <c r="B235" s="732"/>
      <c r="C235" s="732"/>
      <c r="D235" s="732"/>
      <c r="E235" s="732"/>
      <c r="F235" s="732"/>
      <c r="G235" s="732"/>
      <c r="H235" s="732"/>
      <c r="I235" s="732"/>
      <c r="J235" s="732"/>
      <c r="K235" s="732"/>
      <c r="L235" s="732"/>
      <c r="M235" s="732"/>
      <c r="N235" s="732"/>
      <c r="O235" s="732"/>
      <c r="P235" s="732"/>
      <c r="Q235" s="732"/>
      <c r="R235" s="732"/>
      <c r="S235" s="732"/>
      <c r="T235" s="732"/>
      <c r="U235" s="732"/>
      <c r="V235" s="733"/>
      <c r="W235" s="732"/>
      <c r="X235" s="732"/>
      <c r="Y235" s="732"/>
      <c r="Z235" s="732"/>
      <c r="AA235" s="732"/>
    </row>
    <row r="236" spans="1:27" ht="24.75" customHeight="1">
      <c r="A236" s="732"/>
      <c r="B236" s="732"/>
      <c r="C236" s="732"/>
      <c r="D236" s="732"/>
      <c r="E236" s="732"/>
      <c r="F236" s="732"/>
      <c r="G236" s="732"/>
      <c r="H236" s="732"/>
      <c r="I236" s="732"/>
      <c r="J236" s="732"/>
      <c r="K236" s="732"/>
      <c r="L236" s="732"/>
      <c r="M236" s="732"/>
      <c r="N236" s="732"/>
      <c r="O236" s="732"/>
      <c r="P236" s="732"/>
      <c r="Q236" s="732"/>
      <c r="R236" s="732"/>
      <c r="S236" s="732"/>
      <c r="T236" s="732"/>
      <c r="U236" s="732"/>
      <c r="V236" s="733"/>
      <c r="W236" s="732"/>
      <c r="X236" s="732"/>
      <c r="Y236" s="732"/>
      <c r="Z236" s="732"/>
      <c r="AA236" s="732"/>
    </row>
    <row r="237" spans="1:27" ht="24.75" customHeight="1">
      <c r="A237" s="732"/>
      <c r="B237" s="732"/>
      <c r="C237" s="732"/>
      <c r="D237" s="732"/>
      <c r="E237" s="732"/>
      <c r="F237" s="732"/>
      <c r="G237" s="732"/>
      <c r="H237" s="732"/>
      <c r="I237" s="732"/>
      <c r="J237" s="732"/>
      <c r="K237" s="732"/>
      <c r="L237" s="732"/>
      <c r="M237" s="732"/>
      <c r="N237" s="732"/>
      <c r="O237" s="732"/>
      <c r="P237" s="732"/>
      <c r="Q237" s="732"/>
      <c r="R237" s="732"/>
      <c r="S237" s="732"/>
      <c r="T237" s="732"/>
      <c r="U237" s="732"/>
      <c r="V237" s="733"/>
      <c r="W237" s="732"/>
      <c r="X237" s="732"/>
      <c r="Y237" s="732"/>
      <c r="Z237" s="732"/>
      <c r="AA237" s="732"/>
    </row>
    <row r="238" spans="1:27" ht="24.75" customHeight="1">
      <c r="A238" s="732"/>
      <c r="B238" s="732"/>
      <c r="C238" s="732"/>
      <c r="D238" s="732"/>
      <c r="E238" s="732"/>
      <c r="F238" s="732"/>
      <c r="G238" s="732"/>
      <c r="H238" s="732"/>
      <c r="I238" s="732"/>
      <c r="J238" s="732"/>
      <c r="K238" s="732"/>
      <c r="L238" s="732"/>
      <c r="M238" s="732"/>
      <c r="N238" s="732"/>
      <c r="O238" s="732"/>
      <c r="P238" s="732"/>
      <c r="Q238" s="732"/>
      <c r="R238" s="732"/>
      <c r="S238" s="732"/>
      <c r="T238" s="732"/>
      <c r="U238" s="732"/>
      <c r="V238" s="733"/>
      <c r="W238" s="732"/>
      <c r="X238" s="732"/>
      <c r="Y238" s="732"/>
      <c r="Z238" s="732"/>
      <c r="AA238" s="732"/>
    </row>
    <row r="239" spans="1:27" ht="24.75" customHeight="1">
      <c r="A239" s="732"/>
      <c r="B239" s="732"/>
      <c r="C239" s="732"/>
      <c r="D239" s="732"/>
      <c r="E239" s="732"/>
      <c r="F239" s="732"/>
      <c r="G239" s="732"/>
      <c r="H239" s="732"/>
      <c r="I239" s="732"/>
      <c r="J239" s="732"/>
      <c r="K239" s="732"/>
      <c r="L239" s="732"/>
      <c r="M239" s="732"/>
      <c r="N239" s="732"/>
      <c r="O239" s="732"/>
      <c r="P239" s="732"/>
      <c r="Q239" s="732"/>
      <c r="R239" s="732"/>
      <c r="S239" s="732"/>
      <c r="T239" s="732"/>
      <c r="U239" s="732"/>
      <c r="V239" s="733"/>
      <c r="W239" s="732"/>
      <c r="X239" s="732"/>
      <c r="Y239" s="732"/>
      <c r="Z239" s="732"/>
      <c r="AA239" s="732"/>
    </row>
    <row r="240" spans="1:27" ht="24.75" customHeight="1">
      <c r="A240" s="732"/>
      <c r="B240" s="732"/>
      <c r="C240" s="732"/>
      <c r="D240" s="732"/>
      <c r="E240" s="732"/>
      <c r="F240" s="732"/>
      <c r="G240" s="732"/>
      <c r="H240" s="732"/>
      <c r="I240" s="732"/>
      <c r="J240" s="732"/>
      <c r="K240" s="732"/>
      <c r="L240" s="732"/>
      <c r="M240" s="732"/>
      <c r="N240" s="732"/>
      <c r="O240" s="732"/>
      <c r="P240" s="732"/>
      <c r="Q240" s="732"/>
      <c r="R240" s="732"/>
      <c r="S240" s="732"/>
      <c r="T240" s="732"/>
      <c r="U240" s="732"/>
      <c r="V240" s="733"/>
      <c r="W240" s="732"/>
      <c r="X240" s="732"/>
      <c r="Y240" s="732"/>
      <c r="Z240" s="732"/>
      <c r="AA240" s="732"/>
    </row>
    <row r="241" spans="1:27" ht="24.75" customHeight="1">
      <c r="A241" s="732"/>
      <c r="B241" s="732"/>
      <c r="C241" s="732"/>
      <c r="D241" s="732"/>
      <c r="E241" s="732"/>
      <c r="F241" s="732"/>
      <c r="G241" s="732"/>
      <c r="H241" s="732"/>
      <c r="I241" s="732"/>
      <c r="J241" s="732"/>
      <c r="K241" s="732"/>
      <c r="L241" s="732"/>
      <c r="M241" s="732"/>
      <c r="N241" s="732"/>
      <c r="O241" s="732"/>
      <c r="P241" s="732"/>
      <c r="Q241" s="732"/>
      <c r="R241" s="732"/>
      <c r="S241" s="732"/>
      <c r="T241" s="732"/>
      <c r="U241" s="732"/>
      <c r="V241" s="733"/>
      <c r="W241" s="732"/>
      <c r="X241" s="732"/>
      <c r="Y241" s="732"/>
      <c r="Z241" s="732"/>
      <c r="AA241" s="732"/>
    </row>
    <row r="242" spans="1:27" ht="24.75" customHeight="1">
      <c r="A242" s="732"/>
      <c r="B242" s="732"/>
      <c r="C242" s="732"/>
      <c r="D242" s="732"/>
      <c r="E242" s="732"/>
      <c r="F242" s="732"/>
      <c r="G242" s="732"/>
      <c r="H242" s="732"/>
      <c r="I242" s="732"/>
      <c r="J242" s="732"/>
      <c r="K242" s="732"/>
      <c r="L242" s="732"/>
      <c r="M242" s="732"/>
      <c r="N242" s="732"/>
      <c r="O242" s="732"/>
      <c r="P242" s="732"/>
      <c r="Q242" s="732"/>
      <c r="R242" s="732"/>
      <c r="S242" s="732"/>
      <c r="T242" s="732"/>
      <c r="U242" s="732"/>
      <c r="V242" s="733"/>
      <c r="W242" s="732"/>
      <c r="X242" s="732"/>
      <c r="Y242" s="732"/>
      <c r="Z242" s="732"/>
      <c r="AA242" s="732"/>
    </row>
    <row r="243" spans="1:27" ht="24.75" customHeight="1">
      <c r="A243" s="732"/>
      <c r="B243" s="732"/>
      <c r="C243" s="732"/>
      <c r="D243" s="732"/>
      <c r="E243" s="732"/>
      <c r="F243" s="732"/>
      <c r="G243" s="732"/>
      <c r="H243" s="732"/>
      <c r="I243" s="732"/>
      <c r="J243" s="732"/>
      <c r="K243" s="732"/>
      <c r="L243" s="732"/>
      <c r="M243" s="732"/>
      <c r="N243" s="732"/>
      <c r="O243" s="732"/>
      <c r="P243" s="732"/>
      <c r="Q243" s="732"/>
      <c r="R243" s="732"/>
      <c r="S243" s="732"/>
      <c r="T243" s="732"/>
      <c r="U243" s="732"/>
      <c r="V243" s="733"/>
      <c r="W243" s="732"/>
      <c r="X243" s="732"/>
      <c r="Y243" s="732"/>
      <c r="Z243" s="732"/>
      <c r="AA243" s="732"/>
    </row>
    <row r="244" spans="1:27" ht="24.75" customHeight="1">
      <c r="A244" s="732"/>
      <c r="B244" s="732"/>
      <c r="C244" s="732"/>
      <c r="D244" s="732"/>
      <c r="E244" s="732"/>
      <c r="F244" s="732"/>
      <c r="G244" s="732"/>
      <c r="H244" s="732"/>
      <c r="I244" s="732"/>
      <c r="J244" s="732"/>
      <c r="K244" s="732"/>
      <c r="L244" s="732"/>
      <c r="M244" s="732"/>
      <c r="N244" s="732"/>
      <c r="O244" s="732"/>
      <c r="P244" s="732"/>
      <c r="Q244" s="732"/>
      <c r="R244" s="732"/>
      <c r="S244" s="732"/>
      <c r="T244" s="732"/>
      <c r="U244" s="732"/>
      <c r="V244" s="733"/>
      <c r="W244" s="732"/>
      <c r="X244" s="732"/>
      <c r="Y244" s="732"/>
      <c r="Z244" s="732"/>
      <c r="AA244" s="732"/>
    </row>
    <row r="245" spans="1:27" ht="24.75" customHeight="1">
      <c r="A245" s="732"/>
      <c r="B245" s="732"/>
      <c r="C245" s="732"/>
      <c r="D245" s="732"/>
      <c r="E245" s="732"/>
      <c r="F245" s="732"/>
      <c r="G245" s="732"/>
      <c r="H245" s="732"/>
      <c r="I245" s="732"/>
      <c r="J245" s="732"/>
      <c r="K245" s="732"/>
      <c r="L245" s="732"/>
      <c r="M245" s="732"/>
      <c r="N245" s="732"/>
      <c r="O245" s="732"/>
      <c r="P245" s="732"/>
      <c r="Q245" s="732"/>
      <c r="R245" s="732"/>
      <c r="S245" s="732"/>
      <c r="T245" s="732"/>
      <c r="U245" s="732"/>
      <c r="V245" s="733"/>
      <c r="W245" s="732"/>
      <c r="X245" s="732"/>
      <c r="Y245" s="732"/>
      <c r="Z245" s="732"/>
      <c r="AA245" s="732"/>
    </row>
    <row r="246" spans="1:27" ht="24.75" customHeight="1">
      <c r="A246" s="732"/>
      <c r="B246" s="732"/>
      <c r="C246" s="732"/>
      <c r="D246" s="732"/>
      <c r="E246" s="732"/>
      <c r="F246" s="732"/>
      <c r="G246" s="732"/>
      <c r="H246" s="732"/>
      <c r="I246" s="732"/>
      <c r="J246" s="732"/>
      <c r="K246" s="732"/>
      <c r="L246" s="732"/>
      <c r="M246" s="732"/>
      <c r="N246" s="732"/>
      <c r="O246" s="732"/>
      <c r="P246" s="732"/>
      <c r="Q246" s="732"/>
      <c r="R246" s="732"/>
      <c r="S246" s="732"/>
      <c r="T246" s="732"/>
      <c r="U246" s="732"/>
      <c r="V246" s="733"/>
      <c r="W246" s="732"/>
      <c r="X246" s="732"/>
      <c r="Y246" s="732"/>
      <c r="Z246" s="732"/>
      <c r="AA246" s="732"/>
    </row>
    <row r="247" spans="1:27" ht="24.75" customHeight="1">
      <c r="A247" s="732"/>
      <c r="B247" s="732"/>
      <c r="C247" s="732"/>
      <c r="D247" s="732"/>
      <c r="E247" s="732"/>
      <c r="F247" s="732"/>
      <c r="G247" s="732"/>
      <c r="H247" s="732"/>
      <c r="I247" s="732"/>
      <c r="J247" s="732"/>
      <c r="K247" s="732"/>
      <c r="L247" s="732"/>
      <c r="M247" s="732"/>
      <c r="N247" s="732"/>
      <c r="O247" s="732"/>
      <c r="P247" s="732"/>
      <c r="Q247" s="732"/>
      <c r="R247" s="732"/>
      <c r="S247" s="732"/>
      <c r="T247" s="732"/>
      <c r="U247" s="732"/>
      <c r="V247" s="733"/>
      <c r="W247" s="732"/>
      <c r="X247" s="732"/>
      <c r="Y247" s="732"/>
      <c r="Z247" s="732"/>
      <c r="AA247" s="732"/>
    </row>
    <row r="248" spans="1:27" ht="24.75" customHeight="1">
      <c r="A248" s="732"/>
      <c r="B248" s="732"/>
      <c r="C248" s="732"/>
      <c r="D248" s="732"/>
      <c r="E248" s="732"/>
      <c r="F248" s="732"/>
      <c r="G248" s="732"/>
      <c r="H248" s="732"/>
      <c r="I248" s="732"/>
      <c r="J248" s="732"/>
      <c r="K248" s="732"/>
      <c r="L248" s="732"/>
      <c r="M248" s="732"/>
      <c r="N248" s="732"/>
      <c r="O248" s="732"/>
      <c r="P248" s="732"/>
      <c r="Q248" s="732"/>
      <c r="R248" s="732"/>
      <c r="S248" s="732"/>
      <c r="T248" s="732"/>
      <c r="U248" s="732"/>
      <c r="V248" s="733"/>
      <c r="W248" s="732"/>
      <c r="X248" s="732"/>
      <c r="Y248" s="732"/>
      <c r="Z248" s="732"/>
      <c r="AA248" s="732"/>
    </row>
    <row r="249" spans="1:27" ht="24.75" customHeight="1">
      <c r="A249" s="732"/>
      <c r="B249" s="732"/>
      <c r="C249" s="732"/>
      <c r="D249" s="732"/>
      <c r="E249" s="732"/>
      <c r="F249" s="732"/>
      <c r="G249" s="732"/>
      <c r="H249" s="732"/>
      <c r="I249" s="732"/>
      <c r="J249" s="732"/>
      <c r="K249" s="732"/>
      <c r="L249" s="732"/>
      <c r="M249" s="732"/>
      <c r="N249" s="732"/>
      <c r="O249" s="732"/>
      <c r="P249" s="732"/>
      <c r="Q249" s="732"/>
      <c r="R249" s="732"/>
      <c r="S249" s="732"/>
      <c r="T249" s="732"/>
      <c r="U249" s="732"/>
      <c r="V249" s="733"/>
      <c r="W249" s="732"/>
      <c r="X249" s="732"/>
      <c r="Y249" s="732"/>
      <c r="Z249" s="732"/>
      <c r="AA249" s="732"/>
    </row>
    <row r="250" spans="1:27" ht="24.75" customHeight="1">
      <c r="A250" s="732"/>
      <c r="B250" s="732"/>
      <c r="C250" s="732"/>
      <c r="D250" s="732"/>
      <c r="E250" s="732"/>
      <c r="F250" s="732"/>
      <c r="G250" s="732"/>
      <c r="H250" s="732"/>
      <c r="I250" s="732"/>
      <c r="J250" s="732"/>
      <c r="K250" s="732"/>
      <c r="L250" s="732"/>
      <c r="M250" s="732"/>
      <c r="N250" s="732"/>
      <c r="O250" s="732"/>
      <c r="P250" s="732"/>
      <c r="Q250" s="732"/>
      <c r="R250" s="732"/>
      <c r="S250" s="732"/>
      <c r="T250" s="732"/>
      <c r="U250" s="732"/>
      <c r="V250" s="733"/>
      <c r="W250" s="732"/>
      <c r="X250" s="732"/>
      <c r="Y250" s="732"/>
      <c r="Z250" s="732"/>
      <c r="AA250" s="732"/>
    </row>
    <row r="251" spans="1:27" ht="24.75" customHeight="1">
      <c r="A251" s="732"/>
      <c r="B251" s="732"/>
      <c r="C251" s="732"/>
      <c r="D251" s="732"/>
      <c r="E251" s="732"/>
      <c r="F251" s="732"/>
      <c r="G251" s="732"/>
      <c r="H251" s="732"/>
      <c r="I251" s="732"/>
      <c r="J251" s="732"/>
      <c r="K251" s="732"/>
      <c r="L251" s="732"/>
      <c r="M251" s="732"/>
      <c r="N251" s="732"/>
      <c r="O251" s="732"/>
      <c r="P251" s="732"/>
      <c r="Q251" s="732"/>
      <c r="R251" s="732"/>
      <c r="S251" s="732"/>
      <c r="T251" s="732"/>
      <c r="U251" s="732"/>
      <c r="V251" s="733"/>
      <c r="W251" s="732"/>
      <c r="X251" s="732"/>
      <c r="Y251" s="732"/>
      <c r="Z251" s="732"/>
      <c r="AA251" s="732"/>
    </row>
    <row r="252" spans="1:27" ht="24.75" customHeight="1">
      <c r="A252" s="732"/>
      <c r="B252" s="732"/>
      <c r="C252" s="732"/>
      <c r="D252" s="732"/>
      <c r="E252" s="732"/>
      <c r="F252" s="732"/>
      <c r="G252" s="732"/>
      <c r="H252" s="732"/>
      <c r="I252" s="732"/>
      <c r="J252" s="732"/>
      <c r="K252" s="732"/>
      <c r="L252" s="732"/>
      <c r="M252" s="732"/>
      <c r="N252" s="732"/>
      <c r="O252" s="732"/>
      <c r="P252" s="732"/>
      <c r="Q252" s="732"/>
      <c r="R252" s="732"/>
      <c r="S252" s="732"/>
      <c r="T252" s="732"/>
      <c r="U252" s="732"/>
      <c r="V252" s="733"/>
      <c r="W252" s="732"/>
      <c r="X252" s="732"/>
      <c r="Y252" s="732"/>
      <c r="Z252" s="732"/>
      <c r="AA252" s="732"/>
    </row>
    <row r="253" spans="1:27" ht="24.75" customHeight="1">
      <c r="A253" s="732"/>
      <c r="B253" s="732"/>
      <c r="C253" s="732"/>
      <c r="D253" s="732"/>
      <c r="E253" s="732"/>
      <c r="F253" s="732"/>
      <c r="G253" s="732"/>
      <c r="H253" s="732"/>
      <c r="I253" s="732"/>
      <c r="J253" s="732"/>
      <c r="K253" s="732"/>
      <c r="L253" s="732"/>
      <c r="M253" s="732"/>
      <c r="N253" s="732"/>
      <c r="O253" s="732"/>
      <c r="P253" s="732"/>
      <c r="Q253" s="732"/>
      <c r="R253" s="732"/>
      <c r="S253" s="732"/>
      <c r="T253" s="732"/>
      <c r="U253" s="732"/>
      <c r="V253" s="733"/>
      <c r="W253" s="732"/>
      <c r="X253" s="732"/>
      <c r="Y253" s="732"/>
      <c r="Z253" s="732"/>
      <c r="AA253" s="732"/>
    </row>
    <row r="254" spans="1:27" ht="24.75" customHeight="1">
      <c r="A254" s="732"/>
      <c r="B254" s="732"/>
      <c r="C254" s="732"/>
      <c r="D254" s="732"/>
      <c r="E254" s="732"/>
      <c r="F254" s="732"/>
      <c r="G254" s="732"/>
      <c r="H254" s="732"/>
      <c r="I254" s="732"/>
      <c r="J254" s="732"/>
      <c r="K254" s="732"/>
      <c r="L254" s="732"/>
      <c r="M254" s="732"/>
      <c r="N254" s="732"/>
      <c r="O254" s="732"/>
      <c r="P254" s="732"/>
      <c r="Q254" s="732"/>
      <c r="R254" s="732"/>
      <c r="S254" s="732"/>
      <c r="T254" s="732"/>
      <c r="U254" s="732"/>
      <c r="V254" s="733"/>
      <c r="W254" s="732"/>
      <c r="X254" s="732"/>
      <c r="Y254" s="732"/>
      <c r="Z254" s="732"/>
      <c r="AA254" s="732"/>
    </row>
    <row r="255" spans="1:27" ht="24.75" customHeight="1">
      <c r="A255" s="732"/>
      <c r="B255" s="732"/>
      <c r="C255" s="732"/>
      <c r="D255" s="732"/>
      <c r="E255" s="732"/>
      <c r="F255" s="732"/>
      <c r="G255" s="732"/>
      <c r="H255" s="732"/>
      <c r="I255" s="732"/>
      <c r="J255" s="732"/>
      <c r="K255" s="732"/>
      <c r="L255" s="732"/>
      <c r="M255" s="732"/>
      <c r="N255" s="732"/>
      <c r="O255" s="732"/>
      <c r="P255" s="732"/>
      <c r="Q255" s="732"/>
      <c r="R255" s="732"/>
      <c r="S255" s="732"/>
      <c r="T255" s="732"/>
      <c r="U255" s="732"/>
      <c r="V255" s="733"/>
      <c r="W255" s="732"/>
      <c r="X255" s="732"/>
      <c r="Y255" s="732"/>
      <c r="Z255" s="732"/>
      <c r="AA255" s="732"/>
    </row>
    <row r="256" spans="1:27" ht="24.75" customHeight="1">
      <c r="A256" s="732"/>
      <c r="B256" s="732"/>
      <c r="C256" s="732"/>
      <c r="D256" s="732"/>
      <c r="E256" s="732"/>
      <c r="F256" s="732"/>
      <c r="G256" s="732"/>
      <c r="H256" s="732"/>
      <c r="I256" s="732"/>
      <c r="J256" s="732"/>
      <c r="K256" s="732"/>
      <c r="L256" s="732"/>
      <c r="M256" s="732"/>
      <c r="N256" s="732"/>
      <c r="O256" s="732"/>
      <c r="P256" s="732"/>
      <c r="Q256" s="732"/>
      <c r="R256" s="732"/>
      <c r="S256" s="732"/>
      <c r="T256" s="732"/>
      <c r="U256" s="732"/>
      <c r="V256" s="733"/>
      <c r="W256" s="732"/>
      <c r="X256" s="732"/>
      <c r="Y256" s="732"/>
      <c r="Z256" s="732"/>
      <c r="AA256" s="732"/>
    </row>
    <row r="257" spans="1:27" ht="24.75" customHeight="1">
      <c r="A257" s="732"/>
      <c r="B257" s="732"/>
      <c r="C257" s="732"/>
      <c r="D257" s="732"/>
      <c r="E257" s="732"/>
      <c r="F257" s="732"/>
      <c r="G257" s="732"/>
      <c r="H257" s="732"/>
      <c r="I257" s="732"/>
      <c r="J257" s="732"/>
      <c r="K257" s="732"/>
      <c r="L257" s="732"/>
      <c r="M257" s="732"/>
      <c r="N257" s="732"/>
      <c r="O257" s="732"/>
      <c r="P257" s="732"/>
      <c r="Q257" s="732"/>
      <c r="R257" s="732"/>
      <c r="S257" s="732"/>
      <c r="T257" s="732"/>
      <c r="U257" s="732"/>
      <c r="V257" s="733"/>
      <c r="W257" s="732"/>
      <c r="X257" s="732"/>
      <c r="Y257" s="732"/>
      <c r="Z257" s="732"/>
      <c r="AA257" s="732"/>
    </row>
    <row r="258" spans="1:27" ht="24.75" customHeight="1">
      <c r="A258" s="732"/>
      <c r="B258" s="732"/>
      <c r="C258" s="732"/>
      <c r="D258" s="732"/>
      <c r="E258" s="732"/>
      <c r="F258" s="732"/>
      <c r="G258" s="732"/>
      <c r="H258" s="732"/>
      <c r="I258" s="732"/>
      <c r="J258" s="732"/>
      <c r="K258" s="732"/>
      <c r="L258" s="732"/>
      <c r="M258" s="732"/>
      <c r="N258" s="732"/>
      <c r="O258" s="732"/>
      <c r="P258" s="732"/>
      <c r="Q258" s="732"/>
      <c r="R258" s="732"/>
      <c r="S258" s="732"/>
      <c r="T258" s="732"/>
      <c r="U258" s="732"/>
      <c r="V258" s="733"/>
      <c r="W258" s="732"/>
      <c r="X258" s="732"/>
      <c r="Y258" s="732"/>
      <c r="Z258" s="732"/>
      <c r="AA258" s="732"/>
    </row>
    <row r="259" spans="1:27" ht="24.75" customHeight="1">
      <c r="A259" s="732"/>
      <c r="B259" s="732"/>
      <c r="C259" s="732"/>
      <c r="D259" s="732"/>
      <c r="E259" s="732"/>
      <c r="F259" s="732"/>
      <c r="G259" s="732"/>
      <c r="H259" s="732"/>
      <c r="I259" s="732"/>
      <c r="J259" s="732"/>
      <c r="K259" s="732"/>
      <c r="L259" s="732"/>
      <c r="M259" s="732"/>
      <c r="N259" s="732"/>
      <c r="O259" s="732"/>
      <c r="P259" s="732"/>
      <c r="Q259" s="732"/>
      <c r="R259" s="732"/>
      <c r="S259" s="732"/>
      <c r="T259" s="732"/>
      <c r="U259" s="732"/>
      <c r="V259" s="733"/>
      <c r="W259" s="732"/>
      <c r="X259" s="732"/>
      <c r="Y259" s="732"/>
      <c r="Z259" s="732"/>
      <c r="AA259" s="732"/>
    </row>
    <row r="260" spans="1:27" ht="24.75" customHeight="1">
      <c r="A260" s="732"/>
      <c r="B260" s="732"/>
      <c r="C260" s="732"/>
      <c r="D260" s="732"/>
      <c r="E260" s="732"/>
      <c r="F260" s="732"/>
      <c r="G260" s="732"/>
      <c r="H260" s="732"/>
      <c r="I260" s="732"/>
      <c r="J260" s="732"/>
      <c r="K260" s="732"/>
      <c r="L260" s="732"/>
      <c r="M260" s="732"/>
      <c r="N260" s="732"/>
      <c r="O260" s="732"/>
      <c r="P260" s="732"/>
      <c r="Q260" s="732"/>
      <c r="R260" s="732"/>
      <c r="S260" s="732"/>
      <c r="T260" s="732"/>
      <c r="U260" s="732"/>
      <c r="V260" s="733"/>
      <c r="W260" s="732"/>
      <c r="X260" s="732"/>
      <c r="Y260" s="732"/>
      <c r="Z260" s="732"/>
      <c r="AA260" s="732"/>
    </row>
    <row r="261" spans="1:27" ht="24.75" customHeight="1">
      <c r="A261" s="732"/>
      <c r="B261" s="732"/>
      <c r="C261" s="732"/>
      <c r="D261" s="732"/>
      <c r="E261" s="732"/>
      <c r="F261" s="732"/>
      <c r="G261" s="732"/>
      <c r="H261" s="732"/>
      <c r="I261" s="732"/>
      <c r="J261" s="732"/>
      <c r="K261" s="732"/>
      <c r="L261" s="732"/>
      <c r="M261" s="732"/>
      <c r="N261" s="732"/>
      <c r="O261" s="732"/>
      <c r="P261" s="732"/>
      <c r="Q261" s="732"/>
      <c r="R261" s="732"/>
      <c r="S261" s="732"/>
      <c r="T261" s="732"/>
      <c r="U261" s="732"/>
      <c r="V261" s="733"/>
      <c r="W261" s="732"/>
      <c r="X261" s="732"/>
      <c r="Y261" s="732"/>
      <c r="Z261" s="732"/>
      <c r="AA261" s="732"/>
    </row>
    <row r="262" spans="1:27" ht="24.75" customHeight="1">
      <c r="A262" s="732"/>
      <c r="B262" s="732"/>
      <c r="C262" s="732"/>
      <c r="D262" s="732"/>
      <c r="E262" s="732"/>
      <c r="F262" s="732"/>
      <c r="G262" s="732"/>
      <c r="H262" s="732"/>
      <c r="I262" s="732"/>
      <c r="J262" s="732"/>
      <c r="K262" s="732"/>
      <c r="L262" s="732"/>
      <c r="M262" s="732"/>
      <c r="N262" s="732"/>
      <c r="O262" s="732"/>
      <c r="P262" s="732"/>
      <c r="Q262" s="732"/>
      <c r="R262" s="732"/>
      <c r="S262" s="732"/>
      <c r="T262" s="732"/>
      <c r="U262" s="732"/>
      <c r="V262" s="733"/>
      <c r="W262" s="732"/>
      <c r="X262" s="732"/>
      <c r="Y262" s="732"/>
      <c r="Z262" s="732"/>
      <c r="AA262" s="732"/>
    </row>
    <row r="263" spans="1:27" ht="24.75" customHeight="1">
      <c r="A263" s="732"/>
      <c r="B263" s="732"/>
      <c r="C263" s="732"/>
      <c r="D263" s="732"/>
      <c r="E263" s="732"/>
      <c r="F263" s="732"/>
      <c r="G263" s="732"/>
      <c r="H263" s="732"/>
      <c r="I263" s="732"/>
      <c r="J263" s="732"/>
      <c r="K263" s="732"/>
      <c r="L263" s="732"/>
      <c r="M263" s="732"/>
      <c r="N263" s="732"/>
      <c r="O263" s="732"/>
      <c r="P263" s="732"/>
      <c r="Q263" s="732"/>
      <c r="R263" s="732"/>
      <c r="S263" s="732"/>
      <c r="T263" s="732"/>
      <c r="U263" s="732"/>
      <c r="V263" s="733"/>
      <c r="W263" s="732"/>
      <c r="X263" s="732"/>
      <c r="Y263" s="732"/>
      <c r="Z263" s="732"/>
      <c r="AA263" s="732"/>
    </row>
    <row r="264" spans="1:27" ht="24.75" customHeight="1">
      <c r="A264" s="732"/>
      <c r="B264" s="732"/>
      <c r="C264" s="732"/>
      <c r="D264" s="732"/>
      <c r="E264" s="732"/>
      <c r="F264" s="732"/>
      <c r="G264" s="732"/>
      <c r="H264" s="732"/>
      <c r="I264" s="732"/>
      <c r="J264" s="732"/>
      <c r="K264" s="732"/>
      <c r="L264" s="732"/>
      <c r="M264" s="732"/>
      <c r="N264" s="732"/>
      <c r="O264" s="732"/>
      <c r="P264" s="732"/>
      <c r="Q264" s="732"/>
      <c r="R264" s="732"/>
      <c r="S264" s="732"/>
      <c r="T264" s="732"/>
      <c r="U264" s="732"/>
      <c r="V264" s="733"/>
      <c r="W264" s="732"/>
      <c r="X264" s="732"/>
      <c r="Y264" s="732"/>
      <c r="Z264" s="732"/>
      <c r="AA264" s="732"/>
    </row>
    <row r="265" spans="1:27" ht="24.75" customHeight="1">
      <c r="A265" s="732"/>
      <c r="B265" s="732"/>
      <c r="C265" s="732"/>
      <c r="D265" s="732"/>
      <c r="E265" s="732"/>
      <c r="F265" s="732"/>
      <c r="G265" s="732"/>
      <c r="H265" s="732"/>
      <c r="I265" s="732"/>
      <c r="J265" s="732"/>
      <c r="K265" s="732"/>
      <c r="L265" s="732"/>
      <c r="M265" s="732"/>
      <c r="N265" s="732"/>
      <c r="O265" s="732"/>
      <c r="P265" s="732"/>
      <c r="Q265" s="732"/>
      <c r="R265" s="732"/>
      <c r="S265" s="732"/>
      <c r="T265" s="732"/>
      <c r="U265" s="732"/>
      <c r="V265" s="733"/>
      <c r="W265" s="732"/>
      <c r="X265" s="732"/>
      <c r="Y265" s="732"/>
      <c r="Z265" s="732"/>
      <c r="AA265" s="732"/>
    </row>
    <row r="266" spans="1:27" ht="24.75" customHeight="1">
      <c r="A266" s="732"/>
      <c r="B266" s="732"/>
      <c r="C266" s="732"/>
      <c r="D266" s="732"/>
      <c r="E266" s="732"/>
      <c r="F266" s="732"/>
      <c r="G266" s="732"/>
      <c r="H266" s="732"/>
      <c r="I266" s="732"/>
      <c r="J266" s="732"/>
      <c r="K266" s="732"/>
      <c r="L266" s="732"/>
      <c r="M266" s="732"/>
      <c r="N266" s="732"/>
      <c r="O266" s="732"/>
      <c r="P266" s="732"/>
      <c r="Q266" s="732"/>
      <c r="R266" s="732"/>
      <c r="S266" s="732"/>
      <c r="T266" s="732"/>
      <c r="U266" s="732"/>
      <c r="V266" s="733"/>
      <c r="W266" s="732"/>
      <c r="X266" s="732"/>
      <c r="Y266" s="732"/>
      <c r="Z266" s="732"/>
      <c r="AA266" s="732"/>
    </row>
    <row r="267" spans="1:27" ht="24.75" customHeight="1">
      <c r="A267" s="732"/>
      <c r="B267" s="732"/>
      <c r="C267" s="732"/>
      <c r="D267" s="732"/>
      <c r="E267" s="732"/>
      <c r="F267" s="732"/>
      <c r="G267" s="732"/>
      <c r="H267" s="732"/>
      <c r="I267" s="732"/>
      <c r="J267" s="732"/>
      <c r="K267" s="732"/>
      <c r="L267" s="732"/>
      <c r="M267" s="732"/>
      <c r="N267" s="732"/>
      <c r="O267" s="732"/>
      <c r="P267" s="732"/>
      <c r="Q267" s="732"/>
      <c r="R267" s="732"/>
      <c r="S267" s="732"/>
      <c r="T267" s="732"/>
      <c r="U267" s="732"/>
      <c r="V267" s="733"/>
      <c r="W267" s="732"/>
      <c r="X267" s="732"/>
      <c r="Y267" s="732"/>
      <c r="Z267" s="732"/>
      <c r="AA267" s="732"/>
    </row>
    <row r="268" spans="1:27" ht="24.75" customHeight="1">
      <c r="A268" s="732"/>
      <c r="B268" s="732"/>
      <c r="C268" s="732"/>
      <c r="D268" s="732"/>
      <c r="E268" s="732"/>
      <c r="F268" s="732"/>
      <c r="G268" s="732"/>
      <c r="H268" s="732"/>
      <c r="I268" s="732"/>
      <c r="J268" s="732"/>
      <c r="K268" s="732"/>
      <c r="L268" s="732"/>
      <c r="M268" s="732"/>
      <c r="N268" s="732"/>
      <c r="O268" s="732"/>
      <c r="P268" s="732"/>
      <c r="Q268" s="732"/>
      <c r="R268" s="732"/>
      <c r="S268" s="732"/>
      <c r="T268" s="732"/>
      <c r="U268" s="732"/>
      <c r="V268" s="733"/>
      <c r="W268" s="732"/>
      <c r="X268" s="732"/>
      <c r="Y268" s="732"/>
      <c r="Z268" s="732"/>
      <c r="AA268" s="732"/>
    </row>
    <row r="269" spans="1:27" ht="24.75" customHeight="1">
      <c r="A269" s="732"/>
      <c r="B269" s="732"/>
      <c r="C269" s="732"/>
      <c r="D269" s="732"/>
      <c r="E269" s="732"/>
      <c r="F269" s="732"/>
      <c r="G269" s="732"/>
      <c r="H269" s="732"/>
      <c r="I269" s="732"/>
      <c r="J269" s="732"/>
      <c r="K269" s="732"/>
      <c r="L269" s="732"/>
      <c r="M269" s="732"/>
      <c r="N269" s="732"/>
      <c r="O269" s="732"/>
      <c r="P269" s="732"/>
      <c r="Q269" s="732"/>
      <c r="R269" s="732"/>
      <c r="S269" s="732"/>
      <c r="T269" s="732"/>
      <c r="U269" s="732"/>
      <c r="V269" s="733"/>
      <c r="W269" s="732"/>
      <c r="X269" s="732"/>
      <c r="Y269" s="732"/>
      <c r="Z269" s="732"/>
      <c r="AA269" s="732"/>
    </row>
    <row r="270" spans="1:27" ht="24.75" customHeight="1">
      <c r="A270" s="732"/>
      <c r="B270" s="732"/>
      <c r="C270" s="732"/>
      <c r="D270" s="732"/>
      <c r="E270" s="732"/>
      <c r="F270" s="732"/>
      <c r="G270" s="732"/>
      <c r="H270" s="732"/>
      <c r="I270" s="732"/>
      <c r="J270" s="732"/>
      <c r="K270" s="732"/>
      <c r="L270" s="732"/>
      <c r="M270" s="732"/>
      <c r="N270" s="732"/>
      <c r="O270" s="732"/>
      <c r="P270" s="732"/>
      <c r="Q270" s="732"/>
      <c r="R270" s="732"/>
      <c r="S270" s="732"/>
      <c r="T270" s="732"/>
      <c r="U270" s="732"/>
      <c r="V270" s="733"/>
      <c r="W270" s="732"/>
      <c r="X270" s="732"/>
      <c r="Y270" s="732"/>
      <c r="Z270" s="732"/>
      <c r="AA270" s="732"/>
    </row>
    <row r="271" spans="1:27" ht="24.75" customHeight="1">
      <c r="A271" s="732"/>
      <c r="B271" s="732"/>
      <c r="C271" s="732"/>
      <c r="D271" s="732"/>
      <c r="E271" s="732"/>
      <c r="F271" s="732"/>
      <c r="G271" s="732"/>
      <c r="H271" s="732"/>
      <c r="I271" s="732"/>
      <c r="J271" s="732"/>
      <c r="K271" s="732"/>
      <c r="L271" s="732"/>
      <c r="M271" s="732"/>
      <c r="N271" s="732"/>
      <c r="O271" s="732"/>
      <c r="P271" s="732"/>
      <c r="Q271" s="732"/>
      <c r="R271" s="732"/>
      <c r="S271" s="732"/>
      <c r="T271" s="732"/>
      <c r="U271" s="732"/>
      <c r="V271" s="733"/>
      <c r="W271" s="732"/>
      <c r="X271" s="732"/>
      <c r="Y271" s="732"/>
      <c r="Z271" s="732"/>
      <c r="AA271" s="732"/>
    </row>
    <row r="272" spans="1:27" ht="24.75" customHeight="1">
      <c r="A272" s="732"/>
      <c r="B272" s="732"/>
      <c r="C272" s="732"/>
      <c r="D272" s="732"/>
      <c r="E272" s="732"/>
      <c r="F272" s="732"/>
      <c r="G272" s="732"/>
      <c r="H272" s="732"/>
      <c r="I272" s="732"/>
      <c r="J272" s="732"/>
      <c r="K272" s="732"/>
      <c r="L272" s="732"/>
      <c r="M272" s="732"/>
      <c r="N272" s="732"/>
      <c r="O272" s="732"/>
      <c r="P272" s="732"/>
      <c r="Q272" s="732"/>
      <c r="R272" s="732"/>
      <c r="S272" s="732"/>
      <c r="T272" s="732"/>
      <c r="U272" s="732"/>
      <c r="V272" s="733"/>
      <c r="W272" s="732"/>
      <c r="X272" s="732"/>
      <c r="Y272" s="732"/>
      <c r="Z272" s="732"/>
      <c r="AA272" s="732"/>
    </row>
    <row r="273" spans="1:27" ht="24.75" customHeight="1">
      <c r="A273" s="732"/>
      <c r="B273" s="732"/>
      <c r="C273" s="732"/>
      <c r="D273" s="732"/>
      <c r="E273" s="732"/>
      <c r="F273" s="732"/>
      <c r="G273" s="732"/>
      <c r="H273" s="732"/>
      <c r="I273" s="732"/>
      <c r="J273" s="732"/>
      <c r="K273" s="732"/>
      <c r="L273" s="732"/>
      <c r="M273" s="732"/>
      <c r="N273" s="732"/>
      <c r="O273" s="732"/>
      <c r="P273" s="732"/>
      <c r="Q273" s="732"/>
      <c r="R273" s="732"/>
      <c r="S273" s="732"/>
      <c r="T273" s="732"/>
      <c r="U273" s="732"/>
      <c r="V273" s="733"/>
      <c r="W273" s="732"/>
      <c r="X273" s="732"/>
      <c r="Y273" s="732"/>
      <c r="Z273" s="732"/>
      <c r="AA273" s="732"/>
    </row>
    <row r="274" spans="1:27" ht="24.75" customHeight="1">
      <c r="A274" s="732"/>
      <c r="B274" s="732"/>
      <c r="C274" s="732"/>
      <c r="D274" s="732"/>
      <c r="E274" s="732"/>
      <c r="F274" s="732"/>
      <c r="G274" s="732"/>
      <c r="H274" s="732"/>
      <c r="I274" s="732"/>
      <c r="J274" s="732"/>
      <c r="K274" s="732"/>
      <c r="L274" s="732"/>
      <c r="M274" s="732"/>
      <c r="N274" s="732"/>
      <c r="O274" s="732"/>
      <c r="P274" s="732"/>
      <c r="Q274" s="732"/>
      <c r="R274" s="732"/>
      <c r="S274" s="732"/>
      <c r="T274" s="732"/>
      <c r="U274" s="732"/>
      <c r="V274" s="733"/>
      <c r="W274" s="732"/>
      <c r="X274" s="732"/>
      <c r="Y274" s="732"/>
      <c r="Z274" s="732"/>
      <c r="AA274" s="732"/>
    </row>
    <row r="275" spans="1:27" ht="24.75" customHeight="1">
      <c r="A275" s="732"/>
      <c r="B275" s="732"/>
      <c r="C275" s="732"/>
      <c r="D275" s="732"/>
      <c r="E275" s="732"/>
      <c r="F275" s="732"/>
      <c r="G275" s="732"/>
      <c r="H275" s="732"/>
      <c r="I275" s="732"/>
      <c r="J275" s="732"/>
      <c r="K275" s="732"/>
      <c r="L275" s="732"/>
      <c r="M275" s="732"/>
      <c r="N275" s="732"/>
      <c r="O275" s="732"/>
      <c r="P275" s="732"/>
      <c r="Q275" s="732"/>
      <c r="R275" s="732"/>
      <c r="S275" s="732"/>
      <c r="T275" s="732"/>
      <c r="U275" s="732"/>
      <c r="V275" s="733"/>
      <c r="W275" s="732"/>
      <c r="X275" s="732"/>
      <c r="Y275" s="732"/>
      <c r="Z275" s="732"/>
      <c r="AA275" s="732"/>
    </row>
    <row r="276" spans="1:27" ht="24.75" customHeight="1">
      <c r="A276" s="732"/>
      <c r="B276" s="732"/>
      <c r="C276" s="732"/>
      <c r="D276" s="732"/>
      <c r="E276" s="732"/>
      <c r="F276" s="732"/>
      <c r="G276" s="732"/>
      <c r="H276" s="732"/>
      <c r="I276" s="732"/>
      <c r="J276" s="732"/>
      <c r="K276" s="732"/>
      <c r="L276" s="732"/>
      <c r="M276" s="732"/>
      <c r="N276" s="732"/>
      <c r="O276" s="732"/>
      <c r="P276" s="732"/>
      <c r="Q276" s="732"/>
      <c r="R276" s="732"/>
      <c r="S276" s="732"/>
      <c r="T276" s="732"/>
      <c r="U276" s="732"/>
      <c r="V276" s="733"/>
      <c r="W276" s="732"/>
      <c r="X276" s="732"/>
      <c r="Y276" s="732"/>
      <c r="Z276" s="732"/>
      <c r="AA276" s="732"/>
    </row>
    <row r="277" spans="1:27" ht="24.75" customHeight="1">
      <c r="A277" s="732"/>
      <c r="B277" s="732"/>
      <c r="C277" s="732"/>
      <c r="D277" s="732"/>
      <c r="E277" s="732"/>
      <c r="F277" s="732"/>
      <c r="G277" s="732"/>
      <c r="H277" s="732"/>
      <c r="I277" s="732"/>
      <c r="J277" s="732"/>
      <c r="K277" s="732"/>
      <c r="L277" s="732"/>
      <c r="M277" s="732"/>
      <c r="N277" s="732"/>
      <c r="O277" s="732"/>
      <c r="P277" s="732"/>
      <c r="Q277" s="732"/>
      <c r="R277" s="732"/>
      <c r="S277" s="732"/>
      <c r="T277" s="732"/>
      <c r="U277" s="732"/>
      <c r="V277" s="733"/>
      <c r="W277" s="732"/>
      <c r="X277" s="732"/>
      <c r="Y277" s="732"/>
      <c r="Z277" s="732"/>
      <c r="AA277" s="732"/>
    </row>
    <row r="278" spans="1:27" ht="24.75" customHeight="1">
      <c r="A278" s="732"/>
      <c r="B278" s="732"/>
      <c r="C278" s="732"/>
      <c r="D278" s="732"/>
      <c r="E278" s="732"/>
      <c r="F278" s="732"/>
      <c r="G278" s="732"/>
      <c r="H278" s="732"/>
      <c r="I278" s="732"/>
      <c r="J278" s="732"/>
      <c r="K278" s="732"/>
      <c r="L278" s="732"/>
      <c r="M278" s="732"/>
      <c r="N278" s="732"/>
      <c r="O278" s="732"/>
      <c r="P278" s="732"/>
      <c r="Q278" s="732"/>
      <c r="R278" s="732"/>
      <c r="S278" s="732"/>
      <c r="T278" s="732"/>
      <c r="U278" s="732"/>
      <c r="V278" s="733"/>
      <c r="W278" s="732"/>
      <c r="X278" s="732"/>
      <c r="Y278" s="732"/>
      <c r="Z278" s="732"/>
      <c r="AA278" s="732"/>
    </row>
    <row r="279" spans="1:27" ht="24.75" customHeight="1">
      <c r="A279" s="732"/>
      <c r="B279" s="732"/>
      <c r="C279" s="732"/>
      <c r="D279" s="732"/>
      <c r="E279" s="732"/>
      <c r="F279" s="732"/>
      <c r="G279" s="732"/>
      <c r="H279" s="732"/>
      <c r="I279" s="732"/>
      <c r="J279" s="732"/>
      <c r="K279" s="732"/>
      <c r="L279" s="732"/>
      <c r="M279" s="732"/>
      <c r="N279" s="732"/>
      <c r="O279" s="732"/>
      <c r="P279" s="732"/>
      <c r="Q279" s="732"/>
      <c r="R279" s="732"/>
      <c r="S279" s="732"/>
      <c r="T279" s="732"/>
      <c r="U279" s="732"/>
      <c r="V279" s="733"/>
      <c r="W279" s="732"/>
      <c r="X279" s="732"/>
      <c r="Y279" s="732"/>
      <c r="Z279" s="732"/>
      <c r="AA279" s="732"/>
    </row>
    <row r="280" spans="1:27" ht="24.75" customHeight="1">
      <c r="A280" s="732"/>
      <c r="B280" s="732"/>
      <c r="C280" s="732"/>
      <c r="D280" s="732"/>
      <c r="E280" s="732"/>
      <c r="F280" s="732"/>
      <c r="G280" s="732"/>
      <c r="H280" s="732"/>
      <c r="I280" s="732"/>
      <c r="J280" s="732"/>
      <c r="K280" s="732"/>
      <c r="L280" s="732"/>
      <c r="M280" s="732"/>
      <c r="N280" s="732"/>
      <c r="O280" s="732"/>
      <c r="P280" s="732"/>
      <c r="Q280" s="732"/>
      <c r="R280" s="732"/>
      <c r="S280" s="732"/>
      <c r="T280" s="732"/>
      <c r="U280" s="732"/>
      <c r="V280" s="733"/>
      <c r="W280" s="732"/>
      <c r="X280" s="732"/>
      <c r="Y280" s="732"/>
      <c r="Z280" s="732"/>
      <c r="AA280" s="732"/>
    </row>
    <row r="281" spans="1:27" ht="24.75" customHeight="1">
      <c r="A281" s="732"/>
      <c r="B281" s="732"/>
      <c r="C281" s="732"/>
      <c r="D281" s="732"/>
      <c r="E281" s="732"/>
      <c r="F281" s="732"/>
      <c r="G281" s="732"/>
      <c r="H281" s="732"/>
      <c r="I281" s="732"/>
      <c r="J281" s="732"/>
      <c r="K281" s="732"/>
      <c r="L281" s="732"/>
      <c r="M281" s="732"/>
      <c r="N281" s="732"/>
      <c r="O281" s="732"/>
      <c r="P281" s="732"/>
      <c r="Q281" s="732"/>
      <c r="R281" s="732"/>
      <c r="S281" s="732"/>
      <c r="T281" s="732"/>
      <c r="U281" s="732"/>
      <c r="V281" s="733"/>
      <c r="W281" s="732"/>
      <c r="X281" s="732"/>
      <c r="Y281" s="732"/>
      <c r="Z281" s="732"/>
      <c r="AA281" s="732"/>
    </row>
    <row r="282" spans="1:27" ht="24.75" customHeight="1">
      <c r="A282" s="732"/>
      <c r="B282" s="732"/>
      <c r="C282" s="732"/>
      <c r="D282" s="732"/>
      <c r="E282" s="732"/>
      <c r="F282" s="732"/>
      <c r="G282" s="732"/>
      <c r="H282" s="732"/>
      <c r="I282" s="732"/>
      <c r="J282" s="732"/>
      <c r="K282" s="732"/>
      <c r="L282" s="732"/>
      <c r="M282" s="732"/>
      <c r="N282" s="732"/>
      <c r="O282" s="732"/>
      <c r="P282" s="732"/>
      <c r="Q282" s="732"/>
      <c r="R282" s="732"/>
      <c r="S282" s="732"/>
      <c r="T282" s="732"/>
      <c r="U282" s="732"/>
      <c r="V282" s="733"/>
      <c r="W282" s="732"/>
      <c r="X282" s="732"/>
      <c r="Y282" s="732"/>
      <c r="Z282" s="732"/>
      <c r="AA282" s="732"/>
    </row>
    <row r="283" spans="1:27" ht="24.75" customHeight="1">
      <c r="A283" s="732"/>
      <c r="B283" s="732"/>
      <c r="C283" s="732"/>
      <c r="D283" s="732"/>
      <c r="E283" s="732"/>
      <c r="F283" s="732"/>
      <c r="G283" s="732"/>
      <c r="H283" s="732"/>
      <c r="I283" s="732"/>
      <c r="J283" s="732"/>
      <c r="K283" s="732"/>
      <c r="L283" s="732"/>
      <c r="M283" s="732"/>
      <c r="N283" s="732"/>
      <c r="O283" s="732"/>
      <c r="P283" s="732"/>
      <c r="Q283" s="732"/>
      <c r="R283" s="732"/>
      <c r="S283" s="732"/>
      <c r="T283" s="732"/>
      <c r="U283" s="732"/>
      <c r="V283" s="733"/>
      <c r="W283" s="732"/>
      <c r="X283" s="732"/>
      <c r="Y283" s="732"/>
      <c r="Z283" s="732"/>
      <c r="AA283" s="732"/>
    </row>
    <row r="284" spans="1:27" ht="24.75" customHeight="1">
      <c r="A284" s="732"/>
      <c r="B284" s="732"/>
      <c r="C284" s="732"/>
      <c r="D284" s="732"/>
      <c r="E284" s="732"/>
      <c r="F284" s="732"/>
      <c r="G284" s="732"/>
      <c r="H284" s="732"/>
      <c r="I284" s="732"/>
      <c r="J284" s="732"/>
      <c r="K284" s="732"/>
      <c r="L284" s="732"/>
      <c r="M284" s="732"/>
      <c r="N284" s="732"/>
      <c r="O284" s="732"/>
      <c r="P284" s="732"/>
      <c r="Q284" s="732"/>
      <c r="R284" s="732"/>
      <c r="S284" s="732"/>
      <c r="T284" s="732"/>
      <c r="U284" s="732"/>
      <c r="V284" s="733"/>
      <c r="W284" s="732"/>
      <c r="X284" s="732"/>
      <c r="Y284" s="732"/>
      <c r="Z284" s="732"/>
      <c r="AA284" s="732"/>
    </row>
    <row r="285" spans="1:27" ht="24.75" customHeight="1">
      <c r="A285" s="732"/>
      <c r="B285" s="732"/>
      <c r="C285" s="732"/>
      <c r="D285" s="732"/>
      <c r="E285" s="732"/>
      <c r="F285" s="732"/>
      <c r="G285" s="732"/>
      <c r="H285" s="732"/>
      <c r="I285" s="732"/>
      <c r="J285" s="732"/>
      <c r="K285" s="732"/>
      <c r="L285" s="732"/>
      <c r="M285" s="732"/>
      <c r="N285" s="732"/>
      <c r="O285" s="732"/>
      <c r="P285" s="732"/>
      <c r="Q285" s="732"/>
      <c r="R285" s="732"/>
      <c r="S285" s="732"/>
      <c r="T285" s="732"/>
      <c r="U285" s="732"/>
      <c r="V285" s="733"/>
      <c r="W285" s="732"/>
      <c r="X285" s="732"/>
      <c r="Y285" s="732"/>
      <c r="Z285" s="732"/>
      <c r="AA285" s="732"/>
    </row>
    <row r="286" spans="1:27" ht="24.75" customHeight="1">
      <c r="A286" s="732"/>
      <c r="B286" s="732"/>
      <c r="C286" s="732"/>
      <c r="D286" s="732"/>
      <c r="E286" s="732"/>
      <c r="F286" s="732"/>
      <c r="G286" s="732"/>
      <c r="H286" s="732"/>
      <c r="I286" s="732"/>
      <c r="J286" s="732"/>
      <c r="K286" s="732"/>
      <c r="L286" s="732"/>
      <c r="M286" s="732"/>
      <c r="N286" s="732"/>
      <c r="O286" s="732"/>
      <c r="P286" s="732"/>
      <c r="Q286" s="732"/>
      <c r="R286" s="732"/>
      <c r="S286" s="732"/>
      <c r="T286" s="732"/>
      <c r="U286" s="732"/>
      <c r="V286" s="733"/>
      <c r="W286" s="732"/>
      <c r="X286" s="732"/>
      <c r="Y286" s="732"/>
      <c r="Z286" s="732"/>
      <c r="AA286" s="732"/>
    </row>
    <row r="287" spans="1:27" ht="24.75" customHeight="1">
      <c r="A287" s="732"/>
      <c r="B287" s="732"/>
      <c r="C287" s="732"/>
      <c r="D287" s="732"/>
      <c r="E287" s="732"/>
      <c r="F287" s="732"/>
      <c r="G287" s="732"/>
      <c r="H287" s="732"/>
      <c r="I287" s="732"/>
      <c r="J287" s="732"/>
      <c r="K287" s="732"/>
      <c r="L287" s="732"/>
      <c r="M287" s="732"/>
      <c r="N287" s="732"/>
      <c r="O287" s="732"/>
      <c r="P287" s="732"/>
      <c r="Q287" s="732"/>
      <c r="R287" s="732"/>
      <c r="S287" s="732"/>
      <c r="T287" s="732"/>
      <c r="U287" s="732"/>
      <c r="V287" s="733"/>
      <c r="W287" s="732"/>
      <c r="X287" s="732"/>
      <c r="Y287" s="732"/>
      <c r="Z287" s="732"/>
      <c r="AA287" s="732"/>
    </row>
    <row r="288" spans="1:27" ht="24.75" customHeight="1">
      <c r="A288" s="732"/>
      <c r="B288" s="732"/>
      <c r="C288" s="732"/>
      <c r="D288" s="732"/>
      <c r="E288" s="732"/>
      <c r="F288" s="732"/>
      <c r="G288" s="732"/>
      <c r="H288" s="732"/>
      <c r="I288" s="732"/>
      <c r="J288" s="732"/>
      <c r="K288" s="732"/>
      <c r="L288" s="732"/>
      <c r="M288" s="732"/>
      <c r="N288" s="732"/>
      <c r="O288" s="732"/>
      <c r="P288" s="732"/>
      <c r="Q288" s="732"/>
      <c r="R288" s="732"/>
      <c r="S288" s="732"/>
      <c r="T288" s="732"/>
      <c r="U288" s="732"/>
      <c r="V288" s="733"/>
      <c r="W288" s="732"/>
      <c r="X288" s="732"/>
      <c r="Y288" s="732"/>
      <c r="Z288" s="732"/>
      <c r="AA288" s="732"/>
    </row>
    <row r="289" spans="1:27" ht="24.75" customHeight="1">
      <c r="A289" s="732"/>
      <c r="B289" s="732"/>
      <c r="C289" s="732"/>
      <c r="D289" s="732"/>
      <c r="E289" s="732"/>
      <c r="F289" s="732"/>
      <c r="G289" s="732"/>
      <c r="H289" s="732"/>
      <c r="I289" s="732"/>
      <c r="J289" s="732"/>
      <c r="K289" s="732"/>
      <c r="L289" s="732"/>
      <c r="M289" s="732"/>
      <c r="N289" s="732"/>
      <c r="O289" s="732"/>
      <c r="P289" s="732"/>
      <c r="Q289" s="732"/>
      <c r="R289" s="732"/>
      <c r="S289" s="732"/>
      <c r="T289" s="732"/>
      <c r="U289" s="732"/>
      <c r="V289" s="733"/>
      <c r="W289" s="732"/>
      <c r="X289" s="732"/>
      <c r="Y289" s="732"/>
      <c r="Z289" s="732"/>
      <c r="AA289" s="732"/>
    </row>
    <row r="290" spans="1:27" ht="24.75" customHeight="1">
      <c r="A290" s="732"/>
      <c r="B290" s="732"/>
      <c r="C290" s="732"/>
      <c r="D290" s="732"/>
      <c r="E290" s="732"/>
      <c r="F290" s="732"/>
      <c r="G290" s="732"/>
      <c r="H290" s="732"/>
      <c r="I290" s="732"/>
      <c r="J290" s="732"/>
      <c r="K290" s="732"/>
      <c r="L290" s="732"/>
      <c r="M290" s="732"/>
      <c r="N290" s="732"/>
      <c r="O290" s="732"/>
      <c r="P290" s="732"/>
      <c r="Q290" s="732"/>
      <c r="R290" s="732"/>
      <c r="S290" s="732"/>
      <c r="T290" s="732"/>
      <c r="U290" s="732"/>
      <c r="V290" s="733"/>
      <c r="W290" s="732"/>
      <c r="X290" s="732"/>
      <c r="Y290" s="732"/>
      <c r="Z290" s="732"/>
      <c r="AA290" s="732"/>
    </row>
    <row r="291" spans="1:27" ht="24.75" customHeight="1">
      <c r="A291" s="732"/>
      <c r="B291" s="732"/>
      <c r="C291" s="732"/>
      <c r="D291" s="732"/>
      <c r="E291" s="732"/>
      <c r="F291" s="732"/>
      <c r="G291" s="732"/>
      <c r="H291" s="732"/>
      <c r="I291" s="732"/>
      <c r="J291" s="732"/>
      <c r="K291" s="732"/>
      <c r="L291" s="732"/>
      <c r="M291" s="732"/>
      <c r="N291" s="732"/>
      <c r="O291" s="732"/>
      <c r="P291" s="732"/>
      <c r="Q291" s="732"/>
      <c r="R291" s="732"/>
      <c r="S291" s="732"/>
      <c r="T291" s="732"/>
      <c r="U291" s="732"/>
      <c r="V291" s="733"/>
      <c r="W291" s="732"/>
      <c r="X291" s="732"/>
      <c r="Y291" s="732"/>
      <c r="Z291" s="732"/>
      <c r="AA291" s="732"/>
    </row>
    <row r="292" spans="1:27" ht="24.75" customHeight="1">
      <c r="A292" s="732"/>
      <c r="B292" s="732"/>
      <c r="C292" s="732"/>
      <c r="D292" s="732"/>
      <c r="E292" s="732"/>
      <c r="F292" s="732"/>
      <c r="G292" s="732"/>
      <c r="H292" s="732"/>
      <c r="I292" s="732"/>
      <c r="J292" s="732"/>
      <c r="K292" s="732"/>
      <c r="L292" s="732"/>
      <c r="M292" s="732"/>
      <c r="N292" s="732"/>
      <c r="O292" s="732"/>
      <c r="P292" s="732"/>
      <c r="Q292" s="732"/>
      <c r="R292" s="732"/>
      <c r="S292" s="732"/>
      <c r="T292" s="732"/>
      <c r="U292" s="732"/>
      <c r="V292" s="733"/>
      <c r="W292" s="732"/>
      <c r="X292" s="732"/>
      <c r="Y292" s="732"/>
      <c r="Z292" s="732"/>
      <c r="AA292" s="732"/>
    </row>
    <row r="293" spans="1:27" ht="24.75" customHeight="1">
      <c r="A293" s="732"/>
      <c r="B293" s="732"/>
      <c r="C293" s="732"/>
      <c r="D293" s="732"/>
      <c r="E293" s="732"/>
      <c r="F293" s="732"/>
      <c r="G293" s="732"/>
      <c r="H293" s="732"/>
      <c r="I293" s="732"/>
      <c r="J293" s="732"/>
      <c r="K293" s="732"/>
      <c r="L293" s="732"/>
      <c r="M293" s="732"/>
      <c r="N293" s="732"/>
      <c r="O293" s="732"/>
      <c r="P293" s="732"/>
      <c r="Q293" s="732"/>
      <c r="R293" s="732"/>
      <c r="S293" s="732"/>
      <c r="T293" s="732"/>
      <c r="U293" s="732"/>
      <c r="V293" s="733"/>
      <c r="W293" s="732"/>
      <c r="X293" s="732"/>
      <c r="Y293" s="732"/>
      <c r="Z293" s="732"/>
      <c r="AA293" s="732"/>
    </row>
    <row r="294" spans="1:27" ht="24.75" customHeight="1">
      <c r="A294" s="732"/>
      <c r="B294" s="732"/>
      <c r="C294" s="732"/>
      <c r="D294" s="732"/>
      <c r="E294" s="732"/>
      <c r="F294" s="732"/>
      <c r="G294" s="732"/>
      <c r="H294" s="732"/>
      <c r="I294" s="732"/>
      <c r="J294" s="732"/>
      <c r="K294" s="732"/>
      <c r="L294" s="732"/>
      <c r="M294" s="732"/>
      <c r="N294" s="732"/>
      <c r="O294" s="732"/>
      <c r="P294" s="732"/>
      <c r="Q294" s="732"/>
      <c r="R294" s="732"/>
      <c r="S294" s="732"/>
      <c r="T294" s="732"/>
      <c r="U294" s="732"/>
      <c r="V294" s="733"/>
      <c r="W294" s="732"/>
      <c r="X294" s="732"/>
      <c r="Y294" s="732"/>
      <c r="Z294" s="732"/>
      <c r="AA294" s="732"/>
    </row>
    <row r="295" spans="1:27" ht="24.75" customHeight="1">
      <c r="A295" s="732"/>
      <c r="B295" s="732"/>
      <c r="C295" s="732"/>
      <c r="D295" s="732"/>
      <c r="E295" s="732"/>
      <c r="F295" s="732"/>
      <c r="G295" s="732"/>
      <c r="H295" s="732"/>
      <c r="I295" s="732"/>
      <c r="J295" s="732"/>
      <c r="K295" s="732"/>
      <c r="L295" s="732"/>
      <c r="M295" s="732"/>
      <c r="N295" s="732"/>
      <c r="O295" s="732"/>
      <c r="P295" s="732"/>
      <c r="Q295" s="732"/>
      <c r="R295" s="732"/>
      <c r="S295" s="732"/>
      <c r="T295" s="732"/>
      <c r="U295" s="732"/>
      <c r="V295" s="733"/>
      <c r="W295" s="732"/>
      <c r="X295" s="732"/>
      <c r="Y295" s="732"/>
      <c r="Z295" s="732"/>
      <c r="AA295" s="732"/>
    </row>
    <row r="296" spans="1:27" ht="24.75" customHeight="1">
      <c r="A296" s="732"/>
      <c r="B296" s="732"/>
      <c r="C296" s="732"/>
      <c r="D296" s="732"/>
      <c r="E296" s="732"/>
      <c r="F296" s="732"/>
      <c r="G296" s="732"/>
      <c r="H296" s="732"/>
      <c r="I296" s="732"/>
      <c r="J296" s="732"/>
      <c r="K296" s="732"/>
      <c r="L296" s="732"/>
      <c r="M296" s="732"/>
      <c r="N296" s="732"/>
      <c r="O296" s="732"/>
      <c r="P296" s="732"/>
      <c r="Q296" s="732"/>
      <c r="R296" s="732"/>
      <c r="S296" s="732"/>
      <c r="T296" s="732"/>
      <c r="U296" s="732"/>
      <c r="V296" s="733"/>
      <c r="W296" s="732"/>
      <c r="X296" s="732"/>
      <c r="Y296" s="732"/>
      <c r="Z296" s="732"/>
      <c r="AA296" s="732"/>
    </row>
    <row r="297" spans="1:27" ht="24.75" customHeight="1">
      <c r="A297" s="732"/>
      <c r="B297" s="732"/>
      <c r="C297" s="732"/>
      <c r="D297" s="732"/>
      <c r="E297" s="732"/>
      <c r="F297" s="732"/>
      <c r="G297" s="732"/>
      <c r="H297" s="732"/>
      <c r="I297" s="732"/>
      <c r="J297" s="732"/>
      <c r="K297" s="732"/>
      <c r="L297" s="732"/>
      <c r="M297" s="732"/>
      <c r="N297" s="732"/>
      <c r="O297" s="732"/>
      <c r="P297" s="732"/>
      <c r="Q297" s="732"/>
      <c r="R297" s="732"/>
      <c r="S297" s="732"/>
      <c r="T297" s="732"/>
      <c r="U297" s="732"/>
      <c r="V297" s="733"/>
      <c r="W297" s="732"/>
      <c r="X297" s="732"/>
      <c r="Y297" s="732"/>
      <c r="Z297" s="732"/>
      <c r="AA297" s="732"/>
    </row>
    <row r="298" spans="1:27" ht="24.75" customHeight="1">
      <c r="A298" s="732"/>
      <c r="B298" s="732"/>
      <c r="C298" s="732"/>
      <c r="D298" s="732"/>
      <c r="E298" s="732"/>
      <c r="F298" s="732"/>
      <c r="G298" s="732"/>
      <c r="H298" s="732"/>
      <c r="I298" s="732"/>
      <c r="J298" s="732"/>
      <c r="K298" s="732"/>
      <c r="L298" s="732"/>
      <c r="M298" s="732"/>
      <c r="N298" s="732"/>
      <c r="O298" s="732"/>
      <c r="P298" s="732"/>
      <c r="Q298" s="732"/>
      <c r="R298" s="732"/>
      <c r="S298" s="732"/>
      <c r="T298" s="732"/>
      <c r="U298" s="732"/>
      <c r="V298" s="733"/>
      <c r="W298" s="732"/>
      <c r="X298" s="732"/>
      <c r="Y298" s="732"/>
      <c r="Z298" s="732"/>
      <c r="AA298" s="732"/>
    </row>
    <row r="299" spans="1:27" ht="24.75" customHeight="1">
      <c r="A299" s="732"/>
      <c r="B299" s="732"/>
      <c r="C299" s="732"/>
      <c r="D299" s="732"/>
      <c r="E299" s="732"/>
      <c r="F299" s="732"/>
      <c r="G299" s="732"/>
      <c r="H299" s="732"/>
      <c r="I299" s="732"/>
      <c r="J299" s="732"/>
      <c r="K299" s="732"/>
      <c r="L299" s="732"/>
      <c r="M299" s="732"/>
      <c r="N299" s="732"/>
      <c r="O299" s="732"/>
      <c r="P299" s="732"/>
      <c r="Q299" s="732"/>
      <c r="R299" s="732"/>
      <c r="S299" s="732"/>
      <c r="T299" s="732"/>
      <c r="U299" s="732"/>
      <c r="V299" s="733"/>
      <c r="W299" s="732"/>
      <c r="X299" s="732"/>
      <c r="Y299" s="732"/>
      <c r="Z299" s="732"/>
      <c r="AA299" s="732"/>
    </row>
    <row r="300" spans="1:27" ht="24.75" customHeight="1">
      <c r="A300" s="732"/>
      <c r="B300" s="732"/>
      <c r="C300" s="732"/>
      <c r="D300" s="732"/>
      <c r="E300" s="732"/>
      <c r="F300" s="732"/>
      <c r="G300" s="732"/>
      <c r="H300" s="732"/>
      <c r="I300" s="732"/>
      <c r="J300" s="732"/>
      <c r="K300" s="732"/>
      <c r="L300" s="732"/>
      <c r="M300" s="732"/>
      <c r="N300" s="732"/>
      <c r="O300" s="732"/>
      <c r="P300" s="732"/>
      <c r="Q300" s="732"/>
      <c r="R300" s="732"/>
      <c r="S300" s="732"/>
      <c r="T300" s="732"/>
      <c r="U300" s="732"/>
      <c r="V300" s="733"/>
      <c r="W300" s="732"/>
      <c r="X300" s="732"/>
      <c r="Y300" s="732"/>
      <c r="Z300" s="732"/>
      <c r="AA300" s="732"/>
    </row>
    <row r="301" spans="1:27" ht="24.75" customHeight="1">
      <c r="A301" s="732"/>
      <c r="B301" s="732"/>
      <c r="C301" s="732"/>
      <c r="D301" s="732"/>
      <c r="E301" s="732"/>
      <c r="F301" s="732"/>
      <c r="G301" s="732"/>
      <c r="H301" s="732"/>
      <c r="I301" s="732"/>
      <c r="J301" s="732"/>
      <c r="K301" s="732"/>
      <c r="L301" s="732"/>
      <c r="M301" s="732"/>
      <c r="N301" s="732"/>
      <c r="O301" s="732"/>
      <c r="P301" s="732"/>
      <c r="Q301" s="732"/>
      <c r="R301" s="732"/>
      <c r="S301" s="732"/>
      <c r="T301" s="732"/>
      <c r="U301" s="732"/>
      <c r="V301" s="733"/>
      <c r="W301" s="732"/>
      <c r="X301" s="732"/>
      <c r="Y301" s="732"/>
      <c r="Z301" s="732"/>
      <c r="AA301" s="732"/>
    </row>
    <row r="302" spans="1:27" ht="24.75" customHeight="1">
      <c r="A302" s="732"/>
      <c r="B302" s="732"/>
      <c r="C302" s="732"/>
      <c r="D302" s="732"/>
      <c r="E302" s="732"/>
      <c r="F302" s="732"/>
      <c r="G302" s="732"/>
      <c r="H302" s="732"/>
      <c r="I302" s="732"/>
      <c r="J302" s="732"/>
      <c r="K302" s="732"/>
      <c r="L302" s="732"/>
      <c r="M302" s="732"/>
      <c r="N302" s="732"/>
      <c r="O302" s="732"/>
      <c r="P302" s="732"/>
      <c r="Q302" s="732"/>
      <c r="R302" s="732"/>
      <c r="S302" s="732"/>
      <c r="T302" s="732"/>
      <c r="U302" s="732"/>
      <c r="V302" s="733"/>
      <c r="W302" s="732"/>
      <c r="X302" s="732"/>
      <c r="Y302" s="732"/>
      <c r="Z302" s="732"/>
      <c r="AA302" s="732"/>
    </row>
    <row r="303" spans="1:27" ht="24.75" customHeight="1">
      <c r="A303" s="732"/>
      <c r="B303" s="732"/>
      <c r="C303" s="732"/>
      <c r="D303" s="732"/>
      <c r="E303" s="732"/>
      <c r="F303" s="732"/>
      <c r="G303" s="732"/>
      <c r="H303" s="732"/>
      <c r="I303" s="732"/>
      <c r="J303" s="732"/>
      <c r="K303" s="732"/>
      <c r="L303" s="732"/>
      <c r="M303" s="732"/>
      <c r="N303" s="732"/>
      <c r="O303" s="732"/>
      <c r="P303" s="732"/>
      <c r="Q303" s="732"/>
      <c r="R303" s="732"/>
      <c r="S303" s="732"/>
      <c r="T303" s="732"/>
      <c r="U303" s="732"/>
      <c r="V303" s="733"/>
      <c r="W303" s="732"/>
      <c r="X303" s="732"/>
      <c r="Y303" s="732"/>
      <c r="Z303" s="732"/>
      <c r="AA303" s="732"/>
    </row>
    <row r="304" spans="1:27" ht="24.75" customHeight="1">
      <c r="A304" s="732"/>
      <c r="B304" s="732"/>
      <c r="C304" s="732"/>
      <c r="D304" s="732"/>
      <c r="E304" s="732"/>
      <c r="F304" s="732"/>
      <c r="G304" s="732"/>
      <c r="H304" s="732"/>
      <c r="I304" s="732"/>
      <c r="J304" s="732"/>
      <c r="K304" s="732"/>
      <c r="L304" s="732"/>
      <c r="M304" s="732"/>
      <c r="N304" s="732"/>
      <c r="O304" s="732"/>
      <c r="P304" s="732"/>
      <c r="Q304" s="732"/>
      <c r="R304" s="732"/>
      <c r="S304" s="732"/>
      <c r="T304" s="732"/>
      <c r="U304" s="732"/>
      <c r="V304" s="733"/>
      <c r="W304" s="732"/>
      <c r="X304" s="732"/>
      <c r="Y304" s="732"/>
      <c r="Z304" s="732"/>
      <c r="AA304" s="732"/>
    </row>
    <row r="305" spans="1:27" ht="24.75" customHeight="1">
      <c r="A305" s="732"/>
      <c r="B305" s="732"/>
      <c r="C305" s="732"/>
      <c r="D305" s="732"/>
      <c r="E305" s="732"/>
      <c r="F305" s="732"/>
      <c r="G305" s="732"/>
      <c r="H305" s="732"/>
      <c r="I305" s="732"/>
      <c r="J305" s="732"/>
      <c r="K305" s="732"/>
      <c r="L305" s="732"/>
      <c r="M305" s="732"/>
      <c r="N305" s="732"/>
      <c r="O305" s="732"/>
      <c r="P305" s="732"/>
      <c r="Q305" s="732"/>
      <c r="R305" s="732"/>
      <c r="S305" s="732"/>
      <c r="T305" s="732"/>
      <c r="U305" s="732"/>
      <c r="V305" s="733"/>
      <c r="W305" s="732"/>
      <c r="X305" s="732"/>
      <c r="Y305" s="732"/>
      <c r="Z305" s="732"/>
      <c r="AA305" s="732"/>
    </row>
    <row r="306" spans="1:27" ht="24.75" customHeight="1">
      <c r="A306" s="732"/>
      <c r="B306" s="732"/>
      <c r="C306" s="732"/>
      <c r="D306" s="732"/>
      <c r="E306" s="732"/>
      <c r="F306" s="732"/>
      <c r="G306" s="732"/>
      <c r="H306" s="732"/>
      <c r="I306" s="732"/>
      <c r="J306" s="732"/>
      <c r="K306" s="732"/>
      <c r="L306" s="732"/>
      <c r="M306" s="732"/>
      <c r="N306" s="732"/>
      <c r="O306" s="732"/>
      <c r="P306" s="732"/>
      <c r="Q306" s="732"/>
      <c r="R306" s="732"/>
      <c r="S306" s="732"/>
      <c r="T306" s="732"/>
      <c r="U306" s="732"/>
      <c r="V306" s="733"/>
      <c r="W306" s="732"/>
      <c r="X306" s="732"/>
      <c r="Y306" s="732"/>
      <c r="Z306" s="732"/>
      <c r="AA306" s="732"/>
    </row>
    <row r="307" spans="1:27" ht="24.75" customHeight="1">
      <c r="A307" s="732"/>
      <c r="B307" s="732"/>
      <c r="C307" s="732"/>
      <c r="D307" s="732"/>
      <c r="E307" s="732"/>
      <c r="F307" s="732"/>
      <c r="G307" s="732"/>
      <c r="H307" s="732"/>
      <c r="I307" s="732"/>
      <c r="J307" s="732"/>
      <c r="K307" s="732"/>
      <c r="L307" s="732"/>
      <c r="M307" s="732"/>
      <c r="N307" s="732"/>
      <c r="O307" s="732"/>
      <c r="P307" s="732"/>
      <c r="Q307" s="732"/>
      <c r="R307" s="732"/>
      <c r="S307" s="732"/>
      <c r="T307" s="732"/>
      <c r="U307" s="732"/>
      <c r="V307" s="733"/>
      <c r="W307" s="732"/>
      <c r="X307" s="732"/>
      <c r="Y307" s="732"/>
      <c r="Z307" s="732"/>
      <c r="AA307" s="732"/>
    </row>
    <row r="308" spans="1:27" ht="24.75" customHeight="1">
      <c r="A308" s="732"/>
      <c r="B308" s="732"/>
      <c r="C308" s="732"/>
      <c r="D308" s="732"/>
      <c r="E308" s="732"/>
      <c r="F308" s="732"/>
      <c r="G308" s="732"/>
      <c r="H308" s="732"/>
      <c r="I308" s="732"/>
      <c r="J308" s="732"/>
      <c r="K308" s="732"/>
      <c r="L308" s="732"/>
      <c r="M308" s="732"/>
      <c r="N308" s="732"/>
      <c r="O308" s="732"/>
      <c r="P308" s="732"/>
      <c r="Q308" s="732"/>
      <c r="R308" s="732"/>
      <c r="S308" s="732"/>
      <c r="T308" s="732"/>
      <c r="U308" s="732"/>
      <c r="V308" s="733"/>
      <c r="W308" s="732"/>
      <c r="X308" s="732"/>
      <c r="Y308" s="732"/>
      <c r="Z308" s="732"/>
      <c r="AA308" s="732"/>
    </row>
    <row r="309" spans="1:27" ht="24.75" customHeight="1">
      <c r="A309" s="732"/>
      <c r="B309" s="732"/>
      <c r="C309" s="732"/>
      <c r="D309" s="732"/>
      <c r="E309" s="732"/>
      <c r="F309" s="732"/>
      <c r="G309" s="732"/>
      <c r="H309" s="732"/>
      <c r="I309" s="732"/>
      <c r="J309" s="732"/>
      <c r="K309" s="732"/>
      <c r="L309" s="732"/>
      <c r="M309" s="732"/>
      <c r="N309" s="732"/>
      <c r="O309" s="732"/>
      <c r="P309" s="732"/>
      <c r="Q309" s="732"/>
      <c r="R309" s="732"/>
      <c r="S309" s="732"/>
      <c r="T309" s="732"/>
      <c r="U309" s="732"/>
      <c r="V309" s="733"/>
      <c r="W309" s="732"/>
      <c r="X309" s="732"/>
      <c r="Y309" s="732"/>
      <c r="Z309" s="732"/>
      <c r="AA309" s="732"/>
    </row>
    <row r="310" spans="1:27" ht="24.75" customHeight="1">
      <c r="A310" s="732"/>
      <c r="B310" s="732"/>
      <c r="C310" s="732"/>
      <c r="D310" s="732"/>
      <c r="E310" s="732"/>
      <c r="F310" s="732"/>
      <c r="G310" s="732"/>
      <c r="H310" s="732"/>
      <c r="I310" s="732"/>
      <c r="J310" s="732"/>
      <c r="K310" s="732"/>
      <c r="L310" s="732"/>
      <c r="M310" s="732"/>
      <c r="N310" s="732"/>
      <c r="O310" s="732"/>
      <c r="P310" s="732"/>
      <c r="Q310" s="732"/>
      <c r="R310" s="732"/>
      <c r="S310" s="732"/>
      <c r="T310" s="732"/>
      <c r="U310" s="732"/>
      <c r="V310" s="733"/>
      <c r="W310" s="732"/>
      <c r="X310" s="732"/>
      <c r="Y310" s="732"/>
      <c r="Z310" s="732"/>
      <c r="AA310" s="732"/>
    </row>
    <row r="311" spans="1:27" ht="24.75" customHeight="1">
      <c r="A311" s="732"/>
      <c r="B311" s="732"/>
      <c r="C311" s="732"/>
      <c r="D311" s="732"/>
      <c r="E311" s="732"/>
      <c r="F311" s="732"/>
      <c r="G311" s="732"/>
      <c r="H311" s="732"/>
      <c r="I311" s="732"/>
      <c r="J311" s="732"/>
      <c r="K311" s="732"/>
      <c r="L311" s="732"/>
      <c r="M311" s="732"/>
      <c r="N311" s="732"/>
      <c r="O311" s="732"/>
      <c r="P311" s="732"/>
      <c r="Q311" s="732"/>
      <c r="R311" s="732"/>
      <c r="S311" s="732"/>
      <c r="T311" s="732"/>
      <c r="U311" s="732"/>
      <c r="V311" s="733"/>
      <c r="W311" s="732"/>
      <c r="X311" s="732"/>
      <c r="Y311" s="732"/>
      <c r="Z311" s="732"/>
      <c r="AA311" s="732"/>
    </row>
    <row r="312" spans="1:27" ht="24.75" customHeight="1">
      <c r="A312" s="732"/>
      <c r="B312" s="732"/>
      <c r="C312" s="732"/>
      <c r="D312" s="732"/>
      <c r="E312" s="732"/>
      <c r="F312" s="732"/>
      <c r="G312" s="732"/>
      <c r="H312" s="732"/>
      <c r="I312" s="732"/>
      <c r="J312" s="732"/>
      <c r="K312" s="732"/>
      <c r="L312" s="732"/>
      <c r="M312" s="732"/>
      <c r="N312" s="732"/>
      <c r="O312" s="732"/>
      <c r="P312" s="732"/>
      <c r="Q312" s="732"/>
      <c r="R312" s="732"/>
      <c r="S312" s="732"/>
      <c r="T312" s="732"/>
      <c r="U312" s="732"/>
      <c r="V312" s="733"/>
      <c r="W312" s="732"/>
      <c r="X312" s="732"/>
      <c r="Y312" s="732"/>
      <c r="Z312" s="732"/>
      <c r="AA312" s="732"/>
    </row>
    <row r="313" spans="1:27" ht="24.75" customHeight="1">
      <c r="A313" s="732"/>
      <c r="B313" s="732"/>
      <c r="C313" s="732"/>
      <c r="D313" s="732"/>
      <c r="E313" s="732"/>
      <c r="F313" s="732"/>
      <c r="G313" s="732"/>
      <c r="H313" s="732"/>
      <c r="I313" s="732"/>
      <c r="J313" s="732"/>
      <c r="K313" s="732"/>
      <c r="L313" s="732"/>
      <c r="M313" s="732"/>
      <c r="N313" s="732"/>
      <c r="O313" s="732"/>
      <c r="P313" s="732"/>
      <c r="Q313" s="732"/>
      <c r="R313" s="732"/>
      <c r="S313" s="732"/>
      <c r="T313" s="732"/>
      <c r="U313" s="732"/>
      <c r="V313" s="733"/>
      <c r="W313" s="732"/>
      <c r="X313" s="732"/>
      <c r="Y313" s="732"/>
      <c r="Z313" s="732"/>
      <c r="AA313" s="732"/>
    </row>
    <row r="314" spans="1:27" ht="24.75" customHeight="1">
      <c r="A314" s="732"/>
      <c r="B314" s="732"/>
      <c r="C314" s="732"/>
      <c r="D314" s="732"/>
      <c r="E314" s="732"/>
      <c r="F314" s="732"/>
      <c r="G314" s="732"/>
      <c r="H314" s="732"/>
      <c r="I314" s="732"/>
      <c r="J314" s="732"/>
      <c r="K314" s="732"/>
      <c r="L314" s="732"/>
      <c r="M314" s="732"/>
      <c r="N314" s="732"/>
      <c r="O314" s="732"/>
      <c r="P314" s="732"/>
      <c r="Q314" s="732"/>
      <c r="R314" s="732"/>
      <c r="S314" s="732"/>
      <c r="T314" s="732"/>
      <c r="U314" s="732"/>
      <c r="V314" s="733"/>
      <c r="W314" s="732"/>
      <c r="X314" s="732"/>
      <c r="Y314" s="732"/>
      <c r="Z314" s="732"/>
      <c r="AA314" s="732"/>
    </row>
    <row r="315" spans="1:27" ht="24.75" customHeight="1">
      <c r="A315" s="732"/>
      <c r="B315" s="732"/>
      <c r="C315" s="732"/>
      <c r="D315" s="732"/>
      <c r="E315" s="732"/>
      <c r="F315" s="732"/>
      <c r="G315" s="732"/>
      <c r="H315" s="732"/>
      <c r="I315" s="732"/>
      <c r="J315" s="732"/>
      <c r="K315" s="732"/>
      <c r="L315" s="732"/>
      <c r="M315" s="732"/>
      <c r="N315" s="732"/>
      <c r="O315" s="732"/>
      <c r="P315" s="732"/>
      <c r="Q315" s="732"/>
      <c r="R315" s="732"/>
      <c r="S315" s="732"/>
      <c r="T315" s="732"/>
      <c r="U315" s="732"/>
      <c r="V315" s="733"/>
      <c r="W315" s="732"/>
      <c r="X315" s="732"/>
      <c r="Y315" s="732"/>
      <c r="Z315" s="732"/>
      <c r="AA315" s="732"/>
    </row>
    <row r="316" spans="1:27" ht="24.75" customHeight="1">
      <c r="A316" s="732"/>
      <c r="B316" s="732"/>
      <c r="C316" s="732"/>
      <c r="D316" s="732"/>
      <c r="E316" s="732"/>
      <c r="F316" s="732"/>
      <c r="G316" s="732"/>
      <c r="H316" s="732"/>
      <c r="I316" s="732"/>
      <c r="J316" s="732"/>
      <c r="K316" s="732"/>
      <c r="L316" s="732"/>
      <c r="M316" s="732"/>
      <c r="N316" s="732"/>
      <c r="O316" s="732"/>
      <c r="P316" s="732"/>
      <c r="Q316" s="732"/>
      <c r="R316" s="732"/>
      <c r="S316" s="732"/>
      <c r="T316" s="732"/>
      <c r="U316" s="732"/>
      <c r="V316" s="733"/>
      <c r="W316" s="732"/>
      <c r="X316" s="732"/>
      <c r="Y316" s="732"/>
      <c r="Z316" s="732"/>
      <c r="AA316" s="732"/>
    </row>
    <row r="317" spans="1:27" ht="24.75" customHeight="1">
      <c r="A317" s="732"/>
      <c r="B317" s="732"/>
      <c r="C317" s="732"/>
      <c r="D317" s="732"/>
      <c r="E317" s="732"/>
      <c r="F317" s="732"/>
      <c r="G317" s="732"/>
      <c r="H317" s="732"/>
      <c r="I317" s="732"/>
      <c r="J317" s="732"/>
      <c r="K317" s="732"/>
      <c r="L317" s="732"/>
      <c r="M317" s="732"/>
      <c r="N317" s="732"/>
      <c r="O317" s="732"/>
      <c r="P317" s="732"/>
      <c r="Q317" s="732"/>
      <c r="R317" s="732"/>
      <c r="S317" s="732"/>
      <c r="T317" s="732"/>
      <c r="U317" s="732"/>
      <c r="V317" s="733"/>
      <c r="W317" s="732"/>
      <c r="X317" s="732"/>
      <c r="Y317" s="732"/>
      <c r="Z317" s="732"/>
      <c r="AA317" s="732"/>
    </row>
    <row r="318" spans="1:27" ht="24.75" customHeight="1">
      <c r="A318" s="732"/>
      <c r="B318" s="732"/>
      <c r="C318" s="732"/>
      <c r="D318" s="732"/>
      <c r="E318" s="732"/>
      <c r="F318" s="732"/>
      <c r="G318" s="732"/>
      <c r="H318" s="732"/>
      <c r="I318" s="732"/>
      <c r="J318" s="732"/>
      <c r="K318" s="732"/>
      <c r="L318" s="732"/>
      <c r="M318" s="732"/>
      <c r="N318" s="732"/>
      <c r="O318" s="732"/>
      <c r="P318" s="732"/>
      <c r="Q318" s="732"/>
      <c r="R318" s="732"/>
      <c r="S318" s="732"/>
      <c r="T318" s="732"/>
      <c r="U318" s="732"/>
      <c r="V318" s="733"/>
      <c r="W318" s="732"/>
      <c r="X318" s="732"/>
      <c r="Y318" s="732"/>
      <c r="Z318" s="732"/>
      <c r="AA318" s="732"/>
    </row>
    <row r="319" spans="1:27" ht="24.75" customHeight="1">
      <c r="A319" s="732"/>
      <c r="B319" s="732"/>
      <c r="C319" s="732"/>
      <c r="D319" s="732"/>
      <c r="E319" s="732"/>
      <c r="F319" s="732"/>
      <c r="G319" s="732"/>
      <c r="H319" s="732"/>
      <c r="I319" s="732"/>
      <c r="J319" s="732"/>
      <c r="K319" s="732"/>
      <c r="L319" s="732"/>
      <c r="M319" s="732"/>
      <c r="N319" s="732"/>
      <c r="O319" s="732"/>
      <c r="P319" s="732"/>
      <c r="Q319" s="732"/>
      <c r="R319" s="732"/>
      <c r="S319" s="732"/>
      <c r="T319" s="732"/>
      <c r="U319" s="732"/>
      <c r="V319" s="733"/>
      <c r="W319" s="732"/>
      <c r="X319" s="732"/>
      <c r="Y319" s="732"/>
      <c r="Z319" s="732"/>
      <c r="AA319" s="732"/>
    </row>
    <row r="320" spans="1:27" ht="24.75" customHeight="1">
      <c r="A320" s="732"/>
      <c r="B320" s="732"/>
      <c r="C320" s="732"/>
      <c r="D320" s="732"/>
      <c r="E320" s="732"/>
      <c r="F320" s="732"/>
      <c r="G320" s="732"/>
      <c r="H320" s="732"/>
      <c r="I320" s="732"/>
      <c r="J320" s="732"/>
      <c r="K320" s="732"/>
      <c r="L320" s="732"/>
      <c r="M320" s="732"/>
      <c r="N320" s="732"/>
      <c r="O320" s="732"/>
      <c r="P320" s="732"/>
      <c r="Q320" s="732"/>
      <c r="R320" s="732"/>
      <c r="S320" s="732"/>
      <c r="T320" s="732"/>
      <c r="U320" s="732"/>
      <c r="V320" s="733"/>
      <c r="W320" s="732"/>
      <c r="X320" s="732"/>
      <c r="Y320" s="732"/>
      <c r="Z320" s="732"/>
      <c r="AA320" s="732"/>
    </row>
    <row r="321" spans="1:27" ht="24.75" customHeight="1">
      <c r="A321" s="732"/>
      <c r="B321" s="732"/>
      <c r="C321" s="732"/>
      <c r="D321" s="732"/>
      <c r="E321" s="732"/>
      <c r="F321" s="732"/>
      <c r="G321" s="732"/>
      <c r="H321" s="732"/>
      <c r="I321" s="732"/>
      <c r="J321" s="732"/>
      <c r="K321" s="732"/>
      <c r="L321" s="732"/>
      <c r="M321" s="732"/>
      <c r="N321" s="732"/>
      <c r="O321" s="732"/>
      <c r="P321" s="732"/>
      <c r="Q321" s="732"/>
      <c r="R321" s="732"/>
      <c r="S321" s="732"/>
      <c r="T321" s="732"/>
      <c r="U321" s="732"/>
      <c r="V321" s="733"/>
      <c r="W321" s="732"/>
      <c r="X321" s="732"/>
      <c r="Y321" s="732"/>
      <c r="Z321" s="732"/>
      <c r="AA321" s="732"/>
    </row>
    <row r="322" spans="1:27" ht="24.75" customHeight="1">
      <c r="A322" s="732"/>
      <c r="B322" s="732"/>
      <c r="C322" s="732"/>
      <c r="D322" s="732"/>
      <c r="E322" s="732"/>
      <c r="F322" s="732"/>
      <c r="G322" s="732"/>
      <c r="H322" s="732"/>
      <c r="I322" s="732"/>
      <c r="J322" s="732"/>
      <c r="K322" s="732"/>
      <c r="L322" s="732"/>
      <c r="M322" s="732"/>
      <c r="N322" s="732"/>
      <c r="O322" s="732"/>
      <c r="P322" s="732"/>
      <c r="Q322" s="732"/>
      <c r="R322" s="732"/>
      <c r="S322" s="732"/>
      <c r="T322" s="732"/>
      <c r="U322" s="732"/>
      <c r="V322" s="733"/>
      <c r="W322" s="732"/>
      <c r="X322" s="732"/>
      <c r="Y322" s="732"/>
      <c r="Z322" s="732"/>
      <c r="AA322" s="732"/>
    </row>
    <row r="323" spans="1:27" ht="24.75" customHeight="1">
      <c r="A323" s="732"/>
      <c r="B323" s="732"/>
      <c r="C323" s="732"/>
      <c r="D323" s="732"/>
      <c r="E323" s="732"/>
      <c r="F323" s="732"/>
      <c r="G323" s="732"/>
      <c r="H323" s="732"/>
      <c r="I323" s="732"/>
      <c r="J323" s="732"/>
      <c r="K323" s="732"/>
      <c r="L323" s="732"/>
      <c r="M323" s="732"/>
      <c r="N323" s="732"/>
      <c r="O323" s="732"/>
      <c r="P323" s="732"/>
      <c r="Q323" s="732"/>
      <c r="R323" s="732"/>
      <c r="S323" s="732"/>
      <c r="T323" s="732"/>
      <c r="U323" s="732"/>
      <c r="V323" s="733"/>
      <c r="W323" s="732"/>
      <c r="X323" s="732"/>
      <c r="Y323" s="732"/>
      <c r="Z323" s="732"/>
      <c r="AA323" s="732"/>
    </row>
    <row r="324" spans="1:27" ht="24.75" customHeight="1">
      <c r="A324" s="732"/>
      <c r="B324" s="732"/>
      <c r="C324" s="732"/>
      <c r="D324" s="732"/>
      <c r="E324" s="732"/>
      <c r="F324" s="732"/>
      <c r="G324" s="732"/>
      <c r="H324" s="732"/>
      <c r="I324" s="732"/>
      <c r="J324" s="732"/>
      <c r="K324" s="732"/>
      <c r="L324" s="732"/>
      <c r="M324" s="732"/>
      <c r="N324" s="732"/>
      <c r="O324" s="732"/>
      <c r="P324" s="732"/>
      <c r="Q324" s="732"/>
      <c r="R324" s="732"/>
      <c r="S324" s="732"/>
      <c r="T324" s="732"/>
      <c r="U324" s="732"/>
      <c r="V324" s="733"/>
      <c r="W324" s="732"/>
      <c r="X324" s="732"/>
      <c r="Y324" s="732"/>
      <c r="Z324" s="732"/>
      <c r="AA324" s="732"/>
    </row>
    <row r="325" spans="1:27" ht="24.75" customHeight="1">
      <c r="A325" s="732"/>
      <c r="B325" s="732"/>
      <c r="C325" s="732"/>
      <c r="D325" s="732"/>
      <c r="E325" s="732"/>
      <c r="F325" s="732"/>
      <c r="G325" s="732"/>
      <c r="H325" s="732"/>
      <c r="I325" s="732"/>
      <c r="J325" s="732"/>
      <c r="K325" s="732"/>
      <c r="L325" s="732"/>
      <c r="M325" s="732"/>
      <c r="N325" s="732"/>
      <c r="O325" s="732"/>
      <c r="P325" s="732"/>
      <c r="Q325" s="732"/>
      <c r="R325" s="732"/>
      <c r="S325" s="732"/>
      <c r="T325" s="732"/>
      <c r="U325" s="732"/>
      <c r="V325" s="733"/>
      <c r="W325" s="732"/>
      <c r="X325" s="732"/>
      <c r="Y325" s="732"/>
      <c r="Z325" s="732"/>
      <c r="AA325" s="732"/>
    </row>
    <row r="326" spans="1:27" ht="24.75" customHeight="1">
      <c r="A326" s="732"/>
      <c r="B326" s="732"/>
      <c r="C326" s="732"/>
      <c r="D326" s="732"/>
      <c r="E326" s="732"/>
      <c r="F326" s="732"/>
      <c r="G326" s="732"/>
      <c r="H326" s="732"/>
      <c r="I326" s="732"/>
      <c r="J326" s="732"/>
      <c r="K326" s="732"/>
      <c r="L326" s="732"/>
      <c r="M326" s="732"/>
      <c r="N326" s="732"/>
      <c r="O326" s="732"/>
      <c r="P326" s="732"/>
      <c r="Q326" s="732"/>
      <c r="R326" s="732"/>
      <c r="S326" s="732"/>
      <c r="T326" s="732"/>
      <c r="U326" s="732"/>
      <c r="V326" s="733"/>
      <c r="W326" s="732"/>
      <c r="X326" s="732"/>
      <c r="Y326" s="732"/>
      <c r="Z326" s="732"/>
      <c r="AA326" s="732"/>
    </row>
    <row r="327" spans="1:27" ht="24.75" customHeight="1">
      <c r="A327" s="732"/>
      <c r="B327" s="732"/>
      <c r="C327" s="732"/>
      <c r="D327" s="732"/>
      <c r="E327" s="732"/>
      <c r="F327" s="732"/>
      <c r="G327" s="732"/>
      <c r="H327" s="732"/>
      <c r="I327" s="732"/>
      <c r="J327" s="732"/>
      <c r="K327" s="732"/>
      <c r="L327" s="732"/>
      <c r="M327" s="732"/>
      <c r="N327" s="732"/>
      <c r="O327" s="732"/>
      <c r="P327" s="732"/>
      <c r="Q327" s="732"/>
      <c r="R327" s="732"/>
      <c r="S327" s="732"/>
      <c r="T327" s="732"/>
      <c r="U327" s="732"/>
      <c r="V327" s="733"/>
      <c r="W327" s="732"/>
      <c r="X327" s="732"/>
      <c r="Y327" s="732"/>
      <c r="Z327" s="732"/>
      <c r="AA327" s="732"/>
    </row>
    <row r="328" spans="1:27" ht="24.75" customHeight="1">
      <c r="A328" s="732"/>
      <c r="B328" s="732"/>
      <c r="C328" s="732"/>
      <c r="D328" s="732"/>
      <c r="E328" s="732"/>
      <c r="F328" s="732"/>
      <c r="G328" s="732"/>
      <c r="H328" s="732"/>
      <c r="I328" s="732"/>
      <c r="J328" s="732"/>
      <c r="K328" s="732"/>
      <c r="L328" s="732"/>
      <c r="M328" s="732"/>
      <c r="N328" s="732"/>
      <c r="O328" s="732"/>
      <c r="P328" s="732"/>
      <c r="Q328" s="732"/>
      <c r="R328" s="732"/>
      <c r="S328" s="732"/>
      <c r="T328" s="732"/>
      <c r="U328" s="732"/>
      <c r="V328" s="733"/>
      <c r="W328" s="732"/>
      <c r="X328" s="732"/>
      <c r="Y328" s="732"/>
      <c r="Z328" s="732"/>
      <c r="AA328" s="732"/>
    </row>
    <row r="329" spans="1:27" ht="24.75" customHeight="1">
      <c r="A329" s="732"/>
      <c r="B329" s="732"/>
      <c r="C329" s="732"/>
      <c r="D329" s="732"/>
      <c r="E329" s="732"/>
      <c r="F329" s="732"/>
      <c r="G329" s="732"/>
      <c r="H329" s="732"/>
      <c r="I329" s="732"/>
      <c r="J329" s="732"/>
      <c r="K329" s="732"/>
      <c r="L329" s="732"/>
      <c r="M329" s="732"/>
      <c r="N329" s="732"/>
      <c r="O329" s="732"/>
      <c r="P329" s="732"/>
      <c r="Q329" s="732"/>
      <c r="R329" s="732"/>
      <c r="S329" s="732"/>
      <c r="T329" s="732"/>
      <c r="U329" s="732"/>
      <c r="V329" s="733"/>
      <c r="W329" s="732"/>
      <c r="X329" s="732"/>
      <c r="Y329" s="732"/>
      <c r="Z329" s="732"/>
      <c r="AA329" s="732"/>
    </row>
    <row r="330" spans="1:27" ht="24.75" customHeight="1">
      <c r="A330" s="732"/>
      <c r="B330" s="732"/>
      <c r="C330" s="732"/>
      <c r="D330" s="732"/>
      <c r="E330" s="732"/>
      <c r="F330" s="732"/>
      <c r="G330" s="732"/>
      <c r="H330" s="732"/>
      <c r="I330" s="732"/>
      <c r="J330" s="732"/>
      <c r="K330" s="732"/>
      <c r="L330" s="732"/>
      <c r="M330" s="732"/>
      <c r="N330" s="732"/>
      <c r="O330" s="732"/>
      <c r="P330" s="732"/>
      <c r="Q330" s="732"/>
      <c r="R330" s="732"/>
      <c r="S330" s="732"/>
      <c r="T330" s="732"/>
      <c r="U330" s="732"/>
      <c r="V330" s="733"/>
      <c r="W330" s="732"/>
      <c r="X330" s="732"/>
      <c r="Y330" s="732"/>
      <c r="Z330" s="732"/>
      <c r="AA330" s="732"/>
    </row>
    <row r="331" spans="1:27" ht="24.75" customHeight="1">
      <c r="A331" s="732"/>
      <c r="B331" s="732"/>
      <c r="C331" s="732"/>
      <c r="D331" s="732"/>
      <c r="E331" s="732"/>
      <c r="F331" s="732"/>
      <c r="G331" s="732"/>
      <c r="H331" s="732"/>
      <c r="I331" s="732"/>
      <c r="J331" s="732"/>
      <c r="K331" s="732"/>
      <c r="L331" s="732"/>
      <c r="M331" s="732"/>
      <c r="N331" s="732"/>
      <c r="O331" s="732"/>
      <c r="P331" s="732"/>
      <c r="Q331" s="732"/>
      <c r="R331" s="732"/>
      <c r="S331" s="732"/>
      <c r="T331" s="732"/>
      <c r="U331" s="732"/>
      <c r="V331" s="733"/>
      <c r="W331" s="732"/>
      <c r="X331" s="732"/>
      <c r="Y331" s="732"/>
      <c r="Z331" s="732"/>
      <c r="AA331" s="732"/>
    </row>
    <row r="332" spans="1:27" ht="24.75" customHeight="1">
      <c r="A332" s="732"/>
      <c r="B332" s="732"/>
      <c r="C332" s="732"/>
      <c r="D332" s="732"/>
      <c r="E332" s="732"/>
      <c r="F332" s="732"/>
      <c r="G332" s="732"/>
      <c r="H332" s="732"/>
      <c r="I332" s="732"/>
      <c r="J332" s="732"/>
      <c r="K332" s="732"/>
      <c r="L332" s="732"/>
      <c r="M332" s="732"/>
      <c r="N332" s="732"/>
      <c r="O332" s="732"/>
      <c r="P332" s="732"/>
      <c r="Q332" s="732"/>
      <c r="R332" s="732"/>
      <c r="S332" s="732"/>
      <c r="T332" s="732"/>
      <c r="U332" s="732"/>
      <c r="V332" s="733"/>
      <c r="W332" s="732"/>
      <c r="X332" s="732"/>
      <c r="Y332" s="732"/>
      <c r="Z332" s="732"/>
      <c r="AA332" s="732"/>
    </row>
    <row r="333" spans="1:27" ht="24.75" customHeight="1">
      <c r="A333" s="732"/>
      <c r="B333" s="732"/>
      <c r="C333" s="732"/>
      <c r="D333" s="732"/>
      <c r="E333" s="732"/>
      <c r="F333" s="732"/>
      <c r="G333" s="732"/>
      <c r="H333" s="732"/>
      <c r="I333" s="732"/>
      <c r="J333" s="732"/>
      <c r="K333" s="732"/>
      <c r="L333" s="732"/>
      <c r="M333" s="732"/>
      <c r="N333" s="732"/>
      <c r="O333" s="732"/>
      <c r="P333" s="732"/>
      <c r="Q333" s="732"/>
      <c r="R333" s="732"/>
      <c r="S333" s="732"/>
      <c r="T333" s="732"/>
      <c r="U333" s="732"/>
      <c r="V333" s="733"/>
      <c r="W333" s="732"/>
      <c r="X333" s="732"/>
      <c r="Y333" s="732"/>
      <c r="Z333" s="732"/>
      <c r="AA333" s="732"/>
    </row>
    <row r="334" spans="1:27" ht="24.75" customHeight="1">
      <c r="A334" s="732"/>
      <c r="B334" s="732"/>
      <c r="C334" s="732"/>
      <c r="D334" s="732"/>
      <c r="E334" s="732"/>
      <c r="F334" s="732"/>
      <c r="G334" s="732"/>
      <c r="H334" s="732"/>
      <c r="I334" s="732"/>
      <c r="J334" s="732"/>
      <c r="K334" s="732"/>
      <c r="L334" s="732"/>
      <c r="M334" s="732"/>
      <c r="N334" s="732"/>
      <c r="O334" s="732"/>
      <c r="P334" s="732"/>
      <c r="Q334" s="732"/>
      <c r="R334" s="732"/>
      <c r="S334" s="732"/>
      <c r="T334" s="732"/>
      <c r="U334" s="732"/>
      <c r="V334" s="733"/>
      <c r="W334" s="732"/>
      <c r="X334" s="732"/>
      <c r="Y334" s="732"/>
      <c r="Z334" s="732"/>
      <c r="AA334" s="732"/>
    </row>
    <row r="335" spans="1:27" ht="24.75" customHeight="1">
      <c r="A335" s="732"/>
      <c r="B335" s="732"/>
      <c r="C335" s="732"/>
      <c r="D335" s="732"/>
      <c r="E335" s="732"/>
      <c r="F335" s="732"/>
      <c r="G335" s="732"/>
      <c r="H335" s="732"/>
      <c r="I335" s="732"/>
      <c r="J335" s="732"/>
      <c r="K335" s="732"/>
      <c r="L335" s="732"/>
      <c r="M335" s="732"/>
      <c r="N335" s="732"/>
      <c r="O335" s="732"/>
      <c r="P335" s="732"/>
      <c r="Q335" s="732"/>
      <c r="R335" s="732"/>
      <c r="S335" s="732"/>
      <c r="T335" s="732"/>
      <c r="U335" s="732"/>
      <c r="V335" s="733"/>
      <c r="W335" s="732"/>
      <c r="X335" s="732"/>
      <c r="Y335" s="732"/>
      <c r="Z335" s="732"/>
      <c r="AA335" s="732"/>
    </row>
    <row r="336" spans="1:27" ht="24.75" customHeight="1">
      <c r="A336" s="732"/>
      <c r="B336" s="732"/>
      <c r="C336" s="732"/>
      <c r="D336" s="732"/>
      <c r="E336" s="732"/>
      <c r="F336" s="732"/>
      <c r="G336" s="732"/>
      <c r="H336" s="732"/>
      <c r="I336" s="732"/>
      <c r="J336" s="732"/>
      <c r="K336" s="732"/>
      <c r="L336" s="732"/>
      <c r="M336" s="732"/>
      <c r="N336" s="732"/>
      <c r="O336" s="732"/>
      <c r="P336" s="732"/>
      <c r="Q336" s="732"/>
      <c r="R336" s="732"/>
      <c r="S336" s="732"/>
      <c r="T336" s="732"/>
      <c r="U336" s="732"/>
      <c r="V336" s="733"/>
      <c r="W336" s="732"/>
      <c r="X336" s="732"/>
      <c r="Y336" s="732"/>
      <c r="Z336" s="732"/>
      <c r="AA336" s="732"/>
    </row>
    <row r="337" spans="1:27" ht="24.75" customHeight="1">
      <c r="A337" s="732"/>
      <c r="B337" s="732"/>
      <c r="C337" s="732"/>
      <c r="D337" s="732"/>
      <c r="E337" s="732"/>
      <c r="F337" s="732"/>
      <c r="G337" s="732"/>
      <c r="H337" s="732"/>
      <c r="I337" s="732"/>
      <c r="J337" s="732"/>
      <c r="K337" s="732"/>
      <c r="L337" s="732"/>
      <c r="M337" s="732"/>
      <c r="N337" s="732"/>
      <c r="O337" s="732"/>
      <c r="P337" s="732"/>
      <c r="Q337" s="732"/>
      <c r="R337" s="732"/>
      <c r="S337" s="732"/>
      <c r="T337" s="732"/>
      <c r="U337" s="732"/>
      <c r="V337" s="733"/>
      <c r="W337" s="732"/>
      <c r="X337" s="732"/>
      <c r="Y337" s="732"/>
      <c r="Z337" s="732"/>
      <c r="AA337" s="732"/>
    </row>
    <row r="338" spans="1:27" ht="24.75" customHeight="1">
      <c r="A338" s="732"/>
      <c r="B338" s="732"/>
      <c r="C338" s="732"/>
      <c r="D338" s="732"/>
      <c r="E338" s="732"/>
      <c r="F338" s="732"/>
      <c r="G338" s="732"/>
      <c r="H338" s="732"/>
      <c r="I338" s="732"/>
      <c r="J338" s="732"/>
      <c r="K338" s="732"/>
      <c r="L338" s="732"/>
      <c r="M338" s="732"/>
      <c r="N338" s="732"/>
      <c r="O338" s="732"/>
      <c r="P338" s="732"/>
      <c r="Q338" s="732"/>
      <c r="R338" s="732"/>
      <c r="S338" s="732"/>
      <c r="T338" s="732"/>
      <c r="U338" s="732"/>
      <c r="V338" s="733"/>
      <c r="W338" s="732"/>
      <c r="X338" s="732"/>
      <c r="Y338" s="732"/>
      <c r="Z338" s="732"/>
      <c r="AA338" s="732"/>
    </row>
    <row r="339" spans="1:27" ht="24.75" customHeight="1">
      <c r="A339" s="732"/>
      <c r="B339" s="732"/>
      <c r="C339" s="732"/>
      <c r="D339" s="732"/>
      <c r="E339" s="732"/>
      <c r="F339" s="732"/>
      <c r="G339" s="732"/>
      <c r="H339" s="732"/>
      <c r="I339" s="732"/>
      <c r="J339" s="732"/>
      <c r="K339" s="732"/>
      <c r="L339" s="732"/>
      <c r="M339" s="732"/>
      <c r="N339" s="732"/>
      <c r="O339" s="732"/>
      <c r="P339" s="732"/>
      <c r="Q339" s="732"/>
      <c r="R339" s="732"/>
      <c r="S339" s="732"/>
      <c r="T339" s="732"/>
      <c r="U339" s="732"/>
      <c r="V339" s="733"/>
      <c r="W339" s="732"/>
      <c r="X339" s="732"/>
      <c r="Y339" s="732"/>
      <c r="Z339" s="732"/>
      <c r="AA339" s="732"/>
    </row>
    <row r="340" spans="1:27" ht="24.75" customHeight="1">
      <c r="A340" s="732"/>
      <c r="B340" s="732"/>
      <c r="C340" s="732"/>
      <c r="D340" s="732"/>
      <c r="E340" s="732"/>
      <c r="F340" s="732"/>
      <c r="G340" s="732"/>
      <c r="H340" s="732"/>
      <c r="I340" s="732"/>
      <c r="J340" s="732"/>
      <c r="K340" s="732"/>
      <c r="L340" s="732"/>
      <c r="M340" s="732"/>
      <c r="N340" s="732"/>
      <c r="O340" s="732"/>
      <c r="P340" s="732"/>
      <c r="Q340" s="732"/>
      <c r="R340" s="732"/>
      <c r="S340" s="732"/>
      <c r="T340" s="732"/>
      <c r="U340" s="732"/>
      <c r="V340" s="733"/>
      <c r="W340" s="732"/>
      <c r="X340" s="732"/>
      <c r="Y340" s="732"/>
      <c r="Z340" s="732"/>
      <c r="AA340" s="732"/>
    </row>
    <row r="341" spans="1:27" ht="24.75" customHeight="1">
      <c r="A341" s="732"/>
      <c r="B341" s="732"/>
      <c r="C341" s="732"/>
      <c r="D341" s="732"/>
      <c r="E341" s="732"/>
      <c r="F341" s="732"/>
      <c r="G341" s="732"/>
      <c r="H341" s="732"/>
      <c r="I341" s="732"/>
      <c r="J341" s="732"/>
      <c r="K341" s="732"/>
      <c r="L341" s="732"/>
      <c r="M341" s="732"/>
      <c r="N341" s="732"/>
      <c r="O341" s="732"/>
      <c r="P341" s="732"/>
      <c r="Q341" s="732"/>
      <c r="R341" s="732"/>
      <c r="S341" s="732"/>
      <c r="T341" s="732"/>
      <c r="U341" s="732"/>
      <c r="V341" s="733"/>
      <c r="W341" s="732"/>
      <c r="X341" s="732"/>
      <c r="Y341" s="732"/>
      <c r="Z341" s="732"/>
      <c r="AA341" s="732"/>
    </row>
    <row r="342" spans="1:27" ht="24.75" customHeight="1">
      <c r="A342" s="732"/>
      <c r="B342" s="732"/>
      <c r="C342" s="732"/>
      <c r="D342" s="732"/>
      <c r="E342" s="732"/>
      <c r="F342" s="732"/>
      <c r="G342" s="732"/>
      <c r="H342" s="732"/>
      <c r="I342" s="732"/>
      <c r="J342" s="732"/>
      <c r="K342" s="732"/>
      <c r="L342" s="732"/>
      <c r="M342" s="732"/>
      <c r="N342" s="732"/>
      <c r="O342" s="732"/>
      <c r="P342" s="732"/>
      <c r="Q342" s="732"/>
      <c r="R342" s="732"/>
      <c r="S342" s="732"/>
      <c r="T342" s="732"/>
      <c r="U342" s="732"/>
      <c r="V342" s="733"/>
      <c r="W342" s="732"/>
      <c r="X342" s="732"/>
      <c r="Y342" s="732"/>
      <c r="Z342" s="732"/>
      <c r="AA342" s="732"/>
    </row>
    <row r="343" spans="1:27" ht="24.75" customHeight="1">
      <c r="A343" s="732"/>
      <c r="B343" s="732"/>
      <c r="C343" s="732"/>
      <c r="D343" s="732"/>
      <c r="E343" s="732"/>
      <c r="F343" s="732"/>
      <c r="G343" s="732"/>
      <c r="H343" s="732"/>
      <c r="I343" s="732"/>
      <c r="J343" s="732"/>
      <c r="K343" s="732"/>
      <c r="L343" s="732"/>
      <c r="M343" s="732"/>
      <c r="N343" s="732"/>
      <c r="O343" s="732"/>
      <c r="P343" s="732"/>
      <c r="Q343" s="732"/>
      <c r="R343" s="732"/>
      <c r="S343" s="732"/>
      <c r="T343" s="732"/>
      <c r="U343" s="732"/>
      <c r="V343" s="733"/>
      <c r="W343" s="732"/>
      <c r="X343" s="732"/>
      <c r="Y343" s="732"/>
      <c r="Z343" s="732"/>
      <c r="AA343" s="732"/>
    </row>
    <row r="344" spans="1:27" ht="24.75" customHeight="1">
      <c r="A344" s="732"/>
      <c r="B344" s="732"/>
      <c r="C344" s="732"/>
      <c r="D344" s="732"/>
      <c r="E344" s="732"/>
      <c r="F344" s="732"/>
      <c r="G344" s="732"/>
      <c r="H344" s="732"/>
      <c r="I344" s="732"/>
      <c r="J344" s="732"/>
      <c r="K344" s="732"/>
      <c r="L344" s="732"/>
      <c r="M344" s="732"/>
      <c r="N344" s="732"/>
      <c r="O344" s="732"/>
      <c r="P344" s="732"/>
      <c r="Q344" s="732"/>
      <c r="R344" s="732"/>
      <c r="S344" s="732"/>
      <c r="T344" s="732"/>
      <c r="U344" s="732"/>
      <c r="V344" s="733"/>
      <c r="W344" s="732"/>
      <c r="X344" s="732"/>
      <c r="Y344" s="732"/>
      <c r="Z344" s="732"/>
      <c r="AA344" s="732"/>
    </row>
    <row r="345" spans="1:27" ht="24.75" customHeight="1">
      <c r="A345" s="732"/>
      <c r="B345" s="732"/>
      <c r="C345" s="732"/>
      <c r="D345" s="732"/>
      <c r="E345" s="732"/>
      <c r="F345" s="732"/>
      <c r="G345" s="732"/>
      <c r="H345" s="732"/>
      <c r="I345" s="732"/>
      <c r="J345" s="732"/>
      <c r="K345" s="732"/>
      <c r="L345" s="732"/>
      <c r="M345" s="732"/>
      <c r="N345" s="732"/>
      <c r="O345" s="732"/>
      <c r="P345" s="732"/>
      <c r="Q345" s="732"/>
      <c r="R345" s="732"/>
      <c r="S345" s="732"/>
      <c r="T345" s="732"/>
      <c r="U345" s="732"/>
      <c r="V345" s="733"/>
      <c r="W345" s="732"/>
      <c r="X345" s="732"/>
      <c r="Y345" s="732"/>
      <c r="Z345" s="732"/>
      <c r="AA345" s="732"/>
    </row>
    <row r="346" spans="1:27" ht="24.75" customHeight="1">
      <c r="A346" s="732"/>
      <c r="B346" s="732"/>
      <c r="C346" s="732"/>
      <c r="D346" s="732"/>
      <c r="E346" s="732"/>
      <c r="F346" s="732"/>
      <c r="G346" s="732"/>
      <c r="H346" s="732"/>
      <c r="I346" s="732"/>
      <c r="J346" s="732"/>
      <c r="K346" s="732"/>
      <c r="L346" s="732"/>
      <c r="M346" s="732"/>
      <c r="N346" s="732"/>
      <c r="O346" s="732"/>
      <c r="P346" s="732"/>
      <c r="Q346" s="732"/>
      <c r="R346" s="732"/>
      <c r="S346" s="732"/>
      <c r="T346" s="732"/>
      <c r="U346" s="732"/>
      <c r="V346" s="733"/>
      <c r="W346" s="732"/>
      <c r="X346" s="732"/>
      <c r="Y346" s="732"/>
      <c r="Z346" s="732"/>
      <c r="AA346" s="732"/>
    </row>
    <row r="347" spans="1:27" ht="24.75" customHeight="1">
      <c r="A347" s="732"/>
      <c r="B347" s="732"/>
      <c r="C347" s="732"/>
      <c r="D347" s="732"/>
      <c r="E347" s="732"/>
      <c r="F347" s="732"/>
      <c r="G347" s="732"/>
      <c r="H347" s="732"/>
      <c r="I347" s="732"/>
      <c r="J347" s="732"/>
      <c r="K347" s="732"/>
      <c r="L347" s="732"/>
      <c r="M347" s="732"/>
      <c r="N347" s="732"/>
      <c r="O347" s="732"/>
      <c r="P347" s="732"/>
      <c r="Q347" s="732"/>
      <c r="R347" s="732"/>
      <c r="S347" s="732"/>
      <c r="T347" s="732"/>
      <c r="U347" s="732"/>
      <c r="V347" s="733"/>
      <c r="W347" s="732"/>
      <c r="X347" s="732"/>
      <c r="Y347" s="732"/>
      <c r="Z347" s="732"/>
      <c r="AA347" s="732"/>
    </row>
    <row r="348" spans="1:27" ht="24.75" customHeight="1">
      <c r="A348" s="732"/>
      <c r="B348" s="732"/>
      <c r="C348" s="732"/>
      <c r="D348" s="732"/>
      <c r="E348" s="732"/>
      <c r="F348" s="732"/>
      <c r="G348" s="732"/>
      <c r="H348" s="732"/>
      <c r="I348" s="732"/>
      <c r="J348" s="732"/>
      <c r="K348" s="732"/>
      <c r="L348" s="732"/>
      <c r="M348" s="732"/>
      <c r="N348" s="732"/>
      <c r="O348" s="732"/>
      <c r="P348" s="732"/>
      <c r="Q348" s="732"/>
      <c r="R348" s="732"/>
      <c r="S348" s="732"/>
      <c r="T348" s="732"/>
      <c r="U348" s="732"/>
      <c r="V348" s="733"/>
      <c r="W348" s="732"/>
      <c r="X348" s="732"/>
      <c r="Y348" s="732"/>
      <c r="Z348" s="732"/>
      <c r="AA348" s="732"/>
    </row>
    <row r="349" spans="1:27" ht="24.75" customHeight="1">
      <c r="A349" s="732"/>
      <c r="B349" s="732"/>
      <c r="C349" s="732"/>
      <c r="D349" s="732"/>
      <c r="E349" s="732"/>
      <c r="F349" s="732"/>
      <c r="G349" s="732"/>
      <c r="H349" s="732"/>
      <c r="I349" s="732"/>
      <c r="J349" s="732"/>
      <c r="K349" s="732"/>
      <c r="L349" s="732"/>
      <c r="M349" s="732"/>
      <c r="N349" s="732"/>
      <c r="O349" s="732"/>
      <c r="P349" s="732"/>
      <c r="Q349" s="732"/>
      <c r="R349" s="732"/>
      <c r="S349" s="732"/>
      <c r="T349" s="732"/>
      <c r="U349" s="732"/>
      <c r="V349" s="733"/>
      <c r="W349" s="732"/>
      <c r="X349" s="732"/>
      <c r="Y349" s="732"/>
      <c r="Z349" s="732"/>
      <c r="AA349" s="732"/>
    </row>
    <row r="350" spans="1:27" ht="24.75" customHeight="1">
      <c r="A350" s="732"/>
      <c r="B350" s="732"/>
      <c r="C350" s="732"/>
      <c r="D350" s="732"/>
      <c r="E350" s="732"/>
      <c r="F350" s="732"/>
      <c r="G350" s="732"/>
      <c r="H350" s="732"/>
      <c r="I350" s="732"/>
      <c r="J350" s="732"/>
      <c r="K350" s="732"/>
      <c r="L350" s="732"/>
      <c r="M350" s="732"/>
      <c r="N350" s="732"/>
      <c r="O350" s="732"/>
      <c r="P350" s="732"/>
      <c r="Q350" s="732"/>
      <c r="R350" s="732"/>
      <c r="S350" s="732"/>
      <c r="T350" s="732"/>
      <c r="U350" s="732"/>
      <c r="V350" s="733"/>
      <c r="W350" s="732"/>
      <c r="X350" s="732"/>
      <c r="Y350" s="732"/>
      <c r="Z350" s="732"/>
      <c r="AA350" s="732"/>
    </row>
    <row r="351" spans="1:27" ht="24.75" customHeight="1">
      <c r="A351" s="732"/>
      <c r="B351" s="732"/>
      <c r="C351" s="732"/>
      <c r="D351" s="732"/>
      <c r="E351" s="732"/>
      <c r="F351" s="732"/>
      <c r="G351" s="732"/>
      <c r="H351" s="732"/>
      <c r="I351" s="732"/>
      <c r="J351" s="732"/>
      <c r="K351" s="732"/>
      <c r="L351" s="732"/>
      <c r="M351" s="732"/>
      <c r="N351" s="732"/>
      <c r="O351" s="732"/>
      <c r="P351" s="732"/>
      <c r="Q351" s="732"/>
      <c r="R351" s="732"/>
      <c r="S351" s="732"/>
      <c r="T351" s="732"/>
      <c r="U351" s="732"/>
      <c r="V351" s="733"/>
      <c r="W351" s="732"/>
      <c r="X351" s="732"/>
      <c r="Y351" s="732"/>
      <c r="Z351" s="732"/>
      <c r="AA351" s="732"/>
    </row>
    <row r="352" spans="1:27" ht="24.75" customHeight="1">
      <c r="A352" s="732"/>
      <c r="B352" s="732"/>
      <c r="C352" s="732"/>
      <c r="D352" s="732"/>
      <c r="E352" s="732"/>
      <c r="F352" s="732"/>
      <c r="G352" s="732"/>
      <c r="H352" s="732"/>
      <c r="I352" s="732"/>
      <c r="J352" s="732"/>
      <c r="K352" s="732"/>
      <c r="L352" s="732"/>
      <c r="M352" s="732"/>
      <c r="N352" s="732"/>
      <c r="O352" s="732"/>
      <c r="P352" s="732"/>
      <c r="Q352" s="732"/>
      <c r="R352" s="732"/>
      <c r="S352" s="732"/>
      <c r="T352" s="732"/>
      <c r="U352" s="732"/>
      <c r="V352" s="733"/>
      <c r="W352" s="732"/>
      <c r="X352" s="732"/>
      <c r="Y352" s="732"/>
      <c r="Z352" s="732"/>
      <c r="AA352" s="732"/>
    </row>
    <row r="353" spans="1:27" ht="24.75" customHeight="1">
      <c r="A353" s="732"/>
      <c r="B353" s="732"/>
      <c r="C353" s="732"/>
      <c r="D353" s="732"/>
      <c r="E353" s="732"/>
      <c r="F353" s="732"/>
      <c r="G353" s="732"/>
      <c r="H353" s="732"/>
      <c r="I353" s="732"/>
      <c r="J353" s="732"/>
      <c r="K353" s="732"/>
      <c r="L353" s="732"/>
      <c r="M353" s="732"/>
      <c r="N353" s="732"/>
      <c r="O353" s="732"/>
      <c r="P353" s="732"/>
      <c r="Q353" s="732"/>
      <c r="R353" s="732"/>
      <c r="S353" s="732"/>
      <c r="T353" s="732"/>
      <c r="U353" s="732"/>
      <c r="V353" s="733"/>
      <c r="W353" s="732"/>
      <c r="X353" s="732"/>
      <c r="Y353" s="732"/>
      <c r="Z353" s="732"/>
      <c r="AA353" s="732"/>
    </row>
    <row r="354" spans="1:27" ht="24.75" customHeight="1">
      <c r="A354" s="732"/>
      <c r="B354" s="732"/>
      <c r="C354" s="732"/>
      <c r="D354" s="732"/>
      <c r="E354" s="732"/>
      <c r="F354" s="732"/>
      <c r="G354" s="732"/>
      <c r="H354" s="732"/>
      <c r="I354" s="732"/>
      <c r="J354" s="732"/>
      <c r="K354" s="732"/>
      <c r="L354" s="732"/>
      <c r="M354" s="732"/>
      <c r="N354" s="732"/>
      <c r="O354" s="732"/>
      <c r="P354" s="732"/>
      <c r="Q354" s="732"/>
      <c r="R354" s="732"/>
      <c r="S354" s="732"/>
      <c r="T354" s="732"/>
      <c r="U354" s="732"/>
      <c r="V354" s="733"/>
      <c r="W354" s="732"/>
      <c r="X354" s="732"/>
      <c r="Y354" s="732"/>
      <c r="Z354" s="732"/>
      <c r="AA354" s="732"/>
    </row>
    <row r="355" spans="1:27" ht="24.75" customHeight="1">
      <c r="A355" s="732"/>
      <c r="B355" s="732"/>
      <c r="C355" s="732"/>
      <c r="D355" s="732"/>
      <c r="E355" s="732"/>
      <c r="F355" s="732"/>
      <c r="G355" s="732"/>
      <c r="H355" s="732"/>
      <c r="I355" s="732"/>
      <c r="J355" s="732"/>
      <c r="K355" s="732"/>
      <c r="L355" s="732"/>
      <c r="M355" s="732"/>
      <c r="N355" s="732"/>
      <c r="O355" s="732"/>
      <c r="P355" s="732"/>
      <c r="Q355" s="732"/>
      <c r="R355" s="732"/>
      <c r="S355" s="732"/>
      <c r="T355" s="732"/>
      <c r="U355" s="732"/>
      <c r="V355" s="733"/>
      <c r="W355" s="732"/>
      <c r="X355" s="732"/>
      <c r="Y355" s="732"/>
      <c r="Z355" s="732"/>
      <c r="AA355" s="732"/>
    </row>
    <row r="356" spans="1:27" ht="24.75" customHeight="1">
      <c r="A356" s="732"/>
      <c r="B356" s="732"/>
      <c r="C356" s="732"/>
      <c r="D356" s="732"/>
      <c r="E356" s="732"/>
      <c r="F356" s="732"/>
      <c r="G356" s="732"/>
      <c r="H356" s="732"/>
      <c r="I356" s="732"/>
      <c r="J356" s="732"/>
      <c r="K356" s="732"/>
      <c r="L356" s="732"/>
      <c r="M356" s="732"/>
      <c r="N356" s="732"/>
      <c r="O356" s="732"/>
      <c r="P356" s="732"/>
      <c r="Q356" s="732"/>
      <c r="R356" s="732"/>
      <c r="S356" s="732"/>
      <c r="T356" s="732"/>
      <c r="U356" s="732"/>
      <c r="V356" s="733"/>
      <c r="W356" s="732"/>
      <c r="X356" s="732"/>
      <c r="Y356" s="732"/>
      <c r="Z356" s="732"/>
      <c r="AA356" s="732"/>
    </row>
    <row r="357" spans="1:27" ht="24.75" customHeight="1">
      <c r="A357" s="732"/>
      <c r="B357" s="732"/>
      <c r="C357" s="732"/>
      <c r="D357" s="732"/>
      <c r="E357" s="732"/>
      <c r="F357" s="732"/>
      <c r="G357" s="732"/>
      <c r="H357" s="732"/>
      <c r="I357" s="732"/>
      <c r="J357" s="732"/>
      <c r="K357" s="732"/>
      <c r="L357" s="732"/>
      <c r="M357" s="732"/>
      <c r="N357" s="732"/>
      <c r="O357" s="732"/>
      <c r="P357" s="732"/>
      <c r="Q357" s="732"/>
      <c r="R357" s="732"/>
      <c r="S357" s="732"/>
      <c r="T357" s="732"/>
      <c r="U357" s="732"/>
      <c r="V357" s="733"/>
      <c r="W357" s="732"/>
      <c r="X357" s="732"/>
      <c r="Y357" s="732"/>
      <c r="Z357" s="732"/>
      <c r="AA357" s="732"/>
    </row>
    <row r="358" spans="1:27" ht="24.75" customHeight="1">
      <c r="A358" s="732"/>
      <c r="B358" s="732"/>
      <c r="C358" s="732"/>
      <c r="D358" s="732"/>
      <c r="E358" s="732"/>
      <c r="F358" s="732"/>
      <c r="G358" s="732"/>
      <c r="H358" s="732"/>
      <c r="I358" s="732"/>
      <c r="J358" s="732"/>
      <c r="K358" s="732"/>
      <c r="L358" s="732"/>
      <c r="M358" s="732"/>
      <c r="N358" s="732"/>
      <c r="O358" s="732"/>
      <c r="P358" s="732"/>
      <c r="Q358" s="732"/>
      <c r="R358" s="732"/>
      <c r="S358" s="732"/>
      <c r="T358" s="732"/>
      <c r="U358" s="732"/>
      <c r="V358" s="733"/>
      <c r="W358" s="732"/>
      <c r="X358" s="732"/>
      <c r="Y358" s="732"/>
      <c r="Z358" s="732"/>
      <c r="AA358" s="732"/>
    </row>
    <row r="359" spans="1:27" ht="24.75" customHeight="1">
      <c r="A359" s="732"/>
      <c r="B359" s="732"/>
      <c r="C359" s="732"/>
      <c r="D359" s="732"/>
      <c r="E359" s="732"/>
      <c r="F359" s="732"/>
      <c r="G359" s="732"/>
      <c r="H359" s="732"/>
      <c r="I359" s="732"/>
      <c r="J359" s="732"/>
      <c r="K359" s="732"/>
      <c r="L359" s="732"/>
      <c r="M359" s="732"/>
      <c r="N359" s="732"/>
      <c r="O359" s="732"/>
      <c r="P359" s="732"/>
      <c r="Q359" s="732"/>
      <c r="R359" s="732"/>
      <c r="S359" s="732"/>
      <c r="T359" s="732"/>
      <c r="U359" s="732"/>
      <c r="V359" s="733"/>
      <c r="W359" s="732"/>
      <c r="X359" s="732"/>
      <c r="Y359" s="732"/>
      <c r="Z359" s="732"/>
      <c r="AA359" s="732"/>
    </row>
    <row r="360" spans="1:27" ht="24.75" customHeight="1">
      <c r="A360" s="732"/>
      <c r="B360" s="732"/>
      <c r="C360" s="732"/>
      <c r="D360" s="732"/>
      <c r="E360" s="732"/>
      <c r="F360" s="732"/>
      <c r="G360" s="732"/>
      <c r="H360" s="732"/>
      <c r="I360" s="732"/>
      <c r="J360" s="732"/>
      <c r="K360" s="732"/>
      <c r="L360" s="732"/>
      <c r="M360" s="732"/>
      <c r="N360" s="732"/>
      <c r="O360" s="732"/>
      <c r="P360" s="732"/>
      <c r="Q360" s="732"/>
      <c r="R360" s="732"/>
      <c r="S360" s="732"/>
      <c r="T360" s="732"/>
      <c r="U360" s="732"/>
      <c r="V360" s="733"/>
      <c r="W360" s="732"/>
      <c r="X360" s="732"/>
      <c r="Y360" s="732"/>
      <c r="Z360" s="732"/>
      <c r="AA360" s="732"/>
    </row>
    <row r="361" spans="1:27" ht="24.75" customHeight="1">
      <c r="A361" s="732"/>
      <c r="B361" s="732"/>
      <c r="C361" s="732"/>
      <c r="D361" s="732"/>
      <c r="E361" s="732"/>
      <c r="F361" s="732"/>
      <c r="G361" s="732"/>
      <c r="H361" s="732"/>
      <c r="I361" s="732"/>
      <c r="J361" s="732"/>
      <c r="K361" s="732"/>
      <c r="L361" s="732"/>
      <c r="M361" s="732"/>
      <c r="N361" s="732"/>
      <c r="O361" s="732"/>
      <c r="P361" s="732"/>
      <c r="Q361" s="732"/>
      <c r="R361" s="732"/>
      <c r="S361" s="732"/>
      <c r="T361" s="732"/>
      <c r="U361" s="732"/>
      <c r="V361" s="733"/>
      <c r="W361" s="732"/>
      <c r="X361" s="732"/>
      <c r="Y361" s="732"/>
      <c r="Z361" s="732"/>
      <c r="AA361" s="732"/>
    </row>
    <row r="362" spans="1:27" ht="24.75" customHeight="1">
      <c r="A362" s="732"/>
      <c r="B362" s="732"/>
      <c r="C362" s="732"/>
      <c r="D362" s="732"/>
      <c r="E362" s="732"/>
      <c r="F362" s="732"/>
      <c r="G362" s="732"/>
      <c r="H362" s="732"/>
      <c r="I362" s="732"/>
      <c r="J362" s="732"/>
      <c r="K362" s="732"/>
      <c r="L362" s="732"/>
      <c r="M362" s="732"/>
      <c r="N362" s="732"/>
      <c r="O362" s="732"/>
      <c r="P362" s="732"/>
      <c r="Q362" s="732"/>
      <c r="R362" s="732"/>
      <c r="S362" s="732"/>
      <c r="T362" s="732"/>
      <c r="U362" s="732"/>
      <c r="V362" s="733"/>
      <c r="W362" s="732"/>
      <c r="X362" s="732"/>
      <c r="Y362" s="732"/>
      <c r="Z362" s="732"/>
      <c r="AA362" s="732"/>
    </row>
    <row r="363" spans="1:27" ht="24.75" customHeight="1">
      <c r="A363" s="732"/>
      <c r="B363" s="732"/>
      <c r="C363" s="732"/>
      <c r="D363" s="732"/>
      <c r="E363" s="732"/>
      <c r="F363" s="732"/>
      <c r="G363" s="732"/>
      <c r="H363" s="732"/>
      <c r="I363" s="732"/>
      <c r="J363" s="732"/>
      <c r="K363" s="732"/>
      <c r="L363" s="732"/>
      <c r="M363" s="732"/>
      <c r="N363" s="732"/>
      <c r="O363" s="732"/>
      <c r="P363" s="732"/>
      <c r="Q363" s="732"/>
      <c r="R363" s="732"/>
      <c r="S363" s="732"/>
      <c r="T363" s="732"/>
      <c r="U363" s="732"/>
      <c r="V363" s="733"/>
      <c r="W363" s="732"/>
      <c r="X363" s="732"/>
      <c r="Y363" s="732"/>
      <c r="Z363" s="732"/>
      <c r="AA363" s="732"/>
    </row>
    <row r="364" spans="1:27" ht="24.75" customHeight="1">
      <c r="A364" s="732"/>
      <c r="B364" s="732"/>
      <c r="C364" s="732"/>
      <c r="D364" s="732"/>
      <c r="E364" s="732"/>
      <c r="F364" s="732"/>
      <c r="G364" s="732"/>
      <c r="H364" s="732"/>
      <c r="I364" s="732"/>
      <c r="J364" s="732"/>
      <c r="K364" s="732"/>
      <c r="L364" s="732"/>
      <c r="M364" s="732"/>
      <c r="N364" s="732"/>
      <c r="O364" s="732"/>
      <c r="P364" s="732"/>
      <c r="Q364" s="732"/>
      <c r="R364" s="732"/>
      <c r="S364" s="732"/>
      <c r="T364" s="732"/>
      <c r="U364" s="732"/>
      <c r="V364" s="733"/>
      <c r="W364" s="732"/>
      <c r="X364" s="732"/>
      <c r="Y364" s="732"/>
      <c r="Z364" s="732"/>
      <c r="AA364" s="732"/>
    </row>
    <row r="365" spans="1:27" ht="24.75" customHeight="1">
      <c r="A365" s="732"/>
      <c r="B365" s="732"/>
      <c r="C365" s="732"/>
      <c r="D365" s="732"/>
      <c r="E365" s="732"/>
      <c r="F365" s="732"/>
      <c r="G365" s="732"/>
      <c r="H365" s="732"/>
      <c r="I365" s="732"/>
      <c r="J365" s="732"/>
      <c r="K365" s="732"/>
      <c r="L365" s="732"/>
      <c r="M365" s="732"/>
      <c r="N365" s="732"/>
      <c r="O365" s="732"/>
      <c r="P365" s="732"/>
      <c r="Q365" s="732"/>
      <c r="R365" s="732"/>
      <c r="S365" s="732"/>
      <c r="T365" s="732"/>
      <c r="U365" s="732"/>
      <c r="V365" s="733"/>
      <c r="W365" s="732"/>
      <c r="X365" s="732"/>
      <c r="Y365" s="732"/>
      <c r="Z365" s="732"/>
      <c r="AA365" s="732"/>
    </row>
    <row r="366" spans="1:27" ht="24.75" customHeight="1">
      <c r="A366" s="732"/>
      <c r="B366" s="732"/>
      <c r="C366" s="732"/>
      <c r="D366" s="732"/>
      <c r="E366" s="732"/>
      <c r="F366" s="732"/>
      <c r="G366" s="732"/>
      <c r="H366" s="732"/>
      <c r="I366" s="732"/>
      <c r="J366" s="732"/>
      <c r="K366" s="732"/>
      <c r="L366" s="732"/>
      <c r="M366" s="732"/>
      <c r="N366" s="732"/>
      <c r="O366" s="732"/>
      <c r="P366" s="732"/>
      <c r="Q366" s="732"/>
      <c r="R366" s="732"/>
      <c r="S366" s="732"/>
      <c r="T366" s="732"/>
      <c r="U366" s="732"/>
      <c r="V366" s="733"/>
      <c r="W366" s="732"/>
      <c r="X366" s="732"/>
      <c r="Y366" s="732"/>
      <c r="Z366" s="732"/>
      <c r="AA366" s="732"/>
    </row>
    <row r="367" spans="1:27" ht="24.75" customHeight="1">
      <c r="A367" s="732"/>
      <c r="B367" s="732"/>
      <c r="C367" s="732"/>
      <c r="D367" s="732"/>
      <c r="E367" s="732"/>
      <c r="F367" s="732"/>
      <c r="G367" s="732"/>
      <c r="H367" s="732"/>
      <c r="I367" s="732"/>
      <c r="J367" s="732"/>
      <c r="K367" s="732"/>
      <c r="L367" s="732"/>
      <c r="M367" s="732"/>
      <c r="N367" s="732"/>
      <c r="O367" s="732"/>
      <c r="P367" s="732"/>
      <c r="Q367" s="732"/>
      <c r="R367" s="732"/>
      <c r="S367" s="732"/>
      <c r="T367" s="732"/>
      <c r="U367" s="732"/>
      <c r="V367" s="733"/>
      <c r="W367" s="732"/>
      <c r="X367" s="732"/>
      <c r="Y367" s="732"/>
      <c r="Z367" s="732"/>
      <c r="AA367" s="732"/>
    </row>
    <row r="368" spans="1:27" ht="24.75" customHeight="1">
      <c r="A368" s="732"/>
      <c r="B368" s="732"/>
      <c r="C368" s="732"/>
      <c r="D368" s="732"/>
      <c r="E368" s="732"/>
      <c r="F368" s="732"/>
      <c r="G368" s="732"/>
      <c r="H368" s="732"/>
      <c r="I368" s="732"/>
      <c r="J368" s="732"/>
      <c r="K368" s="732"/>
      <c r="L368" s="732"/>
      <c r="M368" s="732"/>
      <c r="N368" s="732"/>
      <c r="O368" s="732"/>
      <c r="P368" s="732"/>
      <c r="Q368" s="732"/>
      <c r="R368" s="732"/>
      <c r="S368" s="732"/>
      <c r="T368" s="732"/>
      <c r="U368" s="732"/>
      <c r="V368" s="733"/>
      <c r="W368" s="732"/>
      <c r="X368" s="732"/>
      <c r="Y368" s="732"/>
      <c r="Z368" s="732"/>
      <c r="AA368" s="732"/>
    </row>
    <row r="369" spans="1:27" ht="24.75" customHeight="1">
      <c r="A369" s="732"/>
      <c r="B369" s="732"/>
      <c r="C369" s="732"/>
      <c r="D369" s="732"/>
      <c r="E369" s="732"/>
      <c r="F369" s="732"/>
      <c r="G369" s="732"/>
      <c r="H369" s="732"/>
      <c r="I369" s="732"/>
      <c r="J369" s="732"/>
      <c r="K369" s="732"/>
      <c r="L369" s="732"/>
      <c r="M369" s="732"/>
      <c r="N369" s="732"/>
      <c r="O369" s="732"/>
      <c r="P369" s="732"/>
      <c r="Q369" s="732"/>
      <c r="R369" s="732"/>
      <c r="S369" s="732"/>
      <c r="T369" s="732"/>
      <c r="U369" s="732"/>
      <c r="V369" s="733"/>
      <c r="W369" s="732"/>
      <c r="X369" s="732"/>
      <c r="Y369" s="732"/>
      <c r="Z369" s="732"/>
      <c r="AA369" s="732"/>
    </row>
    <row r="370" spans="1:27" ht="24.75" customHeight="1">
      <c r="A370" s="732"/>
      <c r="B370" s="732"/>
      <c r="C370" s="732"/>
      <c r="D370" s="732"/>
      <c r="E370" s="732"/>
      <c r="F370" s="732"/>
      <c r="G370" s="732"/>
      <c r="H370" s="732"/>
      <c r="I370" s="732"/>
      <c r="J370" s="732"/>
      <c r="K370" s="732"/>
      <c r="L370" s="732"/>
      <c r="M370" s="732"/>
      <c r="N370" s="732"/>
      <c r="O370" s="732"/>
      <c r="P370" s="732"/>
      <c r="Q370" s="732"/>
      <c r="R370" s="732"/>
      <c r="S370" s="732"/>
      <c r="T370" s="732"/>
      <c r="U370" s="732"/>
      <c r="V370" s="733"/>
      <c r="W370" s="732"/>
      <c r="X370" s="732"/>
      <c r="Y370" s="732"/>
      <c r="Z370" s="732"/>
      <c r="AA370" s="732"/>
    </row>
    <row r="371" spans="1:27" ht="24.75" customHeight="1">
      <c r="A371" s="732"/>
      <c r="B371" s="732"/>
      <c r="C371" s="732"/>
      <c r="D371" s="732"/>
      <c r="E371" s="732"/>
      <c r="F371" s="732"/>
      <c r="G371" s="732"/>
      <c r="H371" s="732"/>
      <c r="I371" s="732"/>
      <c r="J371" s="732"/>
      <c r="K371" s="732"/>
      <c r="L371" s="732"/>
      <c r="M371" s="732"/>
      <c r="N371" s="732"/>
      <c r="O371" s="732"/>
      <c r="P371" s="732"/>
      <c r="Q371" s="732"/>
      <c r="R371" s="732"/>
      <c r="S371" s="732"/>
      <c r="T371" s="732"/>
      <c r="U371" s="732"/>
      <c r="V371" s="733"/>
      <c r="W371" s="732"/>
      <c r="X371" s="732"/>
      <c r="Y371" s="732"/>
      <c r="Z371" s="732"/>
      <c r="AA371" s="732"/>
    </row>
    <row r="372" spans="1:27" ht="24.75" customHeight="1">
      <c r="A372" s="732"/>
      <c r="B372" s="732"/>
      <c r="C372" s="732"/>
      <c r="D372" s="732"/>
      <c r="E372" s="732"/>
      <c r="F372" s="732"/>
      <c r="G372" s="732"/>
      <c r="H372" s="732"/>
      <c r="I372" s="732"/>
      <c r="J372" s="732"/>
      <c r="K372" s="732"/>
      <c r="L372" s="732"/>
      <c r="M372" s="732"/>
      <c r="N372" s="732"/>
      <c r="O372" s="732"/>
      <c r="P372" s="732"/>
      <c r="Q372" s="732"/>
      <c r="R372" s="732"/>
      <c r="S372" s="732"/>
      <c r="T372" s="732"/>
      <c r="U372" s="732"/>
      <c r="V372" s="733"/>
      <c r="W372" s="732"/>
      <c r="X372" s="732"/>
      <c r="Y372" s="732"/>
      <c r="Z372" s="732"/>
      <c r="AA372" s="732"/>
    </row>
    <row r="373" spans="1:27" ht="24.75" customHeight="1">
      <c r="A373" s="732"/>
      <c r="B373" s="732"/>
      <c r="C373" s="732"/>
      <c r="D373" s="732"/>
      <c r="E373" s="732"/>
      <c r="F373" s="732"/>
      <c r="G373" s="732"/>
      <c r="H373" s="732"/>
      <c r="I373" s="732"/>
      <c r="J373" s="732"/>
      <c r="K373" s="732"/>
      <c r="L373" s="732"/>
      <c r="M373" s="732"/>
      <c r="N373" s="732"/>
      <c r="O373" s="732"/>
      <c r="P373" s="732"/>
      <c r="Q373" s="732"/>
      <c r="R373" s="732"/>
      <c r="S373" s="732"/>
      <c r="T373" s="732"/>
      <c r="U373" s="732"/>
      <c r="V373" s="733"/>
      <c r="W373" s="732"/>
      <c r="X373" s="732"/>
      <c r="Y373" s="732"/>
      <c r="Z373" s="732"/>
      <c r="AA373" s="732"/>
    </row>
    <row r="374" spans="1:27" ht="24.75" customHeight="1">
      <c r="A374" s="732"/>
      <c r="B374" s="732"/>
      <c r="C374" s="732"/>
      <c r="D374" s="732"/>
      <c r="E374" s="732"/>
      <c r="F374" s="732"/>
      <c r="G374" s="732"/>
      <c r="H374" s="732"/>
      <c r="I374" s="732"/>
      <c r="J374" s="732"/>
      <c r="K374" s="732"/>
      <c r="L374" s="732"/>
      <c r="M374" s="732"/>
      <c r="N374" s="732"/>
      <c r="O374" s="732"/>
      <c r="P374" s="732"/>
      <c r="Q374" s="732"/>
      <c r="R374" s="732"/>
      <c r="S374" s="732"/>
      <c r="T374" s="732"/>
      <c r="U374" s="732"/>
      <c r="V374" s="733"/>
      <c r="W374" s="732"/>
      <c r="X374" s="732"/>
      <c r="Y374" s="732"/>
      <c r="Z374" s="732"/>
      <c r="AA374" s="732"/>
    </row>
    <row r="375" spans="1:27" ht="24.75" customHeight="1">
      <c r="A375" s="732"/>
      <c r="B375" s="732"/>
      <c r="C375" s="732"/>
      <c r="D375" s="732"/>
      <c r="E375" s="732"/>
      <c r="F375" s="732"/>
      <c r="G375" s="732"/>
      <c r="H375" s="732"/>
      <c r="I375" s="732"/>
      <c r="J375" s="732"/>
      <c r="K375" s="732"/>
      <c r="L375" s="732"/>
      <c r="M375" s="732"/>
      <c r="N375" s="732"/>
      <c r="O375" s="732"/>
      <c r="P375" s="732"/>
      <c r="Q375" s="732"/>
      <c r="R375" s="732"/>
      <c r="S375" s="732"/>
      <c r="T375" s="732"/>
      <c r="U375" s="732"/>
      <c r="V375" s="733"/>
      <c r="W375" s="732"/>
      <c r="X375" s="732"/>
      <c r="Y375" s="732"/>
      <c r="Z375" s="732"/>
      <c r="AA375" s="732"/>
    </row>
    <row r="376" spans="1:27" ht="24.75" customHeight="1">
      <c r="A376" s="732"/>
      <c r="B376" s="732"/>
      <c r="C376" s="732"/>
      <c r="D376" s="732"/>
      <c r="E376" s="732"/>
      <c r="F376" s="732"/>
      <c r="G376" s="732"/>
      <c r="H376" s="732"/>
      <c r="I376" s="732"/>
      <c r="J376" s="732"/>
      <c r="K376" s="732"/>
      <c r="L376" s="732"/>
      <c r="M376" s="732"/>
      <c r="N376" s="732"/>
      <c r="O376" s="732"/>
      <c r="P376" s="732"/>
      <c r="Q376" s="732"/>
      <c r="R376" s="732"/>
      <c r="S376" s="732"/>
      <c r="T376" s="732"/>
      <c r="U376" s="732"/>
      <c r="V376" s="733"/>
      <c r="W376" s="732"/>
      <c r="X376" s="732"/>
      <c r="Y376" s="732"/>
      <c r="Z376" s="732"/>
      <c r="AA376" s="732"/>
    </row>
    <row r="377" spans="1:27" ht="24.75" customHeight="1">
      <c r="A377" s="732"/>
      <c r="B377" s="732"/>
      <c r="C377" s="732"/>
      <c r="D377" s="732"/>
      <c r="E377" s="732"/>
      <c r="F377" s="732"/>
      <c r="G377" s="732"/>
      <c r="H377" s="732"/>
      <c r="I377" s="732"/>
      <c r="J377" s="732"/>
      <c r="K377" s="732"/>
      <c r="L377" s="732"/>
      <c r="M377" s="732"/>
      <c r="N377" s="732"/>
      <c r="O377" s="732"/>
      <c r="P377" s="732"/>
      <c r="Q377" s="732"/>
      <c r="R377" s="732"/>
      <c r="S377" s="732"/>
      <c r="T377" s="732"/>
      <c r="U377" s="732"/>
      <c r="V377" s="733"/>
      <c r="W377" s="732"/>
      <c r="X377" s="732"/>
      <c r="Y377" s="732"/>
      <c r="Z377" s="732"/>
      <c r="AA377" s="732"/>
    </row>
    <row r="378" spans="1:27" ht="24.75" customHeight="1">
      <c r="A378" s="732"/>
      <c r="B378" s="732"/>
      <c r="C378" s="732"/>
      <c r="D378" s="732"/>
      <c r="E378" s="732"/>
      <c r="F378" s="732"/>
      <c r="G378" s="732"/>
      <c r="H378" s="732"/>
      <c r="I378" s="732"/>
      <c r="J378" s="732"/>
      <c r="K378" s="732"/>
      <c r="L378" s="732"/>
      <c r="M378" s="732"/>
      <c r="N378" s="732"/>
      <c r="O378" s="732"/>
      <c r="P378" s="732"/>
      <c r="Q378" s="732"/>
      <c r="R378" s="732"/>
      <c r="S378" s="732"/>
      <c r="T378" s="732"/>
      <c r="U378" s="732"/>
      <c r="V378" s="733"/>
      <c r="W378" s="732"/>
      <c r="X378" s="732"/>
      <c r="Y378" s="732"/>
      <c r="Z378" s="732"/>
      <c r="AA378" s="732"/>
    </row>
    <row r="379" spans="1:27" ht="24.75" customHeight="1">
      <c r="A379" s="732"/>
      <c r="B379" s="732"/>
      <c r="C379" s="732"/>
      <c r="D379" s="732"/>
      <c r="E379" s="732"/>
      <c r="F379" s="732"/>
      <c r="G379" s="732"/>
      <c r="H379" s="732"/>
      <c r="I379" s="732"/>
      <c r="J379" s="732"/>
      <c r="K379" s="732"/>
      <c r="L379" s="732"/>
      <c r="M379" s="732"/>
      <c r="N379" s="732"/>
      <c r="O379" s="732"/>
      <c r="P379" s="732"/>
      <c r="Q379" s="732"/>
      <c r="R379" s="732"/>
      <c r="S379" s="732"/>
      <c r="T379" s="732"/>
      <c r="U379" s="732"/>
      <c r="V379" s="733"/>
      <c r="W379" s="732"/>
      <c r="X379" s="732"/>
      <c r="Y379" s="732"/>
      <c r="Z379" s="732"/>
      <c r="AA379" s="732"/>
    </row>
    <row r="380" spans="1:27" ht="24.75" customHeight="1">
      <c r="A380" s="732"/>
      <c r="B380" s="732"/>
      <c r="C380" s="732"/>
      <c r="D380" s="732"/>
      <c r="E380" s="732"/>
      <c r="F380" s="732"/>
      <c r="G380" s="732"/>
      <c r="H380" s="732"/>
      <c r="I380" s="732"/>
      <c r="J380" s="732"/>
      <c r="K380" s="732"/>
      <c r="L380" s="732"/>
      <c r="M380" s="732"/>
      <c r="N380" s="732"/>
      <c r="O380" s="732"/>
      <c r="P380" s="732"/>
      <c r="Q380" s="732"/>
      <c r="R380" s="732"/>
      <c r="S380" s="732"/>
      <c r="T380" s="732"/>
      <c r="U380" s="732"/>
      <c r="V380" s="733"/>
      <c r="W380" s="732"/>
      <c r="X380" s="732"/>
      <c r="Y380" s="732"/>
      <c r="Z380" s="732"/>
      <c r="AA380" s="732"/>
    </row>
    <row r="381" spans="1:27" ht="24.75" customHeight="1">
      <c r="A381" s="732"/>
      <c r="B381" s="732"/>
      <c r="C381" s="732"/>
      <c r="D381" s="732"/>
      <c r="E381" s="732"/>
      <c r="F381" s="732"/>
      <c r="G381" s="732"/>
      <c r="H381" s="732"/>
      <c r="I381" s="732"/>
      <c r="J381" s="732"/>
      <c r="K381" s="732"/>
      <c r="L381" s="732"/>
      <c r="M381" s="732"/>
      <c r="N381" s="732"/>
      <c r="O381" s="732"/>
      <c r="P381" s="732"/>
      <c r="Q381" s="732"/>
      <c r="R381" s="732"/>
      <c r="S381" s="732"/>
      <c r="T381" s="732"/>
      <c r="U381" s="732"/>
      <c r="V381" s="733"/>
      <c r="W381" s="732"/>
      <c r="X381" s="732"/>
      <c r="Y381" s="732"/>
      <c r="Z381" s="732"/>
      <c r="AA381" s="732"/>
    </row>
    <row r="382" spans="1:27" ht="24.75" customHeight="1">
      <c r="A382" s="732"/>
      <c r="B382" s="732"/>
      <c r="C382" s="732"/>
      <c r="D382" s="732"/>
      <c r="E382" s="732"/>
      <c r="F382" s="732"/>
      <c r="G382" s="732"/>
      <c r="H382" s="732"/>
      <c r="I382" s="732"/>
      <c r="J382" s="732"/>
      <c r="K382" s="732"/>
      <c r="L382" s="732"/>
      <c r="M382" s="732"/>
      <c r="N382" s="732"/>
      <c r="O382" s="732"/>
      <c r="P382" s="732"/>
      <c r="Q382" s="732"/>
      <c r="R382" s="732"/>
      <c r="S382" s="732"/>
      <c r="T382" s="732"/>
      <c r="U382" s="732"/>
      <c r="V382" s="733"/>
      <c r="W382" s="732"/>
      <c r="X382" s="732"/>
      <c r="Y382" s="732"/>
      <c r="Z382" s="732"/>
      <c r="AA382" s="732"/>
    </row>
    <row r="383" spans="1:27" ht="24.75" customHeight="1">
      <c r="A383" s="732"/>
      <c r="B383" s="732"/>
      <c r="C383" s="732"/>
      <c r="D383" s="732"/>
      <c r="E383" s="732"/>
      <c r="F383" s="732"/>
      <c r="G383" s="732"/>
      <c r="H383" s="732"/>
      <c r="I383" s="732"/>
      <c r="J383" s="732"/>
      <c r="K383" s="732"/>
      <c r="L383" s="732"/>
      <c r="M383" s="732"/>
      <c r="N383" s="732"/>
      <c r="O383" s="732"/>
      <c r="P383" s="732"/>
      <c r="Q383" s="732"/>
      <c r="R383" s="732"/>
      <c r="S383" s="732"/>
      <c r="T383" s="732"/>
      <c r="U383" s="732"/>
      <c r="V383" s="733"/>
      <c r="W383" s="732"/>
      <c r="X383" s="732"/>
      <c r="Y383" s="732"/>
      <c r="Z383" s="732"/>
      <c r="AA383" s="732"/>
    </row>
    <row r="384" spans="1:27" ht="24.75" customHeight="1">
      <c r="A384" s="732"/>
      <c r="B384" s="732"/>
      <c r="C384" s="732"/>
      <c r="D384" s="732"/>
      <c r="E384" s="732"/>
      <c r="F384" s="732"/>
      <c r="G384" s="732"/>
      <c r="H384" s="732"/>
      <c r="I384" s="732"/>
      <c r="J384" s="732"/>
      <c r="K384" s="732"/>
      <c r="L384" s="732"/>
      <c r="M384" s="732"/>
      <c r="N384" s="732"/>
      <c r="O384" s="732"/>
      <c r="P384" s="732"/>
      <c r="Q384" s="732"/>
      <c r="R384" s="732"/>
      <c r="S384" s="732"/>
      <c r="T384" s="732"/>
      <c r="U384" s="732"/>
      <c r="V384" s="733"/>
      <c r="W384" s="732"/>
      <c r="X384" s="732"/>
      <c r="Y384" s="732"/>
      <c r="Z384" s="732"/>
      <c r="AA384" s="732"/>
    </row>
    <row r="385" spans="1:27" ht="24.75" customHeight="1">
      <c r="A385" s="732"/>
      <c r="B385" s="732"/>
      <c r="C385" s="732"/>
      <c r="D385" s="732"/>
      <c r="E385" s="732"/>
      <c r="F385" s="732"/>
      <c r="G385" s="732"/>
      <c r="H385" s="732"/>
      <c r="I385" s="732"/>
      <c r="J385" s="732"/>
      <c r="K385" s="732"/>
      <c r="L385" s="732"/>
      <c r="M385" s="732"/>
      <c r="N385" s="732"/>
      <c r="O385" s="732"/>
      <c r="P385" s="732"/>
      <c r="Q385" s="732"/>
      <c r="R385" s="732"/>
      <c r="S385" s="732"/>
      <c r="T385" s="732"/>
      <c r="U385" s="732"/>
      <c r="V385" s="733"/>
      <c r="W385" s="732"/>
      <c r="X385" s="732"/>
      <c r="Y385" s="732"/>
      <c r="Z385" s="732"/>
      <c r="AA385" s="732"/>
    </row>
    <row r="386" spans="1:27" ht="24.75" customHeight="1">
      <c r="A386" s="732"/>
      <c r="B386" s="732"/>
      <c r="C386" s="732"/>
      <c r="D386" s="732"/>
      <c r="E386" s="732"/>
      <c r="F386" s="732"/>
      <c r="G386" s="732"/>
      <c r="H386" s="732"/>
      <c r="I386" s="732"/>
      <c r="J386" s="732"/>
      <c r="K386" s="732"/>
      <c r="L386" s="732"/>
      <c r="M386" s="732"/>
      <c r="N386" s="732"/>
      <c r="O386" s="732"/>
      <c r="P386" s="732"/>
      <c r="Q386" s="732"/>
      <c r="R386" s="732"/>
      <c r="S386" s="732"/>
      <c r="T386" s="732"/>
      <c r="U386" s="732"/>
      <c r="V386" s="733"/>
      <c r="W386" s="732"/>
      <c r="X386" s="732"/>
      <c r="Y386" s="732"/>
      <c r="Z386" s="732"/>
      <c r="AA386" s="732"/>
    </row>
    <row r="387" spans="1:27" ht="24.75" customHeight="1">
      <c r="A387" s="732"/>
      <c r="B387" s="732"/>
      <c r="C387" s="732"/>
      <c r="D387" s="732"/>
      <c r="E387" s="732"/>
      <c r="F387" s="732"/>
      <c r="G387" s="732"/>
      <c r="H387" s="732"/>
      <c r="I387" s="732"/>
      <c r="J387" s="732"/>
      <c r="K387" s="732"/>
      <c r="L387" s="732"/>
      <c r="M387" s="732"/>
      <c r="N387" s="732"/>
      <c r="O387" s="732"/>
      <c r="P387" s="732"/>
      <c r="Q387" s="732"/>
      <c r="R387" s="732"/>
      <c r="S387" s="732"/>
      <c r="T387" s="732"/>
      <c r="U387" s="732"/>
      <c r="V387" s="733"/>
      <c r="W387" s="732"/>
      <c r="X387" s="732"/>
      <c r="Y387" s="732"/>
      <c r="Z387" s="732"/>
      <c r="AA387" s="732"/>
    </row>
    <row r="388" spans="1:27" ht="24.75" customHeight="1">
      <c r="A388" s="732"/>
      <c r="B388" s="732"/>
      <c r="C388" s="732"/>
      <c r="D388" s="732"/>
      <c r="E388" s="732"/>
      <c r="F388" s="732"/>
      <c r="G388" s="732"/>
      <c r="H388" s="732"/>
      <c r="I388" s="732"/>
      <c r="J388" s="732"/>
      <c r="K388" s="732"/>
      <c r="L388" s="732"/>
      <c r="M388" s="732"/>
      <c r="N388" s="732"/>
      <c r="O388" s="732"/>
      <c r="P388" s="732"/>
      <c r="Q388" s="732"/>
      <c r="R388" s="732"/>
      <c r="S388" s="732"/>
      <c r="T388" s="732"/>
      <c r="U388" s="732"/>
      <c r="V388" s="733"/>
      <c r="W388" s="732"/>
      <c r="X388" s="732"/>
      <c r="Y388" s="732"/>
      <c r="Z388" s="732"/>
      <c r="AA388" s="732"/>
    </row>
    <row r="389" spans="1:27" ht="24.75" customHeight="1">
      <c r="A389" s="732"/>
      <c r="B389" s="732"/>
      <c r="C389" s="732"/>
      <c r="D389" s="732"/>
      <c r="E389" s="732"/>
      <c r="F389" s="732"/>
      <c r="G389" s="732"/>
      <c r="H389" s="732"/>
      <c r="I389" s="732"/>
      <c r="J389" s="732"/>
      <c r="K389" s="732"/>
      <c r="L389" s="732"/>
      <c r="M389" s="732"/>
      <c r="N389" s="732"/>
      <c r="O389" s="732"/>
      <c r="P389" s="732"/>
      <c r="Q389" s="732"/>
      <c r="R389" s="732"/>
      <c r="S389" s="732"/>
      <c r="T389" s="732"/>
      <c r="U389" s="732"/>
      <c r="V389" s="733"/>
      <c r="W389" s="732"/>
      <c r="X389" s="732"/>
      <c r="Y389" s="732"/>
      <c r="Z389" s="732"/>
      <c r="AA389" s="732"/>
    </row>
    <row r="390" spans="1:27" ht="24.75" customHeight="1">
      <c r="A390" s="732"/>
      <c r="B390" s="732"/>
      <c r="C390" s="732"/>
      <c r="D390" s="732"/>
      <c r="E390" s="732"/>
      <c r="F390" s="732"/>
      <c r="G390" s="732"/>
      <c r="H390" s="732"/>
      <c r="I390" s="732"/>
      <c r="J390" s="732"/>
      <c r="K390" s="732"/>
      <c r="L390" s="732"/>
      <c r="M390" s="732"/>
      <c r="N390" s="732"/>
      <c r="O390" s="732"/>
      <c r="P390" s="732"/>
      <c r="Q390" s="732"/>
      <c r="R390" s="732"/>
      <c r="S390" s="732"/>
      <c r="T390" s="732"/>
      <c r="U390" s="732"/>
      <c r="V390" s="733"/>
      <c r="W390" s="732"/>
      <c r="X390" s="732"/>
      <c r="Y390" s="732"/>
      <c r="Z390" s="732"/>
      <c r="AA390" s="732"/>
    </row>
    <row r="391" spans="1:27" ht="24.75" customHeight="1">
      <c r="A391" s="732"/>
      <c r="B391" s="732"/>
      <c r="C391" s="732"/>
      <c r="D391" s="732"/>
      <c r="E391" s="732"/>
      <c r="F391" s="732"/>
      <c r="G391" s="732"/>
      <c r="H391" s="732"/>
      <c r="I391" s="732"/>
      <c r="J391" s="732"/>
      <c r="K391" s="732"/>
      <c r="L391" s="732"/>
      <c r="M391" s="732"/>
      <c r="N391" s="732"/>
      <c r="O391" s="732"/>
      <c r="P391" s="732"/>
      <c r="Q391" s="732"/>
      <c r="R391" s="732"/>
      <c r="S391" s="732"/>
      <c r="T391" s="732"/>
      <c r="U391" s="732"/>
      <c r="V391" s="733"/>
      <c r="W391" s="732"/>
      <c r="X391" s="732"/>
      <c r="Y391" s="732"/>
      <c r="Z391" s="732"/>
      <c r="AA391" s="732"/>
    </row>
    <row r="392" spans="1:27" ht="24.75" customHeight="1">
      <c r="A392" s="732"/>
      <c r="B392" s="732"/>
      <c r="C392" s="732"/>
      <c r="D392" s="732"/>
      <c r="E392" s="732"/>
      <c r="F392" s="732"/>
      <c r="G392" s="732"/>
      <c r="H392" s="732"/>
      <c r="I392" s="732"/>
      <c r="J392" s="732"/>
      <c r="K392" s="732"/>
      <c r="L392" s="732"/>
      <c r="M392" s="732"/>
      <c r="N392" s="732"/>
      <c r="O392" s="732"/>
      <c r="P392" s="732"/>
      <c r="Q392" s="732"/>
      <c r="R392" s="732"/>
      <c r="S392" s="732"/>
      <c r="T392" s="732"/>
      <c r="U392" s="732"/>
      <c r="V392" s="733"/>
      <c r="W392" s="732"/>
      <c r="X392" s="732"/>
      <c r="Y392" s="732"/>
      <c r="Z392" s="732"/>
      <c r="AA392" s="732"/>
    </row>
    <row r="393" spans="1:27" ht="24.75" customHeight="1">
      <c r="A393" s="732"/>
      <c r="B393" s="732"/>
      <c r="C393" s="732"/>
      <c r="D393" s="732"/>
      <c r="E393" s="732"/>
      <c r="F393" s="732"/>
      <c r="G393" s="732"/>
      <c r="H393" s="732"/>
      <c r="I393" s="732"/>
      <c r="J393" s="732"/>
      <c r="K393" s="732"/>
      <c r="L393" s="732"/>
      <c r="M393" s="732"/>
      <c r="N393" s="732"/>
      <c r="O393" s="732"/>
      <c r="P393" s="732"/>
      <c r="Q393" s="732"/>
      <c r="R393" s="732"/>
      <c r="S393" s="732"/>
      <c r="T393" s="732"/>
      <c r="U393" s="732"/>
      <c r="V393" s="733"/>
      <c r="W393" s="732"/>
      <c r="X393" s="732"/>
      <c r="Y393" s="732"/>
      <c r="Z393" s="732"/>
      <c r="AA393" s="732"/>
    </row>
    <row r="394" spans="1:27" ht="24.75" customHeight="1">
      <c r="A394" s="732"/>
      <c r="B394" s="732"/>
      <c r="C394" s="732"/>
      <c r="D394" s="732"/>
      <c r="E394" s="732"/>
      <c r="F394" s="732"/>
      <c r="G394" s="732"/>
      <c r="H394" s="732"/>
      <c r="I394" s="732"/>
      <c r="J394" s="732"/>
      <c r="K394" s="732"/>
      <c r="L394" s="732"/>
      <c r="M394" s="732"/>
      <c r="N394" s="732"/>
      <c r="O394" s="732"/>
      <c r="P394" s="732"/>
      <c r="Q394" s="732"/>
      <c r="R394" s="732"/>
      <c r="S394" s="732"/>
      <c r="T394" s="732"/>
      <c r="U394" s="732"/>
      <c r="V394" s="733"/>
      <c r="W394" s="732"/>
      <c r="X394" s="732"/>
      <c r="Y394" s="732"/>
      <c r="Z394" s="732"/>
      <c r="AA394" s="732"/>
    </row>
    <row r="395" spans="1:27" ht="24.75" customHeight="1">
      <c r="A395" s="732"/>
      <c r="B395" s="732"/>
      <c r="C395" s="732"/>
      <c r="D395" s="732"/>
      <c r="E395" s="732"/>
      <c r="F395" s="732"/>
      <c r="G395" s="732"/>
      <c r="H395" s="732"/>
      <c r="I395" s="732"/>
      <c r="J395" s="732"/>
      <c r="K395" s="732"/>
      <c r="L395" s="732"/>
      <c r="M395" s="732"/>
      <c r="N395" s="732"/>
      <c r="O395" s="732"/>
      <c r="P395" s="732"/>
      <c r="Q395" s="732"/>
      <c r="R395" s="732"/>
      <c r="S395" s="732"/>
      <c r="T395" s="732"/>
      <c r="U395" s="732"/>
      <c r="V395" s="733"/>
      <c r="W395" s="732"/>
      <c r="X395" s="732"/>
      <c r="Y395" s="732"/>
      <c r="Z395" s="732"/>
      <c r="AA395" s="732"/>
    </row>
    <row r="396" spans="1:27" ht="24.75" customHeight="1">
      <c r="A396" s="732"/>
      <c r="B396" s="732"/>
      <c r="C396" s="732"/>
      <c r="D396" s="732"/>
      <c r="E396" s="732"/>
      <c r="F396" s="732"/>
      <c r="G396" s="732"/>
      <c r="H396" s="732"/>
      <c r="I396" s="732"/>
      <c r="J396" s="732"/>
      <c r="K396" s="732"/>
      <c r="L396" s="732"/>
      <c r="M396" s="732"/>
      <c r="N396" s="732"/>
      <c r="O396" s="732"/>
      <c r="P396" s="732"/>
      <c r="Q396" s="732"/>
      <c r="R396" s="732"/>
      <c r="S396" s="732"/>
      <c r="T396" s="732"/>
      <c r="U396" s="732"/>
      <c r="V396" s="733"/>
      <c r="W396" s="732"/>
      <c r="X396" s="732"/>
      <c r="Y396" s="732"/>
      <c r="Z396" s="732"/>
      <c r="AA396" s="732"/>
    </row>
    <row r="397" spans="1:27" ht="24.75" customHeight="1">
      <c r="A397" s="732"/>
      <c r="B397" s="732"/>
      <c r="C397" s="732"/>
      <c r="D397" s="732"/>
      <c r="E397" s="732"/>
      <c r="F397" s="732"/>
      <c r="G397" s="732"/>
      <c r="H397" s="732"/>
      <c r="I397" s="732"/>
      <c r="J397" s="732"/>
      <c r="K397" s="732"/>
      <c r="L397" s="732"/>
      <c r="M397" s="732"/>
      <c r="N397" s="732"/>
      <c r="O397" s="732"/>
      <c r="P397" s="732"/>
      <c r="Q397" s="732"/>
      <c r="R397" s="732"/>
      <c r="S397" s="732"/>
      <c r="T397" s="732"/>
      <c r="U397" s="732"/>
      <c r="V397" s="733"/>
      <c r="W397" s="732"/>
      <c r="X397" s="732"/>
      <c r="Y397" s="732"/>
      <c r="Z397" s="732"/>
      <c r="AA397" s="732"/>
    </row>
    <row r="398" spans="1:27" ht="24.75" customHeight="1">
      <c r="A398" s="732"/>
      <c r="B398" s="732"/>
      <c r="C398" s="732"/>
      <c r="D398" s="732"/>
      <c r="E398" s="732"/>
      <c r="F398" s="732"/>
      <c r="G398" s="732"/>
      <c r="H398" s="732"/>
      <c r="I398" s="732"/>
      <c r="J398" s="732"/>
      <c r="K398" s="732"/>
      <c r="L398" s="732"/>
      <c r="M398" s="732"/>
      <c r="N398" s="732"/>
      <c r="O398" s="732"/>
      <c r="P398" s="732"/>
      <c r="Q398" s="732"/>
      <c r="R398" s="732"/>
      <c r="S398" s="732"/>
      <c r="T398" s="732"/>
      <c r="U398" s="732"/>
      <c r="V398" s="733"/>
      <c r="W398" s="732"/>
      <c r="X398" s="732"/>
      <c r="Y398" s="732"/>
      <c r="Z398" s="732"/>
      <c r="AA398" s="732"/>
    </row>
    <row r="399" spans="1:27" ht="24.75" customHeight="1">
      <c r="A399" s="732"/>
      <c r="B399" s="732"/>
      <c r="C399" s="732"/>
      <c r="D399" s="732"/>
      <c r="E399" s="732"/>
      <c r="F399" s="732"/>
      <c r="G399" s="732"/>
      <c r="H399" s="732"/>
      <c r="I399" s="732"/>
      <c r="J399" s="732"/>
      <c r="K399" s="732"/>
      <c r="L399" s="732"/>
      <c r="M399" s="732"/>
      <c r="N399" s="732"/>
      <c r="O399" s="732"/>
      <c r="P399" s="732"/>
      <c r="Q399" s="732"/>
      <c r="R399" s="732"/>
      <c r="S399" s="732"/>
      <c r="T399" s="732"/>
      <c r="U399" s="732"/>
      <c r="V399" s="733"/>
      <c r="W399" s="732"/>
      <c r="X399" s="732"/>
      <c r="Y399" s="732"/>
      <c r="Z399" s="732"/>
      <c r="AA399" s="732"/>
    </row>
    <row r="400" spans="1:27" ht="24.75" customHeight="1">
      <c r="A400" s="732"/>
      <c r="B400" s="732"/>
      <c r="C400" s="732"/>
      <c r="D400" s="732"/>
      <c r="E400" s="732"/>
      <c r="F400" s="732"/>
      <c r="G400" s="732"/>
      <c r="H400" s="732"/>
      <c r="I400" s="732"/>
      <c r="J400" s="732"/>
      <c r="K400" s="732"/>
      <c r="L400" s="732"/>
      <c r="M400" s="732"/>
      <c r="N400" s="732"/>
      <c r="O400" s="732"/>
      <c r="P400" s="732"/>
      <c r="Q400" s="732"/>
      <c r="R400" s="732"/>
      <c r="S400" s="732"/>
      <c r="T400" s="732"/>
      <c r="U400" s="732"/>
      <c r="V400" s="733"/>
      <c r="W400" s="732"/>
      <c r="X400" s="732"/>
      <c r="Y400" s="732"/>
      <c r="Z400" s="732"/>
      <c r="AA400" s="732"/>
    </row>
    <row r="401" spans="1:27" ht="24.75" customHeight="1">
      <c r="A401" s="732"/>
      <c r="B401" s="732"/>
      <c r="C401" s="732"/>
      <c r="D401" s="732"/>
      <c r="E401" s="732"/>
      <c r="F401" s="732"/>
      <c r="G401" s="732"/>
      <c r="H401" s="732"/>
      <c r="I401" s="732"/>
      <c r="J401" s="732"/>
      <c r="K401" s="732"/>
      <c r="L401" s="732"/>
      <c r="M401" s="732"/>
      <c r="N401" s="732"/>
      <c r="O401" s="732"/>
      <c r="P401" s="732"/>
      <c r="Q401" s="732"/>
      <c r="R401" s="732"/>
      <c r="S401" s="732"/>
      <c r="T401" s="732"/>
      <c r="U401" s="732"/>
      <c r="V401" s="733"/>
      <c r="W401" s="732"/>
      <c r="X401" s="732"/>
      <c r="Y401" s="732"/>
      <c r="Z401" s="732"/>
      <c r="AA401" s="732"/>
    </row>
    <row r="402" spans="1:27" ht="24.75" customHeight="1">
      <c r="A402" s="732"/>
      <c r="B402" s="732"/>
      <c r="C402" s="732"/>
      <c r="D402" s="732"/>
      <c r="E402" s="732"/>
      <c r="F402" s="732"/>
      <c r="G402" s="732"/>
      <c r="H402" s="732"/>
      <c r="I402" s="732"/>
      <c r="J402" s="732"/>
      <c r="K402" s="732"/>
      <c r="L402" s="732"/>
      <c r="M402" s="732"/>
      <c r="N402" s="732"/>
      <c r="O402" s="732"/>
      <c r="P402" s="732"/>
      <c r="Q402" s="732"/>
      <c r="R402" s="732"/>
      <c r="S402" s="732"/>
      <c r="T402" s="732"/>
      <c r="U402" s="732"/>
      <c r="V402" s="733"/>
      <c r="W402" s="732"/>
      <c r="X402" s="732"/>
      <c r="Y402" s="732"/>
      <c r="Z402" s="732"/>
      <c r="AA402" s="732"/>
    </row>
    <row r="403" spans="1:27" ht="24.75" customHeight="1">
      <c r="A403" s="732"/>
      <c r="B403" s="732"/>
      <c r="C403" s="732"/>
      <c r="D403" s="732"/>
      <c r="E403" s="732"/>
      <c r="F403" s="732"/>
      <c r="G403" s="732"/>
      <c r="H403" s="732"/>
      <c r="I403" s="732"/>
      <c r="J403" s="732"/>
      <c r="K403" s="732"/>
      <c r="L403" s="732"/>
      <c r="M403" s="732"/>
      <c r="N403" s="732"/>
      <c r="O403" s="732"/>
      <c r="P403" s="732"/>
      <c r="Q403" s="732"/>
      <c r="R403" s="732"/>
      <c r="S403" s="732"/>
      <c r="T403" s="732"/>
      <c r="U403" s="732"/>
      <c r="V403" s="733"/>
      <c r="W403" s="732"/>
      <c r="X403" s="732"/>
      <c r="Y403" s="732"/>
      <c r="Z403" s="732"/>
      <c r="AA403" s="732"/>
    </row>
    <row r="404" spans="1:27" ht="24.75" customHeight="1">
      <c r="A404" s="732"/>
      <c r="B404" s="732"/>
      <c r="C404" s="732"/>
      <c r="D404" s="732"/>
      <c r="E404" s="732"/>
      <c r="F404" s="732"/>
      <c r="G404" s="732"/>
      <c r="H404" s="732"/>
      <c r="I404" s="732"/>
      <c r="J404" s="732"/>
      <c r="K404" s="732"/>
      <c r="L404" s="732"/>
      <c r="M404" s="732"/>
      <c r="N404" s="732"/>
      <c r="O404" s="732"/>
      <c r="P404" s="732"/>
      <c r="Q404" s="732"/>
      <c r="R404" s="732"/>
      <c r="S404" s="732"/>
      <c r="T404" s="732"/>
      <c r="U404" s="732"/>
      <c r="V404" s="733"/>
      <c r="W404" s="732"/>
      <c r="X404" s="732"/>
      <c r="Y404" s="732"/>
      <c r="Z404" s="732"/>
      <c r="AA404" s="732"/>
    </row>
    <row r="405" spans="1:27" ht="24.75" customHeight="1">
      <c r="A405" s="732"/>
      <c r="B405" s="732"/>
      <c r="C405" s="732"/>
      <c r="D405" s="732"/>
      <c r="E405" s="732"/>
      <c r="F405" s="732"/>
      <c r="G405" s="732"/>
      <c r="H405" s="732"/>
      <c r="I405" s="732"/>
      <c r="J405" s="732"/>
      <c r="K405" s="732"/>
      <c r="L405" s="732"/>
      <c r="M405" s="732"/>
      <c r="N405" s="732"/>
      <c r="O405" s="732"/>
      <c r="P405" s="732"/>
      <c r="Q405" s="732"/>
      <c r="R405" s="732"/>
      <c r="S405" s="732"/>
      <c r="T405" s="732"/>
      <c r="U405" s="732"/>
      <c r="V405" s="733"/>
      <c r="W405" s="732"/>
      <c r="X405" s="732"/>
      <c r="Y405" s="732"/>
      <c r="Z405" s="732"/>
      <c r="AA405" s="732"/>
    </row>
    <row r="406" spans="1:27" ht="24.75" customHeight="1">
      <c r="A406" s="732"/>
      <c r="B406" s="732"/>
      <c r="C406" s="732"/>
      <c r="D406" s="732"/>
      <c r="E406" s="732"/>
      <c r="F406" s="732"/>
      <c r="G406" s="732"/>
      <c r="H406" s="732"/>
      <c r="I406" s="732"/>
      <c r="J406" s="732"/>
      <c r="K406" s="732"/>
      <c r="L406" s="732"/>
      <c r="M406" s="732"/>
      <c r="N406" s="732"/>
      <c r="O406" s="732"/>
      <c r="P406" s="732"/>
      <c r="Q406" s="732"/>
      <c r="R406" s="732"/>
      <c r="S406" s="732"/>
      <c r="T406" s="732"/>
      <c r="U406" s="732"/>
      <c r="V406" s="733"/>
      <c r="W406" s="732"/>
      <c r="X406" s="732"/>
      <c r="Y406" s="732"/>
      <c r="Z406" s="732"/>
      <c r="AA406" s="732"/>
    </row>
    <row r="407" spans="1:27" ht="15.75" customHeight="1">
      <c r="A407" s="792"/>
      <c r="B407" s="792"/>
      <c r="C407" s="792"/>
      <c r="D407" s="792"/>
      <c r="E407" s="792"/>
      <c r="F407" s="792"/>
      <c r="G407" s="792"/>
      <c r="H407" s="792"/>
      <c r="I407" s="792"/>
      <c r="J407" s="792"/>
      <c r="K407" s="792"/>
      <c r="L407" s="792"/>
      <c r="M407" s="792"/>
      <c r="N407" s="792"/>
      <c r="O407" s="792"/>
      <c r="P407" s="792"/>
      <c r="Q407" s="792"/>
      <c r="R407" s="792"/>
      <c r="S407" s="792"/>
      <c r="T407" s="792"/>
      <c r="U407" s="792"/>
      <c r="V407" s="793"/>
      <c r="W407" s="792"/>
      <c r="X407" s="792"/>
      <c r="Y407" s="792"/>
      <c r="Z407" s="792"/>
      <c r="AA407" s="792"/>
    </row>
    <row r="408" spans="1:27" ht="15.75" customHeight="1">
      <c r="A408" s="792"/>
      <c r="B408" s="792"/>
      <c r="C408" s="792"/>
      <c r="D408" s="792"/>
      <c r="E408" s="792"/>
      <c r="F408" s="792"/>
      <c r="G408" s="792"/>
      <c r="H408" s="792"/>
      <c r="I408" s="792"/>
      <c r="J408" s="792"/>
      <c r="K408" s="792"/>
      <c r="L408" s="792"/>
      <c r="M408" s="792"/>
      <c r="N408" s="792"/>
      <c r="O408" s="792"/>
      <c r="P408" s="792"/>
      <c r="Q408" s="792"/>
      <c r="R408" s="792"/>
      <c r="S408" s="792"/>
      <c r="T408" s="792"/>
      <c r="U408" s="792"/>
      <c r="V408" s="793"/>
      <c r="W408" s="792"/>
      <c r="X408" s="792"/>
      <c r="Y408" s="792"/>
      <c r="Z408" s="792"/>
      <c r="AA408" s="792"/>
    </row>
    <row r="409" spans="1:27" ht="15.75" customHeight="1">
      <c r="A409" s="792"/>
      <c r="B409" s="792"/>
      <c r="C409" s="792"/>
      <c r="D409" s="792"/>
      <c r="E409" s="792"/>
      <c r="F409" s="792"/>
      <c r="G409" s="792"/>
      <c r="H409" s="792"/>
      <c r="I409" s="792"/>
      <c r="J409" s="792"/>
      <c r="K409" s="792"/>
      <c r="L409" s="792"/>
      <c r="M409" s="792"/>
      <c r="N409" s="792"/>
      <c r="O409" s="792"/>
      <c r="P409" s="792"/>
      <c r="Q409" s="792"/>
      <c r="R409" s="792"/>
      <c r="S409" s="792"/>
      <c r="T409" s="792"/>
      <c r="U409" s="792"/>
      <c r="V409" s="793"/>
      <c r="W409" s="792"/>
      <c r="X409" s="792"/>
      <c r="Y409" s="792"/>
      <c r="Z409" s="792"/>
      <c r="AA409" s="792"/>
    </row>
    <row r="410" spans="1:27" ht="15.75" customHeight="1">
      <c r="A410" s="792"/>
      <c r="B410" s="792"/>
      <c r="C410" s="792"/>
      <c r="D410" s="792"/>
      <c r="E410" s="792"/>
      <c r="F410" s="792"/>
      <c r="G410" s="792"/>
      <c r="H410" s="792"/>
      <c r="I410" s="792"/>
      <c r="J410" s="792"/>
      <c r="K410" s="792"/>
      <c r="L410" s="792"/>
      <c r="M410" s="792"/>
      <c r="N410" s="792"/>
      <c r="O410" s="792"/>
      <c r="P410" s="792"/>
      <c r="Q410" s="792"/>
      <c r="R410" s="792"/>
      <c r="S410" s="792"/>
      <c r="T410" s="792"/>
      <c r="U410" s="792"/>
      <c r="V410" s="793"/>
      <c r="W410" s="792"/>
      <c r="X410" s="792"/>
      <c r="Y410" s="792"/>
      <c r="Z410" s="792"/>
      <c r="AA410" s="792"/>
    </row>
    <row r="411" spans="1:27" ht="15.75" customHeight="1">
      <c r="A411" s="792"/>
      <c r="B411" s="792"/>
      <c r="C411" s="792"/>
      <c r="D411" s="792"/>
      <c r="E411" s="792"/>
      <c r="F411" s="792"/>
      <c r="G411" s="792"/>
      <c r="H411" s="792"/>
      <c r="I411" s="792"/>
      <c r="J411" s="792"/>
      <c r="K411" s="792"/>
      <c r="L411" s="792"/>
      <c r="M411" s="792"/>
      <c r="N411" s="792"/>
      <c r="O411" s="792"/>
      <c r="P411" s="792"/>
      <c r="Q411" s="792"/>
      <c r="R411" s="792"/>
      <c r="S411" s="792"/>
      <c r="T411" s="792"/>
      <c r="U411" s="792"/>
      <c r="V411" s="793"/>
      <c r="W411" s="792"/>
      <c r="X411" s="792"/>
      <c r="Y411" s="792"/>
      <c r="Z411" s="792"/>
      <c r="AA411" s="792"/>
    </row>
    <row r="412" spans="1:27" ht="15.75" customHeight="1">
      <c r="A412" s="792"/>
      <c r="B412" s="792"/>
      <c r="C412" s="792"/>
      <c r="D412" s="792"/>
      <c r="E412" s="792"/>
      <c r="F412" s="792"/>
      <c r="G412" s="792"/>
      <c r="H412" s="792"/>
      <c r="I412" s="792"/>
      <c r="J412" s="792"/>
      <c r="K412" s="792"/>
      <c r="L412" s="792"/>
      <c r="M412" s="792"/>
      <c r="N412" s="792"/>
      <c r="O412" s="792"/>
      <c r="P412" s="792"/>
      <c r="Q412" s="792"/>
      <c r="R412" s="792"/>
      <c r="S412" s="792"/>
      <c r="T412" s="792"/>
      <c r="U412" s="792"/>
      <c r="V412" s="793"/>
      <c r="W412" s="792"/>
      <c r="X412" s="792"/>
      <c r="Y412" s="792"/>
      <c r="Z412" s="792"/>
      <c r="AA412" s="792"/>
    </row>
    <row r="413" spans="1:27" ht="15.75" customHeight="1">
      <c r="A413" s="792"/>
      <c r="B413" s="792"/>
      <c r="C413" s="792"/>
      <c r="D413" s="792"/>
      <c r="E413" s="792"/>
      <c r="F413" s="792"/>
      <c r="G413" s="792"/>
      <c r="H413" s="792"/>
      <c r="I413" s="792"/>
      <c r="J413" s="792"/>
      <c r="K413" s="792"/>
      <c r="L413" s="792"/>
      <c r="M413" s="792"/>
      <c r="N413" s="792"/>
      <c r="O413" s="792"/>
      <c r="P413" s="792"/>
      <c r="Q413" s="792"/>
      <c r="R413" s="792"/>
      <c r="S413" s="792"/>
      <c r="T413" s="792"/>
      <c r="U413" s="792"/>
      <c r="V413" s="793"/>
      <c r="W413" s="792"/>
      <c r="X413" s="792"/>
      <c r="Y413" s="792"/>
      <c r="Z413" s="792"/>
      <c r="AA413" s="792"/>
    </row>
    <row r="414" spans="1:27" ht="15.75" customHeight="1">
      <c r="A414" s="792"/>
      <c r="B414" s="792"/>
      <c r="C414" s="792"/>
      <c r="D414" s="792"/>
      <c r="E414" s="792"/>
      <c r="F414" s="792"/>
      <c r="G414" s="792"/>
      <c r="H414" s="792"/>
      <c r="I414" s="792"/>
      <c r="J414" s="792"/>
      <c r="K414" s="792"/>
      <c r="L414" s="792"/>
      <c r="M414" s="792"/>
      <c r="N414" s="792"/>
      <c r="O414" s="792"/>
      <c r="P414" s="792"/>
      <c r="Q414" s="792"/>
      <c r="R414" s="792"/>
      <c r="S414" s="792"/>
      <c r="T414" s="792"/>
      <c r="U414" s="792"/>
      <c r="V414" s="793"/>
      <c r="W414" s="792"/>
      <c r="X414" s="792"/>
      <c r="Y414" s="792"/>
      <c r="Z414" s="792"/>
      <c r="AA414" s="792"/>
    </row>
    <row r="415" spans="1:27" ht="15.75" customHeight="1">
      <c r="A415" s="792"/>
      <c r="B415" s="792"/>
      <c r="C415" s="792"/>
      <c r="D415" s="792"/>
      <c r="E415" s="792"/>
      <c r="F415" s="792"/>
      <c r="G415" s="792"/>
      <c r="H415" s="792"/>
      <c r="I415" s="792"/>
      <c r="J415" s="792"/>
      <c r="K415" s="792"/>
      <c r="L415" s="792"/>
      <c r="M415" s="792"/>
      <c r="N415" s="792"/>
      <c r="O415" s="792"/>
      <c r="P415" s="792"/>
      <c r="Q415" s="792"/>
      <c r="R415" s="792"/>
      <c r="S415" s="792"/>
      <c r="T415" s="792"/>
      <c r="U415" s="792"/>
      <c r="V415" s="793"/>
      <c r="W415" s="792"/>
      <c r="X415" s="792"/>
      <c r="Y415" s="792"/>
      <c r="Z415" s="792"/>
      <c r="AA415" s="792"/>
    </row>
    <row r="416" spans="1:27" ht="15.75" customHeight="1">
      <c r="A416" s="792"/>
      <c r="B416" s="792"/>
      <c r="C416" s="792"/>
      <c r="D416" s="792"/>
      <c r="E416" s="792"/>
      <c r="F416" s="792"/>
      <c r="G416" s="792"/>
      <c r="H416" s="792"/>
      <c r="I416" s="792"/>
      <c r="J416" s="792"/>
      <c r="K416" s="792"/>
      <c r="L416" s="792"/>
      <c r="M416" s="792"/>
      <c r="N416" s="792"/>
      <c r="O416" s="792"/>
      <c r="P416" s="792"/>
      <c r="Q416" s="792"/>
      <c r="R416" s="792"/>
      <c r="S416" s="792"/>
      <c r="T416" s="792"/>
      <c r="U416" s="792"/>
      <c r="V416" s="793"/>
      <c r="W416" s="792"/>
      <c r="X416" s="792"/>
      <c r="Y416" s="792"/>
      <c r="Z416" s="792"/>
      <c r="AA416" s="792"/>
    </row>
    <row r="417" spans="1:27" ht="15.75" customHeight="1">
      <c r="A417" s="792"/>
      <c r="B417" s="792"/>
      <c r="C417" s="792"/>
      <c r="D417" s="792"/>
      <c r="E417" s="792"/>
      <c r="F417" s="792"/>
      <c r="G417" s="792"/>
      <c r="H417" s="792"/>
      <c r="I417" s="792"/>
      <c r="J417" s="792"/>
      <c r="K417" s="792"/>
      <c r="L417" s="792"/>
      <c r="M417" s="792"/>
      <c r="N417" s="792"/>
      <c r="O417" s="792"/>
      <c r="P417" s="792"/>
      <c r="Q417" s="792"/>
      <c r="R417" s="792"/>
      <c r="S417" s="792"/>
      <c r="T417" s="792"/>
      <c r="U417" s="792"/>
      <c r="V417" s="793"/>
      <c r="W417" s="792"/>
      <c r="X417" s="792"/>
      <c r="Y417" s="792"/>
      <c r="Z417" s="792"/>
      <c r="AA417" s="792"/>
    </row>
    <row r="418" spans="1:27" ht="15.75" customHeight="1">
      <c r="A418" s="792"/>
      <c r="B418" s="792"/>
      <c r="C418" s="792"/>
      <c r="D418" s="792"/>
      <c r="E418" s="792"/>
      <c r="F418" s="792"/>
      <c r="G418" s="792"/>
      <c r="H418" s="792"/>
      <c r="I418" s="792"/>
      <c r="J418" s="792"/>
      <c r="K418" s="792"/>
      <c r="L418" s="792"/>
      <c r="M418" s="792"/>
      <c r="N418" s="792"/>
      <c r="O418" s="792"/>
      <c r="P418" s="792"/>
      <c r="Q418" s="792"/>
      <c r="R418" s="792"/>
      <c r="S418" s="792"/>
      <c r="T418" s="792"/>
      <c r="U418" s="792"/>
      <c r="V418" s="793"/>
      <c r="W418" s="792"/>
      <c r="X418" s="792"/>
      <c r="Y418" s="792"/>
      <c r="Z418" s="792"/>
      <c r="AA418" s="792"/>
    </row>
    <row r="419" spans="1:27" ht="15.75" customHeight="1">
      <c r="A419" s="792"/>
      <c r="B419" s="792"/>
      <c r="C419" s="792"/>
      <c r="D419" s="792"/>
      <c r="E419" s="792"/>
      <c r="F419" s="792"/>
      <c r="G419" s="792"/>
      <c r="H419" s="792"/>
      <c r="I419" s="792"/>
      <c r="J419" s="792"/>
      <c r="K419" s="792"/>
      <c r="L419" s="792"/>
      <c r="M419" s="792"/>
      <c r="N419" s="792"/>
      <c r="O419" s="792"/>
      <c r="P419" s="792"/>
      <c r="Q419" s="792"/>
      <c r="R419" s="792"/>
      <c r="S419" s="792"/>
      <c r="T419" s="792"/>
      <c r="U419" s="792"/>
      <c r="V419" s="793"/>
      <c r="W419" s="792"/>
      <c r="X419" s="792"/>
      <c r="Y419" s="792"/>
      <c r="Z419" s="792"/>
      <c r="AA419" s="792"/>
    </row>
    <row r="420" spans="1:27" ht="15.75" customHeight="1">
      <c r="A420" s="792"/>
      <c r="B420" s="792"/>
      <c r="C420" s="792"/>
      <c r="D420" s="792"/>
      <c r="E420" s="792"/>
      <c r="F420" s="792"/>
      <c r="G420" s="792"/>
      <c r="H420" s="792"/>
      <c r="I420" s="792"/>
      <c r="J420" s="792"/>
      <c r="K420" s="792"/>
      <c r="L420" s="792"/>
      <c r="M420" s="792"/>
      <c r="N420" s="792"/>
      <c r="O420" s="792"/>
      <c r="P420" s="792"/>
      <c r="Q420" s="792"/>
      <c r="R420" s="792"/>
      <c r="S420" s="792"/>
      <c r="T420" s="792"/>
      <c r="U420" s="792"/>
      <c r="V420" s="793"/>
      <c r="W420" s="792"/>
      <c r="X420" s="792"/>
      <c r="Y420" s="792"/>
      <c r="Z420" s="792"/>
      <c r="AA420" s="792"/>
    </row>
    <row r="421" spans="1:27" ht="15.75" customHeight="1">
      <c r="A421" s="792"/>
      <c r="B421" s="792"/>
      <c r="C421" s="792"/>
      <c r="D421" s="792"/>
      <c r="E421" s="792"/>
      <c r="F421" s="792"/>
      <c r="G421" s="792"/>
      <c r="H421" s="792"/>
      <c r="I421" s="792"/>
      <c r="J421" s="792"/>
      <c r="K421" s="792"/>
      <c r="L421" s="792"/>
      <c r="M421" s="792"/>
      <c r="N421" s="792"/>
      <c r="O421" s="792"/>
      <c r="P421" s="792"/>
      <c r="Q421" s="792"/>
      <c r="R421" s="792"/>
      <c r="S421" s="792"/>
      <c r="T421" s="792"/>
      <c r="U421" s="792"/>
      <c r="V421" s="793"/>
      <c r="W421" s="792"/>
      <c r="X421" s="792"/>
      <c r="Y421" s="792"/>
      <c r="Z421" s="792"/>
      <c r="AA421" s="792"/>
    </row>
    <row r="422" spans="1:27" ht="15.75" customHeight="1">
      <c r="A422" s="792"/>
      <c r="B422" s="792"/>
      <c r="C422" s="792"/>
      <c r="D422" s="792"/>
      <c r="E422" s="792"/>
      <c r="F422" s="792"/>
      <c r="G422" s="792"/>
      <c r="H422" s="792"/>
      <c r="I422" s="792"/>
      <c r="J422" s="792"/>
      <c r="K422" s="792"/>
      <c r="L422" s="792"/>
      <c r="M422" s="792"/>
      <c r="N422" s="792"/>
      <c r="O422" s="792"/>
      <c r="P422" s="792"/>
      <c r="Q422" s="792"/>
      <c r="R422" s="792"/>
      <c r="S422" s="792"/>
      <c r="T422" s="792"/>
      <c r="U422" s="792"/>
      <c r="V422" s="793"/>
      <c r="W422" s="792"/>
      <c r="X422" s="792"/>
      <c r="Y422" s="792"/>
      <c r="Z422" s="792"/>
      <c r="AA422" s="792"/>
    </row>
    <row r="423" spans="1:27" ht="15.75" customHeight="1">
      <c r="A423" s="792"/>
      <c r="B423" s="792"/>
      <c r="C423" s="792"/>
      <c r="D423" s="792"/>
      <c r="E423" s="792"/>
      <c r="F423" s="792"/>
      <c r="G423" s="792"/>
      <c r="H423" s="792"/>
      <c r="I423" s="792"/>
      <c r="J423" s="792"/>
      <c r="K423" s="792"/>
      <c r="L423" s="792"/>
      <c r="M423" s="792"/>
      <c r="N423" s="792"/>
      <c r="O423" s="792"/>
      <c r="P423" s="792"/>
      <c r="Q423" s="792"/>
      <c r="R423" s="792"/>
      <c r="S423" s="792"/>
      <c r="T423" s="792"/>
      <c r="U423" s="792"/>
      <c r="V423" s="793"/>
      <c r="W423" s="792"/>
      <c r="X423" s="792"/>
      <c r="Y423" s="792"/>
      <c r="Z423" s="792"/>
      <c r="AA423" s="792"/>
    </row>
    <row r="424" spans="1:27" ht="15.75" customHeight="1">
      <c r="A424" s="792"/>
      <c r="B424" s="792"/>
      <c r="C424" s="792"/>
      <c r="D424" s="792"/>
      <c r="E424" s="792"/>
      <c r="F424" s="792"/>
      <c r="G424" s="792"/>
      <c r="H424" s="792"/>
      <c r="I424" s="792"/>
      <c r="J424" s="792"/>
      <c r="K424" s="792"/>
      <c r="L424" s="792"/>
      <c r="M424" s="792"/>
      <c r="N424" s="792"/>
      <c r="O424" s="792"/>
      <c r="P424" s="792"/>
      <c r="Q424" s="792"/>
      <c r="R424" s="792"/>
      <c r="S424" s="792"/>
      <c r="T424" s="792"/>
      <c r="U424" s="792"/>
      <c r="V424" s="793"/>
      <c r="W424" s="792"/>
      <c r="X424" s="792"/>
      <c r="Y424" s="792"/>
      <c r="Z424" s="792"/>
      <c r="AA424" s="792"/>
    </row>
    <row r="425" spans="1:27" ht="15.75" customHeight="1">
      <c r="A425" s="792"/>
      <c r="B425" s="792"/>
      <c r="C425" s="792"/>
      <c r="D425" s="792"/>
      <c r="E425" s="792"/>
      <c r="F425" s="792"/>
      <c r="G425" s="792"/>
      <c r="H425" s="792"/>
      <c r="I425" s="792"/>
      <c r="J425" s="792"/>
      <c r="K425" s="792"/>
      <c r="L425" s="792"/>
      <c r="M425" s="792"/>
      <c r="N425" s="792"/>
      <c r="O425" s="792"/>
      <c r="P425" s="792"/>
      <c r="Q425" s="792"/>
      <c r="R425" s="792"/>
      <c r="S425" s="792"/>
      <c r="T425" s="792"/>
      <c r="U425" s="792"/>
      <c r="V425" s="793"/>
      <c r="W425" s="792"/>
      <c r="X425" s="792"/>
      <c r="Y425" s="792"/>
      <c r="Z425" s="792"/>
      <c r="AA425" s="792"/>
    </row>
    <row r="426" spans="1:27" ht="15.75" customHeight="1">
      <c r="A426" s="792"/>
      <c r="B426" s="792"/>
      <c r="C426" s="792"/>
      <c r="D426" s="792"/>
      <c r="E426" s="792"/>
      <c r="F426" s="792"/>
      <c r="G426" s="792"/>
      <c r="H426" s="792"/>
      <c r="I426" s="792"/>
      <c r="J426" s="792"/>
      <c r="K426" s="792"/>
      <c r="L426" s="792"/>
      <c r="M426" s="792"/>
      <c r="N426" s="792"/>
      <c r="O426" s="792"/>
      <c r="P426" s="792"/>
      <c r="Q426" s="792"/>
      <c r="R426" s="792"/>
      <c r="S426" s="792"/>
      <c r="T426" s="792"/>
      <c r="U426" s="792"/>
      <c r="V426" s="793"/>
      <c r="W426" s="792"/>
      <c r="X426" s="792"/>
      <c r="Y426" s="792"/>
      <c r="Z426" s="792"/>
      <c r="AA426" s="792"/>
    </row>
    <row r="427" spans="1:27" ht="15.75" customHeight="1">
      <c r="A427" s="792"/>
      <c r="B427" s="792"/>
      <c r="C427" s="792"/>
      <c r="D427" s="792"/>
      <c r="E427" s="792"/>
      <c r="F427" s="792"/>
      <c r="G427" s="792"/>
      <c r="H427" s="792"/>
      <c r="I427" s="792"/>
      <c r="J427" s="792"/>
      <c r="K427" s="792"/>
      <c r="L427" s="792"/>
      <c r="M427" s="792"/>
      <c r="N427" s="792"/>
      <c r="O427" s="792"/>
      <c r="P427" s="792"/>
      <c r="Q427" s="792"/>
      <c r="R427" s="792"/>
      <c r="S427" s="792"/>
      <c r="T427" s="792"/>
      <c r="U427" s="792"/>
      <c r="V427" s="793"/>
      <c r="W427" s="792"/>
      <c r="X427" s="792"/>
      <c r="Y427" s="792"/>
      <c r="Z427" s="792"/>
      <c r="AA427" s="792"/>
    </row>
    <row r="428" spans="1:27" ht="15.75" customHeight="1">
      <c r="A428" s="792"/>
      <c r="B428" s="792"/>
      <c r="C428" s="792"/>
      <c r="D428" s="792"/>
      <c r="E428" s="792"/>
      <c r="F428" s="792"/>
      <c r="G428" s="792"/>
      <c r="H428" s="792"/>
      <c r="I428" s="792"/>
      <c r="J428" s="792"/>
      <c r="K428" s="792"/>
      <c r="L428" s="792"/>
      <c r="M428" s="792"/>
      <c r="N428" s="792"/>
      <c r="O428" s="792"/>
      <c r="P428" s="792"/>
      <c r="Q428" s="792"/>
      <c r="R428" s="792"/>
      <c r="S428" s="792"/>
      <c r="T428" s="792"/>
      <c r="U428" s="792"/>
      <c r="V428" s="793"/>
      <c r="W428" s="792"/>
      <c r="X428" s="792"/>
      <c r="Y428" s="792"/>
      <c r="Z428" s="792"/>
      <c r="AA428" s="792"/>
    </row>
    <row r="429" spans="1:27" ht="15.75" customHeight="1">
      <c r="A429" s="792"/>
      <c r="B429" s="792"/>
      <c r="C429" s="792"/>
      <c r="D429" s="792"/>
      <c r="E429" s="792"/>
      <c r="F429" s="792"/>
      <c r="G429" s="792"/>
      <c r="H429" s="792"/>
      <c r="I429" s="792"/>
      <c r="J429" s="792"/>
      <c r="K429" s="792"/>
      <c r="L429" s="792"/>
      <c r="M429" s="792"/>
      <c r="N429" s="792"/>
      <c r="O429" s="792"/>
      <c r="P429" s="792"/>
      <c r="Q429" s="792"/>
      <c r="R429" s="792"/>
      <c r="S429" s="792"/>
      <c r="T429" s="792"/>
      <c r="U429" s="792"/>
      <c r="V429" s="793"/>
      <c r="W429" s="792"/>
      <c r="X429" s="792"/>
      <c r="Y429" s="792"/>
      <c r="Z429" s="792"/>
      <c r="AA429" s="792"/>
    </row>
    <row r="430" spans="1:27" ht="15.75" customHeight="1">
      <c r="A430" s="792"/>
      <c r="B430" s="792"/>
      <c r="C430" s="792"/>
      <c r="D430" s="792"/>
      <c r="E430" s="792"/>
      <c r="F430" s="792"/>
      <c r="G430" s="792"/>
      <c r="H430" s="792"/>
      <c r="I430" s="792"/>
      <c r="J430" s="792"/>
      <c r="K430" s="792"/>
      <c r="L430" s="792"/>
      <c r="M430" s="792"/>
      <c r="N430" s="792"/>
      <c r="O430" s="792"/>
      <c r="P430" s="792"/>
      <c r="Q430" s="792"/>
      <c r="R430" s="792"/>
      <c r="S430" s="792"/>
      <c r="T430" s="792"/>
      <c r="U430" s="792"/>
      <c r="V430" s="793"/>
      <c r="W430" s="792"/>
      <c r="X430" s="792"/>
      <c r="Y430" s="792"/>
      <c r="Z430" s="792"/>
      <c r="AA430" s="792"/>
    </row>
    <row r="431" spans="1:27" ht="15.75" customHeight="1">
      <c r="A431" s="792"/>
      <c r="B431" s="792"/>
      <c r="C431" s="792"/>
      <c r="D431" s="792"/>
      <c r="E431" s="792"/>
      <c r="F431" s="792"/>
      <c r="G431" s="792"/>
      <c r="H431" s="792"/>
      <c r="I431" s="792"/>
      <c r="J431" s="792"/>
      <c r="K431" s="792"/>
      <c r="L431" s="792"/>
      <c r="M431" s="792"/>
      <c r="N431" s="792"/>
      <c r="O431" s="792"/>
      <c r="P431" s="792"/>
      <c r="Q431" s="792"/>
      <c r="R431" s="792"/>
      <c r="S431" s="792"/>
      <c r="T431" s="792"/>
      <c r="U431" s="792"/>
      <c r="V431" s="793"/>
      <c r="W431" s="792"/>
      <c r="X431" s="792"/>
      <c r="Y431" s="792"/>
      <c r="Z431" s="792"/>
      <c r="AA431" s="792"/>
    </row>
    <row r="432" spans="1:27" ht="15.75" customHeight="1">
      <c r="A432" s="792"/>
      <c r="B432" s="792"/>
      <c r="C432" s="792"/>
      <c r="D432" s="792"/>
      <c r="E432" s="792"/>
      <c r="F432" s="792"/>
      <c r="G432" s="792"/>
      <c r="H432" s="792"/>
      <c r="I432" s="792"/>
      <c r="J432" s="792"/>
      <c r="K432" s="792"/>
      <c r="L432" s="792"/>
      <c r="M432" s="792"/>
      <c r="N432" s="792"/>
      <c r="O432" s="792"/>
      <c r="P432" s="792"/>
      <c r="Q432" s="792"/>
      <c r="R432" s="792"/>
      <c r="S432" s="792"/>
      <c r="T432" s="792"/>
      <c r="U432" s="792"/>
      <c r="V432" s="793"/>
      <c r="W432" s="792"/>
      <c r="X432" s="792"/>
      <c r="Y432" s="792"/>
      <c r="Z432" s="792"/>
      <c r="AA432" s="792"/>
    </row>
    <row r="433" spans="1:27" ht="15.75" customHeight="1">
      <c r="A433" s="792"/>
      <c r="B433" s="792"/>
      <c r="C433" s="792"/>
      <c r="D433" s="792"/>
      <c r="E433" s="792"/>
      <c r="F433" s="792"/>
      <c r="G433" s="792"/>
      <c r="H433" s="792"/>
      <c r="I433" s="792"/>
      <c r="J433" s="792"/>
      <c r="K433" s="792"/>
      <c r="L433" s="792"/>
      <c r="M433" s="792"/>
      <c r="N433" s="792"/>
      <c r="O433" s="792"/>
      <c r="P433" s="792"/>
      <c r="Q433" s="792"/>
      <c r="R433" s="792"/>
      <c r="S433" s="792"/>
      <c r="T433" s="792"/>
      <c r="U433" s="792"/>
      <c r="V433" s="793"/>
      <c r="W433" s="792"/>
      <c r="X433" s="792"/>
      <c r="Y433" s="792"/>
      <c r="Z433" s="792"/>
      <c r="AA433" s="792"/>
    </row>
    <row r="434" spans="1:27" ht="15.75" customHeight="1">
      <c r="A434" s="792"/>
      <c r="B434" s="792"/>
      <c r="C434" s="792"/>
      <c r="D434" s="792"/>
      <c r="E434" s="792"/>
      <c r="F434" s="792"/>
      <c r="G434" s="792"/>
      <c r="H434" s="792"/>
      <c r="I434" s="792"/>
      <c r="J434" s="792"/>
      <c r="K434" s="792"/>
      <c r="L434" s="792"/>
      <c r="M434" s="792"/>
      <c r="N434" s="792"/>
      <c r="O434" s="792"/>
      <c r="P434" s="792"/>
      <c r="Q434" s="792"/>
      <c r="R434" s="792"/>
      <c r="S434" s="792"/>
      <c r="T434" s="792"/>
      <c r="U434" s="792"/>
      <c r="V434" s="793"/>
      <c r="W434" s="792"/>
      <c r="X434" s="792"/>
      <c r="Y434" s="792"/>
      <c r="Z434" s="792"/>
      <c r="AA434" s="792"/>
    </row>
    <row r="435" spans="1:27" ht="15.75" customHeight="1">
      <c r="A435" s="792"/>
      <c r="B435" s="792"/>
      <c r="C435" s="792"/>
      <c r="D435" s="792"/>
      <c r="E435" s="792"/>
      <c r="F435" s="792"/>
      <c r="G435" s="792"/>
      <c r="H435" s="792"/>
      <c r="I435" s="792"/>
      <c r="J435" s="792"/>
      <c r="K435" s="792"/>
      <c r="L435" s="792"/>
      <c r="M435" s="792"/>
      <c r="N435" s="792"/>
      <c r="O435" s="792"/>
      <c r="P435" s="792"/>
      <c r="Q435" s="792"/>
      <c r="R435" s="792"/>
      <c r="S435" s="792"/>
      <c r="T435" s="792"/>
      <c r="U435" s="792"/>
      <c r="V435" s="793"/>
      <c r="W435" s="792"/>
      <c r="X435" s="792"/>
      <c r="Y435" s="792"/>
      <c r="Z435" s="792"/>
      <c r="AA435" s="792"/>
    </row>
    <row r="436" spans="1:27" ht="15.75" customHeight="1">
      <c r="A436" s="792"/>
      <c r="B436" s="792"/>
      <c r="C436" s="792"/>
      <c r="D436" s="792"/>
      <c r="E436" s="792"/>
      <c r="F436" s="792"/>
      <c r="G436" s="792"/>
      <c r="H436" s="792"/>
      <c r="I436" s="792"/>
      <c r="J436" s="792"/>
      <c r="K436" s="792"/>
      <c r="L436" s="792"/>
      <c r="M436" s="792"/>
      <c r="N436" s="792"/>
      <c r="O436" s="792"/>
      <c r="P436" s="792"/>
      <c r="Q436" s="792"/>
      <c r="R436" s="792"/>
      <c r="S436" s="792"/>
      <c r="T436" s="792"/>
      <c r="U436" s="792"/>
      <c r="V436" s="793"/>
      <c r="W436" s="792"/>
      <c r="X436" s="792"/>
      <c r="Y436" s="792"/>
      <c r="Z436" s="792"/>
      <c r="AA436" s="792"/>
    </row>
    <row r="437" spans="1:27" ht="15.75" customHeight="1">
      <c r="A437" s="792"/>
      <c r="B437" s="792"/>
      <c r="C437" s="792"/>
      <c r="D437" s="792"/>
      <c r="E437" s="792"/>
      <c r="F437" s="792"/>
      <c r="G437" s="792"/>
      <c r="H437" s="792"/>
      <c r="I437" s="792"/>
      <c r="J437" s="792"/>
      <c r="K437" s="792"/>
      <c r="L437" s="792"/>
      <c r="M437" s="792"/>
      <c r="N437" s="792"/>
      <c r="O437" s="792"/>
      <c r="P437" s="792"/>
      <c r="Q437" s="792"/>
      <c r="R437" s="792"/>
      <c r="S437" s="792"/>
      <c r="T437" s="792"/>
      <c r="U437" s="792"/>
      <c r="V437" s="793"/>
      <c r="W437" s="792"/>
      <c r="X437" s="792"/>
      <c r="Y437" s="792"/>
      <c r="Z437" s="792"/>
      <c r="AA437" s="792"/>
    </row>
    <row r="438" spans="1:27" ht="15.75" customHeight="1">
      <c r="A438" s="792"/>
      <c r="B438" s="792"/>
      <c r="C438" s="792"/>
      <c r="D438" s="792"/>
      <c r="E438" s="792"/>
      <c r="F438" s="792"/>
      <c r="G438" s="792"/>
      <c r="H438" s="792"/>
      <c r="I438" s="792"/>
      <c r="J438" s="792"/>
      <c r="K438" s="792"/>
      <c r="L438" s="792"/>
      <c r="M438" s="792"/>
      <c r="N438" s="792"/>
      <c r="O438" s="792"/>
      <c r="P438" s="792"/>
      <c r="Q438" s="792"/>
      <c r="R438" s="792"/>
      <c r="S438" s="792"/>
      <c r="T438" s="792"/>
      <c r="U438" s="792"/>
      <c r="V438" s="793"/>
      <c r="W438" s="792"/>
      <c r="X438" s="792"/>
      <c r="Y438" s="792"/>
      <c r="Z438" s="792"/>
      <c r="AA438" s="792"/>
    </row>
    <row r="439" spans="1:27" ht="15.75" customHeight="1">
      <c r="A439" s="792"/>
      <c r="B439" s="792"/>
      <c r="C439" s="792"/>
      <c r="D439" s="792"/>
      <c r="E439" s="792"/>
      <c r="F439" s="792"/>
      <c r="G439" s="792"/>
      <c r="H439" s="792"/>
      <c r="I439" s="792"/>
      <c r="J439" s="792"/>
      <c r="K439" s="792"/>
      <c r="L439" s="792"/>
      <c r="M439" s="792"/>
      <c r="N439" s="792"/>
      <c r="O439" s="792"/>
      <c r="P439" s="792"/>
      <c r="Q439" s="792"/>
      <c r="R439" s="792"/>
      <c r="S439" s="792"/>
      <c r="T439" s="792"/>
      <c r="U439" s="792"/>
      <c r="V439" s="793"/>
      <c r="W439" s="792"/>
      <c r="X439" s="792"/>
      <c r="Y439" s="792"/>
      <c r="Z439" s="792"/>
      <c r="AA439" s="792"/>
    </row>
    <row r="440" spans="1:27" ht="15.75" customHeight="1">
      <c r="A440" s="792"/>
      <c r="B440" s="792"/>
      <c r="C440" s="792"/>
      <c r="D440" s="792"/>
      <c r="E440" s="792"/>
      <c r="F440" s="792"/>
      <c r="G440" s="792"/>
      <c r="H440" s="792"/>
      <c r="I440" s="792"/>
      <c r="J440" s="792"/>
      <c r="K440" s="792"/>
      <c r="L440" s="792"/>
      <c r="M440" s="792"/>
      <c r="N440" s="792"/>
      <c r="O440" s="792"/>
      <c r="P440" s="792"/>
      <c r="Q440" s="792"/>
      <c r="R440" s="792"/>
      <c r="S440" s="792"/>
      <c r="T440" s="792"/>
      <c r="U440" s="792"/>
      <c r="V440" s="793"/>
      <c r="W440" s="792"/>
      <c r="X440" s="792"/>
      <c r="Y440" s="792"/>
      <c r="Z440" s="792"/>
      <c r="AA440" s="792"/>
    </row>
    <row r="441" spans="1:27" ht="15.75" customHeight="1">
      <c r="A441" s="792"/>
      <c r="B441" s="792"/>
      <c r="C441" s="792"/>
      <c r="D441" s="792"/>
      <c r="E441" s="792"/>
      <c r="F441" s="792"/>
      <c r="G441" s="792"/>
      <c r="H441" s="792"/>
      <c r="I441" s="792"/>
      <c r="J441" s="792"/>
      <c r="K441" s="792"/>
      <c r="L441" s="792"/>
      <c r="M441" s="792"/>
      <c r="N441" s="792"/>
      <c r="O441" s="792"/>
      <c r="P441" s="792"/>
      <c r="Q441" s="792"/>
      <c r="R441" s="792"/>
      <c r="S441" s="792"/>
      <c r="T441" s="792"/>
      <c r="U441" s="792"/>
      <c r="V441" s="793"/>
      <c r="W441" s="792"/>
      <c r="X441" s="792"/>
      <c r="Y441" s="792"/>
      <c r="Z441" s="792"/>
      <c r="AA441" s="792"/>
    </row>
    <row r="442" spans="1:27" ht="15.75" customHeight="1">
      <c r="A442" s="792"/>
      <c r="B442" s="792"/>
      <c r="C442" s="792"/>
      <c r="D442" s="792"/>
      <c r="E442" s="792"/>
      <c r="F442" s="792"/>
      <c r="G442" s="792"/>
      <c r="H442" s="792"/>
      <c r="I442" s="792"/>
      <c r="J442" s="792"/>
      <c r="K442" s="792"/>
      <c r="L442" s="792"/>
      <c r="M442" s="792"/>
      <c r="N442" s="792"/>
      <c r="O442" s="792"/>
      <c r="P442" s="792"/>
      <c r="Q442" s="792"/>
      <c r="R442" s="792"/>
      <c r="S442" s="792"/>
      <c r="T442" s="792"/>
      <c r="U442" s="792"/>
      <c r="V442" s="793"/>
      <c r="W442" s="792"/>
      <c r="X442" s="792"/>
      <c r="Y442" s="792"/>
      <c r="Z442" s="792"/>
      <c r="AA442" s="792"/>
    </row>
    <row r="443" spans="1:27" ht="15.75" customHeight="1">
      <c r="A443" s="792"/>
      <c r="B443" s="792"/>
      <c r="C443" s="792"/>
      <c r="D443" s="792"/>
      <c r="E443" s="792"/>
      <c r="F443" s="792"/>
      <c r="G443" s="792"/>
      <c r="H443" s="792"/>
      <c r="I443" s="792"/>
      <c r="J443" s="792"/>
      <c r="K443" s="792"/>
      <c r="L443" s="792"/>
      <c r="M443" s="792"/>
      <c r="N443" s="792"/>
      <c r="O443" s="792"/>
      <c r="P443" s="792"/>
      <c r="Q443" s="792"/>
      <c r="R443" s="792"/>
      <c r="S443" s="792"/>
      <c r="T443" s="792"/>
      <c r="U443" s="792"/>
      <c r="V443" s="793"/>
      <c r="W443" s="792"/>
      <c r="X443" s="792"/>
      <c r="Y443" s="792"/>
      <c r="Z443" s="792"/>
      <c r="AA443" s="792"/>
    </row>
    <row r="444" spans="1:27" ht="15.75" customHeight="1">
      <c r="A444" s="792"/>
      <c r="B444" s="792"/>
      <c r="C444" s="792"/>
      <c r="D444" s="792"/>
      <c r="E444" s="792"/>
      <c r="F444" s="792"/>
      <c r="G444" s="792"/>
      <c r="H444" s="792"/>
      <c r="I444" s="792"/>
      <c r="J444" s="792"/>
      <c r="K444" s="792"/>
      <c r="L444" s="792"/>
      <c r="M444" s="792"/>
      <c r="N444" s="792"/>
      <c r="O444" s="792"/>
      <c r="P444" s="792"/>
      <c r="Q444" s="792"/>
      <c r="R444" s="792"/>
      <c r="S444" s="792"/>
      <c r="T444" s="792"/>
      <c r="U444" s="792"/>
      <c r="V444" s="793"/>
      <c r="W444" s="792"/>
      <c r="X444" s="792"/>
      <c r="Y444" s="792"/>
      <c r="Z444" s="792"/>
      <c r="AA444" s="792"/>
    </row>
    <row r="445" spans="1:27" ht="15.75" customHeight="1">
      <c r="A445" s="792"/>
      <c r="B445" s="792"/>
      <c r="C445" s="792"/>
      <c r="D445" s="792"/>
      <c r="E445" s="792"/>
      <c r="F445" s="792"/>
      <c r="G445" s="792"/>
      <c r="H445" s="792"/>
      <c r="I445" s="792"/>
      <c r="J445" s="792"/>
      <c r="K445" s="792"/>
      <c r="L445" s="792"/>
      <c r="M445" s="792"/>
      <c r="N445" s="792"/>
      <c r="O445" s="792"/>
      <c r="P445" s="792"/>
      <c r="Q445" s="792"/>
      <c r="R445" s="792"/>
      <c r="S445" s="792"/>
      <c r="T445" s="792"/>
      <c r="U445" s="792"/>
      <c r="V445" s="793"/>
      <c r="W445" s="792"/>
      <c r="X445" s="792"/>
      <c r="Y445" s="792"/>
      <c r="Z445" s="792"/>
      <c r="AA445" s="792"/>
    </row>
    <row r="446" spans="1:27" ht="15.75" customHeight="1">
      <c r="A446" s="792"/>
      <c r="B446" s="792"/>
      <c r="C446" s="792"/>
      <c r="D446" s="792"/>
      <c r="E446" s="792"/>
      <c r="F446" s="792"/>
      <c r="G446" s="792"/>
      <c r="H446" s="792"/>
      <c r="I446" s="792"/>
      <c r="J446" s="792"/>
      <c r="K446" s="792"/>
      <c r="L446" s="792"/>
      <c r="M446" s="792"/>
      <c r="N446" s="792"/>
      <c r="O446" s="792"/>
      <c r="P446" s="792"/>
      <c r="Q446" s="792"/>
      <c r="R446" s="792"/>
      <c r="S446" s="792"/>
      <c r="T446" s="792"/>
      <c r="U446" s="792"/>
      <c r="V446" s="793"/>
      <c r="W446" s="792"/>
      <c r="X446" s="792"/>
      <c r="Y446" s="792"/>
      <c r="Z446" s="792"/>
      <c r="AA446" s="792"/>
    </row>
    <row r="447" spans="1:27" ht="15.75" customHeight="1">
      <c r="A447" s="792"/>
      <c r="B447" s="792"/>
      <c r="C447" s="792"/>
      <c r="D447" s="792"/>
      <c r="E447" s="792"/>
      <c r="F447" s="792"/>
      <c r="G447" s="792"/>
      <c r="H447" s="792"/>
      <c r="I447" s="792"/>
      <c r="J447" s="792"/>
      <c r="K447" s="792"/>
      <c r="L447" s="792"/>
      <c r="M447" s="792"/>
      <c r="N447" s="792"/>
      <c r="O447" s="792"/>
      <c r="P447" s="792"/>
      <c r="Q447" s="792"/>
      <c r="R447" s="792"/>
      <c r="S447" s="792"/>
      <c r="T447" s="792"/>
      <c r="U447" s="792"/>
      <c r="V447" s="793"/>
      <c r="W447" s="792"/>
      <c r="X447" s="792"/>
      <c r="Y447" s="792"/>
      <c r="Z447" s="792"/>
      <c r="AA447" s="792"/>
    </row>
    <row r="448" spans="1:27" ht="15.75" customHeight="1">
      <c r="A448" s="792"/>
      <c r="B448" s="792"/>
      <c r="C448" s="792"/>
      <c r="D448" s="792"/>
      <c r="E448" s="792"/>
      <c r="F448" s="792"/>
      <c r="G448" s="792"/>
      <c r="H448" s="792"/>
      <c r="I448" s="792"/>
      <c r="J448" s="792"/>
      <c r="K448" s="792"/>
      <c r="L448" s="792"/>
      <c r="M448" s="792"/>
      <c r="N448" s="792"/>
      <c r="O448" s="792"/>
      <c r="P448" s="792"/>
      <c r="Q448" s="792"/>
      <c r="R448" s="792"/>
      <c r="S448" s="792"/>
      <c r="T448" s="792"/>
      <c r="U448" s="792"/>
      <c r="V448" s="793"/>
      <c r="W448" s="792"/>
      <c r="X448" s="792"/>
      <c r="Y448" s="792"/>
      <c r="Z448" s="792"/>
      <c r="AA448" s="792"/>
    </row>
    <row r="449" spans="1:27" ht="15.75" customHeight="1">
      <c r="A449" s="792"/>
      <c r="B449" s="792"/>
      <c r="C449" s="792"/>
      <c r="D449" s="792"/>
      <c r="E449" s="792"/>
      <c r="F449" s="792"/>
      <c r="G449" s="792"/>
      <c r="H449" s="792"/>
      <c r="I449" s="792"/>
      <c r="J449" s="792"/>
      <c r="K449" s="792"/>
      <c r="L449" s="792"/>
      <c r="M449" s="792"/>
      <c r="N449" s="792"/>
      <c r="O449" s="792"/>
      <c r="P449" s="792"/>
      <c r="Q449" s="792"/>
      <c r="R449" s="792"/>
      <c r="S449" s="792"/>
      <c r="T449" s="792"/>
      <c r="U449" s="792"/>
      <c r="V449" s="793"/>
      <c r="W449" s="792"/>
      <c r="X449" s="792"/>
      <c r="Y449" s="792"/>
      <c r="Z449" s="792"/>
      <c r="AA449" s="792"/>
    </row>
    <row r="450" spans="1:27" ht="15.75" customHeight="1">
      <c r="A450" s="792"/>
      <c r="B450" s="792"/>
      <c r="C450" s="792"/>
      <c r="D450" s="792"/>
      <c r="E450" s="792"/>
      <c r="F450" s="792"/>
      <c r="G450" s="792"/>
      <c r="H450" s="792"/>
      <c r="I450" s="792"/>
      <c r="J450" s="792"/>
      <c r="K450" s="792"/>
      <c r="L450" s="792"/>
      <c r="M450" s="792"/>
      <c r="N450" s="792"/>
      <c r="O450" s="792"/>
      <c r="P450" s="792"/>
      <c r="Q450" s="792"/>
      <c r="R450" s="792"/>
      <c r="S450" s="792"/>
      <c r="T450" s="792"/>
      <c r="U450" s="792"/>
      <c r="V450" s="793"/>
      <c r="W450" s="792"/>
      <c r="X450" s="792"/>
      <c r="Y450" s="792"/>
      <c r="Z450" s="792"/>
      <c r="AA450" s="792"/>
    </row>
    <row r="451" spans="1:27" ht="15.75" customHeight="1">
      <c r="A451" s="792"/>
      <c r="B451" s="792"/>
      <c r="C451" s="792"/>
      <c r="D451" s="792"/>
      <c r="E451" s="792"/>
      <c r="F451" s="792"/>
      <c r="G451" s="792"/>
      <c r="H451" s="792"/>
      <c r="I451" s="792"/>
      <c r="J451" s="792"/>
      <c r="K451" s="792"/>
      <c r="L451" s="792"/>
      <c r="M451" s="792"/>
      <c r="N451" s="792"/>
      <c r="O451" s="792"/>
      <c r="P451" s="792"/>
      <c r="Q451" s="792"/>
      <c r="R451" s="792"/>
      <c r="S451" s="792"/>
      <c r="T451" s="792"/>
      <c r="U451" s="792"/>
      <c r="V451" s="793"/>
      <c r="W451" s="792"/>
      <c r="X451" s="792"/>
      <c r="Y451" s="792"/>
      <c r="Z451" s="792"/>
      <c r="AA451" s="792"/>
    </row>
    <row r="452" spans="1:27" ht="15.75" customHeight="1">
      <c r="A452" s="792"/>
      <c r="B452" s="792"/>
      <c r="C452" s="792"/>
      <c r="D452" s="792"/>
      <c r="E452" s="792"/>
      <c r="F452" s="792"/>
      <c r="G452" s="792"/>
      <c r="H452" s="792"/>
      <c r="I452" s="792"/>
      <c r="J452" s="792"/>
      <c r="K452" s="792"/>
      <c r="L452" s="792"/>
      <c r="M452" s="792"/>
      <c r="N452" s="792"/>
      <c r="O452" s="792"/>
      <c r="P452" s="792"/>
      <c r="Q452" s="792"/>
      <c r="R452" s="792"/>
      <c r="S452" s="792"/>
      <c r="T452" s="792"/>
      <c r="U452" s="792"/>
      <c r="V452" s="793"/>
      <c r="W452" s="792"/>
      <c r="X452" s="792"/>
      <c r="Y452" s="792"/>
      <c r="Z452" s="792"/>
      <c r="AA452" s="792"/>
    </row>
    <row r="453" spans="1:27" ht="15.75" customHeight="1">
      <c r="A453" s="792"/>
      <c r="B453" s="792"/>
      <c r="C453" s="792"/>
      <c r="D453" s="792"/>
      <c r="E453" s="792"/>
      <c r="F453" s="792"/>
      <c r="G453" s="792"/>
      <c r="H453" s="792"/>
      <c r="I453" s="792"/>
      <c r="J453" s="792"/>
      <c r="K453" s="792"/>
      <c r="L453" s="792"/>
      <c r="M453" s="792"/>
      <c r="N453" s="792"/>
      <c r="O453" s="792"/>
      <c r="P453" s="792"/>
      <c r="Q453" s="792"/>
      <c r="R453" s="792"/>
      <c r="S453" s="792"/>
      <c r="T453" s="792"/>
      <c r="U453" s="792"/>
      <c r="V453" s="793"/>
      <c r="W453" s="792"/>
      <c r="X453" s="792"/>
      <c r="Y453" s="792"/>
      <c r="Z453" s="792"/>
      <c r="AA453" s="792"/>
    </row>
    <row r="454" spans="1:27" ht="15.75" customHeight="1">
      <c r="A454" s="792"/>
      <c r="B454" s="792"/>
      <c r="C454" s="792"/>
      <c r="D454" s="792"/>
      <c r="E454" s="792"/>
      <c r="F454" s="792"/>
      <c r="G454" s="792"/>
      <c r="H454" s="792"/>
      <c r="I454" s="792"/>
      <c r="J454" s="792"/>
      <c r="K454" s="792"/>
      <c r="L454" s="792"/>
      <c r="M454" s="792"/>
      <c r="N454" s="792"/>
      <c r="O454" s="792"/>
      <c r="P454" s="792"/>
      <c r="Q454" s="792"/>
      <c r="R454" s="792"/>
      <c r="S454" s="792"/>
      <c r="T454" s="792"/>
      <c r="U454" s="792"/>
      <c r="V454" s="793"/>
      <c r="W454" s="792"/>
      <c r="X454" s="792"/>
      <c r="Y454" s="792"/>
      <c r="Z454" s="792"/>
      <c r="AA454" s="792"/>
    </row>
    <row r="455" spans="1:27" ht="15.75" customHeight="1">
      <c r="A455" s="792"/>
      <c r="B455" s="792"/>
      <c r="C455" s="792"/>
      <c r="D455" s="792"/>
      <c r="E455" s="792"/>
      <c r="F455" s="792"/>
      <c r="G455" s="792"/>
      <c r="H455" s="792"/>
      <c r="I455" s="792"/>
      <c r="J455" s="792"/>
      <c r="K455" s="792"/>
      <c r="L455" s="792"/>
      <c r="M455" s="792"/>
      <c r="N455" s="792"/>
      <c r="O455" s="792"/>
      <c r="P455" s="792"/>
      <c r="Q455" s="792"/>
      <c r="R455" s="792"/>
      <c r="S455" s="792"/>
      <c r="T455" s="792"/>
      <c r="U455" s="792"/>
      <c r="V455" s="793"/>
      <c r="W455" s="792"/>
      <c r="X455" s="792"/>
      <c r="Y455" s="792"/>
      <c r="Z455" s="792"/>
      <c r="AA455" s="792"/>
    </row>
    <row r="456" spans="1:27" ht="15.75" customHeight="1">
      <c r="A456" s="792"/>
      <c r="B456" s="792"/>
      <c r="C456" s="792"/>
      <c r="D456" s="792"/>
      <c r="E456" s="792"/>
      <c r="F456" s="792"/>
      <c r="G456" s="792"/>
      <c r="H456" s="792"/>
      <c r="I456" s="792"/>
      <c r="J456" s="792"/>
      <c r="K456" s="792"/>
      <c r="L456" s="792"/>
      <c r="M456" s="792"/>
      <c r="N456" s="792"/>
      <c r="O456" s="792"/>
      <c r="P456" s="792"/>
      <c r="Q456" s="792"/>
      <c r="R456" s="792"/>
      <c r="S456" s="792"/>
      <c r="T456" s="792"/>
      <c r="U456" s="792"/>
      <c r="V456" s="793"/>
      <c r="W456" s="792"/>
      <c r="X456" s="792"/>
      <c r="Y456" s="792"/>
      <c r="Z456" s="792"/>
      <c r="AA456" s="792"/>
    </row>
    <row r="457" spans="1:27" ht="15.75" customHeight="1">
      <c r="A457" s="792"/>
      <c r="B457" s="792"/>
      <c r="C457" s="792"/>
      <c r="D457" s="792"/>
      <c r="E457" s="792"/>
      <c r="F457" s="792"/>
      <c r="G457" s="792"/>
      <c r="H457" s="792"/>
      <c r="I457" s="792"/>
      <c r="J457" s="792"/>
      <c r="K457" s="792"/>
      <c r="L457" s="792"/>
      <c r="M457" s="792"/>
      <c r="N457" s="792"/>
      <c r="O457" s="792"/>
      <c r="P457" s="792"/>
      <c r="Q457" s="792"/>
      <c r="R457" s="792"/>
      <c r="S457" s="792"/>
      <c r="T457" s="792"/>
      <c r="U457" s="792"/>
      <c r="V457" s="793"/>
      <c r="W457" s="792"/>
      <c r="X457" s="792"/>
      <c r="Y457" s="792"/>
      <c r="Z457" s="792"/>
      <c r="AA457" s="792"/>
    </row>
    <row r="458" spans="1:27" ht="15.75" customHeight="1">
      <c r="A458" s="792"/>
      <c r="B458" s="792"/>
      <c r="C458" s="792"/>
      <c r="D458" s="792"/>
      <c r="E458" s="792"/>
      <c r="F458" s="792"/>
      <c r="G458" s="792"/>
      <c r="H458" s="792"/>
      <c r="I458" s="792"/>
      <c r="J458" s="792"/>
      <c r="K458" s="792"/>
      <c r="L458" s="792"/>
      <c r="M458" s="792"/>
      <c r="N458" s="792"/>
      <c r="O458" s="792"/>
      <c r="P458" s="792"/>
      <c r="Q458" s="792"/>
      <c r="R458" s="792"/>
      <c r="S458" s="792"/>
      <c r="T458" s="792"/>
      <c r="U458" s="792"/>
      <c r="V458" s="793"/>
      <c r="W458" s="792"/>
      <c r="X458" s="792"/>
      <c r="Y458" s="792"/>
      <c r="Z458" s="792"/>
      <c r="AA458" s="792"/>
    </row>
    <row r="459" spans="1:27" ht="15.75" customHeigh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3"/>
      <c r="W459" s="792"/>
      <c r="X459" s="792"/>
      <c r="Y459" s="792"/>
      <c r="Z459" s="792"/>
      <c r="AA459" s="792"/>
    </row>
    <row r="460" spans="1:27" ht="15.75" customHeight="1">
      <c r="A460" s="792"/>
      <c r="B460" s="792"/>
      <c r="C460" s="792"/>
      <c r="D460" s="792"/>
      <c r="E460" s="792"/>
      <c r="F460" s="792"/>
      <c r="G460" s="792"/>
      <c r="H460" s="792"/>
      <c r="I460" s="792"/>
      <c r="J460" s="792"/>
      <c r="K460" s="792"/>
      <c r="L460" s="792"/>
      <c r="M460" s="792"/>
      <c r="N460" s="792"/>
      <c r="O460" s="792"/>
      <c r="P460" s="792"/>
      <c r="Q460" s="792"/>
      <c r="R460" s="792"/>
      <c r="S460" s="792"/>
      <c r="T460" s="792"/>
      <c r="U460" s="792"/>
      <c r="V460" s="793"/>
      <c r="W460" s="792"/>
      <c r="X460" s="792"/>
      <c r="Y460" s="792"/>
      <c r="Z460" s="792"/>
      <c r="AA460" s="792"/>
    </row>
    <row r="461" spans="1:27" ht="15.75" customHeight="1">
      <c r="A461" s="792"/>
      <c r="B461" s="792"/>
      <c r="C461" s="792"/>
      <c r="D461" s="792"/>
      <c r="E461" s="792"/>
      <c r="F461" s="792"/>
      <c r="G461" s="792"/>
      <c r="H461" s="792"/>
      <c r="I461" s="792"/>
      <c r="J461" s="792"/>
      <c r="K461" s="792"/>
      <c r="L461" s="792"/>
      <c r="M461" s="792"/>
      <c r="N461" s="792"/>
      <c r="O461" s="792"/>
      <c r="P461" s="792"/>
      <c r="Q461" s="792"/>
      <c r="R461" s="792"/>
      <c r="S461" s="792"/>
      <c r="T461" s="792"/>
      <c r="U461" s="792"/>
      <c r="V461" s="793"/>
      <c r="W461" s="792"/>
      <c r="X461" s="792"/>
      <c r="Y461" s="792"/>
      <c r="Z461" s="792"/>
      <c r="AA461" s="792"/>
    </row>
    <row r="462" spans="1:27" ht="15.75" customHeight="1">
      <c r="A462" s="792"/>
      <c r="B462" s="792"/>
      <c r="C462" s="792"/>
      <c r="D462" s="792"/>
      <c r="E462" s="792"/>
      <c r="F462" s="792"/>
      <c r="G462" s="792"/>
      <c r="H462" s="792"/>
      <c r="I462" s="792"/>
      <c r="J462" s="792"/>
      <c r="K462" s="792"/>
      <c r="L462" s="792"/>
      <c r="M462" s="792"/>
      <c r="N462" s="792"/>
      <c r="O462" s="792"/>
      <c r="P462" s="792"/>
      <c r="Q462" s="792"/>
      <c r="R462" s="792"/>
      <c r="S462" s="792"/>
      <c r="T462" s="792"/>
      <c r="U462" s="792"/>
      <c r="V462" s="793"/>
      <c r="W462" s="792"/>
      <c r="X462" s="792"/>
      <c r="Y462" s="792"/>
      <c r="Z462" s="792"/>
      <c r="AA462" s="792"/>
    </row>
    <row r="463" spans="1:27" ht="15.75" customHeight="1">
      <c r="A463" s="792"/>
      <c r="B463" s="792"/>
      <c r="C463" s="792"/>
      <c r="D463" s="792"/>
      <c r="E463" s="792"/>
      <c r="F463" s="792"/>
      <c r="G463" s="792"/>
      <c r="H463" s="792"/>
      <c r="I463" s="792"/>
      <c r="J463" s="792"/>
      <c r="K463" s="792"/>
      <c r="L463" s="792"/>
      <c r="M463" s="792"/>
      <c r="N463" s="792"/>
      <c r="O463" s="792"/>
      <c r="P463" s="792"/>
      <c r="Q463" s="792"/>
      <c r="R463" s="792"/>
      <c r="S463" s="792"/>
      <c r="T463" s="792"/>
      <c r="U463" s="792"/>
      <c r="V463" s="793"/>
      <c r="W463" s="792"/>
      <c r="X463" s="792"/>
      <c r="Y463" s="792"/>
      <c r="Z463" s="792"/>
      <c r="AA463" s="792"/>
    </row>
    <row r="464" spans="1:27" ht="15.75" customHeight="1">
      <c r="A464" s="792"/>
      <c r="B464" s="792"/>
      <c r="C464" s="792"/>
      <c r="D464" s="792"/>
      <c r="E464" s="792"/>
      <c r="F464" s="792"/>
      <c r="G464" s="792"/>
      <c r="H464" s="792"/>
      <c r="I464" s="792"/>
      <c r="J464" s="792"/>
      <c r="K464" s="792"/>
      <c r="L464" s="792"/>
      <c r="M464" s="792"/>
      <c r="N464" s="792"/>
      <c r="O464" s="792"/>
      <c r="P464" s="792"/>
      <c r="Q464" s="792"/>
      <c r="R464" s="792"/>
      <c r="S464" s="792"/>
      <c r="T464" s="792"/>
      <c r="U464" s="792"/>
      <c r="V464" s="793"/>
      <c r="W464" s="792"/>
      <c r="X464" s="792"/>
      <c r="Y464" s="792"/>
      <c r="Z464" s="792"/>
      <c r="AA464" s="792"/>
    </row>
    <row r="465" spans="1:27" ht="15.75" customHeight="1">
      <c r="A465" s="792"/>
      <c r="B465" s="792"/>
      <c r="C465" s="792"/>
      <c r="D465" s="792"/>
      <c r="E465" s="792"/>
      <c r="F465" s="792"/>
      <c r="G465" s="792"/>
      <c r="H465" s="792"/>
      <c r="I465" s="792"/>
      <c r="J465" s="792"/>
      <c r="K465" s="792"/>
      <c r="L465" s="792"/>
      <c r="M465" s="792"/>
      <c r="N465" s="792"/>
      <c r="O465" s="792"/>
      <c r="P465" s="792"/>
      <c r="Q465" s="792"/>
      <c r="R465" s="792"/>
      <c r="S465" s="792"/>
      <c r="T465" s="792"/>
      <c r="U465" s="792"/>
      <c r="V465" s="793"/>
      <c r="W465" s="792"/>
      <c r="X465" s="792"/>
      <c r="Y465" s="792"/>
      <c r="Z465" s="792"/>
      <c r="AA465" s="792"/>
    </row>
    <row r="466" spans="1:27" ht="15.75" customHeight="1">
      <c r="A466" s="792"/>
      <c r="B466" s="792"/>
      <c r="C466" s="792"/>
      <c r="D466" s="792"/>
      <c r="E466" s="792"/>
      <c r="F466" s="792"/>
      <c r="G466" s="792"/>
      <c r="H466" s="792"/>
      <c r="I466" s="792"/>
      <c r="J466" s="792"/>
      <c r="K466" s="792"/>
      <c r="L466" s="792"/>
      <c r="M466" s="792"/>
      <c r="N466" s="792"/>
      <c r="O466" s="792"/>
      <c r="P466" s="792"/>
      <c r="Q466" s="792"/>
      <c r="R466" s="792"/>
      <c r="S466" s="792"/>
      <c r="T466" s="792"/>
      <c r="U466" s="792"/>
      <c r="V466" s="793"/>
      <c r="W466" s="792"/>
      <c r="X466" s="792"/>
      <c r="Y466" s="792"/>
      <c r="Z466" s="792"/>
      <c r="AA466" s="792"/>
    </row>
    <row r="467" spans="1:27" ht="15.75" customHeight="1">
      <c r="A467" s="792"/>
      <c r="B467" s="792"/>
      <c r="C467" s="792"/>
      <c r="D467" s="792"/>
      <c r="E467" s="792"/>
      <c r="F467" s="792"/>
      <c r="G467" s="792"/>
      <c r="H467" s="792"/>
      <c r="I467" s="792"/>
      <c r="J467" s="792"/>
      <c r="K467" s="792"/>
      <c r="L467" s="792"/>
      <c r="M467" s="792"/>
      <c r="N467" s="792"/>
      <c r="O467" s="792"/>
      <c r="P467" s="792"/>
      <c r="Q467" s="792"/>
      <c r="R467" s="792"/>
      <c r="S467" s="792"/>
      <c r="T467" s="792"/>
      <c r="U467" s="792"/>
      <c r="V467" s="793"/>
      <c r="W467" s="792"/>
      <c r="X467" s="792"/>
      <c r="Y467" s="792"/>
      <c r="Z467" s="792"/>
      <c r="AA467" s="792"/>
    </row>
    <row r="468" spans="1:27" ht="15.75" customHeight="1">
      <c r="A468" s="792"/>
      <c r="B468" s="792"/>
      <c r="C468" s="792"/>
      <c r="D468" s="792"/>
      <c r="E468" s="792"/>
      <c r="F468" s="792"/>
      <c r="G468" s="792"/>
      <c r="H468" s="792"/>
      <c r="I468" s="792"/>
      <c r="J468" s="792"/>
      <c r="K468" s="792"/>
      <c r="L468" s="792"/>
      <c r="M468" s="792"/>
      <c r="N468" s="792"/>
      <c r="O468" s="792"/>
      <c r="P468" s="792"/>
      <c r="Q468" s="792"/>
      <c r="R468" s="792"/>
      <c r="S468" s="792"/>
      <c r="T468" s="792"/>
      <c r="U468" s="792"/>
      <c r="V468" s="793"/>
      <c r="W468" s="792"/>
      <c r="X468" s="792"/>
      <c r="Y468" s="792"/>
      <c r="Z468" s="792"/>
      <c r="AA468" s="792"/>
    </row>
    <row r="469" spans="1:27" ht="15.75" customHeight="1">
      <c r="A469" s="792"/>
      <c r="B469" s="792"/>
      <c r="C469" s="792"/>
      <c r="D469" s="792"/>
      <c r="E469" s="792"/>
      <c r="F469" s="792"/>
      <c r="G469" s="792"/>
      <c r="H469" s="792"/>
      <c r="I469" s="792"/>
      <c r="J469" s="792"/>
      <c r="K469" s="792"/>
      <c r="L469" s="792"/>
      <c r="M469" s="792"/>
      <c r="N469" s="792"/>
      <c r="O469" s="792"/>
      <c r="P469" s="792"/>
      <c r="Q469" s="792"/>
      <c r="R469" s="792"/>
      <c r="S469" s="792"/>
      <c r="T469" s="792"/>
      <c r="U469" s="792"/>
      <c r="V469" s="793"/>
      <c r="W469" s="792"/>
      <c r="X469" s="792"/>
      <c r="Y469" s="792"/>
      <c r="Z469" s="792"/>
      <c r="AA469" s="792"/>
    </row>
    <row r="470" spans="1:27" ht="15.75" customHeight="1">
      <c r="A470" s="792"/>
      <c r="B470" s="792"/>
      <c r="C470" s="792"/>
      <c r="D470" s="792"/>
      <c r="E470" s="792"/>
      <c r="F470" s="792"/>
      <c r="G470" s="792"/>
      <c r="H470" s="792"/>
      <c r="I470" s="792"/>
      <c r="J470" s="792"/>
      <c r="K470" s="792"/>
      <c r="L470" s="792"/>
      <c r="M470" s="792"/>
      <c r="N470" s="792"/>
      <c r="O470" s="792"/>
      <c r="P470" s="792"/>
      <c r="Q470" s="792"/>
      <c r="R470" s="792"/>
      <c r="S470" s="792"/>
      <c r="T470" s="792"/>
      <c r="U470" s="792"/>
      <c r="V470" s="793"/>
      <c r="W470" s="792"/>
      <c r="X470" s="792"/>
      <c r="Y470" s="792"/>
      <c r="Z470" s="792"/>
      <c r="AA470" s="792"/>
    </row>
    <row r="471" spans="1:27" ht="15.75" customHeight="1">
      <c r="A471" s="792"/>
      <c r="B471" s="792"/>
      <c r="C471" s="792"/>
      <c r="D471" s="792"/>
      <c r="E471" s="792"/>
      <c r="F471" s="792"/>
      <c r="G471" s="792"/>
      <c r="H471" s="792"/>
      <c r="I471" s="792"/>
      <c r="J471" s="792"/>
      <c r="K471" s="792"/>
      <c r="L471" s="792"/>
      <c r="M471" s="792"/>
      <c r="N471" s="792"/>
      <c r="O471" s="792"/>
      <c r="P471" s="792"/>
      <c r="Q471" s="792"/>
      <c r="R471" s="792"/>
      <c r="S471" s="792"/>
      <c r="T471" s="792"/>
      <c r="U471" s="792"/>
      <c r="V471" s="793"/>
      <c r="W471" s="792"/>
      <c r="X471" s="792"/>
      <c r="Y471" s="792"/>
      <c r="Z471" s="792"/>
      <c r="AA471" s="792"/>
    </row>
    <row r="472" spans="1:27" ht="15.75" customHeight="1">
      <c r="A472" s="792"/>
      <c r="B472" s="792"/>
      <c r="C472" s="792"/>
      <c r="D472" s="792"/>
      <c r="E472" s="792"/>
      <c r="F472" s="792"/>
      <c r="G472" s="792"/>
      <c r="H472" s="792"/>
      <c r="I472" s="792"/>
      <c r="J472" s="792"/>
      <c r="K472" s="792"/>
      <c r="L472" s="792"/>
      <c r="M472" s="792"/>
      <c r="N472" s="792"/>
      <c r="O472" s="792"/>
      <c r="P472" s="792"/>
      <c r="Q472" s="792"/>
      <c r="R472" s="792"/>
      <c r="S472" s="792"/>
      <c r="T472" s="792"/>
      <c r="U472" s="792"/>
      <c r="V472" s="793"/>
      <c r="W472" s="792"/>
      <c r="X472" s="792"/>
      <c r="Y472" s="792"/>
      <c r="Z472" s="792"/>
      <c r="AA472" s="792"/>
    </row>
    <row r="473" spans="1:27" ht="15.75" customHeight="1">
      <c r="A473" s="792"/>
      <c r="B473" s="792"/>
      <c r="C473" s="792"/>
      <c r="D473" s="792"/>
      <c r="E473" s="792"/>
      <c r="F473" s="792"/>
      <c r="G473" s="792"/>
      <c r="H473" s="792"/>
      <c r="I473" s="792"/>
      <c r="J473" s="792"/>
      <c r="K473" s="792"/>
      <c r="L473" s="792"/>
      <c r="M473" s="792"/>
      <c r="N473" s="792"/>
      <c r="O473" s="792"/>
      <c r="P473" s="792"/>
      <c r="Q473" s="792"/>
      <c r="R473" s="792"/>
      <c r="S473" s="792"/>
      <c r="T473" s="792"/>
      <c r="U473" s="792"/>
      <c r="V473" s="793"/>
      <c r="W473" s="792"/>
      <c r="X473" s="792"/>
      <c r="Y473" s="792"/>
      <c r="Z473" s="792"/>
      <c r="AA473" s="792"/>
    </row>
    <row r="474" spans="1:27" ht="15.75" customHeight="1">
      <c r="A474" s="792"/>
      <c r="B474" s="792"/>
      <c r="C474" s="792"/>
      <c r="D474" s="792"/>
      <c r="E474" s="792"/>
      <c r="F474" s="792"/>
      <c r="G474" s="792"/>
      <c r="H474" s="792"/>
      <c r="I474" s="792"/>
      <c r="J474" s="792"/>
      <c r="K474" s="792"/>
      <c r="L474" s="792"/>
      <c r="M474" s="792"/>
      <c r="N474" s="792"/>
      <c r="O474" s="792"/>
      <c r="P474" s="792"/>
      <c r="Q474" s="792"/>
      <c r="R474" s="792"/>
      <c r="S474" s="792"/>
      <c r="T474" s="792"/>
      <c r="U474" s="792"/>
      <c r="V474" s="793"/>
      <c r="W474" s="792"/>
      <c r="X474" s="792"/>
      <c r="Y474" s="792"/>
      <c r="Z474" s="792"/>
      <c r="AA474" s="792"/>
    </row>
    <row r="475" spans="1:27" ht="15.75" customHeight="1">
      <c r="A475" s="792"/>
      <c r="B475" s="792"/>
      <c r="C475" s="792"/>
      <c r="D475" s="792"/>
      <c r="E475" s="792"/>
      <c r="F475" s="792"/>
      <c r="G475" s="792"/>
      <c r="H475" s="792"/>
      <c r="I475" s="792"/>
      <c r="J475" s="792"/>
      <c r="K475" s="792"/>
      <c r="L475" s="792"/>
      <c r="M475" s="792"/>
      <c r="N475" s="792"/>
      <c r="O475" s="792"/>
      <c r="P475" s="792"/>
      <c r="Q475" s="792"/>
      <c r="R475" s="792"/>
      <c r="S475" s="792"/>
      <c r="T475" s="792"/>
      <c r="U475" s="792"/>
      <c r="V475" s="793"/>
      <c r="W475" s="792"/>
      <c r="X475" s="792"/>
      <c r="Y475" s="792"/>
      <c r="Z475" s="792"/>
      <c r="AA475" s="792"/>
    </row>
    <row r="476" spans="1:27" ht="15.75" customHeight="1">
      <c r="A476" s="792"/>
      <c r="B476" s="792"/>
      <c r="C476" s="792"/>
      <c r="D476" s="792"/>
      <c r="E476" s="792"/>
      <c r="F476" s="792"/>
      <c r="G476" s="792"/>
      <c r="H476" s="792"/>
      <c r="I476" s="792"/>
      <c r="J476" s="792"/>
      <c r="K476" s="792"/>
      <c r="L476" s="792"/>
      <c r="M476" s="792"/>
      <c r="N476" s="792"/>
      <c r="O476" s="792"/>
      <c r="P476" s="792"/>
      <c r="Q476" s="792"/>
      <c r="R476" s="792"/>
      <c r="S476" s="792"/>
      <c r="T476" s="792"/>
      <c r="U476" s="792"/>
      <c r="V476" s="793"/>
      <c r="W476" s="792"/>
      <c r="X476" s="792"/>
      <c r="Y476" s="792"/>
      <c r="Z476" s="792"/>
      <c r="AA476" s="792"/>
    </row>
    <row r="477" spans="1:27" ht="15.75" customHeight="1">
      <c r="A477" s="792"/>
      <c r="B477" s="792"/>
      <c r="C477" s="792"/>
      <c r="D477" s="792"/>
      <c r="E477" s="792"/>
      <c r="F477" s="792"/>
      <c r="G477" s="792"/>
      <c r="H477" s="792"/>
      <c r="I477" s="792"/>
      <c r="J477" s="792"/>
      <c r="K477" s="792"/>
      <c r="L477" s="792"/>
      <c r="M477" s="792"/>
      <c r="N477" s="792"/>
      <c r="O477" s="792"/>
      <c r="P477" s="792"/>
      <c r="Q477" s="792"/>
      <c r="R477" s="792"/>
      <c r="S477" s="792"/>
      <c r="T477" s="792"/>
      <c r="U477" s="792"/>
      <c r="V477" s="793"/>
      <c r="W477" s="792"/>
      <c r="X477" s="792"/>
      <c r="Y477" s="792"/>
      <c r="Z477" s="792"/>
      <c r="AA477" s="792"/>
    </row>
    <row r="478" spans="1:27" ht="15.75" customHeight="1">
      <c r="A478" s="792"/>
      <c r="B478" s="792"/>
      <c r="C478" s="792"/>
      <c r="D478" s="792"/>
      <c r="E478" s="792"/>
      <c r="F478" s="792"/>
      <c r="G478" s="792"/>
      <c r="H478" s="792"/>
      <c r="I478" s="792"/>
      <c r="J478" s="792"/>
      <c r="K478" s="792"/>
      <c r="L478" s="792"/>
      <c r="M478" s="792"/>
      <c r="N478" s="792"/>
      <c r="O478" s="792"/>
      <c r="P478" s="792"/>
      <c r="Q478" s="792"/>
      <c r="R478" s="792"/>
      <c r="S478" s="792"/>
      <c r="T478" s="792"/>
      <c r="U478" s="792"/>
      <c r="V478" s="793"/>
      <c r="W478" s="792"/>
      <c r="X478" s="792"/>
      <c r="Y478" s="792"/>
      <c r="Z478" s="792"/>
      <c r="AA478" s="792"/>
    </row>
    <row r="479" spans="1:27" ht="15.75" customHeight="1">
      <c r="A479" s="792"/>
      <c r="B479" s="792"/>
      <c r="C479" s="792"/>
      <c r="D479" s="792"/>
      <c r="E479" s="792"/>
      <c r="F479" s="792"/>
      <c r="G479" s="792"/>
      <c r="H479" s="792"/>
      <c r="I479" s="792"/>
      <c r="J479" s="792"/>
      <c r="K479" s="792"/>
      <c r="L479" s="792"/>
      <c r="M479" s="792"/>
      <c r="N479" s="792"/>
      <c r="O479" s="792"/>
      <c r="P479" s="792"/>
      <c r="Q479" s="792"/>
      <c r="R479" s="792"/>
      <c r="S479" s="792"/>
      <c r="T479" s="792"/>
      <c r="U479" s="792"/>
      <c r="V479" s="793"/>
      <c r="W479" s="792"/>
      <c r="X479" s="792"/>
      <c r="Y479" s="792"/>
      <c r="Z479" s="792"/>
      <c r="AA479" s="792"/>
    </row>
    <row r="480" spans="1:27" ht="15.75" customHeight="1">
      <c r="A480" s="792"/>
      <c r="B480" s="792"/>
      <c r="C480" s="792"/>
      <c r="D480" s="792"/>
      <c r="E480" s="792"/>
      <c r="F480" s="792"/>
      <c r="G480" s="792"/>
      <c r="H480" s="792"/>
      <c r="I480" s="792"/>
      <c r="J480" s="792"/>
      <c r="K480" s="792"/>
      <c r="L480" s="792"/>
      <c r="M480" s="792"/>
      <c r="N480" s="792"/>
      <c r="O480" s="792"/>
      <c r="P480" s="792"/>
      <c r="Q480" s="792"/>
      <c r="R480" s="792"/>
      <c r="S480" s="792"/>
      <c r="T480" s="792"/>
      <c r="U480" s="792"/>
      <c r="V480" s="793"/>
      <c r="W480" s="792"/>
      <c r="X480" s="792"/>
      <c r="Y480" s="792"/>
      <c r="Z480" s="792"/>
      <c r="AA480" s="792"/>
    </row>
    <row r="481" spans="1:27" ht="15.75" customHeight="1">
      <c r="A481" s="792"/>
      <c r="B481" s="792"/>
      <c r="C481" s="792"/>
      <c r="D481" s="792"/>
      <c r="E481" s="792"/>
      <c r="F481" s="792"/>
      <c r="G481" s="792"/>
      <c r="H481" s="792"/>
      <c r="I481" s="792"/>
      <c r="J481" s="792"/>
      <c r="K481" s="792"/>
      <c r="L481" s="792"/>
      <c r="M481" s="792"/>
      <c r="N481" s="792"/>
      <c r="O481" s="792"/>
      <c r="P481" s="792"/>
      <c r="Q481" s="792"/>
      <c r="R481" s="792"/>
      <c r="S481" s="792"/>
      <c r="T481" s="792"/>
      <c r="U481" s="792"/>
      <c r="V481" s="793"/>
      <c r="W481" s="792"/>
      <c r="X481" s="792"/>
      <c r="Y481" s="792"/>
      <c r="Z481" s="792"/>
      <c r="AA481" s="792"/>
    </row>
    <row r="482" spans="1:27" ht="15.75" customHeight="1">
      <c r="A482" s="792"/>
      <c r="B482" s="792"/>
      <c r="C482" s="792"/>
      <c r="D482" s="792"/>
      <c r="E482" s="792"/>
      <c r="F482" s="792"/>
      <c r="G482" s="792"/>
      <c r="H482" s="792"/>
      <c r="I482" s="792"/>
      <c r="J482" s="792"/>
      <c r="K482" s="792"/>
      <c r="L482" s="792"/>
      <c r="M482" s="792"/>
      <c r="N482" s="792"/>
      <c r="O482" s="792"/>
      <c r="P482" s="792"/>
      <c r="Q482" s="792"/>
      <c r="R482" s="792"/>
      <c r="S482" s="792"/>
      <c r="T482" s="792"/>
      <c r="U482" s="792"/>
      <c r="V482" s="793"/>
      <c r="W482" s="792"/>
      <c r="X482" s="792"/>
      <c r="Y482" s="792"/>
      <c r="Z482" s="792"/>
      <c r="AA482" s="792"/>
    </row>
    <row r="483" spans="1:27" ht="15.75" customHeight="1">
      <c r="A483" s="792"/>
      <c r="B483" s="792"/>
      <c r="C483" s="792"/>
      <c r="D483" s="792"/>
      <c r="E483" s="792"/>
      <c r="F483" s="792"/>
      <c r="G483" s="792"/>
      <c r="H483" s="792"/>
      <c r="I483" s="792"/>
      <c r="J483" s="792"/>
      <c r="K483" s="792"/>
      <c r="L483" s="792"/>
      <c r="M483" s="792"/>
      <c r="N483" s="792"/>
      <c r="O483" s="792"/>
      <c r="P483" s="792"/>
      <c r="Q483" s="792"/>
      <c r="R483" s="792"/>
      <c r="S483" s="792"/>
      <c r="T483" s="792"/>
      <c r="U483" s="792"/>
      <c r="V483" s="793"/>
      <c r="W483" s="792"/>
      <c r="X483" s="792"/>
      <c r="Y483" s="792"/>
      <c r="Z483" s="792"/>
      <c r="AA483" s="792"/>
    </row>
    <row r="484" spans="1:27" ht="15.75" customHeight="1">
      <c r="A484" s="792"/>
      <c r="B484" s="792"/>
      <c r="C484" s="792"/>
      <c r="D484" s="792"/>
      <c r="E484" s="792"/>
      <c r="F484" s="792"/>
      <c r="G484" s="792"/>
      <c r="H484" s="792"/>
      <c r="I484" s="792"/>
      <c r="J484" s="792"/>
      <c r="K484" s="792"/>
      <c r="L484" s="792"/>
      <c r="M484" s="792"/>
      <c r="N484" s="792"/>
      <c r="O484" s="792"/>
      <c r="P484" s="792"/>
      <c r="Q484" s="792"/>
      <c r="R484" s="792"/>
      <c r="S484" s="792"/>
      <c r="T484" s="792"/>
      <c r="U484" s="792"/>
      <c r="V484" s="793"/>
      <c r="W484" s="792"/>
      <c r="X484" s="792"/>
      <c r="Y484" s="792"/>
      <c r="Z484" s="792"/>
      <c r="AA484" s="792"/>
    </row>
    <row r="485" spans="1:27" ht="15.75" customHeight="1">
      <c r="A485" s="792"/>
      <c r="B485" s="792"/>
      <c r="C485" s="792"/>
      <c r="D485" s="792"/>
      <c r="E485" s="792"/>
      <c r="F485" s="792"/>
      <c r="G485" s="792"/>
      <c r="H485" s="792"/>
      <c r="I485" s="792"/>
      <c r="J485" s="792"/>
      <c r="K485" s="792"/>
      <c r="L485" s="792"/>
      <c r="M485" s="792"/>
      <c r="N485" s="792"/>
      <c r="O485" s="792"/>
      <c r="P485" s="792"/>
      <c r="Q485" s="792"/>
      <c r="R485" s="792"/>
      <c r="S485" s="792"/>
      <c r="T485" s="792"/>
      <c r="U485" s="792"/>
      <c r="V485" s="793"/>
      <c r="W485" s="792"/>
      <c r="X485" s="792"/>
      <c r="Y485" s="792"/>
      <c r="Z485" s="792"/>
      <c r="AA485" s="792"/>
    </row>
    <row r="486" spans="1:27" ht="15.75" customHeight="1">
      <c r="A486" s="792"/>
      <c r="B486" s="792"/>
      <c r="C486" s="792"/>
      <c r="D486" s="792"/>
      <c r="E486" s="792"/>
      <c r="F486" s="792"/>
      <c r="G486" s="792"/>
      <c r="H486" s="792"/>
      <c r="I486" s="792"/>
      <c r="J486" s="792"/>
      <c r="K486" s="792"/>
      <c r="L486" s="792"/>
      <c r="M486" s="792"/>
      <c r="N486" s="792"/>
      <c r="O486" s="792"/>
      <c r="P486" s="792"/>
      <c r="Q486" s="792"/>
      <c r="R486" s="792"/>
      <c r="S486" s="792"/>
      <c r="T486" s="792"/>
      <c r="U486" s="792"/>
      <c r="V486" s="793"/>
      <c r="W486" s="792"/>
      <c r="X486" s="792"/>
      <c r="Y486" s="792"/>
      <c r="Z486" s="792"/>
      <c r="AA486" s="792"/>
    </row>
    <row r="487" spans="1:27" ht="15.75" customHeight="1">
      <c r="A487" s="792"/>
      <c r="B487" s="792"/>
      <c r="C487" s="792"/>
      <c r="D487" s="792"/>
      <c r="E487" s="792"/>
      <c r="F487" s="792"/>
      <c r="G487" s="792"/>
      <c r="H487" s="792"/>
      <c r="I487" s="792"/>
      <c r="J487" s="792"/>
      <c r="K487" s="792"/>
      <c r="L487" s="792"/>
      <c r="M487" s="792"/>
      <c r="N487" s="792"/>
      <c r="O487" s="792"/>
      <c r="P487" s="792"/>
      <c r="Q487" s="792"/>
      <c r="R487" s="792"/>
      <c r="S487" s="792"/>
      <c r="T487" s="792"/>
      <c r="U487" s="792"/>
      <c r="V487" s="793"/>
      <c r="W487" s="792"/>
      <c r="X487" s="792"/>
      <c r="Y487" s="792"/>
      <c r="Z487" s="792"/>
      <c r="AA487" s="792"/>
    </row>
    <row r="488" spans="1:27" ht="15.75" customHeight="1">
      <c r="A488" s="792"/>
      <c r="B488" s="792"/>
      <c r="C488" s="792"/>
      <c r="D488" s="792"/>
      <c r="E488" s="792"/>
      <c r="F488" s="792"/>
      <c r="G488" s="792"/>
      <c r="H488" s="792"/>
      <c r="I488" s="792"/>
      <c r="J488" s="792"/>
      <c r="K488" s="792"/>
      <c r="L488" s="792"/>
      <c r="M488" s="792"/>
      <c r="N488" s="792"/>
      <c r="O488" s="792"/>
      <c r="P488" s="792"/>
      <c r="Q488" s="792"/>
      <c r="R488" s="792"/>
      <c r="S488" s="792"/>
      <c r="T488" s="792"/>
      <c r="U488" s="792"/>
      <c r="V488" s="793"/>
      <c r="W488" s="792"/>
      <c r="X488" s="792"/>
      <c r="Y488" s="792"/>
      <c r="Z488" s="792"/>
      <c r="AA488" s="792"/>
    </row>
    <row r="489" spans="1:27" ht="15.75" customHeight="1">
      <c r="A489" s="792"/>
      <c r="B489" s="792"/>
      <c r="C489" s="792"/>
      <c r="D489" s="792"/>
      <c r="E489" s="792"/>
      <c r="F489" s="792"/>
      <c r="G489" s="792"/>
      <c r="H489" s="792"/>
      <c r="I489" s="792"/>
      <c r="J489" s="792"/>
      <c r="K489" s="792"/>
      <c r="L489" s="792"/>
      <c r="M489" s="792"/>
      <c r="N489" s="792"/>
      <c r="O489" s="792"/>
      <c r="P489" s="792"/>
      <c r="Q489" s="792"/>
      <c r="R489" s="792"/>
      <c r="S489" s="792"/>
      <c r="T489" s="792"/>
      <c r="U489" s="792"/>
      <c r="V489" s="793"/>
      <c r="W489" s="792"/>
      <c r="X489" s="792"/>
      <c r="Y489" s="792"/>
      <c r="Z489" s="792"/>
      <c r="AA489" s="792"/>
    </row>
    <row r="490" spans="1:27" ht="15.75" customHeight="1">
      <c r="A490" s="792"/>
      <c r="B490" s="792"/>
      <c r="C490" s="792"/>
      <c r="D490" s="792"/>
      <c r="E490" s="792"/>
      <c r="F490" s="792"/>
      <c r="G490" s="792"/>
      <c r="H490" s="792"/>
      <c r="I490" s="792"/>
      <c r="J490" s="792"/>
      <c r="K490" s="792"/>
      <c r="L490" s="792"/>
      <c r="M490" s="792"/>
      <c r="N490" s="792"/>
      <c r="O490" s="792"/>
      <c r="P490" s="792"/>
      <c r="Q490" s="792"/>
      <c r="R490" s="792"/>
      <c r="S490" s="792"/>
      <c r="T490" s="792"/>
      <c r="U490" s="792"/>
      <c r="V490" s="793"/>
      <c r="W490" s="792"/>
      <c r="X490" s="792"/>
      <c r="Y490" s="792"/>
      <c r="Z490" s="792"/>
      <c r="AA490" s="792"/>
    </row>
    <row r="491" spans="1:27" ht="15.75" customHeight="1">
      <c r="A491" s="792"/>
      <c r="B491" s="792"/>
      <c r="C491" s="792"/>
      <c r="D491" s="792"/>
      <c r="E491" s="792"/>
      <c r="F491" s="792"/>
      <c r="G491" s="792"/>
      <c r="H491" s="792"/>
      <c r="I491" s="792"/>
      <c r="J491" s="792"/>
      <c r="K491" s="792"/>
      <c r="L491" s="792"/>
      <c r="M491" s="792"/>
      <c r="N491" s="792"/>
      <c r="O491" s="792"/>
      <c r="P491" s="792"/>
      <c r="Q491" s="792"/>
      <c r="R491" s="792"/>
      <c r="S491" s="792"/>
      <c r="T491" s="792"/>
      <c r="U491" s="792"/>
      <c r="V491" s="793"/>
      <c r="W491" s="792"/>
      <c r="X491" s="792"/>
      <c r="Y491" s="792"/>
      <c r="Z491" s="792"/>
      <c r="AA491" s="792"/>
    </row>
    <row r="492" spans="1:27" ht="15.75" customHeight="1">
      <c r="A492" s="792"/>
      <c r="B492" s="792"/>
      <c r="C492" s="792"/>
      <c r="D492" s="792"/>
      <c r="E492" s="792"/>
      <c r="F492" s="792"/>
      <c r="G492" s="792"/>
      <c r="H492" s="792"/>
      <c r="I492" s="792"/>
      <c r="J492" s="792"/>
      <c r="K492" s="792"/>
      <c r="L492" s="792"/>
      <c r="M492" s="792"/>
      <c r="N492" s="792"/>
      <c r="O492" s="792"/>
      <c r="P492" s="792"/>
      <c r="Q492" s="792"/>
      <c r="R492" s="792"/>
      <c r="S492" s="792"/>
      <c r="T492" s="792"/>
      <c r="U492" s="792"/>
      <c r="V492" s="793"/>
      <c r="W492" s="792"/>
      <c r="X492" s="792"/>
      <c r="Y492" s="792"/>
      <c r="Z492" s="792"/>
      <c r="AA492" s="792"/>
    </row>
    <row r="493" spans="1:27" ht="15.75" customHeight="1">
      <c r="A493" s="792"/>
      <c r="B493" s="792"/>
      <c r="C493" s="792"/>
      <c r="D493" s="792"/>
      <c r="E493" s="792"/>
      <c r="F493" s="792"/>
      <c r="G493" s="792"/>
      <c r="H493" s="792"/>
      <c r="I493" s="792"/>
      <c r="J493" s="792"/>
      <c r="K493" s="792"/>
      <c r="L493" s="792"/>
      <c r="M493" s="792"/>
      <c r="N493" s="792"/>
      <c r="O493" s="792"/>
      <c r="P493" s="792"/>
      <c r="Q493" s="792"/>
      <c r="R493" s="792"/>
      <c r="S493" s="792"/>
      <c r="T493" s="792"/>
      <c r="U493" s="792"/>
      <c r="V493" s="793"/>
      <c r="W493" s="792"/>
      <c r="X493" s="792"/>
      <c r="Y493" s="792"/>
      <c r="Z493" s="792"/>
      <c r="AA493" s="792"/>
    </row>
    <row r="494" spans="1:27" ht="15.75" customHeight="1">
      <c r="A494" s="792"/>
      <c r="B494" s="792"/>
      <c r="C494" s="792"/>
      <c r="D494" s="792"/>
      <c r="E494" s="792"/>
      <c r="F494" s="792"/>
      <c r="G494" s="792"/>
      <c r="H494" s="792"/>
      <c r="I494" s="792"/>
      <c r="J494" s="792"/>
      <c r="K494" s="792"/>
      <c r="L494" s="792"/>
      <c r="M494" s="792"/>
      <c r="N494" s="792"/>
      <c r="O494" s="792"/>
      <c r="P494" s="792"/>
      <c r="Q494" s="792"/>
      <c r="R494" s="792"/>
      <c r="S494" s="792"/>
      <c r="T494" s="792"/>
      <c r="U494" s="792"/>
      <c r="V494" s="793"/>
      <c r="W494" s="792"/>
      <c r="X494" s="792"/>
      <c r="Y494" s="792"/>
      <c r="Z494" s="792"/>
      <c r="AA494" s="792"/>
    </row>
    <row r="495" spans="1:27" ht="15.75" customHeight="1">
      <c r="A495" s="792"/>
      <c r="B495" s="792"/>
      <c r="C495" s="792"/>
      <c r="D495" s="792"/>
      <c r="E495" s="792"/>
      <c r="F495" s="792"/>
      <c r="G495" s="792"/>
      <c r="H495" s="792"/>
      <c r="I495" s="792"/>
      <c r="J495" s="792"/>
      <c r="K495" s="792"/>
      <c r="L495" s="792"/>
      <c r="M495" s="792"/>
      <c r="N495" s="792"/>
      <c r="O495" s="792"/>
      <c r="P495" s="792"/>
      <c r="Q495" s="792"/>
      <c r="R495" s="792"/>
      <c r="S495" s="792"/>
      <c r="T495" s="792"/>
      <c r="U495" s="792"/>
      <c r="V495" s="793"/>
      <c r="W495" s="792"/>
      <c r="X495" s="792"/>
      <c r="Y495" s="792"/>
      <c r="Z495" s="792"/>
      <c r="AA495" s="792"/>
    </row>
    <row r="496" spans="1:27" ht="15.75" customHeight="1">
      <c r="A496" s="792"/>
      <c r="B496" s="792"/>
      <c r="C496" s="792"/>
      <c r="D496" s="792"/>
      <c r="E496" s="792"/>
      <c r="F496" s="792"/>
      <c r="G496" s="792"/>
      <c r="H496" s="792"/>
      <c r="I496" s="792"/>
      <c r="J496" s="792"/>
      <c r="K496" s="792"/>
      <c r="L496" s="792"/>
      <c r="M496" s="792"/>
      <c r="N496" s="792"/>
      <c r="O496" s="792"/>
      <c r="P496" s="792"/>
      <c r="Q496" s="792"/>
      <c r="R496" s="792"/>
      <c r="S496" s="792"/>
      <c r="T496" s="792"/>
      <c r="U496" s="792"/>
      <c r="V496" s="793"/>
      <c r="W496" s="792"/>
      <c r="X496" s="792"/>
      <c r="Y496" s="792"/>
      <c r="Z496" s="792"/>
      <c r="AA496" s="792"/>
    </row>
    <row r="497" spans="1:27" ht="15.75" customHeight="1">
      <c r="A497" s="792"/>
      <c r="B497" s="792"/>
      <c r="C497" s="792"/>
      <c r="D497" s="792"/>
      <c r="E497" s="792"/>
      <c r="F497" s="792"/>
      <c r="G497" s="792"/>
      <c r="H497" s="792"/>
      <c r="I497" s="792"/>
      <c r="J497" s="792"/>
      <c r="K497" s="792"/>
      <c r="L497" s="792"/>
      <c r="M497" s="792"/>
      <c r="N497" s="792"/>
      <c r="O497" s="792"/>
      <c r="P497" s="792"/>
      <c r="Q497" s="792"/>
      <c r="R497" s="792"/>
      <c r="S497" s="792"/>
      <c r="T497" s="792"/>
      <c r="U497" s="792"/>
      <c r="V497" s="793"/>
      <c r="W497" s="792"/>
      <c r="X497" s="792"/>
      <c r="Y497" s="792"/>
      <c r="Z497" s="792"/>
      <c r="AA497" s="792"/>
    </row>
    <row r="498" spans="1:27" ht="15.75" customHeight="1">
      <c r="A498" s="792"/>
      <c r="B498" s="792"/>
      <c r="C498" s="792"/>
      <c r="D498" s="792"/>
      <c r="E498" s="792"/>
      <c r="F498" s="792"/>
      <c r="G498" s="792"/>
      <c r="H498" s="792"/>
      <c r="I498" s="792"/>
      <c r="J498" s="792"/>
      <c r="K498" s="792"/>
      <c r="L498" s="792"/>
      <c r="M498" s="792"/>
      <c r="N498" s="792"/>
      <c r="O498" s="792"/>
      <c r="P498" s="792"/>
      <c r="Q498" s="792"/>
      <c r="R498" s="792"/>
      <c r="S498" s="792"/>
      <c r="T498" s="792"/>
      <c r="U498" s="792"/>
      <c r="V498" s="793"/>
      <c r="W498" s="792"/>
      <c r="X498" s="792"/>
      <c r="Y498" s="792"/>
      <c r="Z498" s="792"/>
      <c r="AA498" s="792"/>
    </row>
    <row r="499" spans="1:27" ht="15.75" customHeight="1">
      <c r="A499" s="792"/>
      <c r="B499" s="792"/>
      <c r="C499" s="792"/>
      <c r="D499" s="792"/>
      <c r="E499" s="792"/>
      <c r="F499" s="792"/>
      <c r="G499" s="792"/>
      <c r="H499" s="792"/>
      <c r="I499" s="792"/>
      <c r="J499" s="792"/>
      <c r="K499" s="792"/>
      <c r="L499" s="792"/>
      <c r="M499" s="792"/>
      <c r="N499" s="792"/>
      <c r="O499" s="792"/>
      <c r="P499" s="792"/>
      <c r="Q499" s="792"/>
      <c r="R499" s="792"/>
      <c r="S499" s="792"/>
      <c r="T499" s="792"/>
      <c r="U499" s="792"/>
      <c r="V499" s="793"/>
      <c r="W499" s="792"/>
      <c r="X499" s="792"/>
      <c r="Y499" s="792"/>
      <c r="Z499" s="792"/>
      <c r="AA499" s="792"/>
    </row>
    <row r="500" spans="1:27" ht="15.75" customHeight="1">
      <c r="A500" s="792"/>
      <c r="B500" s="792"/>
      <c r="C500" s="792"/>
      <c r="D500" s="792"/>
      <c r="E500" s="792"/>
      <c r="F500" s="792"/>
      <c r="G500" s="792"/>
      <c r="H500" s="792"/>
      <c r="I500" s="792"/>
      <c r="J500" s="792"/>
      <c r="K500" s="792"/>
      <c r="L500" s="792"/>
      <c r="M500" s="792"/>
      <c r="N500" s="792"/>
      <c r="O500" s="792"/>
      <c r="P500" s="792"/>
      <c r="Q500" s="792"/>
      <c r="R500" s="792"/>
      <c r="S500" s="792"/>
      <c r="T500" s="792"/>
      <c r="U500" s="792"/>
      <c r="V500" s="793"/>
      <c r="W500" s="792"/>
      <c r="X500" s="792"/>
      <c r="Y500" s="792"/>
      <c r="Z500" s="792"/>
      <c r="AA500" s="792"/>
    </row>
    <row r="501" spans="1:27" ht="15.75" customHeight="1">
      <c r="A501" s="792"/>
      <c r="B501" s="792"/>
      <c r="C501" s="792"/>
      <c r="D501" s="792"/>
      <c r="E501" s="792"/>
      <c r="F501" s="792"/>
      <c r="G501" s="792"/>
      <c r="H501" s="792"/>
      <c r="I501" s="792"/>
      <c r="J501" s="792"/>
      <c r="K501" s="792"/>
      <c r="L501" s="792"/>
      <c r="M501" s="792"/>
      <c r="N501" s="792"/>
      <c r="O501" s="792"/>
      <c r="P501" s="792"/>
      <c r="Q501" s="792"/>
      <c r="R501" s="792"/>
      <c r="S501" s="792"/>
      <c r="T501" s="792"/>
      <c r="U501" s="792"/>
      <c r="V501" s="793"/>
      <c r="W501" s="792"/>
      <c r="X501" s="792"/>
      <c r="Y501" s="792"/>
      <c r="Z501" s="792"/>
      <c r="AA501" s="792"/>
    </row>
    <row r="502" spans="1:27" ht="15.75" customHeight="1">
      <c r="A502" s="792"/>
      <c r="B502" s="792"/>
      <c r="C502" s="792"/>
      <c r="D502" s="792"/>
      <c r="E502" s="792"/>
      <c r="F502" s="792"/>
      <c r="G502" s="792"/>
      <c r="H502" s="792"/>
      <c r="I502" s="792"/>
      <c r="J502" s="792"/>
      <c r="K502" s="792"/>
      <c r="L502" s="792"/>
      <c r="M502" s="792"/>
      <c r="N502" s="792"/>
      <c r="O502" s="792"/>
      <c r="P502" s="792"/>
      <c r="Q502" s="792"/>
      <c r="R502" s="792"/>
      <c r="S502" s="792"/>
      <c r="T502" s="792"/>
      <c r="U502" s="792"/>
      <c r="V502" s="793"/>
      <c r="W502" s="792"/>
      <c r="X502" s="792"/>
      <c r="Y502" s="792"/>
      <c r="Z502" s="792"/>
      <c r="AA502" s="792"/>
    </row>
    <row r="503" spans="1:27" ht="15.75" customHeight="1">
      <c r="A503" s="792"/>
      <c r="B503" s="792"/>
      <c r="C503" s="792"/>
      <c r="D503" s="792"/>
      <c r="E503" s="792"/>
      <c r="F503" s="792"/>
      <c r="G503" s="792"/>
      <c r="H503" s="792"/>
      <c r="I503" s="792"/>
      <c r="J503" s="792"/>
      <c r="K503" s="792"/>
      <c r="L503" s="792"/>
      <c r="M503" s="792"/>
      <c r="N503" s="792"/>
      <c r="O503" s="792"/>
      <c r="P503" s="792"/>
      <c r="Q503" s="792"/>
      <c r="R503" s="792"/>
      <c r="S503" s="792"/>
      <c r="T503" s="792"/>
      <c r="U503" s="792"/>
      <c r="V503" s="793"/>
      <c r="W503" s="792"/>
      <c r="X503" s="792"/>
      <c r="Y503" s="792"/>
      <c r="Z503" s="792"/>
      <c r="AA503" s="792"/>
    </row>
    <row r="504" spans="1:27" ht="15.75" customHeight="1">
      <c r="A504" s="792"/>
      <c r="B504" s="792"/>
      <c r="C504" s="792"/>
      <c r="D504" s="792"/>
      <c r="E504" s="792"/>
      <c r="F504" s="792"/>
      <c r="G504" s="792"/>
      <c r="H504" s="792"/>
      <c r="I504" s="792"/>
      <c r="J504" s="792"/>
      <c r="K504" s="792"/>
      <c r="L504" s="792"/>
      <c r="M504" s="792"/>
      <c r="N504" s="792"/>
      <c r="O504" s="792"/>
      <c r="P504" s="792"/>
      <c r="Q504" s="792"/>
      <c r="R504" s="792"/>
      <c r="S504" s="792"/>
      <c r="T504" s="792"/>
      <c r="U504" s="792"/>
      <c r="V504" s="793"/>
      <c r="W504" s="792"/>
      <c r="X504" s="792"/>
      <c r="Y504" s="792"/>
      <c r="Z504" s="792"/>
      <c r="AA504" s="792"/>
    </row>
    <row r="505" spans="1:27" ht="15.75" customHeight="1">
      <c r="A505" s="792"/>
      <c r="B505" s="792"/>
      <c r="C505" s="792"/>
      <c r="D505" s="792"/>
      <c r="E505" s="792"/>
      <c r="F505" s="792"/>
      <c r="G505" s="792"/>
      <c r="H505" s="792"/>
      <c r="I505" s="792"/>
      <c r="J505" s="792"/>
      <c r="K505" s="792"/>
      <c r="L505" s="792"/>
      <c r="M505" s="792"/>
      <c r="N505" s="792"/>
      <c r="O505" s="792"/>
      <c r="P505" s="792"/>
      <c r="Q505" s="792"/>
      <c r="R505" s="792"/>
      <c r="S505" s="792"/>
      <c r="T505" s="792"/>
      <c r="U505" s="792"/>
      <c r="V505" s="793"/>
      <c r="W505" s="792"/>
      <c r="X505" s="792"/>
      <c r="Y505" s="792"/>
      <c r="Z505" s="792"/>
      <c r="AA505" s="792"/>
    </row>
    <row r="506" spans="1:27" ht="15.75" customHeight="1">
      <c r="A506" s="792"/>
      <c r="B506" s="792"/>
      <c r="C506" s="792"/>
      <c r="D506" s="792"/>
      <c r="E506" s="792"/>
      <c r="F506" s="792"/>
      <c r="G506" s="792"/>
      <c r="H506" s="792"/>
      <c r="I506" s="792"/>
      <c r="J506" s="792"/>
      <c r="K506" s="792"/>
      <c r="L506" s="792"/>
      <c r="M506" s="792"/>
      <c r="N506" s="792"/>
      <c r="O506" s="792"/>
      <c r="P506" s="792"/>
      <c r="Q506" s="792"/>
      <c r="R506" s="792"/>
      <c r="S506" s="792"/>
      <c r="T506" s="792"/>
      <c r="U506" s="792"/>
      <c r="V506" s="793"/>
      <c r="W506" s="792"/>
      <c r="X506" s="792"/>
      <c r="Y506" s="792"/>
      <c r="Z506" s="792"/>
      <c r="AA506" s="792"/>
    </row>
    <row r="507" spans="1:27" ht="15.75" customHeight="1">
      <c r="A507" s="792"/>
      <c r="B507" s="792"/>
      <c r="C507" s="792"/>
      <c r="D507" s="792"/>
      <c r="E507" s="792"/>
      <c r="F507" s="792"/>
      <c r="G507" s="792"/>
      <c r="H507" s="792"/>
      <c r="I507" s="792"/>
      <c r="J507" s="792"/>
      <c r="K507" s="792"/>
      <c r="L507" s="792"/>
      <c r="M507" s="792"/>
      <c r="N507" s="792"/>
      <c r="O507" s="792"/>
      <c r="P507" s="792"/>
      <c r="Q507" s="792"/>
      <c r="R507" s="792"/>
      <c r="S507" s="792"/>
      <c r="T507" s="792"/>
      <c r="U507" s="792"/>
      <c r="V507" s="793"/>
      <c r="W507" s="792"/>
      <c r="X507" s="792"/>
      <c r="Y507" s="792"/>
      <c r="Z507" s="792"/>
      <c r="AA507" s="792"/>
    </row>
    <row r="508" spans="1:27" ht="15.75" customHeight="1">
      <c r="A508" s="792"/>
      <c r="B508" s="792"/>
      <c r="C508" s="792"/>
      <c r="D508" s="792"/>
      <c r="E508" s="792"/>
      <c r="F508" s="792"/>
      <c r="G508" s="792"/>
      <c r="H508" s="792"/>
      <c r="I508" s="792"/>
      <c r="J508" s="792"/>
      <c r="K508" s="792"/>
      <c r="L508" s="792"/>
      <c r="M508" s="792"/>
      <c r="N508" s="792"/>
      <c r="O508" s="792"/>
      <c r="P508" s="792"/>
      <c r="Q508" s="792"/>
      <c r="R508" s="792"/>
      <c r="S508" s="792"/>
      <c r="T508" s="792"/>
      <c r="U508" s="792"/>
      <c r="V508" s="793"/>
      <c r="W508" s="792"/>
      <c r="X508" s="792"/>
      <c r="Y508" s="792"/>
      <c r="Z508" s="792"/>
      <c r="AA508" s="792"/>
    </row>
    <row r="509" spans="1:27" ht="15.75" customHeight="1">
      <c r="A509" s="792"/>
      <c r="B509" s="792"/>
      <c r="C509" s="792"/>
      <c r="D509" s="792"/>
      <c r="E509" s="792"/>
      <c r="F509" s="792"/>
      <c r="G509" s="792"/>
      <c r="H509" s="792"/>
      <c r="I509" s="792"/>
      <c r="J509" s="792"/>
      <c r="K509" s="792"/>
      <c r="L509" s="792"/>
      <c r="M509" s="792"/>
      <c r="N509" s="792"/>
      <c r="O509" s="792"/>
      <c r="P509" s="792"/>
      <c r="Q509" s="792"/>
      <c r="R509" s="792"/>
      <c r="S509" s="792"/>
      <c r="T509" s="792"/>
      <c r="U509" s="792"/>
      <c r="V509" s="793"/>
      <c r="W509" s="792"/>
      <c r="X509" s="792"/>
      <c r="Y509" s="792"/>
      <c r="Z509" s="792"/>
      <c r="AA509" s="792"/>
    </row>
    <row r="510" spans="1:27" ht="15.75" customHeight="1">
      <c r="A510" s="792"/>
      <c r="B510" s="792"/>
      <c r="C510" s="792"/>
      <c r="D510" s="792"/>
      <c r="E510" s="792"/>
      <c r="F510" s="792"/>
      <c r="G510" s="792"/>
      <c r="H510" s="792"/>
      <c r="I510" s="792"/>
      <c r="J510" s="792"/>
      <c r="K510" s="792"/>
      <c r="L510" s="792"/>
      <c r="M510" s="792"/>
      <c r="N510" s="792"/>
      <c r="O510" s="792"/>
      <c r="P510" s="792"/>
      <c r="Q510" s="792"/>
      <c r="R510" s="792"/>
      <c r="S510" s="792"/>
      <c r="T510" s="792"/>
      <c r="U510" s="792"/>
      <c r="V510" s="793"/>
      <c r="W510" s="792"/>
      <c r="X510" s="792"/>
      <c r="Y510" s="792"/>
      <c r="Z510" s="792"/>
      <c r="AA510" s="792"/>
    </row>
    <row r="511" spans="1:27" ht="15.75" customHeight="1">
      <c r="A511" s="792"/>
      <c r="B511" s="792"/>
      <c r="C511" s="792"/>
      <c r="D511" s="792"/>
      <c r="E511" s="792"/>
      <c r="F511" s="792"/>
      <c r="G511" s="792"/>
      <c r="H511" s="792"/>
      <c r="I511" s="792"/>
      <c r="J511" s="792"/>
      <c r="K511" s="792"/>
      <c r="L511" s="792"/>
      <c r="M511" s="792"/>
      <c r="N511" s="792"/>
      <c r="O511" s="792"/>
      <c r="P511" s="792"/>
      <c r="Q511" s="792"/>
      <c r="R511" s="792"/>
      <c r="S511" s="792"/>
      <c r="T511" s="792"/>
      <c r="U511" s="792"/>
      <c r="V511" s="793"/>
      <c r="W511" s="792"/>
      <c r="X511" s="792"/>
      <c r="Y511" s="792"/>
      <c r="Z511" s="792"/>
      <c r="AA511" s="792"/>
    </row>
    <row r="512" spans="1:27" ht="15.75" customHeight="1">
      <c r="A512" s="792"/>
      <c r="B512" s="792"/>
      <c r="C512" s="792"/>
      <c r="D512" s="792"/>
      <c r="E512" s="792"/>
      <c r="F512" s="792"/>
      <c r="G512" s="792"/>
      <c r="H512" s="792"/>
      <c r="I512" s="792"/>
      <c r="J512" s="792"/>
      <c r="K512" s="792"/>
      <c r="L512" s="792"/>
      <c r="M512" s="792"/>
      <c r="N512" s="792"/>
      <c r="O512" s="792"/>
      <c r="P512" s="792"/>
      <c r="Q512" s="792"/>
      <c r="R512" s="792"/>
      <c r="S512" s="792"/>
      <c r="T512" s="792"/>
      <c r="U512" s="792"/>
      <c r="V512" s="793"/>
      <c r="W512" s="792"/>
      <c r="X512" s="792"/>
      <c r="Y512" s="792"/>
      <c r="Z512" s="792"/>
      <c r="AA512" s="792"/>
    </row>
    <row r="513" spans="1:27" ht="15.75" customHeight="1">
      <c r="A513" s="792"/>
      <c r="B513" s="792"/>
      <c r="C513" s="792"/>
      <c r="D513" s="792"/>
      <c r="E513" s="792"/>
      <c r="F513" s="792"/>
      <c r="G513" s="792"/>
      <c r="H513" s="792"/>
      <c r="I513" s="792"/>
      <c r="J513" s="792"/>
      <c r="K513" s="792"/>
      <c r="L513" s="792"/>
      <c r="M513" s="792"/>
      <c r="N513" s="792"/>
      <c r="O513" s="792"/>
      <c r="P513" s="792"/>
      <c r="Q513" s="792"/>
      <c r="R513" s="792"/>
      <c r="S513" s="792"/>
      <c r="T513" s="792"/>
      <c r="U513" s="792"/>
      <c r="V513" s="793"/>
      <c r="W513" s="792"/>
      <c r="X513" s="792"/>
      <c r="Y513" s="792"/>
      <c r="Z513" s="792"/>
      <c r="AA513" s="792"/>
    </row>
    <row r="514" spans="1:27" ht="15.75" customHeight="1">
      <c r="A514" s="792"/>
      <c r="B514" s="792"/>
      <c r="C514" s="792"/>
      <c r="D514" s="792"/>
      <c r="E514" s="792"/>
      <c r="F514" s="792"/>
      <c r="G514" s="792"/>
      <c r="H514" s="792"/>
      <c r="I514" s="792"/>
      <c r="J514" s="792"/>
      <c r="K514" s="792"/>
      <c r="L514" s="792"/>
      <c r="M514" s="792"/>
      <c r="N514" s="792"/>
      <c r="O514" s="792"/>
      <c r="P514" s="792"/>
      <c r="Q514" s="792"/>
      <c r="R514" s="792"/>
      <c r="S514" s="792"/>
      <c r="T514" s="792"/>
      <c r="U514" s="792"/>
      <c r="V514" s="793"/>
      <c r="W514" s="792"/>
      <c r="X514" s="792"/>
      <c r="Y514" s="792"/>
      <c r="Z514" s="792"/>
      <c r="AA514" s="792"/>
    </row>
    <row r="515" spans="1:27" ht="15.75" customHeight="1">
      <c r="A515" s="792"/>
      <c r="B515" s="792"/>
      <c r="C515" s="792"/>
      <c r="D515" s="792"/>
      <c r="E515" s="792"/>
      <c r="F515" s="792"/>
      <c r="G515" s="792"/>
      <c r="H515" s="792"/>
      <c r="I515" s="792"/>
      <c r="J515" s="792"/>
      <c r="K515" s="792"/>
      <c r="L515" s="792"/>
      <c r="M515" s="792"/>
      <c r="N515" s="792"/>
      <c r="O515" s="792"/>
      <c r="P515" s="792"/>
      <c r="Q515" s="792"/>
      <c r="R515" s="792"/>
      <c r="S515" s="792"/>
      <c r="T515" s="792"/>
      <c r="U515" s="792"/>
      <c r="V515" s="793"/>
      <c r="W515" s="792"/>
      <c r="X515" s="792"/>
      <c r="Y515" s="792"/>
      <c r="Z515" s="792"/>
      <c r="AA515" s="792"/>
    </row>
    <row r="516" spans="1:27" ht="15.75" customHeight="1">
      <c r="A516" s="792"/>
      <c r="B516" s="792"/>
      <c r="C516" s="792"/>
      <c r="D516" s="792"/>
      <c r="E516" s="792"/>
      <c r="F516" s="792"/>
      <c r="G516" s="792"/>
      <c r="H516" s="792"/>
      <c r="I516" s="792"/>
      <c r="J516" s="792"/>
      <c r="K516" s="792"/>
      <c r="L516" s="792"/>
      <c r="M516" s="792"/>
      <c r="N516" s="792"/>
      <c r="O516" s="792"/>
      <c r="P516" s="792"/>
      <c r="Q516" s="792"/>
      <c r="R516" s="792"/>
      <c r="S516" s="792"/>
      <c r="T516" s="792"/>
      <c r="U516" s="792"/>
      <c r="V516" s="793"/>
      <c r="W516" s="792"/>
      <c r="X516" s="792"/>
      <c r="Y516" s="792"/>
      <c r="Z516" s="792"/>
      <c r="AA516" s="792"/>
    </row>
    <row r="517" spans="1:27" ht="15.75" customHeight="1">
      <c r="A517" s="792"/>
      <c r="B517" s="792"/>
      <c r="C517" s="792"/>
      <c r="D517" s="792"/>
      <c r="E517" s="792"/>
      <c r="F517" s="792"/>
      <c r="G517" s="792"/>
      <c r="H517" s="792"/>
      <c r="I517" s="792"/>
      <c r="J517" s="792"/>
      <c r="K517" s="792"/>
      <c r="L517" s="792"/>
      <c r="M517" s="792"/>
      <c r="N517" s="792"/>
      <c r="O517" s="792"/>
      <c r="P517" s="792"/>
      <c r="Q517" s="792"/>
      <c r="R517" s="792"/>
      <c r="S517" s="792"/>
      <c r="T517" s="792"/>
      <c r="U517" s="792"/>
      <c r="V517" s="793"/>
      <c r="W517" s="792"/>
      <c r="X517" s="792"/>
      <c r="Y517" s="792"/>
      <c r="Z517" s="792"/>
      <c r="AA517" s="792"/>
    </row>
    <row r="518" spans="1:27" ht="15.75" customHeight="1">
      <c r="A518" s="792"/>
      <c r="B518" s="792"/>
      <c r="C518" s="792"/>
      <c r="D518" s="792"/>
      <c r="E518" s="792"/>
      <c r="F518" s="792"/>
      <c r="G518" s="792"/>
      <c r="H518" s="792"/>
      <c r="I518" s="792"/>
      <c r="J518" s="792"/>
      <c r="K518" s="792"/>
      <c r="L518" s="792"/>
      <c r="M518" s="792"/>
      <c r="N518" s="792"/>
      <c r="O518" s="792"/>
      <c r="P518" s="792"/>
      <c r="Q518" s="792"/>
      <c r="R518" s="792"/>
      <c r="S518" s="792"/>
      <c r="T518" s="792"/>
      <c r="U518" s="792"/>
      <c r="V518" s="793"/>
      <c r="W518" s="792"/>
      <c r="X518" s="792"/>
      <c r="Y518" s="792"/>
      <c r="Z518" s="792"/>
      <c r="AA518" s="792"/>
    </row>
    <row r="519" spans="1:27" ht="15.75" customHeight="1">
      <c r="A519" s="792"/>
      <c r="B519" s="792"/>
      <c r="C519" s="792"/>
      <c r="D519" s="792"/>
      <c r="E519" s="792"/>
      <c r="F519" s="792"/>
      <c r="G519" s="792"/>
      <c r="H519" s="792"/>
      <c r="I519" s="792"/>
      <c r="J519" s="792"/>
      <c r="K519" s="792"/>
      <c r="L519" s="792"/>
      <c r="M519" s="792"/>
      <c r="N519" s="792"/>
      <c r="O519" s="792"/>
      <c r="P519" s="792"/>
      <c r="Q519" s="792"/>
      <c r="R519" s="792"/>
      <c r="S519" s="792"/>
      <c r="T519" s="792"/>
      <c r="U519" s="792"/>
      <c r="V519" s="793"/>
      <c r="W519" s="792"/>
      <c r="X519" s="792"/>
      <c r="Y519" s="792"/>
      <c r="Z519" s="792"/>
      <c r="AA519" s="792"/>
    </row>
    <row r="520" spans="1:27" ht="15.75" customHeight="1">
      <c r="A520" s="792"/>
      <c r="B520" s="792"/>
      <c r="C520" s="792"/>
      <c r="D520" s="792"/>
      <c r="E520" s="792"/>
      <c r="F520" s="792"/>
      <c r="G520" s="792"/>
      <c r="H520" s="792"/>
      <c r="I520" s="792"/>
      <c r="J520" s="792"/>
      <c r="K520" s="792"/>
      <c r="L520" s="792"/>
      <c r="M520" s="792"/>
      <c r="N520" s="792"/>
      <c r="O520" s="792"/>
      <c r="P520" s="792"/>
      <c r="Q520" s="792"/>
      <c r="R520" s="792"/>
      <c r="S520" s="792"/>
      <c r="T520" s="792"/>
      <c r="U520" s="792"/>
      <c r="V520" s="793"/>
      <c r="W520" s="792"/>
      <c r="X520" s="792"/>
      <c r="Y520" s="792"/>
      <c r="Z520" s="792"/>
      <c r="AA520" s="792"/>
    </row>
    <row r="521" spans="1:27" ht="15.75" customHeight="1">
      <c r="A521" s="792"/>
      <c r="B521" s="792"/>
      <c r="C521" s="792"/>
      <c r="D521" s="792"/>
      <c r="E521" s="792"/>
      <c r="F521" s="792"/>
      <c r="G521" s="792"/>
      <c r="H521" s="792"/>
      <c r="I521" s="792"/>
      <c r="J521" s="792"/>
      <c r="K521" s="792"/>
      <c r="L521" s="792"/>
      <c r="M521" s="792"/>
      <c r="N521" s="792"/>
      <c r="O521" s="792"/>
      <c r="P521" s="792"/>
      <c r="Q521" s="792"/>
      <c r="R521" s="792"/>
      <c r="S521" s="792"/>
      <c r="T521" s="792"/>
      <c r="U521" s="792"/>
      <c r="V521" s="793"/>
      <c r="W521" s="792"/>
      <c r="X521" s="792"/>
      <c r="Y521" s="792"/>
      <c r="Z521" s="792"/>
      <c r="AA521" s="792"/>
    </row>
    <row r="522" spans="1:27" ht="15.75" customHeight="1">
      <c r="A522" s="792"/>
      <c r="B522" s="792"/>
      <c r="C522" s="792"/>
      <c r="D522" s="792"/>
      <c r="E522" s="792"/>
      <c r="F522" s="792"/>
      <c r="G522" s="792"/>
      <c r="H522" s="792"/>
      <c r="I522" s="792"/>
      <c r="J522" s="792"/>
      <c r="K522" s="792"/>
      <c r="L522" s="792"/>
      <c r="M522" s="792"/>
      <c r="N522" s="792"/>
      <c r="O522" s="792"/>
      <c r="P522" s="792"/>
      <c r="Q522" s="792"/>
      <c r="R522" s="792"/>
      <c r="S522" s="792"/>
      <c r="T522" s="792"/>
      <c r="U522" s="792"/>
      <c r="V522" s="793"/>
      <c r="W522" s="792"/>
      <c r="X522" s="792"/>
      <c r="Y522" s="792"/>
      <c r="Z522" s="792"/>
      <c r="AA522" s="792"/>
    </row>
    <row r="523" spans="1:27" ht="15.75" customHeight="1">
      <c r="A523" s="792"/>
      <c r="B523" s="792"/>
      <c r="C523" s="792"/>
      <c r="D523" s="792"/>
      <c r="E523" s="792"/>
      <c r="F523" s="792"/>
      <c r="G523" s="792"/>
      <c r="H523" s="792"/>
      <c r="I523" s="792"/>
      <c r="J523" s="792"/>
      <c r="K523" s="792"/>
      <c r="L523" s="792"/>
      <c r="M523" s="792"/>
      <c r="N523" s="792"/>
      <c r="O523" s="792"/>
      <c r="P523" s="792"/>
      <c r="Q523" s="792"/>
      <c r="R523" s="792"/>
      <c r="S523" s="792"/>
      <c r="T523" s="792"/>
      <c r="U523" s="792"/>
      <c r="V523" s="793"/>
      <c r="W523" s="792"/>
      <c r="X523" s="792"/>
      <c r="Y523" s="792"/>
      <c r="Z523" s="792"/>
      <c r="AA523" s="792"/>
    </row>
    <row r="524" spans="1:27" ht="15.75" customHeight="1">
      <c r="A524" s="792"/>
      <c r="B524" s="792"/>
      <c r="C524" s="792"/>
      <c r="D524" s="792"/>
      <c r="E524" s="792"/>
      <c r="F524" s="792"/>
      <c r="G524" s="792"/>
      <c r="H524" s="792"/>
      <c r="I524" s="792"/>
      <c r="J524" s="792"/>
      <c r="K524" s="792"/>
      <c r="L524" s="792"/>
      <c r="M524" s="792"/>
      <c r="N524" s="792"/>
      <c r="O524" s="792"/>
      <c r="P524" s="792"/>
      <c r="Q524" s="792"/>
      <c r="R524" s="792"/>
      <c r="S524" s="792"/>
      <c r="T524" s="792"/>
      <c r="U524" s="792"/>
      <c r="V524" s="793"/>
      <c r="W524" s="792"/>
      <c r="X524" s="792"/>
      <c r="Y524" s="792"/>
      <c r="Z524" s="792"/>
      <c r="AA524" s="792"/>
    </row>
    <row r="525" spans="1:27" ht="15.75" customHeight="1">
      <c r="A525" s="792"/>
      <c r="B525" s="792"/>
      <c r="C525" s="792"/>
      <c r="D525" s="792"/>
      <c r="E525" s="792"/>
      <c r="F525" s="792"/>
      <c r="G525" s="792"/>
      <c r="H525" s="792"/>
      <c r="I525" s="792"/>
      <c r="J525" s="792"/>
      <c r="K525" s="792"/>
      <c r="L525" s="792"/>
      <c r="M525" s="792"/>
      <c r="N525" s="792"/>
      <c r="O525" s="792"/>
      <c r="P525" s="792"/>
      <c r="Q525" s="792"/>
      <c r="R525" s="792"/>
      <c r="S525" s="792"/>
      <c r="T525" s="792"/>
      <c r="U525" s="792"/>
      <c r="V525" s="793"/>
      <c r="W525" s="792"/>
      <c r="X525" s="792"/>
      <c r="Y525" s="792"/>
      <c r="Z525" s="792"/>
      <c r="AA525" s="792"/>
    </row>
    <row r="526" spans="1:27" ht="15.75" customHeight="1">
      <c r="A526" s="792"/>
      <c r="B526" s="792"/>
      <c r="C526" s="792"/>
      <c r="D526" s="792"/>
      <c r="E526" s="792"/>
      <c r="F526" s="792"/>
      <c r="G526" s="792"/>
      <c r="H526" s="792"/>
      <c r="I526" s="792"/>
      <c r="J526" s="792"/>
      <c r="K526" s="792"/>
      <c r="L526" s="792"/>
      <c r="M526" s="792"/>
      <c r="N526" s="792"/>
      <c r="O526" s="792"/>
      <c r="P526" s="792"/>
      <c r="Q526" s="792"/>
      <c r="R526" s="792"/>
      <c r="S526" s="792"/>
      <c r="T526" s="792"/>
      <c r="U526" s="792"/>
      <c r="V526" s="793"/>
      <c r="W526" s="792"/>
      <c r="X526" s="792"/>
      <c r="Y526" s="792"/>
      <c r="Z526" s="792"/>
      <c r="AA526" s="792"/>
    </row>
    <row r="527" spans="1:27" ht="15.75" customHeight="1">
      <c r="A527" s="792"/>
      <c r="B527" s="792"/>
      <c r="C527" s="792"/>
      <c r="D527" s="792"/>
      <c r="E527" s="792"/>
      <c r="F527" s="792"/>
      <c r="G527" s="792"/>
      <c r="H527" s="792"/>
      <c r="I527" s="792"/>
      <c r="J527" s="792"/>
      <c r="K527" s="792"/>
      <c r="L527" s="792"/>
      <c r="M527" s="792"/>
      <c r="N527" s="792"/>
      <c r="O527" s="792"/>
      <c r="P527" s="792"/>
      <c r="Q527" s="792"/>
      <c r="R527" s="792"/>
      <c r="S527" s="792"/>
      <c r="T527" s="792"/>
      <c r="U527" s="792"/>
      <c r="V527" s="793"/>
      <c r="W527" s="792"/>
      <c r="X527" s="792"/>
      <c r="Y527" s="792"/>
      <c r="Z527" s="792"/>
      <c r="AA527" s="792"/>
    </row>
    <row r="528" spans="1:27" ht="15.75" customHeight="1">
      <c r="A528" s="792"/>
      <c r="B528" s="792"/>
      <c r="C528" s="792"/>
      <c r="D528" s="792"/>
      <c r="E528" s="792"/>
      <c r="F528" s="792"/>
      <c r="G528" s="792"/>
      <c r="H528" s="792"/>
      <c r="I528" s="792"/>
      <c r="J528" s="792"/>
      <c r="K528" s="792"/>
      <c r="L528" s="792"/>
      <c r="M528" s="792"/>
      <c r="N528" s="792"/>
      <c r="O528" s="792"/>
      <c r="P528" s="792"/>
      <c r="Q528" s="792"/>
      <c r="R528" s="792"/>
      <c r="S528" s="792"/>
      <c r="T528" s="792"/>
      <c r="U528" s="792"/>
      <c r="V528" s="793"/>
      <c r="W528" s="792"/>
      <c r="X528" s="792"/>
      <c r="Y528" s="792"/>
      <c r="Z528" s="792"/>
      <c r="AA528" s="792"/>
    </row>
    <row r="529" spans="1:27" ht="15.75" customHeight="1">
      <c r="A529" s="792"/>
      <c r="B529" s="792"/>
      <c r="C529" s="792"/>
      <c r="D529" s="792"/>
      <c r="E529" s="792"/>
      <c r="F529" s="792"/>
      <c r="G529" s="792"/>
      <c r="H529" s="792"/>
      <c r="I529" s="792"/>
      <c r="J529" s="792"/>
      <c r="K529" s="792"/>
      <c r="L529" s="792"/>
      <c r="M529" s="792"/>
      <c r="N529" s="792"/>
      <c r="O529" s="792"/>
      <c r="P529" s="792"/>
      <c r="Q529" s="792"/>
      <c r="R529" s="792"/>
      <c r="S529" s="792"/>
      <c r="T529" s="792"/>
      <c r="U529" s="792"/>
      <c r="V529" s="793"/>
      <c r="W529" s="792"/>
      <c r="X529" s="792"/>
      <c r="Y529" s="792"/>
      <c r="Z529" s="792"/>
      <c r="AA529" s="792"/>
    </row>
    <row r="530" spans="1:27" ht="15.75" customHeight="1">
      <c r="A530" s="792"/>
      <c r="B530" s="792"/>
      <c r="C530" s="792"/>
      <c r="D530" s="792"/>
      <c r="E530" s="792"/>
      <c r="F530" s="792"/>
      <c r="G530" s="792"/>
      <c r="H530" s="792"/>
      <c r="I530" s="792"/>
      <c r="J530" s="792"/>
      <c r="K530" s="792"/>
      <c r="L530" s="792"/>
      <c r="M530" s="792"/>
      <c r="N530" s="792"/>
      <c r="O530" s="792"/>
      <c r="P530" s="792"/>
      <c r="Q530" s="792"/>
      <c r="R530" s="792"/>
      <c r="S530" s="792"/>
      <c r="T530" s="792"/>
      <c r="U530" s="792"/>
      <c r="V530" s="793"/>
      <c r="W530" s="792"/>
      <c r="X530" s="792"/>
      <c r="Y530" s="792"/>
      <c r="Z530" s="792"/>
      <c r="AA530" s="792"/>
    </row>
    <row r="531" spans="1:27" ht="15.75" customHeight="1">
      <c r="A531" s="792"/>
      <c r="B531" s="792"/>
      <c r="C531" s="792"/>
      <c r="D531" s="792"/>
      <c r="E531" s="792"/>
      <c r="F531" s="792"/>
      <c r="G531" s="792"/>
      <c r="H531" s="792"/>
      <c r="I531" s="792"/>
      <c r="J531" s="792"/>
      <c r="K531" s="792"/>
      <c r="L531" s="792"/>
      <c r="M531" s="792"/>
      <c r="N531" s="792"/>
      <c r="O531" s="792"/>
      <c r="P531" s="792"/>
      <c r="Q531" s="792"/>
      <c r="R531" s="792"/>
      <c r="S531" s="792"/>
      <c r="T531" s="792"/>
      <c r="U531" s="792"/>
      <c r="V531" s="793"/>
      <c r="W531" s="792"/>
      <c r="X531" s="792"/>
      <c r="Y531" s="792"/>
      <c r="Z531" s="792"/>
      <c r="AA531" s="792"/>
    </row>
    <row r="532" spans="1:27" ht="15.75" customHeight="1">
      <c r="A532" s="792"/>
      <c r="B532" s="792"/>
      <c r="C532" s="792"/>
      <c r="D532" s="792"/>
      <c r="E532" s="792"/>
      <c r="F532" s="792"/>
      <c r="G532" s="792"/>
      <c r="H532" s="792"/>
      <c r="I532" s="792"/>
      <c r="J532" s="792"/>
      <c r="K532" s="792"/>
      <c r="L532" s="792"/>
      <c r="M532" s="792"/>
      <c r="N532" s="792"/>
      <c r="O532" s="792"/>
      <c r="P532" s="792"/>
      <c r="Q532" s="792"/>
      <c r="R532" s="792"/>
      <c r="S532" s="792"/>
      <c r="T532" s="792"/>
      <c r="U532" s="792"/>
      <c r="V532" s="793"/>
      <c r="W532" s="792"/>
      <c r="X532" s="792"/>
      <c r="Y532" s="792"/>
      <c r="Z532" s="792"/>
      <c r="AA532" s="792"/>
    </row>
    <row r="533" spans="1:27" ht="15.75" customHeight="1">
      <c r="A533" s="792"/>
      <c r="B533" s="792"/>
      <c r="C533" s="792"/>
      <c r="D533" s="792"/>
      <c r="E533" s="792"/>
      <c r="F533" s="792"/>
      <c r="G533" s="792"/>
      <c r="H533" s="792"/>
      <c r="I533" s="792"/>
      <c r="J533" s="792"/>
      <c r="K533" s="792"/>
      <c r="L533" s="792"/>
      <c r="M533" s="792"/>
      <c r="N533" s="792"/>
      <c r="O533" s="792"/>
      <c r="P533" s="792"/>
      <c r="Q533" s="792"/>
      <c r="R533" s="792"/>
      <c r="S533" s="792"/>
      <c r="T533" s="792"/>
      <c r="U533" s="792"/>
      <c r="V533" s="793"/>
      <c r="W533" s="792"/>
      <c r="X533" s="792"/>
      <c r="Y533" s="792"/>
      <c r="Z533" s="792"/>
      <c r="AA533" s="792"/>
    </row>
    <row r="534" spans="1:27" ht="15.75" customHeight="1">
      <c r="A534" s="792"/>
      <c r="B534" s="792"/>
      <c r="C534" s="792"/>
      <c r="D534" s="792"/>
      <c r="E534" s="792"/>
      <c r="F534" s="792"/>
      <c r="G534" s="792"/>
      <c r="H534" s="792"/>
      <c r="I534" s="792"/>
      <c r="J534" s="792"/>
      <c r="K534" s="792"/>
      <c r="L534" s="792"/>
      <c r="M534" s="792"/>
      <c r="N534" s="792"/>
      <c r="O534" s="792"/>
      <c r="P534" s="792"/>
      <c r="Q534" s="792"/>
      <c r="R534" s="792"/>
      <c r="S534" s="792"/>
      <c r="T534" s="792"/>
      <c r="U534" s="792"/>
      <c r="V534" s="793"/>
      <c r="W534" s="792"/>
      <c r="X534" s="792"/>
      <c r="Y534" s="792"/>
      <c r="Z534" s="792"/>
      <c r="AA534" s="792"/>
    </row>
    <row r="535" spans="1:27" ht="15.75" customHeight="1">
      <c r="A535" s="792"/>
      <c r="B535" s="792"/>
      <c r="C535" s="792"/>
      <c r="D535" s="792"/>
      <c r="E535" s="792"/>
      <c r="F535" s="792"/>
      <c r="G535" s="792"/>
      <c r="H535" s="792"/>
      <c r="I535" s="792"/>
      <c r="J535" s="792"/>
      <c r="K535" s="792"/>
      <c r="L535" s="792"/>
      <c r="M535" s="792"/>
      <c r="N535" s="792"/>
      <c r="O535" s="792"/>
      <c r="P535" s="792"/>
      <c r="Q535" s="792"/>
      <c r="R535" s="792"/>
      <c r="S535" s="792"/>
      <c r="T535" s="792"/>
      <c r="U535" s="792"/>
      <c r="V535" s="793"/>
      <c r="W535" s="792"/>
      <c r="X535" s="792"/>
      <c r="Y535" s="792"/>
      <c r="Z535" s="792"/>
      <c r="AA535" s="792"/>
    </row>
    <row r="536" spans="1:27" ht="15.75" customHeight="1">
      <c r="A536" s="792"/>
      <c r="B536" s="792"/>
      <c r="C536" s="792"/>
      <c r="D536" s="792"/>
      <c r="E536" s="792"/>
      <c r="F536" s="792"/>
      <c r="G536" s="792"/>
      <c r="H536" s="792"/>
      <c r="I536" s="792"/>
      <c r="J536" s="792"/>
      <c r="K536" s="792"/>
      <c r="L536" s="792"/>
      <c r="M536" s="792"/>
      <c r="N536" s="792"/>
      <c r="O536" s="792"/>
      <c r="P536" s="792"/>
      <c r="Q536" s="792"/>
      <c r="R536" s="792"/>
      <c r="S536" s="792"/>
      <c r="T536" s="792"/>
      <c r="U536" s="792"/>
      <c r="V536" s="793"/>
      <c r="W536" s="792"/>
      <c r="X536" s="792"/>
      <c r="Y536" s="792"/>
      <c r="Z536" s="792"/>
      <c r="AA536" s="792"/>
    </row>
    <row r="537" spans="1:27" ht="15.75" customHeight="1">
      <c r="A537" s="792"/>
      <c r="B537" s="792"/>
      <c r="C537" s="792"/>
      <c r="D537" s="792"/>
      <c r="E537" s="792"/>
      <c r="F537" s="792"/>
      <c r="G537" s="792"/>
      <c r="H537" s="792"/>
      <c r="I537" s="792"/>
      <c r="J537" s="792"/>
      <c r="K537" s="792"/>
      <c r="L537" s="792"/>
      <c r="M537" s="792"/>
      <c r="N537" s="792"/>
      <c r="O537" s="792"/>
      <c r="P537" s="792"/>
      <c r="Q537" s="792"/>
      <c r="R537" s="792"/>
      <c r="S537" s="792"/>
      <c r="T537" s="792"/>
      <c r="U537" s="792"/>
      <c r="V537" s="793"/>
      <c r="W537" s="792"/>
      <c r="X537" s="792"/>
      <c r="Y537" s="792"/>
      <c r="Z537" s="792"/>
      <c r="AA537" s="792"/>
    </row>
    <row r="538" spans="1:27" ht="15.75" customHeight="1">
      <c r="A538" s="792"/>
      <c r="B538" s="792"/>
      <c r="C538" s="792"/>
      <c r="D538" s="792"/>
      <c r="E538" s="792"/>
      <c r="F538" s="792"/>
      <c r="G538" s="792"/>
      <c r="H538" s="792"/>
      <c r="I538" s="792"/>
      <c r="J538" s="792"/>
      <c r="K538" s="792"/>
      <c r="L538" s="792"/>
      <c r="M538" s="792"/>
      <c r="N538" s="792"/>
      <c r="O538" s="792"/>
      <c r="P538" s="792"/>
      <c r="Q538" s="792"/>
      <c r="R538" s="792"/>
      <c r="S538" s="792"/>
      <c r="T538" s="792"/>
      <c r="U538" s="792"/>
      <c r="V538" s="793"/>
      <c r="W538" s="792"/>
      <c r="X538" s="792"/>
      <c r="Y538" s="792"/>
      <c r="Z538" s="792"/>
      <c r="AA538" s="792"/>
    </row>
    <row r="539" spans="1:27" ht="15.75" customHeight="1">
      <c r="A539" s="792"/>
      <c r="B539" s="792"/>
      <c r="C539" s="792"/>
      <c r="D539" s="792"/>
      <c r="E539" s="792"/>
      <c r="F539" s="792"/>
      <c r="G539" s="792"/>
      <c r="H539" s="792"/>
      <c r="I539" s="792"/>
      <c r="J539" s="792"/>
      <c r="K539" s="792"/>
      <c r="L539" s="792"/>
      <c r="M539" s="792"/>
      <c r="N539" s="792"/>
      <c r="O539" s="792"/>
      <c r="P539" s="792"/>
      <c r="Q539" s="792"/>
      <c r="R539" s="792"/>
      <c r="S539" s="792"/>
      <c r="T539" s="792"/>
      <c r="U539" s="792"/>
      <c r="V539" s="793"/>
      <c r="W539" s="792"/>
      <c r="X539" s="792"/>
      <c r="Y539" s="792"/>
      <c r="Z539" s="792"/>
      <c r="AA539" s="792"/>
    </row>
    <row r="540" spans="1:27" ht="15.75" customHeight="1">
      <c r="A540" s="792"/>
      <c r="B540" s="792"/>
      <c r="C540" s="792"/>
      <c r="D540" s="792"/>
      <c r="E540" s="792"/>
      <c r="F540" s="792"/>
      <c r="G540" s="792"/>
      <c r="H540" s="792"/>
      <c r="I540" s="792"/>
      <c r="J540" s="792"/>
      <c r="K540" s="792"/>
      <c r="L540" s="792"/>
      <c r="M540" s="792"/>
      <c r="N540" s="792"/>
      <c r="O540" s="792"/>
      <c r="P540" s="792"/>
      <c r="Q540" s="792"/>
      <c r="R540" s="792"/>
      <c r="S540" s="792"/>
      <c r="T540" s="792"/>
      <c r="U540" s="792"/>
      <c r="V540" s="793"/>
      <c r="W540" s="792"/>
      <c r="X540" s="792"/>
      <c r="Y540" s="792"/>
      <c r="Z540" s="792"/>
      <c r="AA540" s="792"/>
    </row>
    <row r="541" spans="1:27" ht="15.75" customHeight="1">
      <c r="A541" s="792"/>
      <c r="B541" s="792"/>
      <c r="C541" s="792"/>
      <c r="D541" s="792"/>
      <c r="E541" s="792"/>
      <c r="F541" s="792"/>
      <c r="G541" s="792"/>
      <c r="H541" s="792"/>
      <c r="I541" s="792"/>
      <c r="J541" s="792"/>
      <c r="K541" s="792"/>
      <c r="L541" s="792"/>
      <c r="M541" s="792"/>
      <c r="N541" s="792"/>
      <c r="O541" s="792"/>
      <c r="P541" s="792"/>
      <c r="Q541" s="792"/>
      <c r="R541" s="792"/>
      <c r="S541" s="792"/>
      <c r="T541" s="792"/>
      <c r="U541" s="792"/>
      <c r="V541" s="793"/>
      <c r="W541" s="792"/>
      <c r="X541" s="792"/>
      <c r="Y541" s="792"/>
      <c r="Z541" s="792"/>
      <c r="AA541" s="792"/>
    </row>
    <row r="542" spans="1:27" ht="15.75" customHeight="1">
      <c r="A542" s="792"/>
      <c r="B542" s="792"/>
      <c r="C542" s="792"/>
      <c r="D542" s="792"/>
      <c r="E542" s="792"/>
      <c r="F542" s="792"/>
      <c r="G542" s="792"/>
      <c r="H542" s="792"/>
      <c r="I542" s="792"/>
      <c r="J542" s="792"/>
      <c r="K542" s="792"/>
      <c r="L542" s="792"/>
      <c r="M542" s="792"/>
      <c r="N542" s="792"/>
      <c r="O542" s="792"/>
      <c r="P542" s="792"/>
      <c r="Q542" s="792"/>
      <c r="R542" s="792"/>
      <c r="S542" s="792"/>
      <c r="T542" s="792"/>
      <c r="U542" s="792"/>
      <c r="V542" s="793"/>
      <c r="W542" s="792"/>
      <c r="X542" s="792"/>
      <c r="Y542" s="792"/>
      <c r="Z542" s="792"/>
      <c r="AA542" s="792"/>
    </row>
    <row r="543" spans="1:27" ht="15.75" customHeight="1">
      <c r="A543" s="792"/>
      <c r="B543" s="792"/>
      <c r="C543" s="792"/>
      <c r="D543" s="792"/>
      <c r="E543" s="792"/>
      <c r="F543" s="792"/>
      <c r="G543" s="792"/>
      <c r="H543" s="792"/>
      <c r="I543" s="792"/>
      <c r="J543" s="792"/>
      <c r="K543" s="792"/>
      <c r="L543" s="792"/>
      <c r="M543" s="792"/>
      <c r="N543" s="792"/>
      <c r="O543" s="792"/>
      <c r="P543" s="792"/>
      <c r="Q543" s="792"/>
      <c r="R543" s="792"/>
      <c r="S543" s="792"/>
      <c r="T543" s="792"/>
      <c r="U543" s="792"/>
      <c r="V543" s="793"/>
      <c r="W543" s="792"/>
      <c r="X543" s="792"/>
      <c r="Y543" s="792"/>
      <c r="Z543" s="792"/>
      <c r="AA543" s="792"/>
    </row>
    <row r="544" spans="1:27" ht="15.75" customHeight="1">
      <c r="A544" s="792"/>
      <c r="B544" s="792"/>
      <c r="C544" s="792"/>
      <c r="D544" s="792"/>
      <c r="E544" s="792"/>
      <c r="F544" s="792"/>
      <c r="G544" s="792"/>
      <c r="H544" s="792"/>
      <c r="I544" s="792"/>
      <c r="J544" s="792"/>
      <c r="K544" s="792"/>
      <c r="L544" s="792"/>
      <c r="M544" s="792"/>
      <c r="N544" s="792"/>
      <c r="O544" s="792"/>
      <c r="P544" s="792"/>
      <c r="Q544" s="792"/>
      <c r="R544" s="792"/>
      <c r="S544" s="792"/>
      <c r="T544" s="792"/>
      <c r="U544" s="792"/>
      <c r="V544" s="793"/>
      <c r="W544" s="792"/>
      <c r="X544" s="792"/>
      <c r="Y544" s="792"/>
      <c r="Z544" s="792"/>
      <c r="AA544" s="792"/>
    </row>
    <row r="545" spans="1:27" ht="15.75" customHeight="1">
      <c r="A545" s="792"/>
      <c r="B545" s="792"/>
      <c r="C545" s="792"/>
      <c r="D545" s="792"/>
      <c r="E545" s="792"/>
      <c r="F545" s="792"/>
      <c r="G545" s="792"/>
      <c r="H545" s="792"/>
      <c r="I545" s="792"/>
      <c r="J545" s="792"/>
      <c r="K545" s="792"/>
      <c r="L545" s="792"/>
      <c r="M545" s="792"/>
      <c r="N545" s="792"/>
      <c r="O545" s="792"/>
      <c r="P545" s="792"/>
      <c r="Q545" s="792"/>
      <c r="R545" s="792"/>
      <c r="S545" s="792"/>
      <c r="T545" s="792"/>
      <c r="U545" s="792"/>
      <c r="V545" s="793"/>
      <c r="W545" s="792"/>
      <c r="X545" s="792"/>
      <c r="Y545" s="792"/>
      <c r="Z545" s="792"/>
      <c r="AA545" s="792"/>
    </row>
    <row r="546" spans="1:27" ht="15.75" customHeight="1">
      <c r="A546" s="792"/>
      <c r="B546" s="792"/>
      <c r="C546" s="792"/>
      <c r="D546" s="792"/>
      <c r="E546" s="792"/>
      <c r="F546" s="792"/>
      <c r="G546" s="792"/>
      <c r="H546" s="792"/>
      <c r="I546" s="792"/>
      <c r="J546" s="792"/>
      <c r="K546" s="792"/>
      <c r="L546" s="792"/>
      <c r="M546" s="792"/>
      <c r="N546" s="792"/>
      <c r="O546" s="792"/>
      <c r="P546" s="792"/>
      <c r="Q546" s="792"/>
      <c r="R546" s="792"/>
      <c r="S546" s="792"/>
      <c r="T546" s="792"/>
      <c r="U546" s="792"/>
      <c r="V546" s="793"/>
      <c r="W546" s="792"/>
      <c r="X546" s="792"/>
      <c r="Y546" s="792"/>
      <c r="Z546" s="792"/>
      <c r="AA546" s="792"/>
    </row>
    <row r="547" spans="1:27" ht="15.75" customHeight="1">
      <c r="A547" s="792"/>
      <c r="B547" s="792"/>
      <c r="C547" s="792"/>
      <c r="D547" s="792"/>
      <c r="E547" s="792"/>
      <c r="F547" s="792"/>
      <c r="G547" s="792"/>
      <c r="H547" s="792"/>
      <c r="I547" s="792"/>
      <c r="J547" s="792"/>
      <c r="K547" s="792"/>
      <c r="L547" s="792"/>
      <c r="M547" s="792"/>
      <c r="N547" s="792"/>
      <c r="O547" s="792"/>
      <c r="P547" s="792"/>
      <c r="Q547" s="792"/>
      <c r="R547" s="792"/>
      <c r="S547" s="792"/>
      <c r="T547" s="792"/>
      <c r="U547" s="792"/>
      <c r="V547" s="793"/>
      <c r="W547" s="792"/>
      <c r="X547" s="792"/>
      <c r="Y547" s="792"/>
      <c r="Z547" s="792"/>
      <c r="AA547" s="792"/>
    </row>
    <row r="548" spans="1:27" ht="15.75" customHeight="1">
      <c r="A548" s="792"/>
      <c r="B548" s="792"/>
      <c r="C548" s="792"/>
      <c r="D548" s="792"/>
      <c r="E548" s="792"/>
      <c r="F548" s="792"/>
      <c r="G548" s="792"/>
      <c r="H548" s="792"/>
      <c r="I548" s="792"/>
      <c r="J548" s="792"/>
      <c r="K548" s="792"/>
      <c r="L548" s="792"/>
      <c r="M548" s="792"/>
      <c r="N548" s="792"/>
      <c r="O548" s="792"/>
      <c r="P548" s="792"/>
      <c r="Q548" s="792"/>
      <c r="R548" s="792"/>
      <c r="S548" s="792"/>
      <c r="T548" s="792"/>
      <c r="U548" s="792"/>
      <c r="V548" s="793"/>
      <c r="W548" s="792"/>
      <c r="X548" s="792"/>
      <c r="Y548" s="792"/>
      <c r="Z548" s="792"/>
      <c r="AA548" s="792"/>
    </row>
    <row r="549" spans="1:27" ht="15.75" customHeigh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3"/>
      <c r="W549" s="792"/>
      <c r="X549" s="792"/>
      <c r="Y549" s="792"/>
      <c r="Z549" s="792"/>
      <c r="AA549" s="792"/>
    </row>
    <row r="550" spans="1:27" ht="15.75" customHeight="1">
      <c r="A550" s="792"/>
      <c r="B550" s="792"/>
      <c r="C550" s="792"/>
      <c r="D550" s="792"/>
      <c r="E550" s="792"/>
      <c r="F550" s="792"/>
      <c r="G550" s="792"/>
      <c r="H550" s="792"/>
      <c r="I550" s="792"/>
      <c r="J550" s="792"/>
      <c r="K550" s="792"/>
      <c r="L550" s="792"/>
      <c r="M550" s="792"/>
      <c r="N550" s="792"/>
      <c r="O550" s="792"/>
      <c r="P550" s="792"/>
      <c r="Q550" s="792"/>
      <c r="R550" s="792"/>
      <c r="S550" s="792"/>
      <c r="T550" s="792"/>
      <c r="U550" s="792"/>
      <c r="V550" s="793"/>
      <c r="W550" s="792"/>
      <c r="X550" s="792"/>
      <c r="Y550" s="792"/>
      <c r="Z550" s="792"/>
      <c r="AA550" s="792"/>
    </row>
    <row r="551" spans="1:27" ht="15.75" customHeight="1">
      <c r="A551" s="792"/>
      <c r="B551" s="792"/>
      <c r="C551" s="792"/>
      <c r="D551" s="792"/>
      <c r="E551" s="792"/>
      <c r="F551" s="792"/>
      <c r="G551" s="792"/>
      <c r="H551" s="792"/>
      <c r="I551" s="792"/>
      <c r="J551" s="792"/>
      <c r="K551" s="792"/>
      <c r="L551" s="792"/>
      <c r="M551" s="792"/>
      <c r="N551" s="792"/>
      <c r="O551" s="792"/>
      <c r="P551" s="792"/>
      <c r="Q551" s="792"/>
      <c r="R551" s="792"/>
      <c r="S551" s="792"/>
      <c r="T551" s="792"/>
      <c r="U551" s="792"/>
      <c r="V551" s="793"/>
      <c r="W551" s="792"/>
      <c r="X551" s="792"/>
      <c r="Y551" s="792"/>
      <c r="Z551" s="792"/>
      <c r="AA551" s="792"/>
    </row>
    <row r="552" spans="1:27" ht="15.75" customHeight="1">
      <c r="A552" s="792"/>
      <c r="B552" s="792"/>
      <c r="C552" s="792"/>
      <c r="D552" s="792"/>
      <c r="E552" s="792"/>
      <c r="F552" s="792"/>
      <c r="G552" s="792"/>
      <c r="H552" s="792"/>
      <c r="I552" s="792"/>
      <c r="J552" s="792"/>
      <c r="K552" s="792"/>
      <c r="L552" s="792"/>
      <c r="M552" s="792"/>
      <c r="N552" s="792"/>
      <c r="O552" s="792"/>
      <c r="P552" s="792"/>
      <c r="Q552" s="792"/>
      <c r="R552" s="792"/>
      <c r="S552" s="792"/>
      <c r="T552" s="792"/>
      <c r="U552" s="792"/>
      <c r="V552" s="793"/>
      <c r="W552" s="792"/>
      <c r="X552" s="792"/>
      <c r="Y552" s="792"/>
      <c r="Z552" s="792"/>
      <c r="AA552" s="792"/>
    </row>
    <row r="553" spans="1:27" ht="15.75" customHeight="1">
      <c r="A553" s="792"/>
      <c r="B553" s="792"/>
      <c r="C553" s="792"/>
      <c r="D553" s="792"/>
      <c r="E553" s="792"/>
      <c r="F553" s="792"/>
      <c r="G553" s="792"/>
      <c r="H553" s="792"/>
      <c r="I553" s="792"/>
      <c r="J553" s="792"/>
      <c r="K553" s="792"/>
      <c r="L553" s="792"/>
      <c r="M553" s="792"/>
      <c r="N553" s="792"/>
      <c r="O553" s="792"/>
      <c r="P553" s="792"/>
      <c r="Q553" s="792"/>
      <c r="R553" s="792"/>
      <c r="S553" s="792"/>
      <c r="T553" s="792"/>
      <c r="U553" s="792"/>
      <c r="V553" s="793"/>
      <c r="W553" s="792"/>
      <c r="X553" s="792"/>
      <c r="Y553" s="792"/>
      <c r="Z553" s="792"/>
      <c r="AA553" s="792"/>
    </row>
    <row r="554" spans="1:27" ht="15.75" customHeight="1">
      <c r="A554" s="792"/>
      <c r="B554" s="792"/>
      <c r="C554" s="792"/>
      <c r="D554" s="792"/>
      <c r="E554" s="792"/>
      <c r="F554" s="792"/>
      <c r="G554" s="792"/>
      <c r="H554" s="792"/>
      <c r="I554" s="792"/>
      <c r="J554" s="792"/>
      <c r="K554" s="792"/>
      <c r="L554" s="792"/>
      <c r="M554" s="792"/>
      <c r="N554" s="792"/>
      <c r="O554" s="792"/>
      <c r="P554" s="792"/>
      <c r="Q554" s="792"/>
      <c r="R554" s="792"/>
      <c r="S554" s="792"/>
      <c r="T554" s="792"/>
      <c r="U554" s="792"/>
      <c r="V554" s="793"/>
      <c r="W554" s="792"/>
      <c r="X554" s="792"/>
      <c r="Y554" s="792"/>
      <c r="Z554" s="792"/>
      <c r="AA554" s="792"/>
    </row>
    <row r="555" spans="1:27" ht="15.75" customHeight="1">
      <c r="A555" s="792"/>
      <c r="B555" s="792"/>
      <c r="C555" s="792"/>
      <c r="D555" s="792"/>
      <c r="E555" s="792"/>
      <c r="F555" s="792"/>
      <c r="G555" s="792"/>
      <c r="H555" s="792"/>
      <c r="I555" s="792"/>
      <c r="J555" s="792"/>
      <c r="K555" s="792"/>
      <c r="L555" s="792"/>
      <c r="M555" s="792"/>
      <c r="N555" s="792"/>
      <c r="O555" s="792"/>
      <c r="P555" s="792"/>
      <c r="Q555" s="792"/>
      <c r="R555" s="792"/>
      <c r="S555" s="792"/>
      <c r="T555" s="792"/>
      <c r="U555" s="792"/>
      <c r="V555" s="793"/>
      <c r="W555" s="792"/>
      <c r="X555" s="792"/>
      <c r="Y555" s="792"/>
      <c r="Z555" s="792"/>
      <c r="AA555" s="792"/>
    </row>
    <row r="556" spans="1:27" ht="15.75" customHeight="1">
      <c r="A556" s="792"/>
      <c r="B556" s="792"/>
      <c r="C556" s="792"/>
      <c r="D556" s="792"/>
      <c r="E556" s="792"/>
      <c r="F556" s="792"/>
      <c r="G556" s="792"/>
      <c r="H556" s="792"/>
      <c r="I556" s="792"/>
      <c r="J556" s="792"/>
      <c r="K556" s="792"/>
      <c r="L556" s="792"/>
      <c r="M556" s="792"/>
      <c r="N556" s="792"/>
      <c r="O556" s="792"/>
      <c r="P556" s="792"/>
      <c r="Q556" s="792"/>
      <c r="R556" s="792"/>
      <c r="S556" s="792"/>
      <c r="T556" s="792"/>
      <c r="U556" s="792"/>
      <c r="V556" s="793"/>
      <c r="W556" s="792"/>
      <c r="X556" s="792"/>
      <c r="Y556" s="792"/>
      <c r="Z556" s="792"/>
      <c r="AA556" s="792"/>
    </row>
    <row r="557" spans="1:27" ht="15.75" customHeight="1">
      <c r="A557" s="792"/>
      <c r="B557" s="792"/>
      <c r="C557" s="792"/>
      <c r="D557" s="792"/>
      <c r="E557" s="792"/>
      <c r="F557" s="792"/>
      <c r="G557" s="792"/>
      <c r="H557" s="792"/>
      <c r="I557" s="792"/>
      <c r="J557" s="792"/>
      <c r="K557" s="792"/>
      <c r="L557" s="792"/>
      <c r="M557" s="792"/>
      <c r="N557" s="792"/>
      <c r="O557" s="792"/>
      <c r="P557" s="792"/>
      <c r="Q557" s="792"/>
      <c r="R557" s="792"/>
      <c r="S557" s="792"/>
      <c r="T557" s="792"/>
      <c r="U557" s="792"/>
      <c r="V557" s="793"/>
      <c r="W557" s="792"/>
      <c r="X557" s="792"/>
      <c r="Y557" s="792"/>
      <c r="Z557" s="792"/>
      <c r="AA557" s="792"/>
    </row>
    <row r="558" spans="1:27" ht="15.75" customHeight="1">
      <c r="A558" s="792"/>
      <c r="B558" s="792"/>
      <c r="C558" s="792"/>
      <c r="D558" s="792"/>
      <c r="E558" s="792"/>
      <c r="F558" s="792"/>
      <c r="G558" s="792"/>
      <c r="H558" s="792"/>
      <c r="I558" s="792"/>
      <c r="J558" s="792"/>
      <c r="K558" s="792"/>
      <c r="L558" s="792"/>
      <c r="M558" s="792"/>
      <c r="N558" s="792"/>
      <c r="O558" s="792"/>
      <c r="P558" s="792"/>
      <c r="Q558" s="792"/>
      <c r="R558" s="792"/>
      <c r="S558" s="792"/>
      <c r="T558" s="792"/>
      <c r="U558" s="792"/>
      <c r="V558" s="793"/>
      <c r="W558" s="792"/>
      <c r="X558" s="792"/>
      <c r="Y558" s="792"/>
      <c r="Z558" s="792"/>
      <c r="AA558" s="792"/>
    </row>
    <row r="559" spans="1:27" ht="15.75" customHeight="1">
      <c r="A559" s="792"/>
      <c r="B559" s="792"/>
      <c r="C559" s="792"/>
      <c r="D559" s="792"/>
      <c r="E559" s="792"/>
      <c r="F559" s="792"/>
      <c r="G559" s="792"/>
      <c r="H559" s="792"/>
      <c r="I559" s="792"/>
      <c r="J559" s="792"/>
      <c r="K559" s="792"/>
      <c r="L559" s="792"/>
      <c r="M559" s="792"/>
      <c r="N559" s="792"/>
      <c r="O559" s="792"/>
      <c r="P559" s="792"/>
      <c r="Q559" s="792"/>
      <c r="R559" s="792"/>
      <c r="S559" s="792"/>
      <c r="T559" s="792"/>
      <c r="U559" s="792"/>
      <c r="V559" s="793"/>
      <c r="W559" s="792"/>
      <c r="X559" s="792"/>
      <c r="Y559" s="792"/>
      <c r="Z559" s="792"/>
      <c r="AA559" s="792"/>
    </row>
    <row r="560" spans="1:27" ht="15.75" customHeight="1">
      <c r="A560" s="792"/>
      <c r="B560" s="792"/>
      <c r="C560" s="792"/>
      <c r="D560" s="792"/>
      <c r="E560" s="792"/>
      <c r="F560" s="792"/>
      <c r="G560" s="792"/>
      <c r="H560" s="792"/>
      <c r="I560" s="792"/>
      <c r="J560" s="792"/>
      <c r="K560" s="792"/>
      <c r="L560" s="792"/>
      <c r="M560" s="792"/>
      <c r="N560" s="792"/>
      <c r="O560" s="792"/>
      <c r="P560" s="792"/>
      <c r="Q560" s="792"/>
      <c r="R560" s="792"/>
      <c r="S560" s="792"/>
      <c r="T560" s="792"/>
      <c r="U560" s="792"/>
      <c r="V560" s="793"/>
      <c r="W560" s="792"/>
      <c r="X560" s="792"/>
      <c r="Y560" s="792"/>
      <c r="Z560" s="792"/>
      <c r="AA560" s="792"/>
    </row>
    <row r="561" spans="1:27" ht="15.75" customHeight="1">
      <c r="A561" s="792"/>
      <c r="B561" s="792"/>
      <c r="C561" s="792"/>
      <c r="D561" s="792"/>
      <c r="E561" s="792"/>
      <c r="F561" s="792"/>
      <c r="G561" s="792"/>
      <c r="H561" s="792"/>
      <c r="I561" s="792"/>
      <c r="J561" s="792"/>
      <c r="K561" s="792"/>
      <c r="L561" s="792"/>
      <c r="M561" s="792"/>
      <c r="N561" s="792"/>
      <c r="O561" s="792"/>
      <c r="P561" s="792"/>
      <c r="Q561" s="792"/>
      <c r="R561" s="792"/>
      <c r="S561" s="792"/>
      <c r="T561" s="792"/>
      <c r="U561" s="792"/>
      <c r="V561" s="793"/>
      <c r="W561" s="792"/>
      <c r="X561" s="792"/>
      <c r="Y561" s="792"/>
      <c r="Z561" s="792"/>
      <c r="AA561" s="792"/>
    </row>
    <row r="562" spans="1:27" ht="15.75" customHeight="1">
      <c r="A562" s="792"/>
      <c r="B562" s="792"/>
      <c r="C562" s="792"/>
      <c r="D562" s="792"/>
      <c r="E562" s="792"/>
      <c r="F562" s="792"/>
      <c r="G562" s="792"/>
      <c r="H562" s="792"/>
      <c r="I562" s="792"/>
      <c r="J562" s="792"/>
      <c r="K562" s="792"/>
      <c r="L562" s="792"/>
      <c r="M562" s="792"/>
      <c r="N562" s="792"/>
      <c r="O562" s="792"/>
      <c r="P562" s="792"/>
      <c r="Q562" s="792"/>
      <c r="R562" s="792"/>
      <c r="S562" s="792"/>
      <c r="T562" s="792"/>
      <c r="U562" s="792"/>
      <c r="V562" s="793"/>
      <c r="W562" s="792"/>
      <c r="X562" s="792"/>
      <c r="Y562" s="792"/>
      <c r="Z562" s="792"/>
      <c r="AA562" s="792"/>
    </row>
    <row r="563" spans="1:27" ht="15.75" customHeight="1">
      <c r="A563" s="792"/>
      <c r="B563" s="792"/>
      <c r="C563" s="792"/>
      <c r="D563" s="792"/>
      <c r="E563" s="792"/>
      <c r="F563" s="792"/>
      <c r="G563" s="792"/>
      <c r="H563" s="792"/>
      <c r="I563" s="792"/>
      <c r="J563" s="792"/>
      <c r="K563" s="792"/>
      <c r="L563" s="792"/>
      <c r="M563" s="792"/>
      <c r="N563" s="792"/>
      <c r="O563" s="792"/>
      <c r="P563" s="792"/>
      <c r="Q563" s="792"/>
      <c r="R563" s="792"/>
      <c r="S563" s="792"/>
      <c r="T563" s="792"/>
      <c r="U563" s="792"/>
      <c r="V563" s="793"/>
      <c r="W563" s="792"/>
      <c r="X563" s="792"/>
      <c r="Y563" s="792"/>
      <c r="Z563" s="792"/>
      <c r="AA563" s="792"/>
    </row>
    <row r="564" spans="1:27" ht="15.75" customHeight="1">
      <c r="A564" s="792"/>
      <c r="B564" s="792"/>
      <c r="C564" s="792"/>
      <c r="D564" s="792"/>
      <c r="E564" s="792"/>
      <c r="F564" s="792"/>
      <c r="G564" s="792"/>
      <c r="H564" s="792"/>
      <c r="I564" s="792"/>
      <c r="J564" s="792"/>
      <c r="K564" s="792"/>
      <c r="L564" s="792"/>
      <c r="M564" s="792"/>
      <c r="N564" s="792"/>
      <c r="O564" s="792"/>
      <c r="P564" s="792"/>
      <c r="Q564" s="792"/>
      <c r="R564" s="792"/>
      <c r="S564" s="792"/>
      <c r="T564" s="792"/>
      <c r="U564" s="792"/>
      <c r="V564" s="793"/>
      <c r="W564" s="792"/>
      <c r="X564" s="792"/>
      <c r="Y564" s="792"/>
      <c r="Z564" s="792"/>
      <c r="AA564" s="792"/>
    </row>
    <row r="565" spans="1:27" ht="15.75" customHeight="1">
      <c r="A565" s="792"/>
      <c r="B565" s="792"/>
      <c r="C565" s="792"/>
      <c r="D565" s="792"/>
      <c r="E565" s="792"/>
      <c r="F565" s="792"/>
      <c r="G565" s="792"/>
      <c r="H565" s="792"/>
      <c r="I565" s="792"/>
      <c r="J565" s="792"/>
      <c r="K565" s="792"/>
      <c r="L565" s="792"/>
      <c r="M565" s="792"/>
      <c r="N565" s="792"/>
      <c r="O565" s="792"/>
      <c r="P565" s="792"/>
      <c r="Q565" s="792"/>
      <c r="R565" s="792"/>
      <c r="S565" s="792"/>
      <c r="T565" s="792"/>
      <c r="U565" s="792"/>
      <c r="V565" s="793"/>
      <c r="W565" s="792"/>
      <c r="X565" s="792"/>
      <c r="Y565" s="792"/>
      <c r="Z565" s="792"/>
      <c r="AA565" s="792"/>
    </row>
    <row r="566" spans="1:27" ht="15.75" customHeight="1">
      <c r="A566" s="792"/>
      <c r="B566" s="792"/>
      <c r="C566" s="792"/>
      <c r="D566" s="792"/>
      <c r="E566" s="792"/>
      <c r="F566" s="792"/>
      <c r="G566" s="792"/>
      <c r="H566" s="792"/>
      <c r="I566" s="792"/>
      <c r="J566" s="792"/>
      <c r="K566" s="792"/>
      <c r="L566" s="792"/>
      <c r="M566" s="792"/>
      <c r="N566" s="792"/>
      <c r="O566" s="792"/>
      <c r="P566" s="792"/>
      <c r="Q566" s="792"/>
      <c r="R566" s="792"/>
      <c r="S566" s="792"/>
      <c r="T566" s="792"/>
      <c r="U566" s="792"/>
      <c r="V566" s="793"/>
      <c r="W566" s="792"/>
      <c r="X566" s="792"/>
      <c r="Y566" s="792"/>
      <c r="Z566" s="792"/>
      <c r="AA566" s="792"/>
    </row>
    <row r="567" spans="1:27" ht="15.75" customHeight="1">
      <c r="A567" s="792"/>
      <c r="B567" s="792"/>
      <c r="C567" s="792"/>
      <c r="D567" s="792"/>
      <c r="E567" s="792"/>
      <c r="F567" s="792"/>
      <c r="G567" s="792"/>
      <c r="H567" s="792"/>
      <c r="I567" s="792"/>
      <c r="J567" s="792"/>
      <c r="K567" s="792"/>
      <c r="L567" s="792"/>
      <c r="M567" s="792"/>
      <c r="N567" s="792"/>
      <c r="O567" s="792"/>
      <c r="P567" s="792"/>
      <c r="Q567" s="792"/>
      <c r="R567" s="792"/>
      <c r="S567" s="792"/>
      <c r="T567" s="792"/>
      <c r="U567" s="792"/>
      <c r="V567" s="793"/>
      <c r="W567" s="792"/>
      <c r="X567" s="792"/>
      <c r="Y567" s="792"/>
      <c r="Z567" s="792"/>
      <c r="AA567" s="792"/>
    </row>
    <row r="568" spans="1:27" ht="15.75" customHeight="1">
      <c r="A568" s="792"/>
      <c r="B568" s="792"/>
      <c r="C568" s="792"/>
      <c r="D568" s="792"/>
      <c r="E568" s="792"/>
      <c r="F568" s="792"/>
      <c r="G568" s="792"/>
      <c r="H568" s="792"/>
      <c r="I568" s="792"/>
      <c r="J568" s="792"/>
      <c r="K568" s="792"/>
      <c r="L568" s="792"/>
      <c r="M568" s="792"/>
      <c r="N568" s="792"/>
      <c r="O568" s="792"/>
      <c r="P568" s="792"/>
      <c r="Q568" s="792"/>
      <c r="R568" s="792"/>
      <c r="S568" s="792"/>
      <c r="T568" s="792"/>
      <c r="U568" s="792"/>
      <c r="V568" s="793"/>
      <c r="W568" s="792"/>
      <c r="X568" s="792"/>
      <c r="Y568" s="792"/>
      <c r="Z568" s="792"/>
      <c r="AA568" s="792"/>
    </row>
    <row r="569" spans="1:27" ht="15.75" customHeight="1">
      <c r="A569" s="792"/>
      <c r="B569" s="792"/>
      <c r="C569" s="792"/>
      <c r="D569" s="792"/>
      <c r="E569" s="792"/>
      <c r="F569" s="792"/>
      <c r="G569" s="792"/>
      <c r="H569" s="792"/>
      <c r="I569" s="792"/>
      <c r="J569" s="792"/>
      <c r="K569" s="792"/>
      <c r="L569" s="792"/>
      <c r="M569" s="792"/>
      <c r="N569" s="792"/>
      <c r="O569" s="792"/>
      <c r="P569" s="792"/>
      <c r="Q569" s="792"/>
      <c r="R569" s="792"/>
      <c r="S569" s="792"/>
      <c r="T569" s="792"/>
      <c r="U569" s="792"/>
      <c r="V569" s="793"/>
      <c r="W569" s="792"/>
      <c r="X569" s="792"/>
      <c r="Y569" s="792"/>
      <c r="Z569" s="792"/>
      <c r="AA569" s="792"/>
    </row>
    <row r="570" spans="1:27" ht="15.75" customHeight="1">
      <c r="A570" s="792"/>
      <c r="B570" s="792"/>
      <c r="C570" s="792"/>
      <c r="D570" s="792"/>
      <c r="E570" s="792"/>
      <c r="F570" s="792"/>
      <c r="G570" s="792"/>
      <c r="H570" s="792"/>
      <c r="I570" s="792"/>
      <c r="J570" s="792"/>
      <c r="K570" s="792"/>
      <c r="L570" s="792"/>
      <c r="M570" s="792"/>
      <c r="N570" s="792"/>
      <c r="O570" s="792"/>
      <c r="P570" s="792"/>
      <c r="Q570" s="792"/>
      <c r="R570" s="792"/>
      <c r="S570" s="792"/>
      <c r="T570" s="792"/>
      <c r="U570" s="792"/>
      <c r="V570" s="793"/>
      <c r="W570" s="792"/>
      <c r="X570" s="792"/>
      <c r="Y570" s="792"/>
      <c r="Z570" s="792"/>
      <c r="AA570" s="792"/>
    </row>
    <row r="571" spans="1:27" ht="15.75" customHeight="1">
      <c r="A571" s="792"/>
      <c r="B571" s="792"/>
      <c r="C571" s="792"/>
      <c r="D571" s="792"/>
      <c r="E571" s="792"/>
      <c r="F571" s="792"/>
      <c r="G571" s="792"/>
      <c r="H571" s="792"/>
      <c r="I571" s="792"/>
      <c r="J571" s="792"/>
      <c r="K571" s="792"/>
      <c r="L571" s="792"/>
      <c r="M571" s="792"/>
      <c r="N571" s="792"/>
      <c r="O571" s="792"/>
      <c r="P571" s="792"/>
      <c r="Q571" s="792"/>
      <c r="R571" s="792"/>
      <c r="S571" s="792"/>
      <c r="T571" s="792"/>
      <c r="U571" s="792"/>
      <c r="V571" s="793"/>
      <c r="W571" s="792"/>
      <c r="X571" s="792"/>
      <c r="Y571" s="792"/>
      <c r="Z571" s="792"/>
      <c r="AA571" s="792"/>
    </row>
    <row r="572" spans="1:27" ht="15.75" customHeight="1">
      <c r="A572" s="792"/>
      <c r="B572" s="792"/>
      <c r="C572" s="792"/>
      <c r="D572" s="792"/>
      <c r="E572" s="792"/>
      <c r="F572" s="792"/>
      <c r="G572" s="792"/>
      <c r="H572" s="792"/>
      <c r="I572" s="792"/>
      <c r="J572" s="792"/>
      <c r="K572" s="792"/>
      <c r="L572" s="792"/>
      <c r="M572" s="792"/>
      <c r="N572" s="792"/>
      <c r="O572" s="792"/>
      <c r="P572" s="792"/>
      <c r="Q572" s="792"/>
      <c r="R572" s="792"/>
      <c r="S572" s="792"/>
      <c r="T572" s="792"/>
      <c r="U572" s="792"/>
      <c r="V572" s="793"/>
      <c r="W572" s="792"/>
      <c r="X572" s="792"/>
      <c r="Y572" s="792"/>
      <c r="Z572" s="792"/>
      <c r="AA572" s="792"/>
    </row>
    <row r="573" spans="1:27" ht="15.75" customHeight="1">
      <c r="A573" s="792"/>
      <c r="B573" s="792"/>
      <c r="C573" s="792"/>
      <c r="D573" s="792"/>
      <c r="E573" s="792"/>
      <c r="F573" s="792"/>
      <c r="G573" s="792"/>
      <c r="H573" s="792"/>
      <c r="I573" s="792"/>
      <c r="J573" s="792"/>
      <c r="K573" s="792"/>
      <c r="L573" s="792"/>
      <c r="M573" s="792"/>
      <c r="N573" s="792"/>
      <c r="O573" s="792"/>
      <c r="P573" s="792"/>
      <c r="Q573" s="792"/>
      <c r="R573" s="792"/>
      <c r="S573" s="792"/>
      <c r="T573" s="792"/>
      <c r="U573" s="792"/>
      <c r="V573" s="793"/>
      <c r="W573" s="792"/>
      <c r="X573" s="792"/>
      <c r="Y573" s="792"/>
      <c r="Z573" s="792"/>
      <c r="AA573" s="792"/>
    </row>
    <row r="574" spans="1:27" ht="15.75" customHeight="1">
      <c r="A574" s="792"/>
      <c r="B574" s="792"/>
      <c r="C574" s="792"/>
      <c r="D574" s="792"/>
      <c r="E574" s="792"/>
      <c r="F574" s="792"/>
      <c r="G574" s="792"/>
      <c r="H574" s="792"/>
      <c r="I574" s="792"/>
      <c r="J574" s="792"/>
      <c r="K574" s="792"/>
      <c r="L574" s="792"/>
      <c r="M574" s="792"/>
      <c r="N574" s="792"/>
      <c r="O574" s="792"/>
      <c r="P574" s="792"/>
      <c r="Q574" s="792"/>
      <c r="R574" s="792"/>
      <c r="S574" s="792"/>
      <c r="T574" s="792"/>
      <c r="U574" s="792"/>
      <c r="V574" s="793"/>
      <c r="W574" s="792"/>
      <c r="X574" s="792"/>
      <c r="Y574" s="792"/>
      <c r="Z574" s="792"/>
      <c r="AA574" s="792"/>
    </row>
    <row r="575" spans="1:27" ht="15.75" customHeight="1">
      <c r="A575" s="792"/>
      <c r="B575" s="792"/>
      <c r="C575" s="792"/>
      <c r="D575" s="792"/>
      <c r="E575" s="792"/>
      <c r="F575" s="792"/>
      <c r="G575" s="792"/>
      <c r="H575" s="792"/>
      <c r="I575" s="792"/>
      <c r="J575" s="792"/>
      <c r="K575" s="792"/>
      <c r="L575" s="792"/>
      <c r="M575" s="792"/>
      <c r="N575" s="792"/>
      <c r="O575" s="792"/>
      <c r="P575" s="792"/>
      <c r="Q575" s="792"/>
      <c r="R575" s="792"/>
      <c r="S575" s="792"/>
      <c r="T575" s="792"/>
      <c r="U575" s="792"/>
      <c r="V575" s="793"/>
      <c r="W575" s="792"/>
      <c r="X575" s="792"/>
      <c r="Y575" s="792"/>
      <c r="Z575" s="792"/>
      <c r="AA575" s="792"/>
    </row>
    <row r="576" spans="1:27" ht="15.75" customHeight="1">
      <c r="A576" s="792"/>
      <c r="B576" s="792"/>
      <c r="C576" s="792"/>
      <c r="D576" s="792"/>
      <c r="E576" s="792"/>
      <c r="F576" s="792"/>
      <c r="G576" s="792"/>
      <c r="H576" s="792"/>
      <c r="I576" s="792"/>
      <c r="J576" s="792"/>
      <c r="K576" s="792"/>
      <c r="L576" s="792"/>
      <c r="M576" s="792"/>
      <c r="N576" s="792"/>
      <c r="O576" s="792"/>
      <c r="P576" s="792"/>
      <c r="Q576" s="792"/>
      <c r="R576" s="792"/>
      <c r="S576" s="792"/>
      <c r="T576" s="792"/>
      <c r="U576" s="792"/>
      <c r="V576" s="793"/>
      <c r="W576" s="792"/>
      <c r="X576" s="792"/>
      <c r="Y576" s="792"/>
      <c r="Z576" s="792"/>
      <c r="AA576" s="792"/>
    </row>
    <row r="577" spans="1:27" ht="15.75" customHeight="1">
      <c r="A577" s="792"/>
      <c r="B577" s="792"/>
      <c r="C577" s="792"/>
      <c r="D577" s="792"/>
      <c r="E577" s="792"/>
      <c r="F577" s="792"/>
      <c r="G577" s="792"/>
      <c r="H577" s="792"/>
      <c r="I577" s="792"/>
      <c r="J577" s="792"/>
      <c r="K577" s="792"/>
      <c r="L577" s="792"/>
      <c r="M577" s="792"/>
      <c r="N577" s="792"/>
      <c r="O577" s="792"/>
      <c r="P577" s="792"/>
      <c r="Q577" s="792"/>
      <c r="R577" s="792"/>
      <c r="S577" s="792"/>
      <c r="T577" s="792"/>
      <c r="U577" s="792"/>
      <c r="V577" s="793"/>
      <c r="W577" s="792"/>
      <c r="X577" s="792"/>
      <c r="Y577" s="792"/>
      <c r="Z577" s="792"/>
      <c r="AA577" s="792"/>
    </row>
    <row r="578" spans="1:27" ht="15.75" customHeight="1">
      <c r="A578" s="792"/>
      <c r="B578" s="792"/>
      <c r="C578" s="792"/>
      <c r="D578" s="792"/>
      <c r="E578" s="792"/>
      <c r="F578" s="792"/>
      <c r="G578" s="792"/>
      <c r="H578" s="792"/>
      <c r="I578" s="792"/>
      <c r="J578" s="792"/>
      <c r="K578" s="792"/>
      <c r="L578" s="792"/>
      <c r="M578" s="792"/>
      <c r="N578" s="792"/>
      <c r="O578" s="792"/>
      <c r="P578" s="792"/>
      <c r="Q578" s="792"/>
      <c r="R578" s="792"/>
      <c r="S578" s="792"/>
      <c r="T578" s="792"/>
      <c r="U578" s="792"/>
      <c r="V578" s="793"/>
      <c r="W578" s="792"/>
      <c r="X578" s="792"/>
      <c r="Y578" s="792"/>
      <c r="Z578" s="792"/>
      <c r="AA578" s="792"/>
    </row>
    <row r="579" spans="1:27" ht="15.75" customHeight="1">
      <c r="A579" s="792"/>
      <c r="B579" s="792"/>
      <c r="C579" s="792"/>
      <c r="D579" s="792"/>
      <c r="E579" s="792"/>
      <c r="F579" s="792"/>
      <c r="G579" s="792"/>
      <c r="H579" s="792"/>
      <c r="I579" s="792"/>
      <c r="J579" s="792"/>
      <c r="K579" s="792"/>
      <c r="L579" s="792"/>
      <c r="M579" s="792"/>
      <c r="N579" s="792"/>
      <c r="O579" s="792"/>
      <c r="P579" s="792"/>
      <c r="Q579" s="792"/>
      <c r="R579" s="792"/>
      <c r="S579" s="792"/>
      <c r="T579" s="792"/>
      <c r="U579" s="792"/>
      <c r="V579" s="793"/>
      <c r="W579" s="792"/>
      <c r="X579" s="792"/>
      <c r="Y579" s="792"/>
      <c r="Z579" s="792"/>
      <c r="AA579" s="792"/>
    </row>
    <row r="580" spans="1:27" ht="15.75" customHeight="1">
      <c r="A580" s="792"/>
      <c r="B580" s="792"/>
      <c r="C580" s="792"/>
      <c r="D580" s="792"/>
      <c r="E580" s="792"/>
      <c r="F580" s="792"/>
      <c r="G580" s="792"/>
      <c r="H580" s="792"/>
      <c r="I580" s="792"/>
      <c r="J580" s="792"/>
      <c r="K580" s="792"/>
      <c r="L580" s="792"/>
      <c r="M580" s="792"/>
      <c r="N580" s="792"/>
      <c r="O580" s="792"/>
      <c r="P580" s="792"/>
      <c r="Q580" s="792"/>
      <c r="R580" s="792"/>
      <c r="S580" s="792"/>
      <c r="T580" s="792"/>
      <c r="U580" s="792"/>
      <c r="V580" s="793"/>
      <c r="W580" s="792"/>
      <c r="X580" s="792"/>
      <c r="Y580" s="792"/>
      <c r="Z580" s="792"/>
      <c r="AA580" s="792"/>
    </row>
    <row r="581" spans="1:27" ht="15.75" customHeight="1">
      <c r="A581" s="792"/>
      <c r="B581" s="792"/>
      <c r="C581" s="792"/>
      <c r="D581" s="792"/>
      <c r="E581" s="792"/>
      <c r="F581" s="792"/>
      <c r="G581" s="792"/>
      <c r="H581" s="792"/>
      <c r="I581" s="792"/>
      <c r="J581" s="792"/>
      <c r="K581" s="792"/>
      <c r="L581" s="792"/>
      <c r="M581" s="792"/>
      <c r="N581" s="792"/>
      <c r="O581" s="792"/>
      <c r="P581" s="792"/>
      <c r="Q581" s="792"/>
      <c r="R581" s="792"/>
      <c r="S581" s="792"/>
      <c r="T581" s="792"/>
      <c r="U581" s="792"/>
      <c r="V581" s="793"/>
      <c r="W581" s="792"/>
      <c r="X581" s="792"/>
      <c r="Y581" s="792"/>
      <c r="Z581" s="792"/>
      <c r="AA581" s="792"/>
    </row>
    <row r="582" spans="1:27" ht="15.75" customHeight="1">
      <c r="A582" s="792"/>
      <c r="B582" s="792"/>
      <c r="C582" s="792"/>
      <c r="D582" s="792"/>
      <c r="E582" s="792"/>
      <c r="F582" s="792"/>
      <c r="G582" s="792"/>
      <c r="H582" s="792"/>
      <c r="I582" s="792"/>
      <c r="J582" s="792"/>
      <c r="K582" s="792"/>
      <c r="L582" s="792"/>
      <c r="M582" s="792"/>
      <c r="N582" s="792"/>
      <c r="O582" s="792"/>
      <c r="P582" s="792"/>
      <c r="Q582" s="792"/>
      <c r="R582" s="792"/>
      <c r="S582" s="792"/>
      <c r="T582" s="792"/>
      <c r="U582" s="792"/>
      <c r="V582" s="793"/>
      <c r="W582" s="792"/>
      <c r="X582" s="792"/>
      <c r="Y582" s="792"/>
      <c r="Z582" s="792"/>
      <c r="AA582" s="792"/>
    </row>
    <row r="583" spans="1:27" ht="15.75" customHeight="1">
      <c r="A583" s="792"/>
      <c r="B583" s="792"/>
      <c r="C583" s="792"/>
      <c r="D583" s="792"/>
      <c r="E583" s="792"/>
      <c r="F583" s="792"/>
      <c r="G583" s="792"/>
      <c r="H583" s="792"/>
      <c r="I583" s="792"/>
      <c r="J583" s="792"/>
      <c r="K583" s="792"/>
      <c r="L583" s="792"/>
      <c r="M583" s="792"/>
      <c r="N583" s="792"/>
      <c r="O583" s="792"/>
      <c r="P583" s="792"/>
      <c r="Q583" s="792"/>
      <c r="R583" s="792"/>
      <c r="S583" s="792"/>
      <c r="T583" s="792"/>
      <c r="U583" s="792"/>
      <c r="V583" s="793"/>
      <c r="W583" s="792"/>
      <c r="X583" s="792"/>
      <c r="Y583" s="792"/>
      <c r="Z583" s="792"/>
      <c r="AA583" s="792"/>
    </row>
    <row r="584" spans="1:27" ht="15.75" customHeight="1">
      <c r="A584" s="792"/>
      <c r="B584" s="792"/>
      <c r="C584" s="792"/>
      <c r="D584" s="792"/>
      <c r="E584" s="792"/>
      <c r="F584" s="792"/>
      <c r="G584" s="792"/>
      <c r="H584" s="792"/>
      <c r="I584" s="792"/>
      <c r="J584" s="792"/>
      <c r="K584" s="792"/>
      <c r="L584" s="792"/>
      <c r="M584" s="792"/>
      <c r="N584" s="792"/>
      <c r="O584" s="792"/>
      <c r="P584" s="792"/>
      <c r="Q584" s="792"/>
      <c r="R584" s="792"/>
      <c r="S584" s="792"/>
      <c r="T584" s="792"/>
      <c r="U584" s="792"/>
      <c r="V584" s="793"/>
      <c r="W584" s="792"/>
      <c r="X584" s="792"/>
      <c r="Y584" s="792"/>
      <c r="Z584" s="792"/>
      <c r="AA584" s="792"/>
    </row>
    <row r="585" spans="1:27" ht="15.75" customHeight="1">
      <c r="A585" s="792"/>
      <c r="B585" s="792"/>
      <c r="C585" s="792"/>
      <c r="D585" s="792"/>
      <c r="E585" s="792"/>
      <c r="F585" s="792"/>
      <c r="G585" s="792"/>
      <c r="H585" s="792"/>
      <c r="I585" s="792"/>
      <c r="J585" s="792"/>
      <c r="K585" s="792"/>
      <c r="L585" s="792"/>
      <c r="M585" s="792"/>
      <c r="N585" s="792"/>
      <c r="O585" s="792"/>
      <c r="P585" s="792"/>
      <c r="Q585" s="792"/>
      <c r="R585" s="792"/>
      <c r="S585" s="792"/>
      <c r="T585" s="792"/>
      <c r="U585" s="792"/>
      <c r="V585" s="793"/>
      <c r="W585" s="792"/>
      <c r="X585" s="792"/>
      <c r="Y585" s="792"/>
      <c r="Z585" s="792"/>
      <c r="AA585" s="792"/>
    </row>
    <row r="586" spans="1:27" ht="15.75" customHeight="1">
      <c r="A586" s="792"/>
      <c r="B586" s="792"/>
      <c r="C586" s="792"/>
      <c r="D586" s="792"/>
      <c r="E586" s="792"/>
      <c r="F586" s="792"/>
      <c r="G586" s="792"/>
      <c r="H586" s="792"/>
      <c r="I586" s="792"/>
      <c r="J586" s="792"/>
      <c r="K586" s="792"/>
      <c r="L586" s="792"/>
      <c r="M586" s="792"/>
      <c r="N586" s="792"/>
      <c r="O586" s="792"/>
      <c r="P586" s="792"/>
      <c r="Q586" s="792"/>
      <c r="R586" s="792"/>
      <c r="S586" s="792"/>
      <c r="T586" s="792"/>
      <c r="U586" s="792"/>
      <c r="V586" s="793"/>
      <c r="W586" s="792"/>
      <c r="X586" s="792"/>
      <c r="Y586" s="792"/>
      <c r="Z586" s="792"/>
      <c r="AA586" s="792"/>
    </row>
    <row r="587" spans="1:27" ht="15.75" customHeight="1">
      <c r="A587" s="792"/>
      <c r="B587" s="792"/>
      <c r="C587" s="792"/>
      <c r="D587" s="792"/>
      <c r="E587" s="792"/>
      <c r="F587" s="792"/>
      <c r="G587" s="792"/>
      <c r="H587" s="792"/>
      <c r="I587" s="792"/>
      <c r="J587" s="792"/>
      <c r="K587" s="792"/>
      <c r="L587" s="792"/>
      <c r="M587" s="792"/>
      <c r="N587" s="792"/>
      <c r="O587" s="792"/>
      <c r="P587" s="792"/>
      <c r="Q587" s="792"/>
      <c r="R587" s="792"/>
      <c r="S587" s="792"/>
      <c r="T587" s="792"/>
      <c r="U587" s="792"/>
      <c r="V587" s="793"/>
      <c r="W587" s="792"/>
      <c r="X587" s="792"/>
      <c r="Y587" s="792"/>
      <c r="Z587" s="792"/>
      <c r="AA587" s="792"/>
    </row>
    <row r="588" spans="1:27" ht="15.75" customHeight="1">
      <c r="A588" s="792"/>
      <c r="B588" s="792"/>
      <c r="C588" s="792"/>
      <c r="D588" s="792"/>
      <c r="E588" s="792"/>
      <c r="F588" s="792"/>
      <c r="G588" s="792"/>
      <c r="H588" s="792"/>
      <c r="I588" s="792"/>
      <c r="J588" s="792"/>
      <c r="K588" s="792"/>
      <c r="L588" s="792"/>
      <c r="M588" s="792"/>
      <c r="N588" s="792"/>
      <c r="O588" s="792"/>
      <c r="P588" s="792"/>
      <c r="Q588" s="792"/>
      <c r="R588" s="792"/>
      <c r="S588" s="792"/>
      <c r="T588" s="792"/>
      <c r="U588" s="792"/>
      <c r="V588" s="793"/>
      <c r="W588" s="792"/>
      <c r="X588" s="792"/>
      <c r="Y588" s="792"/>
      <c r="Z588" s="792"/>
      <c r="AA588" s="792"/>
    </row>
    <row r="589" spans="1:27" ht="15.75" customHeight="1">
      <c r="A589" s="792"/>
      <c r="B589" s="792"/>
      <c r="C589" s="792"/>
      <c r="D589" s="792"/>
      <c r="E589" s="792"/>
      <c r="F589" s="792"/>
      <c r="G589" s="792"/>
      <c r="H589" s="792"/>
      <c r="I589" s="792"/>
      <c r="J589" s="792"/>
      <c r="K589" s="792"/>
      <c r="L589" s="792"/>
      <c r="M589" s="792"/>
      <c r="N589" s="792"/>
      <c r="O589" s="792"/>
      <c r="P589" s="792"/>
      <c r="Q589" s="792"/>
      <c r="R589" s="792"/>
      <c r="S589" s="792"/>
      <c r="T589" s="792"/>
      <c r="U589" s="792"/>
      <c r="V589" s="793"/>
      <c r="W589" s="792"/>
      <c r="X589" s="792"/>
      <c r="Y589" s="792"/>
      <c r="Z589" s="792"/>
      <c r="AA589" s="792"/>
    </row>
    <row r="590" spans="1:27" ht="15.75" customHeight="1">
      <c r="A590" s="792"/>
      <c r="B590" s="792"/>
      <c r="C590" s="792"/>
      <c r="D590" s="792"/>
      <c r="E590" s="792"/>
      <c r="F590" s="792"/>
      <c r="G590" s="792"/>
      <c r="H590" s="792"/>
      <c r="I590" s="792"/>
      <c r="J590" s="792"/>
      <c r="K590" s="792"/>
      <c r="L590" s="792"/>
      <c r="M590" s="792"/>
      <c r="N590" s="792"/>
      <c r="O590" s="792"/>
      <c r="P590" s="792"/>
      <c r="Q590" s="792"/>
      <c r="R590" s="792"/>
      <c r="S590" s="792"/>
      <c r="T590" s="792"/>
      <c r="U590" s="792"/>
      <c r="V590" s="793"/>
      <c r="W590" s="792"/>
      <c r="X590" s="792"/>
      <c r="Y590" s="792"/>
      <c r="Z590" s="792"/>
      <c r="AA590" s="792"/>
    </row>
    <row r="591" spans="1:27" ht="15.75" customHeight="1">
      <c r="A591" s="792"/>
      <c r="B591" s="792"/>
      <c r="C591" s="792"/>
      <c r="D591" s="792"/>
      <c r="E591" s="792"/>
      <c r="F591" s="792"/>
      <c r="G591" s="792"/>
      <c r="H591" s="792"/>
      <c r="I591" s="792"/>
      <c r="J591" s="792"/>
      <c r="K591" s="792"/>
      <c r="L591" s="792"/>
      <c r="M591" s="792"/>
      <c r="N591" s="792"/>
      <c r="O591" s="792"/>
      <c r="P591" s="792"/>
      <c r="Q591" s="792"/>
      <c r="R591" s="792"/>
      <c r="S591" s="792"/>
      <c r="T591" s="792"/>
      <c r="U591" s="792"/>
      <c r="V591" s="793"/>
      <c r="W591" s="792"/>
      <c r="X591" s="792"/>
      <c r="Y591" s="792"/>
      <c r="Z591" s="792"/>
      <c r="AA591" s="792"/>
    </row>
    <row r="592" spans="1:27" ht="15.75" customHeight="1">
      <c r="A592" s="792"/>
      <c r="B592" s="792"/>
      <c r="C592" s="792"/>
      <c r="D592" s="792"/>
      <c r="E592" s="792"/>
      <c r="F592" s="792"/>
      <c r="G592" s="792"/>
      <c r="H592" s="792"/>
      <c r="I592" s="792"/>
      <c r="J592" s="792"/>
      <c r="K592" s="792"/>
      <c r="L592" s="792"/>
      <c r="M592" s="792"/>
      <c r="N592" s="792"/>
      <c r="O592" s="792"/>
      <c r="P592" s="792"/>
      <c r="Q592" s="792"/>
      <c r="R592" s="792"/>
      <c r="S592" s="792"/>
      <c r="T592" s="792"/>
      <c r="U592" s="792"/>
      <c r="V592" s="793"/>
      <c r="W592" s="792"/>
      <c r="X592" s="792"/>
      <c r="Y592" s="792"/>
      <c r="Z592" s="792"/>
      <c r="AA592" s="792"/>
    </row>
    <row r="593" spans="1:27" ht="15.75" customHeight="1">
      <c r="A593" s="792"/>
      <c r="B593" s="792"/>
      <c r="C593" s="792"/>
      <c r="D593" s="792"/>
      <c r="E593" s="792"/>
      <c r="F593" s="792"/>
      <c r="G593" s="792"/>
      <c r="H593" s="792"/>
      <c r="I593" s="792"/>
      <c r="J593" s="792"/>
      <c r="K593" s="792"/>
      <c r="L593" s="792"/>
      <c r="M593" s="792"/>
      <c r="N593" s="792"/>
      <c r="O593" s="792"/>
      <c r="P593" s="792"/>
      <c r="Q593" s="792"/>
      <c r="R593" s="792"/>
      <c r="S593" s="792"/>
      <c r="T593" s="792"/>
      <c r="U593" s="792"/>
      <c r="V593" s="793"/>
      <c r="W593" s="792"/>
      <c r="X593" s="792"/>
      <c r="Y593" s="792"/>
      <c r="Z593" s="792"/>
      <c r="AA593" s="792"/>
    </row>
    <row r="594" spans="1:27" ht="15.75" customHeight="1">
      <c r="A594" s="792"/>
      <c r="B594" s="792"/>
      <c r="C594" s="792"/>
      <c r="D594" s="792"/>
      <c r="E594" s="792"/>
      <c r="F594" s="792"/>
      <c r="G594" s="792"/>
      <c r="H594" s="792"/>
      <c r="I594" s="792"/>
      <c r="J594" s="792"/>
      <c r="K594" s="792"/>
      <c r="L594" s="792"/>
      <c r="M594" s="792"/>
      <c r="N594" s="792"/>
      <c r="O594" s="792"/>
      <c r="P594" s="792"/>
      <c r="Q594" s="792"/>
      <c r="R594" s="792"/>
      <c r="S594" s="792"/>
      <c r="T594" s="792"/>
      <c r="U594" s="792"/>
      <c r="V594" s="793"/>
      <c r="W594" s="792"/>
      <c r="X594" s="792"/>
      <c r="Y594" s="792"/>
      <c r="Z594" s="792"/>
      <c r="AA594" s="792"/>
    </row>
    <row r="595" spans="1:27" ht="15.75" customHeight="1">
      <c r="A595" s="792"/>
      <c r="B595" s="792"/>
      <c r="C595" s="792"/>
      <c r="D595" s="792"/>
      <c r="E595" s="792"/>
      <c r="F595" s="792"/>
      <c r="G595" s="792"/>
      <c r="H595" s="792"/>
      <c r="I595" s="792"/>
      <c r="J595" s="792"/>
      <c r="K595" s="792"/>
      <c r="L595" s="792"/>
      <c r="M595" s="792"/>
      <c r="N595" s="792"/>
      <c r="O595" s="792"/>
      <c r="P595" s="792"/>
      <c r="Q595" s="792"/>
      <c r="R595" s="792"/>
      <c r="S595" s="792"/>
      <c r="T595" s="792"/>
      <c r="U595" s="792"/>
      <c r="V595" s="793"/>
      <c r="W595" s="792"/>
      <c r="X595" s="792"/>
      <c r="Y595" s="792"/>
      <c r="Z595" s="792"/>
      <c r="AA595" s="792"/>
    </row>
    <row r="596" spans="1:27" ht="15.75" customHeight="1">
      <c r="A596" s="792"/>
      <c r="B596" s="792"/>
      <c r="C596" s="792"/>
      <c r="D596" s="792"/>
      <c r="E596" s="792"/>
      <c r="F596" s="792"/>
      <c r="G596" s="792"/>
      <c r="H596" s="792"/>
      <c r="I596" s="792"/>
      <c r="J596" s="792"/>
      <c r="K596" s="792"/>
      <c r="L596" s="792"/>
      <c r="M596" s="792"/>
      <c r="N596" s="792"/>
      <c r="O596" s="792"/>
      <c r="P596" s="792"/>
      <c r="Q596" s="792"/>
      <c r="R596" s="792"/>
      <c r="S596" s="792"/>
      <c r="T596" s="792"/>
      <c r="U596" s="792"/>
      <c r="V596" s="793"/>
      <c r="W596" s="792"/>
      <c r="X596" s="792"/>
      <c r="Y596" s="792"/>
      <c r="Z596" s="792"/>
      <c r="AA596" s="792"/>
    </row>
    <row r="597" spans="1:27" ht="15.75" customHeight="1">
      <c r="A597" s="792"/>
      <c r="B597" s="792"/>
      <c r="C597" s="792"/>
      <c r="D597" s="792"/>
      <c r="E597" s="792"/>
      <c r="F597" s="792"/>
      <c r="G597" s="792"/>
      <c r="H597" s="792"/>
      <c r="I597" s="792"/>
      <c r="J597" s="792"/>
      <c r="K597" s="792"/>
      <c r="L597" s="792"/>
      <c r="M597" s="792"/>
      <c r="N597" s="792"/>
      <c r="O597" s="792"/>
      <c r="P597" s="792"/>
      <c r="Q597" s="792"/>
      <c r="R597" s="792"/>
      <c r="S597" s="792"/>
      <c r="T597" s="792"/>
      <c r="U597" s="792"/>
      <c r="V597" s="793"/>
      <c r="W597" s="792"/>
      <c r="X597" s="792"/>
      <c r="Y597" s="792"/>
      <c r="Z597" s="792"/>
      <c r="AA597" s="792"/>
    </row>
    <row r="598" spans="1:27" ht="15.75" customHeight="1">
      <c r="A598" s="792"/>
      <c r="B598" s="792"/>
      <c r="C598" s="792"/>
      <c r="D598" s="792"/>
      <c r="E598" s="792"/>
      <c r="F598" s="792"/>
      <c r="G598" s="792"/>
      <c r="H598" s="792"/>
      <c r="I598" s="792"/>
      <c r="J598" s="792"/>
      <c r="K598" s="792"/>
      <c r="L598" s="792"/>
      <c r="M598" s="792"/>
      <c r="N598" s="792"/>
      <c r="O598" s="792"/>
      <c r="P598" s="792"/>
      <c r="Q598" s="792"/>
      <c r="R598" s="792"/>
      <c r="S598" s="792"/>
      <c r="T598" s="792"/>
      <c r="U598" s="792"/>
      <c r="V598" s="793"/>
      <c r="W598" s="792"/>
      <c r="X598" s="792"/>
      <c r="Y598" s="792"/>
      <c r="Z598" s="792"/>
      <c r="AA598" s="792"/>
    </row>
    <row r="599" spans="1:27" ht="15.75" customHeight="1">
      <c r="A599" s="792"/>
      <c r="B599" s="792"/>
      <c r="C599" s="792"/>
      <c r="D599" s="792"/>
      <c r="E599" s="792"/>
      <c r="F599" s="792"/>
      <c r="G599" s="792"/>
      <c r="H599" s="792"/>
      <c r="I599" s="792"/>
      <c r="J599" s="792"/>
      <c r="K599" s="792"/>
      <c r="L599" s="792"/>
      <c r="M599" s="792"/>
      <c r="N599" s="792"/>
      <c r="O599" s="792"/>
      <c r="P599" s="792"/>
      <c r="Q599" s="792"/>
      <c r="R599" s="792"/>
      <c r="S599" s="792"/>
      <c r="T599" s="792"/>
      <c r="U599" s="792"/>
      <c r="V599" s="793"/>
      <c r="W599" s="792"/>
      <c r="X599" s="792"/>
      <c r="Y599" s="792"/>
      <c r="Z599" s="792"/>
      <c r="AA599" s="792"/>
    </row>
    <row r="600" spans="1:27" ht="15.75" customHeight="1">
      <c r="A600" s="792"/>
      <c r="B600" s="792"/>
      <c r="C600" s="792"/>
      <c r="D600" s="792"/>
      <c r="E600" s="792"/>
      <c r="F600" s="792"/>
      <c r="G600" s="792"/>
      <c r="H600" s="792"/>
      <c r="I600" s="792"/>
      <c r="J600" s="792"/>
      <c r="K600" s="792"/>
      <c r="L600" s="792"/>
      <c r="M600" s="792"/>
      <c r="N600" s="792"/>
      <c r="O600" s="792"/>
      <c r="P600" s="792"/>
      <c r="Q600" s="792"/>
      <c r="R600" s="792"/>
      <c r="S600" s="792"/>
      <c r="T600" s="792"/>
      <c r="U600" s="792"/>
      <c r="V600" s="793"/>
      <c r="W600" s="792"/>
      <c r="X600" s="792"/>
      <c r="Y600" s="792"/>
      <c r="Z600" s="792"/>
      <c r="AA600" s="792"/>
    </row>
    <row r="601" spans="1:27" ht="15.75" customHeight="1">
      <c r="A601" s="792"/>
      <c r="B601" s="792"/>
      <c r="C601" s="792"/>
      <c r="D601" s="792"/>
      <c r="E601" s="792"/>
      <c r="F601" s="792"/>
      <c r="G601" s="792"/>
      <c r="H601" s="792"/>
      <c r="I601" s="792"/>
      <c r="J601" s="792"/>
      <c r="K601" s="792"/>
      <c r="L601" s="792"/>
      <c r="M601" s="792"/>
      <c r="N601" s="792"/>
      <c r="O601" s="792"/>
      <c r="P601" s="792"/>
      <c r="Q601" s="792"/>
      <c r="R601" s="792"/>
      <c r="S601" s="792"/>
      <c r="T601" s="792"/>
      <c r="U601" s="792"/>
      <c r="V601" s="793"/>
      <c r="W601" s="792"/>
      <c r="X601" s="792"/>
      <c r="Y601" s="792"/>
      <c r="Z601" s="792"/>
      <c r="AA601" s="792"/>
    </row>
    <row r="602" spans="1:27" ht="15.75" customHeight="1">
      <c r="A602" s="792"/>
      <c r="B602" s="792"/>
      <c r="C602" s="792"/>
      <c r="D602" s="792"/>
      <c r="E602" s="792"/>
      <c r="F602" s="792"/>
      <c r="G602" s="792"/>
      <c r="H602" s="792"/>
      <c r="I602" s="792"/>
      <c r="J602" s="792"/>
      <c r="K602" s="792"/>
      <c r="L602" s="792"/>
      <c r="M602" s="792"/>
      <c r="N602" s="792"/>
      <c r="O602" s="792"/>
      <c r="P602" s="792"/>
      <c r="Q602" s="792"/>
      <c r="R602" s="792"/>
      <c r="S602" s="792"/>
      <c r="T602" s="792"/>
      <c r="U602" s="792"/>
      <c r="V602" s="793"/>
      <c r="W602" s="792"/>
      <c r="X602" s="792"/>
      <c r="Y602" s="792"/>
      <c r="Z602" s="792"/>
      <c r="AA602" s="792"/>
    </row>
    <row r="603" spans="1:27" ht="15.75" customHeight="1">
      <c r="A603" s="792"/>
      <c r="B603" s="792"/>
      <c r="C603" s="792"/>
      <c r="D603" s="792"/>
      <c r="E603" s="792"/>
      <c r="F603" s="792"/>
      <c r="G603" s="792"/>
      <c r="H603" s="792"/>
      <c r="I603" s="792"/>
      <c r="J603" s="792"/>
      <c r="K603" s="792"/>
      <c r="L603" s="792"/>
      <c r="M603" s="792"/>
      <c r="N603" s="792"/>
      <c r="O603" s="792"/>
      <c r="P603" s="792"/>
      <c r="Q603" s="792"/>
      <c r="R603" s="792"/>
      <c r="S603" s="792"/>
      <c r="T603" s="792"/>
      <c r="U603" s="792"/>
      <c r="V603" s="793"/>
      <c r="W603" s="792"/>
      <c r="X603" s="792"/>
      <c r="Y603" s="792"/>
      <c r="Z603" s="792"/>
      <c r="AA603" s="792"/>
    </row>
    <row r="604" spans="1:27" ht="15.75" customHeight="1">
      <c r="A604" s="792"/>
      <c r="B604" s="792"/>
      <c r="C604" s="792"/>
      <c r="D604" s="792"/>
      <c r="E604" s="792"/>
      <c r="F604" s="792"/>
      <c r="G604" s="792"/>
      <c r="H604" s="792"/>
      <c r="I604" s="792"/>
      <c r="J604" s="792"/>
      <c r="K604" s="792"/>
      <c r="L604" s="792"/>
      <c r="M604" s="792"/>
      <c r="N604" s="792"/>
      <c r="O604" s="792"/>
      <c r="P604" s="792"/>
      <c r="Q604" s="792"/>
      <c r="R604" s="792"/>
      <c r="S604" s="792"/>
      <c r="T604" s="792"/>
      <c r="U604" s="792"/>
      <c r="V604" s="793"/>
      <c r="W604" s="792"/>
      <c r="X604" s="792"/>
      <c r="Y604" s="792"/>
      <c r="Z604" s="792"/>
      <c r="AA604" s="792"/>
    </row>
    <row r="605" spans="1:27" ht="15.75" customHeight="1">
      <c r="A605" s="792"/>
      <c r="B605" s="792"/>
      <c r="C605" s="792"/>
      <c r="D605" s="792"/>
      <c r="E605" s="792"/>
      <c r="F605" s="792"/>
      <c r="G605" s="792"/>
      <c r="H605" s="792"/>
      <c r="I605" s="792"/>
      <c r="J605" s="792"/>
      <c r="K605" s="792"/>
      <c r="L605" s="792"/>
      <c r="M605" s="792"/>
      <c r="N605" s="792"/>
      <c r="O605" s="792"/>
      <c r="P605" s="792"/>
      <c r="Q605" s="792"/>
      <c r="R605" s="792"/>
      <c r="S605" s="792"/>
      <c r="T605" s="792"/>
      <c r="U605" s="792"/>
      <c r="V605" s="793"/>
      <c r="W605" s="792"/>
      <c r="X605" s="792"/>
      <c r="Y605" s="792"/>
      <c r="Z605" s="792"/>
      <c r="AA605" s="792"/>
    </row>
    <row r="606" spans="1:27" ht="15.75" customHeight="1">
      <c r="A606" s="792"/>
      <c r="B606" s="792"/>
      <c r="C606" s="792"/>
      <c r="D606" s="792"/>
      <c r="E606" s="792"/>
      <c r="F606" s="792"/>
      <c r="G606" s="792"/>
      <c r="H606" s="792"/>
      <c r="I606" s="792"/>
      <c r="J606" s="792"/>
      <c r="K606" s="792"/>
      <c r="L606" s="792"/>
      <c r="M606" s="792"/>
      <c r="N606" s="792"/>
      <c r="O606" s="792"/>
      <c r="P606" s="792"/>
      <c r="Q606" s="792"/>
      <c r="R606" s="792"/>
      <c r="S606" s="792"/>
      <c r="T606" s="792"/>
      <c r="U606" s="792"/>
      <c r="V606" s="793"/>
      <c r="W606" s="792"/>
      <c r="X606" s="792"/>
      <c r="Y606" s="792"/>
      <c r="Z606" s="792"/>
      <c r="AA606" s="792"/>
    </row>
    <row r="607" spans="1:27" ht="15.75" customHeight="1">
      <c r="A607" s="792"/>
      <c r="B607" s="792"/>
      <c r="C607" s="792"/>
      <c r="D607" s="792"/>
      <c r="E607" s="792"/>
      <c r="F607" s="792"/>
      <c r="G607" s="792"/>
      <c r="H607" s="792"/>
      <c r="I607" s="792"/>
      <c r="J607" s="792"/>
      <c r="K607" s="792"/>
      <c r="L607" s="792"/>
      <c r="M607" s="792"/>
      <c r="N607" s="792"/>
      <c r="O607" s="792"/>
      <c r="P607" s="792"/>
      <c r="Q607" s="792"/>
      <c r="R607" s="792"/>
      <c r="S607" s="792"/>
      <c r="T607" s="792"/>
      <c r="U607" s="792"/>
      <c r="V607" s="793"/>
      <c r="W607" s="792"/>
      <c r="X607" s="792"/>
      <c r="Y607" s="792"/>
      <c r="Z607" s="792"/>
      <c r="AA607" s="792"/>
    </row>
    <row r="608" spans="1:27" ht="15.75" customHeight="1">
      <c r="A608" s="792"/>
      <c r="B608" s="792"/>
      <c r="C608" s="792"/>
      <c r="D608" s="792"/>
      <c r="E608" s="792"/>
      <c r="F608" s="792"/>
      <c r="G608" s="792"/>
      <c r="H608" s="792"/>
      <c r="I608" s="792"/>
      <c r="J608" s="792"/>
      <c r="K608" s="792"/>
      <c r="L608" s="792"/>
      <c r="M608" s="792"/>
      <c r="N608" s="792"/>
      <c r="O608" s="792"/>
      <c r="P608" s="792"/>
      <c r="Q608" s="792"/>
      <c r="R608" s="792"/>
      <c r="S608" s="792"/>
      <c r="T608" s="792"/>
      <c r="U608" s="792"/>
      <c r="V608" s="793"/>
      <c r="W608" s="792"/>
      <c r="X608" s="792"/>
      <c r="Y608" s="792"/>
      <c r="Z608" s="792"/>
      <c r="AA608" s="792"/>
    </row>
    <row r="609" spans="1:27" ht="15.75" customHeight="1">
      <c r="A609" s="792"/>
      <c r="B609" s="792"/>
      <c r="C609" s="792"/>
      <c r="D609" s="792"/>
      <c r="E609" s="792"/>
      <c r="F609" s="792"/>
      <c r="G609" s="792"/>
      <c r="H609" s="792"/>
      <c r="I609" s="792"/>
      <c r="J609" s="792"/>
      <c r="K609" s="792"/>
      <c r="L609" s="792"/>
      <c r="M609" s="792"/>
      <c r="N609" s="792"/>
      <c r="O609" s="792"/>
      <c r="P609" s="792"/>
      <c r="Q609" s="792"/>
      <c r="R609" s="792"/>
      <c r="S609" s="792"/>
      <c r="T609" s="792"/>
      <c r="U609" s="792"/>
      <c r="V609" s="793"/>
      <c r="W609" s="792"/>
      <c r="X609" s="792"/>
      <c r="Y609" s="792"/>
      <c r="Z609" s="792"/>
      <c r="AA609" s="792"/>
    </row>
    <row r="610" spans="1:27" ht="15.75" customHeight="1">
      <c r="A610" s="792"/>
      <c r="B610" s="792"/>
      <c r="C610" s="792"/>
      <c r="D610" s="792"/>
      <c r="E610" s="792"/>
      <c r="F610" s="792"/>
      <c r="G610" s="792"/>
      <c r="H610" s="792"/>
      <c r="I610" s="792"/>
      <c r="J610" s="792"/>
      <c r="K610" s="792"/>
      <c r="L610" s="792"/>
      <c r="M610" s="792"/>
      <c r="N610" s="792"/>
      <c r="O610" s="792"/>
      <c r="P610" s="792"/>
      <c r="Q610" s="792"/>
      <c r="R610" s="792"/>
      <c r="S610" s="792"/>
      <c r="T610" s="792"/>
      <c r="U610" s="792"/>
      <c r="V610" s="793"/>
      <c r="W610" s="792"/>
      <c r="X610" s="792"/>
      <c r="Y610" s="792"/>
      <c r="Z610" s="792"/>
      <c r="AA610" s="792"/>
    </row>
    <row r="611" spans="1:27" ht="15.75" customHeight="1">
      <c r="A611" s="792"/>
      <c r="B611" s="792"/>
      <c r="C611" s="792"/>
      <c r="D611" s="792"/>
      <c r="E611" s="792"/>
      <c r="F611" s="792"/>
      <c r="G611" s="792"/>
      <c r="H611" s="792"/>
      <c r="I611" s="792"/>
      <c r="J611" s="792"/>
      <c r="K611" s="792"/>
      <c r="L611" s="792"/>
      <c r="M611" s="792"/>
      <c r="N611" s="792"/>
      <c r="O611" s="792"/>
      <c r="P611" s="792"/>
      <c r="Q611" s="792"/>
      <c r="R611" s="792"/>
      <c r="S611" s="792"/>
      <c r="T611" s="792"/>
      <c r="U611" s="792"/>
      <c r="V611" s="793"/>
      <c r="W611" s="792"/>
      <c r="X611" s="792"/>
      <c r="Y611" s="792"/>
      <c r="Z611" s="792"/>
      <c r="AA611" s="792"/>
    </row>
    <row r="612" spans="1:27" ht="15.75" customHeight="1">
      <c r="A612" s="792"/>
      <c r="B612" s="792"/>
      <c r="C612" s="792"/>
      <c r="D612" s="792"/>
      <c r="E612" s="792"/>
      <c r="F612" s="792"/>
      <c r="G612" s="792"/>
      <c r="H612" s="792"/>
      <c r="I612" s="792"/>
      <c r="J612" s="792"/>
      <c r="K612" s="792"/>
      <c r="L612" s="792"/>
      <c r="M612" s="792"/>
      <c r="N612" s="792"/>
      <c r="O612" s="792"/>
      <c r="P612" s="792"/>
      <c r="Q612" s="792"/>
      <c r="R612" s="792"/>
      <c r="S612" s="792"/>
      <c r="T612" s="792"/>
      <c r="U612" s="792"/>
      <c r="V612" s="793"/>
      <c r="W612" s="792"/>
      <c r="X612" s="792"/>
      <c r="Y612" s="792"/>
      <c r="Z612" s="792"/>
      <c r="AA612" s="792"/>
    </row>
    <row r="613" spans="1:27" ht="15.75" customHeight="1">
      <c r="A613" s="792"/>
      <c r="B613" s="792"/>
      <c r="C613" s="792"/>
      <c r="D613" s="792"/>
      <c r="E613" s="792"/>
      <c r="F613" s="792"/>
      <c r="G613" s="792"/>
      <c r="H613" s="792"/>
      <c r="I613" s="792"/>
      <c r="J613" s="792"/>
      <c r="K613" s="792"/>
      <c r="L613" s="792"/>
      <c r="M613" s="792"/>
      <c r="N613" s="792"/>
      <c r="O613" s="792"/>
      <c r="P613" s="792"/>
      <c r="Q613" s="792"/>
      <c r="R613" s="792"/>
      <c r="S613" s="792"/>
      <c r="T613" s="792"/>
      <c r="U613" s="792"/>
      <c r="V613" s="793"/>
      <c r="W613" s="792"/>
      <c r="X613" s="792"/>
      <c r="Y613" s="792"/>
      <c r="Z613" s="792"/>
      <c r="AA613" s="792"/>
    </row>
    <row r="614" spans="1:27" ht="15.75" customHeight="1">
      <c r="A614" s="792"/>
      <c r="B614" s="792"/>
      <c r="C614" s="792"/>
      <c r="D614" s="792"/>
      <c r="E614" s="792"/>
      <c r="F614" s="792"/>
      <c r="G614" s="792"/>
      <c r="H614" s="792"/>
      <c r="I614" s="792"/>
      <c r="J614" s="792"/>
      <c r="K614" s="792"/>
      <c r="L614" s="792"/>
      <c r="M614" s="792"/>
      <c r="N614" s="792"/>
      <c r="O614" s="792"/>
      <c r="P614" s="792"/>
      <c r="Q614" s="792"/>
      <c r="R614" s="792"/>
      <c r="S614" s="792"/>
      <c r="T614" s="792"/>
      <c r="U614" s="792"/>
      <c r="V614" s="793"/>
      <c r="W614" s="792"/>
      <c r="X614" s="792"/>
      <c r="Y614" s="792"/>
      <c r="Z614" s="792"/>
      <c r="AA614" s="792"/>
    </row>
    <row r="615" spans="1:27" ht="15.75" customHeight="1">
      <c r="A615" s="792"/>
      <c r="B615" s="792"/>
      <c r="C615" s="792"/>
      <c r="D615" s="792"/>
      <c r="E615" s="792"/>
      <c r="F615" s="792"/>
      <c r="G615" s="792"/>
      <c r="H615" s="792"/>
      <c r="I615" s="792"/>
      <c r="J615" s="792"/>
      <c r="K615" s="792"/>
      <c r="L615" s="792"/>
      <c r="M615" s="792"/>
      <c r="N615" s="792"/>
      <c r="O615" s="792"/>
      <c r="P615" s="792"/>
      <c r="Q615" s="792"/>
      <c r="R615" s="792"/>
      <c r="S615" s="792"/>
      <c r="T615" s="792"/>
      <c r="U615" s="792"/>
      <c r="V615" s="793"/>
      <c r="W615" s="792"/>
      <c r="X615" s="792"/>
      <c r="Y615" s="792"/>
      <c r="Z615" s="792"/>
      <c r="AA615" s="792"/>
    </row>
    <row r="616" spans="1:27" ht="15.75" customHeight="1">
      <c r="A616" s="792"/>
      <c r="B616" s="792"/>
      <c r="C616" s="792"/>
      <c r="D616" s="792"/>
      <c r="E616" s="792"/>
      <c r="F616" s="792"/>
      <c r="G616" s="792"/>
      <c r="H616" s="792"/>
      <c r="I616" s="792"/>
      <c r="J616" s="792"/>
      <c r="K616" s="792"/>
      <c r="L616" s="792"/>
      <c r="M616" s="792"/>
      <c r="N616" s="792"/>
      <c r="O616" s="792"/>
      <c r="P616" s="792"/>
      <c r="Q616" s="792"/>
      <c r="R616" s="792"/>
      <c r="S616" s="792"/>
      <c r="T616" s="792"/>
      <c r="U616" s="792"/>
      <c r="V616" s="793"/>
      <c r="W616" s="792"/>
      <c r="X616" s="792"/>
      <c r="Y616" s="792"/>
      <c r="Z616" s="792"/>
      <c r="AA616" s="792"/>
    </row>
    <row r="617" spans="1:27" ht="15.75" customHeight="1">
      <c r="A617" s="792"/>
      <c r="B617" s="792"/>
      <c r="C617" s="792"/>
      <c r="D617" s="792"/>
      <c r="E617" s="792"/>
      <c r="F617" s="792"/>
      <c r="G617" s="792"/>
      <c r="H617" s="792"/>
      <c r="I617" s="792"/>
      <c r="J617" s="792"/>
      <c r="K617" s="792"/>
      <c r="L617" s="792"/>
      <c r="M617" s="792"/>
      <c r="N617" s="792"/>
      <c r="O617" s="792"/>
      <c r="P617" s="792"/>
      <c r="Q617" s="792"/>
      <c r="R617" s="792"/>
      <c r="S617" s="792"/>
      <c r="T617" s="792"/>
      <c r="U617" s="792"/>
      <c r="V617" s="793"/>
      <c r="W617" s="792"/>
      <c r="X617" s="792"/>
      <c r="Y617" s="792"/>
      <c r="Z617" s="792"/>
      <c r="AA617" s="792"/>
    </row>
    <row r="618" spans="1:27" ht="15.75" customHeight="1">
      <c r="A618" s="792"/>
      <c r="B618" s="792"/>
      <c r="C618" s="792"/>
      <c r="D618" s="792"/>
      <c r="E618" s="792"/>
      <c r="F618" s="792"/>
      <c r="G618" s="792"/>
      <c r="H618" s="792"/>
      <c r="I618" s="792"/>
      <c r="J618" s="792"/>
      <c r="K618" s="792"/>
      <c r="L618" s="792"/>
      <c r="M618" s="792"/>
      <c r="N618" s="792"/>
      <c r="O618" s="792"/>
      <c r="P618" s="792"/>
      <c r="Q618" s="792"/>
      <c r="R618" s="792"/>
      <c r="S618" s="792"/>
      <c r="T618" s="792"/>
      <c r="U618" s="792"/>
      <c r="V618" s="793"/>
      <c r="W618" s="792"/>
      <c r="X618" s="792"/>
      <c r="Y618" s="792"/>
      <c r="Z618" s="792"/>
      <c r="AA618" s="792"/>
    </row>
    <row r="619" spans="1:27" ht="15.75" customHeight="1">
      <c r="A619" s="792"/>
      <c r="B619" s="792"/>
      <c r="C619" s="792"/>
      <c r="D619" s="792"/>
      <c r="E619" s="792"/>
      <c r="F619" s="792"/>
      <c r="G619" s="792"/>
      <c r="H619" s="792"/>
      <c r="I619" s="792"/>
      <c r="J619" s="792"/>
      <c r="K619" s="792"/>
      <c r="L619" s="792"/>
      <c r="M619" s="792"/>
      <c r="N619" s="792"/>
      <c r="O619" s="792"/>
      <c r="P619" s="792"/>
      <c r="Q619" s="792"/>
      <c r="R619" s="792"/>
      <c r="S619" s="792"/>
      <c r="T619" s="792"/>
      <c r="U619" s="792"/>
      <c r="V619" s="793"/>
      <c r="W619" s="792"/>
      <c r="X619" s="792"/>
      <c r="Y619" s="792"/>
      <c r="Z619" s="792"/>
      <c r="AA619" s="792"/>
    </row>
    <row r="620" spans="1:27" ht="15.75" customHeight="1">
      <c r="A620" s="792"/>
      <c r="B620" s="792"/>
      <c r="C620" s="792"/>
      <c r="D620" s="792"/>
      <c r="E620" s="792"/>
      <c r="F620" s="792"/>
      <c r="G620" s="792"/>
      <c r="H620" s="792"/>
      <c r="I620" s="792"/>
      <c r="J620" s="792"/>
      <c r="K620" s="792"/>
      <c r="L620" s="792"/>
      <c r="M620" s="792"/>
      <c r="N620" s="792"/>
      <c r="O620" s="792"/>
      <c r="P620" s="792"/>
      <c r="Q620" s="792"/>
      <c r="R620" s="792"/>
      <c r="S620" s="792"/>
      <c r="T620" s="792"/>
      <c r="U620" s="792"/>
      <c r="V620" s="793"/>
      <c r="W620" s="792"/>
      <c r="X620" s="792"/>
      <c r="Y620" s="792"/>
      <c r="Z620" s="792"/>
      <c r="AA620" s="792"/>
    </row>
    <row r="621" spans="1:27" ht="15.75" customHeight="1">
      <c r="A621" s="792"/>
      <c r="B621" s="792"/>
      <c r="C621" s="792"/>
      <c r="D621" s="792"/>
      <c r="E621" s="792"/>
      <c r="F621" s="792"/>
      <c r="G621" s="792"/>
      <c r="H621" s="792"/>
      <c r="I621" s="792"/>
      <c r="J621" s="792"/>
      <c r="K621" s="792"/>
      <c r="L621" s="792"/>
      <c r="M621" s="792"/>
      <c r="N621" s="792"/>
      <c r="O621" s="792"/>
      <c r="P621" s="792"/>
      <c r="Q621" s="792"/>
      <c r="R621" s="792"/>
      <c r="S621" s="792"/>
      <c r="T621" s="792"/>
      <c r="U621" s="792"/>
      <c r="V621" s="793"/>
      <c r="W621" s="792"/>
      <c r="X621" s="792"/>
      <c r="Y621" s="792"/>
      <c r="Z621" s="792"/>
      <c r="AA621" s="792"/>
    </row>
    <row r="622" spans="1:27" ht="15.75" customHeight="1">
      <c r="A622" s="792"/>
      <c r="B622" s="792"/>
      <c r="C622" s="792"/>
      <c r="D622" s="792"/>
      <c r="E622" s="792"/>
      <c r="F622" s="792"/>
      <c r="G622" s="792"/>
      <c r="H622" s="792"/>
      <c r="I622" s="792"/>
      <c r="J622" s="792"/>
      <c r="K622" s="792"/>
      <c r="L622" s="792"/>
      <c r="M622" s="792"/>
      <c r="N622" s="792"/>
      <c r="O622" s="792"/>
      <c r="P622" s="792"/>
      <c r="Q622" s="792"/>
      <c r="R622" s="792"/>
      <c r="S622" s="792"/>
      <c r="T622" s="792"/>
      <c r="U622" s="792"/>
      <c r="V622" s="793"/>
      <c r="W622" s="792"/>
      <c r="X622" s="792"/>
      <c r="Y622" s="792"/>
      <c r="Z622" s="792"/>
      <c r="AA622" s="792"/>
    </row>
    <row r="623" spans="1:27" ht="15.75" customHeight="1">
      <c r="A623" s="792"/>
      <c r="B623" s="792"/>
      <c r="C623" s="792"/>
      <c r="D623" s="792"/>
      <c r="E623" s="792"/>
      <c r="F623" s="792"/>
      <c r="G623" s="792"/>
      <c r="H623" s="792"/>
      <c r="I623" s="792"/>
      <c r="J623" s="792"/>
      <c r="K623" s="792"/>
      <c r="L623" s="792"/>
      <c r="M623" s="792"/>
      <c r="N623" s="792"/>
      <c r="O623" s="792"/>
      <c r="P623" s="792"/>
      <c r="Q623" s="792"/>
      <c r="R623" s="792"/>
      <c r="S623" s="792"/>
      <c r="T623" s="792"/>
      <c r="U623" s="792"/>
      <c r="V623" s="793"/>
      <c r="W623" s="792"/>
      <c r="X623" s="792"/>
      <c r="Y623" s="792"/>
      <c r="Z623" s="792"/>
      <c r="AA623" s="792"/>
    </row>
    <row r="624" spans="1:27" ht="15.75" customHeight="1">
      <c r="A624" s="792"/>
      <c r="B624" s="792"/>
      <c r="C624" s="792"/>
      <c r="D624" s="792"/>
      <c r="E624" s="792"/>
      <c r="F624" s="792"/>
      <c r="G624" s="792"/>
      <c r="H624" s="792"/>
      <c r="I624" s="792"/>
      <c r="J624" s="792"/>
      <c r="K624" s="792"/>
      <c r="L624" s="792"/>
      <c r="M624" s="792"/>
      <c r="N624" s="792"/>
      <c r="O624" s="792"/>
      <c r="P624" s="792"/>
      <c r="Q624" s="792"/>
      <c r="R624" s="792"/>
      <c r="S624" s="792"/>
      <c r="T624" s="792"/>
      <c r="U624" s="792"/>
      <c r="V624" s="793"/>
      <c r="W624" s="792"/>
      <c r="X624" s="792"/>
      <c r="Y624" s="792"/>
      <c r="Z624" s="792"/>
      <c r="AA624" s="792"/>
    </row>
    <row r="625" spans="1:27" ht="15.75" customHeight="1">
      <c r="A625" s="792"/>
      <c r="B625" s="792"/>
      <c r="C625" s="792"/>
      <c r="D625" s="792"/>
      <c r="E625" s="792"/>
      <c r="F625" s="792"/>
      <c r="G625" s="792"/>
      <c r="H625" s="792"/>
      <c r="I625" s="792"/>
      <c r="J625" s="792"/>
      <c r="K625" s="792"/>
      <c r="L625" s="792"/>
      <c r="M625" s="792"/>
      <c r="N625" s="792"/>
      <c r="O625" s="792"/>
      <c r="P625" s="792"/>
      <c r="Q625" s="792"/>
      <c r="R625" s="792"/>
      <c r="S625" s="792"/>
      <c r="T625" s="792"/>
      <c r="U625" s="792"/>
      <c r="V625" s="793"/>
      <c r="W625" s="792"/>
      <c r="X625" s="792"/>
      <c r="Y625" s="792"/>
      <c r="Z625" s="792"/>
      <c r="AA625" s="792"/>
    </row>
    <row r="626" spans="1:27" ht="15.75" customHeight="1">
      <c r="A626" s="792"/>
      <c r="B626" s="792"/>
      <c r="C626" s="792"/>
      <c r="D626" s="792"/>
      <c r="E626" s="792"/>
      <c r="F626" s="792"/>
      <c r="G626" s="792"/>
      <c r="H626" s="792"/>
      <c r="I626" s="792"/>
      <c r="J626" s="792"/>
      <c r="K626" s="792"/>
      <c r="L626" s="792"/>
      <c r="M626" s="792"/>
      <c r="N626" s="792"/>
      <c r="O626" s="792"/>
      <c r="P626" s="792"/>
      <c r="Q626" s="792"/>
      <c r="R626" s="792"/>
      <c r="S626" s="792"/>
      <c r="T626" s="792"/>
      <c r="U626" s="792"/>
      <c r="V626" s="793"/>
      <c r="W626" s="792"/>
      <c r="X626" s="792"/>
      <c r="Y626" s="792"/>
      <c r="Z626" s="792"/>
      <c r="AA626" s="792"/>
    </row>
    <row r="627" spans="1:27" ht="15.75" customHeight="1">
      <c r="A627" s="792"/>
      <c r="B627" s="792"/>
      <c r="C627" s="792"/>
      <c r="D627" s="792"/>
      <c r="E627" s="792"/>
      <c r="F627" s="792"/>
      <c r="G627" s="792"/>
      <c r="H627" s="792"/>
      <c r="I627" s="792"/>
      <c r="J627" s="792"/>
      <c r="K627" s="792"/>
      <c r="L627" s="792"/>
      <c r="M627" s="792"/>
      <c r="N627" s="792"/>
      <c r="O627" s="792"/>
      <c r="P627" s="792"/>
      <c r="Q627" s="792"/>
      <c r="R627" s="792"/>
      <c r="S627" s="792"/>
      <c r="T627" s="792"/>
      <c r="U627" s="792"/>
      <c r="V627" s="793"/>
      <c r="W627" s="792"/>
      <c r="X627" s="792"/>
      <c r="Y627" s="792"/>
      <c r="Z627" s="792"/>
      <c r="AA627" s="792"/>
    </row>
    <row r="628" spans="1:27" ht="15.75" customHeight="1">
      <c r="A628" s="792"/>
      <c r="B628" s="792"/>
      <c r="C628" s="792"/>
      <c r="D628" s="792"/>
      <c r="E628" s="792"/>
      <c r="F628" s="792"/>
      <c r="G628" s="792"/>
      <c r="H628" s="792"/>
      <c r="I628" s="792"/>
      <c r="J628" s="792"/>
      <c r="K628" s="792"/>
      <c r="L628" s="792"/>
      <c r="M628" s="792"/>
      <c r="N628" s="792"/>
      <c r="O628" s="792"/>
      <c r="P628" s="792"/>
      <c r="Q628" s="792"/>
      <c r="R628" s="792"/>
      <c r="S628" s="792"/>
      <c r="T628" s="792"/>
      <c r="U628" s="792"/>
      <c r="V628" s="793"/>
      <c r="W628" s="792"/>
      <c r="X628" s="792"/>
      <c r="Y628" s="792"/>
      <c r="Z628" s="792"/>
      <c r="AA628" s="792"/>
    </row>
    <row r="629" spans="1:27" ht="15.75" customHeight="1">
      <c r="A629" s="792"/>
      <c r="B629" s="792"/>
      <c r="C629" s="792"/>
      <c r="D629" s="792"/>
      <c r="E629" s="792"/>
      <c r="F629" s="792"/>
      <c r="G629" s="792"/>
      <c r="H629" s="792"/>
      <c r="I629" s="792"/>
      <c r="J629" s="792"/>
      <c r="K629" s="792"/>
      <c r="L629" s="792"/>
      <c r="M629" s="792"/>
      <c r="N629" s="792"/>
      <c r="O629" s="792"/>
      <c r="P629" s="792"/>
      <c r="Q629" s="792"/>
      <c r="R629" s="792"/>
      <c r="S629" s="792"/>
      <c r="T629" s="792"/>
      <c r="U629" s="792"/>
      <c r="V629" s="793"/>
      <c r="W629" s="792"/>
      <c r="X629" s="792"/>
      <c r="Y629" s="792"/>
      <c r="Z629" s="792"/>
      <c r="AA629" s="792"/>
    </row>
    <row r="630" spans="1:27" ht="15.75" customHeight="1">
      <c r="A630" s="792"/>
      <c r="B630" s="792"/>
      <c r="C630" s="792"/>
      <c r="D630" s="792"/>
      <c r="E630" s="792"/>
      <c r="F630" s="792"/>
      <c r="G630" s="792"/>
      <c r="H630" s="792"/>
      <c r="I630" s="792"/>
      <c r="J630" s="792"/>
      <c r="K630" s="792"/>
      <c r="L630" s="792"/>
      <c r="M630" s="792"/>
      <c r="N630" s="792"/>
      <c r="O630" s="792"/>
      <c r="P630" s="792"/>
      <c r="Q630" s="792"/>
      <c r="R630" s="792"/>
      <c r="S630" s="792"/>
      <c r="T630" s="792"/>
      <c r="U630" s="792"/>
      <c r="V630" s="793"/>
      <c r="W630" s="792"/>
      <c r="X630" s="792"/>
      <c r="Y630" s="792"/>
      <c r="Z630" s="792"/>
      <c r="AA630" s="792"/>
    </row>
    <row r="631" spans="1:27" ht="15.75" customHeight="1">
      <c r="A631" s="792"/>
      <c r="B631" s="792"/>
      <c r="C631" s="792"/>
      <c r="D631" s="792"/>
      <c r="E631" s="792"/>
      <c r="F631" s="792"/>
      <c r="G631" s="792"/>
      <c r="H631" s="792"/>
      <c r="I631" s="792"/>
      <c r="J631" s="792"/>
      <c r="K631" s="792"/>
      <c r="L631" s="792"/>
      <c r="M631" s="792"/>
      <c r="N631" s="792"/>
      <c r="O631" s="792"/>
      <c r="P631" s="792"/>
      <c r="Q631" s="792"/>
      <c r="R631" s="792"/>
      <c r="S631" s="792"/>
      <c r="T631" s="792"/>
      <c r="U631" s="792"/>
      <c r="V631" s="793"/>
      <c r="W631" s="792"/>
      <c r="X631" s="792"/>
      <c r="Y631" s="792"/>
      <c r="Z631" s="792"/>
      <c r="AA631" s="792"/>
    </row>
    <row r="632" spans="1:27" ht="15.75" customHeight="1">
      <c r="A632" s="792"/>
      <c r="B632" s="792"/>
      <c r="C632" s="792"/>
      <c r="D632" s="792"/>
      <c r="E632" s="792"/>
      <c r="F632" s="792"/>
      <c r="G632" s="792"/>
      <c r="H632" s="792"/>
      <c r="I632" s="792"/>
      <c r="J632" s="792"/>
      <c r="K632" s="792"/>
      <c r="L632" s="792"/>
      <c r="M632" s="792"/>
      <c r="N632" s="792"/>
      <c r="O632" s="792"/>
      <c r="P632" s="792"/>
      <c r="Q632" s="792"/>
      <c r="R632" s="792"/>
      <c r="S632" s="792"/>
      <c r="T632" s="792"/>
      <c r="U632" s="792"/>
      <c r="V632" s="793"/>
      <c r="W632" s="792"/>
      <c r="X632" s="792"/>
      <c r="Y632" s="792"/>
      <c r="Z632" s="792"/>
      <c r="AA632" s="792"/>
    </row>
    <row r="633" spans="1:27" ht="15.75" customHeight="1">
      <c r="A633" s="792"/>
      <c r="B633" s="792"/>
      <c r="C633" s="792"/>
      <c r="D633" s="792"/>
      <c r="E633" s="792"/>
      <c r="F633" s="792"/>
      <c r="G633" s="792"/>
      <c r="H633" s="792"/>
      <c r="I633" s="792"/>
      <c r="J633" s="792"/>
      <c r="K633" s="792"/>
      <c r="L633" s="792"/>
      <c r="M633" s="792"/>
      <c r="N633" s="792"/>
      <c r="O633" s="792"/>
      <c r="P633" s="792"/>
      <c r="Q633" s="792"/>
      <c r="R633" s="792"/>
      <c r="S633" s="792"/>
      <c r="T633" s="792"/>
      <c r="U633" s="792"/>
      <c r="V633" s="793"/>
      <c r="W633" s="792"/>
      <c r="X633" s="792"/>
      <c r="Y633" s="792"/>
      <c r="Z633" s="792"/>
      <c r="AA633" s="792"/>
    </row>
    <row r="634" spans="1:27" ht="15.75" customHeight="1">
      <c r="A634" s="792"/>
      <c r="B634" s="792"/>
      <c r="C634" s="792"/>
      <c r="D634" s="792"/>
      <c r="E634" s="792"/>
      <c r="F634" s="792"/>
      <c r="G634" s="792"/>
      <c r="H634" s="792"/>
      <c r="I634" s="792"/>
      <c r="J634" s="792"/>
      <c r="K634" s="792"/>
      <c r="L634" s="792"/>
      <c r="M634" s="792"/>
      <c r="N634" s="792"/>
      <c r="O634" s="792"/>
      <c r="P634" s="792"/>
      <c r="Q634" s="792"/>
      <c r="R634" s="792"/>
      <c r="S634" s="792"/>
      <c r="T634" s="792"/>
      <c r="U634" s="792"/>
      <c r="V634" s="793"/>
      <c r="W634" s="792"/>
      <c r="X634" s="792"/>
      <c r="Y634" s="792"/>
      <c r="Z634" s="792"/>
      <c r="AA634" s="792"/>
    </row>
    <row r="635" spans="1:27" ht="15.75" customHeight="1">
      <c r="A635" s="792"/>
      <c r="B635" s="792"/>
      <c r="C635" s="792"/>
      <c r="D635" s="792"/>
      <c r="E635" s="792"/>
      <c r="F635" s="792"/>
      <c r="G635" s="792"/>
      <c r="H635" s="792"/>
      <c r="I635" s="792"/>
      <c r="J635" s="792"/>
      <c r="K635" s="792"/>
      <c r="L635" s="792"/>
      <c r="M635" s="792"/>
      <c r="N635" s="792"/>
      <c r="O635" s="792"/>
      <c r="P635" s="792"/>
      <c r="Q635" s="792"/>
      <c r="R635" s="792"/>
      <c r="S635" s="792"/>
      <c r="T635" s="792"/>
      <c r="U635" s="792"/>
      <c r="V635" s="793"/>
      <c r="W635" s="792"/>
      <c r="X635" s="792"/>
      <c r="Y635" s="792"/>
      <c r="Z635" s="792"/>
      <c r="AA635" s="792"/>
    </row>
    <row r="636" spans="1:27" ht="15.75" customHeight="1">
      <c r="A636" s="792"/>
      <c r="B636" s="792"/>
      <c r="C636" s="792"/>
      <c r="D636" s="792"/>
      <c r="E636" s="792"/>
      <c r="F636" s="792"/>
      <c r="G636" s="792"/>
      <c r="H636" s="792"/>
      <c r="I636" s="792"/>
      <c r="J636" s="792"/>
      <c r="K636" s="792"/>
      <c r="L636" s="792"/>
      <c r="M636" s="792"/>
      <c r="N636" s="792"/>
      <c r="O636" s="792"/>
      <c r="P636" s="792"/>
      <c r="Q636" s="792"/>
      <c r="R636" s="792"/>
      <c r="S636" s="792"/>
      <c r="T636" s="792"/>
      <c r="U636" s="792"/>
      <c r="V636" s="793"/>
      <c r="W636" s="792"/>
      <c r="X636" s="792"/>
      <c r="Y636" s="792"/>
      <c r="Z636" s="792"/>
      <c r="AA636" s="792"/>
    </row>
    <row r="637" spans="1:27" ht="15.75" customHeight="1">
      <c r="A637" s="792"/>
      <c r="B637" s="792"/>
      <c r="C637" s="792"/>
      <c r="D637" s="792"/>
      <c r="E637" s="792"/>
      <c r="F637" s="792"/>
      <c r="G637" s="792"/>
      <c r="H637" s="792"/>
      <c r="I637" s="792"/>
      <c r="J637" s="792"/>
      <c r="K637" s="792"/>
      <c r="L637" s="792"/>
      <c r="M637" s="792"/>
      <c r="N637" s="792"/>
      <c r="O637" s="792"/>
      <c r="P637" s="792"/>
      <c r="Q637" s="792"/>
      <c r="R637" s="792"/>
      <c r="S637" s="792"/>
      <c r="T637" s="792"/>
      <c r="U637" s="792"/>
      <c r="V637" s="793"/>
      <c r="W637" s="792"/>
      <c r="X637" s="792"/>
      <c r="Y637" s="792"/>
      <c r="Z637" s="792"/>
      <c r="AA637" s="792"/>
    </row>
    <row r="638" spans="1:27" ht="15.75" customHeight="1">
      <c r="A638" s="792"/>
      <c r="B638" s="792"/>
      <c r="C638" s="792"/>
      <c r="D638" s="792"/>
      <c r="E638" s="792"/>
      <c r="F638" s="792"/>
      <c r="G638" s="792"/>
      <c r="H638" s="792"/>
      <c r="I638" s="792"/>
      <c r="J638" s="792"/>
      <c r="K638" s="792"/>
      <c r="L638" s="792"/>
      <c r="M638" s="792"/>
      <c r="N638" s="792"/>
      <c r="O638" s="792"/>
      <c r="P638" s="792"/>
      <c r="Q638" s="792"/>
      <c r="R638" s="792"/>
      <c r="S638" s="792"/>
      <c r="T638" s="792"/>
      <c r="U638" s="792"/>
      <c r="V638" s="793"/>
      <c r="W638" s="792"/>
      <c r="X638" s="792"/>
      <c r="Y638" s="792"/>
      <c r="Z638" s="792"/>
      <c r="AA638" s="792"/>
    </row>
    <row r="639" spans="1:27" ht="15.75" customHeight="1">
      <c r="A639" s="792"/>
      <c r="B639" s="792"/>
      <c r="C639" s="792"/>
      <c r="D639" s="792"/>
      <c r="E639" s="792"/>
      <c r="F639" s="792"/>
      <c r="G639" s="792"/>
      <c r="H639" s="792"/>
      <c r="I639" s="792"/>
      <c r="J639" s="792"/>
      <c r="K639" s="792"/>
      <c r="L639" s="792"/>
      <c r="M639" s="792"/>
      <c r="N639" s="792"/>
      <c r="O639" s="792"/>
      <c r="P639" s="792"/>
      <c r="Q639" s="792"/>
      <c r="R639" s="792"/>
      <c r="S639" s="792"/>
      <c r="T639" s="792"/>
      <c r="U639" s="792"/>
      <c r="V639" s="793"/>
      <c r="W639" s="792"/>
      <c r="X639" s="792"/>
      <c r="Y639" s="792"/>
      <c r="Z639" s="792"/>
      <c r="AA639" s="792"/>
    </row>
    <row r="640" spans="1:27" ht="15.75" customHeight="1">
      <c r="A640" s="792"/>
      <c r="B640" s="792"/>
      <c r="C640" s="792"/>
      <c r="D640" s="792"/>
      <c r="E640" s="792"/>
      <c r="F640" s="792"/>
      <c r="G640" s="792"/>
      <c r="H640" s="792"/>
      <c r="I640" s="792"/>
      <c r="J640" s="792"/>
      <c r="K640" s="792"/>
      <c r="L640" s="792"/>
      <c r="M640" s="792"/>
      <c r="N640" s="792"/>
      <c r="O640" s="792"/>
      <c r="P640" s="792"/>
      <c r="Q640" s="792"/>
      <c r="R640" s="792"/>
      <c r="S640" s="792"/>
      <c r="T640" s="792"/>
      <c r="U640" s="792"/>
      <c r="V640" s="793"/>
      <c r="W640" s="792"/>
      <c r="X640" s="792"/>
      <c r="Y640" s="792"/>
      <c r="Z640" s="792"/>
      <c r="AA640" s="792"/>
    </row>
    <row r="641" spans="1:27" ht="15.75" customHeight="1">
      <c r="A641" s="792"/>
      <c r="B641" s="792"/>
      <c r="C641" s="792"/>
      <c r="D641" s="792"/>
      <c r="E641" s="792"/>
      <c r="F641" s="792"/>
      <c r="G641" s="792"/>
      <c r="H641" s="792"/>
      <c r="I641" s="792"/>
      <c r="J641" s="792"/>
      <c r="K641" s="792"/>
      <c r="L641" s="792"/>
      <c r="M641" s="792"/>
      <c r="N641" s="792"/>
      <c r="O641" s="792"/>
      <c r="P641" s="792"/>
      <c r="Q641" s="792"/>
      <c r="R641" s="792"/>
      <c r="S641" s="792"/>
      <c r="T641" s="792"/>
      <c r="U641" s="792"/>
      <c r="V641" s="793"/>
      <c r="W641" s="792"/>
      <c r="X641" s="792"/>
      <c r="Y641" s="792"/>
      <c r="Z641" s="792"/>
      <c r="AA641" s="792"/>
    </row>
    <row r="642" spans="1:27" ht="15.75" customHeight="1">
      <c r="A642" s="792"/>
      <c r="B642" s="792"/>
      <c r="C642" s="792"/>
      <c r="D642" s="792"/>
      <c r="E642" s="792"/>
      <c r="F642" s="792"/>
      <c r="G642" s="792"/>
      <c r="H642" s="792"/>
      <c r="I642" s="792"/>
      <c r="J642" s="792"/>
      <c r="K642" s="792"/>
      <c r="L642" s="792"/>
      <c r="M642" s="792"/>
      <c r="N642" s="792"/>
      <c r="O642" s="792"/>
      <c r="P642" s="792"/>
      <c r="Q642" s="792"/>
      <c r="R642" s="792"/>
      <c r="S642" s="792"/>
      <c r="T642" s="792"/>
      <c r="U642" s="792"/>
      <c r="V642" s="793"/>
      <c r="W642" s="792"/>
      <c r="X642" s="792"/>
      <c r="Y642" s="792"/>
      <c r="Z642" s="792"/>
      <c r="AA642" s="792"/>
    </row>
    <row r="643" spans="1:27" ht="15.75" customHeight="1">
      <c r="A643" s="792"/>
      <c r="B643" s="792"/>
      <c r="C643" s="792"/>
      <c r="D643" s="792"/>
      <c r="E643" s="792"/>
      <c r="F643" s="792"/>
      <c r="G643" s="792"/>
      <c r="H643" s="792"/>
      <c r="I643" s="792"/>
      <c r="J643" s="792"/>
      <c r="K643" s="792"/>
      <c r="L643" s="792"/>
      <c r="M643" s="792"/>
      <c r="N643" s="792"/>
      <c r="O643" s="792"/>
      <c r="P643" s="792"/>
      <c r="Q643" s="792"/>
      <c r="R643" s="792"/>
      <c r="S643" s="792"/>
      <c r="T643" s="792"/>
      <c r="U643" s="792"/>
      <c r="V643" s="793"/>
      <c r="W643" s="792"/>
      <c r="X643" s="792"/>
      <c r="Y643" s="792"/>
      <c r="Z643" s="792"/>
      <c r="AA643" s="792"/>
    </row>
    <row r="644" spans="1:27" ht="15.75" customHeight="1">
      <c r="A644" s="792"/>
      <c r="B644" s="792"/>
      <c r="C644" s="792"/>
      <c r="D644" s="792"/>
      <c r="E644" s="792"/>
      <c r="F644" s="792"/>
      <c r="G644" s="792"/>
      <c r="H644" s="792"/>
      <c r="I644" s="792"/>
      <c r="J644" s="792"/>
      <c r="K644" s="792"/>
      <c r="L644" s="792"/>
      <c r="M644" s="792"/>
      <c r="N644" s="792"/>
      <c r="O644" s="792"/>
      <c r="P644" s="792"/>
      <c r="Q644" s="792"/>
      <c r="R644" s="792"/>
      <c r="S644" s="792"/>
      <c r="T644" s="792"/>
      <c r="U644" s="792"/>
      <c r="V644" s="793"/>
      <c r="W644" s="792"/>
      <c r="X644" s="792"/>
      <c r="Y644" s="792"/>
      <c r="Z644" s="792"/>
      <c r="AA644" s="792"/>
    </row>
    <row r="645" spans="1:27" ht="15.75" customHeight="1">
      <c r="A645" s="792"/>
      <c r="B645" s="792"/>
      <c r="C645" s="792"/>
      <c r="D645" s="792"/>
      <c r="E645" s="792"/>
      <c r="F645" s="792"/>
      <c r="G645" s="792"/>
      <c r="H645" s="792"/>
      <c r="I645" s="792"/>
      <c r="J645" s="792"/>
      <c r="K645" s="792"/>
      <c r="L645" s="792"/>
      <c r="M645" s="792"/>
      <c r="N645" s="792"/>
      <c r="O645" s="792"/>
      <c r="P645" s="792"/>
      <c r="Q645" s="792"/>
      <c r="R645" s="792"/>
      <c r="S645" s="792"/>
      <c r="T645" s="792"/>
      <c r="U645" s="792"/>
      <c r="V645" s="793"/>
      <c r="W645" s="792"/>
      <c r="X645" s="792"/>
      <c r="Y645" s="792"/>
      <c r="Z645" s="792"/>
      <c r="AA645" s="792"/>
    </row>
    <row r="646" spans="1:27" ht="15.75" customHeight="1">
      <c r="A646" s="792"/>
      <c r="B646" s="792"/>
      <c r="C646" s="792"/>
      <c r="D646" s="792"/>
      <c r="E646" s="792"/>
      <c r="F646" s="792"/>
      <c r="G646" s="792"/>
      <c r="H646" s="792"/>
      <c r="I646" s="792"/>
      <c r="J646" s="792"/>
      <c r="K646" s="792"/>
      <c r="L646" s="792"/>
      <c r="M646" s="792"/>
      <c r="N646" s="792"/>
      <c r="O646" s="792"/>
      <c r="P646" s="792"/>
      <c r="Q646" s="792"/>
      <c r="R646" s="792"/>
      <c r="S646" s="792"/>
      <c r="T646" s="792"/>
      <c r="U646" s="792"/>
      <c r="V646" s="793"/>
      <c r="W646" s="792"/>
      <c r="X646" s="792"/>
      <c r="Y646" s="792"/>
      <c r="Z646" s="792"/>
      <c r="AA646" s="792"/>
    </row>
    <row r="647" spans="1:27" ht="15.75" customHeight="1">
      <c r="A647" s="792"/>
      <c r="B647" s="792"/>
      <c r="C647" s="792"/>
      <c r="D647" s="792"/>
      <c r="E647" s="792"/>
      <c r="F647" s="792"/>
      <c r="G647" s="792"/>
      <c r="H647" s="792"/>
      <c r="I647" s="792"/>
      <c r="J647" s="792"/>
      <c r="K647" s="792"/>
      <c r="L647" s="792"/>
      <c r="M647" s="792"/>
      <c r="N647" s="792"/>
      <c r="O647" s="792"/>
      <c r="P647" s="792"/>
      <c r="Q647" s="792"/>
      <c r="R647" s="792"/>
      <c r="S647" s="792"/>
      <c r="T647" s="792"/>
      <c r="U647" s="792"/>
      <c r="V647" s="793"/>
      <c r="W647" s="792"/>
      <c r="X647" s="792"/>
      <c r="Y647" s="792"/>
      <c r="Z647" s="792"/>
      <c r="AA647" s="792"/>
    </row>
    <row r="648" spans="1:27" ht="15.75" customHeight="1">
      <c r="A648" s="792"/>
      <c r="B648" s="792"/>
      <c r="C648" s="792"/>
      <c r="D648" s="792"/>
      <c r="E648" s="792"/>
      <c r="F648" s="792"/>
      <c r="G648" s="792"/>
      <c r="H648" s="792"/>
      <c r="I648" s="792"/>
      <c r="J648" s="792"/>
      <c r="K648" s="792"/>
      <c r="L648" s="792"/>
      <c r="M648" s="792"/>
      <c r="N648" s="792"/>
      <c r="O648" s="792"/>
      <c r="P648" s="792"/>
      <c r="Q648" s="792"/>
      <c r="R648" s="792"/>
      <c r="S648" s="792"/>
      <c r="T648" s="792"/>
      <c r="U648" s="792"/>
      <c r="V648" s="793"/>
      <c r="W648" s="792"/>
      <c r="X648" s="792"/>
      <c r="Y648" s="792"/>
      <c r="Z648" s="792"/>
      <c r="AA648" s="792"/>
    </row>
    <row r="649" spans="1:27" ht="15.75" customHeight="1">
      <c r="A649" s="792"/>
      <c r="B649" s="792"/>
      <c r="C649" s="792"/>
      <c r="D649" s="792"/>
      <c r="E649" s="792"/>
      <c r="F649" s="792"/>
      <c r="G649" s="792"/>
      <c r="H649" s="792"/>
      <c r="I649" s="792"/>
      <c r="J649" s="792"/>
      <c r="K649" s="792"/>
      <c r="L649" s="792"/>
      <c r="M649" s="792"/>
      <c r="N649" s="792"/>
      <c r="O649" s="792"/>
      <c r="P649" s="792"/>
      <c r="Q649" s="792"/>
      <c r="R649" s="792"/>
      <c r="S649" s="792"/>
      <c r="T649" s="792"/>
      <c r="U649" s="792"/>
      <c r="V649" s="793"/>
      <c r="W649" s="792"/>
      <c r="X649" s="792"/>
      <c r="Y649" s="792"/>
      <c r="Z649" s="792"/>
      <c r="AA649" s="792"/>
    </row>
    <row r="650" spans="1:27" ht="15.75" customHeight="1">
      <c r="A650" s="792"/>
      <c r="B650" s="792"/>
      <c r="C650" s="792"/>
      <c r="D650" s="792"/>
      <c r="E650" s="792"/>
      <c r="F650" s="792"/>
      <c r="G650" s="792"/>
      <c r="H650" s="792"/>
      <c r="I650" s="792"/>
      <c r="J650" s="792"/>
      <c r="K650" s="792"/>
      <c r="L650" s="792"/>
      <c r="M650" s="792"/>
      <c r="N650" s="792"/>
      <c r="O650" s="792"/>
      <c r="P650" s="792"/>
      <c r="Q650" s="792"/>
      <c r="R650" s="792"/>
      <c r="S650" s="792"/>
      <c r="T650" s="792"/>
      <c r="U650" s="792"/>
      <c r="V650" s="793"/>
      <c r="W650" s="792"/>
      <c r="X650" s="792"/>
      <c r="Y650" s="792"/>
      <c r="Z650" s="792"/>
      <c r="AA650" s="792"/>
    </row>
    <row r="651" spans="1:27" ht="15.75" customHeight="1">
      <c r="A651" s="792"/>
      <c r="B651" s="792"/>
      <c r="C651" s="792"/>
      <c r="D651" s="792"/>
      <c r="E651" s="792"/>
      <c r="F651" s="792"/>
      <c r="G651" s="792"/>
      <c r="H651" s="792"/>
      <c r="I651" s="792"/>
      <c r="J651" s="792"/>
      <c r="K651" s="792"/>
      <c r="L651" s="792"/>
      <c r="M651" s="792"/>
      <c r="N651" s="792"/>
      <c r="O651" s="792"/>
      <c r="P651" s="792"/>
      <c r="Q651" s="792"/>
      <c r="R651" s="792"/>
      <c r="S651" s="792"/>
      <c r="T651" s="792"/>
      <c r="U651" s="792"/>
      <c r="V651" s="793"/>
      <c r="W651" s="792"/>
      <c r="X651" s="792"/>
      <c r="Y651" s="792"/>
      <c r="Z651" s="792"/>
      <c r="AA651" s="792"/>
    </row>
    <row r="652" spans="1:27" ht="15.75" customHeight="1">
      <c r="A652" s="792"/>
      <c r="B652" s="792"/>
      <c r="C652" s="792"/>
      <c r="D652" s="792"/>
      <c r="E652" s="792"/>
      <c r="F652" s="792"/>
      <c r="G652" s="792"/>
      <c r="H652" s="792"/>
      <c r="I652" s="792"/>
      <c r="J652" s="792"/>
      <c r="K652" s="792"/>
      <c r="L652" s="792"/>
      <c r="M652" s="792"/>
      <c r="N652" s="792"/>
      <c r="O652" s="792"/>
      <c r="P652" s="792"/>
      <c r="Q652" s="792"/>
      <c r="R652" s="792"/>
      <c r="S652" s="792"/>
      <c r="T652" s="792"/>
      <c r="U652" s="792"/>
      <c r="V652" s="793"/>
      <c r="W652" s="792"/>
      <c r="X652" s="792"/>
      <c r="Y652" s="792"/>
      <c r="Z652" s="792"/>
      <c r="AA652" s="792"/>
    </row>
    <row r="653" spans="1:27" ht="15.75" customHeight="1">
      <c r="A653" s="792"/>
      <c r="B653" s="792"/>
      <c r="C653" s="792"/>
      <c r="D653" s="792"/>
      <c r="E653" s="792"/>
      <c r="F653" s="792"/>
      <c r="G653" s="792"/>
      <c r="H653" s="792"/>
      <c r="I653" s="792"/>
      <c r="J653" s="792"/>
      <c r="K653" s="792"/>
      <c r="L653" s="792"/>
      <c r="M653" s="792"/>
      <c r="N653" s="792"/>
      <c r="O653" s="792"/>
      <c r="P653" s="792"/>
      <c r="Q653" s="792"/>
      <c r="R653" s="792"/>
      <c r="S653" s="792"/>
      <c r="T653" s="792"/>
      <c r="U653" s="792"/>
      <c r="V653" s="793"/>
      <c r="W653" s="792"/>
      <c r="X653" s="792"/>
      <c r="Y653" s="792"/>
      <c r="Z653" s="792"/>
      <c r="AA653" s="792"/>
    </row>
    <row r="654" spans="1:27" ht="15.75" customHeight="1">
      <c r="A654" s="792"/>
      <c r="B654" s="792"/>
      <c r="C654" s="792"/>
      <c r="D654" s="792"/>
      <c r="E654" s="792"/>
      <c r="F654" s="792"/>
      <c r="G654" s="792"/>
      <c r="H654" s="792"/>
      <c r="I654" s="792"/>
      <c r="J654" s="792"/>
      <c r="K654" s="792"/>
      <c r="L654" s="792"/>
      <c r="M654" s="792"/>
      <c r="N654" s="792"/>
      <c r="O654" s="792"/>
      <c r="P654" s="792"/>
      <c r="Q654" s="792"/>
      <c r="R654" s="792"/>
      <c r="S654" s="792"/>
      <c r="T654" s="792"/>
      <c r="U654" s="792"/>
      <c r="V654" s="793"/>
      <c r="W654" s="792"/>
      <c r="X654" s="792"/>
      <c r="Y654" s="792"/>
      <c r="Z654" s="792"/>
      <c r="AA654" s="792"/>
    </row>
    <row r="655" spans="1:27" ht="15.75" customHeight="1">
      <c r="A655" s="792"/>
      <c r="B655" s="792"/>
      <c r="C655" s="792"/>
      <c r="D655" s="792"/>
      <c r="E655" s="792"/>
      <c r="F655" s="792"/>
      <c r="G655" s="792"/>
      <c r="H655" s="792"/>
      <c r="I655" s="792"/>
      <c r="J655" s="792"/>
      <c r="K655" s="792"/>
      <c r="L655" s="792"/>
      <c r="M655" s="792"/>
      <c r="N655" s="792"/>
      <c r="O655" s="792"/>
      <c r="P655" s="792"/>
      <c r="Q655" s="792"/>
      <c r="R655" s="792"/>
      <c r="S655" s="792"/>
      <c r="T655" s="792"/>
      <c r="U655" s="792"/>
      <c r="V655" s="793"/>
      <c r="W655" s="792"/>
      <c r="X655" s="792"/>
      <c r="Y655" s="792"/>
      <c r="Z655" s="792"/>
      <c r="AA655" s="792"/>
    </row>
    <row r="656" spans="1:27" ht="15.75" customHeight="1">
      <c r="A656" s="792"/>
      <c r="B656" s="792"/>
      <c r="C656" s="792"/>
      <c r="D656" s="792"/>
      <c r="E656" s="792"/>
      <c r="F656" s="792"/>
      <c r="G656" s="792"/>
      <c r="H656" s="792"/>
      <c r="I656" s="792"/>
      <c r="J656" s="792"/>
      <c r="K656" s="792"/>
      <c r="L656" s="792"/>
      <c r="M656" s="792"/>
      <c r="N656" s="792"/>
      <c r="O656" s="792"/>
      <c r="P656" s="792"/>
      <c r="Q656" s="792"/>
      <c r="R656" s="792"/>
      <c r="S656" s="792"/>
      <c r="T656" s="792"/>
      <c r="U656" s="792"/>
      <c r="V656" s="793"/>
      <c r="W656" s="792"/>
      <c r="X656" s="792"/>
      <c r="Y656" s="792"/>
      <c r="Z656" s="792"/>
      <c r="AA656" s="792"/>
    </row>
    <row r="657" spans="1:27" ht="15.75" customHeight="1">
      <c r="A657" s="792"/>
      <c r="B657" s="792"/>
      <c r="C657" s="792"/>
      <c r="D657" s="792"/>
      <c r="E657" s="792"/>
      <c r="F657" s="792"/>
      <c r="G657" s="792"/>
      <c r="H657" s="792"/>
      <c r="I657" s="792"/>
      <c r="J657" s="792"/>
      <c r="K657" s="792"/>
      <c r="L657" s="792"/>
      <c r="M657" s="792"/>
      <c r="N657" s="792"/>
      <c r="O657" s="792"/>
      <c r="P657" s="792"/>
      <c r="Q657" s="792"/>
      <c r="R657" s="792"/>
      <c r="S657" s="792"/>
      <c r="T657" s="792"/>
      <c r="U657" s="792"/>
      <c r="V657" s="793"/>
      <c r="W657" s="792"/>
      <c r="X657" s="792"/>
      <c r="Y657" s="792"/>
      <c r="Z657" s="792"/>
      <c r="AA657" s="792"/>
    </row>
    <row r="658" spans="1:27" ht="15.75" customHeight="1">
      <c r="A658" s="792"/>
      <c r="B658" s="792"/>
      <c r="C658" s="792"/>
      <c r="D658" s="792"/>
      <c r="E658" s="792"/>
      <c r="F658" s="792"/>
      <c r="G658" s="792"/>
      <c r="H658" s="792"/>
      <c r="I658" s="792"/>
      <c r="J658" s="792"/>
      <c r="K658" s="792"/>
      <c r="L658" s="792"/>
      <c r="M658" s="792"/>
      <c r="N658" s="792"/>
      <c r="O658" s="792"/>
      <c r="P658" s="792"/>
      <c r="Q658" s="792"/>
      <c r="R658" s="792"/>
      <c r="S658" s="792"/>
      <c r="T658" s="792"/>
      <c r="U658" s="792"/>
      <c r="V658" s="793"/>
      <c r="W658" s="792"/>
      <c r="X658" s="792"/>
      <c r="Y658" s="792"/>
      <c r="Z658" s="792"/>
      <c r="AA658" s="792"/>
    </row>
    <row r="659" spans="1:27" ht="15.75" customHeight="1">
      <c r="A659" s="792"/>
      <c r="B659" s="792"/>
      <c r="C659" s="792"/>
      <c r="D659" s="792"/>
      <c r="E659" s="792"/>
      <c r="F659" s="792"/>
      <c r="G659" s="792"/>
      <c r="H659" s="792"/>
      <c r="I659" s="792"/>
      <c r="J659" s="792"/>
      <c r="K659" s="792"/>
      <c r="L659" s="792"/>
      <c r="M659" s="792"/>
      <c r="N659" s="792"/>
      <c r="O659" s="792"/>
      <c r="P659" s="792"/>
      <c r="Q659" s="792"/>
      <c r="R659" s="792"/>
      <c r="S659" s="792"/>
      <c r="T659" s="792"/>
      <c r="U659" s="792"/>
      <c r="V659" s="793"/>
      <c r="W659" s="792"/>
      <c r="X659" s="792"/>
      <c r="Y659" s="792"/>
      <c r="Z659" s="792"/>
      <c r="AA659" s="792"/>
    </row>
    <row r="660" spans="1:27" ht="15.75" customHeight="1">
      <c r="A660" s="792"/>
      <c r="B660" s="792"/>
      <c r="C660" s="792"/>
      <c r="D660" s="792"/>
      <c r="E660" s="792"/>
      <c r="F660" s="792"/>
      <c r="G660" s="792"/>
      <c r="H660" s="792"/>
      <c r="I660" s="792"/>
      <c r="J660" s="792"/>
      <c r="K660" s="792"/>
      <c r="L660" s="792"/>
      <c r="M660" s="792"/>
      <c r="N660" s="792"/>
      <c r="O660" s="792"/>
      <c r="P660" s="792"/>
      <c r="Q660" s="792"/>
      <c r="R660" s="792"/>
      <c r="S660" s="792"/>
      <c r="T660" s="792"/>
      <c r="U660" s="792"/>
      <c r="V660" s="793"/>
      <c r="W660" s="792"/>
      <c r="X660" s="792"/>
      <c r="Y660" s="792"/>
      <c r="Z660" s="792"/>
      <c r="AA660" s="792"/>
    </row>
    <row r="661" spans="1:27" ht="15.75" customHeight="1">
      <c r="A661" s="792"/>
      <c r="B661" s="792"/>
      <c r="C661" s="792"/>
      <c r="D661" s="792"/>
      <c r="E661" s="792"/>
      <c r="F661" s="792"/>
      <c r="G661" s="792"/>
      <c r="H661" s="792"/>
      <c r="I661" s="792"/>
      <c r="J661" s="792"/>
      <c r="K661" s="792"/>
      <c r="L661" s="792"/>
      <c r="M661" s="792"/>
      <c r="N661" s="792"/>
      <c r="O661" s="792"/>
      <c r="P661" s="792"/>
      <c r="Q661" s="792"/>
      <c r="R661" s="792"/>
      <c r="S661" s="792"/>
      <c r="T661" s="792"/>
      <c r="U661" s="792"/>
      <c r="V661" s="793"/>
      <c r="W661" s="792"/>
      <c r="X661" s="792"/>
      <c r="Y661" s="792"/>
      <c r="Z661" s="792"/>
      <c r="AA661" s="792"/>
    </row>
    <row r="662" spans="1:27" ht="15.75" customHeight="1">
      <c r="A662" s="792"/>
      <c r="B662" s="792"/>
      <c r="C662" s="792"/>
      <c r="D662" s="792"/>
      <c r="E662" s="792"/>
      <c r="F662" s="792"/>
      <c r="G662" s="792"/>
      <c r="H662" s="792"/>
      <c r="I662" s="792"/>
      <c r="J662" s="792"/>
      <c r="K662" s="792"/>
      <c r="L662" s="792"/>
      <c r="M662" s="792"/>
      <c r="N662" s="792"/>
      <c r="O662" s="792"/>
      <c r="P662" s="792"/>
      <c r="Q662" s="792"/>
      <c r="R662" s="792"/>
      <c r="S662" s="792"/>
      <c r="T662" s="792"/>
      <c r="U662" s="792"/>
      <c r="V662" s="793"/>
      <c r="W662" s="792"/>
      <c r="X662" s="792"/>
      <c r="Y662" s="792"/>
      <c r="Z662" s="792"/>
      <c r="AA662" s="792"/>
    </row>
    <row r="663" spans="1:27" ht="15.75" customHeight="1">
      <c r="A663" s="792"/>
      <c r="B663" s="792"/>
      <c r="C663" s="792"/>
      <c r="D663" s="792"/>
      <c r="E663" s="792"/>
      <c r="F663" s="792"/>
      <c r="G663" s="792"/>
      <c r="H663" s="792"/>
      <c r="I663" s="792"/>
      <c r="J663" s="792"/>
      <c r="K663" s="792"/>
      <c r="L663" s="792"/>
      <c r="M663" s="792"/>
      <c r="N663" s="792"/>
      <c r="O663" s="792"/>
      <c r="P663" s="792"/>
      <c r="Q663" s="792"/>
      <c r="R663" s="792"/>
      <c r="S663" s="792"/>
      <c r="T663" s="792"/>
      <c r="U663" s="792"/>
      <c r="V663" s="793"/>
      <c r="W663" s="792"/>
      <c r="X663" s="792"/>
      <c r="Y663" s="792"/>
      <c r="Z663" s="792"/>
      <c r="AA663" s="792"/>
    </row>
    <row r="664" spans="1:27" ht="15.75" customHeight="1">
      <c r="A664" s="792"/>
      <c r="B664" s="792"/>
      <c r="C664" s="792"/>
      <c r="D664" s="792"/>
      <c r="E664" s="792"/>
      <c r="F664" s="792"/>
      <c r="G664" s="792"/>
      <c r="H664" s="792"/>
      <c r="I664" s="792"/>
      <c r="J664" s="792"/>
      <c r="K664" s="792"/>
      <c r="L664" s="792"/>
      <c r="M664" s="792"/>
      <c r="N664" s="792"/>
      <c r="O664" s="792"/>
      <c r="P664" s="792"/>
      <c r="Q664" s="792"/>
      <c r="R664" s="792"/>
      <c r="S664" s="792"/>
      <c r="T664" s="792"/>
      <c r="U664" s="792"/>
      <c r="V664" s="793"/>
      <c r="W664" s="792"/>
      <c r="X664" s="792"/>
      <c r="Y664" s="792"/>
      <c r="Z664" s="792"/>
      <c r="AA664" s="792"/>
    </row>
    <row r="665" spans="1:27" ht="15.75" customHeight="1">
      <c r="A665" s="792"/>
      <c r="B665" s="792"/>
      <c r="C665" s="792"/>
      <c r="D665" s="792"/>
      <c r="E665" s="792"/>
      <c r="F665" s="792"/>
      <c r="G665" s="792"/>
      <c r="H665" s="792"/>
      <c r="I665" s="792"/>
      <c r="J665" s="792"/>
      <c r="K665" s="792"/>
      <c r="L665" s="792"/>
      <c r="M665" s="792"/>
      <c r="N665" s="792"/>
      <c r="O665" s="792"/>
      <c r="P665" s="792"/>
      <c r="Q665" s="792"/>
      <c r="R665" s="792"/>
      <c r="S665" s="792"/>
      <c r="T665" s="792"/>
      <c r="U665" s="792"/>
      <c r="V665" s="793"/>
      <c r="W665" s="792"/>
      <c r="X665" s="792"/>
      <c r="Y665" s="792"/>
      <c r="Z665" s="792"/>
      <c r="AA665" s="792"/>
    </row>
    <row r="666" spans="1:27" ht="15.75" customHeight="1">
      <c r="A666" s="792"/>
      <c r="B666" s="792"/>
      <c r="C666" s="792"/>
      <c r="D666" s="792"/>
      <c r="E666" s="792"/>
      <c r="F666" s="792"/>
      <c r="G666" s="792"/>
      <c r="H666" s="792"/>
      <c r="I666" s="792"/>
      <c r="J666" s="792"/>
      <c r="K666" s="792"/>
      <c r="L666" s="792"/>
      <c r="M666" s="792"/>
      <c r="N666" s="792"/>
      <c r="O666" s="792"/>
      <c r="P666" s="792"/>
      <c r="Q666" s="792"/>
      <c r="R666" s="792"/>
      <c r="S666" s="792"/>
      <c r="T666" s="792"/>
      <c r="U666" s="792"/>
      <c r="V666" s="793"/>
      <c r="W666" s="792"/>
      <c r="X666" s="792"/>
      <c r="Y666" s="792"/>
      <c r="Z666" s="792"/>
      <c r="AA666" s="792"/>
    </row>
    <row r="667" spans="1:27" ht="15.75" customHeight="1">
      <c r="A667" s="792"/>
      <c r="B667" s="792"/>
      <c r="C667" s="792"/>
      <c r="D667" s="792"/>
      <c r="E667" s="792"/>
      <c r="F667" s="792"/>
      <c r="G667" s="792"/>
      <c r="H667" s="792"/>
      <c r="I667" s="792"/>
      <c r="J667" s="792"/>
      <c r="K667" s="792"/>
      <c r="L667" s="792"/>
      <c r="M667" s="792"/>
      <c r="N667" s="792"/>
      <c r="O667" s="792"/>
      <c r="P667" s="792"/>
      <c r="Q667" s="792"/>
      <c r="R667" s="792"/>
      <c r="S667" s="792"/>
      <c r="T667" s="792"/>
      <c r="U667" s="792"/>
      <c r="V667" s="793"/>
      <c r="W667" s="792"/>
      <c r="X667" s="792"/>
      <c r="Y667" s="792"/>
      <c r="Z667" s="792"/>
      <c r="AA667" s="792"/>
    </row>
    <row r="668" spans="1:27" ht="15.75" customHeight="1">
      <c r="A668" s="792"/>
      <c r="B668" s="792"/>
      <c r="C668" s="792"/>
      <c r="D668" s="792"/>
      <c r="E668" s="792"/>
      <c r="F668" s="792"/>
      <c r="G668" s="792"/>
      <c r="H668" s="792"/>
      <c r="I668" s="792"/>
      <c r="J668" s="792"/>
      <c r="K668" s="792"/>
      <c r="L668" s="792"/>
      <c r="M668" s="792"/>
      <c r="N668" s="792"/>
      <c r="O668" s="792"/>
      <c r="P668" s="792"/>
      <c r="Q668" s="792"/>
      <c r="R668" s="792"/>
      <c r="S668" s="792"/>
      <c r="T668" s="792"/>
      <c r="U668" s="792"/>
      <c r="V668" s="793"/>
      <c r="W668" s="792"/>
      <c r="X668" s="792"/>
      <c r="Y668" s="792"/>
      <c r="Z668" s="792"/>
      <c r="AA668" s="792"/>
    </row>
    <row r="669" spans="1:27" ht="15.75" customHeight="1">
      <c r="A669" s="792"/>
      <c r="B669" s="792"/>
      <c r="C669" s="792"/>
      <c r="D669" s="792"/>
      <c r="E669" s="792"/>
      <c r="F669" s="792"/>
      <c r="G669" s="792"/>
      <c r="H669" s="792"/>
      <c r="I669" s="792"/>
      <c r="J669" s="792"/>
      <c r="K669" s="792"/>
      <c r="L669" s="792"/>
      <c r="M669" s="792"/>
      <c r="N669" s="792"/>
      <c r="O669" s="792"/>
      <c r="P669" s="792"/>
      <c r="Q669" s="792"/>
      <c r="R669" s="792"/>
      <c r="S669" s="792"/>
      <c r="T669" s="792"/>
      <c r="U669" s="792"/>
      <c r="V669" s="793"/>
      <c r="W669" s="792"/>
      <c r="X669" s="792"/>
      <c r="Y669" s="792"/>
      <c r="Z669" s="792"/>
      <c r="AA669" s="792"/>
    </row>
    <row r="670" spans="1:27" ht="15.75" customHeight="1">
      <c r="A670" s="792"/>
      <c r="B670" s="792"/>
      <c r="C670" s="792"/>
      <c r="D670" s="792"/>
      <c r="E670" s="792"/>
      <c r="F670" s="792"/>
      <c r="G670" s="792"/>
      <c r="H670" s="792"/>
      <c r="I670" s="792"/>
      <c r="J670" s="792"/>
      <c r="K670" s="792"/>
      <c r="L670" s="792"/>
      <c r="M670" s="792"/>
      <c r="N670" s="792"/>
      <c r="O670" s="792"/>
      <c r="P670" s="792"/>
      <c r="Q670" s="792"/>
      <c r="R670" s="792"/>
      <c r="S670" s="792"/>
      <c r="T670" s="792"/>
      <c r="U670" s="792"/>
      <c r="V670" s="793"/>
      <c r="W670" s="792"/>
      <c r="X670" s="792"/>
      <c r="Y670" s="792"/>
      <c r="Z670" s="792"/>
      <c r="AA670" s="792"/>
    </row>
    <row r="671" spans="1:27" ht="15.75" customHeight="1">
      <c r="A671" s="792"/>
      <c r="B671" s="792"/>
      <c r="C671" s="792"/>
      <c r="D671" s="792"/>
      <c r="E671" s="792"/>
      <c r="F671" s="792"/>
      <c r="G671" s="792"/>
      <c r="H671" s="792"/>
      <c r="I671" s="792"/>
      <c r="J671" s="792"/>
      <c r="K671" s="792"/>
      <c r="L671" s="792"/>
      <c r="M671" s="792"/>
      <c r="N671" s="792"/>
      <c r="O671" s="792"/>
      <c r="P671" s="792"/>
      <c r="Q671" s="792"/>
      <c r="R671" s="792"/>
      <c r="S671" s="792"/>
      <c r="T671" s="792"/>
      <c r="U671" s="792"/>
      <c r="V671" s="793"/>
      <c r="W671" s="792"/>
      <c r="X671" s="792"/>
      <c r="Y671" s="792"/>
      <c r="Z671" s="792"/>
      <c r="AA671" s="792"/>
    </row>
    <row r="672" spans="1:27" ht="15.75" customHeight="1">
      <c r="A672" s="792"/>
      <c r="B672" s="792"/>
      <c r="C672" s="792"/>
      <c r="D672" s="792"/>
      <c r="E672" s="792"/>
      <c r="F672" s="792"/>
      <c r="G672" s="792"/>
      <c r="H672" s="792"/>
      <c r="I672" s="792"/>
      <c r="J672" s="792"/>
      <c r="K672" s="792"/>
      <c r="L672" s="792"/>
      <c r="M672" s="792"/>
      <c r="N672" s="792"/>
      <c r="O672" s="792"/>
      <c r="P672" s="792"/>
      <c r="Q672" s="792"/>
      <c r="R672" s="792"/>
      <c r="S672" s="792"/>
      <c r="T672" s="792"/>
      <c r="U672" s="792"/>
      <c r="V672" s="793"/>
      <c r="W672" s="792"/>
      <c r="X672" s="792"/>
      <c r="Y672" s="792"/>
      <c r="Z672" s="792"/>
      <c r="AA672" s="792"/>
    </row>
    <row r="673" spans="1:27" ht="15.75" customHeight="1">
      <c r="A673" s="792"/>
      <c r="B673" s="792"/>
      <c r="C673" s="792"/>
      <c r="D673" s="792"/>
      <c r="E673" s="792"/>
      <c r="F673" s="792"/>
      <c r="G673" s="792"/>
      <c r="H673" s="792"/>
      <c r="I673" s="792"/>
      <c r="J673" s="792"/>
      <c r="K673" s="792"/>
      <c r="L673" s="792"/>
      <c r="M673" s="792"/>
      <c r="N673" s="792"/>
      <c r="O673" s="792"/>
      <c r="P673" s="792"/>
      <c r="Q673" s="792"/>
      <c r="R673" s="792"/>
      <c r="S673" s="792"/>
      <c r="T673" s="792"/>
      <c r="U673" s="792"/>
      <c r="V673" s="793"/>
      <c r="W673" s="792"/>
      <c r="X673" s="792"/>
      <c r="Y673" s="792"/>
      <c r="Z673" s="792"/>
      <c r="AA673" s="792"/>
    </row>
    <row r="674" spans="1:27" ht="15.75" customHeight="1">
      <c r="A674" s="792"/>
      <c r="B674" s="792"/>
      <c r="C674" s="792"/>
      <c r="D674" s="792"/>
      <c r="E674" s="792"/>
      <c r="F674" s="792"/>
      <c r="G674" s="792"/>
      <c r="H674" s="792"/>
      <c r="I674" s="792"/>
      <c r="J674" s="792"/>
      <c r="K674" s="792"/>
      <c r="L674" s="792"/>
      <c r="M674" s="792"/>
      <c r="N674" s="792"/>
      <c r="O674" s="792"/>
      <c r="P674" s="792"/>
      <c r="Q674" s="792"/>
      <c r="R674" s="792"/>
      <c r="S674" s="792"/>
      <c r="T674" s="792"/>
      <c r="U674" s="792"/>
      <c r="V674" s="793"/>
      <c r="W674" s="792"/>
      <c r="X674" s="792"/>
      <c r="Y674" s="792"/>
      <c r="Z674" s="792"/>
      <c r="AA674" s="792"/>
    </row>
    <row r="675" spans="1:27" ht="15.75" customHeight="1">
      <c r="A675" s="792"/>
      <c r="B675" s="792"/>
      <c r="C675" s="792"/>
      <c r="D675" s="792"/>
      <c r="E675" s="792"/>
      <c r="F675" s="792"/>
      <c r="G675" s="792"/>
      <c r="H675" s="792"/>
      <c r="I675" s="792"/>
      <c r="J675" s="792"/>
      <c r="K675" s="792"/>
      <c r="L675" s="792"/>
      <c r="M675" s="792"/>
      <c r="N675" s="792"/>
      <c r="O675" s="792"/>
      <c r="P675" s="792"/>
      <c r="Q675" s="792"/>
      <c r="R675" s="792"/>
      <c r="S675" s="792"/>
      <c r="T675" s="792"/>
      <c r="U675" s="792"/>
      <c r="V675" s="793"/>
      <c r="W675" s="792"/>
      <c r="X675" s="792"/>
      <c r="Y675" s="792"/>
      <c r="Z675" s="792"/>
      <c r="AA675" s="792"/>
    </row>
    <row r="676" spans="1:27" ht="15.75" customHeight="1">
      <c r="A676" s="792"/>
      <c r="B676" s="792"/>
      <c r="C676" s="792"/>
      <c r="D676" s="792"/>
      <c r="E676" s="792"/>
      <c r="F676" s="792"/>
      <c r="G676" s="792"/>
      <c r="H676" s="792"/>
      <c r="I676" s="792"/>
      <c r="J676" s="792"/>
      <c r="K676" s="792"/>
      <c r="L676" s="792"/>
      <c r="M676" s="792"/>
      <c r="N676" s="792"/>
      <c r="O676" s="792"/>
      <c r="P676" s="792"/>
      <c r="Q676" s="792"/>
      <c r="R676" s="792"/>
      <c r="S676" s="792"/>
      <c r="T676" s="792"/>
      <c r="U676" s="792"/>
      <c r="V676" s="793"/>
      <c r="W676" s="792"/>
      <c r="X676" s="792"/>
      <c r="Y676" s="792"/>
      <c r="Z676" s="792"/>
      <c r="AA676" s="792"/>
    </row>
    <row r="677" spans="1:27" ht="15.75" customHeight="1">
      <c r="A677" s="792"/>
      <c r="B677" s="792"/>
      <c r="C677" s="792"/>
      <c r="D677" s="792"/>
      <c r="E677" s="792"/>
      <c r="F677" s="792"/>
      <c r="G677" s="792"/>
      <c r="H677" s="792"/>
      <c r="I677" s="792"/>
      <c r="J677" s="792"/>
      <c r="K677" s="792"/>
      <c r="L677" s="792"/>
      <c r="M677" s="792"/>
      <c r="N677" s="792"/>
      <c r="O677" s="792"/>
      <c r="P677" s="792"/>
      <c r="Q677" s="792"/>
      <c r="R677" s="792"/>
      <c r="S677" s="792"/>
      <c r="T677" s="792"/>
      <c r="U677" s="792"/>
      <c r="V677" s="793"/>
      <c r="W677" s="792"/>
      <c r="X677" s="792"/>
      <c r="Y677" s="792"/>
      <c r="Z677" s="792"/>
      <c r="AA677" s="792"/>
    </row>
    <row r="678" spans="1:27" ht="15.75" customHeight="1">
      <c r="A678" s="792"/>
      <c r="B678" s="792"/>
      <c r="C678" s="792"/>
      <c r="D678" s="792"/>
      <c r="E678" s="792"/>
      <c r="F678" s="792"/>
      <c r="G678" s="792"/>
      <c r="H678" s="792"/>
      <c r="I678" s="792"/>
      <c r="J678" s="792"/>
      <c r="K678" s="792"/>
      <c r="L678" s="792"/>
      <c r="M678" s="792"/>
      <c r="N678" s="792"/>
      <c r="O678" s="792"/>
      <c r="P678" s="792"/>
      <c r="Q678" s="792"/>
      <c r="R678" s="792"/>
      <c r="S678" s="792"/>
      <c r="T678" s="792"/>
      <c r="U678" s="792"/>
      <c r="V678" s="793"/>
      <c r="W678" s="792"/>
      <c r="X678" s="792"/>
      <c r="Y678" s="792"/>
      <c r="Z678" s="792"/>
      <c r="AA678" s="792"/>
    </row>
    <row r="679" spans="1:27" ht="15.75" customHeight="1">
      <c r="A679" s="792"/>
      <c r="B679" s="792"/>
      <c r="C679" s="792"/>
      <c r="D679" s="792"/>
      <c r="E679" s="792"/>
      <c r="F679" s="792"/>
      <c r="G679" s="792"/>
      <c r="H679" s="792"/>
      <c r="I679" s="792"/>
      <c r="J679" s="792"/>
      <c r="K679" s="792"/>
      <c r="L679" s="792"/>
      <c r="M679" s="792"/>
      <c r="N679" s="792"/>
      <c r="O679" s="792"/>
      <c r="P679" s="792"/>
      <c r="Q679" s="792"/>
      <c r="R679" s="792"/>
      <c r="S679" s="792"/>
      <c r="T679" s="792"/>
      <c r="U679" s="792"/>
      <c r="V679" s="793"/>
      <c r="W679" s="792"/>
      <c r="X679" s="792"/>
      <c r="Y679" s="792"/>
      <c r="Z679" s="792"/>
      <c r="AA679" s="792"/>
    </row>
    <row r="680" spans="1:27" ht="15.75" customHeight="1">
      <c r="A680" s="792"/>
      <c r="B680" s="792"/>
      <c r="C680" s="792"/>
      <c r="D680" s="792"/>
      <c r="E680" s="792"/>
      <c r="F680" s="792"/>
      <c r="G680" s="792"/>
      <c r="H680" s="792"/>
      <c r="I680" s="792"/>
      <c r="J680" s="792"/>
      <c r="K680" s="792"/>
      <c r="L680" s="792"/>
      <c r="M680" s="792"/>
      <c r="N680" s="792"/>
      <c r="O680" s="792"/>
      <c r="P680" s="792"/>
      <c r="Q680" s="792"/>
      <c r="R680" s="792"/>
      <c r="S680" s="792"/>
      <c r="T680" s="792"/>
      <c r="U680" s="792"/>
      <c r="V680" s="793"/>
      <c r="W680" s="792"/>
      <c r="X680" s="792"/>
      <c r="Y680" s="792"/>
      <c r="Z680" s="792"/>
      <c r="AA680" s="792"/>
    </row>
    <row r="681" spans="1:27" ht="15.75" customHeight="1">
      <c r="A681" s="792"/>
      <c r="B681" s="792"/>
      <c r="C681" s="792"/>
      <c r="D681" s="792"/>
      <c r="E681" s="792"/>
      <c r="F681" s="792"/>
      <c r="G681" s="792"/>
      <c r="H681" s="792"/>
      <c r="I681" s="792"/>
      <c r="J681" s="792"/>
      <c r="K681" s="792"/>
      <c r="L681" s="792"/>
      <c r="M681" s="792"/>
      <c r="N681" s="792"/>
      <c r="O681" s="792"/>
      <c r="P681" s="792"/>
      <c r="Q681" s="792"/>
      <c r="R681" s="792"/>
      <c r="S681" s="792"/>
      <c r="T681" s="792"/>
      <c r="U681" s="792"/>
      <c r="V681" s="793"/>
      <c r="W681" s="792"/>
      <c r="X681" s="792"/>
      <c r="Y681" s="792"/>
      <c r="Z681" s="792"/>
      <c r="AA681" s="792"/>
    </row>
    <row r="682" spans="1:27" ht="15.75" customHeight="1">
      <c r="A682" s="792"/>
      <c r="B682" s="792"/>
      <c r="C682" s="792"/>
      <c r="D682" s="792"/>
      <c r="E682" s="792"/>
      <c r="F682" s="792"/>
      <c r="G682" s="792"/>
      <c r="H682" s="792"/>
      <c r="I682" s="792"/>
      <c r="J682" s="792"/>
      <c r="K682" s="792"/>
      <c r="L682" s="792"/>
      <c r="M682" s="792"/>
      <c r="N682" s="792"/>
      <c r="O682" s="792"/>
      <c r="P682" s="792"/>
      <c r="Q682" s="792"/>
      <c r="R682" s="792"/>
      <c r="S682" s="792"/>
      <c r="T682" s="792"/>
      <c r="U682" s="792"/>
      <c r="V682" s="793"/>
      <c r="W682" s="792"/>
      <c r="X682" s="792"/>
      <c r="Y682" s="792"/>
      <c r="Z682" s="792"/>
      <c r="AA682" s="792"/>
    </row>
    <row r="683" spans="1:27" ht="15.75" customHeight="1">
      <c r="A683" s="792"/>
      <c r="B683" s="792"/>
      <c r="C683" s="792"/>
      <c r="D683" s="792"/>
      <c r="E683" s="792"/>
      <c r="F683" s="792"/>
      <c r="G683" s="792"/>
      <c r="H683" s="792"/>
      <c r="I683" s="792"/>
      <c r="J683" s="792"/>
      <c r="K683" s="792"/>
      <c r="L683" s="792"/>
      <c r="M683" s="792"/>
      <c r="N683" s="792"/>
      <c r="O683" s="792"/>
      <c r="P683" s="792"/>
      <c r="Q683" s="792"/>
      <c r="R683" s="792"/>
      <c r="S683" s="792"/>
      <c r="T683" s="792"/>
      <c r="U683" s="792"/>
      <c r="V683" s="793"/>
      <c r="W683" s="792"/>
      <c r="X683" s="792"/>
      <c r="Y683" s="792"/>
      <c r="Z683" s="792"/>
      <c r="AA683" s="792"/>
    </row>
    <row r="684" spans="1:27" ht="15.75" customHeight="1">
      <c r="A684" s="792"/>
      <c r="B684" s="792"/>
      <c r="C684" s="792"/>
      <c r="D684" s="792"/>
      <c r="E684" s="792"/>
      <c r="F684" s="792"/>
      <c r="G684" s="792"/>
      <c r="H684" s="792"/>
      <c r="I684" s="792"/>
      <c r="J684" s="792"/>
      <c r="K684" s="792"/>
      <c r="L684" s="792"/>
      <c r="M684" s="792"/>
      <c r="N684" s="792"/>
      <c r="O684" s="792"/>
      <c r="P684" s="792"/>
      <c r="Q684" s="792"/>
      <c r="R684" s="792"/>
      <c r="S684" s="792"/>
      <c r="T684" s="792"/>
      <c r="U684" s="792"/>
      <c r="V684" s="793"/>
      <c r="W684" s="792"/>
      <c r="X684" s="792"/>
      <c r="Y684" s="792"/>
      <c r="Z684" s="792"/>
      <c r="AA684" s="792"/>
    </row>
    <row r="685" spans="1:27" ht="15.75" customHeight="1">
      <c r="A685" s="792"/>
      <c r="B685" s="792"/>
      <c r="C685" s="792"/>
      <c r="D685" s="792"/>
      <c r="E685" s="792"/>
      <c r="F685" s="792"/>
      <c r="G685" s="792"/>
      <c r="H685" s="792"/>
      <c r="I685" s="792"/>
      <c r="J685" s="792"/>
      <c r="K685" s="792"/>
      <c r="L685" s="792"/>
      <c r="M685" s="792"/>
      <c r="N685" s="792"/>
      <c r="O685" s="792"/>
      <c r="P685" s="792"/>
      <c r="Q685" s="792"/>
      <c r="R685" s="792"/>
      <c r="S685" s="792"/>
      <c r="T685" s="792"/>
      <c r="U685" s="792"/>
      <c r="V685" s="793"/>
      <c r="W685" s="792"/>
      <c r="X685" s="792"/>
      <c r="Y685" s="792"/>
      <c r="Z685" s="792"/>
      <c r="AA685" s="792"/>
    </row>
    <row r="686" spans="1:27" ht="15.75" customHeight="1">
      <c r="A686" s="792"/>
      <c r="B686" s="792"/>
      <c r="C686" s="792"/>
      <c r="D686" s="792"/>
      <c r="E686" s="792"/>
      <c r="F686" s="792"/>
      <c r="G686" s="792"/>
      <c r="H686" s="792"/>
      <c r="I686" s="792"/>
      <c r="J686" s="792"/>
      <c r="K686" s="792"/>
      <c r="L686" s="792"/>
      <c r="M686" s="792"/>
      <c r="N686" s="792"/>
      <c r="O686" s="792"/>
      <c r="P686" s="792"/>
      <c r="Q686" s="792"/>
      <c r="R686" s="792"/>
      <c r="S686" s="792"/>
      <c r="T686" s="792"/>
      <c r="U686" s="792"/>
      <c r="V686" s="793"/>
      <c r="W686" s="792"/>
      <c r="X686" s="792"/>
      <c r="Y686" s="792"/>
      <c r="Z686" s="792"/>
      <c r="AA686" s="792"/>
    </row>
    <row r="687" spans="1:27" ht="15.75" customHeight="1">
      <c r="A687" s="792"/>
      <c r="B687" s="792"/>
      <c r="C687" s="792"/>
      <c r="D687" s="792"/>
      <c r="E687" s="792"/>
      <c r="F687" s="792"/>
      <c r="G687" s="792"/>
      <c r="H687" s="792"/>
      <c r="I687" s="792"/>
      <c r="J687" s="792"/>
      <c r="K687" s="792"/>
      <c r="L687" s="792"/>
      <c r="M687" s="792"/>
      <c r="N687" s="792"/>
      <c r="O687" s="792"/>
      <c r="P687" s="792"/>
      <c r="Q687" s="792"/>
      <c r="R687" s="792"/>
      <c r="S687" s="792"/>
      <c r="T687" s="792"/>
      <c r="U687" s="792"/>
      <c r="V687" s="793"/>
      <c r="W687" s="792"/>
      <c r="X687" s="792"/>
      <c r="Y687" s="792"/>
      <c r="Z687" s="792"/>
      <c r="AA687" s="792"/>
    </row>
    <row r="688" spans="1:27" ht="15.75" customHeight="1">
      <c r="A688" s="792"/>
      <c r="B688" s="792"/>
      <c r="C688" s="792"/>
      <c r="D688" s="792"/>
      <c r="E688" s="792"/>
      <c r="F688" s="792"/>
      <c r="G688" s="792"/>
      <c r="H688" s="792"/>
      <c r="I688" s="792"/>
      <c r="J688" s="792"/>
      <c r="K688" s="792"/>
      <c r="L688" s="792"/>
      <c r="M688" s="792"/>
      <c r="N688" s="792"/>
      <c r="O688" s="792"/>
      <c r="P688" s="792"/>
      <c r="Q688" s="792"/>
      <c r="R688" s="792"/>
      <c r="S688" s="792"/>
      <c r="T688" s="792"/>
      <c r="U688" s="792"/>
      <c r="V688" s="793"/>
      <c r="W688" s="792"/>
      <c r="X688" s="792"/>
      <c r="Y688" s="792"/>
      <c r="Z688" s="792"/>
      <c r="AA688" s="792"/>
    </row>
    <row r="689" spans="1:27" ht="15.75" customHeight="1">
      <c r="A689" s="792"/>
      <c r="B689" s="792"/>
      <c r="C689" s="792"/>
      <c r="D689" s="792"/>
      <c r="E689" s="792"/>
      <c r="F689" s="792"/>
      <c r="G689" s="792"/>
      <c r="H689" s="792"/>
      <c r="I689" s="792"/>
      <c r="J689" s="792"/>
      <c r="K689" s="792"/>
      <c r="L689" s="792"/>
      <c r="M689" s="792"/>
      <c r="N689" s="792"/>
      <c r="O689" s="792"/>
      <c r="P689" s="792"/>
      <c r="Q689" s="792"/>
      <c r="R689" s="792"/>
      <c r="S689" s="792"/>
      <c r="T689" s="792"/>
      <c r="U689" s="792"/>
      <c r="V689" s="793"/>
      <c r="W689" s="792"/>
      <c r="X689" s="792"/>
      <c r="Y689" s="792"/>
      <c r="Z689" s="792"/>
      <c r="AA689" s="792"/>
    </row>
    <row r="690" spans="1:27" ht="15.75" customHeight="1">
      <c r="A690" s="792"/>
      <c r="B690" s="792"/>
      <c r="C690" s="792"/>
      <c r="D690" s="792"/>
      <c r="E690" s="792"/>
      <c r="F690" s="792"/>
      <c r="G690" s="792"/>
      <c r="H690" s="792"/>
      <c r="I690" s="792"/>
      <c r="J690" s="792"/>
      <c r="K690" s="792"/>
      <c r="L690" s="792"/>
      <c r="M690" s="792"/>
      <c r="N690" s="792"/>
      <c r="O690" s="792"/>
      <c r="P690" s="792"/>
      <c r="Q690" s="792"/>
      <c r="R690" s="792"/>
      <c r="S690" s="792"/>
      <c r="T690" s="792"/>
      <c r="U690" s="792"/>
      <c r="V690" s="793"/>
      <c r="W690" s="792"/>
      <c r="X690" s="792"/>
      <c r="Y690" s="792"/>
      <c r="Z690" s="792"/>
      <c r="AA690" s="792"/>
    </row>
    <row r="691" spans="1:27" ht="15.75" customHeight="1">
      <c r="A691" s="792"/>
      <c r="B691" s="792"/>
      <c r="C691" s="792"/>
      <c r="D691" s="792"/>
      <c r="E691" s="792"/>
      <c r="F691" s="792"/>
      <c r="G691" s="792"/>
      <c r="H691" s="792"/>
      <c r="I691" s="792"/>
      <c r="J691" s="792"/>
      <c r="K691" s="792"/>
      <c r="L691" s="792"/>
      <c r="M691" s="792"/>
      <c r="N691" s="792"/>
      <c r="O691" s="792"/>
      <c r="P691" s="792"/>
      <c r="Q691" s="792"/>
      <c r="R691" s="792"/>
      <c r="S691" s="792"/>
      <c r="T691" s="792"/>
      <c r="U691" s="792"/>
      <c r="V691" s="793"/>
      <c r="W691" s="792"/>
      <c r="X691" s="792"/>
      <c r="Y691" s="792"/>
      <c r="Z691" s="792"/>
      <c r="AA691" s="792"/>
    </row>
    <row r="692" spans="1:27" ht="15.75" customHeight="1">
      <c r="A692" s="792"/>
      <c r="B692" s="792"/>
      <c r="C692" s="792"/>
      <c r="D692" s="792"/>
      <c r="E692" s="792"/>
      <c r="F692" s="792"/>
      <c r="G692" s="792"/>
      <c r="H692" s="792"/>
      <c r="I692" s="792"/>
      <c r="J692" s="792"/>
      <c r="K692" s="792"/>
      <c r="L692" s="792"/>
      <c r="M692" s="792"/>
      <c r="N692" s="792"/>
      <c r="O692" s="792"/>
      <c r="P692" s="792"/>
      <c r="Q692" s="792"/>
      <c r="R692" s="792"/>
      <c r="S692" s="792"/>
      <c r="T692" s="792"/>
      <c r="U692" s="792"/>
      <c r="V692" s="793"/>
      <c r="W692" s="792"/>
      <c r="X692" s="792"/>
      <c r="Y692" s="792"/>
      <c r="Z692" s="792"/>
      <c r="AA692" s="792"/>
    </row>
    <row r="693" spans="1:27" ht="15.75" customHeight="1">
      <c r="A693" s="792"/>
      <c r="B693" s="792"/>
      <c r="C693" s="792"/>
      <c r="D693" s="792"/>
      <c r="E693" s="792"/>
      <c r="F693" s="792"/>
      <c r="G693" s="792"/>
      <c r="H693" s="792"/>
      <c r="I693" s="792"/>
      <c r="J693" s="792"/>
      <c r="K693" s="792"/>
      <c r="L693" s="792"/>
      <c r="M693" s="792"/>
      <c r="N693" s="792"/>
      <c r="O693" s="792"/>
      <c r="P693" s="792"/>
      <c r="Q693" s="792"/>
      <c r="R693" s="792"/>
      <c r="S693" s="792"/>
      <c r="T693" s="792"/>
      <c r="U693" s="792"/>
      <c r="V693" s="793"/>
      <c r="W693" s="792"/>
      <c r="X693" s="792"/>
      <c r="Y693" s="792"/>
      <c r="Z693" s="792"/>
      <c r="AA693" s="792"/>
    </row>
    <row r="694" spans="1:27" ht="15.75" customHeight="1">
      <c r="A694" s="792"/>
      <c r="B694" s="792"/>
      <c r="C694" s="792"/>
      <c r="D694" s="792"/>
      <c r="E694" s="792"/>
      <c r="F694" s="792"/>
      <c r="G694" s="792"/>
      <c r="H694" s="792"/>
      <c r="I694" s="792"/>
      <c r="J694" s="792"/>
      <c r="K694" s="792"/>
      <c r="L694" s="792"/>
      <c r="M694" s="792"/>
      <c r="N694" s="792"/>
      <c r="O694" s="792"/>
      <c r="P694" s="792"/>
      <c r="Q694" s="792"/>
      <c r="R694" s="792"/>
      <c r="S694" s="792"/>
      <c r="T694" s="792"/>
      <c r="U694" s="792"/>
      <c r="V694" s="793"/>
      <c r="W694" s="792"/>
      <c r="X694" s="792"/>
      <c r="Y694" s="792"/>
      <c r="Z694" s="792"/>
      <c r="AA694" s="792"/>
    </row>
    <row r="695" spans="1:27" ht="15.75" customHeight="1">
      <c r="A695" s="792"/>
      <c r="B695" s="792"/>
      <c r="C695" s="792"/>
      <c r="D695" s="792"/>
      <c r="E695" s="792"/>
      <c r="F695" s="792"/>
      <c r="G695" s="792"/>
      <c r="H695" s="792"/>
      <c r="I695" s="792"/>
      <c r="J695" s="792"/>
      <c r="K695" s="792"/>
      <c r="L695" s="792"/>
      <c r="M695" s="792"/>
      <c r="N695" s="792"/>
      <c r="O695" s="792"/>
      <c r="P695" s="792"/>
      <c r="Q695" s="792"/>
      <c r="R695" s="792"/>
      <c r="S695" s="792"/>
      <c r="T695" s="792"/>
      <c r="U695" s="792"/>
      <c r="V695" s="793"/>
      <c r="W695" s="792"/>
      <c r="X695" s="792"/>
      <c r="Y695" s="792"/>
      <c r="Z695" s="792"/>
      <c r="AA695" s="792"/>
    </row>
    <row r="696" spans="1:27" ht="15.75" customHeight="1">
      <c r="A696" s="792"/>
      <c r="B696" s="792"/>
      <c r="C696" s="792"/>
      <c r="D696" s="792"/>
      <c r="E696" s="792"/>
      <c r="F696" s="792"/>
      <c r="G696" s="792"/>
      <c r="H696" s="792"/>
      <c r="I696" s="792"/>
      <c r="J696" s="792"/>
      <c r="K696" s="792"/>
      <c r="L696" s="792"/>
      <c r="M696" s="792"/>
      <c r="N696" s="792"/>
      <c r="O696" s="792"/>
      <c r="P696" s="792"/>
      <c r="Q696" s="792"/>
      <c r="R696" s="792"/>
      <c r="S696" s="792"/>
      <c r="T696" s="792"/>
      <c r="U696" s="792"/>
      <c r="V696" s="793"/>
      <c r="W696" s="792"/>
      <c r="X696" s="792"/>
      <c r="Y696" s="792"/>
      <c r="Z696" s="792"/>
      <c r="AA696" s="792"/>
    </row>
    <row r="697" spans="1:27" ht="15.75" customHeight="1">
      <c r="A697" s="792"/>
      <c r="B697" s="792"/>
      <c r="C697" s="792"/>
      <c r="D697" s="792"/>
      <c r="E697" s="792"/>
      <c r="F697" s="792"/>
      <c r="G697" s="792"/>
      <c r="H697" s="792"/>
      <c r="I697" s="792"/>
      <c r="J697" s="792"/>
      <c r="K697" s="792"/>
      <c r="L697" s="792"/>
      <c r="M697" s="792"/>
      <c r="N697" s="792"/>
      <c r="O697" s="792"/>
      <c r="P697" s="792"/>
      <c r="Q697" s="792"/>
      <c r="R697" s="792"/>
      <c r="S697" s="792"/>
      <c r="T697" s="792"/>
      <c r="U697" s="792"/>
      <c r="V697" s="793"/>
      <c r="W697" s="792"/>
      <c r="X697" s="792"/>
      <c r="Y697" s="792"/>
      <c r="Z697" s="792"/>
      <c r="AA697" s="792"/>
    </row>
    <row r="698" spans="1:27" ht="15.75" customHeight="1">
      <c r="A698" s="792"/>
      <c r="B698" s="792"/>
      <c r="C698" s="792"/>
      <c r="D698" s="792"/>
      <c r="E698" s="792"/>
      <c r="F698" s="792"/>
      <c r="G698" s="792"/>
      <c r="H698" s="792"/>
      <c r="I698" s="792"/>
      <c r="J698" s="792"/>
      <c r="K698" s="792"/>
      <c r="L698" s="792"/>
      <c r="M698" s="792"/>
      <c r="N698" s="792"/>
      <c r="O698" s="792"/>
      <c r="P698" s="792"/>
      <c r="Q698" s="792"/>
      <c r="R698" s="792"/>
      <c r="S698" s="792"/>
      <c r="T698" s="792"/>
      <c r="U698" s="792"/>
      <c r="V698" s="793"/>
      <c r="W698" s="792"/>
      <c r="X698" s="792"/>
      <c r="Y698" s="792"/>
      <c r="Z698" s="792"/>
      <c r="AA698" s="792"/>
    </row>
    <row r="699" spans="1:27" ht="15.75" customHeight="1">
      <c r="A699" s="792"/>
      <c r="B699" s="792"/>
      <c r="C699" s="792"/>
      <c r="D699" s="792"/>
      <c r="E699" s="792"/>
      <c r="F699" s="792"/>
      <c r="G699" s="792"/>
      <c r="H699" s="792"/>
      <c r="I699" s="792"/>
      <c r="J699" s="792"/>
      <c r="K699" s="792"/>
      <c r="L699" s="792"/>
      <c r="M699" s="792"/>
      <c r="N699" s="792"/>
      <c r="O699" s="792"/>
      <c r="P699" s="792"/>
      <c r="Q699" s="792"/>
      <c r="R699" s="792"/>
      <c r="S699" s="792"/>
      <c r="T699" s="792"/>
      <c r="U699" s="792"/>
      <c r="V699" s="793"/>
      <c r="W699" s="792"/>
      <c r="X699" s="792"/>
      <c r="Y699" s="792"/>
      <c r="Z699" s="792"/>
      <c r="AA699" s="792"/>
    </row>
    <row r="700" spans="1:27" ht="15.75" customHeight="1">
      <c r="A700" s="792"/>
      <c r="B700" s="792"/>
      <c r="C700" s="792"/>
      <c r="D700" s="792"/>
      <c r="E700" s="792"/>
      <c r="F700" s="792"/>
      <c r="G700" s="792"/>
      <c r="H700" s="792"/>
      <c r="I700" s="792"/>
      <c r="J700" s="792"/>
      <c r="K700" s="792"/>
      <c r="L700" s="792"/>
      <c r="M700" s="792"/>
      <c r="N700" s="792"/>
      <c r="O700" s="792"/>
      <c r="P700" s="792"/>
      <c r="Q700" s="792"/>
      <c r="R700" s="792"/>
      <c r="S700" s="792"/>
      <c r="T700" s="792"/>
      <c r="U700" s="792"/>
      <c r="V700" s="793"/>
      <c r="W700" s="792"/>
      <c r="X700" s="792"/>
      <c r="Y700" s="792"/>
      <c r="Z700" s="792"/>
      <c r="AA700" s="792"/>
    </row>
    <row r="701" spans="1:27" ht="15.75" customHeight="1">
      <c r="A701" s="792"/>
      <c r="B701" s="792"/>
      <c r="C701" s="792"/>
      <c r="D701" s="792"/>
      <c r="E701" s="792"/>
      <c r="F701" s="792"/>
      <c r="G701" s="792"/>
      <c r="H701" s="792"/>
      <c r="I701" s="792"/>
      <c r="J701" s="792"/>
      <c r="K701" s="792"/>
      <c r="L701" s="792"/>
      <c r="M701" s="792"/>
      <c r="N701" s="792"/>
      <c r="O701" s="792"/>
      <c r="P701" s="792"/>
      <c r="Q701" s="792"/>
      <c r="R701" s="792"/>
      <c r="S701" s="792"/>
      <c r="T701" s="792"/>
      <c r="U701" s="792"/>
      <c r="V701" s="793"/>
      <c r="W701" s="792"/>
      <c r="X701" s="792"/>
      <c r="Y701" s="792"/>
      <c r="Z701" s="792"/>
      <c r="AA701" s="792"/>
    </row>
    <row r="702" spans="1:27" ht="15.75" customHeight="1">
      <c r="A702" s="792"/>
      <c r="B702" s="792"/>
      <c r="C702" s="792"/>
      <c r="D702" s="792"/>
      <c r="E702" s="792"/>
      <c r="F702" s="792"/>
      <c r="G702" s="792"/>
      <c r="H702" s="792"/>
      <c r="I702" s="792"/>
      <c r="J702" s="792"/>
      <c r="K702" s="792"/>
      <c r="L702" s="792"/>
      <c r="M702" s="792"/>
      <c r="N702" s="792"/>
      <c r="O702" s="792"/>
      <c r="P702" s="792"/>
      <c r="Q702" s="792"/>
      <c r="R702" s="792"/>
      <c r="S702" s="792"/>
      <c r="T702" s="792"/>
      <c r="U702" s="792"/>
      <c r="V702" s="793"/>
      <c r="W702" s="792"/>
      <c r="X702" s="792"/>
      <c r="Y702" s="792"/>
      <c r="Z702" s="792"/>
      <c r="AA702" s="792"/>
    </row>
    <row r="703" spans="1:27" ht="15.75" customHeight="1">
      <c r="A703" s="792"/>
      <c r="B703" s="792"/>
      <c r="C703" s="792"/>
      <c r="D703" s="792"/>
      <c r="E703" s="792"/>
      <c r="F703" s="792"/>
      <c r="G703" s="792"/>
      <c r="H703" s="792"/>
      <c r="I703" s="792"/>
      <c r="J703" s="792"/>
      <c r="K703" s="792"/>
      <c r="L703" s="792"/>
      <c r="M703" s="792"/>
      <c r="N703" s="792"/>
      <c r="O703" s="792"/>
      <c r="P703" s="792"/>
      <c r="Q703" s="792"/>
      <c r="R703" s="792"/>
      <c r="S703" s="792"/>
      <c r="T703" s="792"/>
      <c r="U703" s="792"/>
      <c r="V703" s="793"/>
      <c r="W703" s="792"/>
      <c r="X703" s="792"/>
      <c r="Y703" s="792"/>
      <c r="Z703" s="792"/>
      <c r="AA703" s="792"/>
    </row>
    <row r="704" spans="1:27" ht="15.75" customHeight="1">
      <c r="A704" s="792"/>
      <c r="B704" s="792"/>
      <c r="C704" s="792"/>
      <c r="D704" s="792"/>
      <c r="E704" s="792"/>
      <c r="F704" s="792"/>
      <c r="G704" s="792"/>
      <c r="H704" s="792"/>
      <c r="I704" s="792"/>
      <c r="J704" s="792"/>
      <c r="K704" s="792"/>
      <c r="L704" s="792"/>
      <c r="M704" s="792"/>
      <c r="N704" s="792"/>
      <c r="O704" s="792"/>
      <c r="P704" s="792"/>
      <c r="Q704" s="792"/>
      <c r="R704" s="792"/>
      <c r="S704" s="792"/>
      <c r="T704" s="792"/>
      <c r="U704" s="792"/>
      <c r="V704" s="793"/>
      <c r="W704" s="792"/>
      <c r="X704" s="792"/>
      <c r="Y704" s="792"/>
      <c r="Z704" s="792"/>
      <c r="AA704" s="792"/>
    </row>
    <row r="705" spans="1:27" ht="15.75" customHeight="1">
      <c r="A705" s="792"/>
      <c r="B705" s="792"/>
      <c r="C705" s="792"/>
      <c r="D705" s="792"/>
      <c r="E705" s="792"/>
      <c r="F705" s="792"/>
      <c r="G705" s="792"/>
      <c r="H705" s="792"/>
      <c r="I705" s="792"/>
      <c r="J705" s="792"/>
      <c r="K705" s="792"/>
      <c r="L705" s="792"/>
      <c r="M705" s="792"/>
      <c r="N705" s="792"/>
      <c r="O705" s="792"/>
      <c r="P705" s="792"/>
      <c r="Q705" s="792"/>
      <c r="R705" s="792"/>
      <c r="S705" s="792"/>
      <c r="T705" s="792"/>
      <c r="U705" s="792"/>
      <c r="V705" s="793"/>
      <c r="W705" s="792"/>
      <c r="X705" s="792"/>
      <c r="Y705" s="792"/>
      <c r="Z705" s="792"/>
      <c r="AA705" s="792"/>
    </row>
    <row r="706" spans="1:27" ht="15.75" customHeight="1">
      <c r="A706" s="792"/>
      <c r="B706" s="792"/>
      <c r="C706" s="792"/>
      <c r="D706" s="792"/>
      <c r="E706" s="792"/>
      <c r="F706" s="792"/>
      <c r="G706" s="792"/>
      <c r="H706" s="792"/>
      <c r="I706" s="792"/>
      <c r="J706" s="792"/>
      <c r="K706" s="792"/>
      <c r="L706" s="792"/>
      <c r="M706" s="792"/>
      <c r="N706" s="792"/>
      <c r="O706" s="792"/>
      <c r="P706" s="792"/>
      <c r="Q706" s="792"/>
      <c r="R706" s="792"/>
      <c r="S706" s="792"/>
      <c r="T706" s="792"/>
      <c r="U706" s="792"/>
      <c r="V706" s="793"/>
      <c r="W706" s="792"/>
      <c r="X706" s="792"/>
      <c r="Y706" s="792"/>
      <c r="Z706" s="792"/>
      <c r="AA706" s="792"/>
    </row>
    <row r="707" spans="1:27" ht="15.75" customHeight="1">
      <c r="A707" s="792"/>
      <c r="B707" s="792"/>
      <c r="C707" s="792"/>
      <c r="D707" s="792"/>
      <c r="E707" s="792"/>
      <c r="F707" s="792"/>
      <c r="G707" s="792"/>
      <c r="H707" s="792"/>
      <c r="I707" s="792"/>
      <c r="J707" s="792"/>
      <c r="K707" s="792"/>
      <c r="L707" s="792"/>
      <c r="M707" s="792"/>
      <c r="N707" s="792"/>
      <c r="O707" s="792"/>
      <c r="P707" s="792"/>
      <c r="Q707" s="792"/>
      <c r="R707" s="792"/>
      <c r="S707" s="792"/>
      <c r="T707" s="792"/>
      <c r="U707" s="792"/>
      <c r="V707" s="793"/>
      <c r="W707" s="792"/>
      <c r="X707" s="792"/>
      <c r="Y707" s="792"/>
      <c r="Z707" s="792"/>
      <c r="AA707" s="792"/>
    </row>
    <row r="708" spans="1:27" ht="15.75" customHeight="1">
      <c r="A708" s="792"/>
      <c r="B708" s="792"/>
      <c r="C708" s="792"/>
      <c r="D708" s="792"/>
      <c r="E708" s="792"/>
      <c r="F708" s="792"/>
      <c r="G708" s="792"/>
      <c r="H708" s="792"/>
      <c r="I708" s="792"/>
      <c r="J708" s="792"/>
      <c r="K708" s="792"/>
      <c r="L708" s="792"/>
      <c r="M708" s="792"/>
      <c r="N708" s="792"/>
      <c r="O708" s="792"/>
      <c r="P708" s="792"/>
      <c r="Q708" s="792"/>
      <c r="R708" s="792"/>
      <c r="S708" s="792"/>
      <c r="T708" s="792"/>
      <c r="U708" s="792"/>
      <c r="V708" s="793"/>
      <c r="W708" s="792"/>
      <c r="X708" s="792"/>
      <c r="Y708" s="792"/>
      <c r="Z708" s="792"/>
      <c r="AA708" s="792"/>
    </row>
    <row r="709" spans="1:27" ht="15.75" customHeight="1">
      <c r="A709" s="792"/>
      <c r="B709" s="792"/>
      <c r="C709" s="792"/>
      <c r="D709" s="792"/>
      <c r="E709" s="792"/>
      <c r="F709" s="792"/>
      <c r="G709" s="792"/>
      <c r="H709" s="792"/>
      <c r="I709" s="792"/>
      <c r="J709" s="792"/>
      <c r="K709" s="792"/>
      <c r="L709" s="792"/>
      <c r="M709" s="792"/>
      <c r="N709" s="792"/>
      <c r="O709" s="792"/>
      <c r="P709" s="792"/>
      <c r="Q709" s="792"/>
      <c r="R709" s="792"/>
      <c r="S709" s="792"/>
      <c r="T709" s="792"/>
      <c r="U709" s="792"/>
      <c r="V709" s="793"/>
      <c r="W709" s="792"/>
      <c r="X709" s="792"/>
      <c r="Y709" s="792"/>
      <c r="Z709" s="792"/>
      <c r="AA709" s="792"/>
    </row>
    <row r="710" spans="1:27" ht="15.75" customHeight="1">
      <c r="A710" s="792"/>
      <c r="B710" s="792"/>
      <c r="C710" s="792"/>
      <c r="D710" s="792"/>
      <c r="E710" s="792"/>
      <c r="F710" s="792"/>
      <c r="G710" s="792"/>
      <c r="H710" s="792"/>
      <c r="I710" s="792"/>
      <c r="J710" s="792"/>
      <c r="K710" s="792"/>
      <c r="L710" s="792"/>
      <c r="M710" s="792"/>
      <c r="N710" s="792"/>
      <c r="O710" s="792"/>
      <c r="P710" s="792"/>
      <c r="Q710" s="792"/>
      <c r="R710" s="792"/>
      <c r="S710" s="792"/>
      <c r="T710" s="792"/>
      <c r="U710" s="792"/>
      <c r="V710" s="793"/>
      <c r="W710" s="792"/>
      <c r="X710" s="792"/>
      <c r="Y710" s="792"/>
      <c r="Z710" s="792"/>
      <c r="AA710" s="792"/>
    </row>
    <row r="711" spans="1:27" ht="15.75" customHeight="1">
      <c r="A711" s="792"/>
      <c r="B711" s="792"/>
      <c r="C711" s="792"/>
      <c r="D711" s="792"/>
      <c r="E711" s="792"/>
      <c r="F711" s="792"/>
      <c r="G711" s="792"/>
      <c r="H711" s="792"/>
      <c r="I711" s="792"/>
      <c r="J711" s="792"/>
      <c r="K711" s="792"/>
      <c r="L711" s="792"/>
      <c r="M711" s="792"/>
      <c r="N711" s="792"/>
      <c r="O711" s="792"/>
      <c r="P711" s="792"/>
      <c r="Q711" s="792"/>
      <c r="R711" s="792"/>
      <c r="S711" s="792"/>
      <c r="T711" s="792"/>
      <c r="U711" s="792"/>
      <c r="V711" s="793"/>
      <c r="W711" s="792"/>
      <c r="X711" s="792"/>
      <c r="Y711" s="792"/>
      <c r="Z711" s="792"/>
      <c r="AA711" s="792"/>
    </row>
    <row r="712" spans="1:27" ht="15.75" customHeight="1">
      <c r="A712" s="792"/>
      <c r="B712" s="792"/>
      <c r="C712" s="792"/>
      <c r="D712" s="792"/>
      <c r="E712" s="792"/>
      <c r="F712" s="792"/>
      <c r="G712" s="792"/>
      <c r="H712" s="792"/>
      <c r="I712" s="792"/>
      <c r="J712" s="792"/>
      <c r="K712" s="792"/>
      <c r="L712" s="792"/>
      <c r="M712" s="792"/>
      <c r="N712" s="792"/>
      <c r="O712" s="792"/>
      <c r="P712" s="792"/>
      <c r="Q712" s="792"/>
      <c r="R712" s="792"/>
      <c r="S712" s="792"/>
      <c r="T712" s="792"/>
      <c r="U712" s="792"/>
      <c r="V712" s="793"/>
      <c r="W712" s="792"/>
      <c r="X712" s="792"/>
      <c r="Y712" s="792"/>
      <c r="Z712" s="792"/>
      <c r="AA712" s="792"/>
    </row>
    <row r="713" spans="1:27" ht="15.75" customHeight="1">
      <c r="A713" s="792"/>
      <c r="B713" s="792"/>
      <c r="C713" s="792"/>
      <c r="D713" s="792"/>
      <c r="E713" s="792"/>
      <c r="F713" s="792"/>
      <c r="G713" s="792"/>
      <c r="H713" s="792"/>
      <c r="I713" s="792"/>
      <c r="J713" s="792"/>
      <c r="K713" s="792"/>
      <c r="L713" s="792"/>
      <c r="M713" s="792"/>
      <c r="N713" s="792"/>
      <c r="O713" s="792"/>
      <c r="P713" s="792"/>
      <c r="Q713" s="792"/>
      <c r="R713" s="792"/>
      <c r="S713" s="792"/>
      <c r="T713" s="792"/>
      <c r="U713" s="792"/>
      <c r="V713" s="793"/>
      <c r="W713" s="792"/>
      <c r="X713" s="792"/>
      <c r="Y713" s="792"/>
      <c r="Z713" s="792"/>
      <c r="AA713" s="792"/>
    </row>
    <row r="714" spans="1:27" ht="15.75" customHeight="1">
      <c r="A714" s="792"/>
      <c r="B714" s="792"/>
      <c r="C714" s="792"/>
      <c r="D714" s="792"/>
      <c r="E714" s="792"/>
      <c r="F714" s="792"/>
      <c r="G714" s="792"/>
      <c r="H714" s="792"/>
      <c r="I714" s="792"/>
      <c r="J714" s="792"/>
      <c r="K714" s="792"/>
      <c r="L714" s="792"/>
      <c r="M714" s="792"/>
      <c r="N714" s="792"/>
      <c r="O714" s="792"/>
      <c r="P714" s="792"/>
      <c r="Q714" s="792"/>
      <c r="R714" s="792"/>
      <c r="S714" s="792"/>
      <c r="T714" s="792"/>
      <c r="U714" s="792"/>
      <c r="V714" s="793"/>
      <c r="W714" s="792"/>
      <c r="X714" s="792"/>
      <c r="Y714" s="792"/>
      <c r="Z714" s="792"/>
      <c r="AA714" s="792"/>
    </row>
    <row r="715" spans="1:27" ht="15.75" customHeight="1">
      <c r="A715" s="792"/>
      <c r="B715" s="792"/>
      <c r="C715" s="792"/>
      <c r="D715" s="792"/>
      <c r="E715" s="792"/>
      <c r="F715" s="792"/>
      <c r="G715" s="792"/>
      <c r="H715" s="792"/>
      <c r="I715" s="792"/>
      <c r="J715" s="792"/>
      <c r="K715" s="792"/>
      <c r="L715" s="792"/>
      <c r="M715" s="792"/>
      <c r="N715" s="792"/>
      <c r="O715" s="792"/>
      <c r="P715" s="792"/>
      <c r="Q715" s="792"/>
      <c r="R715" s="792"/>
      <c r="S715" s="792"/>
      <c r="T715" s="792"/>
      <c r="U715" s="792"/>
      <c r="V715" s="793"/>
      <c r="W715" s="792"/>
      <c r="X715" s="792"/>
      <c r="Y715" s="792"/>
      <c r="Z715" s="792"/>
      <c r="AA715" s="792"/>
    </row>
    <row r="716" spans="1:27" ht="15.75" customHeight="1">
      <c r="A716" s="792"/>
      <c r="B716" s="792"/>
      <c r="C716" s="792"/>
      <c r="D716" s="792"/>
      <c r="E716" s="792"/>
      <c r="F716" s="792"/>
      <c r="G716" s="792"/>
      <c r="H716" s="792"/>
      <c r="I716" s="792"/>
      <c r="J716" s="792"/>
      <c r="K716" s="792"/>
      <c r="L716" s="792"/>
      <c r="M716" s="792"/>
      <c r="N716" s="792"/>
      <c r="O716" s="792"/>
      <c r="P716" s="792"/>
      <c r="Q716" s="792"/>
      <c r="R716" s="792"/>
      <c r="S716" s="792"/>
      <c r="T716" s="792"/>
      <c r="U716" s="792"/>
      <c r="V716" s="793"/>
      <c r="W716" s="792"/>
      <c r="X716" s="792"/>
      <c r="Y716" s="792"/>
      <c r="Z716" s="792"/>
      <c r="AA716" s="792"/>
    </row>
    <row r="717" spans="1:27" ht="15.75" customHeight="1">
      <c r="A717" s="792"/>
      <c r="B717" s="792"/>
      <c r="C717" s="792"/>
      <c r="D717" s="792"/>
      <c r="E717" s="792"/>
      <c r="F717" s="792"/>
      <c r="G717" s="792"/>
      <c r="H717" s="792"/>
      <c r="I717" s="792"/>
      <c r="J717" s="792"/>
      <c r="K717" s="792"/>
      <c r="L717" s="792"/>
      <c r="M717" s="792"/>
      <c r="N717" s="792"/>
      <c r="O717" s="792"/>
      <c r="P717" s="792"/>
      <c r="Q717" s="792"/>
      <c r="R717" s="792"/>
      <c r="S717" s="792"/>
      <c r="T717" s="792"/>
      <c r="U717" s="792"/>
      <c r="V717" s="793"/>
      <c r="W717" s="792"/>
      <c r="X717" s="792"/>
      <c r="Y717" s="792"/>
      <c r="Z717" s="792"/>
      <c r="AA717" s="792"/>
    </row>
    <row r="718" spans="1:27" ht="15.75" customHeight="1">
      <c r="A718" s="792"/>
      <c r="B718" s="792"/>
      <c r="C718" s="792"/>
      <c r="D718" s="792"/>
      <c r="E718" s="792"/>
      <c r="F718" s="792"/>
      <c r="G718" s="792"/>
      <c r="H718" s="792"/>
      <c r="I718" s="792"/>
      <c r="J718" s="792"/>
      <c r="K718" s="792"/>
      <c r="L718" s="792"/>
      <c r="M718" s="792"/>
      <c r="N718" s="792"/>
      <c r="O718" s="792"/>
      <c r="P718" s="792"/>
      <c r="Q718" s="792"/>
      <c r="R718" s="792"/>
      <c r="S718" s="792"/>
      <c r="T718" s="792"/>
      <c r="U718" s="792"/>
      <c r="V718" s="793"/>
      <c r="W718" s="792"/>
      <c r="X718" s="792"/>
      <c r="Y718" s="792"/>
      <c r="Z718" s="792"/>
      <c r="AA718" s="792"/>
    </row>
    <row r="719" spans="1:27" ht="15.75" customHeight="1">
      <c r="A719" s="792"/>
      <c r="B719" s="792"/>
      <c r="C719" s="792"/>
      <c r="D719" s="792"/>
      <c r="E719" s="792"/>
      <c r="F719" s="792"/>
      <c r="G719" s="792"/>
      <c r="H719" s="792"/>
      <c r="I719" s="792"/>
      <c r="J719" s="792"/>
      <c r="K719" s="792"/>
      <c r="L719" s="792"/>
      <c r="M719" s="792"/>
      <c r="N719" s="792"/>
      <c r="O719" s="792"/>
      <c r="P719" s="792"/>
      <c r="Q719" s="792"/>
      <c r="R719" s="792"/>
      <c r="S719" s="792"/>
      <c r="T719" s="792"/>
      <c r="U719" s="792"/>
      <c r="V719" s="793"/>
      <c r="W719" s="792"/>
      <c r="X719" s="792"/>
      <c r="Y719" s="792"/>
      <c r="Z719" s="792"/>
      <c r="AA719" s="792"/>
    </row>
    <row r="720" spans="1:27" ht="15.75" customHeight="1">
      <c r="A720" s="792"/>
      <c r="B720" s="792"/>
      <c r="C720" s="792"/>
      <c r="D720" s="792"/>
      <c r="E720" s="792"/>
      <c r="F720" s="792"/>
      <c r="G720" s="792"/>
      <c r="H720" s="792"/>
      <c r="I720" s="792"/>
      <c r="J720" s="792"/>
      <c r="K720" s="792"/>
      <c r="L720" s="792"/>
      <c r="M720" s="792"/>
      <c r="N720" s="792"/>
      <c r="O720" s="792"/>
      <c r="P720" s="792"/>
      <c r="Q720" s="792"/>
      <c r="R720" s="792"/>
      <c r="S720" s="792"/>
      <c r="T720" s="792"/>
      <c r="U720" s="792"/>
      <c r="V720" s="793"/>
      <c r="W720" s="792"/>
      <c r="X720" s="792"/>
      <c r="Y720" s="792"/>
      <c r="Z720" s="792"/>
      <c r="AA720" s="792"/>
    </row>
    <row r="721" spans="1:27" ht="15.75" customHeight="1">
      <c r="A721" s="792"/>
      <c r="B721" s="792"/>
      <c r="C721" s="792"/>
      <c r="D721" s="792"/>
      <c r="E721" s="792"/>
      <c r="F721" s="792"/>
      <c r="G721" s="792"/>
      <c r="H721" s="792"/>
      <c r="I721" s="792"/>
      <c r="J721" s="792"/>
      <c r="K721" s="792"/>
      <c r="L721" s="792"/>
      <c r="M721" s="792"/>
      <c r="N721" s="792"/>
      <c r="O721" s="792"/>
      <c r="P721" s="792"/>
      <c r="Q721" s="792"/>
      <c r="R721" s="792"/>
      <c r="S721" s="792"/>
      <c r="T721" s="792"/>
      <c r="U721" s="792"/>
      <c r="V721" s="793"/>
      <c r="W721" s="792"/>
      <c r="X721" s="792"/>
      <c r="Y721" s="792"/>
      <c r="Z721" s="792"/>
      <c r="AA721" s="792"/>
    </row>
    <row r="722" spans="1:27" ht="15.75" customHeight="1">
      <c r="A722" s="792"/>
      <c r="B722" s="792"/>
      <c r="C722" s="792"/>
      <c r="D722" s="792"/>
      <c r="E722" s="792"/>
      <c r="F722" s="792"/>
      <c r="G722" s="792"/>
      <c r="H722" s="792"/>
      <c r="I722" s="792"/>
      <c r="J722" s="792"/>
      <c r="K722" s="792"/>
      <c r="L722" s="792"/>
      <c r="M722" s="792"/>
      <c r="N722" s="792"/>
      <c r="O722" s="792"/>
      <c r="P722" s="792"/>
      <c r="Q722" s="792"/>
      <c r="R722" s="792"/>
      <c r="S722" s="792"/>
      <c r="T722" s="792"/>
      <c r="U722" s="792"/>
      <c r="V722" s="793"/>
      <c r="W722" s="792"/>
      <c r="X722" s="792"/>
      <c r="Y722" s="792"/>
      <c r="Z722" s="792"/>
      <c r="AA722" s="792"/>
    </row>
    <row r="723" spans="1:27" ht="15.75" customHeight="1">
      <c r="A723" s="792"/>
      <c r="B723" s="792"/>
      <c r="C723" s="792"/>
      <c r="D723" s="792"/>
      <c r="E723" s="792"/>
      <c r="F723" s="792"/>
      <c r="G723" s="792"/>
      <c r="H723" s="792"/>
      <c r="I723" s="792"/>
      <c r="J723" s="792"/>
      <c r="K723" s="792"/>
      <c r="L723" s="792"/>
      <c r="M723" s="792"/>
      <c r="N723" s="792"/>
      <c r="O723" s="792"/>
      <c r="P723" s="792"/>
      <c r="Q723" s="792"/>
      <c r="R723" s="792"/>
      <c r="S723" s="792"/>
      <c r="T723" s="792"/>
      <c r="U723" s="792"/>
      <c r="V723" s="793"/>
      <c r="W723" s="792"/>
      <c r="X723" s="792"/>
      <c r="Y723" s="792"/>
      <c r="Z723" s="792"/>
      <c r="AA723" s="792"/>
    </row>
    <row r="724" spans="1:27" ht="15.75" customHeight="1">
      <c r="A724" s="792"/>
      <c r="B724" s="792"/>
      <c r="C724" s="792"/>
      <c r="D724" s="792"/>
      <c r="E724" s="792"/>
      <c r="F724" s="792"/>
      <c r="G724" s="792"/>
      <c r="H724" s="792"/>
      <c r="I724" s="792"/>
      <c r="J724" s="792"/>
      <c r="K724" s="792"/>
      <c r="L724" s="792"/>
      <c r="M724" s="792"/>
      <c r="N724" s="792"/>
      <c r="O724" s="792"/>
      <c r="P724" s="792"/>
      <c r="Q724" s="792"/>
      <c r="R724" s="792"/>
      <c r="S724" s="792"/>
      <c r="T724" s="792"/>
      <c r="U724" s="792"/>
      <c r="V724" s="793"/>
      <c r="W724" s="792"/>
      <c r="X724" s="792"/>
      <c r="Y724" s="792"/>
      <c r="Z724" s="792"/>
      <c r="AA724" s="792"/>
    </row>
    <row r="725" spans="1:27" ht="15.75" customHeight="1">
      <c r="A725" s="792"/>
      <c r="B725" s="792"/>
      <c r="C725" s="792"/>
      <c r="D725" s="792"/>
      <c r="E725" s="792"/>
      <c r="F725" s="792"/>
      <c r="G725" s="792"/>
      <c r="H725" s="792"/>
      <c r="I725" s="792"/>
      <c r="J725" s="792"/>
      <c r="K725" s="792"/>
      <c r="L725" s="792"/>
      <c r="M725" s="792"/>
      <c r="N725" s="792"/>
      <c r="O725" s="792"/>
      <c r="P725" s="792"/>
      <c r="Q725" s="792"/>
      <c r="R725" s="792"/>
      <c r="S725" s="792"/>
      <c r="T725" s="792"/>
      <c r="U725" s="792"/>
      <c r="V725" s="793"/>
      <c r="W725" s="792"/>
      <c r="X725" s="792"/>
      <c r="Y725" s="792"/>
      <c r="Z725" s="792"/>
      <c r="AA725" s="792"/>
    </row>
    <row r="726" spans="1:27" ht="15.75" customHeight="1">
      <c r="A726" s="792"/>
      <c r="B726" s="792"/>
      <c r="C726" s="792"/>
      <c r="D726" s="792"/>
      <c r="E726" s="792"/>
      <c r="F726" s="792"/>
      <c r="G726" s="792"/>
      <c r="H726" s="792"/>
      <c r="I726" s="792"/>
      <c r="J726" s="792"/>
      <c r="K726" s="792"/>
      <c r="L726" s="792"/>
      <c r="M726" s="792"/>
      <c r="N726" s="792"/>
      <c r="O726" s="792"/>
      <c r="P726" s="792"/>
      <c r="Q726" s="792"/>
      <c r="R726" s="792"/>
      <c r="S726" s="792"/>
      <c r="T726" s="792"/>
      <c r="U726" s="792"/>
      <c r="V726" s="793"/>
      <c r="W726" s="792"/>
      <c r="X726" s="792"/>
      <c r="Y726" s="792"/>
      <c r="Z726" s="792"/>
      <c r="AA726" s="792"/>
    </row>
    <row r="727" spans="1:27" ht="15.75" customHeight="1">
      <c r="A727" s="792"/>
      <c r="B727" s="792"/>
      <c r="C727" s="792"/>
      <c r="D727" s="792"/>
      <c r="E727" s="792"/>
      <c r="F727" s="792"/>
      <c r="G727" s="792"/>
      <c r="H727" s="792"/>
      <c r="I727" s="792"/>
      <c r="J727" s="792"/>
      <c r="K727" s="792"/>
      <c r="L727" s="792"/>
      <c r="M727" s="792"/>
      <c r="N727" s="792"/>
      <c r="O727" s="792"/>
      <c r="P727" s="792"/>
      <c r="Q727" s="792"/>
      <c r="R727" s="792"/>
      <c r="S727" s="792"/>
      <c r="T727" s="792"/>
      <c r="U727" s="792"/>
      <c r="V727" s="793"/>
      <c r="W727" s="792"/>
      <c r="X727" s="792"/>
      <c r="Y727" s="792"/>
      <c r="Z727" s="792"/>
      <c r="AA727" s="792"/>
    </row>
    <row r="728" spans="1:27" ht="15.75" customHeight="1">
      <c r="A728" s="792"/>
      <c r="B728" s="792"/>
      <c r="C728" s="792"/>
      <c r="D728" s="792"/>
      <c r="E728" s="792"/>
      <c r="F728" s="792"/>
      <c r="G728" s="792"/>
      <c r="H728" s="792"/>
      <c r="I728" s="792"/>
      <c r="J728" s="792"/>
      <c r="K728" s="792"/>
      <c r="L728" s="792"/>
      <c r="M728" s="792"/>
      <c r="N728" s="792"/>
      <c r="O728" s="792"/>
      <c r="P728" s="792"/>
      <c r="Q728" s="792"/>
      <c r="R728" s="792"/>
      <c r="S728" s="792"/>
      <c r="T728" s="792"/>
      <c r="U728" s="792"/>
      <c r="V728" s="793"/>
      <c r="W728" s="792"/>
      <c r="X728" s="792"/>
      <c r="Y728" s="792"/>
      <c r="Z728" s="792"/>
      <c r="AA728" s="792"/>
    </row>
    <row r="729" spans="1:27" ht="15.75" customHeight="1">
      <c r="A729" s="792"/>
      <c r="B729" s="792"/>
      <c r="C729" s="792"/>
      <c r="D729" s="792"/>
      <c r="E729" s="792"/>
      <c r="F729" s="792"/>
      <c r="G729" s="792"/>
      <c r="H729" s="792"/>
      <c r="I729" s="792"/>
      <c r="J729" s="792"/>
      <c r="K729" s="792"/>
      <c r="L729" s="792"/>
      <c r="M729" s="792"/>
      <c r="N729" s="792"/>
      <c r="O729" s="792"/>
      <c r="P729" s="792"/>
      <c r="Q729" s="792"/>
      <c r="R729" s="792"/>
      <c r="S729" s="792"/>
      <c r="T729" s="792"/>
      <c r="U729" s="792"/>
      <c r="V729" s="793"/>
      <c r="W729" s="792"/>
      <c r="X729" s="792"/>
      <c r="Y729" s="792"/>
      <c r="Z729" s="792"/>
      <c r="AA729" s="792"/>
    </row>
    <row r="730" spans="1:27" ht="15.75" customHeight="1">
      <c r="A730" s="792"/>
      <c r="B730" s="792"/>
      <c r="C730" s="792"/>
      <c r="D730" s="792"/>
      <c r="E730" s="792"/>
      <c r="F730" s="792"/>
      <c r="G730" s="792"/>
      <c r="H730" s="792"/>
      <c r="I730" s="792"/>
      <c r="J730" s="792"/>
      <c r="K730" s="792"/>
      <c r="L730" s="792"/>
      <c r="M730" s="792"/>
      <c r="N730" s="792"/>
      <c r="O730" s="792"/>
      <c r="P730" s="792"/>
      <c r="Q730" s="792"/>
      <c r="R730" s="792"/>
      <c r="S730" s="792"/>
      <c r="T730" s="792"/>
      <c r="U730" s="792"/>
      <c r="V730" s="793"/>
      <c r="W730" s="792"/>
      <c r="X730" s="792"/>
      <c r="Y730" s="792"/>
      <c r="Z730" s="792"/>
      <c r="AA730" s="792"/>
    </row>
    <row r="731" spans="1:27" ht="15.75" customHeight="1">
      <c r="A731" s="792"/>
      <c r="B731" s="792"/>
      <c r="C731" s="792"/>
      <c r="D731" s="792"/>
      <c r="E731" s="792"/>
      <c r="F731" s="792"/>
      <c r="G731" s="792"/>
      <c r="H731" s="792"/>
      <c r="I731" s="792"/>
      <c r="J731" s="792"/>
      <c r="K731" s="792"/>
      <c r="L731" s="792"/>
      <c r="M731" s="792"/>
      <c r="N731" s="792"/>
      <c r="O731" s="792"/>
      <c r="P731" s="792"/>
      <c r="Q731" s="792"/>
      <c r="R731" s="792"/>
      <c r="S731" s="792"/>
      <c r="T731" s="792"/>
      <c r="U731" s="792"/>
      <c r="V731" s="793"/>
      <c r="W731" s="792"/>
      <c r="X731" s="792"/>
      <c r="Y731" s="792"/>
      <c r="Z731" s="792"/>
      <c r="AA731" s="792"/>
    </row>
    <row r="732" spans="1:27" ht="15.75" customHeight="1">
      <c r="A732" s="792"/>
      <c r="B732" s="792"/>
      <c r="C732" s="792"/>
      <c r="D732" s="792"/>
      <c r="E732" s="792"/>
      <c r="F732" s="792"/>
      <c r="G732" s="792"/>
      <c r="H732" s="792"/>
      <c r="I732" s="792"/>
      <c r="J732" s="792"/>
      <c r="K732" s="792"/>
      <c r="L732" s="792"/>
      <c r="M732" s="792"/>
      <c r="N732" s="792"/>
      <c r="O732" s="792"/>
      <c r="P732" s="792"/>
      <c r="Q732" s="792"/>
      <c r="R732" s="792"/>
      <c r="S732" s="792"/>
      <c r="T732" s="792"/>
      <c r="U732" s="792"/>
      <c r="V732" s="793"/>
      <c r="W732" s="792"/>
      <c r="X732" s="792"/>
      <c r="Y732" s="792"/>
      <c r="Z732" s="792"/>
      <c r="AA732" s="792"/>
    </row>
    <row r="733" spans="1:27" ht="15.75" customHeight="1">
      <c r="A733" s="792"/>
      <c r="B733" s="792"/>
      <c r="C733" s="792"/>
      <c r="D733" s="792"/>
      <c r="E733" s="792"/>
      <c r="F733" s="792"/>
      <c r="G733" s="792"/>
      <c r="H733" s="792"/>
      <c r="I733" s="792"/>
      <c r="J733" s="792"/>
      <c r="K733" s="792"/>
      <c r="L733" s="792"/>
      <c r="M733" s="792"/>
      <c r="N733" s="792"/>
      <c r="O733" s="792"/>
      <c r="P733" s="792"/>
      <c r="Q733" s="792"/>
      <c r="R733" s="792"/>
      <c r="S733" s="792"/>
      <c r="T733" s="792"/>
      <c r="U733" s="792"/>
      <c r="V733" s="793"/>
      <c r="W733" s="792"/>
      <c r="X733" s="792"/>
      <c r="Y733" s="792"/>
      <c r="Z733" s="792"/>
      <c r="AA733" s="792"/>
    </row>
    <row r="734" spans="1:27" ht="15.75" customHeight="1">
      <c r="A734" s="792"/>
      <c r="B734" s="792"/>
      <c r="C734" s="792"/>
      <c r="D734" s="792"/>
      <c r="E734" s="792"/>
      <c r="F734" s="792"/>
      <c r="G734" s="792"/>
      <c r="H734" s="792"/>
      <c r="I734" s="792"/>
      <c r="J734" s="792"/>
      <c r="K734" s="792"/>
      <c r="L734" s="792"/>
      <c r="M734" s="792"/>
      <c r="N734" s="792"/>
      <c r="O734" s="792"/>
      <c r="P734" s="792"/>
      <c r="Q734" s="792"/>
      <c r="R734" s="792"/>
      <c r="S734" s="792"/>
      <c r="T734" s="792"/>
      <c r="U734" s="792"/>
      <c r="V734" s="793"/>
      <c r="W734" s="792"/>
      <c r="X734" s="792"/>
      <c r="Y734" s="792"/>
      <c r="Z734" s="792"/>
      <c r="AA734" s="792"/>
    </row>
    <row r="735" spans="1:27" ht="15.75" customHeight="1">
      <c r="A735" s="792"/>
      <c r="B735" s="792"/>
      <c r="C735" s="792"/>
      <c r="D735" s="792"/>
      <c r="E735" s="792"/>
      <c r="F735" s="792"/>
      <c r="G735" s="792"/>
      <c r="H735" s="792"/>
      <c r="I735" s="792"/>
      <c r="J735" s="792"/>
      <c r="K735" s="792"/>
      <c r="L735" s="792"/>
      <c r="M735" s="792"/>
      <c r="N735" s="792"/>
      <c r="O735" s="792"/>
      <c r="P735" s="792"/>
      <c r="Q735" s="792"/>
      <c r="R735" s="792"/>
      <c r="S735" s="792"/>
      <c r="T735" s="792"/>
      <c r="U735" s="792"/>
      <c r="V735" s="793"/>
      <c r="W735" s="792"/>
      <c r="X735" s="792"/>
      <c r="Y735" s="792"/>
      <c r="Z735" s="792"/>
      <c r="AA735" s="792"/>
    </row>
    <row r="736" spans="1:27" ht="15.75" customHeight="1">
      <c r="A736" s="792"/>
      <c r="B736" s="792"/>
      <c r="C736" s="792"/>
      <c r="D736" s="792"/>
      <c r="E736" s="792"/>
      <c r="F736" s="792"/>
      <c r="G736" s="792"/>
      <c r="H736" s="792"/>
      <c r="I736" s="792"/>
      <c r="J736" s="792"/>
      <c r="K736" s="792"/>
      <c r="L736" s="792"/>
      <c r="M736" s="792"/>
      <c r="N736" s="792"/>
      <c r="O736" s="792"/>
      <c r="P736" s="792"/>
      <c r="Q736" s="792"/>
      <c r="R736" s="792"/>
      <c r="S736" s="792"/>
      <c r="T736" s="792"/>
      <c r="U736" s="792"/>
      <c r="V736" s="793"/>
      <c r="W736" s="792"/>
      <c r="X736" s="792"/>
      <c r="Y736" s="792"/>
      <c r="Z736" s="792"/>
      <c r="AA736" s="792"/>
    </row>
    <row r="737" spans="1:27" ht="15.75" customHeight="1">
      <c r="A737" s="792"/>
      <c r="B737" s="792"/>
      <c r="C737" s="792"/>
      <c r="D737" s="792"/>
      <c r="E737" s="792"/>
      <c r="F737" s="792"/>
      <c r="G737" s="792"/>
      <c r="H737" s="792"/>
      <c r="I737" s="792"/>
      <c r="J737" s="792"/>
      <c r="K737" s="792"/>
      <c r="L737" s="792"/>
      <c r="M737" s="792"/>
      <c r="N737" s="792"/>
      <c r="O737" s="792"/>
      <c r="P737" s="792"/>
      <c r="Q737" s="792"/>
      <c r="R737" s="792"/>
      <c r="S737" s="792"/>
      <c r="T737" s="792"/>
      <c r="U737" s="792"/>
      <c r="V737" s="793"/>
      <c r="W737" s="792"/>
      <c r="X737" s="792"/>
      <c r="Y737" s="792"/>
      <c r="Z737" s="792"/>
      <c r="AA737" s="792"/>
    </row>
    <row r="738" spans="1:27" ht="15.75" customHeight="1">
      <c r="A738" s="792"/>
      <c r="B738" s="792"/>
      <c r="C738" s="792"/>
      <c r="D738" s="792"/>
      <c r="E738" s="792"/>
      <c r="F738" s="792"/>
      <c r="G738" s="792"/>
      <c r="H738" s="792"/>
      <c r="I738" s="792"/>
      <c r="J738" s="792"/>
      <c r="K738" s="792"/>
      <c r="L738" s="792"/>
      <c r="M738" s="792"/>
      <c r="N738" s="792"/>
      <c r="O738" s="792"/>
      <c r="P738" s="792"/>
      <c r="Q738" s="792"/>
      <c r="R738" s="792"/>
      <c r="S738" s="792"/>
      <c r="T738" s="792"/>
      <c r="U738" s="792"/>
      <c r="V738" s="793"/>
      <c r="W738" s="792"/>
      <c r="X738" s="792"/>
      <c r="Y738" s="792"/>
      <c r="Z738" s="792"/>
      <c r="AA738" s="792"/>
    </row>
    <row r="739" spans="1:27" ht="15.75" customHeight="1">
      <c r="A739" s="792"/>
      <c r="B739" s="792"/>
      <c r="C739" s="792"/>
      <c r="D739" s="792"/>
      <c r="E739" s="792"/>
      <c r="F739" s="792"/>
      <c r="G739" s="792"/>
      <c r="H739" s="792"/>
      <c r="I739" s="792"/>
      <c r="J739" s="792"/>
      <c r="K739" s="792"/>
      <c r="L739" s="792"/>
      <c r="M739" s="792"/>
      <c r="N739" s="792"/>
      <c r="O739" s="792"/>
      <c r="P739" s="792"/>
      <c r="Q739" s="792"/>
      <c r="R739" s="792"/>
      <c r="S739" s="792"/>
      <c r="T739" s="792"/>
      <c r="U739" s="792"/>
      <c r="V739" s="793"/>
      <c r="W739" s="792"/>
      <c r="X739" s="792"/>
      <c r="Y739" s="792"/>
      <c r="Z739" s="792"/>
      <c r="AA739" s="792"/>
    </row>
    <row r="740" spans="1:27" ht="15.75" customHeight="1">
      <c r="A740" s="792"/>
      <c r="B740" s="792"/>
      <c r="C740" s="792"/>
      <c r="D740" s="792"/>
      <c r="E740" s="792"/>
      <c r="F740" s="792"/>
      <c r="G740" s="792"/>
      <c r="H740" s="792"/>
      <c r="I740" s="792"/>
      <c r="J740" s="792"/>
      <c r="K740" s="792"/>
      <c r="L740" s="792"/>
      <c r="M740" s="792"/>
      <c r="N740" s="792"/>
      <c r="O740" s="792"/>
      <c r="P740" s="792"/>
      <c r="Q740" s="792"/>
      <c r="R740" s="792"/>
      <c r="S740" s="792"/>
      <c r="T740" s="792"/>
      <c r="U740" s="792"/>
      <c r="V740" s="793"/>
      <c r="W740" s="792"/>
      <c r="X740" s="792"/>
      <c r="Y740" s="792"/>
      <c r="Z740" s="792"/>
      <c r="AA740" s="792"/>
    </row>
    <row r="741" spans="1:27" ht="15.75" customHeight="1">
      <c r="A741" s="792"/>
      <c r="B741" s="792"/>
      <c r="C741" s="792"/>
      <c r="D741" s="792"/>
      <c r="E741" s="792"/>
      <c r="F741" s="792"/>
      <c r="G741" s="792"/>
      <c r="H741" s="792"/>
      <c r="I741" s="792"/>
      <c r="J741" s="792"/>
      <c r="K741" s="792"/>
      <c r="L741" s="792"/>
      <c r="M741" s="792"/>
      <c r="N741" s="792"/>
      <c r="O741" s="792"/>
      <c r="P741" s="792"/>
      <c r="Q741" s="792"/>
      <c r="R741" s="792"/>
      <c r="S741" s="792"/>
      <c r="T741" s="792"/>
      <c r="U741" s="792"/>
      <c r="V741" s="793"/>
      <c r="W741" s="792"/>
      <c r="X741" s="792"/>
      <c r="Y741" s="792"/>
      <c r="Z741" s="792"/>
      <c r="AA741" s="792"/>
    </row>
    <row r="742" spans="1:27" ht="15.75" customHeight="1">
      <c r="A742" s="792"/>
      <c r="B742" s="792"/>
      <c r="C742" s="792"/>
      <c r="D742" s="792"/>
      <c r="E742" s="792"/>
      <c r="F742" s="792"/>
      <c r="G742" s="792"/>
      <c r="H742" s="792"/>
      <c r="I742" s="792"/>
      <c r="J742" s="792"/>
      <c r="K742" s="792"/>
      <c r="L742" s="792"/>
      <c r="M742" s="792"/>
      <c r="N742" s="792"/>
      <c r="O742" s="792"/>
      <c r="P742" s="792"/>
      <c r="Q742" s="792"/>
      <c r="R742" s="792"/>
      <c r="S742" s="792"/>
      <c r="T742" s="792"/>
      <c r="U742" s="792"/>
      <c r="V742" s="793"/>
      <c r="W742" s="792"/>
      <c r="X742" s="792"/>
      <c r="Y742" s="792"/>
      <c r="Z742" s="792"/>
      <c r="AA742" s="792"/>
    </row>
    <row r="743" spans="1:27" ht="15.75" customHeight="1">
      <c r="A743" s="792"/>
      <c r="B743" s="792"/>
      <c r="C743" s="792"/>
      <c r="D743" s="792"/>
      <c r="E743" s="792"/>
      <c r="F743" s="792"/>
      <c r="G743" s="792"/>
      <c r="H743" s="792"/>
      <c r="I743" s="792"/>
      <c r="J743" s="792"/>
      <c r="K743" s="792"/>
      <c r="L743" s="792"/>
      <c r="M743" s="792"/>
      <c r="N743" s="792"/>
      <c r="O743" s="792"/>
      <c r="P743" s="792"/>
      <c r="Q743" s="792"/>
      <c r="R743" s="792"/>
      <c r="S743" s="792"/>
      <c r="T743" s="792"/>
      <c r="U743" s="792"/>
      <c r="V743" s="793"/>
      <c r="W743" s="792"/>
      <c r="X743" s="792"/>
      <c r="Y743" s="792"/>
      <c r="Z743" s="792"/>
      <c r="AA743" s="792"/>
    </row>
    <row r="744" spans="1:27" ht="15.75" customHeight="1">
      <c r="A744" s="792"/>
      <c r="B744" s="792"/>
      <c r="C744" s="792"/>
      <c r="D744" s="792"/>
      <c r="E744" s="792"/>
      <c r="F744" s="792"/>
      <c r="G744" s="792"/>
      <c r="H744" s="792"/>
      <c r="I744" s="792"/>
      <c r="J744" s="792"/>
      <c r="K744" s="792"/>
      <c r="L744" s="792"/>
      <c r="M744" s="792"/>
      <c r="N744" s="792"/>
      <c r="O744" s="792"/>
      <c r="P744" s="792"/>
      <c r="Q744" s="792"/>
      <c r="R744" s="792"/>
      <c r="S744" s="792"/>
      <c r="T744" s="792"/>
      <c r="U744" s="792"/>
      <c r="V744" s="793"/>
      <c r="W744" s="792"/>
      <c r="X744" s="792"/>
      <c r="Y744" s="792"/>
      <c r="Z744" s="792"/>
      <c r="AA744" s="792"/>
    </row>
    <row r="745" spans="1:27" ht="15.75" customHeight="1">
      <c r="A745" s="792"/>
      <c r="B745" s="792"/>
      <c r="C745" s="792"/>
      <c r="D745" s="792"/>
      <c r="E745" s="792"/>
      <c r="F745" s="792"/>
      <c r="G745" s="792"/>
      <c r="H745" s="792"/>
      <c r="I745" s="792"/>
      <c r="J745" s="792"/>
      <c r="K745" s="792"/>
      <c r="L745" s="792"/>
      <c r="M745" s="792"/>
      <c r="N745" s="792"/>
      <c r="O745" s="792"/>
      <c r="P745" s="792"/>
      <c r="Q745" s="792"/>
      <c r="R745" s="792"/>
      <c r="S745" s="792"/>
      <c r="T745" s="792"/>
      <c r="U745" s="792"/>
      <c r="V745" s="793"/>
      <c r="W745" s="792"/>
      <c r="X745" s="792"/>
      <c r="Y745" s="792"/>
      <c r="Z745" s="792"/>
      <c r="AA745" s="792"/>
    </row>
    <row r="746" spans="1:27" ht="15.75" customHeight="1">
      <c r="A746" s="792"/>
      <c r="B746" s="792"/>
      <c r="C746" s="792"/>
      <c r="D746" s="792"/>
      <c r="E746" s="792"/>
      <c r="F746" s="792"/>
      <c r="G746" s="792"/>
      <c r="H746" s="792"/>
      <c r="I746" s="792"/>
      <c r="J746" s="792"/>
      <c r="K746" s="792"/>
      <c r="L746" s="792"/>
      <c r="M746" s="792"/>
      <c r="N746" s="792"/>
      <c r="O746" s="792"/>
      <c r="P746" s="792"/>
      <c r="Q746" s="792"/>
      <c r="R746" s="792"/>
      <c r="S746" s="792"/>
      <c r="T746" s="792"/>
      <c r="U746" s="792"/>
      <c r="V746" s="793"/>
      <c r="W746" s="792"/>
      <c r="X746" s="792"/>
      <c r="Y746" s="792"/>
      <c r="Z746" s="792"/>
      <c r="AA746" s="792"/>
    </row>
    <row r="747" spans="1:27" ht="15.75" customHeight="1">
      <c r="A747" s="792"/>
      <c r="B747" s="792"/>
      <c r="C747" s="792"/>
      <c r="D747" s="792"/>
      <c r="E747" s="792"/>
      <c r="F747" s="792"/>
      <c r="G747" s="792"/>
      <c r="H747" s="792"/>
      <c r="I747" s="792"/>
      <c r="J747" s="792"/>
      <c r="K747" s="792"/>
      <c r="L747" s="792"/>
      <c r="M747" s="792"/>
      <c r="N747" s="792"/>
      <c r="O747" s="792"/>
      <c r="P747" s="792"/>
      <c r="Q747" s="792"/>
      <c r="R747" s="792"/>
      <c r="S747" s="792"/>
      <c r="T747" s="792"/>
      <c r="U747" s="792"/>
      <c r="V747" s="793"/>
      <c r="W747" s="792"/>
      <c r="X747" s="792"/>
      <c r="Y747" s="792"/>
      <c r="Z747" s="792"/>
      <c r="AA747" s="792"/>
    </row>
    <row r="748" spans="1:27" ht="15.75" customHeight="1">
      <c r="A748" s="792"/>
      <c r="B748" s="792"/>
      <c r="C748" s="792"/>
      <c r="D748" s="792"/>
      <c r="E748" s="792"/>
      <c r="F748" s="792"/>
      <c r="G748" s="792"/>
      <c r="H748" s="792"/>
      <c r="I748" s="792"/>
      <c r="J748" s="792"/>
      <c r="K748" s="792"/>
      <c r="L748" s="792"/>
      <c r="M748" s="792"/>
      <c r="N748" s="792"/>
      <c r="O748" s="792"/>
      <c r="P748" s="792"/>
      <c r="Q748" s="792"/>
      <c r="R748" s="792"/>
      <c r="S748" s="792"/>
      <c r="T748" s="792"/>
      <c r="U748" s="792"/>
      <c r="V748" s="793"/>
      <c r="W748" s="792"/>
      <c r="X748" s="792"/>
      <c r="Y748" s="792"/>
      <c r="Z748" s="792"/>
      <c r="AA748" s="792"/>
    </row>
    <row r="749" spans="1:27" ht="15.75" customHeight="1">
      <c r="A749" s="792"/>
      <c r="B749" s="792"/>
      <c r="C749" s="792"/>
      <c r="D749" s="792"/>
      <c r="E749" s="792"/>
      <c r="F749" s="792"/>
      <c r="G749" s="792"/>
      <c r="H749" s="792"/>
      <c r="I749" s="792"/>
      <c r="J749" s="792"/>
      <c r="K749" s="792"/>
      <c r="L749" s="792"/>
      <c r="M749" s="792"/>
      <c r="N749" s="792"/>
      <c r="O749" s="792"/>
      <c r="P749" s="792"/>
      <c r="Q749" s="792"/>
      <c r="R749" s="792"/>
      <c r="S749" s="792"/>
      <c r="T749" s="792"/>
      <c r="U749" s="792"/>
      <c r="V749" s="793"/>
      <c r="W749" s="792"/>
      <c r="X749" s="792"/>
      <c r="Y749" s="792"/>
      <c r="Z749" s="792"/>
      <c r="AA749" s="792"/>
    </row>
    <row r="750" spans="1:27" ht="15.75" customHeight="1">
      <c r="A750" s="792"/>
      <c r="B750" s="792"/>
      <c r="C750" s="792"/>
      <c r="D750" s="792"/>
      <c r="E750" s="792"/>
      <c r="F750" s="792"/>
      <c r="G750" s="792"/>
      <c r="H750" s="792"/>
      <c r="I750" s="792"/>
      <c r="J750" s="792"/>
      <c r="K750" s="792"/>
      <c r="L750" s="792"/>
      <c r="M750" s="792"/>
      <c r="N750" s="792"/>
      <c r="O750" s="792"/>
      <c r="P750" s="792"/>
      <c r="Q750" s="792"/>
      <c r="R750" s="792"/>
      <c r="S750" s="792"/>
      <c r="T750" s="792"/>
      <c r="U750" s="792"/>
      <c r="V750" s="793"/>
      <c r="W750" s="792"/>
      <c r="X750" s="792"/>
      <c r="Y750" s="792"/>
      <c r="Z750" s="792"/>
      <c r="AA750" s="792"/>
    </row>
    <row r="751" spans="1:27" ht="15.75" customHeight="1">
      <c r="A751" s="792"/>
      <c r="B751" s="792"/>
      <c r="C751" s="792"/>
      <c r="D751" s="792"/>
      <c r="E751" s="792"/>
      <c r="F751" s="792"/>
      <c r="G751" s="792"/>
      <c r="H751" s="792"/>
      <c r="I751" s="792"/>
      <c r="J751" s="792"/>
      <c r="K751" s="792"/>
      <c r="L751" s="792"/>
      <c r="M751" s="792"/>
      <c r="N751" s="792"/>
      <c r="O751" s="792"/>
      <c r="P751" s="792"/>
      <c r="Q751" s="792"/>
      <c r="R751" s="792"/>
      <c r="S751" s="792"/>
      <c r="T751" s="792"/>
      <c r="U751" s="792"/>
      <c r="V751" s="793"/>
      <c r="W751" s="792"/>
      <c r="X751" s="792"/>
      <c r="Y751" s="792"/>
      <c r="Z751" s="792"/>
      <c r="AA751" s="792"/>
    </row>
    <row r="752" spans="1:27" ht="15.75" customHeight="1">
      <c r="A752" s="792"/>
      <c r="B752" s="792"/>
      <c r="C752" s="792"/>
      <c r="D752" s="792"/>
      <c r="E752" s="792"/>
      <c r="F752" s="792"/>
      <c r="G752" s="792"/>
      <c r="H752" s="792"/>
      <c r="I752" s="792"/>
      <c r="J752" s="792"/>
      <c r="K752" s="792"/>
      <c r="L752" s="792"/>
      <c r="M752" s="792"/>
      <c r="N752" s="792"/>
      <c r="O752" s="792"/>
      <c r="P752" s="792"/>
      <c r="Q752" s="792"/>
      <c r="R752" s="792"/>
      <c r="S752" s="792"/>
      <c r="T752" s="792"/>
      <c r="U752" s="792"/>
      <c r="V752" s="793"/>
      <c r="W752" s="792"/>
      <c r="X752" s="792"/>
      <c r="Y752" s="792"/>
      <c r="Z752" s="792"/>
      <c r="AA752" s="792"/>
    </row>
    <row r="753" spans="1:27" ht="15.75" customHeight="1">
      <c r="A753" s="792"/>
      <c r="B753" s="792"/>
      <c r="C753" s="792"/>
      <c r="D753" s="792"/>
      <c r="E753" s="792"/>
      <c r="F753" s="792"/>
      <c r="G753" s="792"/>
      <c r="H753" s="792"/>
      <c r="I753" s="792"/>
      <c r="J753" s="792"/>
      <c r="K753" s="792"/>
      <c r="L753" s="792"/>
      <c r="M753" s="792"/>
      <c r="N753" s="792"/>
      <c r="O753" s="792"/>
      <c r="P753" s="792"/>
      <c r="Q753" s="792"/>
      <c r="R753" s="792"/>
      <c r="S753" s="792"/>
      <c r="T753" s="792"/>
      <c r="U753" s="792"/>
      <c r="V753" s="793"/>
      <c r="W753" s="792"/>
      <c r="X753" s="792"/>
      <c r="Y753" s="792"/>
      <c r="Z753" s="792"/>
      <c r="AA753" s="792"/>
    </row>
    <row r="754" spans="1:27" ht="15.75" customHeight="1">
      <c r="A754" s="792"/>
      <c r="B754" s="792"/>
      <c r="C754" s="792"/>
      <c r="D754" s="792"/>
      <c r="E754" s="792"/>
      <c r="F754" s="792"/>
      <c r="G754" s="792"/>
      <c r="H754" s="792"/>
      <c r="I754" s="792"/>
      <c r="J754" s="792"/>
      <c r="K754" s="792"/>
      <c r="L754" s="792"/>
      <c r="M754" s="792"/>
      <c r="N754" s="792"/>
      <c r="O754" s="792"/>
      <c r="P754" s="792"/>
      <c r="Q754" s="792"/>
      <c r="R754" s="792"/>
      <c r="S754" s="792"/>
      <c r="T754" s="792"/>
      <c r="U754" s="792"/>
      <c r="V754" s="793"/>
      <c r="W754" s="792"/>
      <c r="X754" s="792"/>
      <c r="Y754" s="792"/>
      <c r="Z754" s="792"/>
      <c r="AA754" s="792"/>
    </row>
    <row r="755" spans="1:27" ht="15.75" customHeight="1">
      <c r="A755" s="792"/>
      <c r="B755" s="792"/>
      <c r="C755" s="792"/>
      <c r="D755" s="792"/>
      <c r="E755" s="792"/>
      <c r="F755" s="792"/>
      <c r="G755" s="792"/>
      <c r="H755" s="792"/>
      <c r="I755" s="792"/>
      <c r="J755" s="792"/>
      <c r="K755" s="792"/>
      <c r="L755" s="792"/>
      <c r="M755" s="792"/>
      <c r="N755" s="792"/>
      <c r="O755" s="792"/>
      <c r="P755" s="792"/>
      <c r="Q755" s="792"/>
      <c r="R755" s="792"/>
      <c r="S755" s="792"/>
      <c r="T755" s="792"/>
      <c r="U755" s="792"/>
      <c r="V755" s="793"/>
      <c r="W755" s="792"/>
      <c r="X755" s="792"/>
      <c r="Y755" s="792"/>
      <c r="Z755" s="792"/>
      <c r="AA755" s="792"/>
    </row>
    <row r="756" spans="1:27" ht="15.75" customHeight="1">
      <c r="A756" s="792"/>
      <c r="B756" s="792"/>
      <c r="C756" s="792"/>
      <c r="D756" s="792"/>
      <c r="E756" s="792"/>
      <c r="F756" s="792"/>
      <c r="G756" s="792"/>
      <c r="H756" s="792"/>
      <c r="I756" s="792"/>
      <c r="J756" s="792"/>
      <c r="K756" s="792"/>
      <c r="L756" s="792"/>
      <c r="M756" s="792"/>
      <c r="N756" s="792"/>
      <c r="O756" s="792"/>
      <c r="P756" s="792"/>
      <c r="Q756" s="792"/>
      <c r="R756" s="792"/>
      <c r="S756" s="792"/>
      <c r="T756" s="792"/>
      <c r="U756" s="792"/>
      <c r="V756" s="793"/>
      <c r="W756" s="792"/>
      <c r="X756" s="792"/>
      <c r="Y756" s="792"/>
      <c r="Z756" s="792"/>
      <c r="AA756" s="792"/>
    </row>
    <row r="757" spans="1:27" ht="15.75" customHeight="1">
      <c r="A757" s="792"/>
      <c r="B757" s="792"/>
      <c r="C757" s="792"/>
      <c r="D757" s="792"/>
      <c r="E757" s="792"/>
      <c r="F757" s="792"/>
      <c r="G757" s="792"/>
      <c r="H757" s="792"/>
      <c r="I757" s="792"/>
      <c r="J757" s="792"/>
      <c r="K757" s="792"/>
      <c r="L757" s="792"/>
      <c r="M757" s="792"/>
      <c r="N757" s="792"/>
      <c r="O757" s="792"/>
      <c r="P757" s="792"/>
      <c r="Q757" s="792"/>
      <c r="R757" s="792"/>
      <c r="S757" s="792"/>
      <c r="T757" s="792"/>
      <c r="U757" s="792"/>
      <c r="V757" s="793"/>
      <c r="W757" s="792"/>
      <c r="X757" s="792"/>
      <c r="Y757" s="792"/>
      <c r="Z757" s="792"/>
      <c r="AA757" s="792"/>
    </row>
    <row r="758" spans="1:27" ht="15.75" customHeight="1">
      <c r="A758" s="792"/>
      <c r="B758" s="792"/>
      <c r="C758" s="792"/>
      <c r="D758" s="792"/>
      <c r="E758" s="792"/>
      <c r="F758" s="792"/>
      <c r="G758" s="792"/>
      <c r="H758" s="792"/>
      <c r="I758" s="792"/>
      <c r="J758" s="792"/>
      <c r="K758" s="792"/>
      <c r="L758" s="792"/>
      <c r="M758" s="792"/>
      <c r="N758" s="792"/>
      <c r="O758" s="792"/>
      <c r="P758" s="792"/>
      <c r="Q758" s="792"/>
      <c r="R758" s="792"/>
      <c r="S758" s="792"/>
      <c r="T758" s="792"/>
      <c r="U758" s="792"/>
      <c r="V758" s="793"/>
      <c r="W758" s="792"/>
      <c r="X758" s="792"/>
      <c r="Y758" s="792"/>
      <c r="Z758" s="792"/>
      <c r="AA758" s="792"/>
    </row>
    <row r="759" spans="1:27" ht="15.75" customHeight="1">
      <c r="A759" s="792"/>
      <c r="B759" s="792"/>
      <c r="C759" s="792"/>
      <c r="D759" s="792"/>
      <c r="E759" s="792"/>
      <c r="F759" s="792"/>
      <c r="G759" s="792"/>
      <c r="H759" s="792"/>
      <c r="I759" s="792"/>
      <c r="J759" s="792"/>
      <c r="K759" s="792"/>
      <c r="L759" s="792"/>
      <c r="M759" s="792"/>
      <c r="N759" s="792"/>
      <c r="O759" s="792"/>
      <c r="P759" s="792"/>
      <c r="Q759" s="792"/>
      <c r="R759" s="792"/>
      <c r="S759" s="792"/>
      <c r="T759" s="792"/>
      <c r="U759" s="792"/>
      <c r="V759" s="793"/>
      <c r="W759" s="792"/>
      <c r="X759" s="792"/>
      <c r="Y759" s="792"/>
      <c r="Z759" s="792"/>
      <c r="AA759" s="792"/>
    </row>
    <row r="760" spans="1:27" ht="15.75" customHeight="1">
      <c r="A760" s="792"/>
      <c r="B760" s="792"/>
      <c r="C760" s="792"/>
      <c r="D760" s="792"/>
      <c r="E760" s="792"/>
      <c r="F760" s="792"/>
      <c r="G760" s="792"/>
      <c r="H760" s="792"/>
      <c r="I760" s="792"/>
      <c r="J760" s="792"/>
      <c r="K760" s="792"/>
      <c r="L760" s="792"/>
      <c r="M760" s="792"/>
      <c r="N760" s="792"/>
      <c r="O760" s="792"/>
      <c r="P760" s="792"/>
      <c r="Q760" s="792"/>
      <c r="R760" s="792"/>
      <c r="S760" s="792"/>
      <c r="T760" s="792"/>
      <c r="U760" s="792"/>
      <c r="V760" s="793"/>
      <c r="W760" s="792"/>
      <c r="X760" s="792"/>
      <c r="Y760" s="792"/>
      <c r="Z760" s="792"/>
      <c r="AA760" s="792"/>
    </row>
    <row r="761" spans="1:27" ht="15.75" customHeight="1">
      <c r="A761" s="792"/>
      <c r="B761" s="792"/>
      <c r="C761" s="792"/>
      <c r="D761" s="792"/>
      <c r="E761" s="792"/>
      <c r="F761" s="792"/>
      <c r="G761" s="792"/>
      <c r="H761" s="792"/>
      <c r="I761" s="792"/>
      <c r="J761" s="792"/>
      <c r="K761" s="792"/>
      <c r="L761" s="792"/>
      <c r="M761" s="792"/>
      <c r="N761" s="792"/>
      <c r="O761" s="792"/>
      <c r="P761" s="792"/>
      <c r="Q761" s="792"/>
      <c r="R761" s="792"/>
      <c r="S761" s="792"/>
      <c r="T761" s="792"/>
      <c r="U761" s="792"/>
      <c r="V761" s="793"/>
      <c r="W761" s="792"/>
      <c r="X761" s="792"/>
      <c r="Y761" s="792"/>
      <c r="Z761" s="792"/>
      <c r="AA761" s="792"/>
    </row>
    <row r="762" spans="1:27" ht="15.75" customHeight="1">
      <c r="A762" s="792"/>
      <c r="B762" s="792"/>
      <c r="C762" s="792"/>
      <c r="D762" s="792"/>
      <c r="E762" s="792"/>
      <c r="F762" s="792"/>
      <c r="G762" s="792"/>
      <c r="H762" s="792"/>
      <c r="I762" s="792"/>
      <c r="J762" s="792"/>
      <c r="K762" s="792"/>
      <c r="L762" s="792"/>
      <c r="M762" s="792"/>
      <c r="N762" s="792"/>
      <c r="O762" s="792"/>
      <c r="P762" s="792"/>
      <c r="Q762" s="792"/>
      <c r="R762" s="792"/>
      <c r="S762" s="792"/>
      <c r="T762" s="792"/>
      <c r="U762" s="792"/>
      <c r="V762" s="793"/>
      <c r="W762" s="792"/>
      <c r="X762" s="792"/>
      <c r="Y762" s="792"/>
      <c r="Z762" s="792"/>
      <c r="AA762" s="792"/>
    </row>
    <row r="763" spans="1:27" ht="15.75" customHeight="1">
      <c r="A763" s="792"/>
      <c r="B763" s="792"/>
      <c r="C763" s="792"/>
      <c r="D763" s="792"/>
      <c r="E763" s="792"/>
      <c r="F763" s="792"/>
      <c r="G763" s="792"/>
      <c r="H763" s="792"/>
      <c r="I763" s="792"/>
      <c r="J763" s="792"/>
      <c r="K763" s="792"/>
      <c r="L763" s="792"/>
      <c r="M763" s="792"/>
      <c r="N763" s="792"/>
      <c r="O763" s="792"/>
      <c r="P763" s="792"/>
      <c r="Q763" s="792"/>
      <c r="R763" s="792"/>
      <c r="S763" s="792"/>
      <c r="T763" s="792"/>
      <c r="U763" s="792"/>
      <c r="V763" s="793"/>
      <c r="W763" s="792"/>
      <c r="X763" s="792"/>
      <c r="Y763" s="792"/>
      <c r="Z763" s="792"/>
      <c r="AA763" s="792"/>
    </row>
    <row r="764" spans="1:27" ht="15.75" customHeight="1">
      <c r="A764" s="792"/>
      <c r="B764" s="792"/>
      <c r="C764" s="792"/>
      <c r="D764" s="792"/>
      <c r="E764" s="792"/>
      <c r="F764" s="792"/>
      <c r="G764" s="792"/>
      <c r="H764" s="792"/>
      <c r="I764" s="792"/>
      <c r="J764" s="792"/>
      <c r="K764" s="792"/>
      <c r="L764" s="792"/>
      <c r="M764" s="792"/>
      <c r="N764" s="792"/>
      <c r="O764" s="792"/>
      <c r="P764" s="792"/>
      <c r="Q764" s="792"/>
      <c r="R764" s="792"/>
      <c r="S764" s="792"/>
      <c r="T764" s="792"/>
      <c r="U764" s="792"/>
      <c r="V764" s="793"/>
      <c r="W764" s="792"/>
      <c r="X764" s="792"/>
      <c r="Y764" s="792"/>
      <c r="Z764" s="792"/>
      <c r="AA764" s="792"/>
    </row>
    <row r="765" spans="1:27" ht="15.75" customHeight="1">
      <c r="A765" s="792"/>
      <c r="B765" s="792"/>
      <c r="C765" s="792"/>
      <c r="D765" s="792"/>
      <c r="E765" s="792"/>
      <c r="F765" s="792"/>
      <c r="G765" s="792"/>
      <c r="H765" s="792"/>
      <c r="I765" s="792"/>
      <c r="J765" s="792"/>
      <c r="K765" s="792"/>
      <c r="L765" s="792"/>
      <c r="M765" s="792"/>
      <c r="N765" s="792"/>
      <c r="O765" s="792"/>
      <c r="P765" s="792"/>
      <c r="Q765" s="792"/>
      <c r="R765" s="792"/>
      <c r="S765" s="792"/>
      <c r="T765" s="792"/>
      <c r="U765" s="792"/>
      <c r="V765" s="793"/>
      <c r="W765" s="792"/>
      <c r="X765" s="792"/>
      <c r="Y765" s="792"/>
      <c r="Z765" s="792"/>
      <c r="AA765" s="792"/>
    </row>
    <row r="766" spans="1:27" ht="15.75" customHeight="1">
      <c r="A766" s="792"/>
      <c r="B766" s="792"/>
      <c r="C766" s="792"/>
      <c r="D766" s="792"/>
      <c r="E766" s="792"/>
      <c r="F766" s="792"/>
      <c r="G766" s="792"/>
      <c r="H766" s="792"/>
      <c r="I766" s="792"/>
      <c r="J766" s="792"/>
      <c r="K766" s="792"/>
      <c r="L766" s="792"/>
      <c r="M766" s="792"/>
      <c r="N766" s="792"/>
      <c r="O766" s="792"/>
      <c r="P766" s="792"/>
      <c r="Q766" s="792"/>
      <c r="R766" s="792"/>
      <c r="S766" s="792"/>
      <c r="T766" s="792"/>
      <c r="U766" s="792"/>
      <c r="V766" s="793"/>
      <c r="W766" s="792"/>
      <c r="X766" s="792"/>
      <c r="Y766" s="792"/>
      <c r="Z766" s="792"/>
      <c r="AA766" s="792"/>
    </row>
    <row r="767" spans="1:27" ht="15.75" customHeight="1">
      <c r="A767" s="792"/>
      <c r="B767" s="792"/>
      <c r="C767" s="792"/>
      <c r="D767" s="792"/>
      <c r="E767" s="792"/>
      <c r="F767" s="792"/>
      <c r="G767" s="792"/>
      <c r="H767" s="792"/>
      <c r="I767" s="792"/>
      <c r="J767" s="792"/>
      <c r="K767" s="792"/>
      <c r="L767" s="792"/>
      <c r="M767" s="792"/>
      <c r="N767" s="792"/>
      <c r="O767" s="792"/>
      <c r="P767" s="792"/>
      <c r="Q767" s="792"/>
      <c r="R767" s="792"/>
      <c r="S767" s="792"/>
      <c r="T767" s="792"/>
      <c r="U767" s="792"/>
      <c r="V767" s="793"/>
      <c r="W767" s="792"/>
      <c r="X767" s="792"/>
      <c r="Y767" s="792"/>
      <c r="Z767" s="792"/>
      <c r="AA767" s="792"/>
    </row>
    <row r="768" spans="1:27" ht="15.75" customHeight="1">
      <c r="A768" s="792"/>
      <c r="B768" s="792"/>
      <c r="C768" s="792"/>
      <c r="D768" s="792"/>
      <c r="E768" s="792"/>
      <c r="F768" s="792"/>
      <c r="G768" s="792"/>
      <c r="H768" s="792"/>
      <c r="I768" s="792"/>
      <c r="J768" s="792"/>
      <c r="K768" s="792"/>
      <c r="L768" s="792"/>
      <c r="M768" s="792"/>
      <c r="N768" s="792"/>
      <c r="O768" s="792"/>
      <c r="P768" s="792"/>
      <c r="Q768" s="792"/>
      <c r="R768" s="792"/>
      <c r="S768" s="792"/>
      <c r="T768" s="792"/>
      <c r="U768" s="792"/>
      <c r="V768" s="793"/>
      <c r="W768" s="792"/>
      <c r="X768" s="792"/>
      <c r="Y768" s="792"/>
      <c r="Z768" s="792"/>
      <c r="AA768" s="792"/>
    </row>
    <row r="769" spans="1:27" ht="15.75" customHeight="1">
      <c r="A769" s="792"/>
      <c r="B769" s="792"/>
      <c r="C769" s="792"/>
      <c r="D769" s="792"/>
      <c r="E769" s="792"/>
      <c r="F769" s="792"/>
      <c r="G769" s="792"/>
      <c r="H769" s="792"/>
      <c r="I769" s="792"/>
      <c r="J769" s="792"/>
      <c r="K769" s="792"/>
      <c r="L769" s="792"/>
      <c r="M769" s="792"/>
      <c r="N769" s="792"/>
      <c r="O769" s="792"/>
      <c r="P769" s="792"/>
      <c r="Q769" s="792"/>
      <c r="R769" s="792"/>
      <c r="S769" s="792"/>
      <c r="T769" s="792"/>
      <c r="U769" s="792"/>
      <c r="V769" s="793"/>
      <c r="W769" s="792"/>
      <c r="X769" s="792"/>
      <c r="Y769" s="792"/>
      <c r="Z769" s="792"/>
      <c r="AA769" s="792"/>
    </row>
    <row r="770" spans="1:27" ht="15.75" customHeight="1">
      <c r="A770" s="792"/>
      <c r="B770" s="792"/>
      <c r="C770" s="792"/>
      <c r="D770" s="792"/>
      <c r="E770" s="792"/>
      <c r="F770" s="792"/>
      <c r="G770" s="792"/>
      <c r="H770" s="792"/>
      <c r="I770" s="792"/>
      <c r="J770" s="792"/>
      <c r="K770" s="792"/>
      <c r="L770" s="792"/>
      <c r="M770" s="792"/>
      <c r="N770" s="792"/>
      <c r="O770" s="792"/>
      <c r="P770" s="792"/>
      <c r="Q770" s="792"/>
      <c r="R770" s="792"/>
      <c r="S770" s="792"/>
      <c r="T770" s="792"/>
      <c r="U770" s="792"/>
      <c r="V770" s="793"/>
      <c r="W770" s="792"/>
      <c r="X770" s="792"/>
      <c r="Y770" s="792"/>
      <c r="Z770" s="792"/>
      <c r="AA770" s="792"/>
    </row>
    <row r="771" spans="1:27" ht="15.75" customHeight="1">
      <c r="A771" s="792"/>
      <c r="B771" s="792"/>
      <c r="C771" s="792"/>
      <c r="D771" s="792"/>
      <c r="E771" s="792"/>
      <c r="F771" s="792"/>
      <c r="G771" s="792"/>
      <c r="H771" s="792"/>
      <c r="I771" s="792"/>
      <c r="J771" s="792"/>
      <c r="K771" s="792"/>
      <c r="L771" s="792"/>
      <c r="M771" s="792"/>
      <c r="N771" s="792"/>
      <c r="O771" s="792"/>
      <c r="P771" s="792"/>
      <c r="Q771" s="792"/>
      <c r="R771" s="792"/>
      <c r="S771" s="792"/>
      <c r="T771" s="792"/>
      <c r="U771" s="792"/>
      <c r="V771" s="793"/>
      <c r="W771" s="792"/>
      <c r="X771" s="792"/>
      <c r="Y771" s="792"/>
      <c r="Z771" s="792"/>
      <c r="AA771" s="792"/>
    </row>
    <row r="772" spans="1:27" ht="15.75" customHeight="1">
      <c r="A772" s="792"/>
      <c r="B772" s="792"/>
      <c r="C772" s="792"/>
      <c r="D772" s="792"/>
      <c r="E772" s="792"/>
      <c r="F772" s="792"/>
      <c r="G772" s="792"/>
      <c r="H772" s="792"/>
      <c r="I772" s="792"/>
      <c r="J772" s="792"/>
      <c r="K772" s="792"/>
      <c r="L772" s="792"/>
      <c r="M772" s="792"/>
      <c r="N772" s="792"/>
      <c r="O772" s="792"/>
      <c r="P772" s="792"/>
      <c r="Q772" s="792"/>
      <c r="R772" s="792"/>
      <c r="S772" s="792"/>
      <c r="T772" s="792"/>
      <c r="U772" s="792"/>
      <c r="V772" s="793"/>
      <c r="W772" s="792"/>
      <c r="X772" s="792"/>
      <c r="Y772" s="792"/>
      <c r="Z772" s="792"/>
      <c r="AA772" s="792"/>
    </row>
    <row r="773" spans="1:27" ht="15.75" customHeight="1">
      <c r="A773" s="792"/>
      <c r="B773" s="792"/>
      <c r="C773" s="792"/>
      <c r="D773" s="792"/>
      <c r="E773" s="792"/>
      <c r="F773" s="792"/>
      <c r="G773" s="792"/>
      <c r="H773" s="792"/>
      <c r="I773" s="792"/>
      <c r="J773" s="792"/>
      <c r="K773" s="792"/>
      <c r="L773" s="792"/>
      <c r="M773" s="792"/>
      <c r="N773" s="792"/>
      <c r="O773" s="792"/>
      <c r="P773" s="792"/>
      <c r="Q773" s="792"/>
      <c r="R773" s="792"/>
      <c r="S773" s="792"/>
      <c r="T773" s="792"/>
      <c r="U773" s="792"/>
      <c r="V773" s="793"/>
      <c r="W773" s="792"/>
      <c r="X773" s="792"/>
      <c r="Y773" s="792"/>
      <c r="Z773" s="792"/>
      <c r="AA773" s="792"/>
    </row>
    <row r="774" spans="1:27" ht="15.75" customHeight="1">
      <c r="A774" s="792"/>
      <c r="B774" s="792"/>
      <c r="C774" s="792"/>
      <c r="D774" s="792"/>
      <c r="E774" s="792"/>
      <c r="F774" s="792"/>
      <c r="G774" s="792"/>
      <c r="H774" s="792"/>
      <c r="I774" s="792"/>
      <c r="J774" s="792"/>
      <c r="K774" s="792"/>
      <c r="L774" s="792"/>
      <c r="M774" s="792"/>
      <c r="N774" s="792"/>
      <c r="O774" s="792"/>
      <c r="P774" s="792"/>
      <c r="Q774" s="792"/>
      <c r="R774" s="792"/>
      <c r="S774" s="792"/>
      <c r="T774" s="792"/>
      <c r="U774" s="792"/>
      <c r="V774" s="793"/>
      <c r="W774" s="792"/>
      <c r="X774" s="792"/>
      <c r="Y774" s="792"/>
      <c r="Z774" s="792"/>
      <c r="AA774" s="792"/>
    </row>
    <row r="775" spans="1:27" ht="15.75" customHeight="1">
      <c r="A775" s="792"/>
      <c r="B775" s="792"/>
      <c r="C775" s="792"/>
      <c r="D775" s="792"/>
      <c r="E775" s="792"/>
      <c r="F775" s="792"/>
      <c r="G775" s="792"/>
      <c r="H775" s="792"/>
      <c r="I775" s="792"/>
      <c r="J775" s="792"/>
      <c r="K775" s="792"/>
      <c r="L775" s="792"/>
      <c r="M775" s="792"/>
      <c r="N775" s="792"/>
      <c r="O775" s="792"/>
      <c r="P775" s="792"/>
      <c r="Q775" s="792"/>
      <c r="R775" s="792"/>
      <c r="S775" s="792"/>
      <c r="T775" s="792"/>
      <c r="U775" s="792"/>
      <c r="V775" s="793"/>
      <c r="W775" s="792"/>
      <c r="X775" s="792"/>
      <c r="Y775" s="792"/>
      <c r="Z775" s="792"/>
      <c r="AA775" s="792"/>
    </row>
    <row r="776" spans="1:27" ht="15.75" customHeight="1">
      <c r="A776" s="792"/>
      <c r="B776" s="792"/>
      <c r="C776" s="792"/>
      <c r="D776" s="792"/>
      <c r="E776" s="792"/>
      <c r="F776" s="792"/>
      <c r="G776" s="792"/>
      <c r="H776" s="792"/>
      <c r="I776" s="792"/>
      <c r="J776" s="792"/>
      <c r="K776" s="792"/>
      <c r="L776" s="792"/>
      <c r="M776" s="792"/>
      <c r="N776" s="792"/>
      <c r="O776" s="792"/>
      <c r="P776" s="792"/>
      <c r="Q776" s="792"/>
      <c r="R776" s="792"/>
      <c r="S776" s="792"/>
      <c r="T776" s="792"/>
      <c r="U776" s="792"/>
      <c r="V776" s="793"/>
      <c r="W776" s="792"/>
      <c r="X776" s="792"/>
      <c r="Y776" s="792"/>
      <c r="Z776" s="792"/>
      <c r="AA776" s="792"/>
    </row>
    <row r="777" spans="1:27" ht="15.75" customHeight="1">
      <c r="A777" s="792"/>
      <c r="B777" s="792"/>
      <c r="C777" s="792"/>
      <c r="D777" s="792"/>
      <c r="E777" s="792"/>
      <c r="F777" s="792"/>
      <c r="G777" s="792"/>
      <c r="H777" s="792"/>
      <c r="I777" s="792"/>
      <c r="J777" s="792"/>
      <c r="K777" s="792"/>
      <c r="L777" s="792"/>
      <c r="M777" s="792"/>
      <c r="N777" s="792"/>
      <c r="O777" s="792"/>
      <c r="P777" s="792"/>
      <c r="Q777" s="792"/>
      <c r="R777" s="792"/>
      <c r="S777" s="792"/>
      <c r="T777" s="792"/>
      <c r="U777" s="792"/>
      <c r="V777" s="793"/>
      <c r="W777" s="792"/>
      <c r="X777" s="792"/>
      <c r="Y777" s="792"/>
      <c r="Z777" s="792"/>
      <c r="AA777" s="792"/>
    </row>
    <row r="778" spans="1:27" ht="15.75" customHeight="1">
      <c r="A778" s="792"/>
      <c r="B778" s="792"/>
      <c r="C778" s="792"/>
      <c r="D778" s="792"/>
      <c r="E778" s="792"/>
      <c r="F778" s="792"/>
      <c r="G778" s="792"/>
      <c r="H778" s="792"/>
      <c r="I778" s="792"/>
      <c r="J778" s="792"/>
      <c r="K778" s="792"/>
      <c r="L778" s="792"/>
      <c r="M778" s="792"/>
      <c r="N778" s="792"/>
      <c r="O778" s="792"/>
      <c r="P778" s="792"/>
      <c r="Q778" s="792"/>
      <c r="R778" s="792"/>
      <c r="S778" s="792"/>
      <c r="T778" s="792"/>
      <c r="U778" s="792"/>
      <c r="V778" s="793"/>
      <c r="W778" s="792"/>
      <c r="X778" s="792"/>
      <c r="Y778" s="792"/>
      <c r="Z778" s="792"/>
      <c r="AA778" s="792"/>
    </row>
    <row r="779" spans="1:27" ht="15.75" customHeight="1">
      <c r="A779" s="792"/>
      <c r="B779" s="792"/>
      <c r="C779" s="792"/>
      <c r="D779" s="792"/>
      <c r="E779" s="792"/>
      <c r="F779" s="792"/>
      <c r="G779" s="792"/>
      <c r="H779" s="792"/>
      <c r="I779" s="792"/>
      <c r="J779" s="792"/>
      <c r="K779" s="792"/>
      <c r="L779" s="792"/>
      <c r="M779" s="792"/>
      <c r="N779" s="792"/>
      <c r="O779" s="792"/>
      <c r="P779" s="792"/>
      <c r="Q779" s="792"/>
      <c r="R779" s="792"/>
      <c r="S779" s="792"/>
      <c r="T779" s="792"/>
      <c r="U779" s="792"/>
      <c r="V779" s="793"/>
      <c r="W779" s="792"/>
      <c r="X779" s="792"/>
      <c r="Y779" s="792"/>
      <c r="Z779" s="792"/>
      <c r="AA779" s="792"/>
    </row>
    <row r="780" spans="1:27" ht="15.75" customHeight="1">
      <c r="A780" s="792"/>
      <c r="B780" s="792"/>
      <c r="C780" s="792"/>
      <c r="D780" s="792"/>
      <c r="E780" s="792"/>
      <c r="F780" s="792"/>
      <c r="G780" s="792"/>
      <c r="H780" s="792"/>
      <c r="I780" s="792"/>
      <c r="J780" s="792"/>
      <c r="K780" s="792"/>
      <c r="L780" s="792"/>
      <c r="M780" s="792"/>
      <c r="N780" s="792"/>
      <c r="O780" s="792"/>
      <c r="P780" s="792"/>
      <c r="Q780" s="792"/>
      <c r="R780" s="792"/>
      <c r="S780" s="792"/>
      <c r="T780" s="792"/>
      <c r="U780" s="792"/>
      <c r="V780" s="793"/>
      <c r="W780" s="792"/>
      <c r="X780" s="792"/>
      <c r="Y780" s="792"/>
      <c r="Z780" s="792"/>
      <c r="AA780" s="792"/>
    </row>
    <row r="781" spans="1:27" ht="15.75" customHeight="1">
      <c r="A781" s="792"/>
      <c r="B781" s="792"/>
      <c r="C781" s="792"/>
      <c r="D781" s="792"/>
      <c r="E781" s="792"/>
      <c r="F781" s="792"/>
      <c r="G781" s="792"/>
      <c r="H781" s="792"/>
      <c r="I781" s="792"/>
      <c r="J781" s="792"/>
      <c r="K781" s="792"/>
      <c r="L781" s="792"/>
      <c r="M781" s="792"/>
      <c r="N781" s="792"/>
      <c r="O781" s="792"/>
      <c r="P781" s="792"/>
      <c r="Q781" s="792"/>
      <c r="R781" s="792"/>
      <c r="S781" s="792"/>
      <c r="T781" s="792"/>
      <c r="U781" s="792"/>
      <c r="V781" s="793"/>
      <c r="W781" s="792"/>
      <c r="X781" s="792"/>
      <c r="Y781" s="792"/>
      <c r="Z781" s="792"/>
      <c r="AA781" s="792"/>
    </row>
    <row r="782" spans="1:27" ht="15.75" customHeight="1">
      <c r="A782" s="792"/>
      <c r="B782" s="792"/>
      <c r="C782" s="792"/>
      <c r="D782" s="792"/>
      <c r="E782" s="792"/>
      <c r="F782" s="792"/>
      <c r="G782" s="792"/>
      <c r="H782" s="792"/>
      <c r="I782" s="792"/>
      <c r="J782" s="792"/>
      <c r="K782" s="792"/>
      <c r="L782" s="792"/>
      <c r="M782" s="792"/>
      <c r="N782" s="792"/>
      <c r="O782" s="792"/>
      <c r="P782" s="792"/>
      <c r="Q782" s="792"/>
      <c r="R782" s="792"/>
      <c r="S782" s="792"/>
      <c r="T782" s="792"/>
      <c r="U782" s="792"/>
      <c r="V782" s="793"/>
      <c r="W782" s="792"/>
      <c r="X782" s="792"/>
      <c r="Y782" s="792"/>
      <c r="Z782" s="792"/>
      <c r="AA782" s="792"/>
    </row>
    <row r="783" spans="1:27" ht="15.75" customHeight="1">
      <c r="A783" s="792"/>
      <c r="B783" s="792"/>
      <c r="C783" s="792"/>
      <c r="D783" s="792"/>
      <c r="E783" s="792"/>
      <c r="F783" s="792"/>
      <c r="G783" s="792"/>
      <c r="H783" s="792"/>
      <c r="I783" s="792"/>
      <c r="J783" s="792"/>
      <c r="K783" s="792"/>
      <c r="L783" s="792"/>
      <c r="M783" s="792"/>
      <c r="N783" s="792"/>
      <c r="O783" s="792"/>
      <c r="P783" s="792"/>
      <c r="Q783" s="792"/>
      <c r="R783" s="792"/>
      <c r="S783" s="792"/>
      <c r="T783" s="792"/>
      <c r="U783" s="792"/>
      <c r="V783" s="793"/>
      <c r="W783" s="792"/>
      <c r="X783" s="792"/>
      <c r="Y783" s="792"/>
      <c r="Z783" s="792"/>
      <c r="AA783" s="792"/>
    </row>
    <row r="784" spans="1:27" ht="15.75" customHeight="1">
      <c r="A784" s="792"/>
      <c r="B784" s="792"/>
      <c r="C784" s="792"/>
      <c r="D784" s="792"/>
      <c r="E784" s="792"/>
      <c r="F784" s="792"/>
      <c r="G784" s="792"/>
      <c r="H784" s="792"/>
      <c r="I784" s="792"/>
      <c r="J784" s="792"/>
      <c r="K784" s="792"/>
      <c r="L784" s="792"/>
      <c r="M784" s="792"/>
      <c r="N784" s="792"/>
      <c r="O784" s="792"/>
      <c r="P784" s="792"/>
      <c r="Q784" s="792"/>
      <c r="R784" s="792"/>
      <c r="S784" s="792"/>
      <c r="T784" s="792"/>
      <c r="U784" s="792"/>
      <c r="V784" s="793"/>
      <c r="W784" s="792"/>
      <c r="X784" s="792"/>
      <c r="Y784" s="792"/>
      <c r="Z784" s="792"/>
      <c r="AA784" s="792"/>
    </row>
    <row r="785" spans="1:27" ht="15.75" customHeight="1">
      <c r="A785" s="792"/>
      <c r="B785" s="792"/>
      <c r="C785" s="792"/>
      <c r="D785" s="792"/>
      <c r="E785" s="792"/>
      <c r="F785" s="792"/>
      <c r="G785" s="792"/>
      <c r="H785" s="792"/>
      <c r="I785" s="792"/>
      <c r="J785" s="792"/>
      <c r="K785" s="792"/>
      <c r="L785" s="792"/>
      <c r="M785" s="792"/>
      <c r="N785" s="792"/>
      <c r="O785" s="792"/>
      <c r="P785" s="792"/>
      <c r="Q785" s="792"/>
      <c r="R785" s="792"/>
      <c r="S785" s="792"/>
      <c r="T785" s="792"/>
      <c r="U785" s="792"/>
      <c r="V785" s="793"/>
      <c r="W785" s="792"/>
      <c r="X785" s="792"/>
      <c r="Y785" s="792"/>
      <c r="Z785" s="792"/>
      <c r="AA785" s="792"/>
    </row>
    <row r="786" spans="1:27" ht="15.75" customHeight="1">
      <c r="A786" s="792"/>
      <c r="B786" s="792"/>
      <c r="C786" s="792"/>
      <c r="D786" s="792"/>
      <c r="E786" s="792"/>
      <c r="F786" s="792"/>
      <c r="G786" s="792"/>
      <c r="H786" s="792"/>
      <c r="I786" s="792"/>
      <c r="J786" s="792"/>
      <c r="K786" s="792"/>
      <c r="L786" s="792"/>
      <c r="M786" s="792"/>
      <c r="N786" s="792"/>
      <c r="O786" s="792"/>
      <c r="P786" s="792"/>
      <c r="Q786" s="792"/>
      <c r="R786" s="792"/>
      <c r="S786" s="792"/>
      <c r="T786" s="792"/>
      <c r="U786" s="792"/>
      <c r="V786" s="793"/>
      <c r="W786" s="792"/>
      <c r="X786" s="792"/>
      <c r="Y786" s="792"/>
      <c r="Z786" s="792"/>
      <c r="AA786" s="792"/>
    </row>
    <row r="787" spans="1:27" ht="15.75" customHeight="1">
      <c r="A787" s="792"/>
      <c r="B787" s="792"/>
      <c r="C787" s="792"/>
      <c r="D787" s="792"/>
      <c r="E787" s="792"/>
      <c r="F787" s="792"/>
      <c r="G787" s="792"/>
      <c r="H787" s="792"/>
      <c r="I787" s="792"/>
      <c r="J787" s="792"/>
      <c r="K787" s="792"/>
      <c r="L787" s="792"/>
      <c r="M787" s="792"/>
      <c r="N787" s="792"/>
      <c r="O787" s="792"/>
      <c r="P787" s="792"/>
      <c r="Q787" s="792"/>
      <c r="R787" s="792"/>
      <c r="S787" s="792"/>
      <c r="T787" s="792"/>
      <c r="U787" s="792"/>
      <c r="V787" s="793"/>
      <c r="W787" s="792"/>
      <c r="X787" s="792"/>
      <c r="Y787" s="792"/>
      <c r="Z787" s="792"/>
      <c r="AA787" s="792"/>
    </row>
    <row r="788" spans="1:27" ht="15.75" customHeight="1">
      <c r="A788" s="792"/>
      <c r="B788" s="792"/>
      <c r="C788" s="792"/>
      <c r="D788" s="792"/>
      <c r="E788" s="792"/>
      <c r="F788" s="792"/>
      <c r="G788" s="792"/>
      <c r="H788" s="792"/>
      <c r="I788" s="792"/>
      <c r="J788" s="792"/>
      <c r="K788" s="792"/>
      <c r="L788" s="792"/>
      <c r="M788" s="792"/>
      <c r="N788" s="792"/>
      <c r="O788" s="792"/>
      <c r="P788" s="792"/>
      <c r="Q788" s="792"/>
      <c r="R788" s="792"/>
      <c r="S788" s="792"/>
      <c r="T788" s="792"/>
      <c r="U788" s="792"/>
      <c r="V788" s="793"/>
      <c r="W788" s="792"/>
      <c r="X788" s="792"/>
      <c r="Y788" s="792"/>
      <c r="Z788" s="792"/>
      <c r="AA788" s="792"/>
    </row>
    <row r="789" spans="1:27" ht="15.75" customHeight="1">
      <c r="A789" s="792"/>
      <c r="B789" s="792"/>
      <c r="C789" s="792"/>
      <c r="D789" s="792"/>
      <c r="E789" s="792"/>
      <c r="F789" s="792"/>
      <c r="G789" s="792"/>
      <c r="H789" s="792"/>
      <c r="I789" s="792"/>
      <c r="J789" s="792"/>
      <c r="K789" s="792"/>
      <c r="L789" s="792"/>
      <c r="M789" s="792"/>
      <c r="N789" s="792"/>
      <c r="O789" s="792"/>
      <c r="P789" s="792"/>
      <c r="Q789" s="792"/>
      <c r="R789" s="792"/>
      <c r="S789" s="792"/>
      <c r="T789" s="792"/>
      <c r="U789" s="792"/>
      <c r="V789" s="793"/>
      <c r="W789" s="792"/>
      <c r="X789" s="792"/>
      <c r="Y789" s="792"/>
      <c r="Z789" s="792"/>
      <c r="AA789" s="792"/>
    </row>
    <row r="790" spans="1:27" ht="15.75" customHeight="1">
      <c r="A790" s="792"/>
      <c r="B790" s="792"/>
      <c r="C790" s="792"/>
      <c r="D790" s="792"/>
      <c r="E790" s="792"/>
      <c r="F790" s="792"/>
      <c r="G790" s="792"/>
      <c r="H790" s="792"/>
      <c r="I790" s="792"/>
      <c r="J790" s="792"/>
      <c r="K790" s="792"/>
      <c r="L790" s="792"/>
      <c r="M790" s="792"/>
      <c r="N790" s="792"/>
      <c r="O790" s="792"/>
      <c r="P790" s="792"/>
      <c r="Q790" s="792"/>
      <c r="R790" s="792"/>
      <c r="S790" s="792"/>
      <c r="T790" s="792"/>
      <c r="U790" s="792"/>
      <c r="V790" s="793"/>
      <c r="W790" s="792"/>
      <c r="X790" s="792"/>
      <c r="Y790" s="792"/>
      <c r="Z790" s="792"/>
      <c r="AA790" s="792"/>
    </row>
    <row r="791" spans="1:27" ht="15.75" customHeight="1">
      <c r="A791" s="792"/>
      <c r="B791" s="792"/>
      <c r="C791" s="792"/>
      <c r="D791" s="792"/>
      <c r="E791" s="792"/>
      <c r="F791" s="792"/>
      <c r="G791" s="792"/>
      <c r="H791" s="792"/>
      <c r="I791" s="792"/>
      <c r="J791" s="792"/>
      <c r="K791" s="792"/>
      <c r="L791" s="792"/>
      <c r="M791" s="792"/>
      <c r="N791" s="792"/>
      <c r="O791" s="792"/>
      <c r="P791" s="792"/>
      <c r="Q791" s="792"/>
      <c r="R791" s="792"/>
      <c r="S791" s="792"/>
      <c r="T791" s="792"/>
      <c r="U791" s="792"/>
      <c r="V791" s="793"/>
      <c r="W791" s="792"/>
      <c r="X791" s="792"/>
      <c r="Y791" s="792"/>
      <c r="Z791" s="792"/>
      <c r="AA791" s="792"/>
    </row>
    <row r="792" spans="1:27" ht="15.75" customHeight="1">
      <c r="A792" s="792"/>
      <c r="B792" s="792"/>
      <c r="C792" s="792"/>
      <c r="D792" s="792"/>
      <c r="E792" s="792"/>
      <c r="F792" s="792"/>
      <c r="G792" s="792"/>
      <c r="H792" s="792"/>
      <c r="I792" s="792"/>
      <c r="J792" s="792"/>
      <c r="K792" s="792"/>
      <c r="L792" s="792"/>
      <c r="M792" s="792"/>
      <c r="N792" s="792"/>
      <c r="O792" s="792"/>
      <c r="P792" s="792"/>
      <c r="Q792" s="792"/>
      <c r="R792" s="792"/>
      <c r="S792" s="792"/>
      <c r="T792" s="792"/>
      <c r="U792" s="792"/>
      <c r="V792" s="793"/>
      <c r="W792" s="792"/>
      <c r="X792" s="792"/>
      <c r="Y792" s="792"/>
      <c r="Z792" s="792"/>
      <c r="AA792" s="792"/>
    </row>
    <row r="793" spans="1:27" ht="15.75" customHeight="1">
      <c r="A793" s="792"/>
      <c r="B793" s="792"/>
      <c r="C793" s="792"/>
      <c r="D793" s="792"/>
      <c r="E793" s="792"/>
      <c r="F793" s="792"/>
      <c r="G793" s="792"/>
      <c r="H793" s="792"/>
      <c r="I793" s="792"/>
      <c r="J793" s="792"/>
      <c r="K793" s="792"/>
      <c r="L793" s="792"/>
      <c r="M793" s="792"/>
      <c r="N793" s="792"/>
      <c r="O793" s="792"/>
      <c r="P793" s="792"/>
      <c r="Q793" s="792"/>
      <c r="R793" s="792"/>
      <c r="S793" s="792"/>
      <c r="T793" s="792"/>
      <c r="U793" s="792"/>
      <c r="V793" s="793"/>
      <c r="W793" s="792"/>
      <c r="X793" s="792"/>
      <c r="Y793" s="792"/>
      <c r="Z793" s="792"/>
      <c r="AA793" s="792"/>
    </row>
    <row r="794" spans="1:27" ht="15.75" customHeight="1">
      <c r="A794" s="792"/>
      <c r="B794" s="792"/>
      <c r="C794" s="792"/>
      <c r="D794" s="792"/>
      <c r="E794" s="792"/>
      <c r="F794" s="792"/>
      <c r="G794" s="792"/>
      <c r="H794" s="792"/>
      <c r="I794" s="792"/>
      <c r="J794" s="792"/>
      <c r="K794" s="792"/>
      <c r="L794" s="792"/>
      <c r="M794" s="792"/>
      <c r="N794" s="792"/>
      <c r="O794" s="792"/>
      <c r="P794" s="792"/>
      <c r="Q794" s="792"/>
      <c r="R794" s="792"/>
      <c r="S794" s="792"/>
      <c r="T794" s="792"/>
      <c r="U794" s="792"/>
      <c r="V794" s="793"/>
      <c r="W794" s="792"/>
      <c r="X794" s="792"/>
      <c r="Y794" s="792"/>
      <c r="Z794" s="792"/>
      <c r="AA794" s="792"/>
    </row>
    <row r="795" spans="1:27" ht="15.75" customHeight="1">
      <c r="A795" s="792"/>
      <c r="B795" s="792"/>
      <c r="C795" s="792"/>
      <c r="D795" s="792"/>
      <c r="E795" s="792"/>
      <c r="F795" s="792"/>
      <c r="G795" s="792"/>
      <c r="H795" s="792"/>
      <c r="I795" s="792"/>
      <c r="J795" s="792"/>
      <c r="K795" s="792"/>
      <c r="L795" s="792"/>
      <c r="M795" s="792"/>
      <c r="N795" s="792"/>
      <c r="O795" s="792"/>
      <c r="P795" s="792"/>
      <c r="Q795" s="792"/>
      <c r="R795" s="792"/>
      <c r="S795" s="792"/>
      <c r="T795" s="792"/>
      <c r="U795" s="792"/>
      <c r="V795" s="793"/>
      <c r="W795" s="792"/>
      <c r="X795" s="792"/>
      <c r="Y795" s="792"/>
      <c r="Z795" s="792"/>
      <c r="AA795" s="792"/>
    </row>
    <row r="796" spans="1:27" ht="15.75" customHeight="1">
      <c r="A796" s="792"/>
      <c r="B796" s="792"/>
      <c r="C796" s="792"/>
      <c r="D796" s="792"/>
      <c r="E796" s="792"/>
      <c r="F796" s="792"/>
      <c r="G796" s="792"/>
      <c r="H796" s="792"/>
      <c r="I796" s="792"/>
      <c r="J796" s="792"/>
      <c r="K796" s="792"/>
      <c r="L796" s="792"/>
      <c r="M796" s="792"/>
      <c r="N796" s="792"/>
      <c r="O796" s="792"/>
      <c r="P796" s="792"/>
      <c r="Q796" s="792"/>
      <c r="R796" s="792"/>
      <c r="S796" s="792"/>
      <c r="T796" s="792"/>
      <c r="U796" s="792"/>
      <c r="V796" s="793"/>
      <c r="W796" s="792"/>
      <c r="X796" s="792"/>
      <c r="Y796" s="792"/>
      <c r="Z796" s="792"/>
      <c r="AA796" s="792"/>
    </row>
    <row r="797" spans="1:27" ht="15.75" customHeight="1">
      <c r="A797" s="792"/>
      <c r="B797" s="792"/>
      <c r="C797" s="792"/>
      <c r="D797" s="792"/>
      <c r="E797" s="792"/>
      <c r="F797" s="792"/>
      <c r="G797" s="792"/>
      <c r="H797" s="792"/>
      <c r="I797" s="792"/>
      <c r="J797" s="792"/>
      <c r="K797" s="792"/>
      <c r="L797" s="792"/>
      <c r="M797" s="792"/>
      <c r="N797" s="792"/>
      <c r="O797" s="792"/>
      <c r="P797" s="792"/>
      <c r="Q797" s="792"/>
      <c r="R797" s="792"/>
      <c r="S797" s="792"/>
      <c r="T797" s="792"/>
      <c r="U797" s="792"/>
      <c r="V797" s="793"/>
      <c r="W797" s="792"/>
      <c r="X797" s="792"/>
      <c r="Y797" s="792"/>
      <c r="Z797" s="792"/>
      <c r="AA797" s="792"/>
    </row>
    <row r="798" spans="1:27" ht="15.75" customHeight="1">
      <c r="A798" s="792"/>
      <c r="B798" s="792"/>
      <c r="C798" s="792"/>
      <c r="D798" s="792"/>
      <c r="E798" s="792"/>
      <c r="F798" s="792"/>
      <c r="G798" s="792"/>
      <c r="H798" s="792"/>
      <c r="I798" s="792"/>
      <c r="J798" s="792"/>
      <c r="K798" s="792"/>
      <c r="L798" s="792"/>
      <c r="M798" s="792"/>
      <c r="N798" s="792"/>
      <c r="O798" s="792"/>
      <c r="P798" s="792"/>
      <c r="Q798" s="792"/>
      <c r="R798" s="792"/>
      <c r="S798" s="792"/>
      <c r="T798" s="792"/>
      <c r="U798" s="792"/>
      <c r="V798" s="793"/>
      <c r="W798" s="792"/>
      <c r="X798" s="792"/>
      <c r="Y798" s="792"/>
      <c r="Z798" s="792"/>
      <c r="AA798" s="792"/>
    </row>
    <row r="799" spans="1:27" ht="15.75" customHeight="1">
      <c r="A799" s="792"/>
      <c r="B799" s="792"/>
      <c r="C799" s="792"/>
      <c r="D799" s="792"/>
      <c r="E799" s="792"/>
      <c r="F799" s="792"/>
      <c r="G799" s="792"/>
      <c r="H799" s="792"/>
      <c r="I799" s="792"/>
      <c r="J799" s="792"/>
      <c r="K799" s="792"/>
      <c r="L799" s="792"/>
      <c r="M799" s="792"/>
      <c r="N799" s="792"/>
      <c r="O799" s="792"/>
      <c r="P799" s="792"/>
      <c r="Q799" s="792"/>
      <c r="R799" s="792"/>
      <c r="S799" s="792"/>
      <c r="T799" s="792"/>
      <c r="U799" s="792"/>
      <c r="V799" s="793"/>
      <c r="W799" s="792"/>
      <c r="X799" s="792"/>
      <c r="Y799" s="792"/>
      <c r="Z799" s="792"/>
      <c r="AA799" s="792"/>
    </row>
    <row r="800" spans="1:27" ht="15.75" customHeight="1">
      <c r="A800" s="792"/>
      <c r="B800" s="792"/>
      <c r="C800" s="792"/>
      <c r="D800" s="792"/>
      <c r="E800" s="792"/>
      <c r="F800" s="792"/>
      <c r="G800" s="792"/>
      <c r="H800" s="792"/>
      <c r="I800" s="792"/>
      <c r="J800" s="792"/>
      <c r="K800" s="792"/>
      <c r="L800" s="792"/>
      <c r="M800" s="792"/>
      <c r="N800" s="792"/>
      <c r="O800" s="792"/>
      <c r="P800" s="792"/>
      <c r="Q800" s="792"/>
      <c r="R800" s="792"/>
      <c r="S800" s="792"/>
      <c r="T800" s="792"/>
      <c r="U800" s="792"/>
      <c r="V800" s="793"/>
      <c r="W800" s="792"/>
      <c r="X800" s="792"/>
      <c r="Y800" s="792"/>
      <c r="Z800" s="792"/>
      <c r="AA800" s="792"/>
    </row>
    <row r="801" spans="1:27" ht="15.75" customHeight="1">
      <c r="A801" s="792"/>
      <c r="B801" s="792"/>
      <c r="C801" s="792"/>
      <c r="D801" s="792"/>
      <c r="E801" s="792"/>
      <c r="F801" s="792"/>
      <c r="G801" s="792"/>
      <c r="H801" s="792"/>
      <c r="I801" s="792"/>
      <c r="J801" s="792"/>
      <c r="K801" s="792"/>
      <c r="L801" s="792"/>
      <c r="M801" s="792"/>
      <c r="N801" s="792"/>
      <c r="O801" s="792"/>
      <c r="P801" s="792"/>
      <c r="Q801" s="792"/>
      <c r="R801" s="792"/>
      <c r="S801" s="792"/>
      <c r="T801" s="792"/>
      <c r="U801" s="792"/>
      <c r="V801" s="793"/>
      <c r="W801" s="792"/>
      <c r="X801" s="792"/>
      <c r="Y801" s="792"/>
      <c r="Z801" s="792"/>
      <c r="AA801" s="792"/>
    </row>
    <row r="802" spans="1:27" ht="15.75" customHeight="1">
      <c r="A802" s="792"/>
      <c r="B802" s="792"/>
      <c r="C802" s="792"/>
      <c r="D802" s="792"/>
      <c r="E802" s="792"/>
      <c r="F802" s="792"/>
      <c r="G802" s="792"/>
      <c r="H802" s="792"/>
      <c r="I802" s="792"/>
      <c r="J802" s="792"/>
      <c r="K802" s="792"/>
      <c r="L802" s="792"/>
      <c r="M802" s="792"/>
      <c r="N802" s="792"/>
      <c r="O802" s="792"/>
      <c r="P802" s="792"/>
      <c r="Q802" s="792"/>
      <c r="R802" s="792"/>
      <c r="S802" s="792"/>
      <c r="T802" s="792"/>
      <c r="U802" s="792"/>
      <c r="V802" s="793"/>
      <c r="W802" s="792"/>
      <c r="X802" s="792"/>
      <c r="Y802" s="792"/>
      <c r="Z802" s="792"/>
      <c r="AA802" s="792"/>
    </row>
    <row r="803" spans="1:27" ht="15.75" customHeight="1">
      <c r="A803" s="792"/>
      <c r="B803" s="792"/>
      <c r="C803" s="792"/>
      <c r="D803" s="792"/>
      <c r="E803" s="792"/>
      <c r="F803" s="792"/>
      <c r="G803" s="792"/>
      <c r="H803" s="792"/>
      <c r="I803" s="792"/>
      <c r="J803" s="792"/>
      <c r="K803" s="792"/>
      <c r="L803" s="792"/>
      <c r="M803" s="792"/>
      <c r="N803" s="792"/>
      <c r="O803" s="792"/>
      <c r="P803" s="792"/>
      <c r="Q803" s="792"/>
      <c r="R803" s="792"/>
      <c r="S803" s="792"/>
      <c r="T803" s="792"/>
      <c r="U803" s="792"/>
      <c r="V803" s="793"/>
      <c r="W803" s="792"/>
      <c r="X803" s="792"/>
      <c r="Y803" s="792"/>
      <c r="Z803" s="792"/>
      <c r="AA803" s="792"/>
    </row>
    <row r="804" spans="1:27" ht="15.75" customHeight="1">
      <c r="A804" s="792"/>
      <c r="B804" s="792"/>
      <c r="C804" s="792"/>
      <c r="D804" s="792"/>
      <c r="E804" s="792"/>
      <c r="F804" s="792"/>
      <c r="G804" s="792"/>
      <c r="H804" s="792"/>
      <c r="I804" s="792"/>
      <c r="J804" s="792"/>
      <c r="K804" s="792"/>
      <c r="L804" s="792"/>
      <c r="M804" s="792"/>
      <c r="N804" s="792"/>
      <c r="O804" s="792"/>
      <c r="P804" s="792"/>
      <c r="Q804" s="792"/>
      <c r="R804" s="792"/>
      <c r="S804" s="792"/>
      <c r="T804" s="792"/>
      <c r="U804" s="792"/>
      <c r="V804" s="793"/>
      <c r="W804" s="792"/>
      <c r="X804" s="792"/>
      <c r="Y804" s="792"/>
      <c r="Z804" s="792"/>
      <c r="AA804" s="792"/>
    </row>
    <row r="805" spans="1:27" ht="15.75" customHeight="1">
      <c r="A805" s="792"/>
      <c r="B805" s="792"/>
      <c r="C805" s="792"/>
      <c r="D805" s="792"/>
      <c r="E805" s="792"/>
      <c r="F805" s="792"/>
      <c r="G805" s="792"/>
      <c r="H805" s="792"/>
      <c r="I805" s="792"/>
      <c r="J805" s="792"/>
      <c r="K805" s="792"/>
      <c r="L805" s="792"/>
      <c r="M805" s="792"/>
      <c r="N805" s="792"/>
      <c r="O805" s="792"/>
      <c r="P805" s="792"/>
      <c r="Q805" s="792"/>
      <c r="R805" s="792"/>
      <c r="S805" s="792"/>
      <c r="T805" s="792"/>
      <c r="U805" s="792"/>
      <c r="V805" s="793"/>
      <c r="W805" s="792"/>
      <c r="X805" s="792"/>
      <c r="Y805" s="792"/>
      <c r="Z805" s="792"/>
      <c r="AA805" s="792"/>
    </row>
    <row r="806" spans="1:27" ht="15.75" customHeight="1">
      <c r="A806" s="792"/>
      <c r="B806" s="792"/>
      <c r="C806" s="792"/>
      <c r="D806" s="792"/>
      <c r="E806" s="792"/>
      <c r="F806" s="792"/>
      <c r="G806" s="792"/>
      <c r="H806" s="792"/>
      <c r="I806" s="792"/>
      <c r="J806" s="792"/>
      <c r="K806" s="792"/>
      <c r="L806" s="792"/>
      <c r="M806" s="792"/>
      <c r="N806" s="792"/>
      <c r="O806" s="792"/>
      <c r="P806" s="792"/>
      <c r="Q806" s="792"/>
      <c r="R806" s="792"/>
      <c r="S806" s="792"/>
      <c r="T806" s="792"/>
      <c r="U806" s="792"/>
      <c r="V806" s="793"/>
      <c r="W806" s="792"/>
      <c r="X806" s="792"/>
      <c r="Y806" s="792"/>
      <c r="Z806" s="792"/>
      <c r="AA806" s="792"/>
    </row>
    <row r="807" spans="1:27" ht="15.75" customHeight="1">
      <c r="A807" s="792"/>
      <c r="B807" s="792"/>
      <c r="C807" s="792"/>
      <c r="D807" s="792"/>
      <c r="E807" s="792"/>
      <c r="F807" s="792"/>
      <c r="G807" s="792"/>
      <c r="H807" s="792"/>
      <c r="I807" s="792"/>
      <c r="J807" s="792"/>
      <c r="K807" s="792"/>
      <c r="L807" s="792"/>
      <c r="M807" s="792"/>
      <c r="N807" s="792"/>
      <c r="O807" s="792"/>
      <c r="P807" s="792"/>
      <c r="Q807" s="792"/>
      <c r="R807" s="792"/>
      <c r="S807" s="792"/>
      <c r="T807" s="792"/>
      <c r="U807" s="792"/>
      <c r="V807" s="793"/>
      <c r="W807" s="792"/>
      <c r="X807" s="792"/>
      <c r="Y807" s="792"/>
      <c r="Z807" s="792"/>
      <c r="AA807" s="792"/>
    </row>
    <row r="808" spans="1:27" ht="15.75" customHeight="1">
      <c r="A808" s="792"/>
      <c r="B808" s="792"/>
      <c r="C808" s="792"/>
      <c r="D808" s="792"/>
      <c r="E808" s="792"/>
      <c r="F808" s="792"/>
      <c r="G808" s="792"/>
      <c r="H808" s="792"/>
      <c r="I808" s="792"/>
      <c r="J808" s="792"/>
      <c r="K808" s="792"/>
      <c r="L808" s="792"/>
      <c r="M808" s="792"/>
      <c r="N808" s="792"/>
      <c r="O808" s="792"/>
      <c r="P808" s="792"/>
      <c r="Q808" s="792"/>
      <c r="R808" s="792"/>
      <c r="S808" s="792"/>
      <c r="T808" s="792"/>
      <c r="U808" s="792"/>
      <c r="V808" s="793"/>
      <c r="W808" s="792"/>
      <c r="X808" s="792"/>
      <c r="Y808" s="792"/>
      <c r="Z808" s="792"/>
      <c r="AA808" s="792"/>
    </row>
    <row r="809" spans="1:27" ht="15.75" customHeight="1">
      <c r="A809" s="792"/>
      <c r="B809" s="792"/>
      <c r="C809" s="792"/>
      <c r="D809" s="792"/>
      <c r="E809" s="792"/>
      <c r="F809" s="792"/>
      <c r="G809" s="792"/>
      <c r="H809" s="792"/>
      <c r="I809" s="792"/>
      <c r="J809" s="792"/>
      <c r="K809" s="792"/>
      <c r="L809" s="792"/>
      <c r="M809" s="792"/>
      <c r="N809" s="792"/>
      <c r="O809" s="792"/>
      <c r="P809" s="792"/>
      <c r="Q809" s="792"/>
      <c r="R809" s="792"/>
      <c r="S809" s="792"/>
      <c r="T809" s="792"/>
      <c r="U809" s="792"/>
      <c r="V809" s="793"/>
      <c r="W809" s="792"/>
      <c r="X809" s="792"/>
      <c r="Y809" s="792"/>
      <c r="Z809" s="792"/>
      <c r="AA809" s="792"/>
    </row>
    <row r="810" spans="1:27" ht="15.75" customHeight="1">
      <c r="A810" s="792"/>
      <c r="B810" s="792"/>
      <c r="C810" s="792"/>
      <c r="D810" s="792"/>
      <c r="E810" s="792"/>
      <c r="F810" s="792"/>
      <c r="G810" s="792"/>
      <c r="H810" s="792"/>
      <c r="I810" s="792"/>
      <c r="J810" s="792"/>
      <c r="K810" s="792"/>
      <c r="L810" s="792"/>
      <c r="M810" s="792"/>
      <c r="N810" s="792"/>
      <c r="O810" s="792"/>
      <c r="P810" s="792"/>
      <c r="Q810" s="792"/>
      <c r="R810" s="792"/>
      <c r="S810" s="792"/>
      <c r="T810" s="792"/>
      <c r="U810" s="792"/>
      <c r="V810" s="793"/>
      <c r="W810" s="792"/>
      <c r="X810" s="792"/>
      <c r="Y810" s="792"/>
      <c r="Z810" s="792"/>
      <c r="AA810" s="792"/>
    </row>
    <row r="811" spans="1:27" ht="15.75" customHeight="1">
      <c r="A811" s="792"/>
      <c r="B811" s="792"/>
      <c r="C811" s="792"/>
      <c r="D811" s="792"/>
      <c r="E811" s="792"/>
      <c r="F811" s="792"/>
      <c r="G811" s="792"/>
      <c r="H811" s="792"/>
      <c r="I811" s="792"/>
      <c r="J811" s="792"/>
      <c r="K811" s="792"/>
      <c r="L811" s="792"/>
      <c r="M811" s="792"/>
      <c r="N811" s="792"/>
      <c r="O811" s="792"/>
      <c r="P811" s="792"/>
      <c r="Q811" s="792"/>
      <c r="R811" s="792"/>
      <c r="S811" s="792"/>
      <c r="T811" s="792"/>
      <c r="U811" s="792"/>
      <c r="V811" s="793"/>
      <c r="W811" s="792"/>
      <c r="X811" s="792"/>
      <c r="Y811" s="792"/>
      <c r="Z811" s="792"/>
      <c r="AA811" s="792"/>
    </row>
    <row r="812" spans="1:27" ht="15.75" customHeight="1">
      <c r="A812" s="792"/>
      <c r="B812" s="792"/>
      <c r="C812" s="792"/>
      <c r="D812" s="792"/>
      <c r="E812" s="792"/>
      <c r="F812" s="792"/>
      <c r="G812" s="792"/>
      <c r="H812" s="792"/>
      <c r="I812" s="792"/>
      <c r="J812" s="792"/>
      <c r="K812" s="792"/>
      <c r="L812" s="792"/>
      <c r="M812" s="792"/>
      <c r="N812" s="792"/>
      <c r="O812" s="792"/>
      <c r="P812" s="792"/>
      <c r="Q812" s="792"/>
      <c r="R812" s="792"/>
      <c r="S812" s="792"/>
      <c r="T812" s="792"/>
      <c r="U812" s="792"/>
      <c r="V812" s="793"/>
      <c r="W812" s="792"/>
      <c r="X812" s="792"/>
      <c r="Y812" s="792"/>
      <c r="Z812" s="792"/>
      <c r="AA812" s="792"/>
    </row>
    <row r="813" spans="1:27" ht="15.75" customHeight="1">
      <c r="A813" s="792"/>
      <c r="B813" s="792"/>
      <c r="C813" s="792"/>
      <c r="D813" s="792"/>
      <c r="E813" s="792"/>
      <c r="F813" s="792"/>
      <c r="G813" s="792"/>
      <c r="H813" s="792"/>
      <c r="I813" s="792"/>
      <c r="J813" s="792"/>
      <c r="K813" s="792"/>
      <c r="L813" s="792"/>
      <c r="M813" s="792"/>
      <c r="N813" s="792"/>
      <c r="O813" s="792"/>
      <c r="P813" s="792"/>
      <c r="Q813" s="792"/>
      <c r="R813" s="792"/>
      <c r="S813" s="792"/>
      <c r="T813" s="792"/>
      <c r="U813" s="792"/>
      <c r="V813" s="793"/>
      <c r="W813" s="792"/>
      <c r="X813" s="792"/>
      <c r="Y813" s="792"/>
      <c r="Z813" s="792"/>
      <c r="AA813" s="792"/>
    </row>
    <row r="814" spans="1:27" ht="15.75" customHeight="1">
      <c r="A814" s="792"/>
      <c r="B814" s="792"/>
      <c r="C814" s="792"/>
      <c r="D814" s="792"/>
      <c r="E814" s="792"/>
      <c r="F814" s="792"/>
      <c r="G814" s="792"/>
      <c r="H814" s="792"/>
      <c r="I814" s="792"/>
      <c r="J814" s="792"/>
      <c r="K814" s="792"/>
      <c r="L814" s="792"/>
      <c r="M814" s="792"/>
      <c r="N814" s="792"/>
      <c r="O814" s="792"/>
      <c r="P814" s="792"/>
      <c r="Q814" s="792"/>
      <c r="R814" s="792"/>
      <c r="S814" s="792"/>
      <c r="T814" s="792"/>
      <c r="U814" s="792"/>
      <c r="V814" s="793"/>
      <c r="W814" s="792"/>
      <c r="X814" s="792"/>
      <c r="Y814" s="792"/>
      <c r="Z814" s="792"/>
      <c r="AA814" s="792"/>
    </row>
    <row r="815" spans="1:27" ht="15.75" customHeight="1">
      <c r="A815" s="792"/>
      <c r="B815" s="792"/>
      <c r="C815" s="792"/>
      <c r="D815" s="792"/>
      <c r="E815" s="792"/>
      <c r="F815" s="792"/>
      <c r="G815" s="792"/>
      <c r="H815" s="792"/>
      <c r="I815" s="792"/>
      <c r="J815" s="792"/>
      <c r="K815" s="792"/>
      <c r="L815" s="792"/>
      <c r="M815" s="792"/>
      <c r="N815" s="792"/>
      <c r="O815" s="792"/>
      <c r="P815" s="792"/>
      <c r="Q815" s="792"/>
      <c r="R815" s="792"/>
      <c r="S815" s="792"/>
      <c r="T815" s="792"/>
      <c r="U815" s="792"/>
      <c r="V815" s="793"/>
      <c r="W815" s="792"/>
      <c r="X815" s="792"/>
      <c r="Y815" s="792"/>
      <c r="Z815" s="792"/>
      <c r="AA815" s="792"/>
    </row>
    <row r="816" spans="1:27" ht="15.75" customHeight="1">
      <c r="A816" s="792"/>
      <c r="B816" s="792"/>
      <c r="C816" s="792"/>
      <c r="D816" s="792"/>
      <c r="E816" s="792"/>
      <c r="F816" s="792"/>
      <c r="G816" s="792"/>
      <c r="H816" s="792"/>
      <c r="I816" s="792"/>
      <c r="J816" s="792"/>
      <c r="K816" s="792"/>
      <c r="L816" s="792"/>
      <c r="M816" s="792"/>
      <c r="N816" s="792"/>
      <c r="O816" s="792"/>
      <c r="P816" s="792"/>
      <c r="Q816" s="792"/>
      <c r="R816" s="792"/>
      <c r="S816" s="792"/>
      <c r="T816" s="792"/>
      <c r="U816" s="792"/>
      <c r="V816" s="793"/>
      <c r="W816" s="792"/>
      <c r="X816" s="792"/>
      <c r="Y816" s="792"/>
      <c r="Z816" s="792"/>
      <c r="AA816" s="792"/>
    </row>
    <row r="817" spans="1:27" ht="15.75" customHeight="1">
      <c r="A817" s="792"/>
      <c r="B817" s="792"/>
      <c r="C817" s="792"/>
      <c r="D817" s="792"/>
      <c r="E817" s="792"/>
      <c r="F817" s="792"/>
      <c r="G817" s="792"/>
      <c r="H817" s="792"/>
      <c r="I817" s="792"/>
      <c r="J817" s="792"/>
      <c r="K817" s="792"/>
      <c r="L817" s="792"/>
      <c r="M817" s="792"/>
      <c r="N817" s="792"/>
      <c r="O817" s="792"/>
      <c r="P817" s="792"/>
      <c r="Q817" s="792"/>
      <c r="R817" s="792"/>
      <c r="S817" s="792"/>
      <c r="T817" s="792"/>
      <c r="U817" s="792"/>
      <c r="V817" s="793"/>
      <c r="W817" s="792"/>
      <c r="X817" s="792"/>
      <c r="Y817" s="792"/>
      <c r="Z817" s="792"/>
      <c r="AA817" s="792"/>
    </row>
    <row r="818" spans="1:27" ht="15.75" customHeight="1">
      <c r="A818" s="792"/>
      <c r="B818" s="792"/>
      <c r="C818" s="792"/>
      <c r="D818" s="792"/>
      <c r="E818" s="792"/>
      <c r="F818" s="792"/>
      <c r="G818" s="792"/>
      <c r="H818" s="792"/>
      <c r="I818" s="792"/>
      <c r="J818" s="792"/>
      <c r="K818" s="792"/>
      <c r="L818" s="792"/>
      <c r="M818" s="792"/>
      <c r="N818" s="792"/>
      <c r="O818" s="792"/>
      <c r="P818" s="792"/>
      <c r="Q818" s="792"/>
      <c r="R818" s="792"/>
      <c r="S818" s="792"/>
      <c r="T818" s="792"/>
      <c r="U818" s="792"/>
      <c r="V818" s="793"/>
      <c r="W818" s="792"/>
      <c r="X818" s="792"/>
      <c r="Y818" s="792"/>
      <c r="Z818" s="792"/>
      <c r="AA818" s="792"/>
    </row>
    <row r="819" spans="1:27" ht="15.75" customHeight="1">
      <c r="A819" s="792"/>
      <c r="B819" s="792"/>
      <c r="C819" s="792"/>
      <c r="D819" s="792"/>
      <c r="E819" s="792"/>
      <c r="F819" s="792"/>
      <c r="G819" s="792"/>
      <c r="H819" s="792"/>
      <c r="I819" s="792"/>
      <c r="J819" s="792"/>
      <c r="K819" s="792"/>
      <c r="L819" s="792"/>
      <c r="M819" s="792"/>
      <c r="N819" s="792"/>
      <c r="O819" s="792"/>
      <c r="P819" s="792"/>
      <c r="Q819" s="792"/>
      <c r="R819" s="792"/>
      <c r="S819" s="792"/>
      <c r="T819" s="792"/>
      <c r="U819" s="792"/>
      <c r="V819" s="793"/>
      <c r="W819" s="792"/>
      <c r="X819" s="792"/>
      <c r="Y819" s="792"/>
      <c r="Z819" s="792"/>
      <c r="AA819" s="792"/>
    </row>
    <row r="820" spans="1:27" ht="15.75" customHeight="1">
      <c r="A820" s="792"/>
      <c r="B820" s="792"/>
      <c r="C820" s="792"/>
      <c r="D820" s="792"/>
      <c r="E820" s="792"/>
      <c r="F820" s="792"/>
      <c r="G820" s="792"/>
      <c r="H820" s="792"/>
      <c r="I820" s="792"/>
      <c r="J820" s="792"/>
      <c r="K820" s="792"/>
      <c r="L820" s="792"/>
      <c r="M820" s="792"/>
      <c r="N820" s="792"/>
      <c r="O820" s="792"/>
      <c r="P820" s="792"/>
      <c r="Q820" s="792"/>
      <c r="R820" s="792"/>
      <c r="S820" s="792"/>
      <c r="T820" s="792"/>
      <c r="U820" s="792"/>
      <c r="V820" s="793"/>
      <c r="W820" s="792"/>
      <c r="X820" s="792"/>
      <c r="Y820" s="792"/>
      <c r="Z820" s="792"/>
      <c r="AA820" s="792"/>
    </row>
    <row r="821" spans="1:27" ht="15.75" customHeight="1">
      <c r="A821" s="792"/>
      <c r="B821" s="792"/>
      <c r="C821" s="792"/>
      <c r="D821" s="792"/>
      <c r="E821" s="792"/>
      <c r="F821" s="792"/>
      <c r="G821" s="792"/>
      <c r="H821" s="792"/>
      <c r="I821" s="792"/>
      <c r="J821" s="792"/>
      <c r="K821" s="792"/>
      <c r="L821" s="792"/>
      <c r="M821" s="792"/>
      <c r="N821" s="792"/>
      <c r="O821" s="792"/>
      <c r="P821" s="792"/>
      <c r="Q821" s="792"/>
      <c r="R821" s="792"/>
      <c r="S821" s="792"/>
      <c r="T821" s="792"/>
      <c r="U821" s="792"/>
      <c r="V821" s="793"/>
      <c r="W821" s="792"/>
      <c r="X821" s="792"/>
      <c r="Y821" s="792"/>
      <c r="Z821" s="792"/>
      <c r="AA821" s="792"/>
    </row>
    <row r="822" spans="1:27" ht="15.75" customHeight="1">
      <c r="A822" s="792"/>
      <c r="B822" s="792"/>
      <c r="C822" s="792"/>
      <c r="D822" s="792"/>
      <c r="E822" s="792"/>
      <c r="F822" s="792"/>
      <c r="G822" s="792"/>
      <c r="H822" s="792"/>
      <c r="I822" s="792"/>
      <c r="J822" s="792"/>
      <c r="K822" s="792"/>
      <c r="L822" s="792"/>
      <c r="M822" s="792"/>
      <c r="N822" s="792"/>
      <c r="O822" s="792"/>
      <c r="P822" s="792"/>
      <c r="Q822" s="792"/>
      <c r="R822" s="792"/>
      <c r="S822" s="792"/>
      <c r="T822" s="792"/>
      <c r="U822" s="792"/>
      <c r="V822" s="793"/>
      <c r="W822" s="792"/>
      <c r="X822" s="792"/>
      <c r="Y822" s="792"/>
      <c r="Z822" s="792"/>
      <c r="AA822" s="792"/>
    </row>
    <row r="823" spans="1:27" ht="15.75" customHeight="1">
      <c r="A823" s="792"/>
      <c r="B823" s="792"/>
      <c r="C823" s="792"/>
      <c r="D823" s="792"/>
      <c r="E823" s="792"/>
      <c r="F823" s="792"/>
      <c r="G823" s="792"/>
      <c r="H823" s="792"/>
      <c r="I823" s="792"/>
      <c r="J823" s="792"/>
      <c r="K823" s="792"/>
      <c r="L823" s="792"/>
      <c r="M823" s="792"/>
      <c r="N823" s="792"/>
      <c r="O823" s="792"/>
      <c r="P823" s="792"/>
      <c r="Q823" s="792"/>
      <c r="R823" s="792"/>
      <c r="S823" s="792"/>
      <c r="T823" s="792"/>
      <c r="U823" s="792"/>
      <c r="V823" s="793"/>
      <c r="W823" s="792"/>
      <c r="X823" s="792"/>
      <c r="Y823" s="792"/>
      <c r="Z823" s="792"/>
      <c r="AA823" s="792"/>
    </row>
    <row r="824" spans="1:27" ht="15.75" customHeight="1">
      <c r="A824" s="792"/>
      <c r="B824" s="792"/>
      <c r="C824" s="792"/>
      <c r="D824" s="792"/>
      <c r="E824" s="792"/>
      <c r="F824" s="792"/>
      <c r="G824" s="792"/>
      <c r="H824" s="792"/>
      <c r="I824" s="792"/>
      <c r="J824" s="792"/>
      <c r="K824" s="792"/>
      <c r="L824" s="792"/>
      <c r="M824" s="792"/>
      <c r="N824" s="792"/>
      <c r="O824" s="792"/>
      <c r="P824" s="792"/>
      <c r="Q824" s="792"/>
      <c r="R824" s="792"/>
      <c r="S824" s="792"/>
      <c r="T824" s="792"/>
      <c r="U824" s="792"/>
      <c r="V824" s="793"/>
      <c r="W824" s="792"/>
      <c r="X824" s="792"/>
      <c r="Y824" s="792"/>
      <c r="Z824" s="792"/>
      <c r="AA824" s="792"/>
    </row>
    <row r="825" spans="1:27" ht="15.75" customHeight="1">
      <c r="A825" s="792"/>
      <c r="B825" s="792"/>
      <c r="C825" s="792"/>
      <c r="D825" s="792"/>
      <c r="E825" s="792"/>
      <c r="F825" s="792"/>
      <c r="G825" s="792"/>
      <c r="H825" s="792"/>
      <c r="I825" s="792"/>
      <c r="J825" s="792"/>
      <c r="K825" s="792"/>
      <c r="L825" s="792"/>
      <c r="M825" s="792"/>
      <c r="N825" s="792"/>
      <c r="O825" s="792"/>
      <c r="P825" s="792"/>
      <c r="Q825" s="792"/>
      <c r="R825" s="792"/>
      <c r="S825" s="792"/>
      <c r="T825" s="792"/>
      <c r="U825" s="792"/>
      <c r="V825" s="793"/>
      <c r="W825" s="792"/>
      <c r="X825" s="792"/>
      <c r="Y825" s="792"/>
      <c r="Z825" s="792"/>
      <c r="AA825" s="792"/>
    </row>
    <row r="826" spans="1:27" ht="15.75" customHeight="1">
      <c r="A826" s="792"/>
      <c r="B826" s="792"/>
      <c r="C826" s="792"/>
      <c r="D826" s="792"/>
      <c r="E826" s="792"/>
      <c r="F826" s="792"/>
      <c r="G826" s="792"/>
      <c r="H826" s="792"/>
      <c r="I826" s="792"/>
      <c r="J826" s="792"/>
      <c r="K826" s="792"/>
      <c r="L826" s="792"/>
      <c r="M826" s="792"/>
      <c r="N826" s="792"/>
      <c r="O826" s="792"/>
      <c r="P826" s="792"/>
      <c r="Q826" s="792"/>
      <c r="R826" s="792"/>
      <c r="S826" s="792"/>
      <c r="T826" s="792"/>
      <c r="U826" s="792"/>
      <c r="V826" s="793"/>
      <c r="W826" s="792"/>
      <c r="X826" s="792"/>
      <c r="Y826" s="792"/>
      <c r="Z826" s="792"/>
      <c r="AA826" s="792"/>
    </row>
    <row r="827" spans="1:27" ht="15.75" customHeight="1">
      <c r="A827" s="792"/>
      <c r="B827" s="792"/>
      <c r="C827" s="792"/>
      <c r="D827" s="792"/>
      <c r="E827" s="792"/>
      <c r="F827" s="792"/>
      <c r="G827" s="792"/>
      <c r="H827" s="792"/>
      <c r="I827" s="792"/>
      <c r="J827" s="792"/>
      <c r="K827" s="792"/>
      <c r="L827" s="792"/>
      <c r="M827" s="792"/>
      <c r="N827" s="792"/>
      <c r="O827" s="792"/>
      <c r="P827" s="792"/>
      <c r="Q827" s="792"/>
      <c r="R827" s="792"/>
      <c r="S827" s="792"/>
      <c r="T827" s="792"/>
      <c r="U827" s="792"/>
      <c r="V827" s="793"/>
      <c r="W827" s="792"/>
      <c r="X827" s="792"/>
      <c r="Y827" s="792"/>
      <c r="Z827" s="792"/>
      <c r="AA827" s="792"/>
    </row>
    <row r="828" spans="1:27" ht="15.75" customHeight="1">
      <c r="A828" s="792"/>
      <c r="B828" s="792"/>
      <c r="C828" s="792"/>
      <c r="D828" s="792"/>
      <c r="E828" s="792"/>
      <c r="F828" s="792"/>
      <c r="G828" s="792"/>
      <c r="H828" s="792"/>
      <c r="I828" s="792"/>
      <c r="J828" s="792"/>
      <c r="K828" s="792"/>
      <c r="L828" s="792"/>
      <c r="M828" s="792"/>
      <c r="N828" s="792"/>
      <c r="O828" s="792"/>
      <c r="P828" s="792"/>
      <c r="Q828" s="792"/>
      <c r="R828" s="792"/>
      <c r="S828" s="792"/>
      <c r="T828" s="792"/>
      <c r="U828" s="792"/>
      <c r="V828" s="793"/>
      <c r="W828" s="792"/>
      <c r="X828" s="792"/>
      <c r="Y828" s="792"/>
      <c r="Z828" s="792"/>
      <c r="AA828" s="792"/>
    </row>
    <row r="829" spans="1:27" ht="15.75" customHeight="1">
      <c r="A829" s="792"/>
      <c r="B829" s="792"/>
      <c r="C829" s="792"/>
      <c r="D829" s="792"/>
      <c r="E829" s="792"/>
      <c r="F829" s="792"/>
      <c r="G829" s="792"/>
      <c r="H829" s="792"/>
      <c r="I829" s="792"/>
      <c r="J829" s="792"/>
      <c r="K829" s="792"/>
      <c r="L829" s="792"/>
      <c r="M829" s="792"/>
      <c r="N829" s="792"/>
      <c r="O829" s="792"/>
      <c r="P829" s="792"/>
      <c r="Q829" s="792"/>
      <c r="R829" s="792"/>
      <c r="S829" s="792"/>
      <c r="T829" s="792"/>
      <c r="U829" s="792"/>
      <c r="V829" s="793"/>
      <c r="W829" s="792"/>
      <c r="X829" s="792"/>
      <c r="Y829" s="792"/>
      <c r="Z829" s="792"/>
      <c r="AA829" s="792"/>
    </row>
    <row r="830" spans="1:27" ht="15.75" customHeight="1">
      <c r="A830" s="792"/>
      <c r="B830" s="792"/>
      <c r="C830" s="792"/>
      <c r="D830" s="792"/>
      <c r="E830" s="792"/>
      <c r="F830" s="792"/>
      <c r="G830" s="792"/>
      <c r="H830" s="792"/>
      <c r="I830" s="792"/>
      <c r="J830" s="792"/>
      <c r="K830" s="792"/>
      <c r="L830" s="792"/>
      <c r="M830" s="792"/>
      <c r="N830" s="792"/>
      <c r="O830" s="792"/>
      <c r="P830" s="792"/>
      <c r="Q830" s="792"/>
      <c r="R830" s="792"/>
      <c r="S830" s="792"/>
      <c r="T830" s="792"/>
      <c r="U830" s="792"/>
      <c r="V830" s="793"/>
      <c r="W830" s="792"/>
      <c r="X830" s="792"/>
      <c r="Y830" s="792"/>
      <c r="Z830" s="792"/>
      <c r="AA830" s="792"/>
    </row>
    <row r="831" spans="1:27" ht="15.75" customHeight="1">
      <c r="A831" s="792"/>
      <c r="B831" s="792"/>
      <c r="C831" s="792"/>
      <c r="D831" s="792"/>
      <c r="E831" s="792"/>
      <c r="F831" s="792"/>
      <c r="G831" s="792"/>
      <c r="H831" s="792"/>
      <c r="I831" s="792"/>
      <c r="J831" s="792"/>
      <c r="K831" s="792"/>
      <c r="L831" s="792"/>
      <c r="M831" s="792"/>
      <c r="N831" s="792"/>
      <c r="O831" s="792"/>
      <c r="P831" s="792"/>
      <c r="Q831" s="792"/>
      <c r="R831" s="792"/>
      <c r="S831" s="792"/>
      <c r="T831" s="792"/>
      <c r="U831" s="792"/>
      <c r="V831" s="793"/>
      <c r="W831" s="792"/>
      <c r="X831" s="792"/>
      <c r="Y831" s="792"/>
      <c r="Z831" s="792"/>
      <c r="AA831" s="792"/>
    </row>
    <row r="832" spans="1:27" ht="15.75" customHeight="1">
      <c r="A832" s="792"/>
      <c r="B832" s="792"/>
      <c r="C832" s="792"/>
      <c r="D832" s="792"/>
      <c r="E832" s="792"/>
      <c r="F832" s="792"/>
      <c r="G832" s="792"/>
      <c r="H832" s="792"/>
      <c r="I832" s="792"/>
      <c r="J832" s="792"/>
      <c r="K832" s="792"/>
      <c r="L832" s="792"/>
      <c r="M832" s="792"/>
      <c r="N832" s="792"/>
      <c r="O832" s="792"/>
      <c r="P832" s="792"/>
      <c r="Q832" s="792"/>
      <c r="R832" s="792"/>
      <c r="S832" s="792"/>
      <c r="T832" s="792"/>
      <c r="U832" s="792"/>
      <c r="V832" s="793"/>
      <c r="W832" s="792"/>
      <c r="X832" s="792"/>
      <c r="Y832" s="792"/>
      <c r="Z832" s="792"/>
      <c r="AA832" s="792"/>
    </row>
    <row r="833" spans="1:27" ht="15.75" customHeight="1">
      <c r="A833" s="792"/>
      <c r="B833" s="792"/>
      <c r="C833" s="792"/>
      <c r="D833" s="792"/>
      <c r="E833" s="792"/>
      <c r="F833" s="792"/>
      <c r="G833" s="792"/>
      <c r="H833" s="792"/>
      <c r="I833" s="792"/>
      <c r="J833" s="792"/>
      <c r="K833" s="792"/>
      <c r="L833" s="792"/>
      <c r="M833" s="792"/>
      <c r="N833" s="792"/>
      <c r="O833" s="792"/>
      <c r="P833" s="792"/>
      <c r="Q833" s="792"/>
      <c r="R833" s="792"/>
      <c r="S833" s="792"/>
      <c r="T833" s="792"/>
      <c r="U833" s="792"/>
      <c r="V833" s="793"/>
      <c r="W833" s="792"/>
      <c r="X833" s="792"/>
      <c r="Y833" s="792"/>
      <c r="Z833" s="792"/>
      <c r="AA833" s="792"/>
    </row>
    <row r="834" spans="1:27" ht="15.75" customHeight="1">
      <c r="A834" s="792"/>
      <c r="B834" s="792"/>
      <c r="C834" s="792"/>
      <c r="D834" s="792"/>
      <c r="E834" s="792"/>
      <c r="F834" s="792"/>
      <c r="G834" s="792"/>
      <c r="H834" s="792"/>
      <c r="I834" s="792"/>
      <c r="J834" s="792"/>
      <c r="K834" s="792"/>
      <c r="L834" s="792"/>
      <c r="M834" s="792"/>
      <c r="N834" s="792"/>
      <c r="O834" s="792"/>
      <c r="P834" s="792"/>
      <c r="Q834" s="792"/>
      <c r="R834" s="792"/>
      <c r="S834" s="792"/>
      <c r="T834" s="792"/>
      <c r="U834" s="792"/>
      <c r="V834" s="793"/>
      <c r="W834" s="792"/>
      <c r="X834" s="792"/>
      <c r="Y834" s="792"/>
      <c r="Z834" s="792"/>
      <c r="AA834" s="792"/>
    </row>
    <row r="835" spans="1:27" ht="15.75" customHeight="1">
      <c r="A835" s="792"/>
      <c r="B835" s="792"/>
      <c r="C835" s="792"/>
      <c r="D835" s="792"/>
      <c r="E835" s="792"/>
      <c r="F835" s="792"/>
      <c r="G835" s="792"/>
      <c r="H835" s="792"/>
      <c r="I835" s="792"/>
      <c r="J835" s="792"/>
      <c r="K835" s="792"/>
      <c r="L835" s="792"/>
      <c r="M835" s="792"/>
      <c r="N835" s="792"/>
      <c r="O835" s="792"/>
      <c r="P835" s="792"/>
      <c r="Q835" s="792"/>
      <c r="R835" s="792"/>
      <c r="S835" s="792"/>
      <c r="T835" s="792"/>
      <c r="U835" s="792"/>
      <c r="V835" s="793"/>
      <c r="W835" s="792"/>
      <c r="X835" s="792"/>
      <c r="Y835" s="792"/>
      <c r="Z835" s="792"/>
      <c r="AA835" s="792"/>
    </row>
    <row r="836" spans="1:27" ht="15.75" customHeight="1">
      <c r="A836" s="792"/>
      <c r="B836" s="792"/>
      <c r="C836" s="792"/>
      <c r="D836" s="792"/>
      <c r="E836" s="792"/>
      <c r="F836" s="792"/>
      <c r="G836" s="792"/>
      <c r="H836" s="792"/>
      <c r="I836" s="792"/>
      <c r="J836" s="792"/>
      <c r="K836" s="792"/>
      <c r="L836" s="792"/>
      <c r="M836" s="792"/>
      <c r="N836" s="792"/>
      <c r="O836" s="792"/>
      <c r="P836" s="792"/>
      <c r="Q836" s="792"/>
      <c r="R836" s="792"/>
      <c r="S836" s="792"/>
      <c r="T836" s="792"/>
      <c r="U836" s="792"/>
      <c r="V836" s="793"/>
      <c r="W836" s="792"/>
      <c r="X836" s="792"/>
      <c r="Y836" s="792"/>
      <c r="Z836" s="792"/>
      <c r="AA836" s="792"/>
    </row>
    <row r="837" spans="1:27" ht="15.75" customHeight="1">
      <c r="A837" s="792"/>
      <c r="B837" s="792"/>
      <c r="C837" s="792"/>
      <c r="D837" s="792"/>
      <c r="E837" s="792"/>
      <c r="F837" s="792"/>
      <c r="G837" s="792"/>
      <c r="H837" s="792"/>
      <c r="I837" s="792"/>
      <c r="J837" s="792"/>
      <c r="K837" s="792"/>
      <c r="L837" s="792"/>
      <c r="M837" s="792"/>
      <c r="N837" s="792"/>
      <c r="O837" s="792"/>
      <c r="P837" s="792"/>
      <c r="Q837" s="792"/>
      <c r="R837" s="792"/>
      <c r="S837" s="792"/>
      <c r="T837" s="792"/>
      <c r="U837" s="792"/>
      <c r="V837" s="793"/>
      <c r="W837" s="792"/>
      <c r="X837" s="792"/>
      <c r="Y837" s="792"/>
      <c r="Z837" s="792"/>
      <c r="AA837" s="792"/>
    </row>
    <row r="838" spans="1:27" ht="15.75" customHeight="1">
      <c r="A838" s="792"/>
      <c r="B838" s="792"/>
      <c r="C838" s="792"/>
      <c r="D838" s="792"/>
      <c r="E838" s="792"/>
      <c r="F838" s="792"/>
      <c r="G838" s="792"/>
      <c r="H838" s="792"/>
      <c r="I838" s="792"/>
      <c r="J838" s="792"/>
      <c r="K838" s="792"/>
      <c r="L838" s="792"/>
      <c r="M838" s="792"/>
      <c r="N838" s="792"/>
      <c r="O838" s="792"/>
      <c r="P838" s="792"/>
      <c r="Q838" s="792"/>
      <c r="R838" s="792"/>
      <c r="S838" s="792"/>
      <c r="T838" s="792"/>
      <c r="U838" s="792"/>
      <c r="V838" s="793"/>
      <c r="W838" s="792"/>
      <c r="X838" s="792"/>
      <c r="Y838" s="792"/>
      <c r="Z838" s="792"/>
      <c r="AA838" s="792"/>
    </row>
    <row r="839" spans="1:27" ht="15.75" customHeight="1">
      <c r="A839" s="792"/>
      <c r="B839" s="792"/>
      <c r="C839" s="792"/>
      <c r="D839" s="792"/>
      <c r="E839" s="792"/>
      <c r="F839" s="792"/>
      <c r="G839" s="792"/>
      <c r="H839" s="792"/>
      <c r="I839" s="792"/>
      <c r="J839" s="792"/>
      <c r="K839" s="792"/>
      <c r="L839" s="792"/>
      <c r="M839" s="792"/>
      <c r="N839" s="792"/>
      <c r="O839" s="792"/>
      <c r="P839" s="792"/>
      <c r="Q839" s="792"/>
      <c r="R839" s="792"/>
      <c r="S839" s="792"/>
      <c r="T839" s="792"/>
      <c r="U839" s="792"/>
      <c r="V839" s="793"/>
      <c r="W839" s="792"/>
      <c r="X839" s="792"/>
      <c r="Y839" s="792"/>
      <c r="Z839" s="792"/>
      <c r="AA839" s="792"/>
    </row>
    <row r="840" spans="1:27" ht="15.75" customHeight="1">
      <c r="A840" s="792"/>
      <c r="B840" s="792"/>
      <c r="C840" s="792"/>
      <c r="D840" s="792"/>
      <c r="E840" s="792"/>
      <c r="F840" s="792"/>
      <c r="G840" s="792"/>
      <c r="H840" s="792"/>
      <c r="I840" s="792"/>
      <c r="J840" s="792"/>
      <c r="K840" s="792"/>
      <c r="L840" s="792"/>
      <c r="M840" s="792"/>
      <c r="N840" s="792"/>
      <c r="O840" s="792"/>
      <c r="P840" s="792"/>
      <c r="Q840" s="792"/>
      <c r="R840" s="792"/>
      <c r="S840" s="792"/>
      <c r="T840" s="792"/>
      <c r="U840" s="792"/>
      <c r="V840" s="793"/>
      <c r="W840" s="792"/>
      <c r="X840" s="792"/>
      <c r="Y840" s="792"/>
      <c r="Z840" s="792"/>
      <c r="AA840" s="792"/>
    </row>
    <row r="841" spans="1:27" ht="15.75" customHeight="1">
      <c r="A841" s="792"/>
      <c r="B841" s="792"/>
      <c r="C841" s="792"/>
      <c r="D841" s="792"/>
      <c r="E841" s="792"/>
      <c r="F841" s="792"/>
      <c r="G841" s="792"/>
      <c r="H841" s="792"/>
      <c r="I841" s="792"/>
      <c r="J841" s="792"/>
      <c r="K841" s="792"/>
      <c r="L841" s="792"/>
      <c r="M841" s="792"/>
      <c r="N841" s="792"/>
      <c r="O841" s="792"/>
      <c r="P841" s="792"/>
      <c r="Q841" s="792"/>
      <c r="R841" s="792"/>
      <c r="S841" s="792"/>
      <c r="T841" s="792"/>
      <c r="U841" s="792"/>
      <c r="V841" s="793"/>
      <c r="W841" s="792"/>
      <c r="X841" s="792"/>
      <c r="Y841" s="792"/>
      <c r="Z841" s="792"/>
      <c r="AA841" s="792"/>
    </row>
    <row r="842" spans="1:27" ht="15.75" customHeight="1">
      <c r="A842" s="792"/>
      <c r="B842" s="792"/>
      <c r="C842" s="792"/>
      <c r="D842" s="792"/>
      <c r="E842" s="792"/>
      <c r="F842" s="792"/>
      <c r="G842" s="792"/>
      <c r="H842" s="792"/>
      <c r="I842" s="792"/>
      <c r="J842" s="792"/>
      <c r="K842" s="792"/>
      <c r="L842" s="792"/>
      <c r="M842" s="792"/>
      <c r="N842" s="792"/>
      <c r="O842" s="792"/>
      <c r="P842" s="792"/>
      <c r="Q842" s="792"/>
      <c r="R842" s="792"/>
      <c r="S842" s="792"/>
      <c r="T842" s="792"/>
      <c r="U842" s="792"/>
      <c r="V842" s="793"/>
      <c r="W842" s="792"/>
      <c r="X842" s="792"/>
      <c r="Y842" s="792"/>
      <c r="Z842" s="792"/>
      <c r="AA842" s="792"/>
    </row>
    <row r="843" spans="1:27" ht="15.75" customHeight="1">
      <c r="A843" s="792"/>
      <c r="B843" s="792"/>
      <c r="C843" s="792"/>
      <c r="D843" s="792"/>
      <c r="E843" s="792"/>
      <c r="F843" s="792"/>
      <c r="G843" s="792"/>
      <c r="H843" s="792"/>
      <c r="I843" s="792"/>
      <c r="J843" s="792"/>
      <c r="K843" s="792"/>
      <c r="L843" s="792"/>
      <c r="M843" s="792"/>
      <c r="N843" s="792"/>
      <c r="O843" s="792"/>
      <c r="P843" s="792"/>
      <c r="Q843" s="792"/>
      <c r="R843" s="792"/>
      <c r="S843" s="792"/>
      <c r="T843" s="792"/>
      <c r="U843" s="792"/>
      <c r="V843" s="793"/>
      <c r="W843" s="792"/>
      <c r="X843" s="792"/>
      <c r="Y843" s="792"/>
      <c r="Z843" s="792"/>
      <c r="AA843" s="792"/>
    </row>
    <row r="844" spans="1:27" ht="15.75" customHeight="1">
      <c r="A844" s="792"/>
      <c r="B844" s="792"/>
      <c r="C844" s="792"/>
      <c r="D844" s="792"/>
      <c r="E844" s="792"/>
      <c r="F844" s="792"/>
      <c r="G844" s="792"/>
      <c r="H844" s="792"/>
      <c r="I844" s="792"/>
      <c r="J844" s="792"/>
      <c r="K844" s="792"/>
      <c r="L844" s="792"/>
      <c r="M844" s="792"/>
      <c r="N844" s="792"/>
      <c r="O844" s="792"/>
      <c r="P844" s="792"/>
      <c r="Q844" s="792"/>
      <c r="R844" s="792"/>
      <c r="S844" s="792"/>
      <c r="T844" s="792"/>
      <c r="U844" s="792"/>
      <c r="V844" s="793"/>
      <c r="W844" s="792"/>
      <c r="X844" s="792"/>
      <c r="Y844" s="792"/>
      <c r="Z844" s="792"/>
      <c r="AA844" s="792"/>
    </row>
    <row r="845" spans="1:27" ht="15.75" customHeight="1">
      <c r="A845" s="792"/>
      <c r="B845" s="792"/>
      <c r="C845" s="792"/>
      <c r="D845" s="792"/>
      <c r="E845" s="792"/>
      <c r="F845" s="792"/>
      <c r="G845" s="792"/>
      <c r="H845" s="792"/>
      <c r="I845" s="792"/>
      <c r="J845" s="792"/>
      <c r="K845" s="792"/>
      <c r="L845" s="792"/>
      <c r="M845" s="792"/>
      <c r="N845" s="792"/>
      <c r="O845" s="792"/>
      <c r="P845" s="792"/>
      <c r="Q845" s="792"/>
      <c r="R845" s="792"/>
      <c r="S845" s="792"/>
      <c r="T845" s="792"/>
      <c r="U845" s="792"/>
      <c r="V845" s="793"/>
      <c r="W845" s="792"/>
      <c r="X845" s="792"/>
      <c r="Y845" s="792"/>
      <c r="Z845" s="792"/>
      <c r="AA845" s="792"/>
    </row>
    <row r="846" spans="1:27" ht="15.75" customHeight="1">
      <c r="A846" s="792"/>
      <c r="B846" s="792"/>
      <c r="C846" s="792"/>
      <c r="D846" s="792"/>
      <c r="E846" s="792"/>
      <c r="F846" s="792"/>
      <c r="G846" s="792"/>
      <c r="H846" s="792"/>
      <c r="I846" s="792"/>
      <c r="J846" s="792"/>
      <c r="K846" s="792"/>
      <c r="L846" s="792"/>
      <c r="M846" s="792"/>
      <c r="N846" s="792"/>
      <c r="O846" s="792"/>
      <c r="P846" s="792"/>
      <c r="Q846" s="792"/>
      <c r="R846" s="792"/>
      <c r="S846" s="792"/>
      <c r="T846" s="792"/>
      <c r="U846" s="792"/>
      <c r="V846" s="793"/>
      <c r="W846" s="792"/>
      <c r="X846" s="792"/>
      <c r="Y846" s="792"/>
      <c r="Z846" s="792"/>
      <c r="AA846" s="792"/>
    </row>
    <row r="847" spans="1:27" ht="15.75" customHeight="1">
      <c r="A847" s="792"/>
      <c r="B847" s="792"/>
      <c r="C847" s="792"/>
      <c r="D847" s="792"/>
      <c r="E847" s="792"/>
      <c r="F847" s="792"/>
      <c r="G847" s="792"/>
      <c r="H847" s="792"/>
      <c r="I847" s="792"/>
      <c r="J847" s="792"/>
      <c r="K847" s="792"/>
      <c r="L847" s="792"/>
      <c r="M847" s="792"/>
      <c r="N847" s="792"/>
      <c r="O847" s="792"/>
      <c r="P847" s="792"/>
      <c r="Q847" s="792"/>
      <c r="R847" s="792"/>
      <c r="S847" s="792"/>
      <c r="T847" s="792"/>
      <c r="U847" s="792"/>
      <c r="V847" s="793"/>
      <c r="W847" s="792"/>
      <c r="X847" s="792"/>
      <c r="Y847" s="792"/>
      <c r="Z847" s="792"/>
      <c r="AA847" s="792"/>
    </row>
    <row r="848" spans="1:27" ht="15.75" customHeight="1">
      <c r="A848" s="792"/>
      <c r="B848" s="792"/>
      <c r="C848" s="792"/>
      <c r="D848" s="792"/>
      <c r="E848" s="792"/>
      <c r="F848" s="792"/>
      <c r="G848" s="792"/>
      <c r="H848" s="792"/>
      <c r="I848" s="792"/>
      <c r="J848" s="792"/>
      <c r="K848" s="792"/>
      <c r="L848" s="792"/>
      <c r="M848" s="792"/>
      <c r="N848" s="792"/>
      <c r="O848" s="792"/>
      <c r="P848" s="792"/>
      <c r="Q848" s="792"/>
      <c r="R848" s="792"/>
      <c r="S848" s="792"/>
      <c r="T848" s="792"/>
      <c r="U848" s="792"/>
      <c r="V848" s="793"/>
      <c r="W848" s="792"/>
      <c r="X848" s="792"/>
      <c r="Y848" s="792"/>
      <c r="Z848" s="792"/>
      <c r="AA848" s="792"/>
    </row>
    <row r="849" spans="1:27" ht="15.75" customHeight="1">
      <c r="A849" s="792"/>
      <c r="B849" s="792"/>
      <c r="C849" s="792"/>
      <c r="D849" s="792"/>
      <c r="E849" s="792"/>
      <c r="F849" s="792"/>
      <c r="G849" s="792"/>
      <c r="H849" s="792"/>
      <c r="I849" s="792"/>
      <c r="J849" s="792"/>
      <c r="K849" s="792"/>
      <c r="L849" s="792"/>
      <c r="M849" s="792"/>
      <c r="N849" s="792"/>
      <c r="O849" s="792"/>
      <c r="P849" s="792"/>
      <c r="Q849" s="792"/>
      <c r="R849" s="792"/>
      <c r="S849" s="792"/>
      <c r="T849" s="792"/>
      <c r="U849" s="792"/>
      <c r="V849" s="793"/>
      <c r="W849" s="792"/>
      <c r="X849" s="792"/>
      <c r="Y849" s="792"/>
      <c r="Z849" s="792"/>
      <c r="AA849" s="792"/>
    </row>
    <row r="850" spans="1:27" ht="15.75" customHeight="1">
      <c r="A850" s="792"/>
      <c r="B850" s="792"/>
      <c r="C850" s="792"/>
      <c r="D850" s="792"/>
      <c r="E850" s="792"/>
      <c r="F850" s="792"/>
      <c r="G850" s="792"/>
      <c r="H850" s="792"/>
      <c r="I850" s="792"/>
      <c r="J850" s="792"/>
      <c r="K850" s="792"/>
      <c r="L850" s="792"/>
      <c r="M850" s="792"/>
      <c r="N850" s="792"/>
      <c r="O850" s="792"/>
      <c r="P850" s="792"/>
      <c r="Q850" s="792"/>
      <c r="R850" s="792"/>
      <c r="S850" s="792"/>
      <c r="T850" s="792"/>
      <c r="U850" s="792"/>
      <c r="V850" s="793"/>
      <c r="W850" s="792"/>
      <c r="X850" s="792"/>
      <c r="Y850" s="792"/>
      <c r="Z850" s="792"/>
      <c r="AA850" s="792"/>
    </row>
    <row r="851" spans="1:27" ht="15.75" customHeight="1">
      <c r="A851" s="792"/>
      <c r="B851" s="792"/>
      <c r="C851" s="792"/>
      <c r="D851" s="792"/>
      <c r="E851" s="792"/>
      <c r="F851" s="792"/>
      <c r="G851" s="792"/>
      <c r="H851" s="792"/>
      <c r="I851" s="792"/>
      <c r="J851" s="792"/>
      <c r="K851" s="792"/>
      <c r="L851" s="792"/>
      <c r="M851" s="792"/>
      <c r="N851" s="792"/>
      <c r="O851" s="792"/>
      <c r="P851" s="792"/>
      <c r="Q851" s="792"/>
      <c r="R851" s="792"/>
      <c r="S851" s="792"/>
      <c r="T851" s="792"/>
      <c r="U851" s="792"/>
      <c r="V851" s="793"/>
      <c r="W851" s="792"/>
      <c r="X851" s="792"/>
      <c r="Y851" s="792"/>
      <c r="Z851" s="792"/>
      <c r="AA851" s="792"/>
    </row>
    <row r="852" spans="1:27" ht="15.75" customHeight="1">
      <c r="A852" s="792"/>
      <c r="B852" s="792"/>
      <c r="C852" s="792"/>
      <c r="D852" s="792"/>
      <c r="E852" s="792"/>
      <c r="F852" s="792"/>
      <c r="G852" s="792"/>
      <c r="H852" s="792"/>
      <c r="I852" s="792"/>
      <c r="J852" s="792"/>
      <c r="K852" s="792"/>
      <c r="L852" s="792"/>
      <c r="M852" s="792"/>
      <c r="N852" s="792"/>
      <c r="O852" s="792"/>
      <c r="P852" s="792"/>
      <c r="Q852" s="792"/>
      <c r="R852" s="792"/>
      <c r="S852" s="792"/>
      <c r="T852" s="792"/>
      <c r="U852" s="792"/>
      <c r="V852" s="793"/>
      <c r="W852" s="792"/>
      <c r="X852" s="792"/>
      <c r="Y852" s="792"/>
      <c r="Z852" s="792"/>
      <c r="AA852" s="792"/>
    </row>
    <row r="853" spans="1:27" ht="15.75" customHeight="1">
      <c r="A853" s="792"/>
      <c r="B853" s="792"/>
      <c r="C853" s="792"/>
      <c r="D853" s="792"/>
      <c r="E853" s="792"/>
      <c r="F853" s="792"/>
      <c r="G853" s="792"/>
      <c r="H853" s="792"/>
      <c r="I853" s="792"/>
      <c r="J853" s="792"/>
      <c r="K853" s="792"/>
      <c r="L853" s="792"/>
      <c r="M853" s="792"/>
      <c r="N853" s="792"/>
      <c r="O853" s="792"/>
      <c r="P853" s="792"/>
      <c r="Q853" s="792"/>
      <c r="R853" s="792"/>
      <c r="S853" s="792"/>
      <c r="T853" s="792"/>
      <c r="U853" s="792"/>
      <c r="V853" s="793"/>
      <c r="W853" s="792"/>
      <c r="X853" s="792"/>
      <c r="Y853" s="792"/>
      <c r="Z853" s="792"/>
      <c r="AA853" s="792"/>
    </row>
    <row r="854" spans="1:27" ht="15.75" customHeight="1">
      <c r="A854" s="792"/>
      <c r="B854" s="792"/>
      <c r="C854" s="792"/>
      <c r="D854" s="792"/>
      <c r="E854" s="792"/>
      <c r="F854" s="792"/>
      <c r="G854" s="792"/>
      <c r="H854" s="792"/>
      <c r="I854" s="792"/>
      <c r="J854" s="792"/>
      <c r="K854" s="792"/>
      <c r="L854" s="792"/>
      <c r="M854" s="792"/>
      <c r="N854" s="792"/>
      <c r="O854" s="792"/>
      <c r="P854" s="792"/>
      <c r="Q854" s="792"/>
      <c r="R854" s="792"/>
      <c r="S854" s="792"/>
      <c r="T854" s="792"/>
      <c r="U854" s="792"/>
      <c r="V854" s="793"/>
      <c r="W854" s="792"/>
      <c r="X854" s="792"/>
      <c r="Y854" s="792"/>
      <c r="Z854" s="792"/>
      <c r="AA854" s="792"/>
    </row>
    <row r="855" spans="1:27" ht="15.75" customHeight="1">
      <c r="A855" s="792"/>
      <c r="B855" s="792"/>
      <c r="C855" s="792"/>
      <c r="D855" s="792"/>
      <c r="E855" s="792"/>
      <c r="F855" s="792"/>
      <c r="G855" s="792"/>
      <c r="H855" s="792"/>
      <c r="I855" s="792"/>
      <c r="J855" s="792"/>
      <c r="K855" s="792"/>
      <c r="L855" s="792"/>
      <c r="M855" s="792"/>
      <c r="N855" s="792"/>
      <c r="O855" s="792"/>
      <c r="P855" s="792"/>
      <c r="Q855" s="792"/>
      <c r="R855" s="792"/>
      <c r="S855" s="792"/>
      <c r="T855" s="792"/>
      <c r="U855" s="792"/>
      <c r="V855" s="793"/>
      <c r="W855" s="792"/>
      <c r="X855" s="792"/>
      <c r="Y855" s="792"/>
      <c r="Z855" s="792"/>
      <c r="AA855" s="792"/>
    </row>
    <row r="856" spans="1:27" ht="15.75" customHeight="1">
      <c r="A856" s="792"/>
      <c r="B856" s="792"/>
      <c r="C856" s="792"/>
      <c r="D856" s="792"/>
      <c r="E856" s="792"/>
      <c r="F856" s="792"/>
      <c r="G856" s="792"/>
      <c r="H856" s="792"/>
      <c r="I856" s="792"/>
      <c r="J856" s="792"/>
      <c r="K856" s="792"/>
      <c r="L856" s="792"/>
      <c r="M856" s="792"/>
      <c r="N856" s="792"/>
      <c r="O856" s="792"/>
      <c r="P856" s="792"/>
      <c r="Q856" s="792"/>
      <c r="R856" s="792"/>
      <c r="S856" s="792"/>
      <c r="T856" s="792"/>
      <c r="U856" s="792"/>
      <c r="V856" s="793"/>
      <c r="W856" s="792"/>
      <c r="X856" s="792"/>
      <c r="Y856" s="792"/>
      <c r="Z856" s="792"/>
      <c r="AA856" s="792"/>
    </row>
    <row r="857" spans="1:27" ht="15.75" customHeight="1">
      <c r="A857" s="792"/>
      <c r="B857" s="792"/>
      <c r="C857" s="792"/>
      <c r="D857" s="792"/>
      <c r="E857" s="792"/>
      <c r="F857" s="792"/>
      <c r="G857" s="792"/>
      <c r="H857" s="792"/>
      <c r="I857" s="792"/>
      <c r="J857" s="792"/>
      <c r="K857" s="792"/>
      <c r="L857" s="792"/>
      <c r="M857" s="792"/>
      <c r="N857" s="792"/>
      <c r="O857" s="792"/>
      <c r="P857" s="792"/>
      <c r="Q857" s="792"/>
      <c r="R857" s="792"/>
      <c r="S857" s="792"/>
      <c r="T857" s="792"/>
      <c r="U857" s="792"/>
      <c r="V857" s="793"/>
      <c r="W857" s="792"/>
      <c r="X857" s="792"/>
      <c r="Y857" s="792"/>
      <c r="Z857" s="792"/>
      <c r="AA857" s="792"/>
    </row>
    <row r="858" spans="1:27" ht="15.75" customHeight="1">
      <c r="A858" s="792"/>
      <c r="B858" s="792"/>
      <c r="C858" s="792"/>
      <c r="D858" s="792"/>
      <c r="E858" s="792"/>
      <c r="F858" s="792"/>
      <c r="G858" s="792"/>
      <c r="H858" s="792"/>
      <c r="I858" s="792"/>
      <c r="J858" s="792"/>
      <c r="K858" s="792"/>
      <c r="L858" s="792"/>
      <c r="M858" s="792"/>
      <c r="N858" s="792"/>
      <c r="O858" s="792"/>
      <c r="P858" s="792"/>
      <c r="Q858" s="792"/>
      <c r="R858" s="792"/>
      <c r="S858" s="792"/>
      <c r="T858" s="792"/>
      <c r="U858" s="792"/>
      <c r="V858" s="793"/>
      <c r="W858" s="792"/>
      <c r="X858" s="792"/>
      <c r="Y858" s="792"/>
      <c r="Z858" s="792"/>
      <c r="AA858" s="792"/>
    </row>
    <row r="859" spans="1:27" ht="15.75" customHeight="1">
      <c r="A859" s="792"/>
      <c r="B859" s="792"/>
      <c r="C859" s="792"/>
      <c r="D859" s="792"/>
      <c r="E859" s="792"/>
      <c r="F859" s="792"/>
      <c r="G859" s="792"/>
      <c r="H859" s="792"/>
      <c r="I859" s="792"/>
      <c r="J859" s="792"/>
      <c r="K859" s="792"/>
      <c r="L859" s="792"/>
      <c r="M859" s="792"/>
      <c r="N859" s="792"/>
      <c r="O859" s="792"/>
      <c r="P859" s="792"/>
      <c r="Q859" s="792"/>
      <c r="R859" s="792"/>
      <c r="S859" s="792"/>
      <c r="T859" s="792"/>
      <c r="U859" s="792"/>
      <c r="V859" s="793"/>
      <c r="W859" s="792"/>
      <c r="X859" s="792"/>
      <c r="Y859" s="792"/>
      <c r="Z859" s="792"/>
      <c r="AA859" s="792"/>
    </row>
    <row r="860" spans="1:27" ht="15.75" customHeight="1">
      <c r="A860" s="792"/>
      <c r="B860" s="792"/>
      <c r="C860" s="792"/>
      <c r="D860" s="792"/>
      <c r="E860" s="792"/>
      <c r="F860" s="792"/>
      <c r="G860" s="792"/>
      <c r="H860" s="792"/>
      <c r="I860" s="792"/>
      <c r="J860" s="792"/>
      <c r="K860" s="792"/>
      <c r="L860" s="792"/>
      <c r="M860" s="792"/>
      <c r="N860" s="792"/>
      <c r="O860" s="792"/>
      <c r="P860" s="792"/>
      <c r="Q860" s="792"/>
      <c r="R860" s="792"/>
      <c r="S860" s="792"/>
      <c r="T860" s="792"/>
      <c r="U860" s="792"/>
      <c r="V860" s="793"/>
      <c r="W860" s="792"/>
      <c r="X860" s="792"/>
      <c r="Y860" s="792"/>
      <c r="Z860" s="792"/>
      <c r="AA860" s="792"/>
    </row>
    <row r="861" spans="1:27" ht="15.75" customHeight="1">
      <c r="A861" s="792"/>
      <c r="B861" s="792"/>
      <c r="C861" s="792"/>
      <c r="D861" s="792"/>
      <c r="E861" s="792"/>
      <c r="F861" s="792"/>
      <c r="G861" s="792"/>
      <c r="H861" s="792"/>
      <c r="I861" s="792"/>
      <c r="J861" s="792"/>
      <c r="K861" s="792"/>
      <c r="L861" s="792"/>
      <c r="M861" s="792"/>
      <c r="N861" s="792"/>
      <c r="O861" s="792"/>
      <c r="P861" s="792"/>
      <c r="Q861" s="792"/>
      <c r="R861" s="792"/>
      <c r="S861" s="792"/>
      <c r="T861" s="792"/>
      <c r="U861" s="792"/>
      <c r="V861" s="793"/>
      <c r="W861" s="792"/>
      <c r="X861" s="792"/>
      <c r="Y861" s="792"/>
      <c r="Z861" s="792"/>
      <c r="AA861" s="792"/>
    </row>
    <row r="862" spans="1:27" ht="15.75" customHeight="1">
      <c r="A862" s="792"/>
      <c r="B862" s="792"/>
      <c r="C862" s="792"/>
      <c r="D862" s="792"/>
      <c r="E862" s="792"/>
      <c r="F862" s="792"/>
      <c r="G862" s="792"/>
      <c r="H862" s="792"/>
      <c r="I862" s="792"/>
      <c r="J862" s="792"/>
      <c r="K862" s="792"/>
      <c r="L862" s="792"/>
      <c r="M862" s="792"/>
      <c r="N862" s="792"/>
      <c r="O862" s="792"/>
      <c r="P862" s="792"/>
      <c r="Q862" s="792"/>
      <c r="R862" s="792"/>
      <c r="S862" s="792"/>
      <c r="T862" s="792"/>
      <c r="U862" s="792"/>
      <c r="V862" s="793"/>
      <c r="W862" s="792"/>
      <c r="X862" s="792"/>
      <c r="Y862" s="792"/>
      <c r="Z862" s="792"/>
      <c r="AA862" s="792"/>
    </row>
    <row r="863" spans="1:27" ht="15.75" customHeight="1">
      <c r="A863" s="792"/>
      <c r="B863" s="792"/>
      <c r="C863" s="792"/>
      <c r="D863" s="792"/>
      <c r="E863" s="792"/>
      <c r="F863" s="792"/>
      <c r="G863" s="792"/>
      <c r="H863" s="792"/>
      <c r="I863" s="792"/>
      <c r="J863" s="792"/>
      <c r="K863" s="792"/>
      <c r="L863" s="792"/>
      <c r="M863" s="792"/>
      <c r="N863" s="792"/>
      <c r="O863" s="792"/>
      <c r="P863" s="792"/>
      <c r="Q863" s="792"/>
      <c r="R863" s="792"/>
      <c r="S863" s="792"/>
      <c r="T863" s="792"/>
      <c r="U863" s="792"/>
      <c r="V863" s="793"/>
      <c r="W863" s="792"/>
      <c r="X863" s="792"/>
      <c r="Y863" s="792"/>
      <c r="Z863" s="792"/>
      <c r="AA863" s="792"/>
    </row>
    <row r="864" spans="1:27" ht="15.75" customHeight="1">
      <c r="A864" s="792"/>
      <c r="B864" s="792"/>
      <c r="C864" s="792"/>
      <c r="D864" s="792"/>
      <c r="E864" s="792"/>
      <c r="F864" s="792"/>
      <c r="G864" s="792"/>
      <c r="H864" s="792"/>
      <c r="I864" s="792"/>
      <c r="J864" s="792"/>
      <c r="K864" s="792"/>
      <c r="L864" s="792"/>
      <c r="M864" s="792"/>
      <c r="N864" s="792"/>
      <c r="O864" s="792"/>
      <c r="P864" s="792"/>
      <c r="Q864" s="792"/>
      <c r="R864" s="792"/>
      <c r="S864" s="792"/>
      <c r="T864" s="792"/>
      <c r="U864" s="792"/>
      <c r="V864" s="793"/>
      <c r="W864" s="792"/>
      <c r="X864" s="792"/>
      <c r="Y864" s="792"/>
      <c r="Z864" s="792"/>
      <c r="AA864" s="792"/>
    </row>
    <row r="865" spans="1:27" ht="15.75" customHeight="1">
      <c r="A865" s="792"/>
      <c r="B865" s="792"/>
      <c r="C865" s="792"/>
      <c r="D865" s="792"/>
      <c r="E865" s="792"/>
      <c r="F865" s="792"/>
      <c r="G865" s="792"/>
      <c r="H865" s="792"/>
      <c r="I865" s="792"/>
      <c r="J865" s="792"/>
      <c r="K865" s="792"/>
      <c r="L865" s="792"/>
      <c r="M865" s="792"/>
      <c r="N865" s="792"/>
      <c r="O865" s="792"/>
      <c r="P865" s="792"/>
      <c r="Q865" s="792"/>
      <c r="R865" s="792"/>
      <c r="S865" s="792"/>
      <c r="T865" s="792"/>
      <c r="U865" s="792"/>
      <c r="V865" s="793"/>
      <c r="W865" s="792"/>
      <c r="X865" s="792"/>
      <c r="Y865" s="792"/>
      <c r="Z865" s="792"/>
      <c r="AA865" s="792"/>
    </row>
    <row r="866" spans="1:27" ht="15.75" customHeight="1">
      <c r="A866" s="792"/>
      <c r="B866" s="792"/>
      <c r="C866" s="792"/>
      <c r="D866" s="792"/>
      <c r="E866" s="792"/>
      <c r="F866" s="792"/>
      <c r="G866" s="792"/>
      <c r="H866" s="792"/>
      <c r="I866" s="792"/>
      <c r="J866" s="792"/>
      <c r="K866" s="792"/>
      <c r="L866" s="792"/>
      <c r="M866" s="792"/>
      <c r="N866" s="792"/>
      <c r="O866" s="792"/>
      <c r="P866" s="792"/>
      <c r="Q866" s="792"/>
      <c r="R866" s="792"/>
      <c r="S866" s="792"/>
      <c r="T866" s="792"/>
      <c r="U866" s="792"/>
      <c r="V866" s="793"/>
      <c r="W866" s="792"/>
      <c r="X866" s="792"/>
      <c r="Y866" s="792"/>
      <c r="Z866" s="792"/>
      <c r="AA866" s="792"/>
    </row>
    <row r="867" spans="1:27" ht="15.75" customHeight="1">
      <c r="A867" s="792"/>
      <c r="B867" s="792"/>
      <c r="C867" s="792"/>
      <c r="D867" s="792"/>
      <c r="E867" s="792"/>
      <c r="F867" s="792"/>
      <c r="G867" s="792"/>
      <c r="H867" s="792"/>
      <c r="I867" s="792"/>
      <c r="J867" s="792"/>
      <c r="K867" s="792"/>
      <c r="L867" s="792"/>
      <c r="M867" s="792"/>
      <c r="N867" s="792"/>
      <c r="O867" s="792"/>
      <c r="P867" s="792"/>
      <c r="Q867" s="792"/>
      <c r="R867" s="792"/>
      <c r="S867" s="792"/>
      <c r="T867" s="792"/>
      <c r="U867" s="792"/>
      <c r="V867" s="793"/>
      <c r="W867" s="792"/>
      <c r="X867" s="792"/>
      <c r="Y867" s="792"/>
      <c r="Z867" s="792"/>
      <c r="AA867" s="792"/>
    </row>
    <row r="868" spans="1:27" ht="15.75" customHeight="1">
      <c r="A868" s="792"/>
      <c r="B868" s="792"/>
      <c r="C868" s="792"/>
      <c r="D868" s="792"/>
      <c r="E868" s="792"/>
      <c r="F868" s="792"/>
      <c r="G868" s="792"/>
      <c r="H868" s="792"/>
      <c r="I868" s="792"/>
      <c r="J868" s="792"/>
      <c r="K868" s="792"/>
      <c r="L868" s="792"/>
      <c r="M868" s="792"/>
      <c r="N868" s="792"/>
      <c r="O868" s="792"/>
      <c r="P868" s="792"/>
      <c r="Q868" s="792"/>
      <c r="R868" s="792"/>
      <c r="S868" s="792"/>
      <c r="T868" s="792"/>
      <c r="U868" s="792"/>
      <c r="V868" s="793"/>
      <c r="W868" s="792"/>
      <c r="X868" s="792"/>
      <c r="Y868" s="792"/>
      <c r="Z868" s="792"/>
      <c r="AA868" s="792"/>
    </row>
    <row r="869" spans="1:27" ht="15.75" customHeight="1">
      <c r="A869" s="792"/>
      <c r="B869" s="792"/>
      <c r="C869" s="792"/>
      <c r="D869" s="792"/>
      <c r="E869" s="792"/>
      <c r="F869" s="792"/>
      <c r="G869" s="792"/>
      <c r="H869" s="792"/>
      <c r="I869" s="792"/>
      <c r="J869" s="792"/>
      <c r="K869" s="792"/>
      <c r="L869" s="792"/>
      <c r="M869" s="792"/>
      <c r="N869" s="792"/>
      <c r="O869" s="792"/>
      <c r="P869" s="792"/>
      <c r="Q869" s="792"/>
      <c r="R869" s="792"/>
      <c r="S869" s="792"/>
      <c r="T869" s="792"/>
      <c r="U869" s="792"/>
      <c r="V869" s="793"/>
      <c r="W869" s="792"/>
      <c r="X869" s="792"/>
      <c r="Y869" s="792"/>
      <c r="Z869" s="792"/>
      <c r="AA869" s="792"/>
    </row>
    <row r="870" spans="1:27" ht="15.75" customHeight="1">
      <c r="A870" s="792"/>
      <c r="B870" s="792"/>
      <c r="C870" s="792"/>
      <c r="D870" s="792"/>
      <c r="E870" s="792"/>
      <c r="F870" s="792"/>
      <c r="G870" s="792"/>
      <c r="H870" s="792"/>
      <c r="I870" s="792"/>
      <c r="J870" s="792"/>
      <c r="K870" s="792"/>
      <c r="L870" s="792"/>
      <c r="M870" s="792"/>
      <c r="N870" s="792"/>
      <c r="O870" s="792"/>
      <c r="P870" s="792"/>
      <c r="Q870" s="792"/>
      <c r="R870" s="792"/>
      <c r="S870" s="792"/>
      <c r="T870" s="792"/>
      <c r="U870" s="792"/>
      <c r="V870" s="793"/>
      <c r="W870" s="792"/>
      <c r="X870" s="792"/>
      <c r="Y870" s="792"/>
      <c r="Z870" s="792"/>
      <c r="AA870" s="792"/>
    </row>
    <row r="871" spans="1:27" ht="15.75" customHeight="1">
      <c r="A871" s="792"/>
      <c r="B871" s="792"/>
      <c r="C871" s="792"/>
      <c r="D871" s="792"/>
      <c r="E871" s="792"/>
      <c r="F871" s="792"/>
      <c r="G871" s="792"/>
      <c r="H871" s="792"/>
      <c r="I871" s="792"/>
      <c r="J871" s="792"/>
      <c r="K871" s="792"/>
      <c r="L871" s="792"/>
      <c r="M871" s="792"/>
      <c r="N871" s="792"/>
      <c r="O871" s="792"/>
      <c r="P871" s="792"/>
      <c r="Q871" s="792"/>
      <c r="R871" s="792"/>
      <c r="S871" s="792"/>
      <c r="T871" s="792"/>
      <c r="U871" s="792"/>
      <c r="V871" s="793"/>
      <c r="W871" s="792"/>
      <c r="X871" s="792"/>
      <c r="Y871" s="792"/>
      <c r="Z871" s="792"/>
      <c r="AA871" s="792"/>
    </row>
    <row r="872" spans="1:27" ht="15.75" customHeight="1">
      <c r="A872" s="792"/>
      <c r="B872" s="792"/>
      <c r="C872" s="792"/>
      <c r="D872" s="792"/>
      <c r="E872" s="792"/>
      <c r="F872" s="792"/>
      <c r="G872" s="792"/>
      <c r="H872" s="792"/>
      <c r="I872" s="792"/>
      <c r="J872" s="792"/>
      <c r="K872" s="792"/>
      <c r="L872" s="792"/>
      <c r="M872" s="792"/>
      <c r="N872" s="792"/>
      <c r="O872" s="792"/>
      <c r="P872" s="792"/>
      <c r="Q872" s="792"/>
      <c r="R872" s="792"/>
      <c r="S872" s="792"/>
      <c r="T872" s="792"/>
      <c r="U872" s="792"/>
      <c r="V872" s="793"/>
      <c r="W872" s="792"/>
      <c r="X872" s="792"/>
      <c r="Y872" s="792"/>
      <c r="Z872" s="792"/>
      <c r="AA872" s="792"/>
    </row>
    <row r="873" spans="1:27" ht="15.75" customHeight="1">
      <c r="A873" s="792"/>
      <c r="B873" s="792"/>
      <c r="C873" s="792"/>
      <c r="D873" s="792"/>
      <c r="E873" s="792"/>
      <c r="F873" s="792"/>
      <c r="G873" s="792"/>
      <c r="H873" s="792"/>
      <c r="I873" s="792"/>
      <c r="J873" s="792"/>
      <c r="K873" s="792"/>
      <c r="L873" s="792"/>
      <c r="M873" s="792"/>
      <c r="N873" s="792"/>
      <c r="O873" s="792"/>
      <c r="P873" s="792"/>
      <c r="Q873" s="792"/>
      <c r="R873" s="792"/>
      <c r="S873" s="792"/>
      <c r="T873" s="792"/>
      <c r="U873" s="792"/>
      <c r="V873" s="793"/>
      <c r="W873" s="792"/>
      <c r="X873" s="792"/>
      <c r="Y873" s="792"/>
      <c r="Z873" s="792"/>
      <c r="AA873" s="792"/>
    </row>
    <row r="874" spans="1:27" ht="15.75" customHeight="1">
      <c r="A874" s="792"/>
      <c r="B874" s="792"/>
      <c r="C874" s="792"/>
      <c r="D874" s="792"/>
      <c r="E874" s="792"/>
      <c r="F874" s="792"/>
      <c r="G874" s="792"/>
      <c r="H874" s="792"/>
      <c r="I874" s="792"/>
      <c r="J874" s="792"/>
      <c r="K874" s="792"/>
      <c r="L874" s="792"/>
      <c r="M874" s="792"/>
      <c r="N874" s="792"/>
      <c r="O874" s="792"/>
      <c r="P874" s="792"/>
      <c r="Q874" s="792"/>
      <c r="R874" s="792"/>
      <c r="S874" s="792"/>
      <c r="T874" s="792"/>
      <c r="U874" s="792"/>
      <c r="V874" s="793"/>
      <c r="W874" s="792"/>
      <c r="X874" s="792"/>
      <c r="Y874" s="792"/>
      <c r="Z874" s="792"/>
      <c r="AA874" s="792"/>
    </row>
    <row r="875" spans="1:27" ht="15.75" customHeight="1">
      <c r="A875" s="792"/>
      <c r="B875" s="792"/>
      <c r="C875" s="792"/>
      <c r="D875" s="792"/>
      <c r="E875" s="792"/>
      <c r="F875" s="792"/>
      <c r="G875" s="792"/>
      <c r="H875" s="792"/>
      <c r="I875" s="792"/>
      <c r="J875" s="792"/>
      <c r="K875" s="792"/>
      <c r="L875" s="792"/>
      <c r="M875" s="792"/>
      <c r="N875" s="792"/>
      <c r="O875" s="792"/>
      <c r="P875" s="792"/>
      <c r="Q875" s="792"/>
      <c r="R875" s="792"/>
      <c r="S875" s="792"/>
      <c r="T875" s="792"/>
      <c r="U875" s="792"/>
      <c r="V875" s="793"/>
      <c r="W875" s="792"/>
      <c r="X875" s="792"/>
      <c r="Y875" s="792"/>
      <c r="Z875" s="792"/>
      <c r="AA875" s="792"/>
    </row>
    <row r="876" spans="1:27" ht="15.75" customHeight="1">
      <c r="A876" s="792"/>
      <c r="B876" s="792"/>
      <c r="C876" s="792"/>
      <c r="D876" s="792"/>
      <c r="E876" s="792"/>
      <c r="F876" s="792"/>
      <c r="G876" s="792"/>
      <c r="H876" s="792"/>
      <c r="I876" s="792"/>
      <c r="J876" s="792"/>
      <c r="K876" s="792"/>
      <c r="L876" s="792"/>
      <c r="M876" s="792"/>
      <c r="N876" s="792"/>
      <c r="O876" s="792"/>
      <c r="P876" s="792"/>
      <c r="Q876" s="792"/>
      <c r="R876" s="792"/>
      <c r="S876" s="792"/>
      <c r="T876" s="792"/>
      <c r="U876" s="792"/>
      <c r="V876" s="793"/>
      <c r="W876" s="792"/>
      <c r="X876" s="792"/>
      <c r="Y876" s="792"/>
      <c r="Z876" s="792"/>
      <c r="AA876" s="792"/>
    </row>
    <row r="877" spans="1:27" ht="15.75" customHeight="1">
      <c r="A877" s="792"/>
      <c r="B877" s="792"/>
      <c r="C877" s="792"/>
      <c r="D877" s="792"/>
      <c r="E877" s="792"/>
      <c r="F877" s="792"/>
      <c r="G877" s="792"/>
      <c r="H877" s="792"/>
      <c r="I877" s="792"/>
      <c r="J877" s="792"/>
      <c r="K877" s="792"/>
      <c r="L877" s="792"/>
      <c r="M877" s="792"/>
      <c r="N877" s="792"/>
      <c r="O877" s="792"/>
      <c r="P877" s="792"/>
      <c r="Q877" s="792"/>
      <c r="R877" s="792"/>
      <c r="S877" s="792"/>
      <c r="T877" s="792"/>
      <c r="U877" s="792"/>
      <c r="V877" s="793"/>
      <c r="W877" s="792"/>
      <c r="X877" s="792"/>
      <c r="Y877" s="792"/>
      <c r="Z877" s="792"/>
      <c r="AA877" s="792"/>
    </row>
    <row r="878" spans="1:27" ht="15.75" customHeight="1">
      <c r="A878" s="792"/>
      <c r="B878" s="792"/>
      <c r="C878" s="792"/>
      <c r="D878" s="792"/>
      <c r="E878" s="792"/>
      <c r="F878" s="792"/>
      <c r="G878" s="792"/>
      <c r="H878" s="792"/>
      <c r="I878" s="792"/>
      <c r="J878" s="792"/>
      <c r="K878" s="792"/>
      <c r="L878" s="792"/>
      <c r="M878" s="792"/>
      <c r="N878" s="792"/>
      <c r="O878" s="792"/>
      <c r="P878" s="792"/>
      <c r="Q878" s="792"/>
      <c r="R878" s="792"/>
      <c r="S878" s="792"/>
      <c r="T878" s="792"/>
      <c r="U878" s="792"/>
      <c r="V878" s="793"/>
      <c r="W878" s="792"/>
      <c r="X878" s="792"/>
      <c r="Y878" s="792"/>
      <c r="Z878" s="792"/>
      <c r="AA878" s="792"/>
    </row>
    <row r="879" spans="1:27" ht="15.75" customHeight="1">
      <c r="A879" s="792"/>
      <c r="B879" s="792"/>
      <c r="C879" s="792"/>
      <c r="D879" s="792"/>
      <c r="E879" s="792"/>
      <c r="F879" s="792"/>
      <c r="G879" s="792"/>
      <c r="H879" s="792"/>
      <c r="I879" s="792"/>
      <c r="J879" s="792"/>
      <c r="K879" s="792"/>
      <c r="L879" s="792"/>
      <c r="M879" s="792"/>
      <c r="N879" s="792"/>
      <c r="O879" s="792"/>
      <c r="P879" s="792"/>
      <c r="Q879" s="792"/>
      <c r="R879" s="792"/>
      <c r="S879" s="792"/>
      <c r="T879" s="792"/>
      <c r="U879" s="792"/>
      <c r="V879" s="793"/>
      <c r="W879" s="792"/>
      <c r="X879" s="792"/>
      <c r="Y879" s="792"/>
      <c r="Z879" s="792"/>
      <c r="AA879" s="792"/>
    </row>
    <row r="880" spans="1:27" ht="15.75" customHeight="1">
      <c r="A880" s="792"/>
      <c r="B880" s="792"/>
      <c r="C880" s="792"/>
      <c r="D880" s="792"/>
      <c r="E880" s="792"/>
      <c r="F880" s="792"/>
      <c r="G880" s="792"/>
      <c r="H880" s="792"/>
      <c r="I880" s="792"/>
      <c r="J880" s="792"/>
      <c r="K880" s="792"/>
      <c r="L880" s="792"/>
      <c r="M880" s="792"/>
      <c r="N880" s="792"/>
      <c r="O880" s="792"/>
      <c r="P880" s="792"/>
      <c r="Q880" s="792"/>
      <c r="R880" s="792"/>
      <c r="S880" s="792"/>
      <c r="T880" s="792"/>
      <c r="U880" s="792"/>
      <c r="V880" s="793"/>
      <c r="W880" s="792"/>
      <c r="X880" s="792"/>
      <c r="Y880" s="792"/>
      <c r="Z880" s="792"/>
      <c r="AA880" s="792"/>
    </row>
    <row r="881" spans="1:27" ht="15.75" customHeight="1">
      <c r="A881" s="792"/>
      <c r="B881" s="792"/>
      <c r="C881" s="792"/>
      <c r="D881" s="792"/>
      <c r="E881" s="792"/>
      <c r="F881" s="792"/>
      <c r="G881" s="792"/>
      <c r="H881" s="792"/>
      <c r="I881" s="792"/>
      <c r="J881" s="792"/>
      <c r="K881" s="792"/>
      <c r="L881" s="792"/>
      <c r="M881" s="792"/>
      <c r="N881" s="792"/>
      <c r="O881" s="792"/>
      <c r="P881" s="792"/>
      <c r="Q881" s="792"/>
      <c r="R881" s="792"/>
      <c r="S881" s="792"/>
      <c r="T881" s="792"/>
      <c r="U881" s="792"/>
      <c r="V881" s="793"/>
      <c r="W881" s="792"/>
      <c r="X881" s="792"/>
      <c r="Y881" s="792"/>
      <c r="Z881" s="792"/>
      <c r="AA881" s="792"/>
    </row>
    <row r="882" spans="1:27" ht="15.75" customHeight="1">
      <c r="A882" s="792"/>
      <c r="B882" s="792"/>
      <c r="C882" s="792"/>
      <c r="D882" s="792"/>
      <c r="E882" s="792"/>
      <c r="F882" s="792"/>
      <c r="G882" s="792"/>
      <c r="H882" s="792"/>
      <c r="I882" s="792"/>
      <c r="J882" s="792"/>
      <c r="K882" s="792"/>
      <c r="L882" s="792"/>
      <c r="M882" s="792"/>
      <c r="N882" s="792"/>
      <c r="O882" s="792"/>
      <c r="P882" s="792"/>
      <c r="Q882" s="792"/>
      <c r="R882" s="792"/>
      <c r="S882" s="792"/>
      <c r="T882" s="792"/>
      <c r="U882" s="792"/>
      <c r="V882" s="793"/>
      <c r="W882" s="792"/>
      <c r="X882" s="792"/>
      <c r="Y882" s="792"/>
      <c r="Z882" s="792"/>
      <c r="AA882" s="792"/>
    </row>
    <row r="883" spans="1:27" ht="15.75" customHeight="1">
      <c r="A883" s="792"/>
      <c r="B883" s="792"/>
      <c r="C883" s="792"/>
      <c r="D883" s="792"/>
      <c r="E883" s="792"/>
      <c r="F883" s="792"/>
      <c r="G883" s="792"/>
      <c r="H883" s="792"/>
      <c r="I883" s="792"/>
      <c r="J883" s="792"/>
      <c r="K883" s="792"/>
      <c r="L883" s="792"/>
      <c r="M883" s="792"/>
      <c r="N883" s="792"/>
      <c r="O883" s="792"/>
      <c r="P883" s="792"/>
      <c r="Q883" s="792"/>
      <c r="R883" s="792"/>
      <c r="S883" s="792"/>
      <c r="T883" s="792"/>
      <c r="U883" s="792"/>
      <c r="V883" s="793"/>
      <c r="W883" s="792"/>
      <c r="X883" s="792"/>
      <c r="Y883" s="792"/>
      <c r="Z883" s="792"/>
      <c r="AA883" s="792"/>
    </row>
    <row r="884" spans="1:27" ht="15.75" customHeight="1">
      <c r="A884" s="792"/>
      <c r="B884" s="792"/>
      <c r="C884" s="792"/>
      <c r="D884" s="792"/>
      <c r="E884" s="792"/>
      <c r="F884" s="792"/>
      <c r="G884" s="792"/>
      <c r="H884" s="792"/>
      <c r="I884" s="792"/>
      <c r="J884" s="792"/>
      <c r="K884" s="792"/>
      <c r="L884" s="792"/>
      <c r="M884" s="792"/>
      <c r="N884" s="792"/>
      <c r="O884" s="792"/>
      <c r="P884" s="792"/>
      <c r="Q884" s="792"/>
      <c r="R884" s="792"/>
      <c r="S884" s="792"/>
      <c r="T884" s="792"/>
      <c r="U884" s="792"/>
      <c r="V884" s="793"/>
      <c r="W884" s="792"/>
      <c r="X884" s="792"/>
      <c r="Y884" s="792"/>
      <c r="Z884" s="792"/>
      <c r="AA884" s="792"/>
    </row>
    <row r="885" spans="1:27" ht="15.75" customHeight="1">
      <c r="A885" s="792"/>
      <c r="B885" s="792"/>
      <c r="C885" s="792"/>
      <c r="D885" s="792"/>
      <c r="E885" s="792"/>
      <c r="F885" s="792"/>
      <c r="G885" s="792"/>
      <c r="H885" s="792"/>
      <c r="I885" s="792"/>
      <c r="J885" s="792"/>
      <c r="K885" s="792"/>
      <c r="L885" s="792"/>
      <c r="M885" s="792"/>
      <c r="N885" s="792"/>
      <c r="O885" s="792"/>
      <c r="P885" s="792"/>
      <c r="Q885" s="792"/>
      <c r="R885" s="792"/>
      <c r="S885" s="792"/>
      <c r="T885" s="792"/>
      <c r="U885" s="792"/>
      <c r="V885" s="793"/>
      <c r="W885" s="792"/>
      <c r="X885" s="792"/>
      <c r="Y885" s="792"/>
      <c r="Z885" s="792"/>
      <c r="AA885" s="792"/>
    </row>
    <row r="886" spans="1:27" ht="15.75" customHeight="1">
      <c r="A886" s="792"/>
      <c r="B886" s="792"/>
      <c r="C886" s="792"/>
      <c r="D886" s="792"/>
      <c r="E886" s="792"/>
      <c r="F886" s="792"/>
      <c r="G886" s="792"/>
      <c r="H886" s="792"/>
      <c r="I886" s="792"/>
      <c r="J886" s="792"/>
      <c r="K886" s="792"/>
      <c r="L886" s="792"/>
      <c r="M886" s="792"/>
      <c r="N886" s="792"/>
      <c r="O886" s="792"/>
      <c r="P886" s="792"/>
      <c r="Q886" s="792"/>
      <c r="R886" s="792"/>
      <c r="S886" s="792"/>
      <c r="T886" s="792"/>
      <c r="U886" s="792"/>
      <c r="V886" s="793"/>
      <c r="W886" s="792"/>
      <c r="X886" s="792"/>
      <c r="Y886" s="792"/>
      <c r="Z886" s="792"/>
      <c r="AA886" s="792"/>
    </row>
    <row r="887" spans="1:27" ht="15.75" customHeight="1">
      <c r="A887" s="792"/>
      <c r="B887" s="792"/>
      <c r="C887" s="792"/>
      <c r="D887" s="792"/>
      <c r="E887" s="792"/>
      <c r="F887" s="792"/>
      <c r="G887" s="792"/>
      <c r="H887" s="792"/>
      <c r="I887" s="792"/>
      <c r="J887" s="792"/>
      <c r="K887" s="792"/>
      <c r="L887" s="792"/>
      <c r="M887" s="792"/>
      <c r="N887" s="792"/>
      <c r="O887" s="792"/>
      <c r="P887" s="792"/>
      <c r="Q887" s="792"/>
      <c r="R887" s="792"/>
      <c r="S887" s="792"/>
      <c r="T887" s="792"/>
      <c r="U887" s="792"/>
      <c r="V887" s="793"/>
      <c r="W887" s="792"/>
      <c r="X887" s="792"/>
      <c r="Y887" s="792"/>
      <c r="Z887" s="792"/>
      <c r="AA887" s="792"/>
    </row>
    <row r="888" spans="1:27" ht="15.75" customHeight="1">
      <c r="A888" s="792"/>
      <c r="B888" s="792"/>
      <c r="C888" s="792"/>
      <c r="D888" s="792"/>
      <c r="E888" s="792"/>
      <c r="F888" s="792"/>
      <c r="G888" s="792"/>
      <c r="H888" s="792"/>
      <c r="I888" s="792"/>
      <c r="J888" s="792"/>
      <c r="K888" s="792"/>
      <c r="L888" s="792"/>
      <c r="M888" s="792"/>
      <c r="N888" s="792"/>
      <c r="O888" s="792"/>
      <c r="P888" s="792"/>
      <c r="Q888" s="792"/>
      <c r="R888" s="792"/>
      <c r="S888" s="792"/>
      <c r="T888" s="792"/>
      <c r="U888" s="792"/>
      <c r="V888" s="793"/>
      <c r="W888" s="792"/>
      <c r="X888" s="792"/>
      <c r="Y888" s="792"/>
      <c r="Z888" s="792"/>
      <c r="AA888" s="792"/>
    </row>
    <row r="889" spans="1:27" ht="15.75" customHeight="1">
      <c r="A889" s="792"/>
      <c r="B889" s="792"/>
      <c r="C889" s="792"/>
      <c r="D889" s="792"/>
      <c r="E889" s="792"/>
      <c r="F889" s="792"/>
      <c r="G889" s="792"/>
      <c r="H889" s="792"/>
      <c r="I889" s="792"/>
      <c r="J889" s="792"/>
      <c r="K889" s="792"/>
      <c r="L889" s="792"/>
      <c r="M889" s="792"/>
      <c r="N889" s="792"/>
      <c r="O889" s="792"/>
      <c r="P889" s="792"/>
      <c r="Q889" s="792"/>
      <c r="R889" s="792"/>
      <c r="S889" s="792"/>
      <c r="T889" s="792"/>
      <c r="U889" s="792"/>
      <c r="V889" s="793"/>
      <c r="W889" s="792"/>
      <c r="X889" s="792"/>
      <c r="Y889" s="792"/>
      <c r="Z889" s="792"/>
      <c r="AA889" s="792"/>
    </row>
    <row r="890" spans="1:27" ht="15.75" customHeight="1">
      <c r="A890" s="792"/>
      <c r="B890" s="792"/>
      <c r="C890" s="792"/>
      <c r="D890" s="792"/>
      <c r="E890" s="792"/>
      <c r="F890" s="792"/>
      <c r="G890" s="792"/>
      <c r="H890" s="792"/>
      <c r="I890" s="792"/>
      <c r="J890" s="792"/>
      <c r="K890" s="792"/>
      <c r="L890" s="792"/>
      <c r="M890" s="792"/>
      <c r="N890" s="792"/>
      <c r="O890" s="792"/>
      <c r="P890" s="792"/>
      <c r="Q890" s="792"/>
      <c r="R890" s="792"/>
      <c r="S890" s="792"/>
      <c r="T890" s="792"/>
      <c r="U890" s="792"/>
      <c r="V890" s="793"/>
      <c r="W890" s="792"/>
      <c r="X890" s="792"/>
      <c r="Y890" s="792"/>
      <c r="Z890" s="792"/>
      <c r="AA890" s="792"/>
    </row>
    <row r="891" spans="1:27" ht="15.75" customHeight="1">
      <c r="A891" s="792"/>
      <c r="B891" s="792"/>
      <c r="C891" s="792"/>
      <c r="D891" s="792"/>
      <c r="E891" s="792"/>
      <c r="F891" s="792"/>
      <c r="G891" s="792"/>
      <c r="H891" s="792"/>
      <c r="I891" s="792"/>
      <c r="J891" s="792"/>
      <c r="K891" s="792"/>
      <c r="L891" s="792"/>
      <c r="M891" s="792"/>
      <c r="N891" s="792"/>
      <c r="O891" s="792"/>
      <c r="P891" s="792"/>
      <c r="Q891" s="792"/>
      <c r="R891" s="792"/>
      <c r="S891" s="792"/>
      <c r="T891" s="792"/>
      <c r="U891" s="792"/>
      <c r="V891" s="793"/>
      <c r="W891" s="792"/>
      <c r="X891" s="792"/>
      <c r="Y891" s="792"/>
      <c r="Z891" s="792"/>
      <c r="AA891" s="792"/>
    </row>
    <row r="892" spans="1:27" ht="15.75" customHeight="1">
      <c r="A892" s="792"/>
      <c r="B892" s="792"/>
      <c r="C892" s="792"/>
      <c r="D892" s="792"/>
      <c r="E892" s="792"/>
      <c r="F892" s="792"/>
      <c r="G892" s="792"/>
      <c r="H892" s="792"/>
      <c r="I892" s="792"/>
      <c r="J892" s="792"/>
      <c r="K892" s="792"/>
      <c r="L892" s="792"/>
      <c r="M892" s="792"/>
      <c r="N892" s="792"/>
      <c r="O892" s="792"/>
      <c r="P892" s="792"/>
      <c r="Q892" s="792"/>
      <c r="R892" s="792"/>
      <c r="S892" s="792"/>
      <c r="T892" s="792"/>
      <c r="U892" s="792"/>
      <c r="V892" s="793"/>
      <c r="W892" s="792"/>
      <c r="X892" s="792"/>
      <c r="Y892" s="792"/>
      <c r="Z892" s="792"/>
      <c r="AA892" s="792"/>
    </row>
    <row r="893" spans="1:27" ht="15.75" customHeight="1">
      <c r="A893" s="792"/>
      <c r="B893" s="792"/>
      <c r="C893" s="792"/>
      <c r="D893" s="792"/>
      <c r="E893" s="792"/>
      <c r="F893" s="792"/>
      <c r="G893" s="792"/>
      <c r="H893" s="792"/>
      <c r="I893" s="792"/>
      <c r="J893" s="792"/>
      <c r="K893" s="792"/>
      <c r="L893" s="792"/>
      <c r="M893" s="792"/>
      <c r="N893" s="792"/>
      <c r="O893" s="792"/>
      <c r="P893" s="792"/>
      <c r="Q893" s="792"/>
      <c r="R893" s="792"/>
      <c r="S893" s="792"/>
      <c r="T893" s="792"/>
      <c r="U893" s="792"/>
      <c r="V893" s="793"/>
      <c r="W893" s="792"/>
      <c r="X893" s="792"/>
      <c r="Y893" s="792"/>
      <c r="Z893" s="792"/>
      <c r="AA893" s="792"/>
    </row>
    <row r="894" spans="1:27" ht="15.75" customHeight="1">
      <c r="A894" s="792"/>
      <c r="B894" s="792"/>
      <c r="C894" s="792"/>
      <c r="D894" s="792"/>
      <c r="E894" s="792"/>
      <c r="F894" s="792"/>
      <c r="G894" s="792"/>
      <c r="H894" s="792"/>
      <c r="I894" s="792"/>
      <c r="J894" s="792"/>
      <c r="K894" s="792"/>
      <c r="L894" s="792"/>
      <c r="M894" s="792"/>
      <c r="N894" s="792"/>
      <c r="O894" s="792"/>
      <c r="P894" s="792"/>
      <c r="Q894" s="792"/>
      <c r="R894" s="792"/>
      <c r="S894" s="792"/>
      <c r="T894" s="792"/>
      <c r="U894" s="792"/>
      <c r="V894" s="793"/>
      <c r="W894" s="792"/>
      <c r="X894" s="792"/>
      <c r="Y894" s="792"/>
      <c r="Z894" s="792"/>
      <c r="AA894" s="792"/>
    </row>
    <row r="895" spans="1:27" ht="15.75" customHeight="1">
      <c r="A895" s="792"/>
      <c r="B895" s="792"/>
      <c r="C895" s="792"/>
      <c r="D895" s="792"/>
      <c r="E895" s="792"/>
      <c r="F895" s="792"/>
      <c r="G895" s="792"/>
      <c r="H895" s="792"/>
      <c r="I895" s="792"/>
      <c r="J895" s="792"/>
      <c r="K895" s="792"/>
      <c r="L895" s="792"/>
      <c r="M895" s="792"/>
      <c r="N895" s="792"/>
      <c r="O895" s="792"/>
      <c r="P895" s="792"/>
      <c r="Q895" s="792"/>
      <c r="R895" s="792"/>
      <c r="S895" s="792"/>
      <c r="T895" s="792"/>
      <c r="U895" s="792"/>
      <c r="V895" s="793"/>
      <c r="W895" s="792"/>
      <c r="X895" s="792"/>
      <c r="Y895" s="792"/>
      <c r="Z895" s="792"/>
      <c r="AA895" s="792"/>
    </row>
    <row r="896" spans="1:27" ht="15.75" customHeight="1">
      <c r="A896" s="792"/>
      <c r="B896" s="792"/>
      <c r="C896" s="792"/>
      <c r="D896" s="792"/>
      <c r="E896" s="792"/>
      <c r="F896" s="792"/>
      <c r="G896" s="792"/>
      <c r="H896" s="792"/>
      <c r="I896" s="792"/>
      <c r="J896" s="792"/>
      <c r="K896" s="792"/>
      <c r="L896" s="792"/>
      <c r="M896" s="792"/>
      <c r="N896" s="792"/>
      <c r="O896" s="792"/>
      <c r="P896" s="792"/>
      <c r="Q896" s="792"/>
      <c r="R896" s="792"/>
      <c r="S896" s="792"/>
      <c r="T896" s="792"/>
      <c r="U896" s="792"/>
      <c r="V896" s="793"/>
      <c r="W896" s="792"/>
      <c r="X896" s="792"/>
      <c r="Y896" s="792"/>
      <c r="Z896" s="792"/>
      <c r="AA896" s="792"/>
    </row>
    <row r="897" spans="1:27" ht="15.75" customHeight="1">
      <c r="A897" s="792"/>
      <c r="B897" s="792"/>
      <c r="C897" s="792"/>
      <c r="D897" s="792"/>
      <c r="E897" s="792"/>
      <c r="F897" s="792"/>
      <c r="G897" s="792"/>
      <c r="H897" s="792"/>
      <c r="I897" s="792"/>
      <c r="J897" s="792"/>
      <c r="K897" s="792"/>
      <c r="L897" s="792"/>
      <c r="M897" s="792"/>
      <c r="N897" s="792"/>
      <c r="O897" s="792"/>
      <c r="P897" s="792"/>
      <c r="Q897" s="792"/>
      <c r="R897" s="792"/>
      <c r="S897" s="792"/>
      <c r="T897" s="792"/>
      <c r="U897" s="792"/>
      <c r="V897" s="793"/>
      <c r="W897" s="792"/>
      <c r="X897" s="792"/>
      <c r="Y897" s="792"/>
      <c r="Z897" s="792"/>
      <c r="AA897" s="792"/>
    </row>
    <row r="898" spans="1:27" ht="15.75" customHeight="1">
      <c r="A898" s="792"/>
      <c r="B898" s="792"/>
      <c r="C898" s="792"/>
      <c r="D898" s="792"/>
      <c r="E898" s="792"/>
      <c r="F898" s="792"/>
      <c r="G898" s="792"/>
      <c r="H898" s="792"/>
      <c r="I898" s="792"/>
      <c r="J898" s="792"/>
      <c r="K898" s="792"/>
      <c r="L898" s="792"/>
      <c r="M898" s="792"/>
      <c r="N898" s="792"/>
      <c r="O898" s="792"/>
      <c r="P898" s="792"/>
      <c r="Q898" s="792"/>
      <c r="R898" s="792"/>
      <c r="S898" s="792"/>
      <c r="T898" s="792"/>
      <c r="U898" s="792"/>
      <c r="V898" s="793"/>
      <c r="W898" s="792"/>
      <c r="X898" s="792"/>
      <c r="Y898" s="792"/>
      <c r="Z898" s="792"/>
      <c r="AA898" s="792"/>
    </row>
    <row r="899" spans="1:27" ht="15.75" customHeight="1">
      <c r="A899" s="792"/>
      <c r="B899" s="792"/>
      <c r="C899" s="792"/>
      <c r="D899" s="792"/>
      <c r="E899" s="792"/>
      <c r="F899" s="792"/>
      <c r="G899" s="792"/>
      <c r="H899" s="792"/>
      <c r="I899" s="792"/>
      <c r="J899" s="792"/>
      <c r="K899" s="792"/>
      <c r="L899" s="792"/>
      <c r="M899" s="792"/>
      <c r="N899" s="792"/>
      <c r="O899" s="792"/>
      <c r="P899" s="792"/>
      <c r="Q899" s="792"/>
      <c r="R899" s="792"/>
      <c r="S899" s="792"/>
      <c r="T899" s="792"/>
      <c r="U899" s="792"/>
      <c r="V899" s="793"/>
      <c r="W899" s="792"/>
      <c r="X899" s="792"/>
      <c r="Y899" s="792"/>
      <c r="Z899" s="792"/>
      <c r="AA899" s="792"/>
    </row>
    <row r="900" spans="1:27" ht="15.75" customHeight="1">
      <c r="A900" s="792"/>
      <c r="B900" s="792"/>
      <c r="C900" s="792"/>
      <c r="D900" s="792"/>
      <c r="E900" s="792"/>
      <c r="F900" s="792"/>
      <c r="G900" s="792"/>
      <c r="H900" s="792"/>
      <c r="I900" s="792"/>
      <c r="J900" s="792"/>
      <c r="K900" s="792"/>
      <c r="L900" s="792"/>
      <c r="M900" s="792"/>
      <c r="N900" s="792"/>
      <c r="O900" s="792"/>
      <c r="P900" s="792"/>
      <c r="Q900" s="792"/>
      <c r="R900" s="792"/>
      <c r="S900" s="792"/>
      <c r="T900" s="792"/>
      <c r="U900" s="792"/>
      <c r="V900" s="793"/>
      <c r="W900" s="792"/>
      <c r="X900" s="792"/>
      <c r="Y900" s="792"/>
      <c r="Z900" s="792"/>
      <c r="AA900" s="792"/>
    </row>
    <row r="901" spans="1:27" ht="15.75" customHeight="1">
      <c r="A901" s="792"/>
      <c r="B901" s="792"/>
      <c r="C901" s="792"/>
      <c r="D901" s="792"/>
      <c r="E901" s="792"/>
      <c r="F901" s="792"/>
      <c r="G901" s="792"/>
      <c r="H901" s="792"/>
      <c r="I901" s="792"/>
      <c r="J901" s="792"/>
      <c r="K901" s="792"/>
      <c r="L901" s="792"/>
      <c r="M901" s="792"/>
      <c r="N901" s="792"/>
      <c r="O901" s="792"/>
      <c r="P901" s="792"/>
      <c r="Q901" s="792"/>
      <c r="R901" s="792"/>
      <c r="S901" s="792"/>
      <c r="T901" s="792"/>
      <c r="U901" s="792"/>
      <c r="V901" s="793"/>
      <c r="W901" s="792"/>
      <c r="X901" s="792"/>
      <c r="Y901" s="792"/>
      <c r="Z901" s="792"/>
      <c r="AA901" s="792"/>
    </row>
    <row r="902" spans="1:27" ht="15.75" customHeight="1">
      <c r="A902" s="792"/>
      <c r="B902" s="792"/>
      <c r="C902" s="792"/>
      <c r="D902" s="792"/>
      <c r="E902" s="792"/>
      <c r="F902" s="792"/>
      <c r="G902" s="792"/>
      <c r="H902" s="792"/>
      <c r="I902" s="792"/>
      <c r="J902" s="792"/>
      <c r="K902" s="792"/>
      <c r="L902" s="792"/>
      <c r="M902" s="792"/>
      <c r="N902" s="792"/>
      <c r="O902" s="792"/>
      <c r="P902" s="792"/>
      <c r="Q902" s="792"/>
      <c r="R902" s="792"/>
      <c r="S902" s="792"/>
      <c r="T902" s="792"/>
      <c r="U902" s="792"/>
      <c r="V902" s="793"/>
      <c r="W902" s="792"/>
      <c r="X902" s="792"/>
      <c r="Y902" s="792"/>
      <c r="Z902" s="792"/>
      <c r="AA902" s="792"/>
    </row>
    <row r="903" spans="1:27" ht="15.75" customHeight="1">
      <c r="A903" s="792"/>
      <c r="B903" s="792"/>
      <c r="C903" s="792"/>
      <c r="D903" s="792"/>
      <c r="E903" s="792"/>
      <c r="F903" s="792"/>
      <c r="G903" s="792"/>
      <c r="H903" s="792"/>
      <c r="I903" s="792"/>
      <c r="J903" s="792"/>
      <c r="K903" s="792"/>
      <c r="L903" s="792"/>
      <c r="M903" s="792"/>
      <c r="N903" s="792"/>
      <c r="O903" s="792"/>
      <c r="P903" s="792"/>
      <c r="Q903" s="792"/>
      <c r="R903" s="792"/>
      <c r="S903" s="792"/>
      <c r="T903" s="792"/>
      <c r="U903" s="792"/>
      <c r="V903" s="793"/>
      <c r="W903" s="792"/>
      <c r="X903" s="792"/>
      <c r="Y903" s="792"/>
      <c r="Z903" s="792"/>
      <c r="AA903" s="792"/>
    </row>
    <row r="904" spans="1:27" ht="15.75" customHeight="1">
      <c r="A904" s="792"/>
      <c r="B904" s="792"/>
      <c r="C904" s="792"/>
      <c r="D904" s="792"/>
      <c r="E904" s="792"/>
      <c r="F904" s="792"/>
      <c r="G904" s="792"/>
      <c r="H904" s="792"/>
      <c r="I904" s="792"/>
      <c r="J904" s="792"/>
      <c r="K904" s="792"/>
      <c r="L904" s="792"/>
      <c r="M904" s="792"/>
      <c r="N904" s="792"/>
      <c r="O904" s="792"/>
      <c r="P904" s="792"/>
      <c r="Q904" s="792"/>
      <c r="R904" s="792"/>
      <c r="S904" s="792"/>
      <c r="T904" s="792"/>
      <c r="U904" s="792"/>
      <c r="V904" s="793"/>
      <c r="W904" s="792"/>
      <c r="X904" s="792"/>
      <c r="Y904" s="792"/>
      <c r="Z904" s="792"/>
      <c r="AA904" s="792"/>
    </row>
    <row r="905" spans="1:27" ht="15.75" customHeight="1">
      <c r="A905" s="792"/>
      <c r="B905" s="792"/>
      <c r="C905" s="792"/>
      <c r="D905" s="792"/>
      <c r="E905" s="792"/>
      <c r="F905" s="792"/>
      <c r="G905" s="792"/>
      <c r="H905" s="792"/>
      <c r="I905" s="792"/>
      <c r="J905" s="792"/>
      <c r="K905" s="792"/>
      <c r="L905" s="792"/>
      <c r="M905" s="792"/>
      <c r="N905" s="792"/>
      <c r="O905" s="792"/>
      <c r="P905" s="792"/>
      <c r="Q905" s="792"/>
      <c r="R905" s="792"/>
      <c r="S905" s="792"/>
      <c r="T905" s="792"/>
      <c r="U905" s="792"/>
      <c r="V905" s="793"/>
      <c r="W905" s="792"/>
      <c r="X905" s="792"/>
      <c r="Y905" s="792"/>
      <c r="Z905" s="792"/>
      <c r="AA905" s="792"/>
    </row>
    <row r="906" spans="1:27" ht="15.75" customHeight="1">
      <c r="A906" s="792"/>
      <c r="B906" s="792"/>
      <c r="C906" s="792"/>
      <c r="D906" s="792"/>
      <c r="E906" s="792"/>
      <c r="F906" s="792"/>
      <c r="G906" s="792"/>
      <c r="H906" s="792"/>
      <c r="I906" s="792"/>
      <c r="J906" s="792"/>
      <c r="K906" s="792"/>
      <c r="L906" s="792"/>
      <c r="M906" s="792"/>
      <c r="N906" s="792"/>
      <c r="O906" s="792"/>
      <c r="P906" s="792"/>
      <c r="Q906" s="792"/>
      <c r="R906" s="792"/>
      <c r="S906" s="792"/>
      <c r="T906" s="792"/>
      <c r="U906" s="792"/>
      <c r="V906" s="793"/>
      <c r="W906" s="792"/>
      <c r="X906" s="792"/>
      <c r="Y906" s="792"/>
      <c r="Z906" s="792"/>
      <c r="AA906" s="792"/>
    </row>
    <row r="907" spans="1:27" ht="15.75" customHeight="1">
      <c r="A907" s="792"/>
      <c r="B907" s="792"/>
      <c r="C907" s="792"/>
      <c r="D907" s="792"/>
      <c r="E907" s="792"/>
      <c r="F907" s="792"/>
      <c r="G907" s="792"/>
      <c r="H907" s="792"/>
      <c r="I907" s="792"/>
      <c r="J907" s="792"/>
      <c r="K907" s="792"/>
      <c r="L907" s="792"/>
      <c r="M907" s="792"/>
      <c r="N907" s="792"/>
      <c r="O907" s="792"/>
      <c r="P907" s="792"/>
      <c r="Q907" s="792"/>
      <c r="R907" s="792"/>
      <c r="S907" s="792"/>
      <c r="T907" s="792"/>
      <c r="U907" s="792"/>
      <c r="V907" s="793"/>
      <c r="W907" s="792"/>
      <c r="X907" s="792"/>
      <c r="Y907" s="792"/>
      <c r="Z907" s="792"/>
      <c r="AA907" s="792"/>
    </row>
    <row r="908" spans="1:27" ht="15.75" customHeight="1">
      <c r="A908" s="792"/>
      <c r="B908" s="792"/>
      <c r="C908" s="792"/>
      <c r="D908" s="792"/>
      <c r="E908" s="792"/>
      <c r="F908" s="792"/>
      <c r="G908" s="792"/>
      <c r="H908" s="792"/>
      <c r="I908" s="792"/>
      <c r="J908" s="792"/>
      <c r="K908" s="792"/>
      <c r="L908" s="792"/>
      <c r="M908" s="792"/>
      <c r="N908" s="792"/>
      <c r="O908" s="792"/>
      <c r="P908" s="792"/>
      <c r="Q908" s="792"/>
      <c r="R908" s="792"/>
      <c r="S908" s="792"/>
      <c r="T908" s="792"/>
      <c r="U908" s="792"/>
      <c r="V908" s="793"/>
      <c r="W908" s="792"/>
      <c r="X908" s="792"/>
      <c r="Y908" s="792"/>
      <c r="Z908" s="792"/>
      <c r="AA908" s="792"/>
    </row>
    <row r="909" spans="1:27" ht="15.75" customHeight="1">
      <c r="A909" s="792"/>
      <c r="B909" s="792"/>
      <c r="C909" s="792"/>
      <c r="D909" s="792"/>
      <c r="E909" s="792"/>
      <c r="F909" s="792"/>
      <c r="G909" s="792"/>
      <c r="H909" s="792"/>
      <c r="I909" s="792"/>
      <c r="J909" s="792"/>
      <c r="K909" s="792"/>
      <c r="L909" s="792"/>
      <c r="M909" s="792"/>
      <c r="N909" s="792"/>
      <c r="O909" s="792"/>
      <c r="P909" s="792"/>
      <c r="Q909" s="792"/>
      <c r="R909" s="792"/>
      <c r="S909" s="792"/>
      <c r="T909" s="792"/>
      <c r="U909" s="792"/>
      <c r="V909" s="793"/>
      <c r="W909" s="792"/>
      <c r="X909" s="792"/>
      <c r="Y909" s="792"/>
      <c r="Z909" s="792"/>
      <c r="AA909" s="792"/>
    </row>
    <row r="910" spans="1:27" ht="15.75" customHeight="1">
      <c r="A910" s="792"/>
      <c r="B910" s="792"/>
      <c r="C910" s="792"/>
      <c r="D910" s="792"/>
      <c r="E910" s="792"/>
      <c r="F910" s="792"/>
      <c r="G910" s="792"/>
      <c r="H910" s="792"/>
      <c r="I910" s="792"/>
      <c r="J910" s="792"/>
      <c r="K910" s="792"/>
      <c r="L910" s="792"/>
      <c r="M910" s="792"/>
      <c r="N910" s="792"/>
      <c r="O910" s="792"/>
      <c r="P910" s="792"/>
      <c r="Q910" s="792"/>
      <c r="R910" s="792"/>
      <c r="S910" s="792"/>
      <c r="T910" s="792"/>
      <c r="U910" s="792"/>
      <c r="V910" s="793"/>
      <c r="W910" s="792"/>
      <c r="X910" s="792"/>
      <c r="Y910" s="792"/>
      <c r="Z910" s="792"/>
      <c r="AA910" s="792"/>
    </row>
    <row r="911" spans="1:27" ht="15.75" customHeight="1">
      <c r="A911" s="792"/>
      <c r="B911" s="792"/>
      <c r="C911" s="792"/>
      <c r="D911" s="792"/>
      <c r="E911" s="792"/>
      <c r="F911" s="792"/>
      <c r="G911" s="792"/>
      <c r="H911" s="792"/>
      <c r="I911" s="792"/>
      <c r="J911" s="792"/>
      <c r="K911" s="792"/>
      <c r="L911" s="792"/>
      <c r="M911" s="792"/>
      <c r="N911" s="792"/>
      <c r="O911" s="792"/>
      <c r="P911" s="792"/>
      <c r="Q911" s="792"/>
      <c r="R911" s="792"/>
      <c r="S911" s="792"/>
      <c r="T911" s="792"/>
      <c r="U911" s="792"/>
      <c r="V911" s="793"/>
      <c r="W911" s="792"/>
      <c r="X911" s="792"/>
      <c r="Y911" s="792"/>
      <c r="Z911" s="792"/>
      <c r="AA911" s="792"/>
    </row>
    <row r="912" spans="1:27" ht="15.75" customHeight="1">
      <c r="A912" s="792"/>
      <c r="B912" s="792"/>
      <c r="C912" s="792"/>
      <c r="D912" s="792"/>
      <c r="E912" s="792"/>
      <c r="F912" s="792"/>
      <c r="G912" s="792"/>
      <c r="H912" s="792"/>
      <c r="I912" s="792"/>
      <c r="J912" s="792"/>
      <c r="K912" s="792"/>
      <c r="L912" s="792"/>
      <c r="M912" s="792"/>
      <c r="N912" s="792"/>
      <c r="O912" s="792"/>
      <c r="P912" s="792"/>
      <c r="Q912" s="792"/>
      <c r="R912" s="792"/>
      <c r="S912" s="792"/>
      <c r="T912" s="792"/>
      <c r="U912" s="792"/>
      <c r="V912" s="793"/>
      <c r="W912" s="792"/>
      <c r="X912" s="792"/>
      <c r="Y912" s="792"/>
      <c r="Z912" s="792"/>
      <c r="AA912" s="792"/>
    </row>
    <row r="913" spans="1:27" ht="15.75" customHeight="1">
      <c r="A913" s="792"/>
      <c r="B913" s="792"/>
      <c r="C913" s="792"/>
      <c r="D913" s="792"/>
      <c r="E913" s="792"/>
      <c r="F913" s="792"/>
      <c r="G913" s="792"/>
      <c r="H913" s="792"/>
      <c r="I913" s="792"/>
      <c r="J913" s="792"/>
      <c r="K913" s="792"/>
      <c r="L913" s="792"/>
      <c r="M913" s="792"/>
      <c r="N913" s="792"/>
      <c r="O913" s="792"/>
      <c r="P913" s="792"/>
      <c r="Q913" s="792"/>
      <c r="R913" s="792"/>
      <c r="S913" s="792"/>
      <c r="T913" s="792"/>
      <c r="U913" s="792"/>
      <c r="V913" s="793"/>
      <c r="W913" s="792"/>
      <c r="X913" s="792"/>
      <c r="Y913" s="792"/>
      <c r="Z913" s="792"/>
      <c r="AA913" s="792"/>
    </row>
    <row r="914" spans="1:27" ht="15.75" customHeight="1">
      <c r="A914" s="792"/>
      <c r="B914" s="792"/>
      <c r="C914" s="792"/>
      <c r="D914" s="792"/>
      <c r="E914" s="792"/>
      <c r="F914" s="792"/>
      <c r="G914" s="792"/>
      <c r="H914" s="792"/>
      <c r="I914" s="792"/>
      <c r="J914" s="792"/>
      <c r="K914" s="792"/>
      <c r="L914" s="792"/>
      <c r="M914" s="792"/>
      <c r="N914" s="792"/>
      <c r="O914" s="792"/>
      <c r="P914" s="792"/>
      <c r="Q914" s="792"/>
      <c r="R914" s="792"/>
      <c r="S914" s="792"/>
      <c r="T914" s="792"/>
      <c r="U914" s="792"/>
      <c r="V914" s="793"/>
      <c r="W914" s="792"/>
      <c r="X914" s="792"/>
      <c r="Y914" s="792"/>
      <c r="Z914" s="792"/>
      <c r="AA914" s="792"/>
    </row>
    <row r="915" spans="1:27" ht="15.75" customHeight="1">
      <c r="A915" s="792"/>
      <c r="B915" s="792"/>
      <c r="C915" s="792"/>
      <c r="D915" s="792"/>
      <c r="E915" s="792"/>
      <c r="F915" s="792"/>
      <c r="G915" s="792"/>
      <c r="H915" s="792"/>
      <c r="I915" s="792"/>
      <c r="J915" s="792"/>
      <c r="K915" s="792"/>
      <c r="L915" s="792"/>
      <c r="M915" s="792"/>
      <c r="N915" s="792"/>
      <c r="O915" s="792"/>
      <c r="P915" s="792"/>
      <c r="Q915" s="792"/>
      <c r="R915" s="792"/>
      <c r="S915" s="792"/>
      <c r="T915" s="792"/>
      <c r="U915" s="792"/>
      <c r="V915" s="793"/>
      <c r="W915" s="792"/>
      <c r="X915" s="792"/>
      <c r="Y915" s="792"/>
      <c r="Z915" s="792"/>
      <c r="AA915" s="792"/>
    </row>
    <row r="916" spans="1:27" ht="15.75" customHeight="1">
      <c r="A916" s="792"/>
      <c r="B916" s="792"/>
      <c r="C916" s="792"/>
      <c r="D916" s="792"/>
      <c r="E916" s="792"/>
      <c r="F916" s="792"/>
      <c r="G916" s="792"/>
      <c r="H916" s="792"/>
      <c r="I916" s="792"/>
      <c r="J916" s="792"/>
      <c r="K916" s="792"/>
      <c r="L916" s="792"/>
      <c r="M916" s="792"/>
      <c r="N916" s="792"/>
      <c r="O916" s="792"/>
      <c r="P916" s="792"/>
      <c r="Q916" s="792"/>
      <c r="R916" s="792"/>
      <c r="S916" s="792"/>
      <c r="T916" s="792"/>
      <c r="U916" s="792"/>
      <c r="V916" s="793"/>
      <c r="W916" s="792"/>
      <c r="X916" s="792"/>
      <c r="Y916" s="792"/>
      <c r="Z916" s="792"/>
      <c r="AA916" s="792"/>
    </row>
    <row r="917" spans="1:27" ht="15.75" customHeight="1">
      <c r="A917" s="792"/>
      <c r="B917" s="792"/>
      <c r="C917" s="792"/>
      <c r="D917" s="792"/>
      <c r="E917" s="792"/>
      <c r="F917" s="792"/>
      <c r="G917" s="792"/>
      <c r="H917" s="792"/>
      <c r="I917" s="792"/>
      <c r="J917" s="792"/>
      <c r="K917" s="792"/>
      <c r="L917" s="792"/>
      <c r="M917" s="792"/>
      <c r="N917" s="792"/>
      <c r="O917" s="792"/>
      <c r="P917" s="792"/>
      <c r="Q917" s="792"/>
      <c r="R917" s="792"/>
      <c r="S917" s="792"/>
      <c r="T917" s="792"/>
      <c r="U917" s="792"/>
      <c r="V917" s="793"/>
      <c r="W917" s="792"/>
      <c r="X917" s="792"/>
      <c r="Y917" s="792"/>
      <c r="Z917" s="792"/>
      <c r="AA917" s="792"/>
    </row>
    <row r="918" spans="1:27" ht="15.75" customHeight="1">
      <c r="A918" s="792"/>
      <c r="B918" s="792"/>
      <c r="C918" s="792"/>
      <c r="D918" s="792"/>
      <c r="E918" s="792"/>
      <c r="F918" s="792"/>
      <c r="G918" s="792"/>
      <c r="H918" s="792"/>
      <c r="I918" s="792"/>
      <c r="J918" s="792"/>
      <c r="K918" s="792"/>
      <c r="L918" s="792"/>
      <c r="M918" s="792"/>
      <c r="N918" s="792"/>
      <c r="O918" s="792"/>
      <c r="P918" s="792"/>
      <c r="Q918" s="792"/>
      <c r="R918" s="792"/>
      <c r="S918" s="792"/>
      <c r="T918" s="792"/>
      <c r="U918" s="792"/>
      <c r="V918" s="793"/>
      <c r="W918" s="792"/>
      <c r="X918" s="792"/>
      <c r="Y918" s="792"/>
      <c r="Z918" s="792"/>
      <c r="AA918" s="792"/>
    </row>
    <row r="919" spans="1:27" ht="15.75" customHeight="1">
      <c r="A919" s="792"/>
      <c r="B919" s="792"/>
      <c r="C919" s="792"/>
      <c r="D919" s="792"/>
      <c r="E919" s="792"/>
      <c r="F919" s="792"/>
      <c r="G919" s="792"/>
      <c r="H919" s="792"/>
      <c r="I919" s="792"/>
      <c r="J919" s="792"/>
      <c r="K919" s="792"/>
      <c r="L919" s="792"/>
      <c r="M919" s="792"/>
      <c r="N919" s="792"/>
      <c r="O919" s="792"/>
      <c r="P919" s="792"/>
      <c r="Q919" s="792"/>
      <c r="R919" s="792"/>
      <c r="S919" s="792"/>
      <c r="T919" s="792"/>
      <c r="U919" s="792"/>
      <c r="V919" s="793"/>
      <c r="W919" s="792"/>
      <c r="X919" s="792"/>
      <c r="Y919" s="792"/>
      <c r="Z919" s="792"/>
      <c r="AA919" s="792"/>
    </row>
    <row r="920" spans="1:27" ht="15.75" customHeight="1">
      <c r="A920" s="792"/>
      <c r="B920" s="792"/>
      <c r="C920" s="792"/>
      <c r="D920" s="792"/>
      <c r="E920" s="792"/>
      <c r="F920" s="792"/>
      <c r="G920" s="792"/>
      <c r="H920" s="792"/>
      <c r="I920" s="792"/>
      <c r="J920" s="792"/>
      <c r="K920" s="792"/>
      <c r="L920" s="792"/>
      <c r="M920" s="792"/>
      <c r="N920" s="792"/>
      <c r="O920" s="792"/>
      <c r="P920" s="792"/>
      <c r="Q920" s="792"/>
      <c r="R920" s="792"/>
      <c r="S920" s="792"/>
      <c r="T920" s="792"/>
      <c r="U920" s="792"/>
      <c r="V920" s="793"/>
      <c r="W920" s="792"/>
      <c r="X920" s="792"/>
      <c r="Y920" s="792"/>
      <c r="Z920" s="792"/>
      <c r="AA920" s="792"/>
    </row>
    <row r="921" spans="1:27" ht="15.75" customHeight="1">
      <c r="A921" s="792"/>
      <c r="B921" s="792"/>
      <c r="C921" s="792"/>
      <c r="D921" s="792"/>
      <c r="E921" s="792"/>
      <c r="F921" s="792"/>
      <c r="G921" s="792"/>
      <c r="H921" s="792"/>
      <c r="I921" s="792"/>
      <c r="J921" s="792"/>
      <c r="K921" s="792"/>
      <c r="L921" s="792"/>
      <c r="M921" s="792"/>
      <c r="N921" s="792"/>
      <c r="O921" s="792"/>
      <c r="P921" s="792"/>
      <c r="Q921" s="792"/>
      <c r="R921" s="792"/>
      <c r="S921" s="792"/>
      <c r="T921" s="792"/>
      <c r="U921" s="792"/>
      <c r="V921" s="793"/>
      <c r="W921" s="792"/>
      <c r="X921" s="792"/>
      <c r="Y921" s="792"/>
      <c r="Z921" s="792"/>
      <c r="AA921" s="792"/>
    </row>
    <row r="922" spans="1:27" ht="15.75" customHeight="1">
      <c r="A922" s="792"/>
      <c r="B922" s="792"/>
      <c r="C922" s="792"/>
      <c r="D922" s="792"/>
      <c r="E922" s="792"/>
      <c r="F922" s="792"/>
      <c r="G922" s="792"/>
      <c r="H922" s="792"/>
      <c r="I922" s="792"/>
      <c r="J922" s="792"/>
      <c r="K922" s="792"/>
      <c r="L922" s="792"/>
      <c r="M922" s="792"/>
      <c r="N922" s="792"/>
      <c r="O922" s="792"/>
      <c r="P922" s="792"/>
      <c r="Q922" s="792"/>
      <c r="R922" s="792"/>
      <c r="S922" s="792"/>
      <c r="T922" s="792"/>
      <c r="U922" s="792"/>
      <c r="V922" s="793"/>
      <c r="W922" s="792"/>
      <c r="X922" s="792"/>
      <c r="Y922" s="792"/>
      <c r="Z922" s="792"/>
      <c r="AA922" s="792"/>
    </row>
    <row r="923" spans="1:27" ht="15.75" customHeight="1">
      <c r="A923" s="792"/>
      <c r="B923" s="792"/>
      <c r="C923" s="792"/>
      <c r="D923" s="792"/>
      <c r="E923" s="792"/>
      <c r="F923" s="792"/>
      <c r="G923" s="792"/>
      <c r="H923" s="792"/>
      <c r="I923" s="792"/>
      <c r="J923" s="792"/>
      <c r="K923" s="792"/>
      <c r="L923" s="792"/>
      <c r="M923" s="792"/>
      <c r="N923" s="792"/>
      <c r="O923" s="792"/>
      <c r="P923" s="792"/>
      <c r="Q923" s="792"/>
      <c r="R923" s="792"/>
      <c r="S923" s="792"/>
      <c r="T923" s="792"/>
      <c r="U923" s="792"/>
      <c r="V923" s="793"/>
      <c r="W923" s="792"/>
      <c r="X923" s="792"/>
      <c r="Y923" s="792"/>
      <c r="Z923" s="792"/>
      <c r="AA923" s="792"/>
    </row>
    <row r="924" spans="1:27" ht="15.75" customHeight="1">
      <c r="A924" s="792"/>
      <c r="B924" s="792"/>
      <c r="C924" s="792"/>
      <c r="D924" s="792"/>
      <c r="E924" s="792"/>
      <c r="F924" s="792"/>
      <c r="G924" s="792"/>
      <c r="H924" s="792"/>
      <c r="I924" s="792"/>
      <c r="J924" s="792"/>
      <c r="K924" s="792"/>
      <c r="L924" s="792"/>
      <c r="M924" s="792"/>
      <c r="N924" s="792"/>
      <c r="O924" s="792"/>
      <c r="P924" s="792"/>
      <c r="Q924" s="792"/>
      <c r="R924" s="792"/>
      <c r="S924" s="792"/>
      <c r="T924" s="792"/>
      <c r="U924" s="792"/>
      <c r="V924" s="793"/>
      <c r="W924" s="792"/>
      <c r="X924" s="792"/>
      <c r="Y924" s="792"/>
      <c r="Z924" s="792"/>
      <c r="AA924" s="792"/>
    </row>
    <row r="925" spans="1:27" ht="15.75" customHeight="1">
      <c r="A925" s="792"/>
      <c r="B925" s="792"/>
      <c r="C925" s="792"/>
      <c r="D925" s="792"/>
      <c r="E925" s="792"/>
      <c r="F925" s="792"/>
      <c r="G925" s="792"/>
      <c r="H925" s="792"/>
      <c r="I925" s="792"/>
      <c r="J925" s="792"/>
      <c r="K925" s="792"/>
      <c r="L925" s="792"/>
      <c r="M925" s="792"/>
      <c r="N925" s="792"/>
      <c r="O925" s="792"/>
      <c r="P925" s="792"/>
      <c r="Q925" s="792"/>
      <c r="R925" s="792"/>
      <c r="S925" s="792"/>
      <c r="T925" s="792"/>
      <c r="U925" s="792"/>
      <c r="V925" s="793"/>
      <c r="W925" s="792"/>
      <c r="X925" s="792"/>
      <c r="Y925" s="792"/>
      <c r="Z925" s="792"/>
      <c r="AA925" s="792"/>
    </row>
    <row r="926" spans="1:27" ht="15.75" customHeight="1">
      <c r="A926" s="792"/>
      <c r="B926" s="792"/>
      <c r="C926" s="792"/>
      <c r="D926" s="792"/>
      <c r="E926" s="792"/>
      <c r="F926" s="792"/>
      <c r="G926" s="792"/>
      <c r="H926" s="792"/>
      <c r="I926" s="792"/>
      <c r="J926" s="792"/>
      <c r="K926" s="792"/>
      <c r="L926" s="792"/>
      <c r="M926" s="792"/>
      <c r="N926" s="792"/>
      <c r="O926" s="792"/>
      <c r="P926" s="792"/>
      <c r="Q926" s="792"/>
      <c r="R926" s="792"/>
      <c r="S926" s="792"/>
      <c r="T926" s="792"/>
      <c r="U926" s="792"/>
      <c r="V926" s="793"/>
      <c r="W926" s="792"/>
      <c r="X926" s="792"/>
      <c r="Y926" s="792"/>
      <c r="Z926" s="792"/>
      <c r="AA926" s="792"/>
    </row>
    <row r="927" spans="1:27" ht="15.75" customHeight="1">
      <c r="A927" s="792"/>
      <c r="B927" s="792"/>
      <c r="C927" s="792"/>
      <c r="D927" s="792"/>
      <c r="E927" s="792"/>
      <c r="F927" s="792"/>
      <c r="G927" s="792"/>
      <c r="H927" s="792"/>
      <c r="I927" s="792"/>
      <c r="J927" s="792"/>
      <c r="K927" s="792"/>
      <c r="L927" s="792"/>
      <c r="M927" s="792"/>
      <c r="N927" s="792"/>
      <c r="O927" s="792"/>
      <c r="P927" s="792"/>
      <c r="Q927" s="792"/>
      <c r="R927" s="792"/>
      <c r="S927" s="792"/>
      <c r="T927" s="792"/>
      <c r="U927" s="792"/>
      <c r="V927" s="793"/>
      <c r="W927" s="792"/>
      <c r="X927" s="792"/>
      <c r="Y927" s="792"/>
      <c r="Z927" s="792"/>
      <c r="AA927" s="792"/>
    </row>
    <row r="928" spans="1:27" ht="15.75" customHeight="1">
      <c r="A928" s="792"/>
      <c r="B928" s="792"/>
      <c r="C928" s="792"/>
      <c r="D928" s="792"/>
      <c r="E928" s="792"/>
      <c r="F928" s="792"/>
      <c r="G928" s="792"/>
      <c r="H928" s="792"/>
      <c r="I928" s="792"/>
      <c r="J928" s="792"/>
      <c r="K928" s="792"/>
      <c r="L928" s="792"/>
      <c r="M928" s="792"/>
      <c r="N928" s="792"/>
      <c r="O928" s="792"/>
      <c r="P928" s="792"/>
      <c r="Q928" s="792"/>
      <c r="R928" s="792"/>
      <c r="S928" s="792"/>
      <c r="T928" s="792"/>
      <c r="U928" s="792"/>
      <c r="V928" s="793"/>
      <c r="W928" s="792"/>
      <c r="X928" s="792"/>
      <c r="Y928" s="792"/>
      <c r="Z928" s="792"/>
      <c r="AA928" s="792"/>
    </row>
    <row r="929" spans="1:27" ht="15.75" customHeight="1">
      <c r="A929" s="792"/>
      <c r="B929" s="792"/>
      <c r="C929" s="792"/>
      <c r="D929" s="792"/>
      <c r="E929" s="792"/>
      <c r="F929" s="792"/>
      <c r="G929" s="792"/>
      <c r="H929" s="792"/>
      <c r="I929" s="792"/>
      <c r="J929" s="792"/>
      <c r="K929" s="792"/>
      <c r="L929" s="792"/>
      <c r="M929" s="792"/>
      <c r="N929" s="792"/>
      <c r="O929" s="792"/>
      <c r="P929" s="792"/>
      <c r="Q929" s="792"/>
      <c r="R929" s="792"/>
      <c r="S929" s="792"/>
      <c r="T929" s="792"/>
      <c r="U929" s="792"/>
      <c r="V929" s="793"/>
      <c r="W929" s="792"/>
      <c r="X929" s="792"/>
      <c r="Y929" s="792"/>
      <c r="Z929" s="792"/>
      <c r="AA929" s="792"/>
    </row>
    <row r="930" spans="1:27" ht="15.75" customHeight="1">
      <c r="A930" s="792"/>
      <c r="B930" s="792"/>
      <c r="C930" s="792"/>
      <c r="D930" s="792"/>
      <c r="E930" s="792"/>
      <c r="F930" s="792"/>
      <c r="G930" s="792"/>
      <c r="H930" s="792"/>
      <c r="I930" s="792"/>
      <c r="J930" s="792"/>
      <c r="K930" s="792"/>
      <c r="L930" s="792"/>
      <c r="M930" s="792"/>
      <c r="N930" s="792"/>
      <c r="O930" s="792"/>
      <c r="P930" s="792"/>
      <c r="Q930" s="792"/>
      <c r="R930" s="792"/>
      <c r="S930" s="792"/>
      <c r="T930" s="792"/>
      <c r="U930" s="792"/>
      <c r="V930" s="793"/>
      <c r="W930" s="792"/>
      <c r="X930" s="792"/>
      <c r="Y930" s="792"/>
      <c r="Z930" s="792"/>
      <c r="AA930" s="792"/>
    </row>
    <row r="931" spans="1:27" ht="15.75" customHeight="1">
      <c r="A931" s="792"/>
      <c r="B931" s="792"/>
      <c r="C931" s="792"/>
      <c r="D931" s="792"/>
      <c r="E931" s="792"/>
      <c r="F931" s="792"/>
      <c r="G931" s="792"/>
      <c r="H931" s="792"/>
      <c r="I931" s="792"/>
      <c r="J931" s="792"/>
      <c r="K931" s="792"/>
      <c r="L931" s="792"/>
      <c r="M931" s="792"/>
      <c r="N931" s="792"/>
      <c r="O931" s="792"/>
      <c r="P931" s="792"/>
      <c r="Q931" s="792"/>
      <c r="R931" s="792"/>
      <c r="S931" s="792"/>
      <c r="T931" s="792"/>
      <c r="U931" s="792"/>
      <c r="V931" s="793"/>
      <c r="W931" s="792"/>
      <c r="X931" s="792"/>
      <c r="Y931" s="792"/>
      <c r="Z931" s="792"/>
      <c r="AA931" s="792"/>
    </row>
    <row r="932" spans="1:27" ht="15.75" customHeight="1">
      <c r="A932" s="792"/>
      <c r="B932" s="792"/>
      <c r="C932" s="792"/>
      <c r="D932" s="792"/>
      <c r="E932" s="792"/>
      <c r="F932" s="792"/>
      <c r="G932" s="792"/>
      <c r="H932" s="792"/>
      <c r="I932" s="792"/>
      <c r="J932" s="792"/>
      <c r="K932" s="792"/>
      <c r="L932" s="792"/>
      <c r="M932" s="792"/>
      <c r="N932" s="792"/>
      <c r="O932" s="792"/>
      <c r="P932" s="792"/>
      <c r="Q932" s="792"/>
      <c r="R932" s="792"/>
      <c r="S932" s="792"/>
      <c r="T932" s="792"/>
      <c r="U932" s="792"/>
      <c r="V932" s="793"/>
      <c r="W932" s="792"/>
      <c r="X932" s="792"/>
      <c r="Y932" s="792"/>
      <c r="Z932" s="792"/>
      <c r="AA932" s="792"/>
    </row>
    <row r="933" spans="1:27" ht="15.75" customHeight="1">
      <c r="A933" s="792"/>
      <c r="B933" s="792"/>
      <c r="C933" s="792"/>
      <c r="D933" s="792"/>
      <c r="E933" s="792"/>
      <c r="F933" s="792"/>
      <c r="G933" s="792"/>
      <c r="H933" s="792"/>
      <c r="I933" s="792"/>
      <c r="J933" s="792"/>
      <c r="K933" s="792"/>
      <c r="L933" s="792"/>
      <c r="M933" s="792"/>
      <c r="N933" s="792"/>
      <c r="O933" s="792"/>
      <c r="P933" s="792"/>
      <c r="Q933" s="792"/>
      <c r="R933" s="792"/>
      <c r="S933" s="792"/>
      <c r="T933" s="792"/>
      <c r="U933" s="792"/>
      <c r="V933" s="793"/>
      <c r="W933" s="792"/>
      <c r="X933" s="792"/>
      <c r="Y933" s="792"/>
      <c r="Z933" s="792"/>
      <c r="AA933" s="792"/>
    </row>
    <row r="934" spans="1:27" ht="15.75" customHeight="1">
      <c r="A934" s="792"/>
      <c r="B934" s="792"/>
      <c r="C934" s="792"/>
      <c r="D934" s="792"/>
      <c r="E934" s="792"/>
      <c r="F934" s="792"/>
      <c r="G934" s="792"/>
      <c r="H934" s="792"/>
      <c r="I934" s="792"/>
      <c r="J934" s="792"/>
      <c r="K934" s="792"/>
      <c r="L934" s="792"/>
      <c r="M934" s="792"/>
      <c r="N934" s="792"/>
      <c r="O934" s="792"/>
      <c r="P934" s="792"/>
      <c r="Q934" s="792"/>
      <c r="R934" s="792"/>
      <c r="S934" s="792"/>
      <c r="T934" s="792"/>
      <c r="U934" s="792"/>
      <c r="V934" s="793"/>
      <c r="W934" s="792"/>
      <c r="X934" s="792"/>
      <c r="Y934" s="792"/>
      <c r="Z934" s="792"/>
      <c r="AA934" s="792"/>
    </row>
    <row r="935" spans="1:27" ht="15.75" customHeight="1">
      <c r="A935" s="792"/>
      <c r="B935" s="792"/>
      <c r="C935" s="792"/>
      <c r="D935" s="792"/>
      <c r="E935" s="792"/>
      <c r="F935" s="792"/>
      <c r="G935" s="792"/>
      <c r="H935" s="792"/>
      <c r="I935" s="792"/>
      <c r="J935" s="792"/>
      <c r="K935" s="792"/>
      <c r="L935" s="792"/>
      <c r="M935" s="792"/>
      <c r="N935" s="792"/>
      <c r="O935" s="792"/>
      <c r="P935" s="792"/>
      <c r="Q935" s="792"/>
      <c r="R935" s="792"/>
      <c r="S935" s="792"/>
      <c r="T935" s="792"/>
      <c r="U935" s="792"/>
      <c r="V935" s="793"/>
      <c r="W935" s="792"/>
      <c r="X935" s="792"/>
      <c r="Y935" s="792"/>
      <c r="Z935" s="792"/>
      <c r="AA935" s="792"/>
    </row>
    <row r="936" spans="1:27" ht="15.75" customHeight="1">
      <c r="A936" s="792"/>
      <c r="B936" s="792"/>
      <c r="C936" s="792"/>
      <c r="D936" s="792"/>
      <c r="E936" s="792"/>
      <c r="F936" s="792"/>
      <c r="G936" s="792"/>
      <c r="H936" s="792"/>
      <c r="I936" s="792"/>
      <c r="J936" s="792"/>
      <c r="K936" s="792"/>
      <c r="L936" s="792"/>
      <c r="M936" s="792"/>
      <c r="N936" s="792"/>
      <c r="O936" s="792"/>
      <c r="P936" s="792"/>
      <c r="Q936" s="792"/>
      <c r="R936" s="792"/>
      <c r="S936" s="792"/>
      <c r="T936" s="792"/>
      <c r="U936" s="792"/>
      <c r="V936" s="793"/>
      <c r="W936" s="792"/>
      <c r="X936" s="792"/>
      <c r="Y936" s="792"/>
      <c r="Z936" s="792"/>
      <c r="AA936" s="792"/>
    </row>
    <row r="937" spans="1:27" ht="15.75" customHeight="1">
      <c r="A937" s="792"/>
      <c r="B937" s="792"/>
      <c r="C937" s="792"/>
      <c r="D937" s="792"/>
      <c r="E937" s="792"/>
      <c r="F937" s="792"/>
      <c r="G937" s="792"/>
      <c r="H937" s="792"/>
      <c r="I937" s="792"/>
      <c r="J937" s="792"/>
      <c r="K937" s="792"/>
      <c r="L937" s="792"/>
      <c r="M937" s="792"/>
      <c r="N937" s="792"/>
      <c r="O937" s="792"/>
      <c r="P937" s="792"/>
      <c r="Q937" s="792"/>
      <c r="R937" s="792"/>
      <c r="S937" s="792"/>
      <c r="T937" s="792"/>
      <c r="U937" s="792"/>
      <c r="V937" s="793"/>
      <c r="W937" s="792"/>
      <c r="X937" s="792"/>
      <c r="Y937" s="792"/>
      <c r="Z937" s="792"/>
      <c r="AA937" s="792"/>
    </row>
    <row r="938" spans="1:27" ht="15.75" customHeight="1">
      <c r="A938" s="792"/>
      <c r="B938" s="792"/>
      <c r="C938" s="792"/>
      <c r="D938" s="792"/>
      <c r="E938" s="792"/>
      <c r="F938" s="792"/>
      <c r="G938" s="792"/>
      <c r="H938" s="792"/>
      <c r="I938" s="792"/>
      <c r="J938" s="792"/>
      <c r="K938" s="792"/>
      <c r="L938" s="792"/>
      <c r="M938" s="792"/>
      <c r="N938" s="792"/>
      <c r="O938" s="792"/>
      <c r="P938" s="792"/>
      <c r="Q938" s="792"/>
      <c r="R938" s="792"/>
      <c r="S938" s="792"/>
      <c r="T938" s="792"/>
      <c r="U938" s="792"/>
      <c r="V938" s="793"/>
      <c r="W938" s="792"/>
      <c r="X938" s="792"/>
      <c r="Y938" s="792"/>
      <c r="Z938" s="792"/>
      <c r="AA938" s="792"/>
    </row>
    <row r="939" spans="1:27" ht="15.75" customHeight="1">
      <c r="A939" s="792"/>
      <c r="B939" s="792"/>
      <c r="C939" s="792"/>
      <c r="D939" s="792"/>
      <c r="E939" s="792"/>
      <c r="F939" s="792"/>
      <c r="G939" s="792"/>
      <c r="H939" s="792"/>
      <c r="I939" s="792"/>
      <c r="J939" s="792"/>
      <c r="K939" s="792"/>
      <c r="L939" s="792"/>
      <c r="M939" s="792"/>
      <c r="N939" s="792"/>
      <c r="O939" s="792"/>
      <c r="P939" s="792"/>
      <c r="Q939" s="792"/>
      <c r="R939" s="792"/>
      <c r="S939" s="792"/>
      <c r="T939" s="792"/>
      <c r="U939" s="792"/>
      <c r="V939" s="793"/>
      <c r="W939" s="792"/>
      <c r="X939" s="792"/>
      <c r="Y939" s="792"/>
      <c r="Z939" s="792"/>
      <c r="AA939" s="792"/>
    </row>
    <row r="940" spans="1:27" ht="15.75" customHeight="1">
      <c r="A940" s="792"/>
      <c r="B940" s="792"/>
      <c r="C940" s="792"/>
      <c r="D940" s="792"/>
      <c r="E940" s="792"/>
      <c r="F940" s="792"/>
      <c r="G940" s="792"/>
      <c r="H940" s="792"/>
      <c r="I940" s="792"/>
      <c r="J940" s="792"/>
      <c r="K940" s="792"/>
      <c r="L940" s="792"/>
      <c r="M940" s="792"/>
      <c r="N940" s="792"/>
      <c r="O940" s="792"/>
      <c r="P940" s="792"/>
      <c r="Q940" s="792"/>
      <c r="R940" s="792"/>
      <c r="S940" s="792"/>
      <c r="T940" s="792"/>
      <c r="U940" s="792"/>
      <c r="V940" s="793"/>
      <c r="W940" s="792"/>
      <c r="X940" s="792"/>
      <c r="Y940" s="792"/>
      <c r="Z940" s="792"/>
      <c r="AA940" s="792"/>
    </row>
    <row r="941" spans="1:27" ht="15.75" customHeight="1">
      <c r="A941" s="792"/>
      <c r="B941" s="792"/>
      <c r="C941" s="792"/>
      <c r="D941" s="792"/>
      <c r="E941" s="792"/>
      <c r="F941" s="792"/>
      <c r="G941" s="792"/>
      <c r="H941" s="792"/>
      <c r="I941" s="792"/>
      <c r="J941" s="792"/>
      <c r="K941" s="792"/>
      <c r="L941" s="792"/>
      <c r="M941" s="792"/>
      <c r="N941" s="792"/>
      <c r="O941" s="792"/>
      <c r="P941" s="792"/>
      <c r="Q941" s="792"/>
      <c r="R941" s="792"/>
      <c r="S941" s="792"/>
      <c r="T941" s="792"/>
      <c r="U941" s="792"/>
      <c r="V941" s="793"/>
      <c r="W941" s="792"/>
      <c r="X941" s="792"/>
      <c r="Y941" s="792"/>
      <c r="Z941" s="792"/>
      <c r="AA941" s="792"/>
    </row>
    <row r="942" spans="1:27" ht="15.75" customHeight="1">
      <c r="A942" s="792"/>
      <c r="B942" s="792"/>
      <c r="C942" s="792"/>
      <c r="D942" s="792"/>
      <c r="E942" s="792"/>
      <c r="F942" s="792"/>
      <c r="G942" s="792"/>
      <c r="H942" s="792"/>
      <c r="I942" s="792"/>
      <c r="J942" s="792"/>
      <c r="K942" s="792"/>
      <c r="L942" s="792"/>
      <c r="M942" s="792"/>
      <c r="N942" s="792"/>
      <c r="O942" s="792"/>
      <c r="P942" s="792"/>
      <c r="Q942" s="792"/>
      <c r="R942" s="792"/>
      <c r="S942" s="792"/>
      <c r="T942" s="792"/>
      <c r="U942" s="792"/>
      <c r="V942" s="793"/>
      <c r="W942" s="792"/>
      <c r="X942" s="792"/>
      <c r="Y942" s="792"/>
      <c r="Z942" s="792"/>
      <c r="AA942" s="792"/>
    </row>
    <row r="943" spans="1:27" ht="15.75" customHeight="1">
      <c r="A943" s="792"/>
      <c r="B943" s="792"/>
      <c r="C943" s="792"/>
      <c r="D943" s="792"/>
      <c r="E943" s="792"/>
      <c r="F943" s="792"/>
      <c r="G943" s="792"/>
      <c r="H943" s="792"/>
      <c r="I943" s="792"/>
      <c r="J943" s="792"/>
      <c r="K943" s="792"/>
      <c r="L943" s="792"/>
      <c r="M943" s="792"/>
      <c r="N943" s="792"/>
      <c r="O943" s="792"/>
      <c r="P943" s="792"/>
      <c r="Q943" s="792"/>
      <c r="R943" s="792"/>
      <c r="S943" s="792"/>
      <c r="T943" s="792"/>
      <c r="U943" s="792"/>
      <c r="V943" s="793"/>
      <c r="W943" s="792"/>
      <c r="X943" s="792"/>
      <c r="Y943" s="792"/>
      <c r="Z943" s="792"/>
      <c r="AA943" s="792"/>
    </row>
    <row r="944" spans="1:27" ht="15.75" customHeight="1">
      <c r="A944" s="792"/>
      <c r="B944" s="792"/>
      <c r="C944" s="792"/>
      <c r="D944" s="792"/>
      <c r="E944" s="792"/>
      <c r="F944" s="792"/>
      <c r="G944" s="792"/>
      <c r="H944" s="792"/>
      <c r="I944" s="792"/>
      <c r="J944" s="792"/>
      <c r="K944" s="792"/>
      <c r="L944" s="792"/>
      <c r="M944" s="792"/>
      <c r="N944" s="792"/>
      <c r="O944" s="792"/>
      <c r="P944" s="792"/>
      <c r="Q944" s="792"/>
      <c r="R944" s="792"/>
      <c r="S944" s="792"/>
      <c r="T944" s="792"/>
      <c r="U944" s="792"/>
      <c r="V944" s="793"/>
      <c r="W944" s="792"/>
      <c r="X944" s="792"/>
      <c r="Y944" s="792"/>
      <c r="Z944" s="792"/>
      <c r="AA944" s="792"/>
    </row>
    <row r="945" spans="1:27" ht="15.75" customHeight="1">
      <c r="A945" s="792"/>
      <c r="B945" s="792"/>
      <c r="C945" s="792"/>
      <c r="D945" s="792"/>
      <c r="E945" s="792"/>
      <c r="F945" s="792"/>
      <c r="G945" s="792"/>
      <c r="H945" s="792"/>
      <c r="I945" s="792"/>
      <c r="J945" s="792"/>
      <c r="K945" s="792"/>
      <c r="L945" s="792"/>
      <c r="M945" s="792"/>
      <c r="N945" s="792"/>
      <c r="O945" s="792"/>
      <c r="P945" s="792"/>
      <c r="Q945" s="792"/>
      <c r="R945" s="792"/>
      <c r="S945" s="792"/>
      <c r="T945" s="792"/>
      <c r="U945" s="792"/>
      <c r="V945" s="793"/>
      <c r="W945" s="792"/>
      <c r="X945" s="792"/>
      <c r="Y945" s="792"/>
      <c r="Z945" s="792"/>
      <c r="AA945" s="792"/>
    </row>
    <row r="946" spans="1:27" ht="15.75" customHeight="1">
      <c r="A946" s="792"/>
      <c r="B946" s="792"/>
      <c r="C946" s="792"/>
      <c r="D946" s="792"/>
      <c r="E946" s="792"/>
      <c r="F946" s="792"/>
      <c r="G946" s="792"/>
      <c r="H946" s="792"/>
      <c r="I946" s="792"/>
      <c r="J946" s="792"/>
      <c r="K946" s="792"/>
      <c r="L946" s="792"/>
      <c r="M946" s="792"/>
      <c r="N946" s="792"/>
      <c r="O946" s="792"/>
      <c r="P946" s="792"/>
      <c r="Q946" s="792"/>
      <c r="R946" s="792"/>
      <c r="S946" s="792"/>
      <c r="T946" s="792"/>
      <c r="U946" s="792"/>
      <c r="V946" s="793"/>
      <c r="W946" s="792"/>
      <c r="X946" s="792"/>
      <c r="Y946" s="792"/>
      <c r="Z946" s="792"/>
      <c r="AA946" s="792"/>
    </row>
    <row r="947" spans="1:27" ht="15.75" customHeight="1">
      <c r="A947" s="792"/>
      <c r="B947" s="792"/>
      <c r="C947" s="792"/>
      <c r="D947" s="792"/>
      <c r="E947" s="792"/>
      <c r="F947" s="792"/>
      <c r="G947" s="792"/>
      <c r="H947" s="792"/>
      <c r="I947" s="792"/>
      <c r="J947" s="792"/>
      <c r="K947" s="792"/>
      <c r="L947" s="792"/>
      <c r="M947" s="792"/>
      <c r="N947" s="792"/>
      <c r="O947" s="792"/>
      <c r="P947" s="792"/>
      <c r="Q947" s="792"/>
      <c r="R947" s="792"/>
      <c r="S947" s="792"/>
      <c r="T947" s="792"/>
      <c r="U947" s="792"/>
      <c r="V947" s="793"/>
      <c r="W947" s="792"/>
      <c r="X947" s="792"/>
      <c r="Y947" s="792"/>
      <c r="Z947" s="792"/>
      <c r="AA947" s="792"/>
    </row>
    <row r="948" spans="1:27" ht="15.75" customHeight="1">
      <c r="A948" s="792"/>
      <c r="B948" s="792"/>
      <c r="C948" s="792"/>
      <c r="D948" s="792"/>
      <c r="E948" s="792"/>
      <c r="F948" s="792"/>
      <c r="G948" s="792"/>
      <c r="H948" s="792"/>
      <c r="I948" s="792"/>
      <c r="J948" s="792"/>
      <c r="K948" s="792"/>
      <c r="L948" s="792"/>
      <c r="M948" s="792"/>
      <c r="N948" s="792"/>
      <c r="O948" s="792"/>
      <c r="P948" s="792"/>
      <c r="Q948" s="792"/>
      <c r="R948" s="792"/>
      <c r="S948" s="792"/>
      <c r="T948" s="792"/>
      <c r="U948" s="792"/>
      <c r="V948" s="793"/>
      <c r="W948" s="792"/>
      <c r="X948" s="792"/>
      <c r="Y948" s="792"/>
      <c r="Z948" s="792"/>
      <c r="AA948" s="792"/>
    </row>
    <row r="949" spans="1:27" ht="15.75" customHeight="1">
      <c r="A949" s="792"/>
      <c r="B949" s="792"/>
      <c r="C949" s="792"/>
      <c r="D949" s="792"/>
      <c r="E949" s="792"/>
      <c r="F949" s="792"/>
      <c r="G949" s="792"/>
      <c r="H949" s="792"/>
      <c r="I949" s="792"/>
      <c r="J949" s="792"/>
      <c r="K949" s="792"/>
      <c r="L949" s="792"/>
      <c r="M949" s="792"/>
      <c r="N949" s="792"/>
      <c r="O949" s="792"/>
      <c r="P949" s="792"/>
      <c r="Q949" s="792"/>
      <c r="R949" s="792"/>
      <c r="S949" s="792"/>
      <c r="T949" s="792"/>
      <c r="U949" s="792"/>
      <c r="V949" s="793"/>
      <c r="W949" s="792"/>
      <c r="X949" s="792"/>
      <c r="Y949" s="792"/>
      <c r="Z949" s="792"/>
      <c r="AA949" s="792"/>
    </row>
    <row r="950" spans="1:27" ht="15.75" customHeight="1">
      <c r="A950" s="792"/>
      <c r="B950" s="792"/>
      <c r="C950" s="792"/>
      <c r="D950" s="792"/>
      <c r="E950" s="792"/>
      <c r="F950" s="792"/>
      <c r="G950" s="792"/>
      <c r="H950" s="792"/>
      <c r="I950" s="792"/>
      <c r="J950" s="792"/>
      <c r="K950" s="792"/>
      <c r="L950" s="792"/>
      <c r="M950" s="792"/>
      <c r="N950" s="792"/>
      <c r="O950" s="792"/>
      <c r="P950" s="792"/>
      <c r="Q950" s="792"/>
      <c r="R950" s="792"/>
      <c r="S950" s="792"/>
      <c r="T950" s="792"/>
      <c r="U950" s="792"/>
      <c r="V950" s="793"/>
      <c r="W950" s="792"/>
      <c r="X950" s="792"/>
      <c r="Y950" s="792"/>
      <c r="Z950" s="792"/>
      <c r="AA950" s="792"/>
    </row>
    <row r="951" spans="1:27" ht="15.75" customHeight="1">
      <c r="A951" s="792"/>
      <c r="B951" s="792"/>
      <c r="C951" s="792"/>
      <c r="D951" s="792"/>
      <c r="E951" s="792"/>
      <c r="F951" s="792"/>
      <c r="G951" s="792"/>
      <c r="H951" s="792"/>
      <c r="I951" s="792"/>
      <c r="J951" s="792"/>
      <c r="K951" s="792"/>
      <c r="L951" s="792"/>
      <c r="M951" s="792"/>
      <c r="N951" s="792"/>
      <c r="O951" s="792"/>
      <c r="P951" s="792"/>
      <c r="Q951" s="792"/>
      <c r="R951" s="792"/>
      <c r="S951" s="792"/>
      <c r="T951" s="792"/>
      <c r="U951" s="792"/>
      <c r="V951" s="793"/>
      <c r="W951" s="792"/>
      <c r="X951" s="792"/>
      <c r="Y951" s="792"/>
      <c r="Z951" s="792"/>
      <c r="AA951" s="792"/>
    </row>
    <row r="952" spans="1:27" ht="15.75" customHeight="1">
      <c r="A952" s="792"/>
      <c r="B952" s="792"/>
      <c r="C952" s="792"/>
      <c r="D952" s="792"/>
      <c r="E952" s="792"/>
      <c r="F952" s="792"/>
      <c r="G952" s="792"/>
      <c r="H952" s="792"/>
      <c r="I952" s="792"/>
      <c r="J952" s="792"/>
      <c r="K952" s="792"/>
      <c r="L952" s="792"/>
      <c r="M952" s="792"/>
      <c r="N952" s="792"/>
      <c r="O952" s="792"/>
      <c r="P952" s="792"/>
      <c r="Q952" s="792"/>
      <c r="R952" s="792"/>
      <c r="S952" s="792"/>
      <c r="T952" s="792"/>
      <c r="U952" s="792"/>
      <c r="V952" s="793"/>
      <c r="W952" s="792"/>
      <c r="X952" s="792"/>
      <c r="Y952" s="792"/>
      <c r="Z952" s="792"/>
      <c r="AA952" s="792"/>
    </row>
    <row r="953" spans="1:27" ht="15.75" customHeight="1">
      <c r="A953" s="792"/>
      <c r="B953" s="792"/>
      <c r="C953" s="792"/>
      <c r="D953" s="792"/>
      <c r="E953" s="792"/>
      <c r="F953" s="792"/>
      <c r="G953" s="792"/>
      <c r="H953" s="792"/>
      <c r="I953" s="792"/>
      <c r="J953" s="792"/>
      <c r="K953" s="792"/>
      <c r="L953" s="792"/>
      <c r="M953" s="792"/>
      <c r="N953" s="792"/>
      <c r="O953" s="792"/>
      <c r="P953" s="792"/>
      <c r="Q953" s="792"/>
      <c r="R953" s="792"/>
      <c r="S953" s="792"/>
      <c r="T953" s="792"/>
      <c r="U953" s="792"/>
      <c r="V953" s="793"/>
      <c r="W953" s="792"/>
      <c r="X953" s="792"/>
      <c r="Y953" s="792"/>
      <c r="Z953" s="792"/>
      <c r="AA953" s="792"/>
    </row>
    <row r="954" spans="1:27" ht="15.75" customHeight="1">
      <c r="A954" s="792"/>
      <c r="B954" s="792"/>
      <c r="C954" s="792"/>
      <c r="D954" s="792"/>
      <c r="E954" s="792"/>
      <c r="F954" s="792"/>
      <c r="G954" s="792"/>
      <c r="H954" s="792"/>
      <c r="I954" s="792"/>
      <c r="J954" s="792"/>
      <c r="K954" s="792"/>
      <c r="L954" s="792"/>
      <c r="M954" s="792"/>
      <c r="N954" s="792"/>
      <c r="O954" s="792"/>
      <c r="P954" s="792"/>
      <c r="Q954" s="792"/>
      <c r="R954" s="792"/>
      <c r="S954" s="792"/>
      <c r="T954" s="792"/>
      <c r="U954" s="792"/>
      <c r="V954" s="793"/>
      <c r="W954" s="792"/>
      <c r="X954" s="792"/>
      <c r="Y954" s="792"/>
      <c r="Z954" s="792"/>
      <c r="AA954" s="792"/>
    </row>
    <row r="955" spans="1:27" ht="15.75" customHeight="1">
      <c r="A955" s="792"/>
      <c r="B955" s="792"/>
      <c r="C955" s="792"/>
      <c r="D955" s="792"/>
      <c r="E955" s="792"/>
      <c r="F955" s="792"/>
      <c r="G955" s="792"/>
      <c r="H955" s="792"/>
      <c r="I955" s="792"/>
      <c r="J955" s="792"/>
      <c r="K955" s="792"/>
      <c r="L955" s="792"/>
      <c r="M955" s="792"/>
      <c r="N955" s="792"/>
      <c r="O955" s="792"/>
      <c r="P955" s="792"/>
      <c r="Q955" s="792"/>
      <c r="R955" s="792"/>
      <c r="S955" s="792"/>
      <c r="T955" s="792"/>
      <c r="U955" s="792"/>
      <c r="V955" s="793"/>
      <c r="W955" s="792"/>
      <c r="X955" s="792"/>
      <c r="Y955" s="792"/>
      <c r="Z955" s="792"/>
      <c r="AA955" s="792"/>
    </row>
    <row r="956" spans="1:27" ht="15.75" customHeight="1">
      <c r="A956" s="792"/>
      <c r="B956" s="792"/>
      <c r="C956" s="792"/>
      <c r="D956" s="792"/>
      <c r="E956" s="792"/>
      <c r="F956" s="792"/>
      <c r="G956" s="792"/>
      <c r="H956" s="792"/>
      <c r="I956" s="792"/>
      <c r="J956" s="792"/>
      <c r="K956" s="792"/>
      <c r="L956" s="792"/>
      <c r="M956" s="792"/>
      <c r="N956" s="792"/>
      <c r="O956" s="792"/>
      <c r="P956" s="792"/>
      <c r="Q956" s="792"/>
      <c r="R956" s="792"/>
      <c r="S956" s="792"/>
      <c r="T956" s="792"/>
      <c r="U956" s="792"/>
      <c r="V956" s="793"/>
      <c r="W956" s="792"/>
      <c r="X956" s="792"/>
      <c r="Y956" s="792"/>
      <c r="Z956" s="792"/>
      <c r="AA956" s="792"/>
    </row>
    <row r="957" spans="1:27" ht="15.75" customHeight="1">
      <c r="A957" s="792"/>
      <c r="B957" s="792"/>
      <c r="C957" s="792"/>
      <c r="D957" s="792"/>
      <c r="E957" s="792"/>
      <c r="F957" s="792"/>
      <c r="G957" s="792"/>
      <c r="H957" s="792"/>
      <c r="I957" s="792"/>
      <c r="J957" s="792"/>
      <c r="K957" s="792"/>
      <c r="L957" s="792"/>
      <c r="M957" s="792"/>
      <c r="N957" s="792"/>
      <c r="O957" s="792"/>
      <c r="P957" s="792"/>
      <c r="Q957" s="792"/>
      <c r="R957" s="792"/>
      <c r="S957" s="792"/>
      <c r="T957" s="792"/>
      <c r="U957" s="792"/>
      <c r="V957" s="793"/>
      <c r="W957" s="792"/>
      <c r="X957" s="792"/>
      <c r="Y957" s="792"/>
      <c r="Z957" s="792"/>
      <c r="AA957" s="792"/>
    </row>
    <row r="958" spans="1:27" ht="15.75" customHeight="1">
      <c r="A958" s="792"/>
      <c r="B958" s="792"/>
      <c r="C958" s="792"/>
      <c r="D958" s="792"/>
      <c r="E958" s="792"/>
      <c r="F958" s="792"/>
      <c r="G958" s="792"/>
      <c r="H958" s="792"/>
      <c r="I958" s="792"/>
      <c r="J958" s="792"/>
      <c r="K958" s="792"/>
      <c r="L958" s="792"/>
      <c r="M958" s="792"/>
      <c r="N958" s="792"/>
      <c r="O958" s="792"/>
      <c r="P958" s="792"/>
      <c r="Q958" s="792"/>
      <c r="R958" s="792"/>
      <c r="S958" s="792"/>
      <c r="T958" s="792"/>
      <c r="U958" s="792"/>
      <c r="V958" s="793"/>
      <c r="W958" s="792"/>
      <c r="X958" s="792"/>
      <c r="Y958" s="792"/>
      <c r="Z958" s="792"/>
      <c r="AA958" s="792"/>
    </row>
    <row r="959" spans="1:27" ht="15.75" customHeight="1">
      <c r="A959" s="792"/>
      <c r="B959" s="792"/>
      <c r="C959" s="792"/>
      <c r="D959" s="792"/>
      <c r="E959" s="792"/>
      <c r="F959" s="792"/>
      <c r="G959" s="792"/>
      <c r="H959" s="792"/>
      <c r="I959" s="792"/>
      <c r="J959" s="792"/>
      <c r="K959" s="792"/>
      <c r="L959" s="792"/>
      <c r="M959" s="792"/>
      <c r="N959" s="792"/>
      <c r="O959" s="792"/>
      <c r="P959" s="792"/>
      <c r="Q959" s="792"/>
      <c r="R959" s="792"/>
      <c r="S959" s="792"/>
      <c r="T959" s="792"/>
      <c r="U959" s="792"/>
      <c r="V959" s="793"/>
      <c r="W959" s="792"/>
      <c r="X959" s="792"/>
      <c r="Y959" s="792"/>
      <c r="Z959" s="792"/>
      <c r="AA959" s="792"/>
    </row>
    <row r="960" spans="1:27" ht="15.75" customHeight="1">
      <c r="A960" s="792"/>
      <c r="B960" s="792"/>
      <c r="C960" s="792"/>
      <c r="D960" s="792"/>
      <c r="E960" s="792"/>
      <c r="F960" s="792"/>
      <c r="G960" s="792"/>
      <c r="H960" s="792"/>
      <c r="I960" s="792"/>
      <c r="J960" s="792"/>
      <c r="K960" s="792"/>
      <c r="L960" s="792"/>
      <c r="M960" s="792"/>
      <c r="N960" s="792"/>
      <c r="O960" s="792"/>
      <c r="P960" s="792"/>
      <c r="Q960" s="792"/>
      <c r="R960" s="792"/>
      <c r="S960" s="792"/>
      <c r="T960" s="792"/>
      <c r="U960" s="792"/>
      <c r="V960" s="793"/>
      <c r="W960" s="792"/>
      <c r="X960" s="792"/>
      <c r="Y960" s="792"/>
      <c r="Z960" s="792"/>
      <c r="AA960" s="792"/>
    </row>
    <row r="961" spans="1:27" ht="15.75" customHeight="1">
      <c r="A961" s="792"/>
      <c r="B961" s="792"/>
      <c r="C961" s="792"/>
      <c r="D961" s="792"/>
      <c r="E961" s="792"/>
      <c r="F961" s="792"/>
      <c r="G961" s="792"/>
      <c r="H961" s="792"/>
      <c r="I961" s="792"/>
      <c r="J961" s="792"/>
      <c r="K961" s="792"/>
      <c r="L961" s="792"/>
      <c r="M961" s="792"/>
      <c r="N961" s="792"/>
      <c r="O961" s="792"/>
      <c r="P961" s="792"/>
      <c r="Q961" s="792"/>
      <c r="R961" s="792"/>
      <c r="S961" s="792"/>
      <c r="T961" s="792"/>
      <c r="U961" s="792"/>
      <c r="V961" s="793"/>
      <c r="W961" s="792"/>
      <c r="X961" s="792"/>
      <c r="Y961" s="792"/>
      <c r="Z961" s="792"/>
      <c r="AA961" s="792"/>
    </row>
    <row r="962" spans="1:27" ht="15.75" customHeight="1">
      <c r="A962" s="792"/>
      <c r="B962" s="792"/>
      <c r="C962" s="792"/>
      <c r="D962" s="792"/>
      <c r="E962" s="792"/>
      <c r="F962" s="792"/>
      <c r="G962" s="792"/>
      <c r="H962" s="792"/>
      <c r="I962" s="792"/>
      <c r="J962" s="792"/>
      <c r="K962" s="792"/>
      <c r="L962" s="792"/>
      <c r="M962" s="792"/>
      <c r="N962" s="792"/>
      <c r="O962" s="792"/>
      <c r="P962" s="792"/>
      <c r="Q962" s="792"/>
      <c r="R962" s="792"/>
      <c r="S962" s="792"/>
      <c r="T962" s="792"/>
      <c r="U962" s="792"/>
      <c r="V962" s="793"/>
      <c r="W962" s="792"/>
      <c r="X962" s="792"/>
      <c r="Y962" s="792"/>
      <c r="Z962" s="792"/>
      <c r="AA962" s="792"/>
    </row>
    <row r="963" spans="1:27" ht="15.75" customHeight="1">
      <c r="A963" s="792"/>
      <c r="B963" s="792"/>
      <c r="C963" s="792"/>
      <c r="D963" s="792"/>
      <c r="E963" s="792"/>
      <c r="F963" s="792"/>
      <c r="G963" s="792"/>
      <c r="H963" s="792"/>
      <c r="I963" s="792"/>
      <c r="J963" s="792"/>
      <c r="K963" s="792"/>
      <c r="L963" s="792"/>
      <c r="M963" s="792"/>
      <c r="N963" s="792"/>
      <c r="O963" s="792"/>
      <c r="P963" s="792"/>
      <c r="Q963" s="792"/>
      <c r="R963" s="792"/>
      <c r="S963" s="792"/>
      <c r="T963" s="792"/>
      <c r="U963" s="792"/>
      <c r="V963" s="793"/>
      <c r="W963" s="792"/>
      <c r="X963" s="792"/>
      <c r="Y963" s="792"/>
      <c r="Z963" s="792"/>
      <c r="AA963" s="792"/>
    </row>
    <row r="964" spans="1:27" ht="15.75" customHeight="1">
      <c r="A964" s="792"/>
      <c r="B964" s="792"/>
      <c r="C964" s="792"/>
      <c r="D964" s="792"/>
      <c r="E964" s="792"/>
      <c r="F964" s="792"/>
      <c r="G964" s="792"/>
      <c r="H964" s="792"/>
      <c r="I964" s="792"/>
      <c r="J964" s="792"/>
      <c r="K964" s="792"/>
      <c r="L964" s="792"/>
      <c r="M964" s="792"/>
      <c r="N964" s="792"/>
      <c r="O964" s="792"/>
      <c r="P964" s="792"/>
      <c r="Q964" s="792"/>
      <c r="R964" s="792"/>
      <c r="S964" s="792"/>
      <c r="T964" s="792"/>
      <c r="U964" s="792"/>
      <c r="V964" s="793"/>
      <c r="W964" s="792"/>
      <c r="X964" s="792"/>
      <c r="Y964" s="792"/>
      <c r="Z964" s="792"/>
      <c r="AA964" s="792"/>
    </row>
    <row r="965" spans="1:27" ht="15.75" customHeight="1">
      <c r="A965" s="792"/>
      <c r="B965" s="792"/>
      <c r="C965" s="792"/>
      <c r="D965" s="792"/>
      <c r="E965" s="792"/>
      <c r="F965" s="792"/>
      <c r="G965" s="792"/>
      <c r="H965" s="792"/>
      <c r="I965" s="792"/>
      <c r="J965" s="792"/>
      <c r="K965" s="792"/>
      <c r="L965" s="792"/>
      <c r="M965" s="792"/>
      <c r="N965" s="792"/>
      <c r="O965" s="792"/>
      <c r="P965" s="792"/>
      <c r="Q965" s="792"/>
      <c r="R965" s="792"/>
      <c r="S965" s="792"/>
      <c r="T965" s="792"/>
      <c r="U965" s="792"/>
      <c r="V965" s="793"/>
      <c r="W965" s="792"/>
      <c r="X965" s="792"/>
      <c r="Y965" s="792"/>
      <c r="Z965" s="792"/>
      <c r="AA965" s="792"/>
    </row>
    <row r="966" spans="1:27" ht="15.75" customHeight="1">
      <c r="A966" s="792"/>
      <c r="B966" s="792"/>
      <c r="C966" s="792"/>
      <c r="D966" s="792"/>
      <c r="E966" s="792"/>
      <c r="F966" s="792"/>
      <c r="G966" s="792"/>
      <c r="H966" s="792"/>
      <c r="I966" s="792"/>
      <c r="J966" s="792"/>
      <c r="K966" s="792"/>
      <c r="L966" s="792"/>
      <c r="M966" s="792"/>
      <c r="N966" s="792"/>
      <c r="O966" s="792"/>
      <c r="P966" s="792"/>
      <c r="Q966" s="792"/>
      <c r="R966" s="792"/>
      <c r="S966" s="792"/>
      <c r="T966" s="792"/>
      <c r="U966" s="792"/>
      <c r="V966" s="793"/>
      <c r="W966" s="792"/>
      <c r="X966" s="792"/>
      <c r="Y966" s="792"/>
      <c r="Z966" s="792"/>
      <c r="AA966" s="792"/>
    </row>
    <row r="967" spans="1:27" ht="15.75" customHeight="1">
      <c r="A967" s="792"/>
      <c r="B967" s="792"/>
      <c r="C967" s="792"/>
      <c r="D967" s="792"/>
      <c r="E967" s="792"/>
      <c r="F967" s="792"/>
      <c r="G967" s="792"/>
      <c r="H967" s="792"/>
      <c r="I967" s="792"/>
      <c r="J967" s="792"/>
      <c r="K967" s="792"/>
      <c r="L967" s="792"/>
      <c r="M967" s="792"/>
      <c r="N967" s="792"/>
      <c r="O967" s="792"/>
      <c r="P967" s="792"/>
      <c r="Q967" s="792"/>
      <c r="R967" s="792"/>
      <c r="S967" s="792"/>
      <c r="T967" s="792"/>
      <c r="U967" s="792"/>
      <c r="V967" s="793"/>
      <c r="W967" s="792"/>
      <c r="X967" s="792"/>
      <c r="Y967" s="792"/>
      <c r="Z967" s="792"/>
      <c r="AA967" s="792"/>
    </row>
    <row r="968" spans="1:27" ht="15.75" customHeight="1">
      <c r="A968" s="792"/>
      <c r="B968" s="792"/>
      <c r="C968" s="792"/>
      <c r="D968" s="792"/>
      <c r="E968" s="792"/>
      <c r="F968" s="792"/>
      <c r="G968" s="792"/>
      <c r="H968" s="792"/>
      <c r="I968" s="792"/>
      <c r="J968" s="792"/>
      <c r="K968" s="792"/>
      <c r="L968" s="792"/>
      <c r="M968" s="792"/>
      <c r="N968" s="792"/>
      <c r="O968" s="792"/>
      <c r="P968" s="792"/>
      <c r="Q968" s="792"/>
      <c r="R968" s="792"/>
      <c r="S968" s="792"/>
      <c r="T968" s="792"/>
      <c r="U968" s="792"/>
      <c r="V968" s="793"/>
      <c r="W968" s="792"/>
      <c r="X968" s="792"/>
      <c r="Y968" s="792"/>
      <c r="Z968" s="792"/>
      <c r="AA968" s="792"/>
    </row>
    <row r="969" spans="1:27" ht="15.75" customHeight="1">
      <c r="A969" s="792"/>
      <c r="B969" s="792"/>
      <c r="C969" s="792"/>
      <c r="D969" s="792"/>
      <c r="E969" s="792"/>
      <c r="F969" s="792"/>
      <c r="G969" s="792"/>
      <c r="H969" s="792"/>
      <c r="I969" s="792"/>
      <c r="J969" s="792"/>
      <c r="K969" s="792"/>
      <c r="L969" s="792"/>
      <c r="M969" s="792"/>
      <c r="N969" s="792"/>
      <c r="O969" s="792"/>
      <c r="P969" s="792"/>
      <c r="Q969" s="792"/>
      <c r="R969" s="792"/>
      <c r="S969" s="792"/>
      <c r="T969" s="792"/>
      <c r="U969" s="792"/>
      <c r="V969" s="793"/>
      <c r="W969" s="792"/>
      <c r="X969" s="792"/>
      <c r="Y969" s="792"/>
      <c r="Z969" s="792"/>
      <c r="AA969" s="792"/>
    </row>
    <row r="970" spans="1:27" ht="15.75" customHeight="1">
      <c r="A970" s="792"/>
      <c r="B970" s="792"/>
      <c r="C970" s="792"/>
      <c r="D970" s="792"/>
      <c r="E970" s="792"/>
      <c r="F970" s="792"/>
      <c r="G970" s="792"/>
      <c r="H970" s="792"/>
      <c r="I970" s="792"/>
      <c r="J970" s="792"/>
      <c r="K970" s="792"/>
      <c r="L970" s="792"/>
      <c r="M970" s="792"/>
      <c r="N970" s="792"/>
      <c r="O970" s="792"/>
      <c r="P970" s="792"/>
      <c r="Q970" s="792"/>
      <c r="R970" s="792"/>
      <c r="S970" s="792"/>
      <c r="T970" s="792"/>
      <c r="U970" s="792"/>
      <c r="V970" s="793"/>
      <c r="W970" s="792"/>
      <c r="X970" s="792"/>
      <c r="Y970" s="792"/>
      <c r="Z970" s="792"/>
      <c r="AA970" s="792"/>
    </row>
    <row r="971" spans="1:27" ht="15.75" customHeight="1">
      <c r="A971" s="792"/>
      <c r="B971" s="792"/>
      <c r="C971" s="792"/>
      <c r="D971" s="792"/>
      <c r="E971" s="792"/>
      <c r="F971" s="792"/>
      <c r="G971" s="792"/>
      <c r="H971" s="792"/>
      <c r="I971" s="792"/>
      <c r="J971" s="792"/>
      <c r="K971" s="792"/>
      <c r="L971" s="792"/>
      <c r="M971" s="792"/>
      <c r="N971" s="792"/>
      <c r="O971" s="792"/>
      <c r="P971" s="792"/>
      <c r="Q971" s="792"/>
      <c r="R971" s="792"/>
      <c r="S971" s="792"/>
      <c r="T971" s="792"/>
      <c r="U971" s="792"/>
      <c r="V971" s="793"/>
      <c r="W971" s="792"/>
      <c r="X971" s="792"/>
      <c r="Y971" s="792"/>
      <c r="Z971" s="792"/>
      <c r="AA971" s="792"/>
    </row>
    <row r="972" spans="1:27" ht="15.75" customHeight="1">
      <c r="A972" s="792"/>
      <c r="B972" s="792"/>
      <c r="C972" s="792"/>
      <c r="D972" s="792"/>
      <c r="E972" s="792"/>
      <c r="F972" s="792"/>
      <c r="G972" s="792"/>
      <c r="H972" s="792"/>
      <c r="I972" s="792"/>
      <c r="J972" s="792"/>
      <c r="K972" s="792"/>
      <c r="L972" s="792"/>
      <c r="M972" s="792"/>
      <c r="N972" s="792"/>
      <c r="O972" s="792"/>
      <c r="P972" s="792"/>
      <c r="Q972" s="792"/>
      <c r="R972" s="792"/>
      <c r="S972" s="792"/>
      <c r="T972" s="792"/>
      <c r="U972" s="792"/>
      <c r="V972" s="793"/>
      <c r="W972" s="792"/>
      <c r="X972" s="792"/>
      <c r="Y972" s="792"/>
      <c r="Z972" s="792"/>
      <c r="AA972" s="792"/>
    </row>
    <row r="973" spans="1:27" ht="15.75" customHeight="1">
      <c r="A973" s="792"/>
      <c r="B973" s="792"/>
      <c r="C973" s="792"/>
      <c r="D973" s="792"/>
      <c r="E973" s="792"/>
      <c r="F973" s="792"/>
      <c r="G973" s="792"/>
      <c r="H973" s="792"/>
      <c r="I973" s="792"/>
      <c r="J973" s="792"/>
      <c r="K973" s="792"/>
      <c r="L973" s="792"/>
      <c r="M973" s="792"/>
      <c r="N973" s="792"/>
      <c r="O973" s="792"/>
      <c r="P973" s="792"/>
      <c r="Q973" s="792"/>
      <c r="R973" s="792"/>
      <c r="S973" s="792"/>
      <c r="T973" s="792"/>
      <c r="U973" s="792"/>
      <c r="V973" s="793"/>
      <c r="W973" s="792"/>
      <c r="X973" s="792"/>
      <c r="Y973" s="792"/>
      <c r="Z973" s="792"/>
      <c r="AA973" s="792"/>
    </row>
    <row r="974" spans="1:27" ht="15.75" customHeight="1">
      <c r="A974" s="792"/>
      <c r="B974" s="792"/>
      <c r="C974" s="792"/>
      <c r="D974" s="792"/>
      <c r="E974" s="792"/>
      <c r="F974" s="792"/>
      <c r="G974" s="792"/>
      <c r="H974" s="792"/>
      <c r="I974" s="792"/>
      <c r="J974" s="792"/>
      <c r="K974" s="792"/>
      <c r="L974" s="792"/>
      <c r="M974" s="792"/>
      <c r="N974" s="792"/>
      <c r="O974" s="792"/>
      <c r="P974" s="792"/>
      <c r="Q974" s="792"/>
      <c r="R974" s="792"/>
      <c r="S974" s="792"/>
      <c r="T974" s="792"/>
      <c r="U974" s="792"/>
      <c r="V974" s="793"/>
      <c r="W974" s="792"/>
      <c r="X974" s="792"/>
      <c r="Y974" s="792"/>
      <c r="Z974" s="792"/>
      <c r="AA974" s="792"/>
    </row>
    <row r="975" spans="1:27" ht="15.75" customHeight="1">
      <c r="A975" s="792"/>
      <c r="B975" s="792"/>
      <c r="C975" s="792"/>
      <c r="D975" s="792"/>
      <c r="E975" s="792"/>
      <c r="F975" s="792"/>
      <c r="G975" s="792"/>
      <c r="H975" s="792"/>
      <c r="I975" s="792"/>
      <c r="J975" s="792"/>
      <c r="K975" s="792"/>
      <c r="L975" s="792"/>
      <c r="M975" s="792"/>
      <c r="N975" s="792"/>
      <c r="O975" s="792"/>
      <c r="P975" s="792"/>
      <c r="Q975" s="792"/>
      <c r="R975" s="792"/>
      <c r="S975" s="792"/>
      <c r="T975" s="792"/>
      <c r="U975" s="792"/>
      <c r="V975" s="793"/>
      <c r="W975" s="792"/>
      <c r="X975" s="792"/>
      <c r="Y975" s="792"/>
      <c r="Z975" s="792"/>
      <c r="AA975" s="792"/>
    </row>
    <row r="976" spans="1:27" ht="15.75" customHeight="1">
      <c r="A976" s="792"/>
      <c r="B976" s="792"/>
      <c r="C976" s="792"/>
      <c r="D976" s="792"/>
      <c r="E976" s="792"/>
      <c r="F976" s="792"/>
      <c r="G976" s="792"/>
      <c r="H976" s="792"/>
      <c r="I976" s="792"/>
      <c r="J976" s="792"/>
      <c r="K976" s="792"/>
      <c r="L976" s="792"/>
      <c r="M976" s="792"/>
      <c r="N976" s="792"/>
      <c r="O976" s="792"/>
      <c r="P976" s="792"/>
      <c r="Q976" s="792"/>
      <c r="R976" s="792"/>
      <c r="S976" s="792"/>
      <c r="T976" s="792"/>
      <c r="U976" s="792"/>
      <c r="V976" s="793"/>
      <c r="W976" s="792"/>
      <c r="X976" s="792"/>
      <c r="Y976" s="792"/>
      <c r="Z976" s="792"/>
      <c r="AA976" s="792"/>
    </row>
    <row r="977" spans="1:27" ht="15.75" customHeight="1">
      <c r="A977" s="792"/>
      <c r="B977" s="792"/>
      <c r="C977" s="792"/>
      <c r="D977" s="792"/>
      <c r="E977" s="792"/>
      <c r="F977" s="792"/>
      <c r="G977" s="792"/>
      <c r="H977" s="792"/>
      <c r="I977" s="792"/>
      <c r="J977" s="792"/>
      <c r="K977" s="792"/>
      <c r="L977" s="792"/>
      <c r="M977" s="792"/>
      <c r="N977" s="792"/>
      <c r="O977" s="792"/>
      <c r="P977" s="792"/>
      <c r="Q977" s="792"/>
      <c r="R977" s="792"/>
      <c r="S977" s="792"/>
      <c r="T977" s="792"/>
      <c r="U977" s="792"/>
      <c r="V977" s="793"/>
      <c r="W977" s="792"/>
      <c r="X977" s="792"/>
      <c r="Y977" s="792"/>
      <c r="Z977" s="792"/>
      <c r="AA977" s="792"/>
    </row>
    <row r="978" spans="1:27" ht="15.75" customHeight="1">
      <c r="A978" s="792"/>
      <c r="B978" s="792"/>
      <c r="C978" s="792"/>
      <c r="D978" s="792"/>
      <c r="E978" s="792"/>
      <c r="F978" s="792"/>
      <c r="G978" s="792"/>
      <c r="H978" s="792"/>
      <c r="I978" s="792"/>
      <c r="J978" s="792"/>
      <c r="K978" s="792"/>
      <c r="L978" s="792"/>
      <c r="M978" s="792"/>
      <c r="N978" s="792"/>
      <c r="O978" s="792"/>
      <c r="P978" s="792"/>
      <c r="Q978" s="792"/>
      <c r="R978" s="792"/>
      <c r="S978" s="792"/>
      <c r="T978" s="792"/>
      <c r="U978" s="792"/>
      <c r="V978" s="793"/>
      <c r="W978" s="792"/>
      <c r="X978" s="792"/>
      <c r="Y978" s="792"/>
      <c r="Z978" s="792"/>
      <c r="AA978" s="792"/>
    </row>
    <row r="979" spans="1:27" ht="15.75" customHeight="1">
      <c r="A979" s="792"/>
      <c r="B979" s="792"/>
      <c r="C979" s="792"/>
      <c r="D979" s="792"/>
      <c r="E979" s="792"/>
      <c r="F979" s="792"/>
      <c r="G979" s="792"/>
      <c r="H979" s="792"/>
      <c r="I979" s="792"/>
      <c r="J979" s="792"/>
      <c r="K979" s="792"/>
      <c r="L979" s="792"/>
      <c r="M979" s="792"/>
      <c r="N979" s="792"/>
      <c r="O979" s="792"/>
      <c r="P979" s="792"/>
      <c r="Q979" s="792"/>
      <c r="R979" s="792"/>
      <c r="S979" s="792"/>
      <c r="T979" s="792"/>
      <c r="U979" s="792"/>
      <c r="V979" s="793"/>
      <c r="W979" s="792"/>
      <c r="X979" s="792"/>
      <c r="Y979" s="792"/>
      <c r="Z979" s="792"/>
      <c r="AA979" s="792"/>
    </row>
    <row r="980" spans="1:27" ht="15.75" customHeight="1">
      <c r="A980" s="792"/>
      <c r="B980" s="792"/>
      <c r="C980" s="792"/>
      <c r="D980" s="792"/>
      <c r="E980" s="792"/>
      <c r="F980" s="792"/>
      <c r="G980" s="792"/>
      <c r="H980" s="792"/>
      <c r="I980" s="792"/>
      <c r="J980" s="792"/>
      <c r="K980" s="792"/>
      <c r="L980" s="792"/>
      <c r="M980" s="792"/>
      <c r="N980" s="792"/>
      <c r="O980" s="792"/>
      <c r="P980" s="792"/>
      <c r="Q980" s="792"/>
      <c r="R980" s="792"/>
      <c r="S980" s="792"/>
      <c r="T980" s="792"/>
      <c r="U980" s="792"/>
      <c r="V980" s="793"/>
      <c r="W980" s="792"/>
      <c r="X980" s="792"/>
      <c r="Y980" s="792"/>
      <c r="Z980" s="792"/>
      <c r="AA980" s="792"/>
    </row>
    <row r="981" spans="1:27" ht="15.75" customHeight="1">
      <c r="A981" s="792"/>
      <c r="B981" s="792"/>
      <c r="C981" s="792"/>
      <c r="D981" s="792"/>
      <c r="E981" s="792"/>
      <c r="F981" s="792"/>
      <c r="G981" s="792"/>
      <c r="H981" s="792"/>
      <c r="I981" s="792"/>
      <c r="J981" s="792"/>
      <c r="K981" s="792"/>
      <c r="L981" s="792"/>
      <c r="M981" s="792"/>
      <c r="N981" s="792"/>
      <c r="O981" s="792"/>
      <c r="P981" s="792"/>
      <c r="Q981" s="792"/>
      <c r="R981" s="792"/>
      <c r="S981" s="792"/>
      <c r="T981" s="792"/>
      <c r="U981" s="792"/>
      <c r="V981" s="793"/>
      <c r="W981" s="792"/>
      <c r="X981" s="792"/>
      <c r="Y981" s="792"/>
      <c r="Z981" s="792"/>
      <c r="AA981" s="792"/>
    </row>
    <row r="982" spans="1:27" ht="15.75" customHeight="1">
      <c r="A982" s="792"/>
      <c r="B982" s="792"/>
      <c r="C982" s="792"/>
      <c r="D982" s="792"/>
      <c r="E982" s="792"/>
      <c r="F982" s="792"/>
      <c r="G982" s="792"/>
      <c r="H982" s="792"/>
      <c r="I982" s="792"/>
      <c r="J982" s="792"/>
      <c r="K982" s="792"/>
      <c r="L982" s="792"/>
      <c r="M982" s="792"/>
      <c r="N982" s="792"/>
      <c r="O982" s="792"/>
      <c r="P982" s="792"/>
      <c r="Q982" s="792"/>
      <c r="R982" s="792"/>
      <c r="S982" s="792"/>
      <c r="T982" s="792"/>
      <c r="U982" s="792"/>
      <c r="V982" s="793"/>
      <c r="W982" s="792"/>
      <c r="X982" s="792"/>
      <c r="Y982" s="792"/>
      <c r="Z982" s="792"/>
      <c r="AA982" s="792"/>
    </row>
    <row r="983" spans="1:27" ht="15.75" customHeight="1">
      <c r="A983" s="792"/>
      <c r="B983" s="792"/>
      <c r="C983" s="792"/>
      <c r="D983" s="792"/>
      <c r="E983" s="792"/>
      <c r="F983" s="792"/>
      <c r="G983" s="792"/>
      <c r="H983" s="792"/>
      <c r="I983" s="792"/>
      <c r="J983" s="792"/>
      <c r="K983" s="792"/>
      <c r="L983" s="792"/>
      <c r="M983" s="792"/>
      <c r="N983" s="792"/>
      <c r="O983" s="792"/>
      <c r="P983" s="792"/>
      <c r="Q983" s="792"/>
      <c r="R983" s="792"/>
      <c r="S983" s="792"/>
      <c r="T983" s="792"/>
      <c r="U983" s="792"/>
      <c r="V983" s="793"/>
      <c r="W983" s="792"/>
      <c r="X983" s="792"/>
      <c r="Y983" s="792"/>
      <c r="Z983" s="792"/>
      <c r="AA983" s="792"/>
    </row>
    <row r="984" spans="1:27" ht="15.75" customHeight="1">
      <c r="A984" s="792"/>
      <c r="B984" s="792"/>
      <c r="C984" s="792"/>
      <c r="D984" s="792"/>
      <c r="E984" s="792"/>
      <c r="F984" s="792"/>
      <c r="G984" s="792"/>
      <c r="H984" s="792"/>
      <c r="I984" s="792"/>
      <c r="J984" s="792"/>
      <c r="K984" s="792"/>
      <c r="L984" s="792"/>
      <c r="M984" s="792"/>
      <c r="N984" s="792"/>
      <c r="O984" s="792"/>
      <c r="P984" s="792"/>
      <c r="Q984" s="792"/>
      <c r="R984" s="792"/>
      <c r="S984" s="792"/>
      <c r="T984" s="792"/>
      <c r="U984" s="792"/>
      <c r="V984" s="793"/>
      <c r="W984" s="792"/>
      <c r="X984" s="792"/>
      <c r="Y984" s="792"/>
      <c r="Z984" s="792"/>
      <c r="AA984" s="792"/>
    </row>
    <row r="985" spans="1:27" ht="15.75" customHeight="1">
      <c r="A985" s="792"/>
      <c r="B985" s="792"/>
      <c r="C985" s="792"/>
      <c r="D985" s="792"/>
      <c r="E985" s="792"/>
      <c r="F985" s="792"/>
      <c r="G985" s="792"/>
      <c r="H985" s="792"/>
      <c r="I985" s="792"/>
      <c r="J985" s="792"/>
      <c r="K985" s="792"/>
      <c r="L985" s="792"/>
      <c r="M985" s="792"/>
      <c r="N985" s="792"/>
      <c r="O985" s="792"/>
      <c r="P985" s="792"/>
      <c r="Q985" s="792"/>
      <c r="R985" s="792"/>
      <c r="S985" s="792"/>
      <c r="T985" s="792"/>
      <c r="U985" s="792"/>
      <c r="V985" s="793"/>
      <c r="W985" s="792"/>
      <c r="X985" s="792"/>
      <c r="Y985" s="792"/>
      <c r="Z985" s="792"/>
      <c r="AA985" s="792"/>
    </row>
    <row r="986" spans="1:27" ht="15.75" customHeight="1">
      <c r="A986" s="792"/>
      <c r="B986" s="792"/>
      <c r="C986" s="792"/>
      <c r="D986" s="792"/>
      <c r="E986" s="792"/>
      <c r="F986" s="792"/>
      <c r="G986" s="792"/>
      <c r="H986" s="792"/>
      <c r="I986" s="792"/>
      <c r="J986" s="792"/>
      <c r="K986" s="792"/>
      <c r="L986" s="792"/>
      <c r="M986" s="792"/>
      <c r="N986" s="792"/>
      <c r="O986" s="792"/>
      <c r="P986" s="792"/>
      <c r="Q986" s="792"/>
      <c r="R986" s="792"/>
      <c r="S986" s="792"/>
      <c r="T986" s="792"/>
      <c r="U986" s="792"/>
      <c r="V986" s="793"/>
      <c r="W986" s="792"/>
      <c r="X986" s="792"/>
      <c r="Y986" s="792"/>
      <c r="Z986" s="792"/>
      <c r="AA986" s="792"/>
    </row>
    <row r="987" spans="1:27" ht="15.75" customHeight="1">
      <c r="A987" s="792"/>
      <c r="B987" s="792"/>
      <c r="C987" s="792"/>
      <c r="D987" s="792"/>
      <c r="E987" s="792"/>
      <c r="F987" s="792"/>
      <c r="G987" s="792"/>
      <c r="H987" s="792"/>
      <c r="I987" s="792"/>
      <c r="J987" s="792"/>
      <c r="K987" s="792"/>
      <c r="L987" s="792"/>
      <c r="M987" s="792"/>
      <c r="N987" s="792"/>
      <c r="O987" s="792"/>
      <c r="P987" s="792"/>
      <c r="Q987" s="792"/>
      <c r="R987" s="792"/>
      <c r="S987" s="792"/>
      <c r="T987" s="792"/>
      <c r="U987" s="792"/>
      <c r="V987" s="793"/>
      <c r="W987" s="792"/>
      <c r="X987" s="792"/>
      <c r="Y987" s="792"/>
      <c r="Z987" s="792"/>
      <c r="AA987" s="792"/>
    </row>
    <row r="988" spans="1:27" ht="15.75" customHeight="1">
      <c r="A988" s="792"/>
      <c r="B988" s="792"/>
      <c r="C988" s="792"/>
      <c r="D988" s="792"/>
      <c r="E988" s="792"/>
      <c r="F988" s="792"/>
      <c r="G988" s="792"/>
      <c r="H988" s="792"/>
      <c r="I988" s="792"/>
      <c r="J988" s="792"/>
      <c r="K988" s="792"/>
      <c r="L988" s="792"/>
      <c r="M988" s="792"/>
      <c r="N988" s="792"/>
      <c r="O988" s="792"/>
      <c r="P988" s="792"/>
      <c r="Q988" s="792"/>
      <c r="R988" s="792"/>
      <c r="S988" s="792"/>
      <c r="T988" s="792"/>
      <c r="U988" s="792"/>
      <c r="V988" s="793"/>
      <c r="W988" s="792"/>
      <c r="X988" s="792"/>
      <c r="Y988" s="792"/>
      <c r="Z988" s="792"/>
      <c r="AA988" s="792"/>
    </row>
    <row r="989" spans="1:27" ht="15.75" customHeight="1">
      <c r="A989" s="792"/>
      <c r="B989" s="792"/>
      <c r="C989" s="792"/>
      <c r="D989" s="792"/>
      <c r="E989" s="792"/>
      <c r="F989" s="792"/>
      <c r="G989" s="792"/>
      <c r="H989" s="792"/>
      <c r="I989" s="792"/>
      <c r="J989" s="792"/>
      <c r="K989" s="792"/>
      <c r="L989" s="792"/>
      <c r="M989" s="792"/>
      <c r="N989" s="792"/>
      <c r="O989" s="792"/>
      <c r="P989" s="792"/>
      <c r="Q989" s="792"/>
      <c r="R989" s="792"/>
      <c r="S989" s="792"/>
      <c r="T989" s="792"/>
      <c r="U989" s="792"/>
      <c r="V989" s="793"/>
      <c r="W989" s="792"/>
      <c r="X989" s="792"/>
      <c r="Y989" s="792"/>
      <c r="Z989" s="792"/>
      <c r="AA989" s="792"/>
    </row>
    <row r="990" spans="1:27" ht="15.75" customHeight="1">
      <c r="A990" s="792"/>
      <c r="B990" s="792"/>
      <c r="C990" s="792"/>
      <c r="D990" s="792"/>
      <c r="E990" s="792"/>
      <c r="F990" s="792"/>
      <c r="G990" s="792"/>
      <c r="H990" s="792"/>
      <c r="I990" s="792"/>
      <c r="J990" s="792"/>
      <c r="K990" s="792"/>
      <c r="L990" s="792"/>
      <c r="M990" s="792"/>
      <c r="N990" s="792"/>
      <c r="O990" s="792"/>
      <c r="P990" s="792"/>
      <c r="Q990" s="792"/>
      <c r="R990" s="792"/>
      <c r="S990" s="792"/>
      <c r="T990" s="792"/>
      <c r="U990" s="792"/>
      <c r="V990" s="793"/>
      <c r="W990" s="792"/>
      <c r="X990" s="792"/>
      <c r="Y990" s="792"/>
      <c r="Z990" s="792"/>
      <c r="AA990" s="792"/>
    </row>
    <row r="991" spans="1:27" ht="15.75" customHeight="1">
      <c r="A991" s="792"/>
      <c r="B991" s="792"/>
      <c r="C991" s="792"/>
      <c r="D991" s="792"/>
      <c r="E991" s="792"/>
      <c r="F991" s="792"/>
      <c r="G991" s="792"/>
      <c r="H991" s="792"/>
      <c r="I991" s="792"/>
      <c r="J991" s="792"/>
      <c r="K991" s="792"/>
      <c r="L991" s="792"/>
      <c r="M991" s="792"/>
      <c r="N991" s="792"/>
      <c r="O991" s="792"/>
      <c r="P991" s="792"/>
      <c r="Q991" s="792"/>
      <c r="R991" s="792"/>
      <c r="S991" s="792"/>
      <c r="T991" s="792"/>
      <c r="U991" s="792"/>
      <c r="V991" s="793"/>
      <c r="W991" s="792"/>
      <c r="X991" s="792"/>
      <c r="Y991" s="792"/>
      <c r="Z991" s="792"/>
      <c r="AA991" s="792"/>
    </row>
    <row r="992" spans="1:27" ht="15.75" customHeight="1">
      <c r="A992" s="792"/>
      <c r="B992" s="792"/>
      <c r="C992" s="792"/>
      <c r="D992" s="792"/>
      <c r="E992" s="792"/>
      <c r="F992" s="792"/>
      <c r="G992" s="792"/>
      <c r="H992" s="792"/>
      <c r="I992" s="792"/>
      <c r="J992" s="792"/>
      <c r="K992" s="792"/>
      <c r="L992" s="792"/>
      <c r="M992" s="792"/>
      <c r="N992" s="792"/>
      <c r="O992" s="792"/>
      <c r="P992" s="792"/>
      <c r="Q992" s="792"/>
      <c r="R992" s="792"/>
      <c r="S992" s="792"/>
      <c r="T992" s="792"/>
      <c r="U992" s="792"/>
      <c r="V992" s="793"/>
      <c r="W992" s="792"/>
      <c r="X992" s="792"/>
      <c r="Y992" s="792"/>
      <c r="Z992" s="792"/>
      <c r="AA992" s="792"/>
    </row>
    <row r="993" spans="1:27" ht="15.75" customHeight="1">
      <c r="A993" s="792"/>
      <c r="B993" s="792"/>
      <c r="C993" s="792"/>
      <c r="D993" s="792"/>
      <c r="E993" s="792"/>
      <c r="F993" s="792"/>
      <c r="G993" s="792"/>
      <c r="H993" s="792"/>
      <c r="I993" s="792"/>
      <c r="J993" s="792"/>
      <c r="K993" s="792"/>
      <c r="L993" s="792"/>
      <c r="M993" s="792"/>
      <c r="N993" s="792"/>
      <c r="O993" s="792"/>
      <c r="P993" s="792"/>
      <c r="Q993" s="792"/>
      <c r="R993" s="792"/>
      <c r="S993" s="792"/>
      <c r="T993" s="792"/>
      <c r="U993" s="792"/>
      <c r="V993" s="793"/>
      <c r="W993" s="792"/>
      <c r="X993" s="792"/>
      <c r="Y993" s="792"/>
      <c r="Z993" s="792"/>
      <c r="AA993" s="792"/>
    </row>
    <row r="994" spans="1:27" ht="15.75" customHeight="1">
      <c r="A994" s="792"/>
      <c r="B994" s="792"/>
      <c r="C994" s="792"/>
      <c r="D994" s="792"/>
      <c r="E994" s="792"/>
      <c r="F994" s="792"/>
      <c r="G994" s="792"/>
      <c r="H994" s="792"/>
      <c r="I994" s="792"/>
      <c r="J994" s="792"/>
      <c r="K994" s="792"/>
      <c r="L994" s="792"/>
      <c r="M994" s="792"/>
      <c r="N994" s="792"/>
      <c r="O994" s="792"/>
      <c r="P994" s="792"/>
      <c r="Q994" s="792"/>
      <c r="R994" s="792"/>
      <c r="S994" s="792"/>
      <c r="T994" s="792"/>
      <c r="U994" s="792"/>
      <c r="V994" s="793"/>
      <c r="W994" s="792"/>
      <c r="X994" s="792"/>
      <c r="Y994" s="792"/>
      <c r="Z994" s="792"/>
      <c r="AA994" s="792"/>
    </row>
    <row r="995" spans="1:27" ht="15.75" customHeight="1">
      <c r="A995" s="792"/>
      <c r="B995" s="792"/>
      <c r="C995" s="792"/>
      <c r="D995" s="792"/>
      <c r="E995" s="792"/>
      <c r="F995" s="792"/>
      <c r="G995" s="792"/>
      <c r="H995" s="792"/>
      <c r="I995" s="792"/>
      <c r="J995" s="792"/>
      <c r="K995" s="792"/>
      <c r="L995" s="792"/>
      <c r="M995" s="792"/>
      <c r="N995" s="792"/>
      <c r="O995" s="792"/>
      <c r="P995" s="792"/>
      <c r="Q995" s="792"/>
      <c r="R995" s="792"/>
      <c r="S995" s="792"/>
      <c r="T995" s="792"/>
      <c r="U995" s="792"/>
      <c r="V995" s="793"/>
      <c r="W995" s="792"/>
      <c r="X995" s="792"/>
      <c r="Y995" s="792"/>
      <c r="Z995" s="792"/>
      <c r="AA995" s="792"/>
    </row>
  </sheetData>
  <mergeCells count="101">
    <mergeCell ref="B204:B206"/>
    <mergeCell ref="C204:C206"/>
    <mergeCell ref="B210:D210"/>
    <mergeCell ref="A211:D211"/>
    <mergeCell ref="A135:A158"/>
    <mergeCell ref="B135:B136"/>
    <mergeCell ref="B138:B144"/>
    <mergeCell ref="B145:B146"/>
    <mergeCell ref="B147:B149"/>
    <mergeCell ref="B158:D158"/>
    <mergeCell ref="A159:A210"/>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A3:E3"/>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V4:V5"/>
    <mergeCell ref="G4:H4"/>
    <mergeCell ref="I4:I5"/>
    <mergeCell ref="J4:L4"/>
    <mergeCell ref="M4:M5"/>
    <mergeCell ref="N4:N5"/>
    <mergeCell ref="O4:O5"/>
    <mergeCell ref="P4:P5"/>
    <mergeCell ref="C40:C46"/>
  </mergeCells>
  <pageMargins left="0.22" right="0.21" top="0.75" bottom="0.27" header="0" footer="0"/>
  <pageSetup scale="81" orientation="portrait" r:id="rId1"/>
  <rowBreaks count="1" manualBreakCount="1">
    <brk id="203" max="21" man="1"/>
  </rowBreaks>
</worksheet>
</file>

<file path=xl/worksheets/sheet13.xml><?xml version="1.0" encoding="utf-8"?>
<worksheet xmlns="http://schemas.openxmlformats.org/spreadsheetml/2006/main" xmlns:r="http://schemas.openxmlformats.org/officeDocument/2006/relationships">
  <dimension ref="A1:AA948"/>
  <sheetViews>
    <sheetView workbookViewId="0">
      <pane xSplit="5" ySplit="5" topLeftCell="F186" activePane="bottomRight" state="frozen"/>
      <selection pane="topRight" activeCell="F1" sqref="F1"/>
      <selection pane="bottomLeft" activeCell="A6" sqref="A6"/>
      <selection pane="bottomRight" activeCell="P187" sqref="P187:V187"/>
    </sheetView>
  </sheetViews>
  <sheetFormatPr defaultColWidth="14.42578125" defaultRowHeight="15" customHeight="1"/>
  <cols>
    <col min="1" max="1" width="5.28515625" style="784" customWidth="1"/>
    <col min="2" max="2" width="4.7109375" style="784" customWidth="1"/>
    <col min="3" max="3" width="6.85546875" style="784" customWidth="1"/>
    <col min="4" max="4" width="5.85546875" style="784" customWidth="1"/>
    <col min="5" max="5" width="22.42578125" style="784" customWidth="1"/>
    <col min="6" max="6" width="7.42578125" style="784" customWidth="1"/>
    <col min="7" max="7" width="10.140625" style="784" customWidth="1"/>
    <col min="8" max="8" width="8.28515625" style="784" customWidth="1"/>
    <col min="9" max="9" width="11.28515625" style="784" customWidth="1"/>
    <col min="10" max="10" width="10.7109375" style="784" customWidth="1"/>
    <col min="11" max="11" width="9.28515625" style="784" customWidth="1"/>
    <col min="12" max="12" width="7.140625" style="784" customWidth="1"/>
    <col min="13" max="13" width="11" style="784" customWidth="1"/>
    <col min="14" max="14" width="9.7109375" style="784" customWidth="1"/>
    <col min="15" max="15" width="7.7109375" style="784" customWidth="1"/>
    <col min="16" max="16" width="9.85546875" style="784" customWidth="1"/>
    <col min="17" max="17" width="9.42578125" style="784" customWidth="1"/>
    <col min="18" max="18" width="9" style="784" customWidth="1"/>
    <col min="19" max="19" width="10.42578125" style="784" customWidth="1"/>
    <col min="20" max="21" width="11.28515625" style="784" customWidth="1"/>
    <col min="22" max="22" width="53.28515625" style="4" customWidth="1"/>
    <col min="23" max="23" width="48.85546875" style="784" customWidth="1"/>
    <col min="24" max="24" width="38.140625" style="784" customWidth="1"/>
    <col min="25" max="27" width="14.42578125" style="784" customWidth="1"/>
    <col min="28" max="16384" width="14.42578125" style="784"/>
  </cols>
  <sheetData>
    <row r="1" spans="1:27" s="731" customFormat="1" ht="20.25" customHeight="1">
      <c r="A1" s="522"/>
      <c r="B1" s="730"/>
      <c r="C1" s="730"/>
      <c r="D1" s="730"/>
      <c r="E1" s="523" t="s">
        <v>0</v>
      </c>
      <c r="J1" s="732"/>
      <c r="K1" s="732"/>
      <c r="L1" s="732"/>
      <c r="M1" s="732"/>
      <c r="N1" s="732"/>
      <c r="O1" s="732"/>
      <c r="P1" s="732"/>
      <c r="Q1" s="732"/>
      <c r="R1" s="732"/>
      <c r="S1" s="732"/>
      <c r="T1" s="732"/>
      <c r="U1" s="732"/>
      <c r="V1" s="733"/>
    </row>
    <row r="2" spans="1:27" s="731" customFormat="1" ht="23.25" customHeight="1">
      <c r="A2" s="732"/>
      <c r="B2" s="732"/>
      <c r="C2" s="732"/>
      <c r="D2" s="732"/>
      <c r="E2" s="732"/>
      <c r="F2" s="732"/>
      <c r="G2" s="732"/>
      <c r="H2" s="732"/>
      <c r="I2" s="732"/>
      <c r="J2" s="732"/>
      <c r="K2" s="732"/>
      <c r="L2" s="732"/>
      <c r="M2" s="732"/>
      <c r="N2" s="732"/>
      <c r="O2" s="732"/>
      <c r="P2" s="732"/>
      <c r="Q2" s="732"/>
      <c r="R2" s="732"/>
      <c r="S2" s="732"/>
      <c r="T2" s="732"/>
      <c r="U2" s="732"/>
      <c r="V2" s="733"/>
    </row>
    <row r="3" spans="1:27" s="731" customFormat="1" ht="22.5" customHeight="1">
      <c r="A3" s="734" t="s">
        <v>1728</v>
      </c>
      <c r="B3" s="734"/>
      <c r="C3" s="734"/>
      <c r="D3" s="734"/>
      <c r="E3" s="734"/>
      <c r="F3" s="519"/>
      <c r="G3" s="519"/>
      <c r="H3" s="519"/>
      <c r="I3" s="519"/>
      <c r="J3" s="519"/>
      <c r="K3" s="519"/>
      <c r="L3" s="519"/>
      <c r="M3" s="519"/>
      <c r="N3" s="519"/>
      <c r="O3" s="519"/>
      <c r="P3" s="519"/>
      <c r="Q3" s="519"/>
      <c r="R3" s="519"/>
      <c r="S3" s="519"/>
      <c r="T3" s="735"/>
      <c r="U3" s="519"/>
      <c r="V3" s="519" t="s">
        <v>2</v>
      </c>
    </row>
    <row r="4" spans="1:27" ht="29.25" customHeight="1">
      <c r="A4" s="699" t="s">
        <v>3</v>
      </c>
      <c r="B4" s="699" t="s">
        <v>4</v>
      </c>
      <c r="C4" s="699" t="s">
        <v>5</v>
      </c>
      <c r="D4" s="699" t="s">
        <v>6</v>
      </c>
      <c r="E4" s="699" t="s">
        <v>388</v>
      </c>
      <c r="F4" s="699" t="s">
        <v>8</v>
      </c>
      <c r="G4" s="699" t="s">
        <v>9</v>
      </c>
      <c r="H4" s="736"/>
      <c r="I4" s="699" t="s">
        <v>10</v>
      </c>
      <c r="J4" s="699" t="s">
        <v>11</v>
      </c>
      <c r="K4" s="736"/>
      <c r="L4" s="736"/>
      <c r="M4" s="699" t="s">
        <v>12</v>
      </c>
      <c r="N4" s="699" t="s">
        <v>13</v>
      </c>
      <c r="O4" s="699" t="s">
        <v>14</v>
      </c>
      <c r="P4" s="699" t="s">
        <v>445</v>
      </c>
      <c r="Q4" s="699" t="s">
        <v>16</v>
      </c>
      <c r="R4" s="699" t="s">
        <v>17</v>
      </c>
      <c r="S4" s="699" t="s">
        <v>18</v>
      </c>
      <c r="T4" s="644" t="s">
        <v>19</v>
      </c>
      <c r="U4" s="644" t="s">
        <v>19</v>
      </c>
      <c r="V4" s="737" t="s">
        <v>389</v>
      </c>
      <c r="W4" s="471"/>
      <c r="X4" s="3"/>
      <c r="Y4" s="3"/>
      <c r="Z4" s="3"/>
      <c r="AA4" s="3"/>
    </row>
    <row r="5" spans="1:27" ht="44.25" customHeight="1">
      <c r="A5" s="736"/>
      <c r="B5" s="736"/>
      <c r="C5" s="736"/>
      <c r="D5" s="736"/>
      <c r="E5" s="736"/>
      <c r="F5" s="736"/>
      <c r="G5" s="644" t="s">
        <v>21</v>
      </c>
      <c r="H5" s="644" t="s">
        <v>22</v>
      </c>
      <c r="I5" s="736"/>
      <c r="J5" s="644" t="s">
        <v>1692</v>
      </c>
      <c r="K5" s="644" t="s">
        <v>23</v>
      </c>
      <c r="L5" s="644" t="s">
        <v>24</v>
      </c>
      <c r="M5" s="736"/>
      <c r="N5" s="736"/>
      <c r="O5" s="736"/>
      <c r="P5" s="736"/>
      <c r="Q5" s="736"/>
      <c r="R5" s="736"/>
      <c r="S5" s="736"/>
      <c r="T5" s="644" t="s">
        <v>25</v>
      </c>
      <c r="U5" s="644" t="s">
        <v>26</v>
      </c>
      <c r="V5" s="794"/>
      <c r="W5" s="471"/>
      <c r="X5" s="3"/>
      <c r="Y5" s="3"/>
      <c r="Z5" s="3"/>
      <c r="AA5" s="3"/>
    </row>
    <row r="6" spans="1:27" ht="24.75" customHeight="1">
      <c r="A6" s="700" t="s">
        <v>27</v>
      </c>
      <c r="B6" s="699" t="s">
        <v>28</v>
      </c>
      <c r="C6" s="699" t="s">
        <v>29</v>
      </c>
      <c r="D6" s="644">
        <v>1</v>
      </c>
      <c r="E6" s="644" t="s">
        <v>30</v>
      </c>
      <c r="F6" s="644"/>
      <c r="G6" s="644"/>
      <c r="H6" s="644"/>
      <c r="I6" s="644"/>
      <c r="J6" s="644"/>
      <c r="K6" s="644"/>
      <c r="L6" s="644"/>
      <c r="M6" s="644"/>
      <c r="N6" s="644"/>
      <c r="O6" s="644"/>
      <c r="P6" s="644"/>
      <c r="Q6" s="644"/>
      <c r="R6" s="644"/>
      <c r="S6" s="644"/>
      <c r="T6" s="646">
        <f t="shared" ref="T6:T103" si="0">SUM(F6:S6)</f>
        <v>0</v>
      </c>
      <c r="U6" s="646"/>
      <c r="V6" s="729"/>
      <c r="W6" s="471"/>
      <c r="X6" s="3"/>
      <c r="Y6" s="3"/>
      <c r="Z6" s="3"/>
      <c r="AA6" s="3"/>
    </row>
    <row r="7" spans="1:27" ht="24.75" customHeight="1">
      <c r="A7" s="736"/>
      <c r="B7" s="736"/>
      <c r="C7" s="736"/>
      <c r="D7" s="644">
        <v>2</v>
      </c>
      <c r="E7" s="644" t="s">
        <v>31</v>
      </c>
      <c r="F7" s="644"/>
      <c r="G7" s="644"/>
      <c r="H7" s="644"/>
      <c r="I7" s="644"/>
      <c r="J7" s="644"/>
      <c r="K7" s="647"/>
      <c r="L7" s="644"/>
      <c r="M7" s="644"/>
      <c r="N7" s="644"/>
      <c r="O7" s="644"/>
      <c r="P7" s="648"/>
      <c r="Q7" s="644"/>
      <c r="R7" s="644"/>
      <c r="S7" s="644"/>
      <c r="T7" s="646">
        <f t="shared" si="0"/>
        <v>0</v>
      </c>
      <c r="U7" s="646">
        <f t="shared" ref="U7:U12" si="1">T7</f>
        <v>0</v>
      </c>
      <c r="V7" s="729"/>
      <c r="W7" s="471"/>
      <c r="X7" s="3"/>
      <c r="Y7" s="3"/>
      <c r="Z7" s="3"/>
      <c r="AA7" s="3"/>
    </row>
    <row r="8" spans="1:27" ht="69" customHeight="1">
      <c r="A8" s="736"/>
      <c r="B8" s="736"/>
      <c r="C8" s="736"/>
      <c r="D8" s="644">
        <v>3</v>
      </c>
      <c r="E8" s="644" t="s">
        <v>32</v>
      </c>
      <c r="F8" s="654">
        <v>60.21</v>
      </c>
      <c r="G8" s="644"/>
      <c r="H8" s="644"/>
      <c r="I8" s="644"/>
      <c r="J8" s="644"/>
      <c r="K8" s="644"/>
      <c r="L8" s="644"/>
      <c r="M8" s="644"/>
      <c r="N8" s="644"/>
      <c r="O8" s="654">
        <v>49.18</v>
      </c>
      <c r="P8" s="644"/>
      <c r="Q8" s="644"/>
      <c r="R8" s="654">
        <v>2.41</v>
      </c>
      <c r="S8" s="644"/>
      <c r="T8" s="646">
        <f t="shared" si="0"/>
        <v>111.8</v>
      </c>
      <c r="U8" s="646">
        <f t="shared" si="1"/>
        <v>111.8</v>
      </c>
      <c r="V8" s="729" t="s">
        <v>1019</v>
      </c>
      <c r="W8" s="471"/>
      <c r="X8" s="3"/>
      <c r="Y8" s="3"/>
      <c r="Z8" s="3"/>
      <c r="AA8" s="3"/>
    </row>
    <row r="9" spans="1:27" ht="128.25" customHeight="1">
      <c r="A9" s="736"/>
      <c r="B9" s="736"/>
      <c r="C9" s="736"/>
      <c r="D9" s="644">
        <v>4</v>
      </c>
      <c r="E9" s="644" t="s">
        <v>34</v>
      </c>
      <c r="F9" s="644"/>
      <c r="G9" s="644"/>
      <c r="H9" s="644"/>
      <c r="I9" s="644"/>
      <c r="J9" s="644"/>
      <c r="K9" s="644">
        <v>81.209999999999994</v>
      </c>
      <c r="L9" s="644"/>
      <c r="M9" s="646">
        <v>17.760000000000002</v>
      </c>
      <c r="N9" s="644"/>
      <c r="O9" s="644"/>
      <c r="P9" s="654">
        <v>45.34</v>
      </c>
      <c r="Q9" s="644"/>
      <c r="R9" s="644"/>
      <c r="S9" s="644"/>
      <c r="T9" s="646">
        <f t="shared" si="0"/>
        <v>144.31</v>
      </c>
      <c r="U9" s="646">
        <f t="shared" si="1"/>
        <v>144.31</v>
      </c>
      <c r="V9" s="729" t="s">
        <v>1020</v>
      </c>
      <c r="W9" s="471"/>
      <c r="X9" s="3"/>
      <c r="Y9" s="3"/>
      <c r="Z9" s="3"/>
      <c r="AA9" s="3"/>
    </row>
    <row r="10" spans="1:27" ht="45">
      <c r="A10" s="736"/>
      <c r="B10" s="736"/>
      <c r="C10" s="736"/>
      <c r="D10" s="644">
        <v>5</v>
      </c>
      <c r="E10" s="644" t="s">
        <v>36</v>
      </c>
      <c r="F10" s="644"/>
      <c r="G10" s="644"/>
      <c r="H10" s="644"/>
      <c r="I10" s="644"/>
      <c r="J10" s="644"/>
      <c r="K10" s="644"/>
      <c r="L10" s="644"/>
      <c r="M10" s="644"/>
      <c r="N10" s="644"/>
      <c r="O10" s="644"/>
      <c r="P10" s="646">
        <v>44.39</v>
      </c>
      <c r="Q10" s="644"/>
      <c r="R10" s="644"/>
      <c r="S10" s="644"/>
      <c r="T10" s="646">
        <f t="shared" si="0"/>
        <v>44.39</v>
      </c>
      <c r="U10" s="646">
        <f t="shared" si="1"/>
        <v>44.39</v>
      </c>
      <c r="V10" s="729" t="s">
        <v>1021</v>
      </c>
      <c r="W10" s="471"/>
      <c r="X10" s="3"/>
      <c r="Y10" s="3"/>
      <c r="Z10" s="3"/>
      <c r="AA10" s="3"/>
    </row>
    <row r="11" spans="1:27" ht="185.25" customHeight="1">
      <c r="A11" s="736"/>
      <c r="B11" s="736"/>
      <c r="C11" s="736"/>
      <c r="D11" s="644">
        <v>6</v>
      </c>
      <c r="E11" s="644" t="s">
        <v>38</v>
      </c>
      <c r="F11" s="644">
        <v>1.04</v>
      </c>
      <c r="G11" s="644"/>
      <c r="H11" s="644"/>
      <c r="I11" s="644"/>
      <c r="J11" s="644"/>
      <c r="K11" s="644"/>
      <c r="L11" s="644"/>
      <c r="M11" s="644"/>
      <c r="N11" s="654"/>
      <c r="O11" s="644">
        <v>3.2</v>
      </c>
      <c r="P11" s="654">
        <v>1.81</v>
      </c>
      <c r="Q11" s="644"/>
      <c r="R11" s="644"/>
      <c r="S11" s="644"/>
      <c r="T11" s="646">
        <f t="shared" si="0"/>
        <v>6.0500000000000007</v>
      </c>
      <c r="U11" s="646">
        <f t="shared" si="1"/>
        <v>6.0500000000000007</v>
      </c>
      <c r="V11" s="729" t="s">
        <v>1022</v>
      </c>
      <c r="W11" s="471"/>
      <c r="X11" s="3"/>
      <c r="Y11" s="3"/>
      <c r="Z11" s="3"/>
      <c r="AA11" s="3"/>
    </row>
    <row r="12" spans="1:27" ht="105">
      <c r="A12" s="736"/>
      <c r="B12" s="736"/>
      <c r="C12" s="736"/>
      <c r="D12" s="644">
        <v>7</v>
      </c>
      <c r="E12" s="644" t="s">
        <v>40</v>
      </c>
      <c r="F12" s="644"/>
      <c r="G12" s="644"/>
      <c r="H12" s="644"/>
      <c r="I12" s="644"/>
      <c r="J12" s="644"/>
      <c r="K12" s="644"/>
      <c r="L12" s="644"/>
      <c r="M12" s="644"/>
      <c r="N12" s="644"/>
      <c r="O12" s="644"/>
      <c r="P12" s="654">
        <v>0</v>
      </c>
      <c r="Q12" s="654">
        <v>2</v>
      </c>
      <c r="R12" s="644">
        <v>0.1</v>
      </c>
      <c r="S12" s="644"/>
      <c r="T12" s="646">
        <f t="shared" si="0"/>
        <v>2.1</v>
      </c>
      <c r="U12" s="646">
        <f t="shared" si="1"/>
        <v>2.1</v>
      </c>
      <c r="V12" s="729" t="s">
        <v>392</v>
      </c>
      <c r="W12" s="471"/>
      <c r="X12" s="3"/>
      <c r="Y12" s="3"/>
      <c r="Z12" s="3"/>
      <c r="AA12" s="3"/>
    </row>
    <row r="13" spans="1:27" ht="24.75" customHeight="1">
      <c r="A13" s="736"/>
      <c r="B13" s="736"/>
      <c r="C13" s="736"/>
      <c r="D13" s="644">
        <v>8</v>
      </c>
      <c r="E13" s="644" t="s">
        <v>42</v>
      </c>
      <c r="F13" s="644"/>
      <c r="G13" s="644"/>
      <c r="H13" s="644"/>
      <c r="I13" s="644"/>
      <c r="J13" s="644"/>
      <c r="K13" s="644"/>
      <c r="L13" s="644"/>
      <c r="M13" s="644"/>
      <c r="N13" s="646"/>
      <c r="O13" s="644"/>
      <c r="P13" s="644"/>
      <c r="Q13" s="644"/>
      <c r="R13" s="644"/>
      <c r="S13" s="644"/>
      <c r="T13" s="646">
        <f t="shared" si="0"/>
        <v>0</v>
      </c>
      <c r="U13" s="646">
        <f>T13*1.05</f>
        <v>0</v>
      </c>
      <c r="V13" s="729"/>
      <c r="W13" s="471"/>
      <c r="X13" s="3"/>
      <c r="Y13" s="3"/>
      <c r="Z13" s="3"/>
      <c r="AA13" s="3"/>
    </row>
    <row r="14" spans="1:27" ht="75">
      <c r="A14" s="736"/>
      <c r="B14" s="736"/>
      <c r="C14" s="736"/>
      <c r="D14" s="644">
        <v>9</v>
      </c>
      <c r="E14" s="644" t="s">
        <v>43</v>
      </c>
      <c r="F14" s="644"/>
      <c r="G14" s="644"/>
      <c r="H14" s="644"/>
      <c r="I14" s="644"/>
      <c r="J14" s="644"/>
      <c r="K14" s="644"/>
      <c r="L14" s="644"/>
      <c r="M14" s="644"/>
      <c r="N14" s="646"/>
      <c r="O14" s="644"/>
      <c r="P14" s="682">
        <v>0.15851999999999999</v>
      </c>
      <c r="Q14" s="683"/>
      <c r="R14" s="683">
        <v>0.24</v>
      </c>
      <c r="S14" s="683"/>
      <c r="T14" s="646">
        <f t="shared" si="0"/>
        <v>0.39851999999999999</v>
      </c>
      <c r="U14" s="646">
        <f>T14</f>
        <v>0.39851999999999999</v>
      </c>
      <c r="V14" s="729" t="s">
        <v>522</v>
      </c>
      <c r="W14" s="471"/>
      <c r="X14" s="3"/>
      <c r="Y14" s="3"/>
      <c r="Z14" s="3"/>
      <c r="AA14" s="3"/>
    </row>
    <row r="15" spans="1:27" ht="90">
      <c r="A15" s="736"/>
      <c r="B15" s="736"/>
      <c r="C15" s="736"/>
      <c r="D15" s="644">
        <v>10</v>
      </c>
      <c r="E15" s="644" t="s">
        <v>44</v>
      </c>
      <c r="F15" s="644"/>
      <c r="G15" s="644"/>
      <c r="H15" s="644"/>
      <c r="I15" s="646">
        <v>0.03</v>
      </c>
      <c r="J15" s="644"/>
      <c r="K15" s="644"/>
      <c r="L15" s="644"/>
      <c r="M15" s="644"/>
      <c r="N15" s="646">
        <v>0.82</v>
      </c>
      <c r="O15" s="644"/>
      <c r="P15" s="644"/>
      <c r="Q15" s="644"/>
      <c r="R15" s="644"/>
      <c r="S15" s="644"/>
      <c r="T15" s="646">
        <f t="shared" si="0"/>
        <v>0.85</v>
      </c>
      <c r="U15" s="646">
        <v>0.82</v>
      </c>
      <c r="V15" s="729" t="s">
        <v>1598</v>
      </c>
      <c r="W15" s="471"/>
      <c r="X15" s="3"/>
      <c r="Y15" s="3"/>
      <c r="Z15" s="3"/>
      <c r="AA15" s="3"/>
    </row>
    <row r="16" spans="1:27" ht="24.75" customHeight="1">
      <c r="A16" s="736"/>
      <c r="B16" s="736"/>
      <c r="C16" s="736"/>
      <c r="D16" s="644">
        <v>11</v>
      </c>
      <c r="E16" s="644" t="s">
        <v>45</v>
      </c>
      <c r="F16" s="644"/>
      <c r="G16" s="654"/>
      <c r="H16" s="654"/>
      <c r="I16" s="644"/>
      <c r="J16" s="644"/>
      <c r="K16" s="644"/>
      <c r="L16" s="644"/>
      <c r="M16" s="644"/>
      <c r="N16" s="644"/>
      <c r="O16" s="644"/>
      <c r="P16" s="644"/>
      <c r="Q16" s="644"/>
      <c r="R16" s="644"/>
      <c r="S16" s="644"/>
      <c r="T16" s="646">
        <f t="shared" si="0"/>
        <v>0</v>
      </c>
      <c r="U16" s="646">
        <f>T16</f>
        <v>0</v>
      </c>
      <c r="V16" s="729"/>
      <c r="W16" s="471"/>
      <c r="X16" s="3"/>
      <c r="Y16" s="3"/>
      <c r="Z16" s="3"/>
      <c r="AA16" s="3"/>
    </row>
    <row r="17" spans="1:27" ht="45">
      <c r="A17" s="736"/>
      <c r="B17" s="736"/>
      <c r="C17" s="736"/>
      <c r="D17" s="644">
        <v>12</v>
      </c>
      <c r="E17" s="644" t="s">
        <v>46</v>
      </c>
      <c r="F17" s="644"/>
      <c r="G17" s="644"/>
      <c r="H17" s="644"/>
      <c r="I17" s="644"/>
      <c r="J17" s="644"/>
      <c r="K17" s="644"/>
      <c r="L17" s="644"/>
      <c r="M17" s="644"/>
      <c r="N17" s="646">
        <v>1</v>
      </c>
      <c r="O17" s="644"/>
      <c r="P17" s="644"/>
      <c r="Q17" s="644"/>
      <c r="R17" s="644"/>
      <c r="S17" s="644"/>
      <c r="T17" s="646">
        <f t="shared" si="0"/>
        <v>1</v>
      </c>
      <c r="U17" s="646">
        <v>1</v>
      </c>
      <c r="V17" s="729" t="s">
        <v>1023</v>
      </c>
      <c r="W17" s="471"/>
      <c r="X17" s="3"/>
      <c r="Y17" s="3"/>
      <c r="Z17" s="3"/>
      <c r="AA17" s="3"/>
    </row>
    <row r="18" spans="1:27" ht="24.75" customHeight="1">
      <c r="A18" s="736"/>
      <c r="B18" s="736"/>
      <c r="C18" s="736"/>
      <c r="D18" s="644">
        <v>13</v>
      </c>
      <c r="E18" s="644" t="s">
        <v>48</v>
      </c>
      <c r="F18" s="644"/>
      <c r="G18" s="644"/>
      <c r="H18" s="644"/>
      <c r="I18" s="644"/>
      <c r="J18" s="644"/>
      <c r="K18" s="644"/>
      <c r="L18" s="644"/>
      <c r="M18" s="644"/>
      <c r="N18" s="644"/>
      <c r="O18" s="644"/>
      <c r="P18" s="654"/>
      <c r="Q18" s="644"/>
      <c r="R18" s="644"/>
      <c r="S18" s="644"/>
      <c r="T18" s="646">
        <f t="shared" si="0"/>
        <v>0</v>
      </c>
      <c r="U18" s="646">
        <v>0</v>
      </c>
      <c r="V18" s="729"/>
      <c r="W18" s="471"/>
      <c r="X18" s="3"/>
      <c r="Y18" s="3"/>
      <c r="Z18" s="3"/>
      <c r="AA18" s="3"/>
    </row>
    <row r="19" spans="1:27" ht="24.75" customHeight="1">
      <c r="A19" s="736"/>
      <c r="B19" s="736"/>
      <c r="C19" s="736"/>
      <c r="D19" s="644">
        <v>14</v>
      </c>
      <c r="E19" s="644" t="s">
        <v>49</v>
      </c>
      <c r="F19" s="644"/>
      <c r="G19" s="644"/>
      <c r="H19" s="644"/>
      <c r="I19" s="644"/>
      <c r="J19" s="644"/>
      <c r="K19" s="644"/>
      <c r="L19" s="644"/>
      <c r="M19" s="644"/>
      <c r="N19" s="644"/>
      <c r="O19" s="644"/>
      <c r="P19" s="644"/>
      <c r="Q19" s="644"/>
      <c r="R19" s="644"/>
      <c r="S19" s="644"/>
      <c r="T19" s="646">
        <f t="shared" si="0"/>
        <v>0</v>
      </c>
      <c r="U19" s="646">
        <v>0</v>
      </c>
      <c r="V19" s="729"/>
      <c r="W19" s="471"/>
      <c r="X19" s="3"/>
      <c r="Y19" s="3"/>
      <c r="Z19" s="3"/>
      <c r="AA19" s="3"/>
    </row>
    <row r="20" spans="1:27" ht="330">
      <c r="A20" s="736"/>
      <c r="B20" s="736"/>
      <c r="C20" s="736"/>
      <c r="D20" s="644">
        <v>15</v>
      </c>
      <c r="E20" s="644" t="s">
        <v>50</v>
      </c>
      <c r="F20" s="644"/>
      <c r="G20" s="644"/>
      <c r="H20" s="644"/>
      <c r="I20" s="654">
        <v>1.53</v>
      </c>
      <c r="J20" s="644"/>
      <c r="K20" s="644"/>
      <c r="L20" s="644"/>
      <c r="M20" s="644"/>
      <c r="N20" s="646">
        <v>0.75</v>
      </c>
      <c r="O20" s="644"/>
      <c r="P20" s="654">
        <v>3</v>
      </c>
      <c r="Q20" s="654"/>
      <c r="R20" s="644"/>
      <c r="S20" s="644"/>
      <c r="T20" s="646">
        <f t="shared" si="0"/>
        <v>5.28</v>
      </c>
      <c r="U20" s="646">
        <f>1.67+1+1+2</f>
        <v>5.67</v>
      </c>
      <c r="V20" s="729" t="s">
        <v>1024</v>
      </c>
      <c r="W20" s="471"/>
      <c r="X20" s="3"/>
      <c r="Y20" s="3"/>
      <c r="Z20" s="3"/>
      <c r="AA20" s="3"/>
    </row>
    <row r="21" spans="1:27" ht="24.75" customHeight="1">
      <c r="A21" s="736"/>
      <c r="B21" s="736"/>
      <c r="C21" s="736"/>
      <c r="D21" s="644">
        <v>16</v>
      </c>
      <c r="E21" s="644" t="s">
        <v>51</v>
      </c>
      <c r="F21" s="644"/>
      <c r="G21" s="644"/>
      <c r="H21" s="644"/>
      <c r="I21" s="644"/>
      <c r="J21" s="644"/>
      <c r="K21" s="644"/>
      <c r="L21" s="644"/>
      <c r="M21" s="644"/>
      <c r="N21" s="644"/>
      <c r="O21" s="644"/>
      <c r="P21" s="644"/>
      <c r="Q21" s="644"/>
      <c r="R21" s="644"/>
      <c r="S21" s="644"/>
      <c r="T21" s="646">
        <f t="shared" si="0"/>
        <v>0</v>
      </c>
      <c r="U21" s="646">
        <f>SUM(G21:T21)</f>
        <v>0</v>
      </c>
      <c r="V21" s="729"/>
      <c r="W21" s="471"/>
      <c r="X21" s="3"/>
      <c r="Y21" s="3"/>
      <c r="Z21" s="3"/>
      <c r="AA21" s="3"/>
    </row>
    <row r="22" spans="1:27" ht="75">
      <c r="A22" s="736"/>
      <c r="B22" s="736"/>
      <c r="C22" s="736"/>
      <c r="D22" s="644">
        <v>17</v>
      </c>
      <c r="E22" s="644" t="s">
        <v>52</v>
      </c>
      <c r="F22" s="644"/>
      <c r="G22" s="644"/>
      <c r="H22" s="644"/>
      <c r="I22" s="748"/>
      <c r="J22" s="644"/>
      <c r="K22" s="644"/>
      <c r="L22" s="644"/>
      <c r="M22" s="644"/>
      <c r="N22" s="646"/>
      <c r="O22" s="644"/>
      <c r="P22" s="654">
        <v>2.1</v>
      </c>
      <c r="Q22" s="646">
        <v>3.25</v>
      </c>
      <c r="R22" s="644"/>
      <c r="S22" s="654"/>
      <c r="T22" s="646">
        <f t="shared" si="0"/>
        <v>5.35</v>
      </c>
      <c r="U22" s="658">
        <f>T22+0.5</f>
        <v>5.85</v>
      </c>
      <c r="V22" s="738" t="s">
        <v>1025</v>
      </c>
      <c r="W22" s="471"/>
      <c r="X22" s="3"/>
      <c r="Y22" s="3"/>
      <c r="Z22" s="3"/>
      <c r="AA22" s="3"/>
    </row>
    <row r="23" spans="1:27" ht="30">
      <c r="A23" s="736"/>
      <c r="B23" s="736"/>
      <c r="C23" s="736"/>
      <c r="D23" s="644">
        <v>18</v>
      </c>
      <c r="E23" s="644" t="s">
        <v>53</v>
      </c>
      <c r="F23" s="644"/>
      <c r="G23" s="644"/>
      <c r="H23" s="644"/>
      <c r="I23" s="644"/>
      <c r="J23" s="644"/>
      <c r="K23" s="644"/>
      <c r="L23" s="644"/>
      <c r="M23" s="644"/>
      <c r="N23" s="644"/>
      <c r="O23" s="644"/>
      <c r="P23" s="654">
        <v>0.9</v>
      </c>
      <c r="Q23" s="654"/>
      <c r="R23" s="644"/>
      <c r="S23" s="654"/>
      <c r="T23" s="646">
        <f t="shared" si="0"/>
        <v>0.9</v>
      </c>
      <c r="U23" s="646">
        <f>0.9</f>
        <v>0.9</v>
      </c>
      <c r="V23" s="729" t="s">
        <v>1749</v>
      </c>
      <c r="W23" s="471"/>
      <c r="X23" s="3"/>
      <c r="Y23" s="3"/>
      <c r="Z23" s="3"/>
      <c r="AA23" s="3"/>
    </row>
    <row r="24" spans="1:27" ht="24.75" customHeight="1">
      <c r="A24" s="736"/>
      <c r="B24" s="699" t="s">
        <v>54</v>
      </c>
      <c r="C24" s="699" t="s">
        <v>55</v>
      </c>
      <c r="D24" s="644">
        <v>19</v>
      </c>
      <c r="E24" s="644" t="s">
        <v>55</v>
      </c>
      <c r="F24" s="644"/>
      <c r="G24" s="644"/>
      <c r="H24" s="644"/>
      <c r="I24" s="644"/>
      <c r="J24" s="644"/>
      <c r="K24" s="644"/>
      <c r="L24" s="644"/>
      <c r="M24" s="644"/>
      <c r="N24" s="644"/>
      <c r="O24" s="644"/>
      <c r="P24" s="644"/>
      <c r="Q24" s="644"/>
      <c r="R24" s="644"/>
      <c r="S24" s="644"/>
      <c r="T24" s="646">
        <f t="shared" si="0"/>
        <v>0</v>
      </c>
      <c r="U24" s="646">
        <v>0</v>
      </c>
      <c r="V24" s="729"/>
      <c r="W24" s="471"/>
      <c r="X24" s="3"/>
      <c r="Y24" s="3"/>
      <c r="Z24" s="3"/>
      <c r="AA24" s="3"/>
    </row>
    <row r="25" spans="1:27" ht="60">
      <c r="A25" s="736"/>
      <c r="B25" s="736"/>
      <c r="C25" s="736"/>
      <c r="D25" s="644">
        <v>20</v>
      </c>
      <c r="E25" s="644" t="s">
        <v>56</v>
      </c>
      <c r="F25" s="644"/>
      <c r="G25" s="644"/>
      <c r="H25" s="644"/>
      <c r="I25" s="644"/>
      <c r="J25" s="644"/>
      <c r="K25" s="644"/>
      <c r="L25" s="644"/>
      <c r="M25" s="644"/>
      <c r="N25" s="654">
        <v>0</v>
      </c>
      <c r="O25" s="644"/>
      <c r="P25" s="654">
        <v>0</v>
      </c>
      <c r="Q25" s="646">
        <v>1.1499999999999999</v>
      </c>
      <c r="R25" s="644"/>
      <c r="S25" s="644"/>
      <c r="T25" s="646">
        <f t="shared" si="0"/>
        <v>1.1499999999999999</v>
      </c>
      <c r="U25" s="646">
        <f>1.15</f>
        <v>1.1499999999999999</v>
      </c>
      <c r="V25" s="738" t="s">
        <v>1026</v>
      </c>
      <c r="W25" s="471"/>
      <c r="X25" s="3"/>
      <c r="Y25" s="3"/>
      <c r="Z25" s="3"/>
      <c r="AA25" s="3"/>
    </row>
    <row r="26" spans="1:27" ht="295.89999999999998" customHeight="1">
      <c r="A26" s="736"/>
      <c r="B26" s="699" t="s">
        <v>58</v>
      </c>
      <c r="C26" s="699" t="s">
        <v>59</v>
      </c>
      <c r="D26" s="644">
        <v>21</v>
      </c>
      <c r="E26" s="644" t="s">
        <v>60</v>
      </c>
      <c r="F26" s="795"/>
      <c r="G26" s="795"/>
      <c r="H26" s="796"/>
      <c r="I26" s="797">
        <v>2</v>
      </c>
      <c r="J26" s="795"/>
      <c r="K26" s="797"/>
      <c r="L26" s="795"/>
      <c r="M26" s="795"/>
      <c r="N26" s="797">
        <f>1.5+0.42+0.325</f>
        <v>2.2450000000000001</v>
      </c>
      <c r="O26" s="795"/>
      <c r="P26" s="796">
        <f>17.76+3.816</f>
        <v>21.576000000000001</v>
      </c>
      <c r="Q26" s="796">
        <v>0.25</v>
      </c>
      <c r="R26" s="797">
        <v>0.5</v>
      </c>
      <c r="S26" s="795"/>
      <c r="T26" s="646">
        <f t="shared" si="0"/>
        <v>26.571000000000002</v>
      </c>
      <c r="U26" s="658">
        <f>I26+N26+P26+Q26+R26</f>
        <v>26.571000000000002</v>
      </c>
      <c r="V26" s="729" t="s">
        <v>1027</v>
      </c>
      <c r="W26" s="471"/>
      <c r="X26" s="3"/>
      <c r="Y26" s="3"/>
      <c r="Z26" s="3"/>
      <c r="AA26" s="3"/>
    </row>
    <row r="27" spans="1:27" ht="210">
      <c r="A27" s="736"/>
      <c r="B27" s="736"/>
      <c r="C27" s="736"/>
      <c r="D27" s="644">
        <v>22</v>
      </c>
      <c r="E27" s="644" t="s">
        <v>62</v>
      </c>
      <c r="F27" s="796"/>
      <c r="G27" s="795"/>
      <c r="H27" s="796"/>
      <c r="I27" s="739">
        <f>329029/100000</f>
        <v>3.2902900000000002</v>
      </c>
      <c r="J27" s="795"/>
      <c r="K27" s="795"/>
      <c r="L27" s="795"/>
      <c r="M27" s="796">
        <v>1</v>
      </c>
      <c r="N27" s="795"/>
      <c r="O27" s="795"/>
      <c r="P27" s="796">
        <f>210.634+2.4</f>
        <v>213.03399999999999</v>
      </c>
      <c r="Q27" s="796">
        <v>1</v>
      </c>
      <c r="R27" s="797"/>
      <c r="S27" s="795"/>
      <c r="T27" s="646">
        <f t="shared" si="0"/>
        <v>218.32428999999999</v>
      </c>
      <c r="U27" s="658">
        <f>M27+P27+Q27</f>
        <v>215.03399999999999</v>
      </c>
      <c r="V27" s="738" t="s">
        <v>1028</v>
      </c>
      <c r="W27" s="471"/>
      <c r="X27" s="3"/>
      <c r="Y27" s="3"/>
      <c r="Z27" s="3"/>
      <c r="AA27" s="3"/>
    </row>
    <row r="28" spans="1:27" ht="165">
      <c r="A28" s="736"/>
      <c r="B28" s="736"/>
      <c r="C28" s="736"/>
      <c r="D28" s="644">
        <v>23</v>
      </c>
      <c r="E28" s="644" t="s">
        <v>64</v>
      </c>
      <c r="F28" s="795"/>
      <c r="G28" s="795"/>
      <c r="H28" s="795"/>
      <c r="I28" s="795"/>
      <c r="J28" s="795"/>
      <c r="K28" s="797"/>
      <c r="L28" s="795"/>
      <c r="M28" s="795"/>
      <c r="N28" s="795">
        <v>0.11</v>
      </c>
      <c r="O28" s="796">
        <v>58.74</v>
      </c>
      <c r="P28" s="795"/>
      <c r="Q28" s="796"/>
      <c r="R28" s="795"/>
      <c r="S28" s="795"/>
      <c r="T28" s="646">
        <f t="shared" si="0"/>
        <v>58.85</v>
      </c>
      <c r="U28" s="658">
        <f>T28</f>
        <v>58.85</v>
      </c>
      <c r="V28" s="740" t="s">
        <v>1029</v>
      </c>
      <c r="W28" s="471"/>
      <c r="X28" s="3"/>
      <c r="Y28" s="3"/>
      <c r="Z28" s="3"/>
      <c r="AA28" s="3"/>
    </row>
    <row r="29" spans="1:27" ht="316.89999999999998" customHeight="1">
      <c r="A29" s="736"/>
      <c r="B29" s="736"/>
      <c r="C29" s="736"/>
      <c r="D29" s="644">
        <v>24</v>
      </c>
      <c r="E29" s="644" t="s">
        <v>66</v>
      </c>
      <c r="F29" s="795"/>
      <c r="G29" s="795"/>
      <c r="H29" s="796"/>
      <c r="I29" s="795"/>
      <c r="J29" s="795"/>
      <c r="K29" s="795"/>
      <c r="L29" s="795"/>
      <c r="M29" s="795"/>
      <c r="N29" s="684">
        <f>1+0.688+0.688+0.5+6</f>
        <v>8.8759999999999994</v>
      </c>
      <c r="O29" s="796"/>
      <c r="P29" s="795">
        <v>16.05</v>
      </c>
      <c r="Q29" s="797">
        <v>3</v>
      </c>
      <c r="R29" s="795"/>
      <c r="S29" s="795"/>
      <c r="T29" s="646">
        <f t="shared" si="0"/>
        <v>27.926000000000002</v>
      </c>
      <c r="U29" s="798">
        <v>29.926000000000002</v>
      </c>
      <c r="V29" s="744" t="s">
        <v>1030</v>
      </c>
      <c r="W29" s="471"/>
      <c r="X29" s="3"/>
      <c r="Y29" s="3"/>
      <c r="Z29" s="3"/>
      <c r="AA29" s="3"/>
    </row>
    <row r="30" spans="1:27" ht="291" customHeight="1">
      <c r="A30" s="736"/>
      <c r="B30" s="736"/>
      <c r="C30" s="736"/>
      <c r="D30" s="644">
        <v>25</v>
      </c>
      <c r="E30" s="644" t="s">
        <v>68</v>
      </c>
      <c r="F30" s="795"/>
      <c r="G30" s="795"/>
      <c r="H30" s="795"/>
      <c r="I30" s="795"/>
      <c r="J30" s="795"/>
      <c r="K30" s="795"/>
      <c r="L30" s="795"/>
      <c r="M30" s="795"/>
      <c r="N30" s="797">
        <v>0.5</v>
      </c>
      <c r="O30" s="799">
        <v>6.4500000000000002E-2</v>
      </c>
      <c r="P30" s="795">
        <v>0.89600000000000002</v>
      </c>
      <c r="Q30" s="795"/>
      <c r="R30" s="795"/>
      <c r="S30" s="795"/>
      <c r="T30" s="646">
        <f t="shared" si="0"/>
        <v>1.4605000000000001</v>
      </c>
      <c r="U30" s="658">
        <f>T30</f>
        <v>1.4605000000000001</v>
      </c>
      <c r="V30" s="744" t="s">
        <v>977</v>
      </c>
      <c r="W30" s="471"/>
      <c r="X30" s="3"/>
      <c r="Y30" s="3"/>
      <c r="Z30" s="3"/>
      <c r="AA30" s="3"/>
    </row>
    <row r="31" spans="1:27" ht="255" customHeight="1">
      <c r="A31" s="736"/>
      <c r="B31" s="736"/>
      <c r="C31" s="736"/>
      <c r="D31" s="644">
        <v>26</v>
      </c>
      <c r="E31" s="644" t="s">
        <v>70</v>
      </c>
      <c r="F31" s="795"/>
      <c r="G31" s="795"/>
      <c r="H31" s="795"/>
      <c r="I31" s="797"/>
      <c r="J31" s="795"/>
      <c r="K31" s="795"/>
      <c r="L31" s="795"/>
      <c r="M31" s="795"/>
      <c r="N31" s="797">
        <v>3.6</v>
      </c>
      <c r="O31" s="795"/>
      <c r="P31" s="795"/>
      <c r="Q31" s="684">
        <v>3.2</v>
      </c>
      <c r="R31" s="685">
        <v>0.2</v>
      </c>
      <c r="S31" s="795"/>
      <c r="T31" s="646">
        <f t="shared" si="0"/>
        <v>7.0000000000000009</v>
      </c>
      <c r="U31" s="658">
        <f>T31-0.2</f>
        <v>6.8000000000000007</v>
      </c>
      <c r="V31" s="744" t="s">
        <v>526</v>
      </c>
      <c r="W31" s="471"/>
      <c r="X31" s="3"/>
      <c r="Y31" s="3"/>
      <c r="Z31" s="3"/>
      <c r="AA31" s="3"/>
    </row>
    <row r="32" spans="1:27" ht="150">
      <c r="A32" s="736"/>
      <c r="B32" s="736"/>
      <c r="C32" s="736"/>
      <c r="D32" s="644">
        <v>27</v>
      </c>
      <c r="E32" s="644" t="s">
        <v>72</v>
      </c>
      <c r="F32" s="795"/>
      <c r="G32" s="795"/>
      <c r="H32" s="796"/>
      <c r="I32" s="797"/>
      <c r="J32" s="795"/>
      <c r="K32" s="795"/>
      <c r="L32" s="795"/>
      <c r="M32" s="795"/>
      <c r="N32" s="797">
        <v>1</v>
      </c>
      <c r="O32" s="796"/>
      <c r="P32" s="796">
        <v>1.5</v>
      </c>
      <c r="Q32" s="795"/>
      <c r="R32" s="795"/>
      <c r="S32" s="795"/>
      <c r="T32" s="646">
        <f t="shared" si="0"/>
        <v>2.5</v>
      </c>
      <c r="U32" s="646">
        <f>T32</f>
        <v>2.5</v>
      </c>
      <c r="V32" s="740" t="s">
        <v>1031</v>
      </c>
      <c r="W32" s="471"/>
      <c r="X32" s="3"/>
      <c r="Y32" s="3"/>
      <c r="Z32" s="3"/>
      <c r="AA32" s="3"/>
    </row>
    <row r="33" spans="1:27" ht="45">
      <c r="A33" s="736"/>
      <c r="B33" s="736"/>
      <c r="C33" s="736"/>
      <c r="D33" s="644">
        <v>28</v>
      </c>
      <c r="E33" s="644" t="s">
        <v>34</v>
      </c>
      <c r="F33" s="795"/>
      <c r="G33" s="795"/>
      <c r="H33" s="795"/>
      <c r="I33" s="795"/>
      <c r="J33" s="795"/>
      <c r="K33" s="797">
        <v>2.6640000000000001</v>
      </c>
      <c r="L33" s="795"/>
      <c r="M33" s="797">
        <v>2.6640000000000001</v>
      </c>
      <c r="N33" s="795"/>
      <c r="O33" s="795"/>
      <c r="P33" s="795"/>
      <c r="Q33" s="795"/>
      <c r="R33" s="795"/>
      <c r="S33" s="795"/>
      <c r="T33" s="646">
        <f t="shared" si="0"/>
        <v>5.3280000000000003</v>
      </c>
      <c r="U33" s="646">
        <f>5.33</f>
        <v>5.33</v>
      </c>
      <c r="V33" s="729" t="s">
        <v>1750</v>
      </c>
      <c r="W33" s="471"/>
      <c r="X33" s="3"/>
      <c r="Y33" s="3"/>
      <c r="Z33" s="3"/>
      <c r="AA33" s="3"/>
    </row>
    <row r="34" spans="1:27" ht="24.75" customHeight="1">
      <c r="A34" s="736"/>
      <c r="B34" s="736"/>
      <c r="C34" s="736"/>
      <c r="D34" s="644">
        <v>29</v>
      </c>
      <c r="E34" s="644" t="s">
        <v>36</v>
      </c>
      <c r="F34" s="795"/>
      <c r="G34" s="795"/>
      <c r="H34" s="795"/>
      <c r="I34" s="795"/>
      <c r="J34" s="795"/>
      <c r="K34" s="795"/>
      <c r="L34" s="795"/>
      <c r="M34" s="795"/>
      <c r="N34" s="795"/>
      <c r="O34" s="795"/>
      <c r="P34" s="797">
        <v>6.66</v>
      </c>
      <c r="Q34" s="795"/>
      <c r="R34" s="795"/>
      <c r="S34" s="795"/>
      <c r="T34" s="646">
        <f t="shared" si="0"/>
        <v>6.66</v>
      </c>
      <c r="U34" s="646">
        <f t="shared" ref="U34:U35" si="2">T34</f>
        <v>6.66</v>
      </c>
      <c r="V34" s="729" t="s">
        <v>1751</v>
      </c>
      <c r="W34" s="471"/>
      <c r="X34" s="3"/>
      <c r="Y34" s="3"/>
      <c r="Z34" s="3"/>
      <c r="AA34" s="3"/>
    </row>
    <row r="35" spans="1:27" ht="78.599999999999994" customHeight="1">
      <c r="A35" s="736"/>
      <c r="B35" s="736"/>
      <c r="C35" s="736"/>
      <c r="D35" s="644">
        <v>30</v>
      </c>
      <c r="E35" s="644" t="s">
        <v>74</v>
      </c>
      <c r="F35" s="795"/>
      <c r="G35" s="795"/>
      <c r="H35" s="795"/>
      <c r="I35" s="797"/>
      <c r="J35" s="795"/>
      <c r="K35" s="795"/>
      <c r="L35" s="795"/>
      <c r="M35" s="795"/>
      <c r="N35" s="795"/>
      <c r="O35" s="795"/>
      <c r="P35" s="795"/>
      <c r="Q35" s="797">
        <v>3.65</v>
      </c>
      <c r="R35" s="685">
        <v>1.75</v>
      </c>
      <c r="S35" s="795"/>
      <c r="T35" s="646">
        <f t="shared" si="0"/>
        <v>5.4</v>
      </c>
      <c r="U35" s="646">
        <f t="shared" si="2"/>
        <v>5.4</v>
      </c>
      <c r="V35" s="746" t="s">
        <v>1032</v>
      </c>
      <c r="W35" s="471"/>
      <c r="X35" s="3"/>
      <c r="Y35" s="3"/>
      <c r="Z35" s="3"/>
      <c r="AA35" s="3"/>
    </row>
    <row r="36" spans="1:27" ht="24.75" customHeight="1">
      <c r="A36" s="736"/>
      <c r="B36" s="736"/>
      <c r="C36" s="736"/>
      <c r="D36" s="644">
        <v>31</v>
      </c>
      <c r="E36" s="644" t="s">
        <v>53</v>
      </c>
      <c r="F36" s="795"/>
      <c r="G36" s="795"/>
      <c r="H36" s="795"/>
      <c r="I36" s="795"/>
      <c r="J36" s="795"/>
      <c r="K36" s="795"/>
      <c r="L36" s="795"/>
      <c r="M36" s="795"/>
      <c r="N36" s="795"/>
      <c r="O36" s="795"/>
      <c r="P36" s="795"/>
      <c r="Q36" s="795"/>
      <c r="R36" s="795"/>
      <c r="S36" s="795"/>
      <c r="T36" s="646">
        <f t="shared" si="0"/>
        <v>0</v>
      </c>
      <c r="U36" s="646">
        <v>0</v>
      </c>
      <c r="V36" s="729"/>
      <c r="W36" s="471"/>
      <c r="X36" s="3"/>
      <c r="Y36" s="3"/>
      <c r="Z36" s="3"/>
      <c r="AA36" s="3"/>
    </row>
    <row r="37" spans="1:27" ht="120">
      <c r="A37" s="736"/>
      <c r="B37" s="699" t="s">
        <v>76</v>
      </c>
      <c r="C37" s="699" t="s">
        <v>77</v>
      </c>
      <c r="D37" s="644">
        <v>32</v>
      </c>
      <c r="E37" s="644" t="s">
        <v>78</v>
      </c>
      <c r="F37" s="644"/>
      <c r="G37" s="644"/>
      <c r="H37" s="644"/>
      <c r="I37" s="646"/>
      <c r="J37" s="644"/>
      <c r="K37" s="644"/>
      <c r="L37" s="644"/>
      <c r="M37" s="646"/>
      <c r="N37" s="646">
        <v>6.7060000000000004</v>
      </c>
      <c r="O37" s="654">
        <v>83.278949999999995</v>
      </c>
      <c r="P37" s="654">
        <v>17.423120000000001</v>
      </c>
      <c r="Q37" s="646">
        <v>1.65</v>
      </c>
      <c r="R37" s="654">
        <v>4.6055000000000001</v>
      </c>
      <c r="S37" s="644">
        <v>4.1100000000000003</v>
      </c>
      <c r="T37" s="646">
        <f t="shared" si="0"/>
        <v>117.77357000000001</v>
      </c>
      <c r="U37" s="646">
        <f>T37-1.908</f>
        <v>115.86557000000001</v>
      </c>
      <c r="V37" s="746" t="s">
        <v>1033</v>
      </c>
      <c r="W37" s="471"/>
      <c r="X37" s="3"/>
      <c r="Y37" s="3"/>
      <c r="Z37" s="3"/>
      <c r="AA37" s="3"/>
    </row>
    <row r="38" spans="1:27" ht="24.75" customHeight="1">
      <c r="A38" s="736"/>
      <c r="B38" s="736"/>
      <c r="C38" s="736"/>
      <c r="D38" s="644">
        <v>33</v>
      </c>
      <c r="E38" s="644" t="s">
        <v>80</v>
      </c>
      <c r="F38" s="644"/>
      <c r="G38" s="644"/>
      <c r="H38" s="644"/>
      <c r="I38" s="644"/>
      <c r="J38" s="644"/>
      <c r="K38" s="644"/>
      <c r="L38" s="644"/>
      <c r="M38" s="644"/>
      <c r="N38" s="644"/>
      <c r="O38" s="644"/>
      <c r="P38" s="644"/>
      <c r="Q38" s="644"/>
      <c r="R38" s="644"/>
      <c r="S38" s="644"/>
      <c r="T38" s="646">
        <f t="shared" si="0"/>
        <v>0</v>
      </c>
      <c r="U38" s="646">
        <v>0</v>
      </c>
      <c r="V38" s="729"/>
      <c r="W38" s="471"/>
      <c r="X38" s="3"/>
      <c r="Y38" s="3"/>
      <c r="Z38" s="3"/>
      <c r="AA38" s="3"/>
    </row>
    <row r="39" spans="1:27">
      <c r="A39" s="736"/>
      <c r="B39" s="736"/>
      <c r="C39" s="736"/>
      <c r="D39" s="644">
        <v>34</v>
      </c>
      <c r="E39" s="644" t="s">
        <v>81</v>
      </c>
      <c r="F39" s="644"/>
      <c r="G39" s="644"/>
      <c r="H39" s="644"/>
      <c r="I39" s="644"/>
      <c r="J39" s="644"/>
      <c r="K39" s="644"/>
      <c r="L39" s="644"/>
      <c r="M39" s="644"/>
      <c r="N39" s="646"/>
      <c r="O39" s="644"/>
      <c r="P39" s="654"/>
      <c r="Q39" s="644"/>
      <c r="R39" s="644"/>
      <c r="S39" s="644"/>
      <c r="T39" s="646">
        <f t="shared" si="0"/>
        <v>0</v>
      </c>
      <c r="U39" s="646"/>
      <c r="V39" s="729"/>
      <c r="W39" s="471"/>
      <c r="X39" s="3"/>
      <c r="Y39" s="3"/>
      <c r="Z39" s="3"/>
      <c r="AA39" s="3"/>
    </row>
    <row r="40" spans="1:27" ht="300">
      <c r="A40" s="736"/>
      <c r="B40" s="699" t="s">
        <v>82</v>
      </c>
      <c r="C40" s="699" t="s">
        <v>83</v>
      </c>
      <c r="D40" s="644">
        <v>35</v>
      </c>
      <c r="E40" s="644" t="s">
        <v>84</v>
      </c>
      <c r="F40" s="645"/>
      <c r="G40" s="645"/>
      <c r="H40" s="645"/>
      <c r="I40" s="789"/>
      <c r="J40" s="645"/>
      <c r="K40" s="645"/>
      <c r="L40" s="645"/>
      <c r="M40" s="645"/>
      <c r="N40" s="647">
        <v>1.2</v>
      </c>
      <c r="O40" s="645"/>
      <c r="P40" s="648">
        <f>4.61+1.44+0.15+0.1</f>
        <v>6.3000000000000007</v>
      </c>
      <c r="Q40" s="648">
        <v>0.25</v>
      </c>
      <c r="R40" s="648"/>
      <c r="S40" s="645"/>
      <c r="T40" s="646">
        <f t="shared" si="0"/>
        <v>7.7500000000000009</v>
      </c>
      <c r="U40" s="646">
        <v>7.75</v>
      </c>
      <c r="V40" s="746" t="s">
        <v>1752</v>
      </c>
      <c r="W40" s="471"/>
      <c r="X40" s="3"/>
      <c r="Y40" s="3"/>
      <c r="Z40" s="3"/>
      <c r="AA40" s="3"/>
    </row>
    <row r="41" spans="1:27" ht="30">
      <c r="A41" s="736"/>
      <c r="B41" s="736"/>
      <c r="C41" s="736"/>
      <c r="D41" s="644">
        <v>36</v>
      </c>
      <c r="E41" s="644" t="s">
        <v>85</v>
      </c>
      <c r="F41" s="645"/>
      <c r="G41" s="645"/>
      <c r="H41" s="645"/>
      <c r="I41" s="645"/>
      <c r="J41" s="645"/>
      <c r="K41" s="647"/>
      <c r="L41" s="645"/>
      <c r="M41" s="645"/>
      <c r="N41" s="647">
        <v>0.65</v>
      </c>
      <c r="O41" s="645"/>
      <c r="P41" s="645"/>
      <c r="Q41" s="645"/>
      <c r="R41" s="645"/>
      <c r="S41" s="645"/>
      <c r="T41" s="646">
        <f t="shared" si="0"/>
        <v>0.65</v>
      </c>
      <c r="U41" s="646">
        <v>0.65</v>
      </c>
      <c r="V41" s="746" t="s">
        <v>1034</v>
      </c>
      <c r="W41" s="471"/>
      <c r="X41" s="3"/>
      <c r="Y41" s="3"/>
      <c r="Z41" s="3"/>
      <c r="AA41" s="3"/>
    </row>
    <row r="42" spans="1:27" ht="24.75" customHeight="1">
      <c r="A42" s="736"/>
      <c r="B42" s="736"/>
      <c r="C42" s="736"/>
      <c r="D42" s="644">
        <v>37</v>
      </c>
      <c r="E42" s="644" t="s">
        <v>86</v>
      </c>
      <c r="F42" s="645"/>
      <c r="G42" s="645"/>
      <c r="H42" s="645"/>
      <c r="I42" s="645"/>
      <c r="J42" s="645"/>
      <c r="K42" s="647"/>
      <c r="L42" s="645"/>
      <c r="M42" s="645"/>
      <c r="N42" s="645"/>
      <c r="O42" s="645"/>
      <c r="P42" s="645"/>
      <c r="Q42" s="645"/>
      <c r="R42" s="645"/>
      <c r="S42" s="645"/>
      <c r="T42" s="646">
        <f t="shared" si="0"/>
        <v>0</v>
      </c>
      <c r="U42" s="646">
        <f>T42*1.05</f>
        <v>0</v>
      </c>
      <c r="V42" s="746"/>
      <c r="W42" s="471"/>
      <c r="X42" s="3"/>
      <c r="Y42" s="3"/>
      <c r="Z42" s="3"/>
      <c r="AA42" s="3"/>
    </row>
    <row r="43" spans="1:27" ht="345">
      <c r="A43" s="736"/>
      <c r="B43" s="736"/>
      <c r="C43" s="736"/>
      <c r="D43" s="644">
        <v>38</v>
      </c>
      <c r="E43" s="644" t="s">
        <v>87</v>
      </c>
      <c r="F43" s="645"/>
      <c r="G43" s="645"/>
      <c r="H43" s="645"/>
      <c r="I43" s="645"/>
      <c r="J43" s="645"/>
      <c r="K43" s="645"/>
      <c r="L43" s="645"/>
      <c r="M43" s="645"/>
      <c r="N43" s="665">
        <v>3.5</v>
      </c>
      <c r="O43" s="648">
        <v>0.38</v>
      </c>
      <c r="P43" s="648">
        <v>9.6</v>
      </c>
      <c r="Q43" s="648">
        <v>0.7</v>
      </c>
      <c r="R43" s="648"/>
      <c r="S43" s="645"/>
      <c r="T43" s="646">
        <f t="shared" si="0"/>
        <v>14.18</v>
      </c>
      <c r="U43" s="646">
        <v>14.18</v>
      </c>
      <c r="V43" s="746" t="s">
        <v>1753</v>
      </c>
      <c r="W43" s="471"/>
      <c r="X43" s="3"/>
      <c r="Y43" s="3"/>
      <c r="Z43" s="3"/>
      <c r="AA43" s="3"/>
    </row>
    <row r="44" spans="1:27" ht="60">
      <c r="A44" s="736"/>
      <c r="B44" s="736"/>
      <c r="C44" s="736"/>
      <c r="D44" s="644">
        <v>39</v>
      </c>
      <c r="E44" s="644" t="s">
        <v>88</v>
      </c>
      <c r="F44" s="645"/>
      <c r="G44" s="645"/>
      <c r="H44" s="645"/>
      <c r="I44" s="645"/>
      <c r="J44" s="645"/>
      <c r="K44" s="645"/>
      <c r="L44" s="645"/>
      <c r="M44" s="645"/>
      <c r="N44" s="645">
        <v>1</v>
      </c>
      <c r="O44" s="645"/>
      <c r="P44" s="648">
        <v>0.4</v>
      </c>
      <c r="Q44" s="648"/>
      <c r="R44" s="645"/>
      <c r="S44" s="645"/>
      <c r="T44" s="646">
        <f t="shared" si="0"/>
        <v>1.4</v>
      </c>
      <c r="U44" s="646">
        <v>1.4</v>
      </c>
      <c r="V44" s="746" t="s">
        <v>401</v>
      </c>
      <c r="W44" s="471"/>
      <c r="X44" s="3"/>
      <c r="Y44" s="3"/>
      <c r="Z44" s="3"/>
      <c r="AA44" s="3"/>
    </row>
    <row r="45" spans="1:27" ht="85.5" customHeight="1">
      <c r="A45" s="736"/>
      <c r="B45" s="736"/>
      <c r="C45" s="736"/>
      <c r="D45" s="644">
        <v>40</v>
      </c>
      <c r="E45" s="644" t="s">
        <v>89</v>
      </c>
      <c r="F45" s="645"/>
      <c r="G45" s="645"/>
      <c r="H45" s="645"/>
      <c r="I45" s="645"/>
      <c r="J45" s="645"/>
      <c r="K45" s="645"/>
      <c r="L45" s="645"/>
      <c r="M45" s="645"/>
      <c r="N45" s="658">
        <v>0.10920000000000001</v>
      </c>
      <c r="O45" s="645"/>
      <c r="P45" s="648"/>
      <c r="Q45" s="647">
        <f>0.56+1.85</f>
        <v>2.41</v>
      </c>
      <c r="R45" s="648"/>
      <c r="S45" s="645"/>
      <c r="T45" s="646">
        <f t="shared" si="0"/>
        <v>2.5192000000000001</v>
      </c>
      <c r="U45" s="646">
        <v>2.52</v>
      </c>
      <c r="V45" s="746" t="s">
        <v>1754</v>
      </c>
      <c r="W45" s="471"/>
      <c r="X45" s="3"/>
      <c r="Y45" s="3"/>
      <c r="Z45" s="3"/>
      <c r="AA45" s="3"/>
    </row>
    <row r="46" spans="1:27" ht="24.75" customHeight="1">
      <c r="A46" s="736"/>
      <c r="B46" s="736"/>
      <c r="C46" s="736"/>
      <c r="D46" s="644">
        <v>41</v>
      </c>
      <c r="E46" s="644" t="s">
        <v>53</v>
      </c>
      <c r="F46" s="645"/>
      <c r="G46" s="645"/>
      <c r="H46" s="645"/>
      <c r="I46" s="645"/>
      <c r="J46" s="645"/>
      <c r="K46" s="645"/>
      <c r="L46" s="645"/>
      <c r="M46" s="645"/>
      <c r="N46" s="645"/>
      <c r="O46" s="645"/>
      <c r="P46" s="645"/>
      <c r="Q46" s="645"/>
      <c r="R46" s="645"/>
      <c r="S46" s="645"/>
      <c r="T46" s="646">
        <f t="shared" si="0"/>
        <v>0</v>
      </c>
      <c r="U46" s="646">
        <f>T46*1.05</f>
        <v>0</v>
      </c>
      <c r="V46" s="746"/>
      <c r="W46" s="471"/>
      <c r="X46" s="3"/>
      <c r="Y46" s="3"/>
      <c r="Z46" s="3"/>
      <c r="AA46" s="3"/>
    </row>
    <row r="47" spans="1:27" ht="75">
      <c r="A47" s="736"/>
      <c r="B47" s="699" t="s">
        <v>90</v>
      </c>
      <c r="C47" s="699" t="s">
        <v>91</v>
      </c>
      <c r="D47" s="644">
        <v>42</v>
      </c>
      <c r="E47" s="644" t="s">
        <v>92</v>
      </c>
      <c r="F47" s="654">
        <v>7.3120000000000003</v>
      </c>
      <c r="G47" s="644"/>
      <c r="H47" s="644"/>
      <c r="I47" s="646"/>
      <c r="J47" s="644"/>
      <c r="K47" s="644"/>
      <c r="L47" s="644"/>
      <c r="M47" s="644"/>
      <c r="N47" s="686">
        <v>1.1000000000000001</v>
      </c>
      <c r="O47" s="644"/>
      <c r="P47" s="654"/>
      <c r="Q47" s="644"/>
      <c r="R47" s="644"/>
      <c r="S47" s="644"/>
      <c r="T47" s="646">
        <f t="shared" si="0"/>
        <v>8.4120000000000008</v>
      </c>
      <c r="U47" s="646">
        <f t="shared" ref="U47:U50" si="3">T47</f>
        <v>8.4120000000000008</v>
      </c>
      <c r="V47" s="729" t="s">
        <v>1755</v>
      </c>
      <c r="W47" s="471"/>
      <c r="X47" s="3"/>
      <c r="Y47" s="3"/>
      <c r="Z47" s="3"/>
      <c r="AA47" s="3"/>
    </row>
    <row r="48" spans="1:27" ht="60">
      <c r="A48" s="736"/>
      <c r="B48" s="736"/>
      <c r="C48" s="736"/>
      <c r="D48" s="644">
        <v>43</v>
      </c>
      <c r="E48" s="644" t="s">
        <v>93</v>
      </c>
      <c r="F48" s="654">
        <v>0.61050000000000004</v>
      </c>
      <c r="G48" s="644"/>
      <c r="H48" s="644"/>
      <c r="I48" s="646"/>
      <c r="J48" s="644"/>
      <c r="K48" s="644"/>
      <c r="L48" s="644"/>
      <c r="M48" s="644"/>
      <c r="N48" s="686">
        <v>0.34499999999999997</v>
      </c>
      <c r="O48" s="644"/>
      <c r="P48" s="654"/>
      <c r="Q48" s="644"/>
      <c r="R48" s="644"/>
      <c r="S48" s="644"/>
      <c r="T48" s="646">
        <f t="shared" si="0"/>
        <v>0.95550000000000002</v>
      </c>
      <c r="U48" s="646">
        <f t="shared" si="3"/>
        <v>0.95550000000000002</v>
      </c>
      <c r="V48" s="729" t="s">
        <v>1035</v>
      </c>
      <c r="W48" s="471"/>
      <c r="X48" s="3"/>
      <c r="Y48" s="3"/>
      <c r="Z48" s="3"/>
      <c r="AA48" s="3"/>
    </row>
    <row r="49" spans="1:27" ht="150">
      <c r="A49" s="736"/>
      <c r="B49" s="736"/>
      <c r="C49" s="736"/>
      <c r="D49" s="644">
        <v>44</v>
      </c>
      <c r="E49" s="644" t="s">
        <v>95</v>
      </c>
      <c r="F49" s="654">
        <v>0.66579999999999995</v>
      </c>
      <c r="G49" s="644"/>
      <c r="H49" s="644"/>
      <c r="I49" s="646"/>
      <c r="J49" s="644"/>
      <c r="K49" s="644"/>
      <c r="L49" s="644"/>
      <c r="M49" s="644"/>
      <c r="N49" s="748">
        <v>1.125</v>
      </c>
      <c r="O49" s="654">
        <v>0.129</v>
      </c>
      <c r="P49" s="654"/>
      <c r="Q49" s="644"/>
      <c r="R49" s="644"/>
      <c r="S49" s="644"/>
      <c r="T49" s="646">
        <f t="shared" si="0"/>
        <v>1.9198</v>
      </c>
      <c r="U49" s="646">
        <f t="shared" si="3"/>
        <v>1.9198</v>
      </c>
      <c r="V49" s="729" t="s">
        <v>1756</v>
      </c>
      <c r="W49" s="471"/>
      <c r="X49" s="3"/>
      <c r="Y49" s="3"/>
      <c r="Z49" s="3"/>
      <c r="AA49" s="3"/>
    </row>
    <row r="50" spans="1:27" ht="30">
      <c r="A50" s="736"/>
      <c r="B50" s="736"/>
      <c r="C50" s="736"/>
      <c r="D50" s="644">
        <v>45</v>
      </c>
      <c r="E50" s="644" t="s">
        <v>96</v>
      </c>
      <c r="F50" s="654">
        <v>0.2</v>
      </c>
      <c r="G50" s="644"/>
      <c r="H50" s="644"/>
      <c r="I50" s="644"/>
      <c r="J50" s="644"/>
      <c r="K50" s="644"/>
      <c r="L50" s="644"/>
      <c r="M50" s="644"/>
      <c r="N50" s="646"/>
      <c r="O50" s="654">
        <v>0.2</v>
      </c>
      <c r="P50" s="644"/>
      <c r="Q50" s="644"/>
      <c r="R50" s="644"/>
      <c r="S50" s="644"/>
      <c r="T50" s="646">
        <f t="shared" si="0"/>
        <v>0.4</v>
      </c>
      <c r="U50" s="646">
        <f t="shared" si="3"/>
        <v>0.4</v>
      </c>
      <c r="V50" s="729" t="s">
        <v>1036</v>
      </c>
      <c r="W50" s="471"/>
      <c r="X50" s="3"/>
      <c r="Y50" s="3"/>
      <c r="Z50" s="3"/>
      <c r="AA50" s="3"/>
    </row>
    <row r="51" spans="1:27" ht="24.75" customHeight="1">
      <c r="A51" s="736"/>
      <c r="B51" s="736"/>
      <c r="C51" s="736"/>
      <c r="D51" s="644">
        <v>46</v>
      </c>
      <c r="E51" s="644" t="s">
        <v>98</v>
      </c>
      <c r="F51" s="644"/>
      <c r="G51" s="644"/>
      <c r="H51" s="644"/>
      <c r="I51" s="644"/>
      <c r="J51" s="644"/>
      <c r="K51" s="644"/>
      <c r="L51" s="644"/>
      <c r="M51" s="644"/>
      <c r="N51" s="644"/>
      <c r="O51" s="644"/>
      <c r="P51" s="644"/>
      <c r="Q51" s="644"/>
      <c r="R51" s="644"/>
      <c r="S51" s="644"/>
      <c r="T51" s="646">
        <f t="shared" si="0"/>
        <v>0</v>
      </c>
      <c r="U51" s="646">
        <v>0</v>
      </c>
      <c r="V51" s="729"/>
      <c r="W51" s="471"/>
      <c r="X51" s="3"/>
      <c r="Y51" s="3"/>
      <c r="Z51" s="3"/>
      <c r="AA51" s="3"/>
    </row>
    <row r="52" spans="1:27" ht="30">
      <c r="A52" s="736"/>
      <c r="B52" s="736"/>
      <c r="C52" s="736"/>
      <c r="D52" s="644">
        <v>47</v>
      </c>
      <c r="E52" s="644" t="s">
        <v>99</v>
      </c>
      <c r="F52" s="654">
        <v>2.4</v>
      </c>
      <c r="G52" s="644"/>
      <c r="H52" s="644">
        <v>0</v>
      </c>
      <c r="I52" s="644"/>
      <c r="J52" s="644"/>
      <c r="K52" s="644"/>
      <c r="L52" s="644"/>
      <c r="M52" s="644"/>
      <c r="N52" s="644"/>
      <c r="O52" s="644"/>
      <c r="P52" s="644"/>
      <c r="Q52" s="644"/>
      <c r="R52" s="644"/>
      <c r="S52" s="644"/>
      <c r="T52" s="646">
        <f t="shared" si="0"/>
        <v>2.4</v>
      </c>
      <c r="U52" s="646">
        <f t="shared" ref="U52:U55" si="4">T52</f>
        <v>2.4</v>
      </c>
      <c r="V52" s="729" t="s">
        <v>876</v>
      </c>
      <c r="W52" s="471"/>
      <c r="X52" s="3"/>
      <c r="Y52" s="3"/>
      <c r="Z52" s="3"/>
      <c r="AA52" s="3"/>
    </row>
    <row r="53" spans="1:27" ht="30">
      <c r="A53" s="736"/>
      <c r="B53" s="736"/>
      <c r="C53" s="736"/>
      <c r="D53" s="644">
        <v>48</v>
      </c>
      <c r="E53" s="644" t="s">
        <v>101</v>
      </c>
      <c r="F53" s="644"/>
      <c r="G53" s="644"/>
      <c r="H53" s="644"/>
      <c r="I53" s="644"/>
      <c r="J53" s="644"/>
      <c r="K53" s="644"/>
      <c r="L53" s="644"/>
      <c r="M53" s="644"/>
      <c r="N53" s="646">
        <v>0.28899999999999998</v>
      </c>
      <c r="O53" s="644"/>
      <c r="P53" s="654"/>
      <c r="Q53" s="644"/>
      <c r="R53" s="644"/>
      <c r="S53" s="644"/>
      <c r="T53" s="646">
        <f t="shared" si="0"/>
        <v>0.28899999999999998</v>
      </c>
      <c r="U53" s="646">
        <f t="shared" si="4"/>
        <v>0.28899999999999998</v>
      </c>
      <c r="V53" s="729" t="s">
        <v>102</v>
      </c>
      <c r="W53" s="471"/>
      <c r="X53" s="3"/>
      <c r="Y53" s="3"/>
      <c r="Z53" s="3"/>
      <c r="AA53" s="3"/>
    </row>
    <row r="54" spans="1:27" ht="60">
      <c r="A54" s="736"/>
      <c r="B54" s="736"/>
      <c r="C54" s="736"/>
      <c r="D54" s="644">
        <v>49</v>
      </c>
      <c r="E54" s="644" t="s">
        <v>103</v>
      </c>
      <c r="F54" s="644"/>
      <c r="G54" s="644"/>
      <c r="H54" s="644"/>
      <c r="I54" s="644"/>
      <c r="J54" s="644"/>
      <c r="K54" s="644"/>
      <c r="L54" s="644"/>
      <c r="M54" s="644"/>
      <c r="N54" s="644"/>
      <c r="O54" s="644"/>
      <c r="P54" s="644"/>
      <c r="Q54" s="646">
        <v>2</v>
      </c>
      <c r="R54" s="654">
        <v>1</v>
      </c>
      <c r="S54" s="644"/>
      <c r="T54" s="646">
        <f t="shared" si="0"/>
        <v>3</v>
      </c>
      <c r="U54" s="646">
        <f t="shared" si="4"/>
        <v>3</v>
      </c>
      <c r="V54" s="744" t="s">
        <v>1037</v>
      </c>
      <c r="W54" s="471"/>
      <c r="X54" s="3"/>
      <c r="Y54" s="3"/>
      <c r="Z54" s="3"/>
      <c r="AA54" s="3"/>
    </row>
    <row r="55" spans="1:27" ht="90">
      <c r="A55" s="736"/>
      <c r="B55" s="736"/>
      <c r="C55" s="736"/>
      <c r="D55" s="644">
        <v>50</v>
      </c>
      <c r="E55" s="644" t="s">
        <v>105</v>
      </c>
      <c r="F55" s="644"/>
      <c r="G55" s="644"/>
      <c r="H55" s="644"/>
      <c r="I55" s="646"/>
      <c r="J55" s="644"/>
      <c r="K55" s="644">
        <v>0.31</v>
      </c>
      <c r="L55" s="644"/>
      <c r="M55" s="644"/>
      <c r="N55" s="646"/>
      <c r="O55" s="644"/>
      <c r="P55" s="654"/>
      <c r="Q55" s="646">
        <v>1.35</v>
      </c>
      <c r="R55" s="654">
        <v>0.04</v>
      </c>
      <c r="S55" s="644"/>
      <c r="T55" s="646">
        <f t="shared" si="0"/>
        <v>1.7000000000000002</v>
      </c>
      <c r="U55" s="646">
        <f t="shared" si="4"/>
        <v>1.7000000000000002</v>
      </c>
      <c r="V55" s="738" t="s">
        <v>1038</v>
      </c>
      <c r="W55" s="471"/>
      <c r="X55" s="3"/>
      <c r="Y55" s="3"/>
      <c r="Z55" s="3"/>
      <c r="AA55" s="3"/>
    </row>
    <row r="56" spans="1:27" ht="24.75" customHeight="1">
      <c r="A56" s="736"/>
      <c r="B56" s="736"/>
      <c r="C56" s="736"/>
      <c r="D56" s="644">
        <v>51</v>
      </c>
      <c r="E56" s="644" t="s">
        <v>53</v>
      </c>
      <c r="F56" s="644"/>
      <c r="G56" s="644"/>
      <c r="H56" s="644"/>
      <c r="I56" s="644"/>
      <c r="J56" s="644"/>
      <c r="K56" s="644"/>
      <c r="L56" s="644"/>
      <c r="M56" s="644"/>
      <c r="N56" s="654"/>
      <c r="O56" s="644"/>
      <c r="P56" s="646"/>
      <c r="Q56" s="644"/>
      <c r="R56" s="644"/>
      <c r="S56" s="644"/>
      <c r="T56" s="646">
        <f t="shared" si="0"/>
        <v>0</v>
      </c>
      <c r="U56" s="646">
        <v>0</v>
      </c>
      <c r="V56" s="729"/>
      <c r="W56" s="471"/>
      <c r="X56" s="3"/>
      <c r="Y56" s="3"/>
      <c r="Z56" s="3"/>
      <c r="AA56" s="3"/>
    </row>
    <row r="57" spans="1:27" ht="240">
      <c r="A57" s="736"/>
      <c r="B57" s="699" t="s">
        <v>107</v>
      </c>
      <c r="C57" s="699" t="s">
        <v>108</v>
      </c>
      <c r="D57" s="644">
        <v>52</v>
      </c>
      <c r="E57" s="644" t="s">
        <v>109</v>
      </c>
      <c r="F57" s="795"/>
      <c r="G57" s="795"/>
      <c r="H57" s="795"/>
      <c r="I57" s="797"/>
      <c r="J57" s="795"/>
      <c r="K57" s="797"/>
      <c r="L57" s="795"/>
      <c r="M57" s="795"/>
      <c r="N57" s="797">
        <v>2</v>
      </c>
      <c r="O57" s="796">
        <v>35.244</v>
      </c>
      <c r="P57" s="795"/>
      <c r="Q57" s="795"/>
      <c r="R57" s="795"/>
      <c r="S57" s="795"/>
      <c r="T57" s="646">
        <f t="shared" si="0"/>
        <v>37.244</v>
      </c>
      <c r="U57" s="658">
        <f>N57+O57</f>
        <v>37.244</v>
      </c>
      <c r="V57" s="746" t="s">
        <v>1039</v>
      </c>
      <c r="W57" s="471"/>
      <c r="X57" s="3"/>
      <c r="Y57" s="3"/>
      <c r="Z57" s="3"/>
      <c r="AA57" s="3"/>
    </row>
    <row r="58" spans="1:27" ht="150">
      <c r="A58" s="736"/>
      <c r="B58" s="736"/>
      <c r="C58" s="736"/>
      <c r="D58" s="644">
        <v>53</v>
      </c>
      <c r="E58" s="644" t="s">
        <v>111</v>
      </c>
      <c r="F58" s="795"/>
      <c r="G58" s="795"/>
      <c r="H58" s="795"/>
      <c r="I58" s="795"/>
      <c r="J58" s="795"/>
      <c r="K58" s="797"/>
      <c r="L58" s="795"/>
      <c r="M58" s="795"/>
      <c r="N58" s="797">
        <v>6.58</v>
      </c>
      <c r="O58" s="796">
        <v>3.9159999999999999</v>
      </c>
      <c r="P58" s="795"/>
      <c r="Q58" s="796">
        <v>3</v>
      </c>
      <c r="R58" s="795"/>
      <c r="S58" s="795"/>
      <c r="T58" s="646">
        <f t="shared" si="0"/>
        <v>13.496</v>
      </c>
      <c r="U58" s="658">
        <f>T58</f>
        <v>13.496</v>
      </c>
      <c r="V58" s="740" t="s">
        <v>1040</v>
      </c>
      <c r="W58" s="471"/>
      <c r="X58" s="3"/>
      <c r="Y58" s="3"/>
      <c r="Z58" s="3"/>
      <c r="AA58" s="3"/>
    </row>
    <row r="59" spans="1:27" ht="24.75" customHeight="1">
      <c r="A59" s="736"/>
      <c r="B59" s="736"/>
      <c r="C59" s="736"/>
      <c r="D59" s="644">
        <v>54</v>
      </c>
      <c r="E59" s="644" t="s">
        <v>113</v>
      </c>
      <c r="F59" s="795"/>
      <c r="G59" s="795"/>
      <c r="H59" s="796"/>
      <c r="I59" s="795"/>
      <c r="J59" s="795"/>
      <c r="K59" s="795"/>
      <c r="L59" s="795"/>
      <c r="M59" s="795"/>
      <c r="N59" s="795"/>
      <c r="O59" s="796"/>
      <c r="P59" s="796"/>
      <c r="Q59" s="795"/>
      <c r="R59" s="795"/>
      <c r="S59" s="795"/>
      <c r="T59" s="646">
        <f t="shared" si="0"/>
        <v>0</v>
      </c>
      <c r="U59" s="646">
        <v>0</v>
      </c>
      <c r="V59" s="740"/>
      <c r="W59" s="471"/>
      <c r="X59" s="3"/>
      <c r="Y59" s="3"/>
      <c r="Z59" s="3"/>
      <c r="AA59" s="3"/>
    </row>
    <row r="60" spans="1:27" ht="24.75" customHeight="1">
      <c r="A60" s="736"/>
      <c r="B60" s="736"/>
      <c r="C60" s="736"/>
      <c r="D60" s="644">
        <v>55</v>
      </c>
      <c r="E60" s="644" t="s">
        <v>114</v>
      </c>
      <c r="F60" s="795"/>
      <c r="G60" s="795"/>
      <c r="H60" s="795"/>
      <c r="I60" s="795"/>
      <c r="J60" s="795"/>
      <c r="K60" s="797"/>
      <c r="L60" s="795"/>
      <c r="M60" s="795"/>
      <c r="N60" s="795"/>
      <c r="O60" s="795"/>
      <c r="P60" s="795"/>
      <c r="Q60" s="795"/>
      <c r="R60" s="795"/>
      <c r="S60" s="795"/>
      <c r="T60" s="646">
        <f t="shared" si="0"/>
        <v>0</v>
      </c>
      <c r="U60" s="646">
        <v>0</v>
      </c>
      <c r="V60" s="744"/>
      <c r="W60" s="471"/>
      <c r="X60" s="3"/>
      <c r="Y60" s="3"/>
      <c r="Z60" s="3"/>
      <c r="AA60" s="3"/>
    </row>
    <row r="61" spans="1:27" ht="60">
      <c r="A61" s="736"/>
      <c r="B61" s="736"/>
      <c r="C61" s="736"/>
      <c r="D61" s="644">
        <v>56</v>
      </c>
      <c r="E61" s="644" t="s">
        <v>115</v>
      </c>
      <c r="F61" s="795"/>
      <c r="G61" s="795"/>
      <c r="H61" s="795"/>
      <c r="I61" s="795"/>
      <c r="J61" s="795"/>
      <c r="K61" s="795"/>
      <c r="L61" s="795"/>
      <c r="M61" s="795"/>
      <c r="N61" s="795"/>
      <c r="O61" s="796">
        <v>7.83</v>
      </c>
      <c r="P61" s="795"/>
      <c r="Q61" s="795">
        <v>0.5</v>
      </c>
      <c r="R61" s="795"/>
      <c r="S61" s="795"/>
      <c r="T61" s="646">
        <f t="shared" si="0"/>
        <v>8.33</v>
      </c>
      <c r="U61" s="646">
        <f>T61</f>
        <v>8.33</v>
      </c>
      <c r="V61" s="746" t="s">
        <v>1041</v>
      </c>
      <c r="W61" s="471"/>
      <c r="X61" s="3"/>
      <c r="Y61" s="3"/>
      <c r="Z61" s="3"/>
      <c r="AA61" s="3"/>
    </row>
    <row r="62" spans="1:27" ht="51.6" customHeight="1">
      <c r="A62" s="736"/>
      <c r="B62" s="736"/>
      <c r="C62" s="736"/>
      <c r="D62" s="644">
        <v>57</v>
      </c>
      <c r="E62" s="644" t="s">
        <v>116</v>
      </c>
      <c r="F62" s="795"/>
      <c r="G62" s="795"/>
      <c r="H62" s="796"/>
      <c r="I62" s="795"/>
      <c r="J62" s="795"/>
      <c r="K62" s="795"/>
      <c r="L62" s="795"/>
      <c r="M62" s="797">
        <v>3.15</v>
      </c>
      <c r="N62" s="795"/>
      <c r="O62" s="795"/>
      <c r="P62" s="795"/>
      <c r="Q62" s="795"/>
      <c r="R62" s="795"/>
      <c r="S62" s="795"/>
      <c r="T62" s="646">
        <f t="shared" si="0"/>
        <v>3.15</v>
      </c>
      <c r="U62" s="646">
        <f>M62</f>
        <v>3.15</v>
      </c>
      <c r="V62" s="740" t="s">
        <v>1042</v>
      </c>
      <c r="W62" s="471"/>
      <c r="X62" s="3"/>
      <c r="Y62" s="3"/>
      <c r="Z62" s="3"/>
      <c r="AA62" s="3"/>
    </row>
    <row r="63" spans="1:27" ht="75">
      <c r="A63" s="736"/>
      <c r="B63" s="736"/>
      <c r="C63" s="736"/>
      <c r="D63" s="644">
        <v>58</v>
      </c>
      <c r="E63" s="644" t="s">
        <v>117</v>
      </c>
      <c r="F63" s="795"/>
      <c r="G63" s="795"/>
      <c r="H63" s="795"/>
      <c r="I63" s="795"/>
      <c r="J63" s="795"/>
      <c r="K63" s="797"/>
      <c r="L63" s="795"/>
      <c r="M63" s="795"/>
      <c r="N63" s="795"/>
      <c r="O63" s="800">
        <v>1.958</v>
      </c>
      <c r="P63" s="795"/>
      <c r="Q63" s="796">
        <v>0.75</v>
      </c>
      <c r="R63" s="795"/>
      <c r="S63" s="795"/>
      <c r="T63" s="646">
        <f t="shared" si="0"/>
        <v>2.7080000000000002</v>
      </c>
      <c r="U63" s="646">
        <f>T63</f>
        <v>2.7080000000000002</v>
      </c>
      <c r="V63" s="740" t="s">
        <v>1043</v>
      </c>
      <c r="W63" s="471"/>
      <c r="X63" s="3"/>
      <c r="Y63" s="3"/>
      <c r="Z63" s="3"/>
      <c r="AA63" s="3"/>
    </row>
    <row r="64" spans="1:27" ht="24.75" customHeight="1">
      <c r="A64" s="736"/>
      <c r="B64" s="736"/>
      <c r="C64" s="736"/>
      <c r="D64" s="644">
        <v>59</v>
      </c>
      <c r="E64" s="644" t="s">
        <v>119</v>
      </c>
      <c r="F64" s="795"/>
      <c r="G64" s="795"/>
      <c r="H64" s="795"/>
      <c r="I64" s="795"/>
      <c r="J64" s="795"/>
      <c r="K64" s="795"/>
      <c r="L64" s="795"/>
      <c r="M64" s="795"/>
      <c r="N64" s="795"/>
      <c r="O64" s="795"/>
      <c r="P64" s="795"/>
      <c r="Q64" s="795"/>
      <c r="R64" s="795"/>
      <c r="S64" s="795"/>
      <c r="T64" s="646">
        <f t="shared" si="0"/>
        <v>0</v>
      </c>
      <c r="U64" s="646">
        <v>0</v>
      </c>
      <c r="V64" s="729"/>
      <c r="W64" s="471"/>
      <c r="X64" s="3"/>
      <c r="Y64" s="3"/>
      <c r="Z64" s="3"/>
      <c r="AA64" s="3"/>
    </row>
    <row r="65" spans="1:27" ht="24.75" customHeight="1">
      <c r="A65" s="736"/>
      <c r="B65" s="736"/>
      <c r="C65" s="736"/>
      <c r="D65" s="644">
        <v>60</v>
      </c>
      <c r="E65" s="644" t="s">
        <v>120</v>
      </c>
      <c r="F65" s="795"/>
      <c r="G65" s="795"/>
      <c r="H65" s="795"/>
      <c r="I65" s="795"/>
      <c r="J65" s="795"/>
      <c r="K65" s="795"/>
      <c r="L65" s="795"/>
      <c r="M65" s="795"/>
      <c r="N65" s="795"/>
      <c r="O65" s="795"/>
      <c r="P65" s="795"/>
      <c r="Q65" s="795"/>
      <c r="R65" s="795"/>
      <c r="S65" s="795"/>
      <c r="T65" s="646">
        <f t="shared" si="0"/>
        <v>0</v>
      </c>
      <c r="U65" s="646">
        <v>0</v>
      </c>
      <c r="V65" s="729"/>
      <c r="W65" s="471"/>
      <c r="X65" s="3"/>
      <c r="Y65" s="3"/>
      <c r="Z65" s="3"/>
      <c r="AA65" s="3"/>
    </row>
    <row r="66" spans="1:27" ht="24.75" customHeight="1">
      <c r="A66" s="736"/>
      <c r="B66" s="736"/>
      <c r="C66" s="736"/>
      <c r="D66" s="644">
        <v>61</v>
      </c>
      <c r="E66" s="644" t="s">
        <v>53</v>
      </c>
      <c r="F66" s="795"/>
      <c r="G66" s="795"/>
      <c r="H66" s="795"/>
      <c r="I66" s="795"/>
      <c r="J66" s="795"/>
      <c r="K66" s="795"/>
      <c r="L66" s="795"/>
      <c r="M66" s="795"/>
      <c r="N66" s="795"/>
      <c r="O66" s="795"/>
      <c r="P66" s="795"/>
      <c r="Q66" s="795"/>
      <c r="R66" s="795"/>
      <c r="S66" s="795"/>
      <c r="T66" s="646">
        <f t="shared" si="0"/>
        <v>0</v>
      </c>
      <c r="U66" s="646">
        <v>0</v>
      </c>
      <c r="V66" s="729"/>
      <c r="W66" s="471"/>
      <c r="X66" s="3"/>
      <c r="Y66" s="3"/>
      <c r="Z66" s="3"/>
      <c r="AA66" s="3"/>
    </row>
    <row r="67" spans="1:27" ht="57" customHeight="1">
      <c r="A67" s="736"/>
      <c r="B67" s="644" t="s">
        <v>121</v>
      </c>
      <c r="C67" s="644" t="s">
        <v>122</v>
      </c>
      <c r="D67" s="644">
        <v>62</v>
      </c>
      <c r="E67" s="644" t="s">
        <v>123</v>
      </c>
      <c r="F67" s="644"/>
      <c r="G67" s="644"/>
      <c r="H67" s="644"/>
      <c r="I67" s="644"/>
      <c r="J67" s="644"/>
      <c r="K67" s="644"/>
      <c r="L67" s="644"/>
      <c r="M67" s="646"/>
      <c r="N67" s="644"/>
      <c r="O67" s="654">
        <v>0.5</v>
      </c>
      <c r="P67" s="654"/>
      <c r="Q67" s="646">
        <v>0.2</v>
      </c>
      <c r="R67" s="644"/>
      <c r="S67" s="654"/>
      <c r="T67" s="646">
        <f t="shared" si="0"/>
        <v>0.7</v>
      </c>
      <c r="U67" s="646">
        <f>T67</f>
        <v>0.7</v>
      </c>
      <c r="V67" s="749" t="s">
        <v>124</v>
      </c>
      <c r="W67" s="471"/>
      <c r="X67" s="3"/>
      <c r="Y67" s="3"/>
      <c r="Z67" s="3"/>
      <c r="AA67" s="3"/>
    </row>
    <row r="68" spans="1:27" ht="24.75" customHeight="1">
      <c r="A68" s="736"/>
      <c r="B68" s="701" t="s">
        <v>125</v>
      </c>
      <c r="C68" s="736"/>
      <c r="D68" s="736"/>
      <c r="E68" s="660"/>
      <c r="F68" s="660">
        <f t="shared" ref="F68:S68" si="5">SUM(F6:F67)</f>
        <v>72.438300000000012</v>
      </c>
      <c r="G68" s="660">
        <f t="shared" si="5"/>
        <v>0</v>
      </c>
      <c r="H68" s="660">
        <f t="shared" si="5"/>
        <v>0</v>
      </c>
      <c r="I68" s="660">
        <f t="shared" si="5"/>
        <v>6.8502900000000002</v>
      </c>
      <c r="J68" s="660">
        <f t="shared" si="5"/>
        <v>0</v>
      </c>
      <c r="K68" s="660">
        <f t="shared" si="5"/>
        <v>84.183999999999997</v>
      </c>
      <c r="L68" s="660">
        <f t="shared" si="5"/>
        <v>0</v>
      </c>
      <c r="M68" s="660">
        <f t="shared" si="5"/>
        <v>24.574000000000002</v>
      </c>
      <c r="N68" s="660">
        <f t="shared" si="5"/>
        <v>43.505199999999995</v>
      </c>
      <c r="O68" s="660">
        <f t="shared" si="5"/>
        <v>244.62044999999998</v>
      </c>
      <c r="P68" s="660">
        <f t="shared" si="5"/>
        <v>391.13764000000003</v>
      </c>
      <c r="Q68" s="660">
        <f t="shared" si="5"/>
        <v>30.31</v>
      </c>
      <c r="R68" s="660">
        <f t="shared" si="5"/>
        <v>10.845499999999999</v>
      </c>
      <c r="S68" s="660">
        <f t="shared" si="5"/>
        <v>4.1100000000000003</v>
      </c>
      <c r="T68" s="660">
        <f t="shared" si="0"/>
        <v>912.57538</v>
      </c>
      <c r="U68" s="660">
        <f>SUM(U6:U67)</f>
        <v>910.03989000000013</v>
      </c>
      <c r="V68" s="729"/>
      <c r="W68" s="471"/>
      <c r="X68" s="3"/>
      <c r="Y68" s="3"/>
      <c r="Z68" s="3"/>
      <c r="AA68" s="3"/>
    </row>
    <row r="69" spans="1:27" ht="39.75" customHeight="1">
      <c r="A69" s="700" t="s">
        <v>126</v>
      </c>
      <c r="B69" s="644" t="s">
        <v>127</v>
      </c>
      <c r="C69" s="644" t="s">
        <v>128</v>
      </c>
      <c r="D69" s="644">
        <v>63</v>
      </c>
      <c r="E69" s="644" t="s">
        <v>129</v>
      </c>
      <c r="F69" s="644"/>
      <c r="G69" s="644"/>
      <c r="H69" s="644"/>
      <c r="I69" s="644"/>
      <c r="J69" s="644"/>
      <c r="K69" s="644"/>
      <c r="L69" s="644"/>
      <c r="M69" s="654"/>
      <c r="N69" s="646">
        <v>7</v>
      </c>
      <c r="O69" s="644"/>
      <c r="P69" s="646"/>
      <c r="Q69" s="644"/>
      <c r="R69" s="654">
        <v>3.75</v>
      </c>
      <c r="S69" s="654">
        <f>1.5+1</f>
        <v>2.5</v>
      </c>
      <c r="T69" s="646">
        <f t="shared" si="0"/>
        <v>13.25</v>
      </c>
      <c r="U69" s="646">
        <f t="shared" ref="U69:U74" si="6">T69</f>
        <v>13.25</v>
      </c>
      <c r="V69" s="749" t="s">
        <v>1044</v>
      </c>
      <c r="W69" s="471"/>
      <c r="X69" s="3"/>
      <c r="Y69" s="3"/>
      <c r="Z69" s="3"/>
      <c r="AA69" s="3"/>
    </row>
    <row r="70" spans="1:27" ht="97.5" customHeight="1">
      <c r="A70" s="736"/>
      <c r="B70" s="699" t="s">
        <v>131</v>
      </c>
      <c r="C70" s="699" t="s">
        <v>132</v>
      </c>
      <c r="D70" s="644">
        <v>64</v>
      </c>
      <c r="E70" s="644" t="s">
        <v>133</v>
      </c>
      <c r="F70" s="801"/>
      <c r="G70" s="801"/>
      <c r="H70" s="802"/>
      <c r="I70" s="803">
        <v>0.84</v>
      </c>
      <c r="J70" s="801"/>
      <c r="K70" s="803"/>
      <c r="L70" s="801"/>
      <c r="M70" s="801"/>
      <c r="N70" s="803">
        <v>1.5</v>
      </c>
      <c r="O70" s="802"/>
      <c r="P70" s="803">
        <v>1.73</v>
      </c>
      <c r="Q70" s="803">
        <v>0.7</v>
      </c>
      <c r="R70" s="802">
        <v>2.1</v>
      </c>
      <c r="S70" s="802"/>
      <c r="T70" s="646">
        <f t="shared" si="0"/>
        <v>6.870000000000001</v>
      </c>
      <c r="U70" s="646">
        <f t="shared" si="6"/>
        <v>6.870000000000001</v>
      </c>
      <c r="V70" s="729" t="s">
        <v>1045</v>
      </c>
      <c r="W70" s="471"/>
      <c r="X70" s="3"/>
      <c r="Y70" s="3"/>
      <c r="Z70" s="3"/>
      <c r="AA70" s="3"/>
    </row>
    <row r="71" spans="1:27" ht="39.75" customHeight="1">
      <c r="A71" s="736"/>
      <c r="B71" s="736"/>
      <c r="C71" s="736"/>
      <c r="D71" s="644">
        <v>65</v>
      </c>
      <c r="E71" s="644" t="s">
        <v>135</v>
      </c>
      <c r="F71" s="521"/>
      <c r="G71" s="521"/>
      <c r="H71" s="521"/>
      <c r="I71" s="521"/>
      <c r="J71" s="521"/>
      <c r="K71" s="521"/>
      <c r="L71" s="521"/>
      <c r="M71" s="521"/>
      <c r="N71" s="661"/>
      <c r="O71" s="521"/>
      <c r="P71" s="662">
        <v>0.45</v>
      </c>
      <c r="Q71" s="521"/>
      <c r="R71" s="521"/>
      <c r="S71" s="662"/>
      <c r="T71" s="646">
        <f t="shared" si="0"/>
        <v>0.45</v>
      </c>
      <c r="U71" s="646">
        <f t="shared" si="6"/>
        <v>0.45</v>
      </c>
      <c r="V71" s="729" t="s">
        <v>544</v>
      </c>
      <c r="W71" s="471"/>
      <c r="X71" s="3"/>
      <c r="Y71" s="3"/>
      <c r="Z71" s="3"/>
      <c r="AA71" s="3"/>
    </row>
    <row r="72" spans="1:27" ht="75">
      <c r="A72" s="736"/>
      <c r="B72" s="736"/>
      <c r="C72" s="736"/>
      <c r="D72" s="644">
        <v>66</v>
      </c>
      <c r="E72" s="644" t="s">
        <v>137</v>
      </c>
      <c r="F72" s="521"/>
      <c r="G72" s="521"/>
      <c r="H72" s="521"/>
      <c r="I72" s="521"/>
      <c r="J72" s="521"/>
      <c r="K72" s="661"/>
      <c r="L72" s="521"/>
      <c r="M72" s="521"/>
      <c r="N72" s="661">
        <v>0.2</v>
      </c>
      <c r="O72" s="521"/>
      <c r="P72" s="662">
        <v>0.09</v>
      </c>
      <c r="Q72" s="661">
        <v>0.05</v>
      </c>
      <c r="R72" s="804">
        <v>0.15</v>
      </c>
      <c r="S72" s="521"/>
      <c r="T72" s="646">
        <f t="shared" si="0"/>
        <v>0.49</v>
      </c>
      <c r="U72" s="646">
        <f t="shared" si="6"/>
        <v>0.49</v>
      </c>
      <c r="V72" s="729" t="s">
        <v>1046</v>
      </c>
      <c r="W72" s="471"/>
      <c r="X72" s="3"/>
      <c r="Y72" s="3"/>
      <c r="Z72" s="3"/>
      <c r="AA72" s="3"/>
    </row>
    <row r="73" spans="1:27" ht="90">
      <c r="A73" s="736"/>
      <c r="B73" s="736"/>
      <c r="C73" s="736"/>
      <c r="D73" s="644">
        <v>67</v>
      </c>
      <c r="E73" s="644" t="s">
        <v>139</v>
      </c>
      <c r="F73" s="521"/>
      <c r="G73" s="521"/>
      <c r="H73" s="521"/>
      <c r="I73" s="521"/>
      <c r="J73" s="521"/>
      <c r="K73" s="661"/>
      <c r="L73" s="521"/>
      <c r="M73" s="521"/>
      <c r="N73" s="661">
        <v>0.6</v>
      </c>
      <c r="O73" s="521">
        <v>1.25</v>
      </c>
      <c r="P73" s="662">
        <v>35.130000000000003</v>
      </c>
      <c r="Q73" s="661">
        <v>0.75</v>
      </c>
      <c r="R73" s="662">
        <v>3.75</v>
      </c>
      <c r="S73" s="662">
        <v>3</v>
      </c>
      <c r="T73" s="646">
        <f t="shared" si="0"/>
        <v>44.480000000000004</v>
      </c>
      <c r="U73" s="646">
        <f t="shared" si="6"/>
        <v>44.480000000000004</v>
      </c>
      <c r="V73" s="729" t="s">
        <v>1047</v>
      </c>
      <c r="W73" s="471"/>
      <c r="X73" s="3"/>
      <c r="Y73" s="3"/>
      <c r="Z73" s="3"/>
      <c r="AA73" s="3"/>
    </row>
    <row r="74" spans="1:27" ht="39.75" customHeight="1">
      <c r="A74" s="736"/>
      <c r="B74" s="736"/>
      <c r="C74" s="736"/>
      <c r="D74" s="644">
        <v>68</v>
      </c>
      <c r="E74" s="644" t="s">
        <v>141</v>
      </c>
      <c r="F74" s="662"/>
      <c r="G74" s="521"/>
      <c r="H74" s="521"/>
      <c r="I74" s="661"/>
      <c r="J74" s="521"/>
      <c r="K74" s="661"/>
      <c r="L74" s="521"/>
      <c r="M74" s="521"/>
      <c r="N74" s="661">
        <v>0.4</v>
      </c>
      <c r="O74" s="662"/>
      <c r="P74" s="662">
        <v>4.32</v>
      </c>
      <c r="Q74" s="661">
        <v>3.25</v>
      </c>
      <c r="R74" s="662">
        <v>2</v>
      </c>
      <c r="S74" s="662">
        <v>1.2</v>
      </c>
      <c r="T74" s="646">
        <f t="shared" si="0"/>
        <v>11.17</v>
      </c>
      <c r="U74" s="646">
        <f t="shared" si="6"/>
        <v>11.17</v>
      </c>
      <c r="V74" s="729" t="s">
        <v>1048</v>
      </c>
      <c r="W74" s="471"/>
      <c r="X74" s="3"/>
      <c r="Y74" s="3"/>
      <c r="Z74" s="3"/>
      <c r="AA74" s="3"/>
    </row>
    <row r="75" spans="1:27" ht="39.75" customHeight="1">
      <c r="A75" s="736"/>
      <c r="B75" s="699" t="s">
        <v>143</v>
      </c>
      <c r="C75" s="699" t="s">
        <v>144</v>
      </c>
      <c r="D75" s="644">
        <v>69</v>
      </c>
      <c r="E75" s="644" t="s">
        <v>145</v>
      </c>
      <c r="F75" s="763"/>
      <c r="G75" s="763"/>
      <c r="H75" s="763"/>
      <c r="I75" s="763"/>
      <c r="J75" s="763"/>
      <c r="K75" s="763"/>
      <c r="L75" s="763"/>
      <c r="M75" s="686">
        <v>0.68</v>
      </c>
      <c r="N75" s="763"/>
      <c r="O75" s="686">
        <v>57.618000000000002</v>
      </c>
      <c r="P75" s="686">
        <v>2.2000000000000002</v>
      </c>
      <c r="Q75" s="763"/>
      <c r="R75" s="763"/>
      <c r="S75" s="763"/>
      <c r="T75" s="646">
        <f t="shared" si="0"/>
        <v>60.498000000000005</v>
      </c>
      <c r="U75" s="658">
        <v>60.498000000000005</v>
      </c>
      <c r="V75" s="749" t="s">
        <v>1049</v>
      </c>
      <c r="W75" s="132"/>
      <c r="X75" s="3"/>
      <c r="Y75" s="3"/>
      <c r="Z75" s="3"/>
      <c r="AA75" s="3"/>
    </row>
    <row r="76" spans="1:27" ht="180">
      <c r="A76" s="736"/>
      <c r="B76" s="736"/>
      <c r="C76" s="736"/>
      <c r="D76" s="644">
        <v>70</v>
      </c>
      <c r="E76" s="644" t="s">
        <v>147</v>
      </c>
      <c r="F76" s="763"/>
      <c r="G76" s="763"/>
      <c r="H76" s="763"/>
      <c r="I76" s="686">
        <v>0.36399999999999999</v>
      </c>
      <c r="J76" s="763"/>
      <c r="K76" s="763"/>
      <c r="L76" s="763"/>
      <c r="M76" s="763"/>
      <c r="N76" s="763"/>
      <c r="O76" s="763"/>
      <c r="P76" s="686">
        <v>1.1000000000000001</v>
      </c>
      <c r="Q76" s="763"/>
      <c r="R76" s="763"/>
      <c r="S76" s="763"/>
      <c r="T76" s="646">
        <f t="shared" si="0"/>
        <v>1.464</v>
      </c>
      <c r="U76" s="658">
        <v>1.464</v>
      </c>
      <c r="V76" s="749" t="s">
        <v>1050</v>
      </c>
      <c r="W76" s="132"/>
      <c r="X76" s="3"/>
      <c r="Y76" s="3"/>
      <c r="Z76" s="3"/>
      <c r="AA76" s="3"/>
    </row>
    <row r="77" spans="1:27" ht="39.75" customHeight="1">
      <c r="A77" s="736"/>
      <c r="B77" s="736"/>
      <c r="C77" s="736"/>
      <c r="D77" s="644">
        <v>71</v>
      </c>
      <c r="E77" s="644" t="s">
        <v>149</v>
      </c>
      <c r="F77" s="763"/>
      <c r="G77" s="763"/>
      <c r="H77" s="763"/>
      <c r="I77" s="763"/>
      <c r="J77" s="763"/>
      <c r="K77" s="763"/>
      <c r="L77" s="763"/>
      <c r="M77" s="763"/>
      <c r="N77" s="763"/>
      <c r="O77" s="763"/>
      <c r="P77" s="763"/>
      <c r="Q77" s="763"/>
      <c r="R77" s="763"/>
      <c r="S77" s="763"/>
      <c r="T77" s="646">
        <f t="shared" si="0"/>
        <v>0</v>
      </c>
      <c r="U77" s="658">
        <v>0</v>
      </c>
      <c r="V77" s="482"/>
      <c r="W77" s="132"/>
      <c r="X77" s="3"/>
      <c r="Y77" s="3"/>
      <c r="Z77" s="3"/>
      <c r="AA77" s="3"/>
    </row>
    <row r="78" spans="1:27" ht="300">
      <c r="A78" s="736"/>
      <c r="B78" s="736"/>
      <c r="C78" s="736"/>
      <c r="D78" s="644">
        <v>72</v>
      </c>
      <c r="E78" s="644" t="s">
        <v>150</v>
      </c>
      <c r="F78" s="763"/>
      <c r="G78" s="763"/>
      <c r="H78" s="763"/>
      <c r="I78" s="763"/>
      <c r="J78" s="763"/>
      <c r="K78" s="763"/>
      <c r="L78" s="763"/>
      <c r="M78" s="763"/>
      <c r="N78" s="686">
        <v>3.8650000000000002</v>
      </c>
      <c r="O78" s="763"/>
      <c r="P78" s="763"/>
      <c r="Q78" s="686">
        <v>2.9195000000000002</v>
      </c>
      <c r="R78" s="686">
        <v>3.4725000000000001</v>
      </c>
      <c r="S78" s="763"/>
      <c r="T78" s="646">
        <f t="shared" si="0"/>
        <v>10.257000000000001</v>
      </c>
      <c r="U78" s="658">
        <v>10.257000000000001</v>
      </c>
      <c r="V78" s="749" t="s">
        <v>1051</v>
      </c>
      <c r="W78" s="132"/>
      <c r="X78" s="3"/>
      <c r="Y78" s="3"/>
      <c r="Z78" s="3"/>
      <c r="AA78" s="3"/>
    </row>
    <row r="79" spans="1:27" ht="409.5">
      <c r="A79" s="736"/>
      <c r="B79" s="699" t="s">
        <v>152</v>
      </c>
      <c r="C79" s="805" t="s">
        <v>153</v>
      </c>
      <c r="D79" s="806">
        <v>73</v>
      </c>
      <c r="E79" s="644" t="s">
        <v>154</v>
      </c>
      <c r="F79" s="807">
        <v>2.3199999999999998</v>
      </c>
      <c r="G79" s="807">
        <v>2.5</v>
      </c>
      <c r="H79" s="807"/>
      <c r="I79" s="807">
        <v>8.4</v>
      </c>
      <c r="J79" s="807"/>
      <c r="K79" s="807"/>
      <c r="L79" s="807">
        <v>3.2</v>
      </c>
      <c r="M79" s="807">
        <v>11</v>
      </c>
      <c r="N79" s="807">
        <v>7.9</v>
      </c>
      <c r="O79" s="807"/>
      <c r="P79" s="807">
        <v>3.25</v>
      </c>
      <c r="Q79" s="807"/>
      <c r="R79" s="807">
        <v>16.5</v>
      </c>
      <c r="S79" s="807">
        <v>0.7</v>
      </c>
      <c r="T79" s="646">
        <f t="shared" si="0"/>
        <v>55.77</v>
      </c>
      <c r="U79" s="808">
        <v>64.900000000000006</v>
      </c>
      <c r="V79" s="744" t="s">
        <v>1052</v>
      </c>
      <c r="W79" s="471"/>
      <c r="X79" s="3"/>
      <c r="Y79" s="3"/>
      <c r="Z79" s="3"/>
      <c r="AA79" s="3"/>
    </row>
    <row r="80" spans="1:27" ht="105">
      <c r="A80" s="736"/>
      <c r="B80" s="736"/>
      <c r="C80" s="736"/>
      <c r="D80" s="806">
        <v>74</v>
      </c>
      <c r="E80" s="644" t="s">
        <v>155</v>
      </c>
      <c r="F80" s="807">
        <v>54</v>
      </c>
      <c r="G80" s="807"/>
      <c r="H80" s="807"/>
      <c r="I80" s="807"/>
      <c r="J80" s="807"/>
      <c r="K80" s="807"/>
      <c r="L80" s="807"/>
      <c r="M80" s="807"/>
      <c r="N80" s="807"/>
      <c r="O80" s="807"/>
      <c r="P80" s="807"/>
      <c r="Q80" s="807"/>
      <c r="R80" s="807"/>
      <c r="S80" s="807"/>
      <c r="T80" s="646">
        <f t="shared" si="0"/>
        <v>54</v>
      </c>
      <c r="U80" s="808">
        <v>61.8</v>
      </c>
      <c r="V80" s="744" t="s">
        <v>156</v>
      </c>
      <c r="W80" s="471"/>
      <c r="X80" s="3"/>
      <c r="Y80" s="3"/>
      <c r="Z80" s="3"/>
      <c r="AA80" s="3"/>
    </row>
    <row r="81" spans="1:27" ht="165">
      <c r="A81" s="736"/>
      <c r="B81" s="736"/>
      <c r="C81" s="736"/>
      <c r="D81" s="806">
        <v>75</v>
      </c>
      <c r="E81" s="644" t="s">
        <v>157</v>
      </c>
      <c r="F81" s="807">
        <v>1.39</v>
      </c>
      <c r="G81" s="807"/>
      <c r="H81" s="807"/>
      <c r="I81" s="807"/>
      <c r="J81" s="807"/>
      <c r="K81" s="807"/>
      <c r="L81" s="807"/>
      <c r="M81" s="807"/>
      <c r="N81" s="807"/>
      <c r="O81" s="807"/>
      <c r="P81" s="807">
        <v>3.8</v>
      </c>
      <c r="Q81" s="807"/>
      <c r="R81" s="807"/>
      <c r="S81" s="807"/>
      <c r="T81" s="646">
        <f t="shared" si="0"/>
        <v>5.1899999999999995</v>
      </c>
      <c r="U81" s="808">
        <v>7.3</v>
      </c>
      <c r="V81" s="744" t="s">
        <v>1053</v>
      </c>
      <c r="W81" s="471"/>
      <c r="X81" s="3"/>
      <c r="Y81" s="3"/>
      <c r="Z81" s="3"/>
      <c r="AA81" s="3"/>
    </row>
    <row r="82" spans="1:27" ht="90">
      <c r="A82" s="736"/>
      <c r="B82" s="736"/>
      <c r="C82" s="736"/>
      <c r="D82" s="806">
        <v>76</v>
      </c>
      <c r="E82" s="644" t="s">
        <v>159</v>
      </c>
      <c r="F82" s="807"/>
      <c r="G82" s="807"/>
      <c r="H82" s="807"/>
      <c r="I82" s="807"/>
      <c r="J82" s="807"/>
      <c r="K82" s="807"/>
      <c r="L82" s="807"/>
      <c r="M82" s="807">
        <v>2.2000000000000002</v>
      </c>
      <c r="N82" s="807"/>
      <c r="O82" s="807"/>
      <c r="P82" s="807"/>
      <c r="Q82" s="807"/>
      <c r="R82" s="807"/>
      <c r="S82" s="807"/>
      <c r="T82" s="646">
        <f t="shared" si="0"/>
        <v>2.2000000000000002</v>
      </c>
      <c r="U82" s="808">
        <v>3.1</v>
      </c>
      <c r="V82" s="744" t="s">
        <v>422</v>
      </c>
      <c r="W82" s="471"/>
      <c r="X82" s="3"/>
      <c r="Y82" s="3"/>
      <c r="Z82" s="3"/>
      <c r="AA82" s="3"/>
    </row>
    <row r="83" spans="1:27" ht="390">
      <c r="A83" s="736"/>
      <c r="B83" s="736"/>
      <c r="C83" s="736"/>
      <c r="D83" s="806">
        <v>77</v>
      </c>
      <c r="E83" s="644" t="s">
        <v>161</v>
      </c>
      <c r="F83" s="807">
        <v>1.7</v>
      </c>
      <c r="G83" s="807">
        <v>4</v>
      </c>
      <c r="H83" s="807"/>
      <c r="I83" s="807">
        <v>2</v>
      </c>
      <c r="J83" s="807"/>
      <c r="K83" s="807"/>
      <c r="L83" s="807">
        <v>4</v>
      </c>
      <c r="M83" s="807"/>
      <c r="N83" s="807">
        <v>0.4</v>
      </c>
      <c r="O83" s="807"/>
      <c r="P83" s="807"/>
      <c r="Q83" s="807"/>
      <c r="R83" s="807"/>
      <c r="S83" s="807">
        <v>0.5</v>
      </c>
      <c r="T83" s="646">
        <f t="shared" si="0"/>
        <v>12.6</v>
      </c>
      <c r="U83" s="808">
        <v>11.8</v>
      </c>
      <c r="V83" s="744" t="s">
        <v>1054</v>
      </c>
      <c r="W83" s="471"/>
      <c r="X83" s="3"/>
      <c r="Y83" s="3"/>
      <c r="Z83" s="3"/>
      <c r="AA83" s="3"/>
    </row>
    <row r="84" spans="1:27" ht="150">
      <c r="A84" s="736"/>
      <c r="B84" s="736"/>
      <c r="C84" s="736"/>
      <c r="D84" s="806">
        <v>78</v>
      </c>
      <c r="E84" s="644" t="s">
        <v>163</v>
      </c>
      <c r="F84" s="807"/>
      <c r="G84" s="807"/>
      <c r="H84" s="807"/>
      <c r="I84" s="807"/>
      <c r="J84" s="807"/>
      <c r="K84" s="807"/>
      <c r="L84" s="807"/>
      <c r="M84" s="807"/>
      <c r="N84" s="807"/>
      <c r="O84" s="807"/>
      <c r="P84" s="807"/>
      <c r="Q84" s="807">
        <v>10.5</v>
      </c>
      <c r="R84" s="807"/>
      <c r="S84" s="807"/>
      <c r="T84" s="646">
        <f t="shared" si="0"/>
        <v>10.5</v>
      </c>
      <c r="U84" s="808">
        <v>10.5</v>
      </c>
      <c r="V84" s="744" t="s">
        <v>164</v>
      </c>
      <c r="W84" s="471"/>
      <c r="X84" s="3"/>
      <c r="Y84" s="3"/>
      <c r="Z84" s="3"/>
      <c r="AA84" s="3"/>
    </row>
    <row r="85" spans="1:27" ht="18.75" customHeight="1">
      <c r="A85" s="736"/>
      <c r="B85" s="736"/>
      <c r="C85" s="736"/>
      <c r="D85" s="806">
        <v>79</v>
      </c>
      <c r="E85" s="644" t="s">
        <v>53</v>
      </c>
      <c r="F85" s="807"/>
      <c r="G85" s="807"/>
      <c r="H85" s="807"/>
      <c r="I85" s="807"/>
      <c r="J85" s="807"/>
      <c r="K85" s="807"/>
      <c r="L85" s="807"/>
      <c r="M85" s="807"/>
      <c r="N85" s="807"/>
      <c r="O85" s="807"/>
      <c r="P85" s="807"/>
      <c r="Q85" s="807"/>
      <c r="R85" s="807"/>
      <c r="S85" s="807"/>
      <c r="T85" s="646">
        <f t="shared" si="0"/>
        <v>0</v>
      </c>
      <c r="U85" s="808">
        <f>T85+(T85*10%)</f>
        <v>0</v>
      </c>
      <c r="V85" s="768"/>
      <c r="W85" s="471"/>
      <c r="X85" s="3"/>
      <c r="Y85" s="3"/>
      <c r="Z85" s="3"/>
      <c r="AA85" s="3"/>
    </row>
    <row r="86" spans="1:27" ht="90">
      <c r="A86" s="736"/>
      <c r="B86" s="699" t="s">
        <v>165</v>
      </c>
      <c r="C86" s="699" t="s">
        <v>166</v>
      </c>
      <c r="D86" s="644">
        <v>80</v>
      </c>
      <c r="E86" s="644" t="s">
        <v>167</v>
      </c>
      <c r="F86" s="644"/>
      <c r="G86" s="644"/>
      <c r="H86" s="644"/>
      <c r="I86" s="644"/>
      <c r="J86" s="644"/>
      <c r="K86" s="652"/>
      <c r="L86" s="644"/>
      <c r="M86" s="646"/>
      <c r="N86" s="644"/>
      <c r="O86" s="644"/>
      <c r="P86" s="654">
        <v>2.4</v>
      </c>
      <c r="Q86" s="646">
        <v>1</v>
      </c>
      <c r="R86" s="654"/>
      <c r="S86" s="644"/>
      <c r="T86" s="646">
        <f t="shared" si="0"/>
        <v>3.4</v>
      </c>
      <c r="U86" s="646">
        <v>3.4</v>
      </c>
      <c r="V86" s="770" t="s">
        <v>1757</v>
      </c>
      <c r="W86" s="471"/>
      <c r="X86" s="3"/>
      <c r="Y86" s="3"/>
      <c r="Z86" s="3"/>
      <c r="AA86" s="3"/>
    </row>
    <row r="87" spans="1:27" ht="30">
      <c r="A87" s="736"/>
      <c r="B87" s="736"/>
      <c r="C87" s="736"/>
      <c r="D87" s="644">
        <v>81</v>
      </c>
      <c r="E87" s="644" t="s">
        <v>168</v>
      </c>
      <c r="F87" s="644"/>
      <c r="G87" s="644"/>
      <c r="H87" s="644"/>
      <c r="I87" s="644"/>
      <c r="J87" s="644"/>
      <c r="K87" s="644"/>
      <c r="L87" s="644"/>
      <c r="M87" s="646"/>
      <c r="N87" s="646">
        <v>0</v>
      </c>
      <c r="O87" s="644"/>
      <c r="P87" s="654">
        <v>0.1</v>
      </c>
      <c r="Q87" s="654"/>
      <c r="R87" s="644"/>
      <c r="S87" s="644"/>
      <c r="T87" s="646">
        <f t="shared" si="0"/>
        <v>0.1</v>
      </c>
      <c r="U87" s="646">
        <v>0.1</v>
      </c>
      <c r="V87" s="770" t="s">
        <v>169</v>
      </c>
      <c r="W87" s="471"/>
      <c r="X87" s="3"/>
      <c r="Y87" s="3"/>
      <c r="Z87" s="3"/>
      <c r="AA87" s="3"/>
    </row>
    <row r="88" spans="1:27" ht="39.75" customHeight="1">
      <c r="A88" s="736"/>
      <c r="B88" s="736"/>
      <c r="C88" s="736"/>
      <c r="D88" s="644">
        <v>82</v>
      </c>
      <c r="E88" s="644" t="s">
        <v>170</v>
      </c>
      <c r="F88" s="644"/>
      <c r="G88" s="644"/>
      <c r="H88" s="644"/>
      <c r="I88" s="644"/>
      <c r="J88" s="644"/>
      <c r="K88" s="644"/>
      <c r="L88" s="644"/>
      <c r="M88" s="644"/>
      <c r="N88" s="644"/>
      <c r="O88" s="644"/>
      <c r="P88" s="654"/>
      <c r="Q88" s="644"/>
      <c r="R88" s="644"/>
      <c r="S88" s="644"/>
      <c r="T88" s="646">
        <f t="shared" si="0"/>
        <v>0</v>
      </c>
      <c r="U88" s="646"/>
      <c r="V88" s="770"/>
      <c r="W88" s="471"/>
      <c r="X88" s="3"/>
      <c r="Y88" s="3"/>
      <c r="Z88" s="3"/>
      <c r="AA88" s="3"/>
    </row>
    <row r="89" spans="1:27" ht="184.5" customHeight="1">
      <c r="A89" s="736"/>
      <c r="B89" s="736"/>
      <c r="C89" s="736"/>
      <c r="D89" s="644">
        <v>83</v>
      </c>
      <c r="E89" s="644" t="s">
        <v>172</v>
      </c>
      <c r="F89" s="644"/>
      <c r="G89" s="644"/>
      <c r="H89" s="644"/>
      <c r="I89" s="644"/>
      <c r="J89" s="644"/>
      <c r="K89" s="646">
        <v>0.5</v>
      </c>
      <c r="L89" s="644"/>
      <c r="M89" s="654"/>
      <c r="N89" s="646"/>
      <c r="O89" s="644"/>
      <c r="P89" s="654">
        <v>1</v>
      </c>
      <c r="Q89" s="646"/>
      <c r="R89" s="654"/>
      <c r="S89" s="644"/>
      <c r="T89" s="646">
        <f t="shared" si="0"/>
        <v>1.5</v>
      </c>
      <c r="U89" s="646">
        <v>1.5</v>
      </c>
      <c r="V89" s="770" t="s">
        <v>1758</v>
      </c>
      <c r="W89" s="471"/>
      <c r="X89" s="3"/>
      <c r="Y89" s="3"/>
      <c r="Z89" s="3"/>
      <c r="AA89" s="3"/>
    </row>
    <row r="90" spans="1:27" ht="132.75" customHeight="1">
      <c r="A90" s="736"/>
      <c r="B90" s="644" t="s">
        <v>173</v>
      </c>
      <c r="C90" s="644" t="s">
        <v>174</v>
      </c>
      <c r="D90" s="644">
        <v>84</v>
      </c>
      <c r="E90" s="644" t="s">
        <v>175</v>
      </c>
      <c r="F90" s="644"/>
      <c r="G90" s="644"/>
      <c r="H90" s="644"/>
      <c r="I90" s="646"/>
      <c r="J90" s="644"/>
      <c r="K90" s="646"/>
      <c r="L90" s="644"/>
      <c r="M90" s="644"/>
      <c r="N90" s="646">
        <v>1</v>
      </c>
      <c r="O90" s="644"/>
      <c r="P90" s="644"/>
      <c r="Q90" s="646">
        <v>1.5</v>
      </c>
      <c r="R90" s="654">
        <v>0.5</v>
      </c>
      <c r="S90" s="644"/>
      <c r="T90" s="646">
        <f t="shared" si="0"/>
        <v>3</v>
      </c>
      <c r="U90" s="646">
        <v>3</v>
      </c>
      <c r="V90" s="729" t="s">
        <v>1719</v>
      </c>
      <c r="W90" s="471"/>
      <c r="X90" s="3"/>
      <c r="Y90" s="3"/>
      <c r="Z90" s="3"/>
      <c r="AA90" s="3"/>
    </row>
    <row r="91" spans="1:27" ht="81.599999999999994" customHeight="1">
      <c r="A91" s="736"/>
      <c r="B91" s="644" t="s">
        <v>176</v>
      </c>
      <c r="C91" s="644" t="s">
        <v>177</v>
      </c>
      <c r="D91" s="644">
        <v>85</v>
      </c>
      <c r="E91" s="644" t="s">
        <v>178</v>
      </c>
      <c r="F91" s="644"/>
      <c r="G91" s="644"/>
      <c r="H91" s="644"/>
      <c r="I91" s="644"/>
      <c r="J91" s="644"/>
      <c r="K91" s="646"/>
      <c r="L91" s="644"/>
      <c r="M91" s="644"/>
      <c r="N91" s="646">
        <v>0.5</v>
      </c>
      <c r="O91" s="644"/>
      <c r="P91" s="644"/>
      <c r="Q91" s="646">
        <v>1</v>
      </c>
      <c r="R91" s="654"/>
      <c r="S91" s="644"/>
      <c r="T91" s="646">
        <f t="shared" si="0"/>
        <v>1.5</v>
      </c>
      <c r="U91" s="646">
        <v>1.5</v>
      </c>
      <c r="V91" s="729" t="s">
        <v>424</v>
      </c>
      <c r="W91" s="471"/>
      <c r="X91" s="3"/>
      <c r="Y91" s="3"/>
      <c r="Z91" s="3"/>
      <c r="AA91" s="3"/>
    </row>
    <row r="92" spans="1:27" ht="39.75" customHeight="1">
      <c r="A92" s="736"/>
      <c r="B92" s="644" t="s">
        <v>180</v>
      </c>
      <c r="C92" s="644" t="s">
        <v>53</v>
      </c>
      <c r="D92" s="644">
        <v>86</v>
      </c>
      <c r="E92" s="644" t="s">
        <v>181</v>
      </c>
      <c r="F92" s="644"/>
      <c r="G92" s="644"/>
      <c r="H92" s="644"/>
      <c r="I92" s="644"/>
      <c r="J92" s="644"/>
      <c r="K92" s="644"/>
      <c r="L92" s="644"/>
      <c r="M92" s="644"/>
      <c r="N92" s="644"/>
      <c r="O92" s="644"/>
      <c r="P92" s="644"/>
      <c r="Q92" s="644"/>
      <c r="R92" s="644"/>
      <c r="S92" s="644"/>
      <c r="T92" s="646">
        <f t="shared" si="0"/>
        <v>0</v>
      </c>
      <c r="U92" s="646">
        <v>0</v>
      </c>
      <c r="V92" s="729"/>
      <c r="W92" s="471"/>
      <c r="X92" s="3"/>
      <c r="Y92" s="3"/>
      <c r="Z92" s="3"/>
      <c r="AA92" s="3"/>
    </row>
    <row r="93" spans="1:27" ht="39.75" customHeight="1">
      <c r="A93" s="736"/>
      <c r="B93" s="701" t="s">
        <v>182</v>
      </c>
      <c r="C93" s="736"/>
      <c r="D93" s="736"/>
      <c r="E93" s="660"/>
      <c r="F93" s="660">
        <f t="shared" ref="F93:S93" si="7">SUM(F69:F92)</f>
        <v>59.410000000000004</v>
      </c>
      <c r="G93" s="660">
        <f t="shared" si="7"/>
        <v>6.5</v>
      </c>
      <c r="H93" s="660">
        <f t="shared" si="7"/>
        <v>0</v>
      </c>
      <c r="I93" s="660">
        <f t="shared" si="7"/>
        <v>11.604000000000001</v>
      </c>
      <c r="J93" s="660">
        <f t="shared" si="7"/>
        <v>0</v>
      </c>
      <c r="K93" s="660">
        <f t="shared" si="7"/>
        <v>0.5</v>
      </c>
      <c r="L93" s="660">
        <f t="shared" si="7"/>
        <v>7.2</v>
      </c>
      <c r="M93" s="667">
        <f t="shared" si="7"/>
        <v>13.879999999999999</v>
      </c>
      <c r="N93" s="668">
        <f t="shared" si="7"/>
        <v>23.364999999999998</v>
      </c>
      <c r="O93" s="660">
        <f t="shared" si="7"/>
        <v>58.868000000000002</v>
      </c>
      <c r="P93" s="668">
        <f t="shared" si="7"/>
        <v>55.570000000000007</v>
      </c>
      <c r="Q93" s="660">
        <f t="shared" si="7"/>
        <v>21.669499999999999</v>
      </c>
      <c r="R93" s="667">
        <f t="shared" si="7"/>
        <v>32.222499999999997</v>
      </c>
      <c r="S93" s="667">
        <f t="shared" si="7"/>
        <v>7.9</v>
      </c>
      <c r="T93" s="660">
        <f t="shared" si="0"/>
        <v>298.68899999999996</v>
      </c>
      <c r="U93" s="668">
        <f>SUM(U69:U92)</f>
        <v>317.82900000000006</v>
      </c>
      <c r="V93" s="729"/>
      <c r="W93" s="471"/>
      <c r="X93" s="3"/>
      <c r="Y93" s="3"/>
      <c r="Z93" s="3"/>
      <c r="AA93" s="3"/>
    </row>
    <row r="94" spans="1:27" ht="45">
      <c r="A94" s="700" t="s">
        <v>183</v>
      </c>
      <c r="B94" s="699" t="s">
        <v>184</v>
      </c>
      <c r="C94" s="699" t="s">
        <v>185</v>
      </c>
      <c r="D94" s="644">
        <v>87</v>
      </c>
      <c r="E94" s="644" t="s">
        <v>186</v>
      </c>
      <c r="F94" s="664">
        <v>0</v>
      </c>
      <c r="G94" s="663"/>
      <c r="H94" s="663"/>
      <c r="I94" s="663"/>
      <c r="J94" s="663"/>
      <c r="K94" s="669">
        <v>7</v>
      </c>
      <c r="L94" s="663"/>
      <c r="M94" s="663"/>
      <c r="N94" s="663"/>
      <c r="O94" s="663"/>
      <c r="P94" s="663"/>
      <c r="Q94" s="663"/>
      <c r="R94" s="663"/>
      <c r="S94" s="663"/>
      <c r="T94" s="646">
        <f t="shared" si="0"/>
        <v>7</v>
      </c>
      <c r="U94" s="669">
        <v>0</v>
      </c>
      <c r="V94" s="738" t="s">
        <v>1055</v>
      </c>
      <c r="W94" s="473"/>
      <c r="X94" s="3"/>
      <c r="Y94" s="3"/>
      <c r="Z94" s="3"/>
      <c r="AA94" s="3"/>
    </row>
    <row r="95" spans="1:27" ht="39.75" customHeight="1">
      <c r="A95" s="736"/>
      <c r="B95" s="736"/>
      <c r="C95" s="736"/>
      <c r="D95" s="644">
        <v>88</v>
      </c>
      <c r="E95" s="644" t="s">
        <v>188</v>
      </c>
      <c r="F95" s="663"/>
      <c r="G95" s="663"/>
      <c r="H95" s="663"/>
      <c r="I95" s="663"/>
      <c r="J95" s="663"/>
      <c r="K95" s="663"/>
      <c r="L95" s="663"/>
      <c r="M95" s="663"/>
      <c r="N95" s="663"/>
      <c r="O95" s="663"/>
      <c r="P95" s="670">
        <v>8</v>
      </c>
      <c r="Q95" s="663"/>
      <c r="R95" s="663"/>
      <c r="S95" s="663"/>
      <c r="T95" s="646">
        <f t="shared" si="0"/>
        <v>8</v>
      </c>
      <c r="U95" s="669">
        <v>8</v>
      </c>
      <c r="V95" s="483" t="s">
        <v>896</v>
      </c>
      <c r="W95" s="474" t="s">
        <v>896</v>
      </c>
      <c r="X95" s="3"/>
      <c r="Y95" s="3"/>
      <c r="Z95" s="3"/>
      <c r="AA95" s="3"/>
    </row>
    <row r="96" spans="1:27" ht="39.75" customHeight="1">
      <c r="A96" s="736"/>
      <c r="B96" s="736"/>
      <c r="C96" s="736"/>
      <c r="D96" s="644">
        <v>89</v>
      </c>
      <c r="E96" s="644" t="s">
        <v>190</v>
      </c>
      <c r="F96" s="663"/>
      <c r="G96" s="663"/>
      <c r="H96" s="663"/>
      <c r="I96" s="663"/>
      <c r="J96" s="663"/>
      <c r="K96" s="663"/>
      <c r="L96" s="663"/>
      <c r="M96" s="663"/>
      <c r="N96" s="663"/>
      <c r="O96" s="663"/>
      <c r="P96" s="663"/>
      <c r="Q96" s="663"/>
      <c r="R96" s="663"/>
      <c r="S96" s="663"/>
      <c r="T96" s="646">
        <f t="shared" si="0"/>
        <v>0</v>
      </c>
      <c r="U96" s="669">
        <v>0</v>
      </c>
      <c r="V96" s="483"/>
      <c r="W96" s="474"/>
      <c r="X96" s="3"/>
      <c r="Y96" s="3"/>
      <c r="Z96" s="3"/>
      <c r="AA96" s="3"/>
    </row>
    <row r="97" spans="1:27" ht="39.75" customHeight="1">
      <c r="A97" s="736"/>
      <c r="B97" s="736"/>
      <c r="C97" s="736"/>
      <c r="D97" s="644">
        <v>90</v>
      </c>
      <c r="E97" s="644" t="s">
        <v>191</v>
      </c>
      <c r="F97" s="663"/>
      <c r="G97" s="663"/>
      <c r="H97" s="663"/>
      <c r="I97" s="663"/>
      <c r="J97" s="663"/>
      <c r="K97" s="663"/>
      <c r="L97" s="663"/>
      <c r="M97" s="663"/>
      <c r="N97" s="663"/>
      <c r="O97" s="663"/>
      <c r="P97" s="671"/>
      <c r="Q97" s="663"/>
      <c r="R97" s="663"/>
      <c r="S97" s="663"/>
      <c r="T97" s="646">
        <f t="shared" si="0"/>
        <v>0</v>
      </c>
      <c r="U97" s="669">
        <v>0</v>
      </c>
      <c r="V97" s="483"/>
      <c r="W97" s="474"/>
      <c r="X97" s="3"/>
      <c r="Y97" s="3"/>
      <c r="Z97" s="3"/>
      <c r="AA97" s="3"/>
    </row>
    <row r="98" spans="1:27" ht="39.75" customHeight="1">
      <c r="A98" s="736"/>
      <c r="B98" s="736"/>
      <c r="C98" s="736"/>
      <c r="D98" s="644">
        <v>91</v>
      </c>
      <c r="E98" s="644" t="s">
        <v>192</v>
      </c>
      <c r="F98" s="663"/>
      <c r="G98" s="663"/>
      <c r="H98" s="663"/>
      <c r="I98" s="663"/>
      <c r="J98" s="663"/>
      <c r="K98" s="669">
        <v>0</v>
      </c>
      <c r="L98" s="663"/>
      <c r="M98" s="663"/>
      <c r="N98" s="663"/>
      <c r="O98" s="663"/>
      <c r="P98" s="670">
        <v>0</v>
      </c>
      <c r="Q98" s="663"/>
      <c r="R98" s="663"/>
      <c r="S98" s="663"/>
      <c r="T98" s="646">
        <f t="shared" si="0"/>
        <v>0</v>
      </c>
      <c r="U98" s="669">
        <v>0</v>
      </c>
      <c r="V98" s="484"/>
      <c r="W98" s="475"/>
      <c r="X98" s="3"/>
      <c r="Y98" s="3"/>
      <c r="Z98" s="3"/>
      <c r="AA98" s="3"/>
    </row>
    <row r="99" spans="1:27" ht="39.75" customHeight="1">
      <c r="A99" s="736"/>
      <c r="B99" s="736"/>
      <c r="C99" s="736"/>
      <c r="D99" s="644">
        <v>92</v>
      </c>
      <c r="E99" s="644" t="s">
        <v>193</v>
      </c>
      <c r="F99" s="663"/>
      <c r="G99" s="663"/>
      <c r="H99" s="663"/>
      <c r="I99" s="663"/>
      <c r="J99" s="663"/>
      <c r="K99" s="663"/>
      <c r="L99" s="663"/>
      <c r="M99" s="663"/>
      <c r="N99" s="663"/>
      <c r="O99" s="663"/>
      <c r="P99" s="670">
        <v>0</v>
      </c>
      <c r="Q99" s="663"/>
      <c r="R99" s="663"/>
      <c r="S99" s="663"/>
      <c r="T99" s="646">
        <f t="shared" si="0"/>
        <v>0</v>
      </c>
      <c r="U99" s="669">
        <v>0</v>
      </c>
      <c r="V99" s="484"/>
      <c r="W99" s="476"/>
      <c r="X99" s="3"/>
      <c r="Y99" s="3"/>
      <c r="Z99" s="3"/>
      <c r="AA99" s="3"/>
    </row>
    <row r="100" spans="1:27" ht="39.75" customHeight="1">
      <c r="A100" s="736"/>
      <c r="B100" s="736"/>
      <c r="C100" s="736"/>
      <c r="D100" s="644">
        <v>93</v>
      </c>
      <c r="E100" s="644" t="s">
        <v>195</v>
      </c>
      <c r="F100" s="663"/>
      <c r="G100" s="663"/>
      <c r="H100" s="663"/>
      <c r="I100" s="671"/>
      <c r="J100" s="663"/>
      <c r="K100" s="663"/>
      <c r="L100" s="663"/>
      <c r="M100" s="663"/>
      <c r="N100" s="663"/>
      <c r="O100" s="663"/>
      <c r="P100" s="663"/>
      <c r="Q100" s="663"/>
      <c r="R100" s="663"/>
      <c r="S100" s="663"/>
      <c r="T100" s="646">
        <f t="shared" si="0"/>
        <v>0</v>
      </c>
      <c r="U100" s="669">
        <v>0</v>
      </c>
      <c r="V100" s="484"/>
      <c r="W100" s="475"/>
      <c r="X100" s="3"/>
      <c r="Y100" s="3"/>
      <c r="Z100" s="3"/>
      <c r="AA100" s="3"/>
    </row>
    <row r="101" spans="1:27" ht="39.75" customHeight="1">
      <c r="A101" s="736"/>
      <c r="B101" s="736"/>
      <c r="C101" s="736"/>
      <c r="D101" s="644">
        <v>94</v>
      </c>
      <c r="E101" s="644" t="s">
        <v>196</v>
      </c>
      <c r="F101" s="663"/>
      <c r="G101" s="663"/>
      <c r="H101" s="663"/>
      <c r="I101" s="671"/>
      <c r="J101" s="663"/>
      <c r="K101" s="663"/>
      <c r="L101" s="663"/>
      <c r="M101" s="663"/>
      <c r="N101" s="663"/>
      <c r="O101" s="663"/>
      <c r="P101" s="663"/>
      <c r="Q101" s="663"/>
      <c r="R101" s="663"/>
      <c r="S101" s="663"/>
      <c r="T101" s="646">
        <f t="shared" si="0"/>
        <v>0</v>
      </c>
      <c r="U101" s="669">
        <v>0</v>
      </c>
      <c r="V101" s="484"/>
      <c r="W101" s="476"/>
      <c r="X101" s="3"/>
      <c r="Y101" s="3"/>
      <c r="Z101" s="3"/>
      <c r="AA101" s="3"/>
    </row>
    <row r="102" spans="1:27" ht="60">
      <c r="A102" s="736"/>
      <c r="B102" s="736"/>
      <c r="C102" s="736"/>
      <c r="D102" s="644">
        <v>95</v>
      </c>
      <c r="E102" s="644" t="s">
        <v>197</v>
      </c>
      <c r="F102" s="663"/>
      <c r="G102" s="663"/>
      <c r="H102" s="671"/>
      <c r="I102" s="669">
        <v>7</v>
      </c>
      <c r="J102" s="663"/>
      <c r="K102" s="663"/>
      <c r="L102" s="663"/>
      <c r="M102" s="663"/>
      <c r="N102" s="663"/>
      <c r="O102" s="663"/>
      <c r="P102" s="663"/>
      <c r="Q102" s="663"/>
      <c r="R102" s="663"/>
      <c r="S102" s="663"/>
      <c r="T102" s="646">
        <f t="shared" si="0"/>
        <v>7</v>
      </c>
      <c r="U102" s="669">
        <v>6</v>
      </c>
      <c r="V102" s="738" t="s">
        <v>1056</v>
      </c>
      <c r="W102" s="474" t="s">
        <v>1057</v>
      </c>
      <c r="X102" s="3"/>
      <c r="Y102" s="3"/>
      <c r="Z102" s="3"/>
      <c r="AA102" s="3"/>
    </row>
    <row r="103" spans="1:27" ht="151.15" customHeight="1">
      <c r="A103" s="736"/>
      <c r="B103" s="736"/>
      <c r="C103" s="736"/>
      <c r="D103" s="644">
        <v>96</v>
      </c>
      <c r="E103" s="644" t="s">
        <v>199</v>
      </c>
      <c r="F103" s="663"/>
      <c r="G103" s="663"/>
      <c r="H103" s="663"/>
      <c r="I103" s="663"/>
      <c r="J103" s="663"/>
      <c r="K103" s="663"/>
      <c r="L103" s="663"/>
      <c r="M103" s="663"/>
      <c r="N103" s="669">
        <v>0</v>
      </c>
      <c r="O103" s="663"/>
      <c r="P103" s="664">
        <v>2</v>
      </c>
      <c r="Q103" s="669">
        <v>1</v>
      </c>
      <c r="R103" s="670">
        <v>1</v>
      </c>
      <c r="S103" s="663"/>
      <c r="T103" s="646">
        <f t="shared" si="0"/>
        <v>4</v>
      </c>
      <c r="U103" s="669">
        <v>4</v>
      </c>
      <c r="V103" s="738" t="s">
        <v>200</v>
      </c>
      <c r="W103" s="474" t="s">
        <v>200</v>
      </c>
      <c r="X103" s="3"/>
      <c r="Y103" s="3"/>
      <c r="Z103" s="3"/>
      <c r="AA103" s="3"/>
    </row>
    <row r="104" spans="1:27" ht="180" customHeight="1">
      <c r="A104" s="736"/>
      <c r="B104" s="699" t="s">
        <v>201</v>
      </c>
      <c r="C104" s="699" t="s">
        <v>202</v>
      </c>
      <c r="D104" s="644">
        <v>97</v>
      </c>
      <c r="E104" s="644" t="s">
        <v>203</v>
      </c>
      <c r="F104" s="672"/>
      <c r="G104" s="672"/>
      <c r="H104" s="672"/>
      <c r="I104" s="666">
        <v>1</v>
      </c>
      <c r="J104" s="672"/>
      <c r="K104" s="666"/>
      <c r="L104" s="672"/>
      <c r="M104" s="666"/>
      <c r="N104" s="666">
        <v>3.75</v>
      </c>
      <c r="O104" s="672">
        <v>3</v>
      </c>
      <c r="P104" s="673">
        <v>12.95</v>
      </c>
      <c r="Q104" s="666">
        <v>2.5</v>
      </c>
      <c r="R104" s="673">
        <v>12</v>
      </c>
      <c r="S104" s="672"/>
      <c r="T104" s="674">
        <v>35.200000000000003</v>
      </c>
      <c r="U104" s="674">
        <v>35.200000000000003</v>
      </c>
      <c r="V104" s="749" t="s">
        <v>204</v>
      </c>
      <c r="W104" s="809"/>
      <c r="X104" s="3"/>
      <c r="Y104" s="3"/>
      <c r="Z104" s="3"/>
      <c r="AA104" s="3"/>
    </row>
    <row r="105" spans="1:27" ht="39.75" customHeight="1">
      <c r="A105" s="736"/>
      <c r="B105" s="736"/>
      <c r="C105" s="736"/>
      <c r="D105" s="644">
        <v>98</v>
      </c>
      <c r="E105" s="644" t="s">
        <v>53</v>
      </c>
      <c r="F105" s="675"/>
      <c r="G105" s="675"/>
      <c r="H105" s="675"/>
      <c r="I105" s="675"/>
      <c r="J105" s="675"/>
      <c r="K105" s="675"/>
      <c r="L105" s="675"/>
      <c r="M105" s="675"/>
      <c r="N105" s="675"/>
      <c r="O105" s="675"/>
      <c r="P105" s="675"/>
      <c r="Q105" s="675"/>
      <c r="R105" s="675"/>
      <c r="S105" s="675"/>
      <c r="T105" s="674">
        <v>0</v>
      </c>
      <c r="U105" s="674"/>
      <c r="V105" s="744"/>
      <c r="W105" s="810"/>
      <c r="X105" s="3"/>
      <c r="Y105" s="3"/>
      <c r="Z105" s="3"/>
      <c r="AA105" s="3"/>
    </row>
    <row r="106" spans="1:27" ht="75">
      <c r="A106" s="736"/>
      <c r="B106" s="699" t="s">
        <v>205</v>
      </c>
      <c r="C106" s="699" t="s">
        <v>206</v>
      </c>
      <c r="D106" s="644">
        <v>99</v>
      </c>
      <c r="E106" s="644" t="s">
        <v>207</v>
      </c>
      <c r="F106" s="675"/>
      <c r="G106" s="675"/>
      <c r="H106" s="676"/>
      <c r="I106" s="674">
        <v>2</v>
      </c>
      <c r="J106" s="675"/>
      <c r="K106" s="674"/>
      <c r="L106" s="675"/>
      <c r="M106" s="675"/>
      <c r="N106" s="674">
        <v>1</v>
      </c>
      <c r="O106" s="675"/>
      <c r="P106" s="675"/>
      <c r="Q106" s="674">
        <v>1</v>
      </c>
      <c r="R106" s="675"/>
      <c r="S106" s="675"/>
      <c r="T106" s="674">
        <v>4</v>
      </c>
      <c r="U106" s="674">
        <v>3</v>
      </c>
      <c r="V106" s="749" t="s">
        <v>723</v>
      </c>
      <c r="W106" s="518" t="s">
        <v>429</v>
      </c>
      <c r="X106" s="3"/>
      <c r="Y106" s="3"/>
      <c r="Z106" s="3"/>
      <c r="AA106" s="3"/>
    </row>
    <row r="107" spans="1:27" ht="39.75" customHeight="1">
      <c r="A107" s="736"/>
      <c r="B107" s="736"/>
      <c r="C107" s="736"/>
      <c r="D107" s="644">
        <v>100</v>
      </c>
      <c r="E107" s="644" t="s">
        <v>209</v>
      </c>
      <c r="F107" s="675"/>
      <c r="G107" s="675"/>
      <c r="H107" s="675"/>
      <c r="I107" s="674"/>
      <c r="J107" s="675"/>
      <c r="K107" s="674"/>
      <c r="L107" s="675"/>
      <c r="M107" s="675"/>
      <c r="N107" s="675"/>
      <c r="O107" s="675"/>
      <c r="P107" s="675"/>
      <c r="Q107" s="675"/>
      <c r="R107" s="675"/>
      <c r="S107" s="675"/>
      <c r="T107" s="674">
        <v>0</v>
      </c>
      <c r="U107" s="674">
        <v>0</v>
      </c>
      <c r="V107" s="749"/>
      <c r="W107" s="810"/>
      <c r="X107" s="3"/>
      <c r="Y107" s="3"/>
      <c r="Z107" s="3"/>
      <c r="AA107" s="3"/>
    </row>
    <row r="108" spans="1:27" ht="39.75" customHeight="1">
      <c r="A108" s="736"/>
      <c r="B108" s="736"/>
      <c r="C108" s="736"/>
      <c r="D108" s="644">
        <v>101</v>
      </c>
      <c r="E108" s="644" t="s">
        <v>210</v>
      </c>
      <c r="F108" s="675"/>
      <c r="G108" s="675"/>
      <c r="H108" s="675"/>
      <c r="I108" s="675"/>
      <c r="J108" s="675"/>
      <c r="K108" s="675"/>
      <c r="L108" s="675"/>
      <c r="M108" s="675"/>
      <c r="N108" s="675"/>
      <c r="O108" s="675"/>
      <c r="P108" s="675"/>
      <c r="Q108" s="675"/>
      <c r="R108" s="675"/>
      <c r="S108" s="675"/>
      <c r="T108" s="674">
        <v>0</v>
      </c>
      <c r="U108" s="674">
        <v>0</v>
      </c>
      <c r="V108" s="744"/>
      <c r="W108" s="810"/>
      <c r="X108" s="3"/>
      <c r="Y108" s="3"/>
      <c r="Z108" s="3"/>
      <c r="AA108" s="3"/>
    </row>
    <row r="109" spans="1:27" ht="39.75" customHeight="1">
      <c r="A109" s="736"/>
      <c r="B109" s="736"/>
      <c r="C109" s="736"/>
      <c r="D109" s="644">
        <v>102</v>
      </c>
      <c r="E109" s="644" t="s">
        <v>211</v>
      </c>
      <c r="F109" s="675"/>
      <c r="G109" s="675"/>
      <c r="H109" s="675"/>
      <c r="I109" s="675"/>
      <c r="J109" s="675"/>
      <c r="K109" s="675"/>
      <c r="L109" s="675"/>
      <c r="M109" s="675"/>
      <c r="N109" s="675"/>
      <c r="O109" s="675"/>
      <c r="P109" s="675"/>
      <c r="Q109" s="674"/>
      <c r="R109" s="675"/>
      <c r="S109" s="675"/>
      <c r="T109" s="674">
        <v>0</v>
      </c>
      <c r="U109" s="674">
        <v>0</v>
      </c>
      <c r="V109" s="744"/>
      <c r="W109" s="810"/>
      <c r="X109" s="3"/>
      <c r="Y109" s="3"/>
      <c r="Z109" s="3"/>
      <c r="AA109" s="3"/>
    </row>
    <row r="110" spans="1:27" ht="30">
      <c r="A110" s="736"/>
      <c r="B110" s="736"/>
      <c r="C110" s="736"/>
      <c r="D110" s="644">
        <v>103</v>
      </c>
      <c r="E110" s="644" t="s">
        <v>53</v>
      </c>
      <c r="F110" s="675"/>
      <c r="G110" s="675"/>
      <c r="H110" s="675"/>
      <c r="I110" s="675"/>
      <c r="J110" s="675"/>
      <c r="K110" s="675"/>
      <c r="L110" s="675"/>
      <c r="M110" s="675"/>
      <c r="N110" s="675"/>
      <c r="O110" s="675"/>
      <c r="P110" s="676">
        <v>5</v>
      </c>
      <c r="Q110" s="675"/>
      <c r="R110" s="676">
        <v>0</v>
      </c>
      <c r="S110" s="676"/>
      <c r="T110" s="674">
        <v>5</v>
      </c>
      <c r="U110" s="674">
        <v>5</v>
      </c>
      <c r="V110" s="749" t="s">
        <v>212</v>
      </c>
      <c r="W110" s="810"/>
      <c r="X110" s="3"/>
      <c r="Y110" s="3"/>
      <c r="Z110" s="3"/>
      <c r="AA110" s="3"/>
    </row>
    <row r="111" spans="1:27" ht="285">
      <c r="A111" s="736"/>
      <c r="B111" s="699" t="s">
        <v>213</v>
      </c>
      <c r="C111" s="699" t="s">
        <v>214</v>
      </c>
      <c r="D111" s="644">
        <v>104</v>
      </c>
      <c r="E111" s="644" t="s">
        <v>215</v>
      </c>
      <c r="F111" s="749"/>
      <c r="G111" s="749"/>
      <c r="H111" s="749"/>
      <c r="I111" s="749"/>
      <c r="J111" s="749"/>
      <c r="K111" s="749"/>
      <c r="L111" s="749"/>
      <c r="M111" s="749"/>
      <c r="N111" s="673">
        <v>0.8</v>
      </c>
      <c r="O111" s="749"/>
      <c r="P111" s="673"/>
      <c r="Q111" s="673">
        <v>1.5</v>
      </c>
      <c r="R111" s="774">
        <v>1.5</v>
      </c>
      <c r="S111" s="774"/>
      <c r="T111" s="674">
        <v>3.8</v>
      </c>
      <c r="U111" s="674">
        <v>3.8</v>
      </c>
      <c r="V111" s="749" t="s">
        <v>1639</v>
      </c>
      <c r="W111" s="810"/>
      <c r="X111" s="3"/>
      <c r="Y111" s="3"/>
      <c r="Z111" s="3"/>
      <c r="AA111" s="3"/>
    </row>
    <row r="112" spans="1:27" ht="75">
      <c r="A112" s="736"/>
      <c r="B112" s="736"/>
      <c r="C112" s="736"/>
      <c r="D112" s="644">
        <v>105</v>
      </c>
      <c r="E112" s="644" t="s">
        <v>216</v>
      </c>
      <c r="F112" s="749"/>
      <c r="G112" s="749"/>
      <c r="H112" s="749"/>
      <c r="I112" s="749"/>
      <c r="J112" s="749"/>
      <c r="K112" s="749"/>
      <c r="L112" s="749"/>
      <c r="M112" s="749"/>
      <c r="N112" s="749"/>
      <c r="O112" s="749"/>
      <c r="P112" s="776">
        <v>2</v>
      </c>
      <c r="Q112" s="749"/>
      <c r="R112" s="749"/>
      <c r="S112" s="749"/>
      <c r="T112" s="674">
        <v>2</v>
      </c>
      <c r="U112" s="674">
        <v>2</v>
      </c>
      <c r="V112" s="744" t="s">
        <v>217</v>
      </c>
      <c r="W112" s="810"/>
      <c r="X112" s="3"/>
      <c r="Y112" s="3"/>
      <c r="Z112" s="3"/>
      <c r="AA112" s="3"/>
    </row>
    <row r="113" spans="1:27" ht="45">
      <c r="A113" s="736"/>
      <c r="B113" s="736"/>
      <c r="C113" s="736"/>
      <c r="D113" s="644">
        <v>106</v>
      </c>
      <c r="E113" s="644" t="s">
        <v>218</v>
      </c>
      <c r="F113" s="749"/>
      <c r="G113" s="749"/>
      <c r="H113" s="749"/>
      <c r="I113" s="666"/>
      <c r="J113" s="749"/>
      <c r="K113" s="777"/>
      <c r="L113" s="749"/>
      <c r="M113" s="749"/>
      <c r="N113" s="778">
        <v>0.2</v>
      </c>
      <c r="O113" s="749"/>
      <c r="P113" s="774"/>
      <c r="Q113" s="777"/>
      <c r="R113" s="774"/>
      <c r="S113" s="774"/>
      <c r="T113" s="674">
        <v>0.2</v>
      </c>
      <c r="U113" s="674">
        <v>0.2</v>
      </c>
      <c r="V113" s="749" t="s">
        <v>219</v>
      </c>
      <c r="W113" s="810"/>
      <c r="X113" s="3"/>
      <c r="Y113" s="3"/>
      <c r="Z113" s="3"/>
      <c r="AA113" s="3"/>
    </row>
    <row r="114" spans="1:27" ht="75">
      <c r="A114" s="736"/>
      <c r="B114" s="699" t="s">
        <v>220</v>
      </c>
      <c r="C114" s="699" t="s">
        <v>221</v>
      </c>
      <c r="D114" s="644">
        <v>107</v>
      </c>
      <c r="E114" s="644" t="s">
        <v>222</v>
      </c>
      <c r="F114" s="675"/>
      <c r="G114" s="675"/>
      <c r="H114" s="675"/>
      <c r="I114" s="674"/>
      <c r="J114" s="675"/>
      <c r="K114" s="674"/>
      <c r="L114" s="675"/>
      <c r="M114" s="675"/>
      <c r="N114" s="674"/>
      <c r="O114" s="675"/>
      <c r="P114" s="673">
        <v>2.5</v>
      </c>
      <c r="Q114" s="672"/>
      <c r="R114" s="673">
        <v>1</v>
      </c>
      <c r="S114" s="675"/>
      <c r="T114" s="674">
        <v>3.5</v>
      </c>
      <c r="U114" s="674">
        <v>3.5</v>
      </c>
      <c r="V114" s="749" t="s">
        <v>223</v>
      </c>
      <c r="W114" s="810"/>
      <c r="X114" s="3"/>
      <c r="Y114" s="3"/>
      <c r="Z114" s="3"/>
      <c r="AA114" s="3"/>
    </row>
    <row r="115" spans="1:27" ht="39.75" customHeight="1">
      <c r="A115" s="736"/>
      <c r="B115" s="736"/>
      <c r="C115" s="736"/>
      <c r="D115" s="644">
        <v>108</v>
      </c>
      <c r="E115" s="644" t="s">
        <v>224</v>
      </c>
      <c r="F115" s="675"/>
      <c r="G115" s="675"/>
      <c r="H115" s="675"/>
      <c r="I115" s="674"/>
      <c r="J115" s="675"/>
      <c r="K115" s="674"/>
      <c r="L115" s="675"/>
      <c r="M115" s="675"/>
      <c r="N115" s="675"/>
      <c r="O115" s="675"/>
      <c r="P115" s="676">
        <v>2.5</v>
      </c>
      <c r="Q115" s="675"/>
      <c r="R115" s="675"/>
      <c r="S115" s="675"/>
      <c r="T115" s="674">
        <v>2.5</v>
      </c>
      <c r="U115" s="674">
        <v>2.5</v>
      </c>
      <c r="V115" s="749" t="s">
        <v>225</v>
      </c>
      <c r="W115" s="810"/>
      <c r="X115" s="3"/>
      <c r="Y115" s="3"/>
      <c r="Z115" s="3"/>
      <c r="AA115" s="3"/>
    </row>
    <row r="116" spans="1:27" ht="39.75" customHeight="1">
      <c r="A116" s="736"/>
      <c r="B116" s="736"/>
      <c r="C116" s="736"/>
      <c r="D116" s="644">
        <v>109</v>
      </c>
      <c r="E116" s="644" t="s">
        <v>226</v>
      </c>
      <c r="F116" s="675"/>
      <c r="G116" s="675"/>
      <c r="H116" s="676"/>
      <c r="I116" s="674"/>
      <c r="J116" s="675"/>
      <c r="K116" s="674"/>
      <c r="L116" s="675"/>
      <c r="M116" s="675"/>
      <c r="N116" s="675"/>
      <c r="O116" s="675"/>
      <c r="P116" s="675"/>
      <c r="Q116" s="675"/>
      <c r="R116" s="675"/>
      <c r="S116" s="675"/>
      <c r="T116" s="674">
        <v>0</v>
      </c>
      <c r="U116" s="674">
        <v>0</v>
      </c>
      <c r="V116" s="744"/>
      <c r="W116" s="810"/>
      <c r="X116" s="3"/>
      <c r="Y116" s="3"/>
      <c r="Z116" s="3"/>
      <c r="AA116" s="3"/>
    </row>
    <row r="117" spans="1:27" ht="150">
      <c r="A117" s="736"/>
      <c r="B117" s="736"/>
      <c r="C117" s="736"/>
      <c r="D117" s="644">
        <v>110</v>
      </c>
      <c r="E117" s="644" t="s">
        <v>227</v>
      </c>
      <c r="F117" s="675"/>
      <c r="G117" s="675"/>
      <c r="H117" s="675"/>
      <c r="I117" s="674"/>
      <c r="J117" s="675"/>
      <c r="K117" s="674"/>
      <c r="L117" s="675"/>
      <c r="M117" s="676"/>
      <c r="N117" s="674">
        <v>3</v>
      </c>
      <c r="O117" s="676">
        <v>51.68</v>
      </c>
      <c r="P117" s="674"/>
      <c r="Q117" s="676">
        <v>6</v>
      </c>
      <c r="R117" s="676">
        <v>3</v>
      </c>
      <c r="S117" s="675"/>
      <c r="T117" s="646">
        <f>SUM(F117:S117)</f>
        <v>63.68</v>
      </c>
      <c r="U117" s="674">
        <f>T117</f>
        <v>63.68</v>
      </c>
      <c r="V117" s="744" t="s">
        <v>1058</v>
      </c>
      <c r="W117" s="810"/>
      <c r="X117" s="3"/>
      <c r="Y117" s="3"/>
      <c r="Z117" s="3"/>
      <c r="AA117" s="3"/>
    </row>
    <row r="118" spans="1:27" ht="39.75" customHeight="1">
      <c r="A118" s="736"/>
      <c r="B118" s="736"/>
      <c r="C118" s="736"/>
      <c r="D118" s="644">
        <v>111</v>
      </c>
      <c r="E118" s="644" t="s">
        <v>53</v>
      </c>
      <c r="F118" s="675"/>
      <c r="G118" s="675"/>
      <c r="H118" s="675"/>
      <c r="I118" s="676"/>
      <c r="J118" s="675"/>
      <c r="K118" s="676"/>
      <c r="L118" s="675"/>
      <c r="M118" s="674"/>
      <c r="N118" s="675"/>
      <c r="O118" s="675"/>
      <c r="P118" s="676"/>
      <c r="Q118" s="674"/>
      <c r="R118" s="675"/>
      <c r="S118" s="676"/>
      <c r="T118" s="674">
        <v>0</v>
      </c>
      <c r="U118" s="674">
        <v>0</v>
      </c>
      <c r="V118" s="749"/>
      <c r="W118" s="810"/>
      <c r="X118" s="3"/>
      <c r="Y118" s="3"/>
      <c r="Z118" s="3"/>
      <c r="AA118" s="3"/>
    </row>
    <row r="119" spans="1:27" ht="39.75" customHeight="1">
      <c r="A119" s="736"/>
      <c r="B119" s="699" t="s">
        <v>229</v>
      </c>
      <c r="C119" s="699" t="s">
        <v>230</v>
      </c>
      <c r="D119" s="644">
        <v>112</v>
      </c>
      <c r="E119" s="644" t="s">
        <v>231</v>
      </c>
      <c r="F119" s="675"/>
      <c r="G119" s="675"/>
      <c r="H119" s="675"/>
      <c r="I119" s="674">
        <v>0</v>
      </c>
      <c r="J119" s="675"/>
      <c r="K119" s="674"/>
      <c r="L119" s="675"/>
      <c r="M119" s="675"/>
      <c r="N119" s="675"/>
      <c r="O119" s="675"/>
      <c r="P119" s="675"/>
      <c r="Q119" s="674"/>
      <c r="R119" s="675"/>
      <c r="S119" s="675"/>
      <c r="T119" s="674">
        <v>0</v>
      </c>
      <c r="U119" s="674">
        <v>0</v>
      </c>
      <c r="V119" s="744"/>
      <c r="W119" s="810"/>
      <c r="X119" s="3"/>
      <c r="Y119" s="3"/>
      <c r="Z119" s="3"/>
      <c r="AA119" s="3"/>
    </row>
    <row r="120" spans="1:27" ht="39.75" customHeight="1">
      <c r="A120" s="736"/>
      <c r="B120" s="736"/>
      <c r="C120" s="736"/>
      <c r="D120" s="644">
        <v>113</v>
      </c>
      <c r="E120" s="644" t="s">
        <v>232</v>
      </c>
      <c r="F120" s="672"/>
      <c r="G120" s="672"/>
      <c r="H120" s="672"/>
      <c r="I120" s="666"/>
      <c r="J120" s="672"/>
      <c r="K120" s="666"/>
      <c r="L120" s="672"/>
      <c r="M120" s="666"/>
      <c r="N120" s="666">
        <v>0.5</v>
      </c>
      <c r="O120" s="672"/>
      <c r="P120" s="672"/>
      <c r="Q120" s="666">
        <v>0.3</v>
      </c>
      <c r="R120" s="672"/>
      <c r="S120" s="672"/>
      <c r="T120" s="674">
        <v>0.8</v>
      </c>
      <c r="U120" s="674">
        <v>0.8</v>
      </c>
      <c r="V120" s="749" t="s">
        <v>676</v>
      </c>
      <c r="W120" s="810"/>
      <c r="X120" s="3"/>
      <c r="Y120" s="3"/>
      <c r="Z120" s="3"/>
      <c r="AA120" s="3"/>
    </row>
    <row r="121" spans="1:27" ht="76.150000000000006" customHeight="1">
      <c r="A121" s="736"/>
      <c r="B121" s="644" t="s">
        <v>234</v>
      </c>
      <c r="C121" s="644" t="s">
        <v>235</v>
      </c>
      <c r="D121" s="644">
        <v>114</v>
      </c>
      <c r="E121" s="644" t="s">
        <v>236</v>
      </c>
      <c r="F121" s="675"/>
      <c r="G121" s="675"/>
      <c r="H121" s="676"/>
      <c r="I121" s="675">
        <v>0.14000000000000001</v>
      </c>
      <c r="J121" s="675"/>
      <c r="K121" s="675"/>
      <c r="L121" s="675"/>
      <c r="M121" s="675"/>
      <c r="N121" s="676">
        <v>0.5</v>
      </c>
      <c r="O121" s="675"/>
      <c r="P121" s="676">
        <v>32.9</v>
      </c>
      <c r="Q121" s="674">
        <v>0.5</v>
      </c>
      <c r="R121" s="676">
        <v>0.5</v>
      </c>
      <c r="S121" s="676"/>
      <c r="T121" s="674">
        <v>34.47</v>
      </c>
      <c r="U121" s="674">
        <v>16.47</v>
      </c>
      <c r="V121" s="749" t="s">
        <v>497</v>
      </c>
      <c r="W121" s="810"/>
      <c r="X121" s="3"/>
      <c r="Y121" s="3"/>
      <c r="Z121" s="3"/>
      <c r="AA121" s="3"/>
    </row>
    <row r="122" spans="1:27" ht="75">
      <c r="A122" s="736"/>
      <c r="B122" s="699" t="s">
        <v>238</v>
      </c>
      <c r="C122" s="699" t="s">
        <v>239</v>
      </c>
      <c r="D122" s="644">
        <v>115</v>
      </c>
      <c r="E122" s="644" t="s">
        <v>240</v>
      </c>
      <c r="F122" s="675"/>
      <c r="G122" s="675"/>
      <c r="H122" s="675"/>
      <c r="I122" s="675"/>
      <c r="J122" s="675"/>
      <c r="K122" s="675"/>
      <c r="L122" s="675"/>
      <c r="M122" s="674">
        <v>3</v>
      </c>
      <c r="N122" s="675"/>
      <c r="O122" s="675"/>
      <c r="P122" s="675"/>
      <c r="Q122" s="675">
        <v>6.9</v>
      </c>
      <c r="R122" s="675"/>
      <c r="S122" s="675"/>
      <c r="T122" s="674">
        <v>9.9</v>
      </c>
      <c r="U122" s="674">
        <v>9.9</v>
      </c>
      <c r="V122" s="749" t="s">
        <v>498</v>
      </c>
      <c r="W122" s="810"/>
      <c r="X122" s="3"/>
      <c r="Y122" s="3"/>
      <c r="Z122" s="3"/>
      <c r="AA122" s="3"/>
    </row>
    <row r="123" spans="1:27" ht="39.75" customHeight="1">
      <c r="A123" s="736"/>
      <c r="B123" s="736"/>
      <c r="C123" s="736"/>
      <c r="D123" s="644">
        <v>116</v>
      </c>
      <c r="E123" s="644" t="s">
        <v>242</v>
      </c>
      <c r="F123" s="675"/>
      <c r="G123" s="675"/>
      <c r="H123" s="675"/>
      <c r="I123" s="675"/>
      <c r="J123" s="675"/>
      <c r="K123" s="675"/>
      <c r="L123" s="675"/>
      <c r="M123" s="674">
        <v>15.6</v>
      </c>
      <c r="N123" s="674"/>
      <c r="O123" s="675"/>
      <c r="P123" s="675"/>
      <c r="Q123" s="674"/>
      <c r="R123" s="675"/>
      <c r="S123" s="675"/>
      <c r="T123" s="674">
        <v>15.6</v>
      </c>
      <c r="U123" s="674">
        <v>15.6</v>
      </c>
      <c r="V123" s="749" t="s">
        <v>243</v>
      </c>
      <c r="W123" s="810"/>
      <c r="X123" s="3"/>
      <c r="Y123" s="3"/>
      <c r="Z123" s="3"/>
      <c r="AA123" s="3"/>
    </row>
    <row r="124" spans="1:27" ht="39.75" customHeight="1">
      <c r="A124" s="736"/>
      <c r="B124" s="736"/>
      <c r="C124" s="736"/>
      <c r="D124" s="644">
        <v>117</v>
      </c>
      <c r="E124" s="644" t="s">
        <v>244</v>
      </c>
      <c r="F124" s="675"/>
      <c r="G124" s="675"/>
      <c r="H124" s="675"/>
      <c r="I124" s="675"/>
      <c r="J124" s="675"/>
      <c r="K124" s="675"/>
      <c r="L124" s="675"/>
      <c r="M124" s="675"/>
      <c r="N124" s="675"/>
      <c r="O124" s="675"/>
      <c r="P124" s="675"/>
      <c r="Q124" s="675"/>
      <c r="R124" s="675"/>
      <c r="S124" s="675"/>
      <c r="T124" s="674">
        <v>0</v>
      </c>
      <c r="U124" s="674">
        <v>0</v>
      </c>
      <c r="V124" s="744"/>
      <c r="W124" s="810"/>
      <c r="X124" s="3"/>
      <c r="Y124" s="3"/>
      <c r="Z124" s="3"/>
      <c r="AA124" s="3"/>
    </row>
    <row r="125" spans="1:27" ht="39.75" customHeight="1">
      <c r="A125" s="736"/>
      <c r="B125" s="736"/>
      <c r="C125" s="736"/>
      <c r="D125" s="644">
        <v>118</v>
      </c>
      <c r="E125" s="644" t="s">
        <v>53</v>
      </c>
      <c r="F125" s="675"/>
      <c r="G125" s="675"/>
      <c r="H125" s="675"/>
      <c r="I125" s="675"/>
      <c r="J125" s="675"/>
      <c r="K125" s="675"/>
      <c r="L125" s="675"/>
      <c r="M125" s="675"/>
      <c r="N125" s="675"/>
      <c r="O125" s="675"/>
      <c r="P125" s="675"/>
      <c r="Q125" s="674"/>
      <c r="R125" s="675"/>
      <c r="S125" s="675"/>
      <c r="T125" s="674">
        <v>0</v>
      </c>
      <c r="U125" s="674">
        <v>0</v>
      </c>
      <c r="V125" s="744"/>
      <c r="W125" s="810"/>
      <c r="X125" s="3"/>
      <c r="Y125" s="3"/>
      <c r="Z125" s="3"/>
      <c r="AA125" s="3"/>
    </row>
    <row r="126" spans="1:27" ht="63" customHeight="1">
      <c r="A126" s="736"/>
      <c r="B126" s="644" t="s">
        <v>245</v>
      </c>
      <c r="C126" s="644" t="s">
        <v>246</v>
      </c>
      <c r="D126" s="644">
        <v>119</v>
      </c>
      <c r="E126" s="644" t="s">
        <v>247</v>
      </c>
      <c r="F126" s="672"/>
      <c r="G126" s="672"/>
      <c r="H126" s="673"/>
      <c r="I126" s="666"/>
      <c r="J126" s="672"/>
      <c r="K126" s="672"/>
      <c r="L126" s="672"/>
      <c r="M126" s="672"/>
      <c r="N126" s="666">
        <v>2</v>
      </c>
      <c r="O126" s="672"/>
      <c r="P126" s="673">
        <v>8</v>
      </c>
      <c r="Q126" s="666"/>
      <c r="R126" s="672"/>
      <c r="S126" s="672">
        <v>0</v>
      </c>
      <c r="T126" s="674">
        <v>10</v>
      </c>
      <c r="U126" s="674">
        <v>10</v>
      </c>
      <c r="V126" s="749" t="s">
        <v>248</v>
      </c>
      <c r="W126" s="810"/>
      <c r="X126" s="3"/>
      <c r="Y126" s="3"/>
      <c r="Z126" s="3"/>
      <c r="AA126" s="3"/>
    </row>
    <row r="127" spans="1:27" ht="39.75" customHeight="1">
      <c r="A127" s="736"/>
      <c r="B127" s="644" t="s">
        <v>249</v>
      </c>
      <c r="C127" s="644" t="s">
        <v>250</v>
      </c>
      <c r="D127" s="644">
        <v>120</v>
      </c>
      <c r="E127" s="644" t="s">
        <v>251</v>
      </c>
      <c r="F127" s="675"/>
      <c r="G127" s="675"/>
      <c r="H127" s="675"/>
      <c r="I127" s="675"/>
      <c r="J127" s="675"/>
      <c r="K127" s="676"/>
      <c r="L127" s="675"/>
      <c r="M127" s="676"/>
      <c r="N127" s="674"/>
      <c r="O127" s="675"/>
      <c r="P127" s="676"/>
      <c r="Q127" s="674"/>
      <c r="R127" s="676"/>
      <c r="S127" s="675"/>
      <c r="T127" s="674">
        <v>0</v>
      </c>
      <c r="U127" s="674">
        <v>0</v>
      </c>
      <c r="V127" s="744"/>
      <c r="W127" s="810"/>
      <c r="X127" s="3"/>
      <c r="Y127" s="3"/>
      <c r="Z127" s="3"/>
      <c r="AA127" s="3"/>
    </row>
    <row r="128" spans="1:27" ht="60" customHeight="1">
      <c r="A128" s="736"/>
      <c r="B128" s="699" t="s">
        <v>252</v>
      </c>
      <c r="C128" s="699" t="s">
        <v>253</v>
      </c>
      <c r="D128" s="644">
        <v>121</v>
      </c>
      <c r="E128" s="644" t="s">
        <v>254</v>
      </c>
      <c r="F128" s="664">
        <v>0</v>
      </c>
      <c r="G128" s="664">
        <v>0</v>
      </c>
      <c r="H128" s="664">
        <v>0</v>
      </c>
      <c r="I128" s="669">
        <v>0</v>
      </c>
      <c r="J128" s="664">
        <v>0</v>
      </c>
      <c r="K128" s="664">
        <v>0</v>
      </c>
      <c r="L128" s="664">
        <v>0</v>
      </c>
      <c r="M128" s="664">
        <v>0</v>
      </c>
      <c r="N128" s="664">
        <v>0.96</v>
      </c>
      <c r="O128" s="664">
        <v>0</v>
      </c>
      <c r="P128" s="664">
        <v>0</v>
      </c>
      <c r="Q128" s="664">
        <v>0</v>
      </c>
      <c r="R128" s="664">
        <v>0</v>
      </c>
      <c r="S128" s="664">
        <v>0</v>
      </c>
      <c r="T128" s="646">
        <f t="shared" ref="T128:T130" si="8">SUM(F128:S128)</f>
        <v>0.96</v>
      </c>
      <c r="U128" s="669">
        <v>1.6225000000000001</v>
      </c>
      <c r="V128" s="749" t="s">
        <v>433</v>
      </c>
      <c r="W128" s="132" t="s">
        <v>434</v>
      </c>
      <c r="X128" s="3"/>
      <c r="Y128" s="3"/>
      <c r="Z128" s="3"/>
      <c r="AA128" s="3"/>
    </row>
    <row r="129" spans="1:27" ht="39.75" customHeight="1">
      <c r="A129" s="736"/>
      <c r="B129" s="736"/>
      <c r="C129" s="736"/>
      <c r="D129" s="644">
        <v>122</v>
      </c>
      <c r="E129" s="644" t="s">
        <v>256</v>
      </c>
      <c r="F129" s="664">
        <v>0</v>
      </c>
      <c r="G129" s="664">
        <v>0</v>
      </c>
      <c r="H129" s="664">
        <v>0</v>
      </c>
      <c r="I129" s="664">
        <v>0</v>
      </c>
      <c r="J129" s="664">
        <v>0</v>
      </c>
      <c r="K129" s="664">
        <v>0</v>
      </c>
      <c r="L129" s="664">
        <v>0</v>
      </c>
      <c r="M129" s="664">
        <v>0</v>
      </c>
      <c r="N129" s="664">
        <v>0</v>
      </c>
      <c r="O129" s="664">
        <v>0</v>
      </c>
      <c r="P129" s="664">
        <v>0</v>
      </c>
      <c r="Q129" s="664">
        <v>0</v>
      </c>
      <c r="R129" s="664">
        <v>0</v>
      </c>
      <c r="S129" s="664">
        <v>0</v>
      </c>
      <c r="T129" s="646">
        <f t="shared" si="8"/>
        <v>0</v>
      </c>
      <c r="U129" s="669">
        <v>0</v>
      </c>
      <c r="V129" s="482"/>
      <c r="W129" s="133"/>
      <c r="X129" s="3"/>
      <c r="Y129" s="3"/>
      <c r="Z129" s="3"/>
      <c r="AA129" s="3"/>
    </row>
    <row r="130" spans="1:27" ht="90">
      <c r="A130" s="736"/>
      <c r="B130" s="736"/>
      <c r="C130" s="736"/>
      <c r="D130" s="644">
        <v>123</v>
      </c>
      <c r="E130" s="644" t="s">
        <v>257</v>
      </c>
      <c r="F130" s="664">
        <v>0</v>
      </c>
      <c r="G130" s="664">
        <v>0</v>
      </c>
      <c r="H130" s="664">
        <v>0</v>
      </c>
      <c r="I130" s="664">
        <v>0</v>
      </c>
      <c r="J130" s="664">
        <v>0</v>
      </c>
      <c r="K130" s="664">
        <v>0</v>
      </c>
      <c r="L130" s="664">
        <v>0</v>
      </c>
      <c r="M130" s="664">
        <v>0</v>
      </c>
      <c r="N130" s="664">
        <v>0</v>
      </c>
      <c r="O130" s="664">
        <v>0</v>
      </c>
      <c r="P130" s="677">
        <v>0</v>
      </c>
      <c r="Q130" s="669">
        <v>1.5</v>
      </c>
      <c r="R130" s="664">
        <v>0</v>
      </c>
      <c r="S130" s="664">
        <v>0</v>
      </c>
      <c r="T130" s="646">
        <f t="shared" si="8"/>
        <v>1.5</v>
      </c>
      <c r="U130" s="669">
        <v>1.5</v>
      </c>
      <c r="V130" s="749" t="s">
        <v>258</v>
      </c>
      <c r="W130" s="133" t="s">
        <v>258</v>
      </c>
      <c r="X130" s="3"/>
      <c r="Y130" s="3"/>
      <c r="Z130" s="3"/>
      <c r="AA130" s="3"/>
    </row>
    <row r="131" spans="1:27" ht="39.75" customHeight="1">
      <c r="A131" s="736"/>
      <c r="B131" s="699" t="s">
        <v>259</v>
      </c>
      <c r="C131" s="699" t="s">
        <v>260</v>
      </c>
      <c r="D131" s="644">
        <v>124</v>
      </c>
      <c r="E131" s="644" t="s">
        <v>261</v>
      </c>
      <c r="F131" s="664"/>
      <c r="G131" s="664"/>
      <c r="H131" s="677"/>
      <c r="I131" s="664"/>
      <c r="J131" s="664"/>
      <c r="K131" s="664"/>
      <c r="L131" s="664"/>
      <c r="M131" s="664"/>
      <c r="N131" s="664">
        <v>1</v>
      </c>
      <c r="O131" s="664"/>
      <c r="P131" s="664"/>
      <c r="Q131" s="677">
        <v>0.5</v>
      </c>
      <c r="R131" s="664"/>
      <c r="S131" s="664"/>
      <c r="T131" s="647">
        <v>1.5</v>
      </c>
      <c r="U131" s="647">
        <v>1.5</v>
      </c>
      <c r="V131" s="749" t="s">
        <v>628</v>
      </c>
      <c r="W131" s="471"/>
      <c r="X131" s="3"/>
      <c r="Y131" s="3"/>
      <c r="Z131" s="3"/>
      <c r="AA131" s="3"/>
    </row>
    <row r="132" spans="1:27" ht="39.75" customHeight="1">
      <c r="A132" s="736"/>
      <c r="B132" s="736"/>
      <c r="C132" s="736"/>
      <c r="D132" s="644">
        <v>125</v>
      </c>
      <c r="E132" s="644" t="s">
        <v>263</v>
      </c>
      <c r="F132" s="664"/>
      <c r="G132" s="664"/>
      <c r="H132" s="677"/>
      <c r="I132" s="664"/>
      <c r="J132" s="664"/>
      <c r="K132" s="664"/>
      <c r="L132" s="664"/>
      <c r="M132" s="664"/>
      <c r="N132" s="664">
        <v>1</v>
      </c>
      <c r="O132" s="664"/>
      <c r="P132" s="664"/>
      <c r="Q132" s="677">
        <v>0.5</v>
      </c>
      <c r="R132" s="664"/>
      <c r="S132" s="664"/>
      <c r="T132" s="647">
        <v>1.5</v>
      </c>
      <c r="U132" s="647">
        <v>1.5</v>
      </c>
      <c r="V132" s="749" t="s">
        <v>628</v>
      </c>
      <c r="W132" s="471"/>
      <c r="X132" s="3"/>
      <c r="Y132" s="3"/>
      <c r="Z132" s="3"/>
      <c r="AA132" s="3"/>
    </row>
    <row r="133" spans="1:27" ht="39.75" customHeight="1">
      <c r="A133" s="736"/>
      <c r="B133" s="644" t="s">
        <v>264</v>
      </c>
      <c r="C133" s="644" t="s">
        <v>265</v>
      </c>
      <c r="D133" s="644">
        <v>126</v>
      </c>
      <c r="E133" s="644" t="s">
        <v>181</v>
      </c>
      <c r="F133" s="644"/>
      <c r="G133" s="644"/>
      <c r="H133" s="644"/>
      <c r="I133" s="644"/>
      <c r="J133" s="644"/>
      <c r="K133" s="644"/>
      <c r="L133" s="644"/>
      <c r="M133" s="644"/>
      <c r="N133" s="644"/>
      <c r="O133" s="644"/>
      <c r="P133" s="644"/>
      <c r="Q133" s="644"/>
      <c r="R133" s="644"/>
      <c r="S133" s="644"/>
      <c r="T133" s="646">
        <f t="shared" ref="T133:T211" si="9">SUM(F133:S133)</f>
        <v>0</v>
      </c>
      <c r="U133" s="646">
        <v>0</v>
      </c>
      <c r="V133" s="729"/>
      <c r="W133" s="471"/>
      <c r="X133" s="3"/>
      <c r="Y133" s="3"/>
      <c r="Z133" s="3"/>
      <c r="AA133" s="3"/>
    </row>
    <row r="134" spans="1:27" ht="39.75" customHeight="1">
      <c r="A134" s="736"/>
      <c r="B134" s="701" t="s">
        <v>266</v>
      </c>
      <c r="C134" s="736"/>
      <c r="D134" s="736"/>
      <c r="E134" s="660"/>
      <c r="F134" s="660">
        <f t="shared" ref="F134:S134" si="10">SUM(F94:F133)</f>
        <v>0</v>
      </c>
      <c r="G134" s="660">
        <f t="shared" si="10"/>
        <v>0</v>
      </c>
      <c r="H134" s="660">
        <f t="shared" si="10"/>
        <v>0</v>
      </c>
      <c r="I134" s="660">
        <f t="shared" si="10"/>
        <v>10.14</v>
      </c>
      <c r="J134" s="660">
        <f t="shared" si="10"/>
        <v>0</v>
      </c>
      <c r="K134" s="668">
        <f t="shared" si="10"/>
        <v>7</v>
      </c>
      <c r="L134" s="660">
        <f t="shared" si="10"/>
        <v>0</v>
      </c>
      <c r="M134" s="660">
        <f t="shared" si="10"/>
        <v>18.600000000000001</v>
      </c>
      <c r="N134" s="660">
        <f t="shared" si="10"/>
        <v>14.71</v>
      </c>
      <c r="O134" s="660">
        <f t="shared" si="10"/>
        <v>54.68</v>
      </c>
      <c r="P134" s="660">
        <f t="shared" si="10"/>
        <v>75.849999999999994</v>
      </c>
      <c r="Q134" s="660">
        <f t="shared" si="10"/>
        <v>22.200000000000003</v>
      </c>
      <c r="R134" s="660">
        <f t="shared" si="10"/>
        <v>19</v>
      </c>
      <c r="S134" s="660">
        <f t="shared" si="10"/>
        <v>0</v>
      </c>
      <c r="T134" s="660">
        <f t="shared" si="9"/>
        <v>222.18</v>
      </c>
      <c r="U134" s="668">
        <f>SUM(U94:U133)</f>
        <v>195.77250000000001</v>
      </c>
      <c r="V134" s="729"/>
      <c r="W134" s="471"/>
      <c r="X134" s="3"/>
      <c r="Y134" s="3"/>
      <c r="Z134" s="3"/>
      <c r="AA134" s="3"/>
    </row>
    <row r="135" spans="1:27" ht="39.75" customHeight="1">
      <c r="A135" s="700" t="s">
        <v>267</v>
      </c>
      <c r="B135" s="699" t="s">
        <v>268</v>
      </c>
      <c r="C135" s="699" t="s">
        <v>269</v>
      </c>
      <c r="D135" s="644">
        <v>127</v>
      </c>
      <c r="E135" s="644" t="s">
        <v>270</v>
      </c>
      <c r="F135" s="644"/>
      <c r="G135" s="644"/>
      <c r="H135" s="644"/>
      <c r="I135" s="644"/>
      <c r="J135" s="644"/>
      <c r="K135" s="644"/>
      <c r="L135" s="644"/>
      <c r="M135" s="644"/>
      <c r="N135" s="644"/>
      <c r="O135" s="644"/>
      <c r="P135" s="644"/>
      <c r="Q135" s="644"/>
      <c r="R135" s="644"/>
      <c r="S135" s="644"/>
      <c r="T135" s="646">
        <f t="shared" si="9"/>
        <v>0</v>
      </c>
      <c r="U135" s="646">
        <v>0</v>
      </c>
      <c r="V135" s="520"/>
      <c r="W135" s="471"/>
      <c r="X135" s="3"/>
      <c r="Y135" s="3"/>
      <c r="Z135" s="3"/>
      <c r="AA135" s="3"/>
    </row>
    <row r="136" spans="1:27" ht="39.75" customHeight="1">
      <c r="A136" s="736"/>
      <c r="B136" s="736"/>
      <c r="C136" s="736"/>
      <c r="D136" s="644">
        <v>128</v>
      </c>
      <c r="E136" s="644" t="s">
        <v>271</v>
      </c>
      <c r="F136" s="644"/>
      <c r="G136" s="644"/>
      <c r="H136" s="644"/>
      <c r="I136" s="644"/>
      <c r="J136" s="644"/>
      <c r="K136" s="646"/>
      <c r="L136" s="644"/>
      <c r="M136" s="644"/>
      <c r="N136" s="646"/>
      <c r="O136" s="644"/>
      <c r="P136" s="646"/>
      <c r="Q136" s="686">
        <f>(0.75*8)</f>
        <v>6</v>
      </c>
      <c r="R136" s="682"/>
      <c r="S136" s="682"/>
      <c r="T136" s="646">
        <f t="shared" si="9"/>
        <v>6</v>
      </c>
      <c r="U136" s="686">
        <f>T136</f>
        <v>6</v>
      </c>
      <c r="V136" s="779" t="s">
        <v>272</v>
      </c>
      <c r="W136" s="471"/>
      <c r="X136" s="3"/>
      <c r="Y136" s="3"/>
      <c r="Z136" s="3"/>
      <c r="AA136" s="3"/>
    </row>
    <row r="137" spans="1:27" ht="39.75" customHeight="1">
      <c r="A137" s="736"/>
      <c r="B137" s="644"/>
      <c r="C137" s="644"/>
      <c r="D137" s="644">
        <v>129</v>
      </c>
      <c r="E137" s="644" t="s">
        <v>273</v>
      </c>
      <c r="F137" s="644"/>
      <c r="G137" s="644"/>
      <c r="H137" s="644"/>
      <c r="I137" s="644"/>
      <c r="J137" s="644"/>
      <c r="K137" s="644"/>
      <c r="L137" s="644"/>
      <c r="M137" s="644"/>
      <c r="N137" s="644"/>
      <c r="O137" s="644"/>
      <c r="P137" s="644"/>
      <c r="Q137" s="644"/>
      <c r="R137" s="644"/>
      <c r="S137" s="644"/>
      <c r="T137" s="646">
        <f t="shared" si="9"/>
        <v>0</v>
      </c>
      <c r="U137" s="646">
        <v>0</v>
      </c>
      <c r="V137" s="520"/>
      <c r="W137" s="471"/>
      <c r="X137" s="3"/>
      <c r="Y137" s="3"/>
      <c r="Z137" s="3"/>
      <c r="AA137" s="3"/>
    </row>
    <row r="138" spans="1:27" ht="39.75" customHeight="1">
      <c r="A138" s="736"/>
      <c r="B138" s="699" t="s">
        <v>274</v>
      </c>
      <c r="C138" s="699" t="s">
        <v>275</v>
      </c>
      <c r="D138" s="644">
        <v>130</v>
      </c>
      <c r="E138" s="644" t="s">
        <v>276</v>
      </c>
      <c r="F138" s="644"/>
      <c r="G138" s="644"/>
      <c r="H138" s="644"/>
      <c r="I138" s="644"/>
      <c r="J138" s="644"/>
      <c r="K138" s="644"/>
      <c r="L138" s="644"/>
      <c r="M138" s="644"/>
      <c r="N138" s="644"/>
      <c r="O138" s="644"/>
      <c r="P138" s="644"/>
      <c r="Q138" s="644"/>
      <c r="R138" s="644"/>
      <c r="S138" s="644"/>
      <c r="T138" s="646">
        <f t="shared" si="9"/>
        <v>0</v>
      </c>
      <c r="U138" s="646">
        <v>0</v>
      </c>
      <c r="V138" s="520"/>
      <c r="W138" s="471"/>
      <c r="X138" s="3"/>
      <c r="Y138" s="3"/>
      <c r="Z138" s="3"/>
      <c r="AA138" s="3"/>
    </row>
    <row r="139" spans="1:27" ht="39.75" customHeight="1">
      <c r="A139" s="736"/>
      <c r="B139" s="736"/>
      <c r="C139" s="736"/>
      <c r="D139" s="644">
        <v>131</v>
      </c>
      <c r="E139" s="644" t="s">
        <v>277</v>
      </c>
      <c r="F139" s="644"/>
      <c r="G139" s="644"/>
      <c r="H139" s="644"/>
      <c r="I139" s="644"/>
      <c r="J139" s="644"/>
      <c r="K139" s="644"/>
      <c r="L139" s="644"/>
      <c r="M139" s="644"/>
      <c r="N139" s="646">
        <v>1.1200000000000001</v>
      </c>
      <c r="O139" s="644"/>
      <c r="P139" s="644"/>
      <c r="Q139" s="644"/>
      <c r="R139" s="644"/>
      <c r="S139" s="644"/>
      <c r="T139" s="646">
        <f t="shared" si="9"/>
        <v>1.1200000000000001</v>
      </c>
      <c r="U139" s="646">
        <v>1.2</v>
      </c>
      <c r="V139" s="521" t="s">
        <v>1059</v>
      </c>
      <c r="W139" s="471"/>
      <c r="X139" s="3"/>
      <c r="Y139" s="3"/>
      <c r="Z139" s="3"/>
      <c r="AA139" s="3"/>
    </row>
    <row r="140" spans="1:27" ht="39.75" customHeight="1">
      <c r="A140" s="736"/>
      <c r="B140" s="736"/>
      <c r="C140" s="736"/>
      <c r="D140" s="644">
        <v>132</v>
      </c>
      <c r="E140" s="644" t="s">
        <v>279</v>
      </c>
      <c r="F140" s="644"/>
      <c r="G140" s="644"/>
      <c r="H140" s="644"/>
      <c r="I140" s="644"/>
      <c r="J140" s="644"/>
      <c r="K140" s="644"/>
      <c r="L140" s="644"/>
      <c r="M140" s="644"/>
      <c r="N140" s="644"/>
      <c r="O140" s="644"/>
      <c r="P140" s="644"/>
      <c r="Q140" s="644"/>
      <c r="R140" s="644"/>
      <c r="S140" s="644"/>
      <c r="T140" s="646">
        <f t="shared" si="9"/>
        <v>0</v>
      </c>
      <c r="U140" s="646">
        <v>0</v>
      </c>
      <c r="V140" s="520"/>
      <c r="W140" s="471"/>
      <c r="X140" s="3"/>
      <c r="Y140" s="3"/>
      <c r="Z140" s="3"/>
      <c r="AA140" s="3"/>
    </row>
    <row r="141" spans="1:27" ht="39.75" customHeight="1">
      <c r="A141" s="736"/>
      <c r="B141" s="736"/>
      <c r="C141" s="736"/>
      <c r="D141" s="644">
        <v>133</v>
      </c>
      <c r="E141" s="644" t="s">
        <v>280</v>
      </c>
      <c r="F141" s="644"/>
      <c r="G141" s="644"/>
      <c r="H141" s="644"/>
      <c r="I141" s="644"/>
      <c r="J141" s="644"/>
      <c r="K141" s="644"/>
      <c r="L141" s="644"/>
      <c r="M141" s="644"/>
      <c r="N141" s="644"/>
      <c r="O141" s="644"/>
      <c r="P141" s="644"/>
      <c r="Q141" s="644"/>
      <c r="R141" s="644"/>
      <c r="S141" s="644"/>
      <c r="T141" s="646">
        <f t="shared" si="9"/>
        <v>0</v>
      </c>
      <c r="U141" s="646">
        <v>0</v>
      </c>
      <c r="V141" s="520"/>
      <c r="W141" s="471"/>
      <c r="X141" s="3"/>
      <c r="Y141" s="3"/>
      <c r="Z141" s="3"/>
      <c r="AA141" s="3"/>
    </row>
    <row r="142" spans="1:27" ht="39.75" customHeight="1">
      <c r="A142" s="736"/>
      <c r="B142" s="736"/>
      <c r="C142" s="736"/>
      <c r="D142" s="644">
        <v>134</v>
      </c>
      <c r="E142" s="644" t="s">
        <v>281</v>
      </c>
      <c r="F142" s="644"/>
      <c r="G142" s="644"/>
      <c r="H142" s="644"/>
      <c r="I142" s="644"/>
      <c r="J142" s="644"/>
      <c r="K142" s="644"/>
      <c r="L142" s="644"/>
      <c r="M142" s="644"/>
      <c r="N142" s="644"/>
      <c r="O142" s="644"/>
      <c r="P142" s="782">
        <f>(30*0.005*12)+(30*0.0025*12)</f>
        <v>2.6999999999999997</v>
      </c>
      <c r="Q142" s="644"/>
      <c r="R142" s="644"/>
      <c r="S142" s="644"/>
      <c r="T142" s="646">
        <f t="shared" si="9"/>
        <v>2.6999999999999997</v>
      </c>
      <c r="U142" s="646">
        <f>T142</f>
        <v>2.6999999999999997</v>
      </c>
      <c r="V142" s="520" t="s">
        <v>630</v>
      </c>
      <c r="W142" s="471"/>
      <c r="X142" s="3"/>
      <c r="Y142" s="3"/>
      <c r="Z142" s="3"/>
      <c r="AA142" s="3"/>
    </row>
    <row r="143" spans="1:27" ht="39.75" customHeight="1">
      <c r="A143" s="736"/>
      <c r="B143" s="736"/>
      <c r="C143" s="736"/>
      <c r="D143" s="644">
        <v>135</v>
      </c>
      <c r="E143" s="644" t="s">
        <v>283</v>
      </c>
      <c r="F143" s="644"/>
      <c r="G143" s="644"/>
      <c r="H143" s="644"/>
      <c r="I143" s="644"/>
      <c r="J143" s="644"/>
      <c r="K143" s="644"/>
      <c r="L143" s="644"/>
      <c r="M143" s="644"/>
      <c r="N143" s="644"/>
      <c r="O143" s="644"/>
      <c r="P143" s="644"/>
      <c r="Q143" s="644"/>
      <c r="R143" s="644"/>
      <c r="S143" s="644"/>
      <c r="T143" s="646">
        <f t="shared" si="9"/>
        <v>0</v>
      </c>
      <c r="U143" s="646">
        <v>0</v>
      </c>
      <c r="V143" s="520"/>
      <c r="W143" s="471"/>
      <c r="X143" s="3"/>
      <c r="Y143" s="3"/>
      <c r="Z143" s="3"/>
      <c r="AA143" s="3"/>
    </row>
    <row r="144" spans="1:27" ht="39.75" customHeight="1">
      <c r="A144" s="736"/>
      <c r="B144" s="736"/>
      <c r="C144" s="736"/>
      <c r="D144" s="644">
        <v>136</v>
      </c>
      <c r="E144" s="644" t="s">
        <v>284</v>
      </c>
      <c r="F144" s="644"/>
      <c r="G144" s="644"/>
      <c r="H144" s="644"/>
      <c r="I144" s="644"/>
      <c r="J144" s="644"/>
      <c r="K144" s="644"/>
      <c r="L144" s="644"/>
      <c r="M144" s="644"/>
      <c r="N144" s="644"/>
      <c r="O144" s="644"/>
      <c r="P144" s="646"/>
      <c r="Q144" s="644"/>
      <c r="R144" s="644"/>
      <c r="S144" s="644"/>
      <c r="T144" s="646">
        <f t="shared" si="9"/>
        <v>0</v>
      </c>
      <c r="U144" s="646">
        <v>0</v>
      </c>
      <c r="V144" s="779"/>
      <c r="W144" s="471"/>
      <c r="X144" s="3"/>
      <c r="Y144" s="3"/>
      <c r="Z144" s="3"/>
      <c r="AA144" s="3"/>
    </row>
    <row r="145" spans="1:27" ht="39.75" customHeight="1">
      <c r="A145" s="736"/>
      <c r="B145" s="699" t="s">
        <v>285</v>
      </c>
      <c r="C145" s="699" t="s">
        <v>286</v>
      </c>
      <c r="D145" s="644">
        <v>137</v>
      </c>
      <c r="E145" s="644" t="s">
        <v>287</v>
      </c>
      <c r="F145" s="644"/>
      <c r="G145" s="644"/>
      <c r="H145" s="644"/>
      <c r="I145" s="644"/>
      <c r="J145" s="644"/>
      <c r="K145" s="644"/>
      <c r="L145" s="644"/>
      <c r="M145" s="646"/>
      <c r="N145" s="644"/>
      <c r="O145" s="644"/>
      <c r="P145" s="686"/>
      <c r="Q145" s="644"/>
      <c r="R145" s="644"/>
      <c r="S145" s="644"/>
      <c r="T145" s="646">
        <f t="shared" si="9"/>
        <v>0</v>
      </c>
      <c r="U145" s="646">
        <f>T145</f>
        <v>0</v>
      </c>
      <c r="V145" s="779"/>
      <c r="W145" s="471"/>
      <c r="X145" s="3"/>
      <c r="Y145" s="3"/>
      <c r="Z145" s="3"/>
      <c r="AA145" s="3"/>
    </row>
    <row r="146" spans="1:27" ht="39.75" customHeight="1">
      <c r="A146" s="736"/>
      <c r="B146" s="736"/>
      <c r="C146" s="736"/>
      <c r="D146" s="644">
        <v>138</v>
      </c>
      <c r="E146" s="644" t="s">
        <v>288</v>
      </c>
      <c r="F146" s="644"/>
      <c r="G146" s="644"/>
      <c r="H146" s="646"/>
      <c r="I146" s="646"/>
      <c r="J146" s="644"/>
      <c r="K146" s="646"/>
      <c r="L146" s="644"/>
      <c r="M146" s="646"/>
      <c r="N146" s="644"/>
      <c r="O146" s="644"/>
      <c r="P146" s="644"/>
      <c r="Q146" s="644"/>
      <c r="R146" s="644"/>
      <c r="S146" s="644"/>
      <c r="T146" s="646">
        <f t="shared" si="9"/>
        <v>0</v>
      </c>
      <c r="U146" s="646">
        <v>0</v>
      </c>
      <c r="V146" s="779"/>
      <c r="W146" s="471"/>
      <c r="X146" s="3"/>
      <c r="Y146" s="3"/>
      <c r="Z146" s="3"/>
      <c r="AA146" s="3"/>
    </row>
    <row r="147" spans="1:27" ht="39.75" customHeight="1">
      <c r="A147" s="736"/>
      <c r="B147" s="699" t="s">
        <v>289</v>
      </c>
      <c r="C147" s="699" t="s">
        <v>290</v>
      </c>
      <c r="D147" s="644">
        <v>139</v>
      </c>
      <c r="E147" s="644" t="s">
        <v>291</v>
      </c>
      <c r="F147" s="644"/>
      <c r="G147" s="644"/>
      <c r="H147" s="644"/>
      <c r="I147" s="644"/>
      <c r="J147" s="644"/>
      <c r="K147" s="644"/>
      <c r="L147" s="644"/>
      <c r="M147" s="644"/>
      <c r="N147" s="646"/>
      <c r="O147" s="644"/>
      <c r="P147" s="646">
        <v>8</v>
      </c>
      <c r="Q147" s="644"/>
      <c r="R147" s="646"/>
      <c r="S147" s="644"/>
      <c r="T147" s="646">
        <f t="shared" si="9"/>
        <v>8</v>
      </c>
      <c r="U147" s="646">
        <f t="shared" ref="U147:U148" si="11">T147</f>
        <v>8</v>
      </c>
      <c r="V147" s="779" t="s">
        <v>1060</v>
      </c>
      <c r="W147" s="471"/>
      <c r="X147" s="3"/>
      <c r="Y147" s="3"/>
      <c r="Z147" s="3"/>
      <c r="AA147" s="3"/>
    </row>
    <row r="148" spans="1:27" ht="39.75" customHeight="1">
      <c r="A148" s="736"/>
      <c r="B148" s="736"/>
      <c r="C148" s="736"/>
      <c r="D148" s="644">
        <v>140</v>
      </c>
      <c r="E148" s="644" t="s">
        <v>293</v>
      </c>
      <c r="F148" s="644"/>
      <c r="G148" s="644"/>
      <c r="H148" s="644"/>
      <c r="I148" s="644"/>
      <c r="J148" s="644"/>
      <c r="K148" s="644"/>
      <c r="L148" s="644"/>
      <c r="M148" s="644"/>
      <c r="N148" s="644"/>
      <c r="O148" s="644"/>
      <c r="P148" s="686">
        <f>8+( 8* 0.235)</f>
        <v>9.879999999999999</v>
      </c>
      <c r="Q148" s="682"/>
      <c r="R148" s="682"/>
      <c r="S148" s="682"/>
      <c r="T148" s="646">
        <f t="shared" si="9"/>
        <v>9.879999999999999</v>
      </c>
      <c r="U148" s="658">
        <f t="shared" si="11"/>
        <v>9.879999999999999</v>
      </c>
      <c r="V148" s="779" t="s">
        <v>294</v>
      </c>
      <c r="W148" s="471"/>
      <c r="X148" s="3"/>
      <c r="Y148" s="3"/>
      <c r="Z148" s="3"/>
      <c r="AA148" s="3"/>
    </row>
    <row r="149" spans="1:27" ht="39.75" customHeight="1">
      <c r="A149" s="736"/>
      <c r="B149" s="736"/>
      <c r="C149" s="736"/>
      <c r="D149" s="644">
        <v>141</v>
      </c>
      <c r="E149" s="644" t="s">
        <v>295</v>
      </c>
      <c r="F149" s="644"/>
      <c r="G149" s="644"/>
      <c r="H149" s="644"/>
      <c r="I149" s="644"/>
      <c r="J149" s="644"/>
      <c r="K149" s="644"/>
      <c r="L149" s="644"/>
      <c r="M149" s="644"/>
      <c r="N149" s="644"/>
      <c r="O149" s="644"/>
      <c r="P149" s="644"/>
      <c r="Q149" s="644"/>
      <c r="R149" s="644"/>
      <c r="S149" s="644"/>
      <c r="T149" s="646">
        <f t="shared" si="9"/>
        <v>0</v>
      </c>
      <c r="U149" s="646">
        <v>0</v>
      </c>
      <c r="V149" s="520"/>
      <c r="W149" s="471"/>
      <c r="X149" s="3"/>
      <c r="Y149" s="3"/>
      <c r="Z149" s="3"/>
      <c r="AA149" s="3"/>
    </row>
    <row r="150" spans="1:27" ht="39.75" customHeight="1">
      <c r="A150" s="736"/>
      <c r="B150" s="699" t="s">
        <v>296</v>
      </c>
      <c r="C150" s="699" t="s">
        <v>297</v>
      </c>
      <c r="D150" s="644">
        <v>142</v>
      </c>
      <c r="E150" s="644" t="s">
        <v>298</v>
      </c>
      <c r="F150" s="644"/>
      <c r="G150" s="644"/>
      <c r="H150" s="644"/>
      <c r="I150" s="644"/>
      <c r="J150" s="644"/>
      <c r="K150" s="644"/>
      <c r="L150" s="644"/>
      <c r="M150" s="644"/>
      <c r="N150" s="644"/>
      <c r="O150" s="644"/>
      <c r="P150" s="726">
        <v>1028.49918</v>
      </c>
      <c r="Q150" s="644"/>
      <c r="R150" s="644"/>
      <c r="S150" s="644"/>
      <c r="T150" s="646">
        <f t="shared" si="9"/>
        <v>1028.49918</v>
      </c>
      <c r="U150" s="726">
        <v>1095.0430769459999</v>
      </c>
      <c r="V150" s="1206" t="s">
        <v>1732</v>
      </c>
      <c r="W150" s="471"/>
      <c r="X150" s="3"/>
      <c r="Y150" s="3"/>
      <c r="Z150" s="3"/>
      <c r="AA150" s="3"/>
    </row>
    <row r="151" spans="1:27" ht="39.75" customHeight="1">
      <c r="A151" s="736"/>
      <c r="B151" s="736"/>
      <c r="C151" s="736"/>
      <c r="D151" s="644">
        <v>143</v>
      </c>
      <c r="E151" s="644" t="s">
        <v>299</v>
      </c>
      <c r="F151" s="644"/>
      <c r="G151" s="644"/>
      <c r="H151" s="644"/>
      <c r="I151" s="644"/>
      <c r="J151" s="644"/>
      <c r="K151" s="644"/>
      <c r="L151" s="644"/>
      <c r="M151" s="644"/>
      <c r="N151" s="644"/>
      <c r="O151" s="644"/>
      <c r="P151" s="644"/>
      <c r="Q151" s="644"/>
      <c r="R151" s="644"/>
      <c r="S151" s="644"/>
      <c r="T151" s="646">
        <f t="shared" si="9"/>
        <v>0</v>
      </c>
      <c r="U151" s="646">
        <v>0</v>
      </c>
      <c r="V151" s="520"/>
      <c r="W151" s="471"/>
      <c r="X151" s="3"/>
      <c r="Y151" s="3"/>
      <c r="Z151" s="3"/>
      <c r="AA151" s="3"/>
    </row>
    <row r="152" spans="1:27" ht="39.75" customHeight="1">
      <c r="A152" s="736"/>
      <c r="B152" s="736"/>
      <c r="C152" s="736"/>
      <c r="D152" s="644">
        <v>144</v>
      </c>
      <c r="E152" s="644" t="s">
        <v>300</v>
      </c>
      <c r="F152" s="644"/>
      <c r="G152" s="644"/>
      <c r="H152" s="644"/>
      <c r="I152" s="644"/>
      <c r="J152" s="644"/>
      <c r="K152" s="644"/>
      <c r="L152" s="644"/>
      <c r="M152" s="644"/>
      <c r="N152" s="644"/>
      <c r="O152" s="644"/>
      <c r="P152" s="644"/>
      <c r="Q152" s="644"/>
      <c r="R152" s="644"/>
      <c r="S152" s="644"/>
      <c r="T152" s="646">
        <f t="shared" si="9"/>
        <v>0</v>
      </c>
      <c r="U152" s="646">
        <v>0</v>
      </c>
      <c r="V152" s="520"/>
      <c r="W152" s="471"/>
      <c r="X152" s="3"/>
      <c r="Y152" s="3"/>
      <c r="Z152" s="3"/>
      <c r="AA152" s="3"/>
    </row>
    <row r="153" spans="1:27" ht="39.75" customHeight="1">
      <c r="A153" s="736"/>
      <c r="B153" s="736"/>
      <c r="C153" s="736"/>
      <c r="D153" s="644">
        <v>145</v>
      </c>
      <c r="E153" s="644" t="s">
        <v>301</v>
      </c>
      <c r="F153" s="644"/>
      <c r="G153" s="644"/>
      <c r="H153" s="644"/>
      <c r="I153" s="644"/>
      <c r="J153" s="644"/>
      <c r="K153" s="644"/>
      <c r="L153" s="644"/>
      <c r="M153" s="644"/>
      <c r="N153" s="644"/>
      <c r="O153" s="644"/>
      <c r="P153" s="644"/>
      <c r="Q153" s="644"/>
      <c r="R153" s="644"/>
      <c r="S153" s="644"/>
      <c r="T153" s="646">
        <f t="shared" si="9"/>
        <v>0</v>
      </c>
      <c r="U153" s="646">
        <v>0</v>
      </c>
      <c r="V153" s="520"/>
      <c r="W153" s="471"/>
      <c r="X153" s="3"/>
      <c r="Y153" s="3"/>
      <c r="Z153" s="3"/>
      <c r="AA153" s="3"/>
    </row>
    <row r="154" spans="1:27" ht="67.150000000000006" customHeight="1">
      <c r="A154" s="736"/>
      <c r="B154" s="644" t="s">
        <v>302</v>
      </c>
      <c r="C154" s="644" t="s">
        <v>303</v>
      </c>
      <c r="D154" s="644">
        <v>146</v>
      </c>
      <c r="E154" s="644" t="s">
        <v>304</v>
      </c>
      <c r="F154" s="644"/>
      <c r="G154" s="644"/>
      <c r="H154" s="644"/>
      <c r="I154" s="644"/>
      <c r="J154" s="644"/>
      <c r="K154" s="644"/>
      <c r="L154" s="644"/>
      <c r="M154" s="644"/>
      <c r="N154" s="644"/>
      <c r="O154" s="644"/>
      <c r="P154" s="644"/>
      <c r="Q154" s="644"/>
      <c r="R154" s="686">
        <f>(0.4*12)+(12*0.1)</f>
        <v>6.0000000000000009</v>
      </c>
      <c r="S154" s="682"/>
      <c r="T154" s="646">
        <f t="shared" si="9"/>
        <v>6.0000000000000009</v>
      </c>
      <c r="U154" s="686">
        <f>T154</f>
        <v>6.0000000000000009</v>
      </c>
      <c r="V154" s="779" t="s">
        <v>631</v>
      </c>
      <c r="W154" s="471"/>
      <c r="X154" s="3"/>
      <c r="Y154" s="3"/>
      <c r="Z154" s="3"/>
      <c r="AA154" s="3"/>
    </row>
    <row r="155" spans="1:27" ht="39.75" customHeight="1">
      <c r="A155" s="736"/>
      <c r="B155" s="644" t="s">
        <v>306</v>
      </c>
      <c r="C155" s="644" t="s">
        <v>307</v>
      </c>
      <c r="D155" s="644">
        <v>147</v>
      </c>
      <c r="E155" s="644" t="s">
        <v>157</v>
      </c>
      <c r="F155" s="644"/>
      <c r="G155" s="644"/>
      <c r="H155" s="644"/>
      <c r="I155" s="644"/>
      <c r="J155" s="644"/>
      <c r="K155" s="644"/>
      <c r="L155" s="644"/>
      <c r="M155" s="644"/>
      <c r="N155" s="644"/>
      <c r="O155" s="644"/>
      <c r="P155" s="644"/>
      <c r="Q155" s="644"/>
      <c r="R155" s="644"/>
      <c r="S155" s="644"/>
      <c r="T155" s="646">
        <f t="shared" si="9"/>
        <v>0</v>
      </c>
      <c r="U155" s="646">
        <v>0</v>
      </c>
      <c r="V155" s="520"/>
      <c r="W155" s="471"/>
      <c r="X155" s="3"/>
      <c r="Y155" s="3"/>
      <c r="Z155" s="3"/>
      <c r="AA155" s="3"/>
    </row>
    <row r="156" spans="1:27" ht="39.75" customHeight="1">
      <c r="A156" s="736"/>
      <c r="B156" s="644" t="s">
        <v>308</v>
      </c>
      <c r="C156" s="644" t="s">
        <v>309</v>
      </c>
      <c r="D156" s="644">
        <v>148</v>
      </c>
      <c r="E156" s="644" t="s">
        <v>310</v>
      </c>
      <c r="F156" s="644"/>
      <c r="G156" s="644"/>
      <c r="H156" s="644"/>
      <c r="I156" s="644"/>
      <c r="J156" s="644"/>
      <c r="K156" s="644"/>
      <c r="L156" s="644"/>
      <c r="M156" s="644"/>
      <c r="N156" s="646"/>
      <c r="O156" s="644"/>
      <c r="P156" s="646"/>
      <c r="Q156" s="644"/>
      <c r="R156" s="644"/>
      <c r="S156" s="644"/>
      <c r="T156" s="646">
        <f t="shared" si="9"/>
        <v>0</v>
      </c>
      <c r="U156" s="646">
        <v>0</v>
      </c>
      <c r="V156" s="779"/>
      <c r="W156" s="471"/>
      <c r="X156" s="3"/>
      <c r="Y156" s="3"/>
      <c r="Z156" s="3"/>
      <c r="AA156" s="3"/>
    </row>
    <row r="157" spans="1:27" ht="39.75" customHeight="1">
      <c r="A157" s="736"/>
      <c r="B157" s="644" t="s">
        <v>311</v>
      </c>
      <c r="C157" s="644" t="s">
        <v>312</v>
      </c>
      <c r="D157" s="644">
        <v>149</v>
      </c>
      <c r="E157" s="644" t="s">
        <v>313</v>
      </c>
      <c r="F157" s="768"/>
      <c r="G157" s="768"/>
      <c r="H157" s="768"/>
      <c r="I157" s="768"/>
      <c r="J157" s="768"/>
      <c r="K157" s="768"/>
      <c r="L157" s="768"/>
      <c r="M157" s="768"/>
      <c r="N157" s="768"/>
      <c r="O157" s="768"/>
      <c r="P157" s="785">
        <f>(8*1.75)+(112*0.05)</f>
        <v>19.600000000000001</v>
      </c>
      <c r="Q157" s="768"/>
      <c r="R157" s="768"/>
      <c r="S157" s="768"/>
      <c r="T157" s="646">
        <f t="shared" si="9"/>
        <v>19.600000000000001</v>
      </c>
      <c r="U157" s="785">
        <f>(8*1.75)+(120*0.05)</f>
        <v>20</v>
      </c>
      <c r="V157" s="779" t="s">
        <v>1660</v>
      </c>
      <c r="W157" s="471"/>
      <c r="X157" s="3"/>
      <c r="Y157" s="3"/>
      <c r="Z157" s="3"/>
      <c r="AA157" s="3"/>
    </row>
    <row r="158" spans="1:27" ht="39.75" customHeight="1">
      <c r="A158" s="736"/>
      <c r="B158" s="701" t="s">
        <v>315</v>
      </c>
      <c r="C158" s="736"/>
      <c r="D158" s="736"/>
      <c r="E158" s="660"/>
      <c r="F158" s="660">
        <f t="shared" ref="F158:S158" si="12">SUM(F135:F157)</f>
        <v>0</v>
      </c>
      <c r="G158" s="660">
        <f t="shared" si="12"/>
        <v>0</v>
      </c>
      <c r="H158" s="660">
        <f t="shared" si="12"/>
        <v>0</v>
      </c>
      <c r="I158" s="660">
        <f t="shared" si="12"/>
        <v>0</v>
      </c>
      <c r="J158" s="660">
        <f t="shared" si="12"/>
        <v>0</v>
      </c>
      <c r="K158" s="660">
        <f t="shared" si="12"/>
        <v>0</v>
      </c>
      <c r="L158" s="660">
        <f t="shared" si="12"/>
        <v>0</v>
      </c>
      <c r="M158" s="660">
        <f t="shared" si="12"/>
        <v>0</v>
      </c>
      <c r="N158" s="660">
        <f t="shared" si="12"/>
        <v>1.1200000000000001</v>
      </c>
      <c r="O158" s="660">
        <f t="shared" si="12"/>
        <v>0</v>
      </c>
      <c r="P158" s="660">
        <f t="shared" si="12"/>
        <v>1068.6791799999999</v>
      </c>
      <c r="Q158" s="660">
        <f t="shared" si="12"/>
        <v>6</v>
      </c>
      <c r="R158" s="660">
        <f t="shared" si="12"/>
        <v>6.0000000000000009</v>
      </c>
      <c r="S158" s="660">
        <f t="shared" si="12"/>
        <v>0</v>
      </c>
      <c r="T158" s="660">
        <f t="shared" si="9"/>
        <v>1081.7991799999998</v>
      </c>
      <c r="U158" s="668">
        <f>SUM(U135:U157)</f>
        <v>1148.8230769459999</v>
      </c>
      <c r="V158" s="729"/>
      <c r="W158" s="470"/>
      <c r="X158" s="54"/>
      <c r="Y158" s="54"/>
      <c r="Z158" s="54"/>
      <c r="AA158" s="54"/>
    </row>
    <row r="159" spans="1:27" ht="165">
      <c r="A159" s="700" t="s">
        <v>316</v>
      </c>
      <c r="B159" s="699" t="s">
        <v>317</v>
      </c>
      <c r="C159" s="699" t="s">
        <v>269</v>
      </c>
      <c r="D159" s="644">
        <v>150</v>
      </c>
      <c r="E159" s="644" t="s">
        <v>318</v>
      </c>
      <c r="F159" s="682"/>
      <c r="G159" s="683"/>
      <c r="H159" s="683"/>
      <c r="I159" s="682"/>
      <c r="J159" s="682"/>
      <c r="K159" s="682"/>
      <c r="L159" s="682"/>
      <c r="M159" s="682"/>
      <c r="N159" s="686">
        <v>13.2</v>
      </c>
      <c r="O159" s="682">
        <v>234.95500000000001</v>
      </c>
      <c r="P159" s="683"/>
      <c r="Q159" s="682">
        <v>1</v>
      </c>
      <c r="R159" s="682"/>
      <c r="S159" s="682"/>
      <c r="T159" s="646">
        <f t="shared" si="9"/>
        <v>249.155</v>
      </c>
      <c r="U159" s="646">
        <f t="shared" ref="U159:U160" si="13">T159</f>
        <v>249.155</v>
      </c>
      <c r="V159" s="786" t="s">
        <v>1759</v>
      </c>
      <c r="W159" s="471"/>
      <c r="X159" s="3"/>
      <c r="Y159" s="3"/>
      <c r="Z159" s="3"/>
      <c r="AA159" s="3"/>
    </row>
    <row r="160" spans="1:27" ht="148.5" customHeight="1">
      <c r="A160" s="736"/>
      <c r="B160" s="736"/>
      <c r="C160" s="736"/>
      <c r="D160" s="644">
        <v>151</v>
      </c>
      <c r="E160" s="644" t="s">
        <v>319</v>
      </c>
      <c r="F160" s="682"/>
      <c r="G160" s="683"/>
      <c r="H160" s="683"/>
      <c r="I160" s="686"/>
      <c r="J160" s="682"/>
      <c r="K160" s="682"/>
      <c r="L160" s="682"/>
      <c r="M160" s="682"/>
      <c r="N160" s="686"/>
      <c r="O160" s="683"/>
      <c r="P160" s="683">
        <v>14.88</v>
      </c>
      <c r="Q160" s="686"/>
      <c r="R160" s="683">
        <v>2</v>
      </c>
      <c r="S160" s="682"/>
      <c r="T160" s="646">
        <f t="shared" si="9"/>
        <v>16.880000000000003</v>
      </c>
      <c r="U160" s="646">
        <f t="shared" si="13"/>
        <v>16.880000000000003</v>
      </c>
      <c r="V160" s="729" t="s">
        <v>1061</v>
      </c>
      <c r="W160" s="471"/>
      <c r="X160" s="3"/>
      <c r="Y160" s="3"/>
      <c r="Z160" s="3"/>
      <c r="AA160" s="3"/>
    </row>
    <row r="161" spans="1:27" ht="39.75" customHeight="1">
      <c r="A161" s="736"/>
      <c r="B161" s="736"/>
      <c r="C161" s="736"/>
      <c r="D161" s="644">
        <v>152</v>
      </c>
      <c r="E161" s="644" t="s">
        <v>321</v>
      </c>
      <c r="F161" s="682"/>
      <c r="G161" s="682"/>
      <c r="H161" s="682"/>
      <c r="I161" s="682"/>
      <c r="J161" s="682"/>
      <c r="K161" s="682"/>
      <c r="L161" s="682"/>
      <c r="M161" s="682"/>
      <c r="N161" s="682"/>
      <c r="O161" s="682"/>
      <c r="P161" s="683"/>
      <c r="Q161" s="682"/>
      <c r="R161" s="682"/>
      <c r="S161" s="682"/>
      <c r="T161" s="646">
        <f t="shared" si="9"/>
        <v>0</v>
      </c>
      <c r="U161" s="646"/>
      <c r="V161" s="729"/>
      <c r="W161" s="471"/>
      <c r="X161" s="3"/>
      <c r="Y161" s="3"/>
      <c r="Z161" s="3"/>
      <c r="AA161" s="3"/>
    </row>
    <row r="162" spans="1:27" ht="39.75" customHeight="1">
      <c r="A162" s="736"/>
      <c r="B162" s="736"/>
      <c r="C162" s="736"/>
      <c r="D162" s="644">
        <v>153</v>
      </c>
      <c r="E162" s="644" t="s">
        <v>322</v>
      </c>
      <c r="F162" s="787"/>
      <c r="G162" s="787"/>
      <c r="H162" s="787"/>
      <c r="I162" s="787"/>
      <c r="J162" s="787"/>
      <c r="K162" s="787"/>
      <c r="L162" s="787"/>
      <c r="M162" s="787"/>
      <c r="N162" s="686"/>
      <c r="O162" s="787"/>
      <c r="P162" s="787"/>
      <c r="Q162" s="787"/>
      <c r="R162" s="787"/>
      <c r="S162" s="787"/>
      <c r="T162" s="646">
        <f t="shared" si="9"/>
        <v>0</v>
      </c>
      <c r="U162" s="646">
        <v>0</v>
      </c>
      <c r="V162" s="729"/>
      <c r="W162" s="471"/>
      <c r="X162" s="3"/>
      <c r="Y162" s="3"/>
      <c r="Z162" s="3"/>
      <c r="AA162" s="3"/>
    </row>
    <row r="163" spans="1:27" ht="53.45" customHeight="1">
      <c r="A163" s="736"/>
      <c r="B163" s="699" t="s">
        <v>324</v>
      </c>
      <c r="C163" s="699" t="s">
        <v>325</v>
      </c>
      <c r="D163" s="644">
        <v>154</v>
      </c>
      <c r="E163" s="644" t="s">
        <v>326</v>
      </c>
      <c r="F163" s="644"/>
      <c r="G163" s="644"/>
      <c r="H163" s="644"/>
      <c r="I163" s="644"/>
      <c r="J163" s="644"/>
      <c r="K163" s="646"/>
      <c r="L163" s="644"/>
      <c r="M163" s="646"/>
      <c r="N163" s="644"/>
      <c r="O163" s="644"/>
      <c r="P163" s="644"/>
      <c r="Q163" s="654">
        <v>0.15</v>
      </c>
      <c r="R163" s="644"/>
      <c r="S163" s="644"/>
      <c r="T163" s="646">
        <f t="shared" si="9"/>
        <v>0.15</v>
      </c>
      <c r="U163" s="646">
        <f t="shared" ref="U163:U165" si="14">T163</f>
        <v>0.15</v>
      </c>
      <c r="V163" s="729" t="s">
        <v>1062</v>
      </c>
      <c r="W163" s="471"/>
      <c r="X163" s="3"/>
      <c r="Y163" s="3"/>
      <c r="Z163" s="3"/>
      <c r="AA163" s="3"/>
    </row>
    <row r="164" spans="1:27" ht="39.75" customHeight="1">
      <c r="A164" s="736"/>
      <c r="B164" s="736"/>
      <c r="C164" s="736"/>
      <c r="D164" s="644">
        <v>155</v>
      </c>
      <c r="E164" s="644" t="s">
        <v>328</v>
      </c>
      <c r="F164" s="644"/>
      <c r="G164" s="644"/>
      <c r="H164" s="644"/>
      <c r="I164" s="644"/>
      <c r="J164" s="644"/>
      <c r="K164" s="644"/>
      <c r="L164" s="644"/>
      <c r="M164" s="644"/>
      <c r="N164" s="682"/>
      <c r="O164" s="644"/>
      <c r="P164" s="654"/>
      <c r="Q164" s="644"/>
      <c r="R164" s="644"/>
      <c r="S164" s="644"/>
      <c r="T164" s="646">
        <f t="shared" si="9"/>
        <v>0</v>
      </c>
      <c r="U164" s="646">
        <f t="shared" si="14"/>
        <v>0</v>
      </c>
      <c r="V164" s="740"/>
      <c r="W164" s="471"/>
      <c r="X164" s="3"/>
      <c r="Y164" s="3"/>
      <c r="Z164" s="3"/>
      <c r="AA164" s="3"/>
    </row>
    <row r="165" spans="1:27" ht="39.75" customHeight="1">
      <c r="A165" s="736"/>
      <c r="B165" s="736"/>
      <c r="C165" s="736"/>
      <c r="D165" s="644">
        <v>156</v>
      </c>
      <c r="E165" s="644" t="s">
        <v>329</v>
      </c>
      <c r="F165" s="644"/>
      <c r="G165" s="644"/>
      <c r="H165" s="654"/>
      <c r="I165" s="646"/>
      <c r="J165" s="644"/>
      <c r="K165" s="644"/>
      <c r="L165" s="644"/>
      <c r="M165" s="644"/>
      <c r="N165" s="644"/>
      <c r="O165" s="644"/>
      <c r="P165" s="654">
        <v>1</v>
      </c>
      <c r="Q165" s="644"/>
      <c r="R165" s="644"/>
      <c r="S165" s="644"/>
      <c r="T165" s="646">
        <f t="shared" si="9"/>
        <v>1</v>
      </c>
      <c r="U165" s="646">
        <f t="shared" si="14"/>
        <v>1</v>
      </c>
      <c r="V165" s="729" t="s">
        <v>846</v>
      </c>
      <c r="W165" s="471"/>
      <c r="X165" s="3"/>
      <c r="Y165" s="3"/>
      <c r="Z165" s="3"/>
      <c r="AA165" s="3"/>
    </row>
    <row r="166" spans="1:27" ht="39.75" customHeight="1">
      <c r="A166" s="736"/>
      <c r="B166" s="736"/>
      <c r="C166" s="736"/>
      <c r="D166" s="644">
        <v>157</v>
      </c>
      <c r="E166" s="644" t="s">
        <v>331</v>
      </c>
      <c r="F166" s="644"/>
      <c r="G166" s="644"/>
      <c r="H166" s="644"/>
      <c r="I166" s="644"/>
      <c r="J166" s="644"/>
      <c r="K166" s="644"/>
      <c r="L166" s="644"/>
      <c r="M166" s="644"/>
      <c r="N166" s="644"/>
      <c r="O166" s="644"/>
      <c r="P166" s="644"/>
      <c r="Q166" s="644"/>
      <c r="R166" s="644"/>
      <c r="S166" s="644"/>
      <c r="T166" s="646">
        <f t="shared" si="9"/>
        <v>0</v>
      </c>
      <c r="U166" s="646">
        <v>0</v>
      </c>
      <c r="V166" s="729"/>
      <c r="W166" s="471"/>
      <c r="X166" s="3"/>
      <c r="Y166" s="3"/>
      <c r="Z166" s="3"/>
      <c r="AA166" s="3"/>
    </row>
    <row r="167" spans="1:27" ht="39.75" customHeight="1">
      <c r="A167" s="736"/>
      <c r="B167" s="736"/>
      <c r="C167" s="736"/>
      <c r="D167" s="644">
        <v>158</v>
      </c>
      <c r="E167" s="644" t="s">
        <v>332</v>
      </c>
      <c r="F167" s="644"/>
      <c r="G167" s="644"/>
      <c r="H167" s="644"/>
      <c r="I167" s="644"/>
      <c r="J167" s="644"/>
      <c r="K167" s="644"/>
      <c r="L167" s="644"/>
      <c r="M167" s="644"/>
      <c r="N167" s="644"/>
      <c r="O167" s="644"/>
      <c r="P167" s="644"/>
      <c r="Q167" s="646"/>
      <c r="R167" s="644"/>
      <c r="S167" s="644"/>
      <c r="T167" s="646">
        <f t="shared" si="9"/>
        <v>0</v>
      </c>
      <c r="U167" s="646">
        <f>T167</f>
        <v>0</v>
      </c>
      <c r="V167" s="729"/>
      <c r="W167" s="471"/>
      <c r="X167" s="3"/>
      <c r="Y167" s="3"/>
      <c r="Z167" s="3"/>
      <c r="AA167" s="3"/>
    </row>
    <row r="168" spans="1:27" ht="390">
      <c r="A168" s="736"/>
      <c r="B168" s="699" t="s">
        <v>333</v>
      </c>
      <c r="C168" s="699" t="s">
        <v>275</v>
      </c>
      <c r="D168" s="644">
        <v>159</v>
      </c>
      <c r="E168" s="644" t="s">
        <v>276</v>
      </c>
      <c r="F168" s="644"/>
      <c r="G168" s="644"/>
      <c r="H168" s="644"/>
      <c r="I168" s="644"/>
      <c r="J168" s="644"/>
      <c r="K168" s="646"/>
      <c r="L168" s="644"/>
      <c r="M168" s="644"/>
      <c r="N168" s="654">
        <v>34.68</v>
      </c>
      <c r="O168" s="654">
        <v>504.86</v>
      </c>
      <c r="P168" s="654">
        <v>48.37</v>
      </c>
      <c r="Q168" s="644">
        <v>4.4580000000000002</v>
      </c>
      <c r="R168" s="644"/>
      <c r="S168" s="644"/>
      <c r="T168" s="646">
        <f t="shared" si="9"/>
        <v>592.36799999999994</v>
      </c>
      <c r="U168" s="658">
        <f>T168+2</f>
        <v>594.36799999999994</v>
      </c>
      <c r="V168" s="744" t="s">
        <v>1760</v>
      </c>
      <c r="W168" s="471"/>
      <c r="X168" s="3"/>
      <c r="Y168" s="3"/>
      <c r="Z168" s="3"/>
      <c r="AA168" s="3"/>
    </row>
    <row r="169" spans="1:27" ht="39.75" customHeight="1">
      <c r="A169" s="736"/>
      <c r="B169" s="736"/>
      <c r="C169" s="736"/>
      <c r="D169" s="644">
        <v>160</v>
      </c>
      <c r="E169" s="644" t="s">
        <v>334</v>
      </c>
      <c r="F169" s="644"/>
      <c r="G169" s="644"/>
      <c r="H169" s="644"/>
      <c r="I169" s="644"/>
      <c r="J169" s="644"/>
      <c r="K169" s="644"/>
      <c r="L169" s="644"/>
      <c r="M169" s="644"/>
      <c r="N169" s="644"/>
      <c r="O169" s="644"/>
      <c r="P169" s="644"/>
      <c r="Q169" s="644"/>
      <c r="R169" s="644"/>
      <c r="S169" s="644"/>
      <c r="T169" s="646">
        <f t="shared" si="9"/>
        <v>0</v>
      </c>
      <c r="U169" s="646">
        <v>0</v>
      </c>
      <c r="V169" s="729"/>
      <c r="W169" s="471"/>
      <c r="X169" s="3"/>
      <c r="Y169" s="3"/>
      <c r="Z169" s="3"/>
      <c r="AA169" s="3"/>
    </row>
    <row r="170" spans="1:27" ht="39.75" customHeight="1">
      <c r="A170" s="736"/>
      <c r="B170" s="736"/>
      <c r="C170" s="736"/>
      <c r="D170" s="644">
        <v>161</v>
      </c>
      <c r="E170" s="644" t="s">
        <v>279</v>
      </c>
      <c r="F170" s="644"/>
      <c r="G170" s="644"/>
      <c r="H170" s="644"/>
      <c r="I170" s="644"/>
      <c r="J170" s="644"/>
      <c r="K170" s="644"/>
      <c r="L170" s="644"/>
      <c r="M170" s="644"/>
      <c r="N170" s="644"/>
      <c r="O170" s="644"/>
      <c r="P170" s="644"/>
      <c r="Q170" s="644"/>
      <c r="R170" s="644"/>
      <c r="S170" s="644"/>
      <c r="T170" s="646">
        <f t="shared" si="9"/>
        <v>0</v>
      </c>
      <c r="U170" s="646">
        <v>0</v>
      </c>
      <c r="V170" s="729"/>
      <c r="W170" s="471"/>
      <c r="X170" s="3"/>
      <c r="Y170" s="3"/>
      <c r="Z170" s="3"/>
      <c r="AA170" s="3"/>
    </row>
    <row r="171" spans="1:27" ht="39.75" customHeight="1">
      <c r="A171" s="736"/>
      <c r="B171" s="736"/>
      <c r="C171" s="736"/>
      <c r="D171" s="644">
        <v>162</v>
      </c>
      <c r="E171" s="644" t="s">
        <v>280</v>
      </c>
      <c r="F171" s="644"/>
      <c r="G171" s="644"/>
      <c r="H171" s="644"/>
      <c r="I171" s="644"/>
      <c r="J171" s="644"/>
      <c r="K171" s="644"/>
      <c r="L171" s="644"/>
      <c r="M171" s="644"/>
      <c r="N171" s="644"/>
      <c r="O171" s="644"/>
      <c r="P171" s="644"/>
      <c r="Q171" s="644"/>
      <c r="R171" s="644"/>
      <c r="S171" s="644"/>
      <c r="T171" s="646">
        <f t="shared" si="9"/>
        <v>0</v>
      </c>
      <c r="U171" s="646">
        <v>0</v>
      </c>
      <c r="V171" s="729"/>
      <c r="W171" s="471"/>
      <c r="X171" s="3"/>
      <c r="Y171" s="3"/>
      <c r="Z171" s="3"/>
      <c r="AA171" s="3"/>
    </row>
    <row r="172" spans="1:27" ht="60">
      <c r="A172" s="736"/>
      <c r="B172" s="736"/>
      <c r="C172" s="736"/>
      <c r="D172" s="644">
        <v>163</v>
      </c>
      <c r="E172" s="644" t="s">
        <v>335</v>
      </c>
      <c r="F172" s="644"/>
      <c r="G172" s="644"/>
      <c r="H172" s="644"/>
      <c r="I172" s="644"/>
      <c r="J172" s="644"/>
      <c r="K172" s="644"/>
      <c r="L172" s="644"/>
      <c r="M172" s="644"/>
      <c r="N172" s="644"/>
      <c r="O172" s="654">
        <v>9.7899999999999991</v>
      </c>
      <c r="P172" s="654"/>
      <c r="Q172" s="646">
        <v>2.5499999999999998</v>
      </c>
      <c r="R172" s="644"/>
      <c r="S172" s="644"/>
      <c r="T172" s="646">
        <f t="shared" si="9"/>
        <v>12.34</v>
      </c>
      <c r="U172" s="646">
        <f>T172</f>
        <v>12.34</v>
      </c>
      <c r="V172" s="738" t="s">
        <v>1063</v>
      </c>
      <c r="W172" s="471"/>
      <c r="X172" s="3"/>
      <c r="Y172" s="3"/>
      <c r="Z172" s="3"/>
      <c r="AA172" s="3"/>
    </row>
    <row r="173" spans="1:27" ht="39.75" customHeight="1">
      <c r="A173" s="736"/>
      <c r="B173" s="699" t="s">
        <v>336</v>
      </c>
      <c r="C173" s="699" t="s">
        <v>337</v>
      </c>
      <c r="D173" s="644">
        <v>164</v>
      </c>
      <c r="E173" s="644" t="s">
        <v>338</v>
      </c>
      <c r="F173" s="644"/>
      <c r="G173" s="654"/>
      <c r="H173" s="654"/>
      <c r="I173" s="644"/>
      <c r="J173" s="644"/>
      <c r="K173" s="644"/>
      <c r="L173" s="644"/>
      <c r="M173" s="644"/>
      <c r="N173" s="644"/>
      <c r="O173" s="644"/>
      <c r="P173" s="644"/>
      <c r="Q173" s="644"/>
      <c r="R173" s="644"/>
      <c r="S173" s="644"/>
      <c r="T173" s="646">
        <f t="shared" si="9"/>
        <v>0</v>
      </c>
      <c r="U173" s="646"/>
      <c r="V173" s="729"/>
      <c r="W173" s="471"/>
      <c r="X173" s="3"/>
      <c r="Y173" s="3"/>
      <c r="Z173" s="3"/>
      <c r="AA173" s="3"/>
    </row>
    <row r="174" spans="1:27" ht="39.75" customHeight="1">
      <c r="A174" s="736"/>
      <c r="B174" s="736"/>
      <c r="C174" s="736"/>
      <c r="D174" s="644">
        <v>165</v>
      </c>
      <c r="E174" s="644" t="s">
        <v>339</v>
      </c>
      <c r="F174" s="644"/>
      <c r="G174" s="654"/>
      <c r="H174" s="654"/>
      <c r="I174" s="644"/>
      <c r="J174" s="644"/>
      <c r="K174" s="644"/>
      <c r="L174" s="644"/>
      <c r="M174" s="644"/>
      <c r="N174" s="644"/>
      <c r="O174" s="644"/>
      <c r="P174" s="644"/>
      <c r="Q174" s="644"/>
      <c r="R174" s="644"/>
      <c r="S174" s="644"/>
      <c r="T174" s="646">
        <f t="shared" si="9"/>
        <v>0</v>
      </c>
      <c r="U174" s="646"/>
      <c r="V174" s="729"/>
      <c r="W174" s="471"/>
      <c r="X174" s="3"/>
      <c r="Y174" s="3"/>
      <c r="Z174" s="3"/>
      <c r="AA174" s="3"/>
    </row>
    <row r="175" spans="1:27" ht="39.75" customHeight="1">
      <c r="A175" s="736"/>
      <c r="B175" s="736"/>
      <c r="C175" s="736"/>
      <c r="D175" s="644">
        <v>166</v>
      </c>
      <c r="E175" s="644" t="s">
        <v>340</v>
      </c>
      <c r="F175" s="644"/>
      <c r="G175" s="654"/>
      <c r="H175" s="654"/>
      <c r="I175" s="644"/>
      <c r="J175" s="644"/>
      <c r="K175" s="644"/>
      <c r="L175" s="644"/>
      <c r="M175" s="644"/>
      <c r="N175" s="644"/>
      <c r="O175" s="644"/>
      <c r="P175" s="644"/>
      <c r="Q175" s="644"/>
      <c r="R175" s="644"/>
      <c r="S175" s="644"/>
      <c r="T175" s="646">
        <f t="shared" si="9"/>
        <v>0</v>
      </c>
      <c r="U175" s="646">
        <v>0</v>
      </c>
      <c r="V175" s="729"/>
      <c r="W175" s="471"/>
      <c r="X175" s="3"/>
      <c r="Y175" s="3"/>
      <c r="Z175" s="3"/>
      <c r="AA175" s="3"/>
    </row>
    <row r="176" spans="1:27" ht="39.75" customHeight="1">
      <c r="A176" s="736"/>
      <c r="B176" s="736"/>
      <c r="C176" s="736"/>
      <c r="D176" s="644">
        <v>167</v>
      </c>
      <c r="E176" s="644" t="s">
        <v>341</v>
      </c>
      <c r="F176" s="644"/>
      <c r="G176" s="654"/>
      <c r="H176" s="654"/>
      <c r="I176" s="644"/>
      <c r="J176" s="644"/>
      <c r="K176" s="644"/>
      <c r="L176" s="644"/>
      <c r="M176" s="644"/>
      <c r="N176" s="644"/>
      <c r="O176" s="644"/>
      <c r="P176" s="644"/>
      <c r="Q176" s="644"/>
      <c r="R176" s="644"/>
      <c r="S176" s="644"/>
      <c r="T176" s="646">
        <f t="shared" si="9"/>
        <v>0</v>
      </c>
      <c r="U176" s="646">
        <v>0</v>
      </c>
      <c r="V176" s="729"/>
      <c r="W176" s="471"/>
      <c r="X176" s="3"/>
      <c r="Y176" s="3"/>
      <c r="Z176" s="3"/>
      <c r="AA176" s="3"/>
    </row>
    <row r="177" spans="1:27" ht="39.75" customHeight="1">
      <c r="A177" s="736"/>
      <c r="B177" s="736"/>
      <c r="C177" s="736"/>
      <c r="D177" s="644">
        <v>168</v>
      </c>
      <c r="E177" s="644" t="s">
        <v>342</v>
      </c>
      <c r="F177" s="644"/>
      <c r="G177" s="654"/>
      <c r="H177" s="654"/>
      <c r="I177" s="644"/>
      <c r="J177" s="644"/>
      <c r="K177" s="644"/>
      <c r="L177" s="644"/>
      <c r="M177" s="644"/>
      <c r="N177" s="644"/>
      <c r="O177" s="644"/>
      <c r="P177" s="644"/>
      <c r="Q177" s="644"/>
      <c r="R177" s="644"/>
      <c r="S177" s="644"/>
      <c r="T177" s="646">
        <f t="shared" si="9"/>
        <v>0</v>
      </c>
      <c r="U177" s="646">
        <v>0</v>
      </c>
      <c r="V177" s="729"/>
      <c r="W177" s="471"/>
      <c r="X177" s="3"/>
      <c r="Y177" s="3"/>
      <c r="Z177" s="3"/>
      <c r="AA177" s="3"/>
    </row>
    <row r="178" spans="1:27" ht="39.75" customHeight="1">
      <c r="A178" s="736"/>
      <c r="B178" s="736"/>
      <c r="C178" s="736"/>
      <c r="D178" s="644">
        <v>169</v>
      </c>
      <c r="E178" s="644" t="s">
        <v>343</v>
      </c>
      <c r="F178" s="644"/>
      <c r="G178" s="654"/>
      <c r="H178" s="654"/>
      <c r="I178" s="646"/>
      <c r="J178" s="644"/>
      <c r="K178" s="644"/>
      <c r="L178" s="644"/>
      <c r="M178" s="644"/>
      <c r="N178" s="644"/>
      <c r="O178" s="644"/>
      <c r="P178" s="644"/>
      <c r="Q178" s="644"/>
      <c r="R178" s="644"/>
      <c r="S178" s="644"/>
      <c r="T178" s="646">
        <f t="shared" si="9"/>
        <v>0</v>
      </c>
      <c r="U178" s="646"/>
      <c r="V178" s="729"/>
      <c r="W178" s="471"/>
      <c r="X178" s="3"/>
      <c r="Y178" s="3"/>
      <c r="Z178" s="3"/>
      <c r="AA178" s="3"/>
    </row>
    <row r="179" spans="1:27" ht="39.75" customHeight="1">
      <c r="A179" s="736"/>
      <c r="B179" s="736"/>
      <c r="C179" s="736"/>
      <c r="D179" s="644">
        <v>170</v>
      </c>
      <c r="E179" s="644" t="s">
        <v>344</v>
      </c>
      <c r="F179" s="644"/>
      <c r="G179" s="644"/>
      <c r="H179" s="644"/>
      <c r="I179" s="644"/>
      <c r="J179" s="644"/>
      <c r="K179" s="644"/>
      <c r="L179" s="644"/>
      <c r="M179" s="644"/>
      <c r="N179" s="644"/>
      <c r="O179" s="644"/>
      <c r="P179" s="644"/>
      <c r="Q179" s="644"/>
      <c r="R179" s="644"/>
      <c r="S179" s="644"/>
      <c r="T179" s="646">
        <f t="shared" si="9"/>
        <v>0</v>
      </c>
      <c r="U179" s="646">
        <v>0</v>
      </c>
      <c r="V179" s="729"/>
      <c r="W179" s="471"/>
      <c r="X179" s="3"/>
      <c r="Y179" s="3"/>
      <c r="Z179" s="3"/>
      <c r="AA179" s="3"/>
    </row>
    <row r="180" spans="1:27" ht="39.75" customHeight="1">
      <c r="A180" s="736"/>
      <c r="B180" s="699" t="s">
        <v>345</v>
      </c>
      <c r="C180" s="699" t="s">
        <v>346</v>
      </c>
      <c r="D180" s="644">
        <v>171</v>
      </c>
      <c r="E180" s="644" t="s">
        <v>347</v>
      </c>
      <c r="F180" s="644"/>
      <c r="G180" s="644"/>
      <c r="H180" s="644"/>
      <c r="I180" s="644"/>
      <c r="J180" s="644"/>
      <c r="K180" s="644"/>
      <c r="L180" s="644"/>
      <c r="M180" s="644"/>
      <c r="N180" s="644"/>
      <c r="O180" s="644"/>
      <c r="P180" s="644"/>
      <c r="Q180" s="644"/>
      <c r="R180" s="644"/>
      <c r="S180" s="644"/>
      <c r="T180" s="646">
        <f t="shared" si="9"/>
        <v>0</v>
      </c>
      <c r="U180" s="646">
        <v>0</v>
      </c>
      <c r="V180" s="729"/>
      <c r="W180" s="471"/>
      <c r="X180" s="3"/>
      <c r="Y180" s="3"/>
      <c r="Z180" s="3"/>
      <c r="AA180" s="3"/>
    </row>
    <row r="181" spans="1:27" ht="39.75" customHeight="1">
      <c r="A181" s="736"/>
      <c r="B181" s="736"/>
      <c r="C181" s="736"/>
      <c r="D181" s="644">
        <v>172</v>
      </c>
      <c r="E181" s="644" t="s">
        <v>348</v>
      </c>
      <c r="F181" s="644"/>
      <c r="G181" s="644"/>
      <c r="H181" s="644"/>
      <c r="I181" s="644"/>
      <c r="J181" s="644"/>
      <c r="K181" s="644"/>
      <c r="L181" s="644"/>
      <c r="M181" s="644"/>
      <c r="N181" s="644"/>
      <c r="O181" s="644"/>
      <c r="P181" s="646"/>
      <c r="Q181" s="644"/>
      <c r="R181" s="644"/>
      <c r="S181" s="644"/>
      <c r="T181" s="646">
        <f t="shared" si="9"/>
        <v>0</v>
      </c>
      <c r="U181" s="646">
        <v>0</v>
      </c>
      <c r="V181" s="729"/>
      <c r="W181" s="471"/>
      <c r="X181" s="3"/>
      <c r="Y181" s="3"/>
      <c r="Z181" s="3"/>
      <c r="AA181" s="3"/>
    </row>
    <row r="182" spans="1:27" ht="39.75" customHeight="1">
      <c r="A182" s="736"/>
      <c r="B182" s="736"/>
      <c r="C182" s="736"/>
      <c r="D182" s="644">
        <v>173</v>
      </c>
      <c r="E182" s="644" t="s">
        <v>349</v>
      </c>
      <c r="F182" s="644"/>
      <c r="G182" s="644"/>
      <c r="H182" s="644"/>
      <c r="I182" s="644"/>
      <c r="J182" s="644"/>
      <c r="K182" s="644"/>
      <c r="L182" s="644"/>
      <c r="M182" s="644"/>
      <c r="N182" s="644"/>
      <c r="O182" s="644"/>
      <c r="P182" s="644"/>
      <c r="Q182" s="644"/>
      <c r="R182" s="644"/>
      <c r="S182" s="644"/>
      <c r="T182" s="646">
        <f t="shared" si="9"/>
        <v>0</v>
      </c>
      <c r="U182" s="646">
        <v>0</v>
      </c>
      <c r="V182" s="729"/>
      <c r="W182" s="471"/>
      <c r="X182" s="3"/>
      <c r="Y182" s="3"/>
      <c r="Z182" s="3"/>
      <c r="AA182" s="3"/>
    </row>
    <row r="183" spans="1:27" ht="39.75" customHeight="1">
      <c r="A183" s="736"/>
      <c r="B183" s="736"/>
      <c r="C183" s="736"/>
      <c r="D183" s="644">
        <v>174</v>
      </c>
      <c r="E183" s="644" t="s">
        <v>350</v>
      </c>
      <c r="F183" s="644"/>
      <c r="G183" s="644"/>
      <c r="H183" s="644"/>
      <c r="I183" s="644"/>
      <c r="J183" s="644"/>
      <c r="K183" s="644"/>
      <c r="L183" s="644"/>
      <c r="M183" s="644"/>
      <c r="N183" s="644"/>
      <c r="O183" s="644"/>
      <c r="P183" s="646"/>
      <c r="Q183" s="644"/>
      <c r="R183" s="644"/>
      <c r="S183" s="644"/>
      <c r="T183" s="646">
        <f t="shared" si="9"/>
        <v>0</v>
      </c>
      <c r="U183" s="646">
        <v>0</v>
      </c>
      <c r="V183" s="729"/>
      <c r="W183" s="471"/>
      <c r="X183" s="3"/>
      <c r="Y183" s="3"/>
      <c r="Z183" s="3"/>
      <c r="AA183" s="3"/>
    </row>
    <row r="184" spans="1:27" ht="409.5">
      <c r="A184" s="736"/>
      <c r="B184" s="699" t="s">
        <v>351</v>
      </c>
      <c r="C184" s="699" t="s">
        <v>290</v>
      </c>
      <c r="D184" s="644">
        <v>175</v>
      </c>
      <c r="E184" s="644" t="s">
        <v>291</v>
      </c>
      <c r="F184" s="795"/>
      <c r="G184" s="795"/>
      <c r="H184" s="795"/>
      <c r="I184" s="796">
        <v>11.6</v>
      </c>
      <c r="J184" s="795"/>
      <c r="K184" s="795"/>
      <c r="L184" s="795"/>
      <c r="M184" s="795"/>
      <c r="N184" s="797">
        <v>12.68</v>
      </c>
      <c r="O184" s="795"/>
      <c r="P184" s="678">
        <f>5+27.08</f>
        <v>32.08</v>
      </c>
      <c r="Q184" s="797">
        <v>1</v>
      </c>
      <c r="R184" s="796">
        <v>0.79</v>
      </c>
      <c r="S184" s="796"/>
      <c r="T184" s="646">
        <f t="shared" si="9"/>
        <v>58.15</v>
      </c>
      <c r="U184" s="646">
        <f t="shared" ref="U184:U186" si="15">T184</f>
        <v>58.15</v>
      </c>
      <c r="V184" s="788" t="s">
        <v>1064</v>
      </c>
      <c r="W184" s="471"/>
      <c r="X184" s="3"/>
      <c r="Y184" s="3"/>
      <c r="Z184" s="3"/>
      <c r="AA184" s="3"/>
    </row>
    <row r="185" spans="1:27" ht="409.5">
      <c r="A185" s="736"/>
      <c r="B185" s="736"/>
      <c r="C185" s="736"/>
      <c r="D185" s="644">
        <v>176</v>
      </c>
      <c r="E185" s="644" t="s">
        <v>293</v>
      </c>
      <c r="F185" s="795"/>
      <c r="G185" s="795"/>
      <c r="H185" s="795"/>
      <c r="I185" s="795"/>
      <c r="J185" s="795"/>
      <c r="K185" s="795"/>
      <c r="L185" s="795"/>
      <c r="M185" s="796">
        <v>25</v>
      </c>
      <c r="N185" s="796"/>
      <c r="O185" s="795"/>
      <c r="P185" s="796">
        <v>68.8</v>
      </c>
      <c r="Q185" s="796">
        <v>8.75</v>
      </c>
      <c r="R185" s="795"/>
      <c r="S185" s="795"/>
      <c r="T185" s="646">
        <f t="shared" si="9"/>
        <v>102.55</v>
      </c>
      <c r="U185" s="646">
        <f t="shared" si="15"/>
        <v>102.55</v>
      </c>
      <c r="V185" s="788" t="s">
        <v>1065</v>
      </c>
      <c r="W185" s="471"/>
      <c r="X185" s="3"/>
      <c r="Y185" s="3"/>
      <c r="Z185" s="3"/>
      <c r="AA185" s="3"/>
    </row>
    <row r="186" spans="1:27" ht="60">
      <c r="A186" s="736"/>
      <c r="B186" s="736"/>
      <c r="C186" s="736"/>
      <c r="D186" s="644">
        <v>177</v>
      </c>
      <c r="E186" s="644" t="s">
        <v>295</v>
      </c>
      <c r="F186" s="795"/>
      <c r="G186" s="795"/>
      <c r="H186" s="795"/>
      <c r="I186" s="795"/>
      <c r="J186" s="795"/>
      <c r="K186" s="795"/>
      <c r="L186" s="795"/>
      <c r="M186" s="795"/>
      <c r="N186" s="796">
        <v>1</v>
      </c>
      <c r="O186" s="795"/>
      <c r="P186" s="795"/>
      <c r="Q186" s="795"/>
      <c r="R186" s="795"/>
      <c r="S186" s="795"/>
      <c r="T186" s="646">
        <f t="shared" si="9"/>
        <v>1</v>
      </c>
      <c r="U186" s="646">
        <f t="shared" si="15"/>
        <v>1</v>
      </c>
      <c r="V186" s="738" t="s">
        <v>352</v>
      </c>
      <c r="W186" s="471"/>
      <c r="X186" s="3"/>
      <c r="Y186" s="3"/>
      <c r="Z186" s="3"/>
      <c r="AA186" s="3"/>
    </row>
    <row r="187" spans="1:27" ht="60">
      <c r="A187" s="736"/>
      <c r="B187" s="699" t="s">
        <v>353</v>
      </c>
      <c r="C187" s="699" t="s">
        <v>354</v>
      </c>
      <c r="D187" s="644">
        <v>178</v>
      </c>
      <c r="E187" s="644" t="s">
        <v>355</v>
      </c>
      <c r="F187" s="644"/>
      <c r="G187" s="644"/>
      <c r="H187" s="644"/>
      <c r="I187" s="644"/>
      <c r="J187" s="644"/>
      <c r="K187" s="644"/>
      <c r="L187" s="644"/>
      <c r="M187" s="644"/>
      <c r="N187" s="644"/>
      <c r="O187" s="644"/>
      <c r="P187" s="847">
        <v>1.5</v>
      </c>
      <c r="Q187" s="829"/>
      <c r="R187" s="829"/>
      <c r="S187" s="829"/>
      <c r="T187" s="847">
        <f t="shared" ref="T187" si="16">SUM(F187:S187)</f>
        <v>1.5</v>
      </c>
      <c r="U187" s="847">
        <f>T187</f>
        <v>1.5</v>
      </c>
      <c r="V187" s="744" t="s">
        <v>1857</v>
      </c>
      <c r="W187" s="471"/>
      <c r="X187" s="3"/>
      <c r="Y187" s="3"/>
      <c r="Z187" s="3"/>
      <c r="AA187" s="3"/>
    </row>
    <row r="188" spans="1:27" ht="39.75" customHeight="1">
      <c r="A188" s="736"/>
      <c r="B188" s="736"/>
      <c r="C188" s="736"/>
      <c r="D188" s="644">
        <v>179</v>
      </c>
      <c r="E188" s="644" t="s">
        <v>157</v>
      </c>
      <c r="F188" s="644"/>
      <c r="G188" s="644"/>
      <c r="H188" s="644"/>
      <c r="I188" s="644"/>
      <c r="J188" s="644"/>
      <c r="K188" s="644"/>
      <c r="L188" s="644"/>
      <c r="M188" s="644"/>
      <c r="N188" s="644"/>
      <c r="O188" s="644"/>
      <c r="P188" s="644"/>
      <c r="Q188" s="644"/>
      <c r="R188" s="644"/>
      <c r="S188" s="644"/>
      <c r="T188" s="646">
        <f t="shared" si="9"/>
        <v>0</v>
      </c>
      <c r="U188" s="646">
        <v>0</v>
      </c>
      <c r="V188" s="729"/>
      <c r="W188" s="471"/>
      <c r="X188" s="3"/>
      <c r="Y188" s="3"/>
      <c r="Z188" s="3"/>
      <c r="AA188" s="3"/>
    </row>
    <row r="189" spans="1:27" ht="39.75" customHeight="1">
      <c r="A189" s="736"/>
      <c r="B189" s="736"/>
      <c r="C189" s="736"/>
      <c r="D189" s="644">
        <v>180</v>
      </c>
      <c r="E189" s="644" t="s">
        <v>356</v>
      </c>
      <c r="F189" s="644"/>
      <c r="G189" s="644"/>
      <c r="H189" s="644"/>
      <c r="I189" s="644"/>
      <c r="J189" s="644"/>
      <c r="K189" s="646"/>
      <c r="L189" s="644"/>
      <c r="M189" s="644"/>
      <c r="N189" s="644"/>
      <c r="O189" s="644"/>
      <c r="P189" s="654"/>
      <c r="Q189" s="644"/>
      <c r="R189" s="644"/>
      <c r="S189" s="644"/>
      <c r="T189" s="646">
        <f t="shared" si="9"/>
        <v>0</v>
      </c>
      <c r="U189" s="646">
        <v>0</v>
      </c>
      <c r="V189" s="729"/>
      <c r="W189" s="471"/>
      <c r="X189" s="3"/>
      <c r="Y189" s="3"/>
      <c r="Z189" s="3"/>
      <c r="AA189" s="3"/>
    </row>
    <row r="190" spans="1:27" ht="39.75" customHeight="1">
      <c r="A190" s="736"/>
      <c r="B190" s="736"/>
      <c r="C190" s="736"/>
      <c r="D190" s="644">
        <v>181</v>
      </c>
      <c r="E190" s="644" t="s">
        <v>357</v>
      </c>
      <c r="F190" s="644"/>
      <c r="G190" s="644"/>
      <c r="H190" s="644"/>
      <c r="I190" s="644"/>
      <c r="J190" s="644"/>
      <c r="K190" s="644"/>
      <c r="L190" s="644"/>
      <c r="M190" s="644"/>
      <c r="N190" s="644"/>
      <c r="O190" s="644"/>
      <c r="P190" s="644"/>
      <c r="Q190" s="644"/>
      <c r="R190" s="644"/>
      <c r="S190" s="644"/>
      <c r="T190" s="646">
        <f t="shared" si="9"/>
        <v>0</v>
      </c>
      <c r="U190" s="646">
        <v>0</v>
      </c>
      <c r="V190" s="729"/>
      <c r="W190" s="471"/>
      <c r="X190" s="3"/>
      <c r="Y190" s="3"/>
      <c r="Z190" s="3"/>
      <c r="AA190" s="3"/>
    </row>
    <row r="191" spans="1:27" ht="55.5" customHeight="1">
      <c r="A191" s="736"/>
      <c r="B191" s="736"/>
      <c r="C191" s="736"/>
      <c r="D191" s="644">
        <v>182</v>
      </c>
      <c r="E191" s="644" t="s">
        <v>358</v>
      </c>
      <c r="F191" s="644"/>
      <c r="G191" s="644"/>
      <c r="H191" s="644"/>
      <c r="I191" s="644"/>
      <c r="J191" s="644"/>
      <c r="K191" s="644"/>
      <c r="L191" s="644"/>
      <c r="M191" s="644"/>
      <c r="N191" s="644"/>
      <c r="O191" s="644"/>
      <c r="P191" s="646">
        <v>6</v>
      </c>
      <c r="Q191" s="644"/>
      <c r="R191" s="644"/>
      <c r="S191" s="644"/>
      <c r="T191" s="646">
        <f t="shared" si="9"/>
        <v>6</v>
      </c>
      <c r="U191" s="658">
        <f>T191*1.05</f>
        <v>6.3000000000000007</v>
      </c>
      <c r="V191" s="729" t="s">
        <v>1066</v>
      </c>
      <c r="W191" s="471"/>
      <c r="X191" s="3"/>
      <c r="Y191" s="3"/>
      <c r="Z191" s="3"/>
      <c r="AA191" s="3"/>
    </row>
    <row r="192" spans="1:27" ht="39.75" customHeight="1">
      <c r="A192" s="736"/>
      <c r="B192" s="736"/>
      <c r="C192" s="736"/>
      <c r="D192" s="644">
        <v>183</v>
      </c>
      <c r="E192" s="644" t="s">
        <v>360</v>
      </c>
      <c r="F192" s="644"/>
      <c r="G192" s="644"/>
      <c r="H192" s="644"/>
      <c r="I192" s="644"/>
      <c r="J192" s="644"/>
      <c r="K192" s="644"/>
      <c r="L192" s="644"/>
      <c r="M192" s="644"/>
      <c r="N192" s="644"/>
      <c r="O192" s="644"/>
      <c r="P192" s="654"/>
      <c r="Q192" s="644"/>
      <c r="R192" s="644"/>
      <c r="S192" s="644"/>
      <c r="T192" s="646">
        <f t="shared" si="9"/>
        <v>0</v>
      </c>
      <c r="U192" s="646">
        <v>0</v>
      </c>
      <c r="V192" s="729"/>
      <c r="W192" s="471"/>
      <c r="X192" s="3"/>
      <c r="Y192" s="3"/>
      <c r="Z192" s="3"/>
      <c r="AA192" s="3"/>
    </row>
    <row r="193" spans="1:27" ht="39.75" customHeight="1">
      <c r="A193" s="736"/>
      <c r="B193" s="644" t="s">
        <v>361</v>
      </c>
      <c r="C193" s="644" t="s">
        <v>362</v>
      </c>
      <c r="D193" s="644">
        <v>184</v>
      </c>
      <c r="E193" s="644" t="s">
        <v>363</v>
      </c>
      <c r="F193" s="644"/>
      <c r="G193" s="644"/>
      <c r="H193" s="644"/>
      <c r="I193" s="644"/>
      <c r="J193" s="644"/>
      <c r="K193" s="644"/>
      <c r="L193" s="644"/>
      <c r="M193" s="644"/>
      <c r="N193" s="644"/>
      <c r="O193" s="644"/>
      <c r="P193" s="646"/>
      <c r="Q193" s="644"/>
      <c r="R193" s="644"/>
      <c r="S193" s="644"/>
      <c r="T193" s="646">
        <f t="shared" si="9"/>
        <v>0</v>
      </c>
      <c r="U193" s="646"/>
      <c r="V193" s="729"/>
      <c r="W193" s="471"/>
      <c r="X193" s="3"/>
      <c r="Y193" s="3"/>
      <c r="Z193" s="3"/>
      <c r="AA193" s="3"/>
    </row>
    <row r="194" spans="1:27" ht="39.75" customHeight="1">
      <c r="A194" s="736"/>
      <c r="B194" s="699" t="s">
        <v>364</v>
      </c>
      <c r="C194" s="699" t="s">
        <v>297</v>
      </c>
      <c r="D194" s="644">
        <v>185</v>
      </c>
      <c r="E194" s="644" t="s">
        <v>298</v>
      </c>
      <c r="F194" s="644"/>
      <c r="G194" s="644"/>
      <c r="H194" s="644"/>
      <c r="I194" s="644"/>
      <c r="J194" s="644"/>
      <c r="K194" s="644"/>
      <c r="L194" s="644"/>
      <c r="M194" s="644"/>
      <c r="N194" s="644"/>
      <c r="O194" s="644"/>
      <c r="P194" s="726">
        <v>2691.1741599999987</v>
      </c>
      <c r="Q194" s="644"/>
      <c r="R194" s="644"/>
      <c r="S194" s="644"/>
      <c r="T194" s="646">
        <f t="shared" si="9"/>
        <v>2691.1741599999987</v>
      </c>
      <c r="U194" s="727">
        <v>2891.3975175039986</v>
      </c>
      <c r="V194" s="1206" t="s">
        <v>1732</v>
      </c>
      <c r="W194" s="471"/>
      <c r="X194" s="3"/>
      <c r="Y194" s="3"/>
      <c r="Z194" s="3"/>
      <c r="AA194" s="3"/>
    </row>
    <row r="195" spans="1:27" ht="105">
      <c r="A195" s="736"/>
      <c r="B195" s="736"/>
      <c r="C195" s="736"/>
      <c r="D195" s="644">
        <v>186</v>
      </c>
      <c r="E195" s="644" t="s">
        <v>299</v>
      </c>
      <c r="F195" s="644"/>
      <c r="G195" s="644"/>
      <c r="H195" s="644"/>
      <c r="I195" s="644"/>
      <c r="J195" s="644"/>
      <c r="K195" s="644"/>
      <c r="L195" s="644"/>
      <c r="M195" s="644"/>
      <c r="N195" s="644"/>
      <c r="O195" s="644"/>
      <c r="P195" s="654">
        <f>20.129+4.02</f>
        <v>24.149000000000001</v>
      </c>
      <c r="Q195" s="646"/>
      <c r="R195" s="644"/>
      <c r="S195" s="644"/>
      <c r="T195" s="646">
        <f t="shared" si="9"/>
        <v>24.149000000000001</v>
      </c>
      <c r="U195" s="646">
        <f>T195</f>
        <v>24.149000000000001</v>
      </c>
      <c r="V195" s="729" t="s">
        <v>1067</v>
      </c>
      <c r="W195" s="471"/>
      <c r="X195" s="3"/>
      <c r="Y195" s="3"/>
      <c r="Z195" s="3"/>
      <c r="AA195" s="3"/>
    </row>
    <row r="196" spans="1:27" ht="39.75" customHeight="1">
      <c r="A196" s="736"/>
      <c r="B196" s="736"/>
      <c r="C196" s="736"/>
      <c r="D196" s="644">
        <v>187</v>
      </c>
      <c r="E196" s="644" t="s">
        <v>367</v>
      </c>
      <c r="F196" s="644"/>
      <c r="G196" s="644"/>
      <c r="H196" s="644"/>
      <c r="I196" s="644"/>
      <c r="J196" s="644"/>
      <c r="K196" s="644"/>
      <c r="L196" s="644"/>
      <c r="M196" s="644"/>
      <c r="N196" s="644"/>
      <c r="O196" s="644"/>
      <c r="P196" s="726">
        <v>1142.7852799999998</v>
      </c>
      <c r="Q196" s="644"/>
      <c r="R196" s="644"/>
      <c r="S196" s="644"/>
      <c r="T196" s="646">
        <f t="shared" si="9"/>
        <v>1142.7852799999998</v>
      </c>
      <c r="U196" s="727">
        <v>1238.0935723519999</v>
      </c>
      <c r="V196" s="1206" t="s">
        <v>1732</v>
      </c>
      <c r="W196" s="471"/>
      <c r="X196" s="3"/>
      <c r="Y196" s="3"/>
      <c r="Z196" s="3"/>
      <c r="AA196" s="3"/>
    </row>
    <row r="197" spans="1:27" ht="39.75" customHeight="1">
      <c r="A197" s="736"/>
      <c r="B197" s="736"/>
      <c r="C197" s="736"/>
      <c r="D197" s="644">
        <v>188</v>
      </c>
      <c r="E197" s="644" t="s">
        <v>300</v>
      </c>
      <c r="F197" s="644"/>
      <c r="G197" s="644"/>
      <c r="H197" s="644"/>
      <c r="I197" s="644"/>
      <c r="J197" s="644"/>
      <c r="K197" s="644"/>
      <c r="L197" s="644"/>
      <c r="M197" s="644"/>
      <c r="N197" s="644"/>
      <c r="O197" s="644"/>
      <c r="P197" s="644"/>
      <c r="Q197" s="644"/>
      <c r="R197" s="644"/>
      <c r="S197" s="644"/>
      <c r="T197" s="646">
        <f t="shared" si="9"/>
        <v>0</v>
      </c>
      <c r="U197" s="646">
        <v>0</v>
      </c>
      <c r="V197" s="729"/>
      <c r="W197" s="471"/>
      <c r="X197" s="3"/>
      <c r="Y197" s="3"/>
      <c r="Z197" s="3"/>
      <c r="AA197" s="3"/>
    </row>
    <row r="198" spans="1:27" ht="39.75" customHeight="1">
      <c r="A198" s="736"/>
      <c r="B198" s="736"/>
      <c r="C198" s="736"/>
      <c r="D198" s="644">
        <v>189</v>
      </c>
      <c r="E198" s="644" t="s">
        <v>301</v>
      </c>
      <c r="F198" s="644"/>
      <c r="G198" s="644"/>
      <c r="H198" s="644"/>
      <c r="I198" s="644"/>
      <c r="J198" s="644"/>
      <c r="K198" s="644"/>
      <c r="L198" s="644"/>
      <c r="M198" s="644"/>
      <c r="N198" s="644"/>
      <c r="O198" s="644"/>
      <c r="P198" s="644"/>
      <c r="Q198" s="644"/>
      <c r="R198" s="644"/>
      <c r="S198" s="644"/>
      <c r="T198" s="646">
        <f t="shared" si="9"/>
        <v>0</v>
      </c>
      <c r="U198" s="646">
        <v>0</v>
      </c>
      <c r="V198" s="729"/>
      <c r="W198" s="471"/>
      <c r="X198" s="3"/>
      <c r="Y198" s="3"/>
      <c r="Z198" s="3"/>
      <c r="AA198" s="3"/>
    </row>
    <row r="199" spans="1:27" ht="39.75" customHeight="1">
      <c r="A199" s="736"/>
      <c r="B199" s="736"/>
      <c r="C199" s="736"/>
      <c r="D199" s="644">
        <v>190</v>
      </c>
      <c r="E199" s="644" t="s">
        <v>368</v>
      </c>
      <c r="F199" s="644"/>
      <c r="G199" s="644"/>
      <c r="H199" s="644"/>
      <c r="I199" s="644"/>
      <c r="J199" s="644"/>
      <c r="K199" s="644"/>
      <c r="L199" s="644"/>
      <c r="M199" s="644"/>
      <c r="N199" s="644"/>
      <c r="O199" s="644"/>
      <c r="P199" s="654"/>
      <c r="Q199" s="644"/>
      <c r="R199" s="644"/>
      <c r="S199" s="644"/>
      <c r="T199" s="646">
        <f t="shared" si="9"/>
        <v>0</v>
      </c>
      <c r="U199" s="646">
        <v>0</v>
      </c>
      <c r="V199" s="729" t="s">
        <v>369</v>
      </c>
      <c r="W199" s="471"/>
      <c r="X199" s="3"/>
      <c r="Y199" s="3"/>
      <c r="Z199" s="3"/>
      <c r="AA199" s="3"/>
    </row>
    <row r="200" spans="1:27" ht="90">
      <c r="A200" s="736"/>
      <c r="B200" s="699" t="s">
        <v>370</v>
      </c>
      <c r="C200" s="699" t="s">
        <v>371</v>
      </c>
      <c r="D200" s="644">
        <v>191</v>
      </c>
      <c r="E200" s="644" t="s">
        <v>372</v>
      </c>
      <c r="F200" s="644"/>
      <c r="G200" s="644"/>
      <c r="H200" s="644"/>
      <c r="I200" s="644"/>
      <c r="J200" s="644"/>
      <c r="K200" s="644"/>
      <c r="L200" s="644"/>
      <c r="M200" s="644"/>
      <c r="N200" s="646">
        <v>7.04</v>
      </c>
      <c r="O200" s="644"/>
      <c r="P200" s="644"/>
      <c r="Q200" s="644"/>
      <c r="R200" s="644"/>
      <c r="S200" s="644"/>
      <c r="T200" s="646">
        <f t="shared" si="9"/>
        <v>7.04</v>
      </c>
      <c r="U200" s="646">
        <v>5.54</v>
      </c>
      <c r="V200" s="786" t="s">
        <v>1761</v>
      </c>
      <c r="W200" s="811"/>
      <c r="X200" s="3"/>
      <c r="Y200" s="3"/>
      <c r="Z200" s="3"/>
      <c r="AA200" s="3"/>
    </row>
    <row r="201" spans="1:27" ht="94.5" customHeight="1">
      <c r="A201" s="736"/>
      <c r="B201" s="736"/>
      <c r="C201" s="736"/>
      <c r="D201" s="644">
        <v>192</v>
      </c>
      <c r="E201" s="644" t="s">
        <v>373</v>
      </c>
      <c r="F201" s="644"/>
      <c r="G201" s="644"/>
      <c r="H201" s="654"/>
      <c r="I201" s="644"/>
      <c r="J201" s="644"/>
      <c r="K201" s="644"/>
      <c r="L201" s="644"/>
      <c r="M201" s="644"/>
      <c r="N201" s="646">
        <v>0</v>
      </c>
      <c r="O201" s="644"/>
      <c r="P201" s="646"/>
      <c r="Q201" s="654"/>
      <c r="R201" s="644"/>
      <c r="S201" s="644"/>
      <c r="T201" s="646">
        <f t="shared" si="9"/>
        <v>0</v>
      </c>
      <c r="U201" s="646"/>
      <c r="V201" s="749"/>
      <c r="W201" s="471"/>
      <c r="X201" s="3"/>
      <c r="Y201" s="3"/>
      <c r="Z201" s="3"/>
      <c r="AA201" s="3"/>
    </row>
    <row r="202" spans="1:27" ht="39.75" customHeight="1">
      <c r="A202" s="736"/>
      <c r="B202" s="699" t="s">
        <v>374</v>
      </c>
      <c r="C202" s="699" t="s">
        <v>303</v>
      </c>
      <c r="D202" s="644">
        <v>193</v>
      </c>
      <c r="E202" s="644" t="s">
        <v>375</v>
      </c>
      <c r="F202" s="644"/>
      <c r="G202" s="644"/>
      <c r="H202" s="644"/>
      <c r="I202" s="644"/>
      <c r="J202" s="644"/>
      <c r="K202" s="644"/>
      <c r="L202" s="644"/>
      <c r="M202" s="644"/>
      <c r="N202" s="644"/>
      <c r="O202" s="644"/>
      <c r="P202" s="646"/>
      <c r="Q202" s="644"/>
      <c r="R202" s="644"/>
      <c r="S202" s="654"/>
      <c r="T202" s="646">
        <f t="shared" si="9"/>
        <v>0</v>
      </c>
      <c r="U202" s="646">
        <v>0</v>
      </c>
      <c r="V202" s="729"/>
      <c r="W202" s="471"/>
      <c r="X202" s="3"/>
      <c r="Y202" s="3"/>
      <c r="Z202" s="3"/>
      <c r="AA202" s="3"/>
    </row>
    <row r="203" spans="1:27" ht="240">
      <c r="A203" s="736"/>
      <c r="B203" s="736"/>
      <c r="C203" s="736"/>
      <c r="D203" s="644">
        <v>194</v>
      </c>
      <c r="E203" s="644" t="s">
        <v>304</v>
      </c>
      <c r="F203" s="644"/>
      <c r="G203" s="644"/>
      <c r="H203" s="644"/>
      <c r="I203" s="644"/>
      <c r="J203" s="644"/>
      <c r="K203" s="644"/>
      <c r="L203" s="644"/>
      <c r="M203" s="644"/>
      <c r="N203" s="646">
        <v>1.2</v>
      </c>
      <c r="O203" s="644"/>
      <c r="P203" s="644"/>
      <c r="Q203" s="646"/>
      <c r="R203" s="646">
        <v>40</v>
      </c>
      <c r="S203" s="644"/>
      <c r="T203" s="646">
        <f t="shared" si="9"/>
        <v>41.2</v>
      </c>
      <c r="U203" s="658">
        <f>R203*1.05+N203</f>
        <v>43.2</v>
      </c>
      <c r="V203" s="729" t="s">
        <v>1604</v>
      </c>
      <c r="W203" s="471"/>
      <c r="X203" s="3"/>
      <c r="Y203" s="3"/>
      <c r="Z203" s="3"/>
      <c r="AA203" s="3"/>
    </row>
    <row r="204" spans="1:27" ht="120">
      <c r="A204" s="736"/>
      <c r="B204" s="699" t="s">
        <v>376</v>
      </c>
      <c r="C204" s="699" t="s">
        <v>377</v>
      </c>
      <c r="D204" s="644">
        <v>195</v>
      </c>
      <c r="E204" s="644" t="s">
        <v>378</v>
      </c>
      <c r="F204" s="644"/>
      <c r="G204" s="644"/>
      <c r="H204" s="644"/>
      <c r="I204" s="644"/>
      <c r="J204" s="644"/>
      <c r="K204" s="644"/>
      <c r="L204" s="644"/>
      <c r="M204" s="644"/>
      <c r="N204" s="644"/>
      <c r="O204" s="644"/>
      <c r="P204" s="796"/>
      <c r="Q204" s="796">
        <v>1.83</v>
      </c>
      <c r="R204" s="796">
        <v>2.2999999999999998</v>
      </c>
      <c r="S204" s="644">
        <v>2.8</v>
      </c>
      <c r="T204" s="646">
        <f t="shared" si="9"/>
        <v>6.93</v>
      </c>
      <c r="U204" s="646">
        <f>T204</f>
        <v>6.93</v>
      </c>
      <c r="V204" s="749" t="s">
        <v>1068</v>
      </c>
      <c r="W204" s="471"/>
      <c r="X204" s="3"/>
      <c r="Y204" s="3"/>
      <c r="Z204" s="3"/>
      <c r="AA204" s="3"/>
    </row>
    <row r="205" spans="1:27" ht="39.75" customHeight="1">
      <c r="A205" s="736"/>
      <c r="B205" s="736"/>
      <c r="C205" s="736"/>
      <c r="D205" s="644">
        <v>196</v>
      </c>
      <c r="E205" s="644" t="s">
        <v>379</v>
      </c>
      <c r="F205" s="644"/>
      <c r="G205" s="644"/>
      <c r="H205" s="644"/>
      <c r="I205" s="644"/>
      <c r="J205" s="644"/>
      <c r="K205" s="644"/>
      <c r="L205" s="644"/>
      <c r="M205" s="644"/>
      <c r="N205" s="644"/>
      <c r="O205" s="644"/>
      <c r="P205" s="812"/>
      <c r="Q205" s="644"/>
      <c r="R205" s="644"/>
      <c r="S205" s="644"/>
      <c r="T205" s="646">
        <f t="shared" si="9"/>
        <v>0</v>
      </c>
      <c r="U205" s="646">
        <v>0</v>
      </c>
      <c r="V205" s="729"/>
      <c r="W205" s="471"/>
      <c r="X205" s="3"/>
      <c r="Y205" s="3"/>
      <c r="Z205" s="3"/>
      <c r="AA205" s="3"/>
    </row>
    <row r="206" spans="1:27" ht="409.5">
      <c r="A206" s="736"/>
      <c r="B206" s="736"/>
      <c r="C206" s="736"/>
      <c r="D206" s="644">
        <v>197</v>
      </c>
      <c r="E206" s="644" t="s">
        <v>380</v>
      </c>
      <c r="F206" s="781"/>
      <c r="G206" s="781"/>
      <c r="H206" s="781"/>
      <c r="I206" s="781"/>
      <c r="J206" s="781"/>
      <c r="K206" s="781"/>
      <c r="L206" s="781"/>
      <c r="M206" s="781"/>
      <c r="N206" s="767">
        <v>0.25</v>
      </c>
      <c r="O206" s="781"/>
      <c r="P206" s="789">
        <v>22.28</v>
      </c>
      <c r="Q206" s="767"/>
      <c r="R206" s="767">
        <v>0.05</v>
      </c>
      <c r="S206" s="767"/>
      <c r="T206" s="646">
        <f t="shared" si="9"/>
        <v>22.580000000000002</v>
      </c>
      <c r="U206" s="789">
        <v>22.33</v>
      </c>
      <c r="V206" s="744" t="s">
        <v>1069</v>
      </c>
      <c r="W206" s="471"/>
      <c r="X206" s="3"/>
      <c r="Y206" s="3"/>
      <c r="Z206" s="3"/>
      <c r="AA206" s="3"/>
    </row>
    <row r="207" spans="1:27" ht="39.75" customHeight="1">
      <c r="A207" s="736"/>
      <c r="B207" s="644" t="s">
        <v>381</v>
      </c>
      <c r="C207" s="644" t="s">
        <v>309</v>
      </c>
      <c r="D207" s="644">
        <v>198</v>
      </c>
      <c r="E207" s="644" t="s">
        <v>310</v>
      </c>
      <c r="F207" s="644"/>
      <c r="G207" s="644"/>
      <c r="H207" s="644"/>
      <c r="I207" s="644"/>
      <c r="J207" s="644"/>
      <c r="K207" s="644"/>
      <c r="L207" s="644"/>
      <c r="M207" s="644"/>
      <c r="N207" s="644"/>
      <c r="O207" s="644"/>
      <c r="P207" s="644"/>
      <c r="Q207" s="644"/>
      <c r="R207" s="644"/>
      <c r="S207" s="644"/>
      <c r="T207" s="646">
        <f t="shared" si="9"/>
        <v>0</v>
      </c>
      <c r="U207" s="646"/>
      <c r="V207" s="729"/>
      <c r="W207" s="471"/>
      <c r="X207" s="3"/>
      <c r="Y207" s="3"/>
      <c r="Z207" s="3"/>
      <c r="AA207" s="3"/>
    </row>
    <row r="208" spans="1:27" ht="111.75" customHeight="1">
      <c r="A208" s="736"/>
      <c r="B208" s="644" t="s">
        <v>382</v>
      </c>
      <c r="C208" s="644" t="s">
        <v>312</v>
      </c>
      <c r="D208" s="644">
        <v>199</v>
      </c>
      <c r="E208" s="644" t="s">
        <v>313</v>
      </c>
      <c r="F208" s="768"/>
      <c r="G208" s="768"/>
      <c r="H208" s="768"/>
      <c r="I208" s="768"/>
      <c r="J208" s="768"/>
      <c r="K208" s="768"/>
      <c r="L208" s="768"/>
      <c r="M208" s="768"/>
      <c r="N208" s="768"/>
      <c r="O208" s="768"/>
      <c r="Q208" s="768"/>
      <c r="R208" s="796">
        <v>261.10000000000002</v>
      </c>
      <c r="S208" s="768"/>
      <c r="T208" s="646">
        <f t="shared" si="9"/>
        <v>261.10000000000002</v>
      </c>
      <c r="U208" s="646">
        <f>T208</f>
        <v>261.10000000000002</v>
      </c>
      <c r="V208" s="729" t="s">
        <v>1762</v>
      </c>
      <c r="W208" s="471"/>
      <c r="X208" s="3"/>
      <c r="Y208" s="3"/>
      <c r="Z208" s="3"/>
      <c r="AA208" s="3"/>
    </row>
    <row r="209" spans="1:27" ht="60">
      <c r="A209" s="736"/>
      <c r="B209" s="644" t="s">
        <v>383</v>
      </c>
      <c r="C209" s="644"/>
      <c r="D209" s="644">
        <v>200</v>
      </c>
      <c r="E209" s="644" t="s">
        <v>384</v>
      </c>
      <c r="F209" s="768"/>
      <c r="G209" s="768"/>
      <c r="H209" s="768"/>
      <c r="I209" s="768"/>
      <c r="J209" s="768"/>
      <c r="K209" s="768"/>
      <c r="L209" s="768"/>
      <c r="M209" s="768"/>
      <c r="N209" s="790">
        <v>0.1956</v>
      </c>
      <c r="O209" s="790"/>
      <c r="P209" s="790"/>
      <c r="Q209" s="790"/>
      <c r="R209" s="790">
        <v>1</v>
      </c>
      <c r="S209" s="790"/>
      <c r="T209" s="646">
        <f t="shared" si="9"/>
        <v>1.1956</v>
      </c>
      <c r="U209" s="658">
        <v>1.1956</v>
      </c>
      <c r="V209" s="749" t="s">
        <v>385</v>
      </c>
      <c r="W209" s="132" t="s">
        <v>385</v>
      </c>
      <c r="X209" s="3"/>
      <c r="Y209" s="3"/>
      <c r="Z209" s="3"/>
      <c r="AA209" s="3"/>
    </row>
    <row r="210" spans="1:27" ht="39.75" customHeight="1">
      <c r="A210" s="736"/>
      <c r="B210" s="701" t="s">
        <v>386</v>
      </c>
      <c r="C210" s="736"/>
      <c r="D210" s="736"/>
      <c r="E210" s="660"/>
      <c r="F210" s="660">
        <f t="shared" ref="F210:S210" si="17">SUM(F159:F209)</f>
        <v>0</v>
      </c>
      <c r="G210" s="667">
        <f t="shared" si="17"/>
        <v>0</v>
      </c>
      <c r="H210" s="667">
        <f t="shared" si="17"/>
        <v>0</v>
      </c>
      <c r="I210" s="660">
        <f t="shared" si="17"/>
        <v>11.6</v>
      </c>
      <c r="J210" s="660">
        <f t="shared" si="17"/>
        <v>0</v>
      </c>
      <c r="K210" s="660">
        <f t="shared" si="17"/>
        <v>0</v>
      </c>
      <c r="L210" s="660">
        <f t="shared" si="17"/>
        <v>0</v>
      </c>
      <c r="M210" s="660">
        <f t="shared" si="17"/>
        <v>25</v>
      </c>
      <c r="N210" s="668">
        <f t="shared" si="17"/>
        <v>70.245599999999996</v>
      </c>
      <c r="O210" s="660">
        <f t="shared" si="17"/>
        <v>749.60500000000002</v>
      </c>
      <c r="P210" s="667">
        <f t="shared" si="17"/>
        <v>4053.0184399999985</v>
      </c>
      <c r="Q210" s="660">
        <f t="shared" si="17"/>
        <v>19.738</v>
      </c>
      <c r="R210" s="660">
        <f t="shared" si="17"/>
        <v>307.24</v>
      </c>
      <c r="S210" s="660">
        <f t="shared" si="17"/>
        <v>2.8</v>
      </c>
      <c r="T210" s="660">
        <f t="shared" si="9"/>
        <v>5239.2470399999984</v>
      </c>
      <c r="U210" s="668">
        <f>SUM(U159:U209)</f>
        <v>5537.3286898559991</v>
      </c>
      <c r="V210" s="520"/>
      <c r="W210" s="470"/>
      <c r="X210" s="54"/>
      <c r="Y210" s="54"/>
      <c r="Z210" s="54"/>
      <c r="AA210" s="54"/>
    </row>
    <row r="211" spans="1:27" ht="39.75" customHeight="1">
      <c r="A211" s="702" t="s">
        <v>387</v>
      </c>
      <c r="B211" s="736"/>
      <c r="C211" s="736"/>
      <c r="D211" s="736"/>
      <c r="E211" s="791"/>
      <c r="F211" s="679">
        <f t="shared" ref="F211:S211" si="18">F210+F158+F134+F93+F68</f>
        <v>131.84830000000002</v>
      </c>
      <c r="G211" s="680">
        <f t="shared" si="18"/>
        <v>6.5</v>
      </c>
      <c r="H211" s="680">
        <f t="shared" si="18"/>
        <v>0</v>
      </c>
      <c r="I211" s="679">
        <f t="shared" si="18"/>
        <v>40.194290000000002</v>
      </c>
      <c r="J211" s="679">
        <f t="shared" si="18"/>
        <v>0</v>
      </c>
      <c r="K211" s="681">
        <f t="shared" si="18"/>
        <v>91.683999999999997</v>
      </c>
      <c r="L211" s="679">
        <f t="shared" si="18"/>
        <v>7.2</v>
      </c>
      <c r="M211" s="680">
        <f t="shared" si="18"/>
        <v>82.054000000000002</v>
      </c>
      <c r="N211" s="681">
        <f t="shared" si="18"/>
        <v>152.94579999999999</v>
      </c>
      <c r="O211" s="679">
        <f t="shared" si="18"/>
        <v>1107.7734499999999</v>
      </c>
      <c r="P211" s="680">
        <f t="shared" si="18"/>
        <v>5644.2552599999981</v>
      </c>
      <c r="Q211" s="679">
        <f t="shared" si="18"/>
        <v>99.917500000000004</v>
      </c>
      <c r="R211" s="680">
        <f t="shared" si="18"/>
        <v>375.30799999999999</v>
      </c>
      <c r="S211" s="680">
        <f t="shared" si="18"/>
        <v>14.809999999999999</v>
      </c>
      <c r="T211" s="679">
        <f t="shared" si="9"/>
        <v>7754.4905999999974</v>
      </c>
      <c r="U211" s="681">
        <f>U210+U158+U134+U93+U68</f>
        <v>8109.7931568019985</v>
      </c>
      <c r="V211" s="729"/>
      <c r="W211" s="471"/>
      <c r="X211" s="3"/>
      <c r="Y211" s="3"/>
      <c r="Z211" s="3"/>
      <c r="AA211" s="3"/>
    </row>
    <row r="212" spans="1:27" ht="24.75" customHeight="1">
      <c r="A212" s="3"/>
      <c r="B212" s="3"/>
      <c r="C212" s="3"/>
      <c r="D212" s="3"/>
      <c r="E212" s="3"/>
      <c r="F212" s="3"/>
      <c r="G212" s="3"/>
      <c r="H212" s="3"/>
      <c r="I212" s="3"/>
      <c r="J212" s="3"/>
      <c r="K212" s="3"/>
      <c r="L212" s="3"/>
      <c r="M212" s="3"/>
      <c r="N212" s="3"/>
      <c r="O212" s="3"/>
      <c r="P212" s="3"/>
      <c r="Q212" s="3"/>
      <c r="R212" s="3"/>
      <c r="S212" s="3"/>
      <c r="T212" s="3"/>
      <c r="U212" s="3"/>
      <c r="V212" s="18"/>
      <c r="W212" s="3"/>
      <c r="X212" s="3"/>
      <c r="Y212" s="3"/>
      <c r="Z212" s="3"/>
      <c r="AA212" s="3"/>
    </row>
    <row r="213" spans="1:27" ht="24.75" customHeight="1">
      <c r="A213" s="3"/>
      <c r="B213" s="3"/>
      <c r="C213" s="3"/>
      <c r="D213" s="3"/>
      <c r="E213" s="3"/>
      <c r="F213" s="3"/>
      <c r="G213" s="3"/>
      <c r="H213" s="3"/>
      <c r="I213" s="3"/>
      <c r="J213" s="3"/>
      <c r="K213" s="3"/>
      <c r="L213" s="3"/>
      <c r="M213" s="3"/>
      <c r="N213" s="3"/>
      <c r="O213" s="3"/>
      <c r="P213" s="3"/>
      <c r="Q213" s="3"/>
      <c r="R213" s="3"/>
      <c r="S213" s="3"/>
      <c r="T213" s="3"/>
      <c r="U213" s="3"/>
      <c r="V213" s="18"/>
      <c r="W213" s="3"/>
      <c r="X213" s="3"/>
      <c r="Y213" s="3"/>
      <c r="Z213" s="3"/>
      <c r="AA213" s="3"/>
    </row>
    <row r="214" spans="1:27" ht="24.75" customHeight="1">
      <c r="A214" s="3"/>
      <c r="B214" s="3"/>
      <c r="C214" s="3"/>
      <c r="D214" s="3"/>
      <c r="E214" s="3"/>
      <c r="F214" s="3"/>
      <c r="G214" s="3"/>
      <c r="H214" s="3"/>
      <c r="I214" s="3"/>
      <c r="J214" s="3"/>
      <c r="K214" s="3"/>
      <c r="L214" s="3"/>
      <c r="M214" s="3"/>
      <c r="N214" s="3"/>
      <c r="O214" s="3"/>
      <c r="P214" s="3"/>
      <c r="Q214" s="3"/>
      <c r="R214" s="3"/>
      <c r="S214" s="3"/>
      <c r="T214" s="3"/>
      <c r="U214" s="3"/>
      <c r="V214" s="18"/>
      <c r="W214" s="3"/>
      <c r="X214" s="3"/>
      <c r="Y214" s="3"/>
      <c r="Z214" s="3"/>
      <c r="AA214" s="3"/>
    </row>
    <row r="215" spans="1:27" ht="24.75" customHeight="1">
      <c r="A215" s="3"/>
      <c r="B215" s="3"/>
      <c r="C215" s="3"/>
      <c r="D215" s="3"/>
      <c r="E215" s="3"/>
      <c r="F215" s="3"/>
      <c r="G215" s="3"/>
      <c r="H215" s="3"/>
      <c r="I215" s="3"/>
      <c r="J215" s="3"/>
      <c r="K215" s="3"/>
      <c r="L215" s="3"/>
      <c r="M215" s="3"/>
      <c r="N215" s="3"/>
      <c r="O215" s="3"/>
      <c r="P215" s="3"/>
      <c r="Q215" s="3"/>
      <c r="R215" s="3"/>
      <c r="S215" s="3"/>
      <c r="T215" s="3"/>
      <c r="U215" s="3"/>
      <c r="V215" s="18"/>
      <c r="W215" s="3"/>
      <c r="X215" s="3"/>
      <c r="Y215" s="3"/>
      <c r="Z215" s="3"/>
      <c r="AA215" s="3"/>
    </row>
    <row r="216" spans="1:27" ht="24.75" customHeight="1">
      <c r="A216" s="3"/>
      <c r="B216" s="3"/>
      <c r="C216" s="3"/>
      <c r="D216" s="3"/>
      <c r="E216" s="3"/>
      <c r="F216" s="3"/>
      <c r="G216" s="3"/>
      <c r="H216" s="3"/>
      <c r="I216" s="3"/>
      <c r="J216" s="3"/>
      <c r="K216" s="3"/>
      <c r="L216" s="3"/>
      <c r="M216" s="3"/>
      <c r="N216" s="3"/>
      <c r="O216" s="3"/>
      <c r="P216" s="3"/>
      <c r="Q216" s="3"/>
      <c r="R216" s="3"/>
      <c r="S216" s="3"/>
      <c r="T216" s="3"/>
      <c r="U216" s="3"/>
      <c r="V216" s="18"/>
      <c r="W216" s="3"/>
      <c r="X216" s="3"/>
      <c r="Y216" s="3"/>
      <c r="Z216" s="3"/>
      <c r="AA216" s="3"/>
    </row>
    <row r="217" spans="1:27" ht="24.75" customHeight="1">
      <c r="A217" s="3"/>
      <c r="B217" s="3"/>
      <c r="C217" s="3"/>
      <c r="D217" s="3"/>
      <c r="E217" s="3"/>
      <c r="F217" s="3"/>
      <c r="G217" s="3"/>
      <c r="H217" s="3"/>
      <c r="I217" s="3"/>
      <c r="J217" s="3"/>
      <c r="K217" s="3"/>
      <c r="L217" s="3"/>
      <c r="M217" s="3"/>
      <c r="N217" s="3"/>
      <c r="O217" s="3"/>
      <c r="P217" s="3"/>
      <c r="Q217" s="3"/>
      <c r="R217" s="3"/>
      <c r="S217" s="3"/>
      <c r="T217" s="3"/>
      <c r="U217" s="3"/>
      <c r="V217" s="18"/>
      <c r="W217" s="3"/>
      <c r="X217" s="3"/>
      <c r="Y217" s="3"/>
      <c r="Z217" s="3"/>
      <c r="AA217" s="3"/>
    </row>
    <row r="218" spans="1:27" ht="24.75" customHeight="1">
      <c r="A218" s="3"/>
      <c r="B218" s="3"/>
      <c r="C218" s="3"/>
      <c r="D218" s="3"/>
      <c r="E218" s="3"/>
      <c r="F218" s="3"/>
      <c r="G218" s="3"/>
      <c r="H218" s="3"/>
      <c r="I218" s="3"/>
      <c r="J218" s="3"/>
      <c r="K218" s="3"/>
      <c r="L218" s="3"/>
      <c r="M218" s="3"/>
      <c r="N218" s="3"/>
      <c r="O218" s="3"/>
      <c r="P218" s="3"/>
      <c r="Q218" s="3"/>
      <c r="R218" s="3"/>
      <c r="S218" s="3"/>
      <c r="T218" s="3"/>
      <c r="U218" s="3"/>
      <c r="V218" s="18"/>
      <c r="W218" s="3"/>
      <c r="X218" s="3"/>
      <c r="Y218" s="3"/>
      <c r="Z218" s="3"/>
      <c r="AA218" s="3"/>
    </row>
    <row r="219" spans="1:27" ht="24.75" customHeight="1">
      <c r="A219" s="3"/>
      <c r="B219" s="3"/>
      <c r="C219" s="3"/>
      <c r="D219" s="3"/>
      <c r="E219" s="3"/>
      <c r="F219" s="3"/>
      <c r="G219" s="3"/>
      <c r="H219" s="3"/>
      <c r="I219" s="3"/>
      <c r="J219" s="3"/>
      <c r="K219" s="3"/>
      <c r="L219" s="3"/>
      <c r="M219" s="3"/>
      <c r="N219" s="3"/>
      <c r="O219" s="3"/>
      <c r="P219" s="3"/>
      <c r="Q219" s="3"/>
      <c r="R219" s="3"/>
      <c r="S219" s="3"/>
      <c r="T219" s="3"/>
      <c r="U219" s="3"/>
      <c r="V219" s="18"/>
      <c r="W219" s="3"/>
      <c r="X219" s="3"/>
      <c r="Y219" s="3"/>
      <c r="Z219" s="3"/>
      <c r="AA219" s="3"/>
    </row>
    <row r="220" spans="1:27" ht="24.75" customHeight="1">
      <c r="A220" s="3"/>
      <c r="B220" s="3"/>
      <c r="C220" s="3"/>
      <c r="D220" s="3"/>
      <c r="E220" s="3"/>
      <c r="F220" s="3"/>
      <c r="G220" s="3"/>
      <c r="H220" s="3"/>
      <c r="I220" s="3"/>
      <c r="J220" s="3"/>
      <c r="K220" s="3"/>
      <c r="L220" s="3"/>
      <c r="M220" s="3"/>
      <c r="N220" s="3"/>
      <c r="O220" s="3"/>
      <c r="P220" s="3"/>
      <c r="Q220" s="3"/>
      <c r="R220" s="3"/>
      <c r="S220" s="3"/>
      <c r="T220" s="3"/>
      <c r="U220" s="3"/>
      <c r="V220" s="18"/>
      <c r="W220" s="3"/>
      <c r="X220" s="3"/>
      <c r="Y220" s="3"/>
      <c r="Z220" s="3"/>
      <c r="AA220" s="3"/>
    </row>
    <row r="221" spans="1:27" ht="24.75" customHeight="1">
      <c r="A221" s="3"/>
      <c r="B221" s="3"/>
      <c r="C221" s="3"/>
      <c r="D221" s="3"/>
      <c r="E221" s="3"/>
      <c r="F221" s="3"/>
      <c r="G221" s="3"/>
      <c r="H221" s="3"/>
      <c r="I221" s="3"/>
      <c r="J221" s="3"/>
      <c r="K221" s="3"/>
      <c r="L221" s="3"/>
      <c r="M221" s="3"/>
      <c r="N221" s="3"/>
      <c r="O221" s="3"/>
      <c r="P221" s="3"/>
      <c r="Q221" s="3"/>
      <c r="R221" s="3"/>
      <c r="S221" s="3"/>
      <c r="T221" s="3"/>
      <c r="U221" s="3"/>
      <c r="V221" s="18"/>
      <c r="W221" s="3"/>
      <c r="X221" s="3"/>
      <c r="Y221" s="3"/>
      <c r="Z221" s="3"/>
      <c r="AA221" s="3"/>
    </row>
    <row r="222" spans="1:27" ht="24.75" customHeight="1">
      <c r="A222" s="3"/>
      <c r="B222" s="3"/>
      <c r="C222" s="3"/>
      <c r="D222" s="3"/>
      <c r="E222" s="3"/>
      <c r="F222" s="3"/>
      <c r="G222" s="3"/>
      <c r="H222" s="3"/>
      <c r="I222" s="3"/>
      <c r="J222" s="3"/>
      <c r="K222" s="3"/>
      <c r="L222" s="3"/>
      <c r="M222" s="3"/>
      <c r="N222" s="3"/>
      <c r="O222" s="3"/>
      <c r="P222" s="3"/>
      <c r="Q222" s="3"/>
      <c r="R222" s="3"/>
      <c r="S222" s="3"/>
      <c r="T222" s="3"/>
      <c r="U222" s="3"/>
      <c r="V222" s="18"/>
      <c r="W222" s="3"/>
      <c r="X222" s="3"/>
      <c r="Y222" s="3"/>
      <c r="Z222" s="3"/>
      <c r="AA222" s="3"/>
    </row>
    <row r="223" spans="1:27" ht="24.75" customHeight="1">
      <c r="A223" s="3"/>
      <c r="B223" s="3"/>
      <c r="C223" s="3"/>
      <c r="D223" s="3"/>
      <c r="E223" s="3"/>
      <c r="F223" s="3"/>
      <c r="G223" s="3"/>
      <c r="H223" s="3"/>
      <c r="I223" s="3"/>
      <c r="J223" s="3"/>
      <c r="K223" s="3"/>
      <c r="L223" s="3"/>
      <c r="M223" s="3"/>
      <c r="N223" s="3"/>
      <c r="O223" s="3"/>
      <c r="P223" s="3"/>
      <c r="Q223" s="3"/>
      <c r="R223" s="3"/>
      <c r="S223" s="3"/>
      <c r="T223" s="3"/>
      <c r="U223" s="3"/>
      <c r="V223" s="18"/>
      <c r="W223" s="3"/>
      <c r="X223" s="3"/>
      <c r="Y223" s="3"/>
      <c r="Z223" s="3"/>
      <c r="AA223" s="3"/>
    </row>
    <row r="224" spans="1:27" ht="24.75" customHeight="1">
      <c r="A224" s="3"/>
      <c r="B224" s="3"/>
      <c r="C224" s="3"/>
      <c r="D224" s="3"/>
      <c r="E224" s="3"/>
      <c r="F224" s="3"/>
      <c r="G224" s="3"/>
      <c r="H224" s="3"/>
      <c r="I224" s="3"/>
      <c r="J224" s="3"/>
      <c r="K224" s="3"/>
      <c r="L224" s="3"/>
      <c r="M224" s="3"/>
      <c r="N224" s="3"/>
      <c r="O224" s="3"/>
      <c r="P224" s="3"/>
      <c r="Q224" s="3"/>
      <c r="R224" s="3"/>
      <c r="S224" s="3"/>
      <c r="T224" s="3"/>
      <c r="U224" s="3"/>
      <c r="V224" s="18"/>
      <c r="W224" s="3"/>
      <c r="X224" s="3"/>
      <c r="Y224" s="3"/>
      <c r="Z224" s="3"/>
      <c r="AA224" s="3"/>
    </row>
    <row r="225" spans="1:27" ht="24.75" customHeight="1">
      <c r="A225" s="3"/>
      <c r="B225" s="3"/>
      <c r="C225" s="3"/>
      <c r="D225" s="3"/>
      <c r="E225" s="3"/>
      <c r="F225" s="3"/>
      <c r="G225" s="3"/>
      <c r="H225" s="3"/>
      <c r="I225" s="3"/>
      <c r="J225" s="3"/>
      <c r="K225" s="3"/>
      <c r="L225" s="3"/>
      <c r="M225" s="3"/>
      <c r="N225" s="3"/>
      <c r="O225" s="3"/>
      <c r="P225" s="3"/>
      <c r="Q225" s="3"/>
      <c r="R225" s="3"/>
      <c r="S225" s="3"/>
      <c r="T225" s="3"/>
      <c r="U225" s="3"/>
      <c r="V225" s="18"/>
      <c r="W225" s="3"/>
      <c r="X225" s="3"/>
      <c r="Y225" s="3"/>
      <c r="Z225" s="3"/>
      <c r="AA225" s="3"/>
    </row>
    <row r="226" spans="1:27" ht="24.75" customHeight="1">
      <c r="A226" s="3"/>
      <c r="B226" s="3"/>
      <c r="C226" s="3"/>
      <c r="D226" s="3"/>
      <c r="E226" s="3"/>
      <c r="F226" s="3"/>
      <c r="G226" s="3"/>
      <c r="H226" s="3"/>
      <c r="I226" s="3"/>
      <c r="J226" s="3"/>
      <c r="K226" s="3"/>
      <c r="L226" s="3"/>
      <c r="M226" s="3"/>
      <c r="N226" s="3"/>
      <c r="O226" s="3"/>
      <c r="P226" s="3"/>
      <c r="Q226" s="3"/>
      <c r="R226" s="3"/>
      <c r="S226" s="3"/>
      <c r="T226" s="3"/>
      <c r="U226" s="3"/>
      <c r="V226" s="18"/>
      <c r="W226" s="3"/>
      <c r="X226" s="3"/>
      <c r="Y226" s="3"/>
      <c r="Z226" s="3"/>
      <c r="AA226" s="3"/>
    </row>
    <row r="227" spans="1:27" ht="24.75" customHeight="1">
      <c r="A227" s="3"/>
      <c r="B227" s="3"/>
      <c r="C227" s="3"/>
      <c r="D227" s="3"/>
      <c r="E227" s="3"/>
      <c r="F227" s="3"/>
      <c r="G227" s="3"/>
      <c r="H227" s="3"/>
      <c r="I227" s="3"/>
      <c r="J227" s="3"/>
      <c r="K227" s="3"/>
      <c r="L227" s="3"/>
      <c r="M227" s="3"/>
      <c r="N227" s="3"/>
      <c r="O227" s="3"/>
      <c r="P227" s="3"/>
      <c r="Q227" s="3"/>
      <c r="R227" s="3"/>
      <c r="S227" s="3"/>
      <c r="T227" s="3"/>
      <c r="U227" s="3"/>
      <c r="V227" s="18"/>
      <c r="W227" s="3"/>
      <c r="X227" s="3"/>
      <c r="Y227" s="3"/>
      <c r="Z227" s="3"/>
      <c r="AA227" s="3"/>
    </row>
    <row r="228" spans="1:27" ht="24.75" customHeight="1">
      <c r="A228" s="3"/>
      <c r="B228" s="3"/>
      <c r="C228" s="3"/>
      <c r="D228" s="3"/>
      <c r="E228" s="3"/>
      <c r="F228" s="3"/>
      <c r="G228" s="3"/>
      <c r="H228" s="3"/>
      <c r="I228" s="3"/>
      <c r="J228" s="3"/>
      <c r="K228" s="3"/>
      <c r="L228" s="3"/>
      <c r="M228" s="3"/>
      <c r="N228" s="3"/>
      <c r="O228" s="3"/>
      <c r="P228" s="3"/>
      <c r="Q228" s="3"/>
      <c r="R228" s="3"/>
      <c r="S228" s="3"/>
      <c r="T228" s="3"/>
      <c r="U228" s="3"/>
      <c r="V228" s="18"/>
      <c r="W228" s="3"/>
      <c r="X228" s="3"/>
      <c r="Y228" s="3"/>
      <c r="Z228" s="3"/>
      <c r="AA228" s="3"/>
    </row>
    <row r="229" spans="1:27" ht="24.75" customHeight="1">
      <c r="A229" s="3"/>
      <c r="B229" s="3"/>
      <c r="C229" s="3"/>
      <c r="D229" s="3"/>
      <c r="E229" s="3"/>
      <c r="F229" s="3"/>
      <c r="G229" s="3"/>
      <c r="H229" s="3"/>
      <c r="I229" s="3"/>
      <c r="J229" s="3"/>
      <c r="K229" s="3"/>
      <c r="L229" s="3"/>
      <c r="M229" s="3"/>
      <c r="N229" s="3"/>
      <c r="O229" s="3"/>
      <c r="P229" s="3"/>
      <c r="Q229" s="3"/>
      <c r="R229" s="3"/>
      <c r="S229" s="3"/>
      <c r="T229" s="3"/>
      <c r="U229" s="3"/>
      <c r="V229" s="18"/>
      <c r="W229" s="3"/>
      <c r="X229" s="3"/>
      <c r="Y229" s="3"/>
      <c r="Z229" s="3"/>
      <c r="AA229" s="3"/>
    </row>
    <row r="230" spans="1:27" ht="24.75" customHeight="1">
      <c r="A230" s="3"/>
      <c r="B230" s="3"/>
      <c r="C230" s="3"/>
      <c r="D230" s="3"/>
      <c r="E230" s="3"/>
      <c r="F230" s="3"/>
      <c r="G230" s="3"/>
      <c r="H230" s="3"/>
      <c r="I230" s="3"/>
      <c r="J230" s="3"/>
      <c r="K230" s="3"/>
      <c r="L230" s="3"/>
      <c r="M230" s="3"/>
      <c r="N230" s="3"/>
      <c r="O230" s="3"/>
      <c r="P230" s="3"/>
      <c r="Q230" s="3"/>
      <c r="R230" s="3"/>
      <c r="S230" s="3"/>
      <c r="T230" s="3"/>
      <c r="U230" s="3"/>
      <c r="V230" s="18"/>
      <c r="W230" s="3"/>
      <c r="X230" s="3"/>
      <c r="Y230" s="3"/>
      <c r="Z230" s="3"/>
      <c r="AA230" s="3"/>
    </row>
    <row r="231" spans="1:27" ht="24.75" customHeight="1">
      <c r="A231" s="3"/>
      <c r="B231" s="3"/>
      <c r="C231" s="3"/>
      <c r="D231" s="3"/>
      <c r="E231" s="3"/>
      <c r="F231" s="3"/>
      <c r="G231" s="3"/>
      <c r="H231" s="3"/>
      <c r="I231" s="3"/>
      <c r="J231" s="3"/>
      <c r="K231" s="3"/>
      <c r="L231" s="3"/>
      <c r="M231" s="3"/>
      <c r="N231" s="3"/>
      <c r="O231" s="3"/>
      <c r="P231" s="3"/>
      <c r="Q231" s="3"/>
      <c r="R231" s="3"/>
      <c r="S231" s="3"/>
      <c r="T231" s="3"/>
      <c r="U231" s="3"/>
      <c r="V231" s="18"/>
      <c r="W231" s="3"/>
      <c r="X231" s="3"/>
      <c r="Y231" s="3"/>
      <c r="Z231" s="3"/>
      <c r="AA231" s="3"/>
    </row>
    <row r="232" spans="1:27" ht="24.75" customHeight="1">
      <c r="A232" s="3"/>
      <c r="B232" s="3"/>
      <c r="C232" s="3"/>
      <c r="D232" s="3"/>
      <c r="E232" s="3"/>
      <c r="F232" s="3"/>
      <c r="G232" s="3"/>
      <c r="H232" s="3"/>
      <c r="I232" s="3"/>
      <c r="J232" s="3"/>
      <c r="K232" s="3"/>
      <c r="L232" s="3"/>
      <c r="M232" s="3"/>
      <c r="N232" s="3"/>
      <c r="O232" s="3"/>
      <c r="P232" s="3"/>
      <c r="Q232" s="3"/>
      <c r="R232" s="3"/>
      <c r="S232" s="3"/>
      <c r="T232" s="3"/>
      <c r="U232" s="3"/>
      <c r="V232" s="18"/>
      <c r="W232" s="3"/>
      <c r="X232" s="3"/>
      <c r="Y232" s="3"/>
      <c r="Z232" s="3"/>
      <c r="AA232" s="3"/>
    </row>
    <row r="233" spans="1:27" ht="24.75" customHeight="1">
      <c r="A233" s="3"/>
      <c r="B233" s="3"/>
      <c r="C233" s="3"/>
      <c r="D233" s="3"/>
      <c r="E233" s="3"/>
      <c r="F233" s="3"/>
      <c r="G233" s="3"/>
      <c r="H233" s="3"/>
      <c r="I233" s="3"/>
      <c r="J233" s="3"/>
      <c r="K233" s="3"/>
      <c r="L233" s="3"/>
      <c r="M233" s="3"/>
      <c r="N233" s="3"/>
      <c r="O233" s="3"/>
      <c r="P233" s="3"/>
      <c r="Q233" s="3"/>
      <c r="R233" s="3"/>
      <c r="S233" s="3"/>
      <c r="T233" s="3"/>
      <c r="U233" s="3"/>
      <c r="V233" s="18"/>
      <c r="W233" s="3"/>
      <c r="X233" s="3"/>
      <c r="Y233" s="3"/>
      <c r="Z233" s="3"/>
      <c r="AA233" s="3"/>
    </row>
    <row r="234" spans="1:27" ht="24.75" customHeight="1">
      <c r="A234" s="3"/>
      <c r="B234" s="3"/>
      <c r="C234" s="3"/>
      <c r="D234" s="3"/>
      <c r="E234" s="3"/>
      <c r="F234" s="3"/>
      <c r="G234" s="3"/>
      <c r="H234" s="3"/>
      <c r="I234" s="3"/>
      <c r="J234" s="3"/>
      <c r="K234" s="3"/>
      <c r="L234" s="3"/>
      <c r="M234" s="3"/>
      <c r="N234" s="3"/>
      <c r="O234" s="3"/>
      <c r="P234" s="3"/>
      <c r="Q234" s="3"/>
      <c r="R234" s="3"/>
      <c r="S234" s="3"/>
      <c r="T234" s="3"/>
      <c r="U234" s="3"/>
      <c r="V234" s="18"/>
      <c r="W234" s="3"/>
      <c r="X234" s="3"/>
      <c r="Y234" s="3"/>
      <c r="Z234" s="3"/>
      <c r="AA234" s="3"/>
    </row>
    <row r="235" spans="1:27" ht="24.75" customHeight="1">
      <c r="A235" s="3"/>
      <c r="B235" s="3"/>
      <c r="C235" s="3"/>
      <c r="D235" s="3"/>
      <c r="E235" s="3"/>
      <c r="F235" s="3"/>
      <c r="G235" s="3"/>
      <c r="H235" s="3"/>
      <c r="I235" s="3"/>
      <c r="J235" s="3"/>
      <c r="K235" s="3"/>
      <c r="L235" s="3"/>
      <c r="M235" s="3"/>
      <c r="N235" s="3"/>
      <c r="O235" s="3"/>
      <c r="P235" s="3"/>
      <c r="Q235" s="3"/>
      <c r="R235" s="3"/>
      <c r="S235" s="3"/>
      <c r="T235" s="3"/>
      <c r="U235" s="3"/>
      <c r="V235" s="18"/>
      <c r="W235" s="3"/>
      <c r="X235" s="3"/>
      <c r="Y235" s="3"/>
      <c r="Z235" s="3"/>
      <c r="AA235" s="3"/>
    </row>
    <row r="236" spans="1:27" ht="24.75" customHeight="1">
      <c r="A236" s="3"/>
      <c r="B236" s="3"/>
      <c r="C236" s="3"/>
      <c r="D236" s="3"/>
      <c r="E236" s="3"/>
      <c r="F236" s="3"/>
      <c r="G236" s="3"/>
      <c r="H236" s="3"/>
      <c r="I236" s="3"/>
      <c r="J236" s="3"/>
      <c r="K236" s="3"/>
      <c r="L236" s="3"/>
      <c r="M236" s="3"/>
      <c r="N236" s="3"/>
      <c r="O236" s="3"/>
      <c r="P236" s="3"/>
      <c r="Q236" s="3"/>
      <c r="R236" s="3"/>
      <c r="S236" s="3"/>
      <c r="T236" s="3"/>
      <c r="U236" s="3"/>
      <c r="V236" s="18"/>
      <c r="W236" s="3"/>
      <c r="X236" s="3"/>
      <c r="Y236" s="3"/>
      <c r="Z236" s="3"/>
      <c r="AA236" s="3"/>
    </row>
    <row r="237" spans="1:27" ht="24.75" customHeight="1">
      <c r="A237" s="3"/>
      <c r="B237" s="3"/>
      <c r="C237" s="3"/>
      <c r="D237" s="3"/>
      <c r="E237" s="3"/>
      <c r="F237" s="3"/>
      <c r="G237" s="3"/>
      <c r="H237" s="3"/>
      <c r="I237" s="3"/>
      <c r="J237" s="3"/>
      <c r="K237" s="3"/>
      <c r="L237" s="3"/>
      <c r="M237" s="3"/>
      <c r="N237" s="3"/>
      <c r="O237" s="3"/>
      <c r="P237" s="3"/>
      <c r="Q237" s="3"/>
      <c r="R237" s="3"/>
      <c r="S237" s="3"/>
      <c r="T237" s="3"/>
      <c r="U237" s="3"/>
      <c r="V237" s="18"/>
      <c r="W237" s="3"/>
      <c r="X237" s="3"/>
      <c r="Y237" s="3"/>
      <c r="Z237" s="3"/>
      <c r="AA237" s="3"/>
    </row>
    <row r="238" spans="1:27" ht="24.75" customHeight="1">
      <c r="A238" s="3"/>
      <c r="B238" s="3"/>
      <c r="C238" s="3"/>
      <c r="D238" s="3"/>
      <c r="E238" s="3"/>
      <c r="F238" s="3"/>
      <c r="G238" s="3"/>
      <c r="H238" s="3"/>
      <c r="I238" s="3"/>
      <c r="J238" s="3"/>
      <c r="K238" s="3"/>
      <c r="L238" s="3"/>
      <c r="M238" s="3"/>
      <c r="N238" s="3"/>
      <c r="O238" s="3"/>
      <c r="P238" s="3"/>
      <c r="Q238" s="3"/>
      <c r="R238" s="3"/>
      <c r="S238" s="3"/>
      <c r="T238" s="3"/>
      <c r="U238" s="3"/>
      <c r="V238" s="18"/>
      <c r="W238" s="3"/>
      <c r="X238" s="3"/>
      <c r="Y238" s="3"/>
      <c r="Z238" s="3"/>
      <c r="AA238" s="3"/>
    </row>
    <row r="239" spans="1:27" ht="24.75" customHeight="1">
      <c r="A239" s="3"/>
      <c r="B239" s="3"/>
      <c r="C239" s="3"/>
      <c r="D239" s="3"/>
      <c r="E239" s="3"/>
      <c r="F239" s="3"/>
      <c r="G239" s="3"/>
      <c r="H239" s="3"/>
      <c r="I239" s="3"/>
      <c r="J239" s="3"/>
      <c r="K239" s="3"/>
      <c r="L239" s="3"/>
      <c r="M239" s="3"/>
      <c r="N239" s="3"/>
      <c r="O239" s="3"/>
      <c r="P239" s="3"/>
      <c r="Q239" s="3"/>
      <c r="R239" s="3"/>
      <c r="S239" s="3"/>
      <c r="T239" s="3"/>
      <c r="U239" s="3"/>
      <c r="V239" s="18"/>
      <c r="W239" s="3"/>
      <c r="X239" s="3"/>
      <c r="Y239" s="3"/>
      <c r="Z239" s="3"/>
      <c r="AA239" s="3"/>
    </row>
    <row r="240" spans="1:27" ht="24.75" customHeight="1">
      <c r="A240" s="3"/>
      <c r="B240" s="3"/>
      <c r="C240" s="3"/>
      <c r="D240" s="3"/>
      <c r="E240" s="3"/>
      <c r="F240" s="3"/>
      <c r="G240" s="3"/>
      <c r="H240" s="3"/>
      <c r="I240" s="3"/>
      <c r="J240" s="3"/>
      <c r="K240" s="3"/>
      <c r="L240" s="3"/>
      <c r="M240" s="3"/>
      <c r="N240" s="3"/>
      <c r="O240" s="3"/>
      <c r="P240" s="3"/>
      <c r="Q240" s="3"/>
      <c r="R240" s="3"/>
      <c r="S240" s="3"/>
      <c r="T240" s="3"/>
      <c r="U240" s="3"/>
      <c r="V240" s="18"/>
      <c r="W240" s="3"/>
      <c r="X240" s="3"/>
      <c r="Y240" s="3"/>
      <c r="Z240" s="3"/>
      <c r="AA240" s="3"/>
    </row>
    <row r="241" spans="1:27" ht="24.75" customHeight="1">
      <c r="A241" s="3"/>
      <c r="B241" s="3"/>
      <c r="C241" s="3"/>
      <c r="D241" s="3"/>
      <c r="E241" s="3"/>
      <c r="F241" s="3"/>
      <c r="G241" s="3"/>
      <c r="H241" s="3"/>
      <c r="I241" s="3"/>
      <c r="J241" s="3"/>
      <c r="K241" s="3"/>
      <c r="L241" s="3"/>
      <c r="M241" s="3"/>
      <c r="N241" s="3"/>
      <c r="O241" s="3"/>
      <c r="P241" s="3"/>
      <c r="Q241" s="3"/>
      <c r="R241" s="3"/>
      <c r="S241" s="3"/>
      <c r="T241" s="3"/>
      <c r="U241" s="3"/>
      <c r="V241" s="18"/>
      <c r="W241" s="3"/>
      <c r="X241" s="3"/>
      <c r="Y241" s="3"/>
      <c r="Z241" s="3"/>
      <c r="AA241" s="3"/>
    </row>
    <row r="242" spans="1:27" ht="24.75" customHeight="1">
      <c r="A242" s="3"/>
      <c r="B242" s="3"/>
      <c r="C242" s="3"/>
      <c r="D242" s="3"/>
      <c r="E242" s="3"/>
      <c r="F242" s="3"/>
      <c r="G242" s="3"/>
      <c r="H242" s="3"/>
      <c r="I242" s="3"/>
      <c r="J242" s="3"/>
      <c r="K242" s="3"/>
      <c r="L242" s="3"/>
      <c r="M242" s="3"/>
      <c r="N242" s="3"/>
      <c r="O242" s="3"/>
      <c r="P242" s="3"/>
      <c r="Q242" s="3"/>
      <c r="R242" s="3"/>
      <c r="S242" s="3"/>
      <c r="T242" s="3"/>
      <c r="U242" s="3"/>
      <c r="V242" s="18"/>
      <c r="W242" s="3"/>
      <c r="X242" s="3"/>
      <c r="Y242" s="3"/>
      <c r="Z242" s="3"/>
      <c r="AA242" s="3"/>
    </row>
    <row r="243" spans="1:27" ht="24.75" customHeight="1">
      <c r="A243" s="3"/>
      <c r="B243" s="3"/>
      <c r="C243" s="3"/>
      <c r="D243" s="3"/>
      <c r="E243" s="3"/>
      <c r="F243" s="3"/>
      <c r="G243" s="3"/>
      <c r="H243" s="3"/>
      <c r="I243" s="3"/>
      <c r="J243" s="3"/>
      <c r="K243" s="3"/>
      <c r="L243" s="3"/>
      <c r="M243" s="3"/>
      <c r="N243" s="3"/>
      <c r="O243" s="3"/>
      <c r="P243" s="3"/>
      <c r="Q243" s="3"/>
      <c r="R243" s="3"/>
      <c r="S243" s="3"/>
      <c r="T243" s="3"/>
      <c r="U243" s="3"/>
      <c r="V243" s="18"/>
      <c r="W243" s="3"/>
      <c r="X243" s="3"/>
      <c r="Y243" s="3"/>
      <c r="Z243" s="3"/>
      <c r="AA243" s="3"/>
    </row>
    <row r="244" spans="1:27" ht="24.75" customHeight="1">
      <c r="A244" s="3"/>
      <c r="B244" s="3"/>
      <c r="C244" s="3"/>
      <c r="D244" s="3"/>
      <c r="E244" s="3"/>
      <c r="F244" s="3"/>
      <c r="G244" s="3"/>
      <c r="H244" s="3"/>
      <c r="I244" s="3"/>
      <c r="J244" s="3"/>
      <c r="K244" s="3"/>
      <c r="L244" s="3"/>
      <c r="M244" s="3"/>
      <c r="N244" s="3"/>
      <c r="O244" s="3"/>
      <c r="P244" s="3"/>
      <c r="Q244" s="3"/>
      <c r="R244" s="3"/>
      <c r="S244" s="3"/>
      <c r="T244" s="3"/>
      <c r="U244" s="3"/>
      <c r="V244" s="18"/>
      <c r="W244" s="3"/>
      <c r="X244" s="3"/>
      <c r="Y244" s="3"/>
      <c r="Z244" s="3"/>
      <c r="AA244" s="3"/>
    </row>
    <row r="245" spans="1:27" ht="24.75" customHeight="1">
      <c r="A245" s="3"/>
      <c r="B245" s="3"/>
      <c r="C245" s="3"/>
      <c r="D245" s="3"/>
      <c r="E245" s="3"/>
      <c r="F245" s="3"/>
      <c r="G245" s="3"/>
      <c r="H245" s="3"/>
      <c r="I245" s="3"/>
      <c r="J245" s="3"/>
      <c r="K245" s="3"/>
      <c r="L245" s="3"/>
      <c r="M245" s="3"/>
      <c r="N245" s="3"/>
      <c r="O245" s="3"/>
      <c r="P245" s="3"/>
      <c r="Q245" s="3"/>
      <c r="R245" s="3"/>
      <c r="S245" s="3"/>
      <c r="T245" s="3"/>
      <c r="U245" s="3"/>
      <c r="V245" s="18"/>
      <c r="W245" s="3"/>
      <c r="X245" s="3"/>
      <c r="Y245" s="3"/>
      <c r="Z245" s="3"/>
      <c r="AA245" s="3"/>
    </row>
    <row r="246" spans="1:27" ht="24.75" customHeight="1">
      <c r="A246" s="3"/>
      <c r="B246" s="3"/>
      <c r="C246" s="3"/>
      <c r="D246" s="3"/>
      <c r="E246" s="3"/>
      <c r="F246" s="3"/>
      <c r="G246" s="3"/>
      <c r="H246" s="3"/>
      <c r="I246" s="3"/>
      <c r="J246" s="3"/>
      <c r="K246" s="3"/>
      <c r="L246" s="3"/>
      <c r="M246" s="3"/>
      <c r="N246" s="3"/>
      <c r="O246" s="3"/>
      <c r="P246" s="3"/>
      <c r="Q246" s="3"/>
      <c r="R246" s="3"/>
      <c r="S246" s="3"/>
      <c r="T246" s="3"/>
      <c r="U246" s="3"/>
      <c r="V246" s="18"/>
      <c r="W246" s="3"/>
      <c r="X246" s="3"/>
      <c r="Y246" s="3"/>
      <c r="Z246" s="3"/>
      <c r="AA246" s="3"/>
    </row>
    <row r="247" spans="1:27" ht="24.75" customHeight="1">
      <c r="A247" s="3"/>
      <c r="B247" s="3"/>
      <c r="C247" s="3"/>
      <c r="D247" s="3"/>
      <c r="E247" s="3"/>
      <c r="F247" s="3"/>
      <c r="G247" s="3"/>
      <c r="H247" s="3"/>
      <c r="I247" s="3"/>
      <c r="J247" s="3"/>
      <c r="K247" s="3"/>
      <c r="L247" s="3"/>
      <c r="M247" s="3"/>
      <c r="N247" s="3"/>
      <c r="O247" s="3"/>
      <c r="P247" s="3"/>
      <c r="Q247" s="3"/>
      <c r="R247" s="3"/>
      <c r="S247" s="3"/>
      <c r="T247" s="3"/>
      <c r="U247" s="3"/>
      <c r="V247" s="18"/>
      <c r="W247" s="3"/>
      <c r="X247" s="3"/>
      <c r="Y247" s="3"/>
      <c r="Z247" s="3"/>
      <c r="AA247" s="3"/>
    </row>
    <row r="248" spans="1:27" ht="24.75" customHeight="1">
      <c r="A248" s="3"/>
      <c r="B248" s="3"/>
      <c r="C248" s="3"/>
      <c r="D248" s="3"/>
      <c r="E248" s="3"/>
      <c r="F248" s="3"/>
      <c r="G248" s="3"/>
      <c r="H248" s="3"/>
      <c r="I248" s="3"/>
      <c r="J248" s="3"/>
      <c r="K248" s="3"/>
      <c r="L248" s="3"/>
      <c r="M248" s="3"/>
      <c r="N248" s="3"/>
      <c r="O248" s="3"/>
      <c r="P248" s="3"/>
      <c r="Q248" s="3"/>
      <c r="R248" s="3"/>
      <c r="S248" s="3"/>
      <c r="T248" s="3"/>
      <c r="U248" s="3"/>
      <c r="V248" s="18"/>
      <c r="W248" s="3"/>
      <c r="X248" s="3"/>
      <c r="Y248" s="3"/>
      <c r="Z248" s="3"/>
      <c r="AA248" s="3"/>
    </row>
    <row r="249" spans="1:27" ht="24.75" customHeight="1">
      <c r="A249" s="3"/>
      <c r="B249" s="3"/>
      <c r="C249" s="3"/>
      <c r="D249" s="3"/>
      <c r="E249" s="3"/>
      <c r="F249" s="3"/>
      <c r="G249" s="3"/>
      <c r="H249" s="3"/>
      <c r="I249" s="3"/>
      <c r="J249" s="3"/>
      <c r="K249" s="3"/>
      <c r="L249" s="3"/>
      <c r="M249" s="3"/>
      <c r="N249" s="3"/>
      <c r="O249" s="3"/>
      <c r="P249" s="3"/>
      <c r="Q249" s="3"/>
      <c r="R249" s="3"/>
      <c r="S249" s="3"/>
      <c r="T249" s="3"/>
      <c r="U249" s="3"/>
      <c r="V249" s="18"/>
      <c r="W249" s="3"/>
      <c r="X249" s="3"/>
      <c r="Y249" s="3"/>
      <c r="Z249" s="3"/>
      <c r="AA249" s="3"/>
    </row>
    <row r="250" spans="1:27" ht="24.75" customHeight="1">
      <c r="A250" s="3"/>
      <c r="B250" s="3"/>
      <c r="C250" s="3"/>
      <c r="D250" s="3"/>
      <c r="E250" s="3"/>
      <c r="F250" s="3"/>
      <c r="G250" s="3"/>
      <c r="H250" s="3"/>
      <c r="I250" s="3"/>
      <c r="J250" s="3"/>
      <c r="K250" s="3"/>
      <c r="L250" s="3"/>
      <c r="M250" s="3"/>
      <c r="N250" s="3"/>
      <c r="O250" s="3"/>
      <c r="P250" s="3"/>
      <c r="Q250" s="3"/>
      <c r="R250" s="3"/>
      <c r="S250" s="3"/>
      <c r="T250" s="3"/>
      <c r="U250" s="3"/>
      <c r="V250" s="18"/>
      <c r="W250" s="3"/>
      <c r="X250" s="3"/>
      <c r="Y250" s="3"/>
      <c r="Z250" s="3"/>
      <c r="AA250" s="3"/>
    </row>
    <row r="251" spans="1:27" ht="24.75" customHeight="1">
      <c r="A251" s="3"/>
      <c r="B251" s="3"/>
      <c r="C251" s="3"/>
      <c r="D251" s="3"/>
      <c r="E251" s="3"/>
      <c r="F251" s="3"/>
      <c r="G251" s="3"/>
      <c r="H251" s="3"/>
      <c r="I251" s="3"/>
      <c r="J251" s="3"/>
      <c r="K251" s="3"/>
      <c r="L251" s="3"/>
      <c r="M251" s="3"/>
      <c r="N251" s="3"/>
      <c r="O251" s="3"/>
      <c r="P251" s="3"/>
      <c r="Q251" s="3"/>
      <c r="R251" s="3"/>
      <c r="S251" s="3"/>
      <c r="T251" s="3"/>
      <c r="U251" s="3"/>
      <c r="V251" s="18"/>
      <c r="W251" s="3"/>
      <c r="X251" s="3"/>
      <c r="Y251" s="3"/>
      <c r="Z251" s="3"/>
      <c r="AA251" s="3"/>
    </row>
    <row r="252" spans="1:27" ht="24.75" customHeight="1">
      <c r="A252" s="3"/>
      <c r="B252" s="3"/>
      <c r="C252" s="3"/>
      <c r="D252" s="3"/>
      <c r="E252" s="3"/>
      <c r="F252" s="3"/>
      <c r="G252" s="3"/>
      <c r="H252" s="3"/>
      <c r="I252" s="3"/>
      <c r="J252" s="3"/>
      <c r="K252" s="3"/>
      <c r="L252" s="3"/>
      <c r="M252" s="3"/>
      <c r="N252" s="3"/>
      <c r="O252" s="3"/>
      <c r="P252" s="3"/>
      <c r="Q252" s="3"/>
      <c r="R252" s="3"/>
      <c r="S252" s="3"/>
      <c r="T252" s="3"/>
      <c r="U252" s="3"/>
      <c r="V252" s="18"/>
      <c r="W252" s="3"/>
      <c r="X252" s="3"/>
      <c r="Y252" s="3"/>
      <c r="Z252" s="3"/>
      <c r="AA252" s="3"/>
    </row>
    <row r="253" spans="1:27" ht="24.75" customHeight="1">
      <c r="A253" s="3"/>
      <c r="B253" s="3"/>
      <c r="C253" s="3"/>
      <c r="D253" s="3"/>
      <c r="E253" s="3"/>
      <c r="F253" s="3"/>
      <c r="G253" s="3"/>
      <c r="H253" s="3"/>
      <c r="I253" s="3"/>
      <c r="J253" s="3"/>
      <c r="K253" s="3"/>
      <c r="L253" s="3"/>
      <c r="M253" s="3"/>
      <c r="N253" s="3"/>
      <c r="O253" s="3"/>
      <c r="P253" s="3"/>
      <c r="Q253" s="3"/>
      <c r="R253" s="3"/>
      <c r="S253" s="3"/>
      <c r="T253" s="3"/>
      <c r="U253" s="3"/>
      <c r="V253" s="18"/>
      <c r="W253" s="3"/>
      <c r="X253" s="3"/>
      <c r="Y253" s="3"/>
      <c r="Z253" s="3"/>
      <c r="AA253" s="3"/>
    </row>
    <row r="254" spans="1:27" ht="24.75" customHeight="1">
      <c r="A254" s="3"/>
      <c r="B254" s="3"/>
      <c r="C254" s="3"/>
      <c r="D254" s="3"/>
      <c r="E254" s="3"/>
      <c r="F254" s="3"/>
      <c r="G254" s="3"/>
      <c r="H254" s="3"/>
      <c r="I254" s="3"/>
      <c r="J254" s="3"/>
      <c r="K254" s="3"/>
      <c r="L254" s="3"/>
      <c r="M254" s="3"/>
      <c r="N254" s="3"/>
      <c r="O254" s="3"/>
      <c r="P254" s="3"/>
      <c r="Q254" s="3"/>
      <c r="R254" s="3"/>
      <c r="S254" s="3"/>
      <c r="T254" s="3"/>
      <c r="U254" s="3"/>
      <c r="V254" s="18"/>
      <c r="W254" s="3"/>
      <c r="X254" s="3"/>
      <c r="Y254" s="3"/>
      <c r="Z254" s="3"/>
      <c r="AA254" s="3"/>
    </row>
    <row r="255" spans="1:27" ht="24.75" customHeight="1">
      <c r="A255" s="3"/>
      <c r="B255" s="3"/>
      <c r="C255" s="3"/>
      <c r="D255" s="3"/>
      <c r="E255" s="3"/>
      <c r="F255" s="3"/>
      <c r="G255" s="3"/>
      <c r="H255" s="3"/>
      <c r="I255" s="3"/>
      <c r="J255" s="3"/>
      <c r="K255" s="3"/>
      <c r="L255" s="3"/>
      <c r="M255" s="3"/>
      <c r="N255" s="3"/>
      <c r="O255" s="3"/>
      <c r="P255" s="3"/>
      <c r="Q255" s="3"/>
      <c r="R255" s="3"/>
      <c r="S255" s="3"/>
      <c r="T255" s="3"/>
      <c r="U255" s="3"/>
      <c r="V255" s="18"/>
      <c r="W255" s="3"/>
      <c r="X255" s="3"/>
      <c r="Y255" s="3"/>
      <c r="Z255" s="3"/>
      <c r="AA255" s="3"/>
    </row>
    <row r="256" spans="1:27" ht="24.75" customHeight="1">
      <c r="A256" s="3"/>
      <c r="B256" s="3"/>
      <c r="C256" s="3"/>
      <c r="D256" s="3"/>
      <c r="E256" s="3"/>
      <c r="F256" s="3"/>
      <c r="G256" s="3"/>
      <c r="H256" s="3"/>
      <c r="I256" s="3"/>
      <c r="J256" s="3"/>
      <c r="K256" s="3"/>
      <c r="L256" s="3"/>
      <c r="M256" s="3"/>
      <c r="N256" s="3"/>
      <c r="O256" s="3"/>
      <c r="P256" s="3"/>
      <c r="Q256" s="3"/>
      <c r="R256" s="3"/>
      <c r="S256" s="3"/>
      <c r="T256" s="3"/>
      <c r="U256" s="3"/>
      <c r="V256" s="18"/>
      <c r="W256" s="3"/>
      <c r="X256" s="3"/>
      <c r="Y256" s="3"/>
      <c r="Z256" s="3"/>
      <c r="AA256" s="3"/>
    </row>
    <row r="257" spans="1:27" ht="24.75" customHeight="1">
      <c r="A257" s="3"/>
      <c r="B257" s="3"/>
      <c r="C257" s="3"/>
      <c r="D257" s="3"/>
      <c r="E257" s="3"/>
      <c r="F257" s="3"/>
      <c r="G257" s="3"/>
      <c r="H257" s="3"/>
      <c r="I257" s="3"/>
      <c r="J257" s="3"/>
      <c r="K257" s="3"/>
      <c r="L257" s="3"/>
      <c r="M257" s="3"/>
      <c r="N257" s="3"/>
      <c r="O257" s="3"/>
      <c r="P257" s="3"/>
      <c r="Q257" s="3"/>
      <c r="R257" s="3"/>
      <c r="S257" s="3"/>
      <c r="T257" s="3"/>
      <c r="U257" s="3"/>
      <c r="V257" s="18"/>
      <c r="W257" s="3"/>
      <c r="X257" s="3"/>
      <c r="Y257" s="3"/>
      <c r="Z257" s="3"/>
      <c r="AA257" s="3"/>
    </row>
    <row r="258" spans="1:27" ht="24.75" customHeight="1">
      <c r="A258" s="3"/>
      <c r="B258" s="3"/>
      <c r="C258" s="3"/>
      <c r="D258" s="3"/>
      <c r="E258" s="3"/>
      <c r="F258" s="3"/>
      <c r="G258" s="3"/>
      <c r="H258" s="3"/>
      <c r="I258" s="3"/>
      <c r="J258" s="3"/>
      <c r="K258" s="3"/>
      <c r="L258" s="3"/>
      <c r="M258" s="3"/>
      <c r="N258" s="3"/>
      <c r="O258" s="3"/>
      <c r="P258" s="3"/>
      <c r="Q258" s="3"/>
      <c r="R258" s="3"/>
      <c r="S258" s="3"/>
      <c r="T258" s="3"/>
      <c r="U258" s="3"/>
      <c r="V258" s="18"/>
      <c r="W258" s="3"/>
      <c r="X258" s="3"/>
      <c r="Y258" s="3"/>
      <c r="Z258" s="3"/>
      <c r="AA258" s="3"/>
    </row>
    <row r="259" spans="1:27" ht="24.75" customHeight="1">
      <c r="A259" s="3"/>
      <c r="B259" s="3"/>
      <c r="C259" s="3"/>
      <c r="D259" s="3"/>
      <c r="E259" s="3"/>
      <c r="F259" s="3"/>
      <c r="G259" s="3"/>
      <c r="H259" s="3"/>
      <c r="I259" s="3"/>
      <c r="J259" s="3"/>
      <c r="K259" s="3"/>
      <c r="L259" s="3"/>
      <c r="M259" s="3"/>
      <c r="N259" s="3"/>
      <c r="O259" s="3"/>
      <c r="P259" s="3"/>
      <c r="Q259" s="3"/>
      <c r="R259" s="3"/>
      <c r="S259" s="3"/>
      <c r="T259" s="3"/>
      <c r="U259" s="3"/>
      <c r="V259" s="18"/>
      <c r="W259" s="3"/>
      <c r="X259" s="3"/>
      <c r="Y259" s="3"/>
      <c r="Z259" s="3"/>
      <c r="AA259" s="3"/>
    </row>
    <row r="260" spans="1:27" ht="24.75" customHeight="1">
      <c r="A260" s="3"/>
      <c r="B260" s="3"/>
      <c r="C260" s="3"/>
      <c r="D260" s="3"/>
      <c r="E260" s="3"/>
      <c r="F260" s="3"/>
      <c r="G260" s="3"/>
      <c r="H260" s="3"/>
      <c r="I260" s="3"/>
      <c r="J260" s="3"/>
      <c r="K260" s="3"/>
      <c r="L260" s="3"/>
      <c r="M260" s="3"/>
      <c r="N260" s="3"/>
      <c r="O260" s="3"/>
      <c r="P260" s="3"/>
      <c r="Q260" s="3"/>
      <c r="R260" s="3"/>
      <c r="S260" s="3"/>
      <c r="T260" s="3"/>
      <c r="U260" s="3"/>
      <c r="V260" s="18"/>
      <c r="W260" s="3"/>
      <c r="X260" s="3"/>
      <c r="Y260" s="3"/>
      <c r="Z260" s="3"/>
      <c r="AA260" s="3"/>
    </row>
    <row r="261" spans="1:27" ht="24.75" customHeight="1">
      <c r="A261" s="3"/>
      <c r="B261" s="3"/>
      <c r="C261" s="3"/>
      <c r="D261" s="3"/>
      <c r="E261" s="3"/>
      <c r="F261" s="3"/>
      <c r="G261" s="3"/>
      <c r="H261" s="3"/>
      <c r="I261" s="3"/>
      <c r="J261" s="3"/>
      <c r="K261" s="3"/>
      <c r="L261" s="3"/>
      <c r="M261" s="3"/>
      <c r="N261" s="3"/>
      <c r="O261" s="3"/>
      <c r="P261" s="3"/>
      <c r="Q261" s="3"/>
      <c r="R261" s="3"/>
      <c r="S261" s="3"/>
      <c r="T261" s="3"/>
      <c r="U261" s="3"/>
      <c r="V261" s="18"/>
      <c r="W261" s="3"/>
      <c r="X261" s="3"/>
      <c r="Y261" s="3"/>
      <c r="Z261" s="3"/>
      <c r="AA261" s="3"/>
    </row>
    <row r="262" spans="1:27" ht="24.75" customHeight="1">
      <c r="A262" s="3"/>
      <c r="B262" s="3"/>
      <c r="C262" s="3"/>
      <c r="D262" s="3"/>
      <c r="E262" s="3"/>
      <c r="F262" s="3"/>
      <c r="G262" s="3"/>
      <c r="H262" s="3"/>
      <c r="I262" s="3"/>
      <c r="J262" s="3"/>
      <c r="K262" s="3"/>
      <c r="L262" s="3"/>
      <c r="M262" s="3"/>
      <c r="N262" s="3"/>
      <c r="O262" s="3"/>
      <c r="P262" s="3"/>
      <c r="Q262" s="3"/>
      <c r="R262" s="3"/>
      <c r="S262" s="3"/>
      <c r="T262" s="3"/>
      <c r="U262" s="3"/>
      <c r="V262" s="18"/>
      <c r="W262" s="3"/>
      <c r="X262" s="3"/>
      <c r="Y262" s="3"/>
      <c r="Z262" s="3"/>
      <c r="AA262" s="3"/>
    </row>
    <row r="263" spans="1:27" ht="24.75" customHeight="1">
      <c r="A263" s="3"/>
      <c r="B263" s="3"/>
      <c r="C263" s="3"/>
      <c r="D263" s="3"/>
      <c r="E263" s="3"/>
      <c r="F263" s="3"/>
      <c r="G263" s="3"/>
      <c r="H263" s="3"/>
      <c r="I263" s="3"/>
      <c r="J263" s="3"/>
      <c r="K263" s="3"/>
      <c r="L263" s="3"/>
      <c r="M263" s="3"/>
      <c r="N263" s="3"/>
      <c r="O263" s="3"/>
      <c r="P263" s="3"/>
      <c r="Q263" s="3"/>
      <c r="R263" s="3"/>
      <c r="S263" s="3"/>
      <c r="T263" s="3"/>
      <c r="U263" s="3"/>
      <c r="V263" s="18"/>
      <c r="W263" s="3"/>
      <c r="X263" s="3"/>
      <c r="Y263" s="3"/>
      <c r="Z263" s="3"/>
      <c r="AA263" s="3"/>
    </row>
    <row r="264" spans="1:27" ht="24.75" customHeight="1">
      <c r="A264" s="3"/>
      <c r="B264" s="3"/>
      <c r="C264" s="3"/>
      <c r="D264" s="3"/>
      <c r="E264" s="3"/>
      <c r="F264" s="3"/>
      <c r="G264" s="3"/>
      <c r="H264" s="3"/>
      <c r="I264" s="3"/>
      <c r="J264" s="3"/>
      <c r="K264" s="3"/>
      <c r="L264" s="3"/>
      <c r="M264" s="3"/>
      <c r="N264" s="3"/>
      <c r="O264" s="3"/>
      <c r="P264" s="3"/>
      <c r="Q264" s="3"/>
      <c r="R264" s="3"/>
      <c r="S264" s="3"/>
      <c r="T264" s="3"/>
      <c r="U264" s="3"/>
      <c r="V264" s="18"/>
      <c r="W264" s="3"/>
      <c r="X264" s="3"/>
      <c r="Y264" s="3"/>
      <c r="Z264" s="3"/>
      <c r="AA264" s="3"/>
    </row>
    <row r="265" spans="1:27" ht="24.75" customHeight="1">
      <c r="A265" s="3"/>
      <c r="B265" s="3"/>
      <c r="C265" s="3"/>
      <c r="D265" s="3"/>
      <c r="E265" s="3"/>
      <c r="F265" s="3"/>
      <c r="G265" s="3"/>
      <c r="H265" s="3"/>
      <c r="I265" s="3"/>
      <c r="J265" s="3"/>
      <c r="K265" s="3"/>
      <c r="L265" s="3"/>
      <c r="M265" s="3"/>
      <c r="N265" s="3"/>
      <c r="O265" s="3"/>
      <c r="P265" s="3"/>
      <c r="Q265" s="3"/>
      <c r="R265" s="3"/>
      <c r="S265" s="3"/>
      <c r="T265" s="3"/>
      <c r="U265" s="3"/>
      <c r="V265" s="18"/>
      <c r="W265" s="3"/>
      <c r="X265" s="3"/>
      <c r="Y265" s="3"/>
      <c r="Z265" s="3"/>
      <c r="AA265" s="3"/>
    </row>
    <row r="266" spans="1:27" ht="24.75" customHeight="1">
      <c r="A266" s="3"/>
      <c r="B266" s="3"/>
      <c r="C266" s="3"/>
      <c r="D266" s="3"/>
      <c r="E266" s="3"/>
      <c r="F266" s="3"/>
      <c r="G266" s="3"/>
      <c r="H266" s="3"/>
      <c r="I266" s="3"/>
      <c r="J266" s="3"/>
      <c r="K266" s="3"/>
      <c r="L266" s="3"/>
      <c r="M266" s="3"/>
      <c r="N266" s="3"/>
      <c r="O266" s="3"/>
      <c r="P266" s="3"/>
      <c r="Q266" s="3"/>
      <c r="R266" s="3"/>
      <c r="S266" s="3"/>
      <c r="T266" s="3"/>
      <c r="U266" s="3"/>
      <c r="V266" s="18"/>
      <c r="W266" s="3"/>
      <c r="X266" s="3"/>
      <c r="Y266" s="3"/>
      <c r="Z266" s="3"/>
      <c r="AA266" s="3"/>
    </row>
    <row r="267" spans="1:27" ht="24.75" customHeight="1">
      <c r="A267" s="3"/>
      <c r="B267" s="3"/>
      <c r="C267" s="3"/>
      <c r="D267" s="3"/>
      <c r="E267" s="3"/>
      <c r="F267" s="3"/>
      <c r="G267" s="3"/>
      <c r="H267" s="3"/>
      <c r="I267" s="3"/>
      <c r="J267" s="3"/>
      <c r="K267" s="3"/>
      <c r="L267" s="3"/>
      <c r="M267" s="3"/>
      <c r="N267" s="3"/>
      <c r="O267" s="3"/>
      <c r="P267" s="3"/>
      <c r="Q267" s="3"/>
      <c r="R267" s="3"/>
      <c r="S267" s="3"/>
      <c r="T267" s="3"/>
      <c r="U267" s="3"/>
      <c r="V267" s="18"/>
      <c r="W267" s="3"/>
      <c r="X267" s="3"/>
      <c r="Y267" s="3"/>
      <c r="Z267" s="3"/>
      <c r="AA267" s="3"/>
    </row>
    <row r="268" spans="1:27" ht="24.75" customHeight="1">
      <c r="A268" s="3"/>
      <c r="B268" s="3"/>
      <c r="C268" s="3"/>
      <c r="D268" s="3"/>
      <c r="E268" s="3"/>
      <c r="F268" s="3"/>
      <c r="G268" s="3"/>
      <c r="H268" s="3"/>
      <c r="I268" s="3"/>
      <c r="J268" s="3"/>
      <c r="K268" s="3"/>
      <c r="L268" s="3"/>
      <c r="M268" s="3"/>
      <c r="N268" s="3"/>
      <c r="O268" s="3"/>
      <c r="P268" s="3"/>
      <c r="Q268" s="3"/>
      <c r="R268" s="3"/>
      <c r="S268" s="3"/>
      <c r="T268" s="3"/>
      <c r="U268" s="3"/>
      <c r="V268" s="18"/>
      <c r="W268" s="3"/>
      <c r="X268" s="3"/>
      <c r="Y268" s="3"/>
      <c r="Z268" s="3"/>
      <c r="AA268" s="3"/>
    </row>
    <row r="269" spans="1:27" ht="24.75" customHeight="1">
      <c r="A269" s="3"/>
      <c r="B269" s="3"/>
      <c r="C269" s="3"/>
      <c r="D269" s="3"/>
      <c r="E269" s="3"/>
      <c r="F269" s="3"/>
      <c r="G269" s="3"/>
      <c r="H269" s="3"/>
      <c r="I269" s="3"/>
      <c r="J269" s="3"/>
      <c r="K269" s="3"/>
      <c r="L269" s="3"/>
      <c r="M269" s="3"/>
      <c r="N269" s="3"/>
      <c r="O269" s="3"/>
      <c r="P269" s="3"/>
      <c r="Q269" s="3"/>
      <c r="R269" s="3"/>
      <c r="S269" s="3"/>
      <c r="T269" s="3"/>
      <c r="U269" s="3"/>
      <c r="V269" s="18"/>
      <c r="W269" s="3"/>
      <c r="X269" s="3"/>
      <c r="Y269" s="3"/>
      <c r="Z269" s="3"/>
      <c r="AA269" s="3"/>
    </row>
    <row r="270" spans="1:27" ht="24.75" customHeight="1">
      <c r="A270" s="3"/>
      <c r="B270" s="3"/>
      <c r="C270" s="3"/>
      <c r="D270" s="3"/>
      <c r="E270" s="3"/>
      <c r="F270" s="3"/>
      <c r="G270" s="3"/>
      <c r="H270" s="3"/>
      <c r="I270" s="3"/>
      <c r="J270" s="3"/>
      <c r="K270" s="3"/>
      <c r="L270" s="3"/>
      <c r="M270" s="3"/>
      <c r="N270" s="3"/>
      <c r="O270" s="3"/>
      <c r="P270" s="3"/>
      <c r="Q270" s="3"/>
      <c r="R270" s="3"/>
      <c r="S270" s="3"/>
      <c r="T270" s="3"/>
      <c r="U270" s="3"/>
      <c r="V270" s="18"/>
      <c r="W270" s="3"/>
      <c r="X270" s="3"/>
      <c r="Y270" s="3"/>
      <c r="Z270" s="3"/>
      <c r="AA270" s="3"/>
    </row>
    <row r="271" spans="1:27" ht="24.75" customHeight="1">
      <c r="A271" s="3"/>
      <c r="B271" s="3"/>
      <c r="C271" s="3"/>
      <c r="D271" s="3"/>
      <c r="E271" s="3"/>
      <c r="F271" s="3"/>
      <c r="G271" s="3"/>
      <c r="H271" s="3"/>
      <c r="I271" s="3"/>
      <c r="J271" s="3"/>
      <c r="K271" s="3"/>
      <c r="L271" s="3"/>
      <c r="M271" s="3"/>
      <c r="N271" s="3"/>
      <c r="O271" s="3"/>
      <c r="P271" s="3"/>
      <c r="Q271" s="3"/>
      <c r="R271" s="3"/>
      <c r="S271" s="3"/>
      <c r="T271" s="3"/>
      <c r="U271" s="3"/>
      <c r="V271" s="18"/>
      <c r="W271" s="3"/>
      <c r="X271" s="3"/>
      <c r="Y271" s="3"/>
      <c r="Z271" s="3"/>
      <c r="AA271" s="3"/>
    </row>
    <row r="272" spans="1:27" ht="24.75" customHeight="1">
      <c r="A272" s="3"/>
      <c r="B272" s="3"/>
      <c r="C272" s="3"/>
      <c r="D272" s="3"/>
      <c r="E272" s="3"/>
      <c r="F272" s="3"/>
      <c r="G272" s="3"/>
      <c r="H272" s="3"/>
      <c r="I272" s="3"/>
      <c r="J272" s="3"/>
      <c r="K272" s="3"/>
      <c r="L272" s="3"/>
      <c r="M272" s="3"/>
      <c r="N272" s="3"/>
      <c r="O272" s="3"/>
      <c r="P272" s="3"/>
      <c r="Q272" s="3"/>
      <c r="R272" s="3"/>
      <c r="S272" s="3"/>
      <c r="T272" s="3"/>
      <c r="U272" s="3"/>
      <c r="V272" s="18"/>
      <c r="W272" s="3"/>
      <c r="X272" s="3"/>
      <c r="Y272" s="3"/>
      <c r="Z272" s="3"/>
      <c r="AA272" s="3"/>
    </row>
    <row r="273" spans="1:27" ht="24.75" customHeight="1">
      <c r="A273" s="3"/>
      <c r="B273" s="3"/>
      <c r="C273" s="3"/>
      <c r="D273" s="3"/>
      <c r="E273" s="3"/>
      <c r="F273" s="3"/>
      <c r="G273" s="3"/>
      <c r="H273" s="3"/>
      <c r="I273" s="3"/>
      <c r="J273" s="3"/>
      <c r="K273" s="3"/>
      <c r="L273" s="3"/>
      <c r="M273" s="3"/>
      <c r="N273" s="3"/>
      <c r="O273" s="3"/>
      <c r="P273" s="3"/>
      <c r="Q273" s="3"/>
      <c r="R273" s="3"/>
      <c r="S273" s="3"/>
      <c r="T273" s="3"/>
      <c r="U273" s="3"/>
      <c r="V273" s="18"/>
      <c r="W273" s="3"/>
      <c r="X273" s="3"/>
      <c r="Y273" s="3"/>
      <c r="Z273" s="3"/>
      <c r="AA273" s="3"/>
    </row>
    <row r="274" spans="1:27" ht="24.75" customHeight="1">
      <c r="A274" s="3"/>
      <c r="B274" s="3"/>
      <c r="C274" s="3"/>
      <c r="D274" s="3"/>
      <c r="E274" s="3"/>
      <c r="F274" s="3"/>
      <c r="G274" s="3"/>
      <c r="H274" s="3"/>
      <c r="I274" s="3"/>
      <c r="J274" s="3"/>
      <c r="K274" s="3"/>
      <c r="L274" s="3"/>
      <c r="M274" s="3"/>
      <c r="N274" s="3"/>
      <c r="O274" s="3"/>
      <c r="P274" s="3"/>
      <c r="Q274" s="3"/>
      <c r="R274" s="3"/>
      <c r="S274" s="3"/>
      <c r="T274" s="3"/>
      <c r="U274" s="3"/>
      <c r="V274" s="18"/>
      <c r="W274" s="3"/>
      <c r="X274" s="3"/>
      <c r="Y274" s="3"/>
      <c r="Z274" s="3"/>
      <c r="AA274" s="3"/>
    </row>
    <row r="275" spans="1:27" ht="24.75" customHeight="1">
      <c r="A275" s="3"/>
      <c r="B275" s="3"/>
      <c r="C275" s="3"/>
      <c r="D275" s="3"/>
      <c r="E275" s="3"/>
      <c r="F275" s="3"/>
      <c r="G275" s="3"/>
      <c r="H275" s="3"/>
      <c r="I275" s="3"/>
      <c r="J275" s="3"/>
      <c r="K275" s="3"/>
      <c r="L275" s="3"/>
      <c r="M275" s="3"/>
      <c r="N275" s="3"/>
      <c r="O275" s="3"/>
      <c r="P275" s="3"/>
      <c r="Q275" s="3"/>
      <c r="R275" s="3"/>
      <c r="S275" s="3"/>
      <c r="T275" s="3"/>
      <c r="U275" s="3"/>
      <c r="V275" s="18"/>
      <c r="W275" s="3"/>
      <c r="X275" s="3"/>
      <c r="Y275" s="3"/>
      <c r="Z275" s="3"/>
      <c r="AA275" s="3"/>
    </row>
    <row r="276" spans="1:27" ht="24.75" customHeight="1">
      <c r="A276" s="3"/>
      <c r="B276" s="3"/>
      <c r="C276" s="3"/>
      <c r="D276" s="3"/>
      <c r="E276" s="3"/>
      <c r="F276" s="3"/>
      <c r="G276" s="3"/>
      <c r="H276" s="3"/>
      <c r="I276" s="3"/>
      <c r="J276" s="3"/>
      <c r="K276" s="3"/>
      <c r="L276" s="3"/>
      <c r="M276" s="3"/>
      <c r="N276" s="3"/>
      <c r="O276" s="3"/>
      <c r="P276" s="3"/>
      <c r="Q276" s="3"/>
      <c r="R276" s="3"/>
      <c r="S276" s="3"/>
      <c r="T276" s="3"/>
      <c r="U276" s="3"/>
      <c r="V276" s="18"/>
      <c r="W276" s="3"/>
      <c r="X276" s="3"/>
      <c r="Y276" s="3"/>
      <c r="Z276" s="3"/>
      <c r="AA276" s="3"/>
    </row>
    <row r="277" spans="1:27" ht="24.75" customHeight="1">
      <c r="A277" s="3"/>
      <c r="B277" s="3"/>
      <c r="C277" s="3"/>
      <c r="D277" s="3"/>
      <c r="E277" s="3"/>
      <c r="F277" s="3"/>
      <c r="G277" s="3"/>
      <c r="H277" s="3"/>
      <c r="I277" s="3"/>
      <c r="J277" s="3"/>
      <c r="K277" s="3"/>
      <c r="L277" s="3"/>
      <c r="M277" s="3"/>
      <c r="N277" s="3"/>
      <c r="O277" s="3"/>
      <c r="P277" s="3"/>
      <c r="Q277" s="3"/>
      <c r="R277" s="3"/>
      <c r="S277" s="3"/>
      <c r="T277" s="3"/>
      <c r="U277" s="3"/>
      <c r="V277" s="18"/>
      <c r="W277" s="3"/>
      <c r="X277" s="3"/>
      <c r="Y277" s="3"/>
      <c r="Z277" s="3"/>
      <c r="AA277" s="3"/>
    </row>
    <row r="278" spans="1:27" ht="24.75" customHeight="1">
      <c r="A278" s="3"/>
      <c r="B278" s="3"/>
      <c r="C278" s="3"/>
      <c r="D278" s="3"/>
      <c r="E278" s="3"/>
      <c r="F278" s="3"/>
      <c r="G278" s="3"/>
      <c r="H278" s="3"/>
      <c r="I278" s="3"/>
      <c r="J278" s="3"/>
      <c r="K278" s="3"/>
      <c r="L278" s="3"/>
      <c r="M278" s="3"/>
      <c r="N278" s="3"/>
      <c r="O278" s="3"/>
      <c r="P278" s="3"/>
      <c r="Q278" s="3"/>
      <c r="R278" s="3"/>
      <c r="S278" s="3"/>
      <c r="T278" s="3"/>
      <c r="U278" s="3"/>
      <c r="V278" s="18"/>
      <c r="W278" s="3"/>
      <c r="X278" s="3"/>
      <c r="Y278" s="3"/>
      <c r="Z278" s="3"/>
      <c r="AA278" s="3"/>
    </row>
    <row r="279" spans="1:27" ht="24.75" customHeight="1">
      <c r="A279" s="3"/>
      <c r="B279" s="3"/>
      <c r="C279" s="3"/>
      <c r="D279" s="3"/>
      <c r="E279" s="3"/>
      <c r="F279" s="3"/>
      <c r="G279" s="3"/>
      <c r="H279" s="3"/>
      <c r="I279" s="3"/>
      <c r="J279" s="3"/>
      <c r="K279" s="3"/>
      <c r="L279" s="3"/>
      <c r="M279" s="3"/>
      <c r="N279" s="3"/>
      <c r="O279" s="3"/>
      <c r="P279" s="3"/>
      <c r="Q279" s="3"/>
      <c r="R279" s="3"/>
      <c r="S279" s="3"/>
      <c r="T279" s="3"/>
      <c r="U279" s="3"/>
      <c r="V279" s="18"/>
      <c r="W279" s="3"/>
      <c r="X279" s="3"/>
      <c r="Y279" s="3"/>
      <c r="Z279" s="3"/>
      <c r="AA279" s="3"/>
    </row>
    <row r="280" spans="1:27" ht="24.75" customHeight="1">
      <c r="A280" s="3"/>
      <c r="B280" s="3"/>
      <c r="C280" s="3"/>
      <c r="D280" s="3"/>
      <c r="E280" s="3"/>
      <c r="F280" s="3"/>
      <c r="G280" s="3"/>
      <c r="H280" s="3"/>
      <c r="I280" s="3"/>
      <c r="J280" s="3"/>
      <c r="K280" s="3"/>
      <c r="L280" s="3"/>
      <c r="M280" s="3"/>
      <c r="N280" s="3"/>
      <c r="O280" s="3"/>
      <c r="P280" s="3"/>
      <c r="Q280" s="3"/>
      <c r="R280" s="3"/>
      <c r="S280" s="3"/>
      <c r="T280" s="3"/>
      <c r="U280" s="3"/>
      <c r="V280" s="18"/>
      <c r="W280" s="3"/>
      <c r="X280" s="3"/>
      <c r="Y280" s="3"/>
      <c r="Z280" s="3"/>
      <c r="AA280" s="3"/>
    </row>
    <row r="281" spans="1:27" ht="24.75" customHeight="1">
      <c r="A281" s="3"/>
      <c r="B281" s="3"/>
      <c r="C281" s="3"/>
      <c r="D281" s="3"/>
      <c r="E281" s="3"/>
      <c r="F281" s="3"/>
      <c r="G281" s="3"/>
      <c r="H281" s="3"/>
      <c r="I281" s="3"/>
      <c r="J281" s="3"/>
      <c r="K281" s="3"/>
      <c r="L281" s="3"/>
      <c r="M281" s="3"/>
      <c r="N281" s="3"/>
      <c r="O281" s="3"/>
      <c r="P281" s="3"/>
      <c r="Q281" s="3"/>
      <c r="R281" s="3"/>
      <c r="S281" s="3"/>
      <c r="T281" s="3"/>
      <c r="U281" s="3"/>
      <c r="V281" s="18"/>
      <c r="W281" s="3"/>
      <c r="X281" s="3"/>
      <c r="Y281" s="3"/>
      <c r="Z281" s="3"/>
      <c r="AA281" s="3"/>
    </row>
    <row r="282" spans="1:27" ht="24.75" customHeight="1">
      <c r="A282" s="3"/>
      <c r="B282" s="3"/>
      <c r="C282" s="3"/>
      <c r="D282" s="3"/>
      <c r="E282" s="3"/>
      <c r="F282" s="3"/>
      <c r="G282" s="3"/>
      <c r="H282" s="3"/>
      <c r="I282" s="3"/>
      <c r="J282" s="3"/>
      <c r="K282" s="3"/>
      <c r="L282" s="3"/>
      <c r="M282" s="3"/>
      <c r="N282" s="3"/>
      <c r="O282" s="3"/>
      <c r="P282" s="3"/>
      <c r="Q282" s="3"/>
      <c r="R282" s="3"/>
      <c r="S282" s="3"/>
      <c r="T282" s="3"/>
      <c r="U282" s="3"/>
      <c r="V282" s="18"/>
      <c r="W282" s="3"/>
      <c r="X282" s="3"/>
      <c r="Y282" s="3"/>
      <c r="Z282" s="3"/>
      <c r="AA282" s="3"/>
    </row>
    <row r="283" spans="1:27" ht="24.75" customHeight="1">
      <c r="A283" s="3"/>
      <c r="B283" s="3"/>
      <c r="C283" s="3"/>
      <c r="D283" s="3"/>
      <c r="E283" s="3"/>
      <c r="F283" s="3"/>
      <c r="G283" s="3"/>
      <c r="H283" s="3"/>
      <c r="I283" s="3"/>
      <c r="J283" s="3"/>
      <c r="K283" s="3"/>
      <c r="L283" s="3"/>
      <c r="M283" s="3"/>
      <c r="N283" s="3"/>
      <c r="O283" s="3"/>
      <c r="P283" s="3"/>
      <c r="Q283" s="3"/>
      <c r="R283" s="3"/>
      <c r="S283" s="3"/>
      <c r="T283" s="3"/>
      <c r="U283" s="3"/>
      <c r="V283" s="18"/>
      <c r="W283" s="3"/>
      <c r="X283" s="3"/>
      <c r="Y283" s="3"/>
      <c r="Z283" s="3"/>
      <c r="AA283" s="3"/>
    </row>
    <row r="284" spans="1:27" ht="24.75" customHeight="1">
      <c r="A284" s="3"/>
      <c r="B284" s="3"/>
      <c r="C284" s="3"/>
      <c r="D284" s="3"/>
      <c r="E284" s="3"/>
      <c r="F284" s="3"/>
      <c r="G284" s="3"/>
      <c r="H284" s="3"/>
      <c r="I284" s="3"/>
      <c r="J284" s="3"/>
      <c r="K284" s="3"/>
      <c r="L284" s="3"/>
      <c r="M284" s="3"/>
      <c r="N284" s="3"/>
      <c r="O284" s="3"/>
      <c r="P284" s="3"/>
      <c r="Q284" s="3"/>
      <c r="R284" s="3"/>
      <c r="S284" s="3"/>
      <c r="T284" s="3"/>
      <c r="U284" s="3"/>
      <c r="V284" s="18"/>
      <c r="W284" s="3"/>
      <c r="X284" s="3"/>
      <c r="Y284" s="3"/>
      <c r="Z284" s="3"/>
      <c r="AA284" s="3"/>
    </row>
    <row r="285" spans="1:27" ht="24.75" customHeight="1">
      <c r="A285" s="3"/>
      <c r="B285" s="3"/>
      <c r="C285" s="3"/>
      <c r="D285" s="3"/>
      <c r="E285" s="3"/>
      <c r="F285" s="3"/>
      <c r="G285" s="3"/>
      <c r="H285" s="3"/>
      <c r="I285" s="3"/>
      <c r="J285" s="3"/>
      <c r="K285" s="3"/>
      <c r="L285" s="3"/>
      <c r="M285" s="3"/>
      <c r="N285" s="3"/>
      <c r="O285" s="3"/>
      <c r="P285" s="3"/>
      <c r="Q285" s="3"/>
      <c r="R285" s="3"/>
      <c r="S285" s="3"/>
      <c r="T285" s="3"/>
      <c r="U285" s="3"/>
      <c r="V285" s="18"/>
      <c r="W285" s="3"/>
      <c r="X285" s="3"/>
      <c r="Y285" s="3"/>
      <c r="Z285" s="3"/>
      <c r="AA285" s="3"/>
    </row>
    <row r="286" spans="1:27" ht="24.75" customHeight="1">
      <c r="A286" s="3"/>
      <c r="B286" s="3"/>
      <c r="C286" s="3"/>
      <c r="D286" s="3"/>
      <c r="E286" s="3"/>
      <c r="F286" s="3"/>
      <c r="G286" s="3"/>
      <c r="H286" s="3"/>
      <c r="I286" s="3"/>
      <c r="J286" s="3"/>
      <c r="K286" s="3"/>
      <c r="L286" s="3"/>
      <c r="M286" s="3"/>
      <c r="N286" s="3"/>
      <c r="O286" s="3"/>
      <c r="P286" s="3"/>
      <c r="Q286" s="3"/>
      <c r="R286" s="3"/>
      <c r="S286" s="3"/>
      <c r="T286" s="3"/>
      <c r="U286" s="3"/>
      <c r="V286" s="18"/>
      <c r="W286" s="3"/>
      <c r="X286" s="3"/>
      <c r="Y286" s="3"/>
      <c r="Z286" s="3"/>
      <c r="AA286" s="3"/>
    </row>
    <row r="287" spans="1:27" ht="24.75" customHeight="1">
      <c r="A287" s="3"/>
      <c r="B287" s="3"/>
      <c r="C287" s="3"/>
      <c r="D287" s="3"/>
      <c r="E287" s="3"/>
      <c r="F287" s="3"/>
      <c r="G287" s="3"/>
      <c r="H287" s="3"/>
      <c r="I287" s="3"/>
      <c r="J287" s="3"/>
      <c r="K287" s="3"/>
      <c r="L287" s="3"/>
      <c r="M287" s="3"/>
      <c r="N287" s="3"/>
      <c r="O287" s="3"/>
      <c r="P287" s="3"/>
      <c r="Q287" s="3"/>
      <c r="R287" s="3"/>
      <c r="S287" s="3"/>
      <c r="T287" s="3"/>
      <c r="U287" s="3"/>
      <c r="V287" s="18"/>
      <c r="W287" s="3"/>
      <c r="X287" s="3"/>
      <c r="Y287" s="3"/>
      <c r="Z287" s="3"/>
      <c r="AA287" s="3"/>
    </row>
    <row r="288" spans="1:27" ht="24.75" customHeight="1">
      <c r="A288" s="3"/>
      <c r="B288" s="3"/>
      <c r="C288" s="3"/>
      <c r="D288" s="3"/>
      <c r="E288" s="3"/>
      <c r="F288" s="3"/>
      <c r="G288" s="3"/>
      <c r="H288" s="3"/>
      <c r="I288" s="3"/>
      <c r="J288" s="3"/>
      <c r="K288" s="3"/>
      <c r="L288" s="3"/>
      <c r="M288" s="3"/>
      <c r="N288" s="3"/>
      <c r="O288" s="3"/>
      <c r="P288" s="3"/>
      <c r="Q288" s="3"/>
      <c r="R288" s="3"/>
      <c r="S288" s="3"/>
      <c r="T288" s="3"/>
      <c r="U288" s="3"/>
      <c r="V288" s="18"/>
      <c r="W288" s="3"/>
      <c r="X288" s="3"/>
      <c r="Y288" s="3"/>
      <c r="Z288" s="3"/>
      <c r="AA288" s="3"/>
    </row>
    <row r="289" spans="1:27" ht="24.75" customHeight="1">
      <c r="A289" s="3"/>
      <c r="B289" s="3"/>
      <c r="C289" s="3"/>
      <c r="D289" s="3"/>
      <c r="E289" s="3"/>
      <c r="F289" s="3"/>
      <c r="G289" s="3"/>
      <c r="H289" s="3"/>
      <c r="I289" s="3"/>
      <c r="J289" s="3"/>
      <c r="K289" s="3"/>
      <c r="L289" s="3"/>
      <c r="M289" s="3"/>
      <c r="N289" s="3"/>
      <c r="O289" s="3"/>
      <c r="P289" s="3"/>
      <c r="Q289" s="3"/>
      <c r="R289" s="3"/>
      <c r="S289" s="3"/>
      <c r="T289" s="3"/>
      <c r="U289" s="3"/>
      <c r="V289" s="18"/>
      <c r="W289" s="3"/>
      <c r="X289" s="3"/>
      <c r="Y289" s="3"/>
      <c r="Z289" s="3"/>
      <c r="AA289" s="3"/>
    </row>
    <row r="290" spans="1:27" ht="24.75" customHeight="1">
      <c r="A290" s="3"/>
      <c r="B290" s="3"/>
      <c r="C290" s="3"/>
      <c r="D290" s="3"/>
      <c r="E290" s="3"/>
      <c r="F290" s="3"/>
      <c r="G290" s="3"/>
      <c r="H290" s="3"/>
      <c r="I290" s="3"/>
      <c r="J290" s="3"/>
      <c r="K290" s="3"/>
      <c r="L290" s="3"/>
      <c r="M290" s="3"/>
      <c r="N290" s="3"/>
      <c r="O290" s="3"/>
      <c r="P290" s="3"/>
      <c r="Q290" s="3"/>
      <c r="R290" s="3"/>
      <c r="S290" s="3"/>
      <c r="T290" s="3"/>
      <c r="U290" s="3"/>
      <c r="V290" s="18"/>
      <c r="W290" s="3"/>
      <c r="X290" s="3"/>
      <c r="Y290" s="3"/>
      <c r="Z290" s="3"/>
      <c r="AA290" s="3"/>
    </row>
    <row r="291" spans="1:27" ht="24.75" customHeight="1">
      <c r="A291" s="3"/>
      <c r="B291" s="3"/>
      <c r="C291" s="3"/>
      <c r="D291" s="3"/>
      <c r="E291" s="3"/>
      <c r="F291" s="3"/>
      <c r="G291" s="3"/>
      <c r="H291" s="3"/>
      <c r="I291" s="3"/>
      <c r="J291" s="3"/>
      <c r="K291" s="3"/>
      <c r="L291" s="3"/>
      <c r="M291" s="3"/>
      <c r="N291" s="3"/>
      <c r="O291" s="3"/>
      <c r="P291" s="3"/>
      <c r="Q291" s="3"/>
      <c r="R291" s="3"/>
      <c r="S291" s="3"/>
      <c r="T291" s="3"/>
      <c r="U291" s="3"/>
      <c r="V291" s="18"/>
      <c r="W291" s="3"/>
      <c r="X291" s="3"/>
      <c r="Y291" s="3"/>
      <c r="Z291" s="3"/>
      <c r="AA291" s="3"/>
    </row>
    <row r="292" spans="1:27" ht="24.75" customHeight="1">
      <c r="A292" s="3"/>
      <c r="B292" s="3"/>
      <c r="C292" s="3"/>
      <c r="D292" s="3"/>
      <c r="E292" s="3"/>
      <c r="F292" s="3"/>
      <c r="G292" s="3"/>
      <c r="H292" s="3"/>
      <c r="I292" s="3"/>
      <c r="J292" s="3"/>
      <c r="K292" s="3"/>
      <c r="L292" s="3"/>
      <c r="M292" s="3"/>
      <c r="N292" s="3"/>
      <c r="O292" s="3"/>
      <c r="P292" s="3"/>
      <c r="Q292" s="3"/>
      <c r="R292" s="3"/>
      <c r="S292" s="3"/>
      <c r="T292" s="3"/>
      <c r="U292" s="3"/>
      <c r="V292" s="18"/>
      <c r="W292" s="3"/>
      <c r="X292" s="3"/>
      <c r="Y292" s="3"/>
      <c r="Z292" s="3"/>
      <c r="AA292" s="3"/>
    </row>
    <row r="293" spans="1:27" ht="24.75" customHeight="1">
      <c r="A293" s="3"/>
      <c r="B293" s="3"/>
      <c r="C293" s="3"/>
      <c r="D293" s="3"/>
      <c r="E293" s="3"/>
      <c r="F293" s="3"/>
      <c r="G293" s="3"/>
      <c r="H293" s="3"/>
      <c r="I293" s="3"/>
      <c r="J293" s="3"/>
      <c r="K293" s="3"/>
      <c r="L293" s="3"/>
      <c r="M293" s="3"/>
      <c r="N293" s="3"/>
      <c r="O293" s="3"/>
      <c r="P293" s="3"/>
      <c r="Q293" s="3"/>
      <c r="R293" s="3"/>
      <c r="S293" s="3"/>
      <c r="T293" s="3"/>
      <c r="U293" s="3"/>
      <c r="V293" s="18"/>
      <c r="W293" s="3"/>
      <c r="X293" s="3"/>
      <c r="Y293" s="3"/>
      <c r="Z293" s="3"/>
      <c r="AA293" s="3"/>
    </row>
    <row r="294" spans="1:27" ht="24.75" customHeight="1">
      <c r="A294" s="3"/>
      <c r="B294" s="3"/>
      <c r="C294" s="3"/>
      <c r="D294" s="3"/>
      <c r="E294" s="3"/>
      <c r="F294" s="3"/>
      <c r="G294" s="3"/>
      <c r="H294" s="3"/>
      <c r="I294" s="3"/>
      <c r="J294" s="3"/>
      <c r="K294" s="3"/>
      <c r="L294" s="3"/>
      <c r="M294" s="3"/>
      <c r="N294" s="3"/>
      <c r="O294" s="3"/>
      <c r="P294" s="3"/>
      <c r="Q294" s="3"/>
      <c r="R294" s="3"/>
      <c r="S294" s="3"/>
      <c r="T294" s="3"/>
      <c r="U294" s="3"/>
      <c r="V294" s="18"/>
      <c r="W294" s="3"/>
      <c r="X294" s="3"/>
      <c r="Y294" s="3"/>
      <c r="Z294" s="3"/>
      <c r="AA294" s="3"/>
    </row>
    <row r="295" spans="1:27" ht="24.75" customHeight="1">
      <c r="A295" s="3"/>
      <c r="B295" s="3"/>
      <c r="C295" s="3"/>
      <c r="D295" s="3"/>
      <c r="E295" s="3"/>
      <c r="F295" s="3"/>
      <c r="G295" s="3"/>
      <c r="H295" s="3"/>
      <c r="I295" s="3"/>
      <c r="J295" s="3"/>
      <c r="K295" s="3"/>
      <c r="L295" s="3"/>
      <c r="M295" s="3"/>
      <c r="N295" s="3"/>
      <c r="O295" s="3"/>
      <c r="P295" s="3"/>
      <c r="Q295" s="3"/>
      <c r="R295" s="3"/>
      <c r="S295" s="3"/>
      <c r="T295" s="3"/>
      <c r="U295" s="3"/>
      <c r="V295" s="18"/>
      <c r="W295" s="3"/>
      <c r="X295" s="3"/>
      <c r="Y295" s="3"/>
      <c r="Z295" s="3"/>
      <c r="AA295" s="3"/>
    </row>
    <row r="296" spans="1:27" ht="24.75" customHeight="1">
      <c r="A296" s="3"/>
      <c r="B296" s="3"/>
      <c r="C296" s="3"/>
      <c r="D296" s="3"/>
      <c r="E296" s="3"/>
      <c r="F296" s="3"/>
      <c r="G296" s="3"/>
      <c r="H296" s="3"/>
      <c r="I296" s="3"/>
      <c r="J296" s="3"/>
      <c r="K296" s="3"/>
      <c r="L296" s="3"/>
      <c r="M296" s="3"/>
      <c r="N296" s="3"/>
      <c r="O296" s="3"/>
      <c r="P296" s="3"/>
      <c r="Q296" s="3"/>
      <c r="R296" s="3"/>
      <c r="S296" s="3"/>
      <c r="T296" s="3"/>
      <c r="U296" s="3"/>
      <c r="V296" s="18"/>
      <c r="W296" s="3"/>
      <c r="X296" s="3"/>
      <c r="Y296" s="3"/>
      <c r="Z296" s="3"/>
      <c r="AA296" s="3"/>
    </row>
    <row r="297" spans="1:27" ht="24.75" customHeight="1">
      <c r="A297" s="3"/>
      <c r="B297" s="3"/>
      <c r="C297" s="3"/>
      <c r="D297" s="3"/>
      <c r="E297" s="3"/>
      <c r="F297" s="3"/>
      <c r="G297" s="3"/>
      <c r="H297" s="3"/>
      <c r="I297" s="3"/>
      <c r="J297" s="3"/>
      <c r="K297" s="3"/>
      <c r="L297" s="3"/>
      <c r="M297" s="3"/>
      <c r="N297" s="3"/>
      <c r="O297" s="3"/>
      <c r="P297" s="3"/>
      <c r="Q297" s="3"/>
      <c r="R297" s="3"/>
      <c r="S297" s="3"/>
      <c r="T297" s="3"/>
      <c r="U297" s="3"/>
      <c r="V297" s="18"/>
      <c r="W297" s="3"/>
      <c r="X297" s="3"/>
      <c r="Y297" s="3"/>
      <c r="Z297" s="3"/>
      <c r="AA297" s="3"/>
    </row>
    <row r="298" spans="1:27" ht="24.75" customHeight="1">
      <c r="A298" s="3"/>
      <c r="B298" s="3"/>
      <c r="C298" s="3"/>
      <c r="D298" s="3"/>
      <c r="E298" s="3"/>
      <c r="F298" s="3"/>
      <c r="G298" s="3"/>
      <c r="H298" s="3"/>
      <c r="I298" s="3"/>
      <c r="J298" s="3"/>
      <c r="K298" s="3"/>
      <c r="L298" s="3"/>
      <c r="M298" s="3"/>
      <c r="N298" s="3"/>
      <c r="O298" s="3"/>
      <c r="P298" s="3"/>
      <c r="Q298" s="3"/>
      <c r="R298" s="3"/>
      <c r="S298" s="3"/>
      <c r="T298" s="3"/>
      <c r="U298" s="3"/>
      <c r="V298" s="18"/>
      <c r="W298" s="3"/>
      <c r="X298" s="3"/>
      <c r="Y298" s="3"/>
      <c r="Z298" s="3"/>
      <c r="AA298" s="3"/>
    </row>
    <row r="299" spans="1:27" ht="24.75" customHeight="1">
      <c r="A299" s="3"/>
      <c r="B299" s="3"/>
      <c r="C299" s="3"/>
      <c r="D299" s="3"/>
      <c r="E299" s="3"/>
      <c r="F299" s="3"/>
      <c r="G299" s="3"/>
      <c r="H299" s="3"/>
      <c r="I299" s="3"/>
      <c r="J299" s="3"/>
      <c r="K299" s="3"/>
      <c r="L299" s="3"/>
      <c r="M299" s="3"/>
      <c r="N299" s="3"/>
      <c r="O299" s="3"/>
      <c r="P299" s="3"/>
      <c r="Q299" s="3"/>
      <c r="R299" s="3"/>
      <c r="S299" s="3"/>
      <c r="T299" s="3"/>
      <c r="U299" s="3"/>
      <c r="V299" s="18"/>
      <c r="W299" s="3"/>
      <c r="X299" s="3"/>
      <c r="Y299" s="3"/>
      <c r="Z299" s="3"/>
      <c r="AA299" s="3"/>
    </row>
    <row r="300" spans="1:27" ht="24.75" customHeight="1">
      <c r="A300" s="3"/>
      <c r="B300" s="3"/>
      <c r="C300" s="3"/>
      <c r="D300" s="3"/>
      <c r="E300" s="3"/>
      <c r="F300" s="3"/>
      <c r="G300" s="3"/>
      <c r="H300" s="3"/>
      <c r="I300" s="3"/>
      <c r="J300" s="3"/>
      <c r="K300" s="3"/>
      <c r="L300" s="3"/>
      <c r="M300" s="3"/>
      <c r="N300" s="3"/>
      <c r="O300" s="3"/>
      <c r="P300" s="3"/>
      <c r="Q300" s="3"/>
      <c r="R300" s="3"/>
      <c r="S300" s="3"/>
      <c r="T300" s="3"/>
      <c r="U300" s="3"/>
      <c r="V300" s="18"/>
      <c r="W300" s="3"/>
      <c r="X300" s="3"/>
      <c r="Y300" s="3"/>
      <c r="Z300" s="3"/>
      <c r="AA300" s="3"/>
    </row>
    <row r="301" spans="1:27" ht="24.75" customHeight="1">
      <c r="A301" s="3"/>
      <c r="B301" s="3"/>
      <c r="C301" s="3"/>
      <c r="D301" s="3"/>
      <c r="E301" s="3"/>
      <c r="F301" s="3"/>
      <c r="G301" s="3"/>
      <c r="H301" s="3"/>
      <c r="I301" s="3"/>
      <c r="J301" s="3"/>
      <c r="K301" s="3"/>
      <c r="L301" s="3"/>
      <c r="M301" s="3"/>
      <c r="N301" s="3"/>
      <c r="O301" s="3"/>
      <c r="P301" s="3"/>
      <c r="Q301" s="3"/>
      <c r="R301" s="3"/>
      <c r="S301" s="3"/>
      <c r="T301" s="3"/>
      <c r="U301" s="3"/>
      <c r="V301" s="18"/>
      <c r="W301" s="3"/>
      <c r="X301" s="3"/>
      <c r="Y301" s="3"/>
      <c r="Z301" s="3"/>
      <c r="AA301" s="3"/>
    </row>
    <row r="302" spans="1:27" ht="24.75" customHeight="1">
      <c r="A302" s="3"/>
      <c r="B302" s="3"/>
      <c r="C302" s="3"/>
      <c r="D302" s="3"/>
      <c r="E302" s="3"/>
      <c r="F302" s="3"/>
      <c r="G302" s="3"/>
      <c r="H302" s="3"/>
      <c r="I302" s="3"/>
      <c r="J302" s="3"/>
      <c r="K302" s="3"/>
      <c r="L302" s="3"/>
      <c r="M302" s="3"/>
      <c r="N302" s="3"/>
      <c r="O302" s="3"/>
      <c r="P302" s="3"/>
      <c r="Q302" s="3"/>
      <c r="R302" s="3"/>
      <c r="S302" s="3"/>
      <c r="T302" s="3"/>
      <c r="U302" s="3"/>
      <c r="V302" s="18"/>
      <c r="W302" s="3"/>
      <c r="X302" s="3"/>
      <c r="Y302" s="3"/>
      <c r="Z302" s="3"/>
      <c r="AA302" s="3"/>
    </row>
    <row r="303" spans="1:27" ht="24.75" customHeight="1">
      <c r="A303" s="3"/>
      <c r="B303" s="3"/>
      <c r="C303" s="3"/>
      <c r="D303" s="3"/>
      <c r="E303" s="3"/>
      <c r="F303" s="3"/>
      <c r="G303" s="3"/>
      <c r="H303" s="3"/>
      <c r="I303" s="3"/>
      <c r="J303" s="3"/>
      <c r="K303" s="3"/>
      <c r="L303" s="3"/>
      <c r="M303" s="3"/>
      <c r="N303" s="3"/>
      <c r="O303" s="3"/>
      <c r="P303" s="3"/>
      <c r="Q303" s="3"/>
      <c r="R303" s="3"/>
      <c r="S303" s="3"/>
      <c r="T303" s="3"/>
      <c r="U303" s="3"/>
      <c r="V303" s="18"/>
      <c r="W303" s="3"/>
      <c r="X303" s="3"/>
      <c r="Y303" s="3"/>
      <c r="Z303" s="3"/>
      <c r="AA303" s="3"/>
    </row>
    <row r="304" spans="1:27" ht="24.75" customHeight="1">
      <c r="A304" s="3"/>
      <c r="B304" s="3"/>
      <c r="C304" s="3"/>
      <c r="D304" s="3"/>
      <c r="E304" s="3"/>
      <c r="F304" s="3"/>
      <c r="G304" s="3"/>
      <c r="H304" s="3"/>
      <c r="I304" s="3"/>
      <c r="J304" s="3"/>
      <c r="K304" s="3"/>
      <c r="L304" s="3"/>
      <c r="M304" s="3"/>
      <c r="N304" s="3"/>
      <c r="O304" s="3"/>
      <c r="P304" s="3"/>
      <c r="Q304" s="3"/>
      <c r="R304" s="3"/>
      <c r="S304" s="3"/>
      <c r="T304" s="3"/>
      <c r="U304" s="3"/>
      <c r="V304" s="18"/>
      <c r="W304" s="3"/>
      <c r="X304" s="3"/>
      <c r="Y304" s="3"/>
      <c r="Z304" s="3"/>
      <c r="AA304" s="3"/>
    </row>
    <row r="305" spans="1:27" ht="24.75" customHeight="1">
      <c r="A305" s="3"/>
      <c r="B305" s="3"/>
      <c r="C305" s="3"/>
      <c r="D305" s="3"/>
      <c r="E305" s="3"/>
      <c r="F305" s="3"/>
      <c r="G305" s="3"/>
      <c r="H305" s="3"/>
      <c r="I305" s="3"/>
      <c r="J305" s="3"/>
      <c r="K305" s="3"/>
      <c r="L305" s="3"/>
      <c r="M305" s="3"/>
      <c r="N305" s="3"/>
      <c r="O305" s="3"/>
      <c r="P305" s="3"/>
      <c r="Q305" s="3"/>
      <c r="R305" s="3"/>
      <c r="S305" s="3"/>
      <c r="T305" s="3"/>
      <c r="U305" s="3"/>
      <c r="V305" s="18"/>
      <c r="W305" s="3"/>
      <c r="X305" s="3"/>
      <c r="Y305" s="3"/>
      <c r="Z305" s="3"/>
      <c r="AA305" s="3"/>
    </row>
    <row r="306" spans="1:27" ht="24.75" customHeight="1">
      <c r="A306" s="3"/>
      <c r="B306" s="3"/>
      <c r="C306" s="3"/>
      <c r="D306" s="3"/>
      <c r="E306" s="3"/>
      <c r="F306" s="3"/>
      <c r="G306" s="3"/>
      <c r="H306" s="3"/>
      <c r="I306" s="3"/>
      <c r="J306" s="3"/>
      <c r="K306" s="3"/>
      <c r="L306" s="3"/>
      <c r="M306" s="3"/>
      <c r="N306" s="3"/>
      <c r="O306" s="3"/>
      <c r="P306" s="3"/>
      <c r="Q306" s="3"/>
      <c r="R306" s="3"/>
      <c r="S306" s="3"/>
      <c r="T306" s="3"/>
      <c r="U306" s="3"/>
      <c r="V306" s="18"/>
      <c r="W306" s="3"/>
      <c r="X306" s="3"/>
      <c r="Y306" s="3"/>
      <c r="Z306" s="3"/>
      <c r="AA306" s="3"/>
    </row>
    <row r="307" spans="1:27" ht="24.75" customHeight="1">
      <c r="A307" s="3"/>
      <c r="B307" s="3"/>
      <c r="C307" s="3"/>
      <c r="D307" s="3"/>
      <c r="E307" s="3"/>
      <c r="F307" s="3"/>
      <c r="G307" s="3"/>
      <c r="H307" s="3"/>
      <c r="I307" s="3"/>
      <c r="J307" s="3"/>
      <c r="K307" s="3"/>
      <c r="L307" s="3"/>
      <c r="M307" s="3"/>
      <c r="N307" s="3"/>
      <c r="O307" s="3"/>
      <c r="P307" s="3"/>
      <c r="Q307" s="3"/>
      <c r="R307" s="3"/>
      <c r="S307" s="3"/>
      <c r="T307" s="3"/>
      <c r="U307" s="3"/>
      <c r="V307" s="18"/>
      <c r="W307" s="3"/>
      <c r="X307" s="3"/>
      <c r="Y307" s="3"/>
      <c r="Z307" s="3"/>
      <c r="AA307" s="3"/>
    </row>
    <row r="308" spans="1:27" ht="24.75" customHeight="1">
      <c r="A308" s="3"/>
      <c r="B308" s="3"/>
      <c r="C308" s="3"/>
      <c r="D308" s="3"/>
      <c r="E308" s="3"/>
      <c r="F308" s="3"/>
      <c r="G308" s="3"/>
      <c r="H308" s="3"/>
      <c r="I308" s="3"/>
      <c r="J308" s="3"/>
      <c r="K308" s="3"/>
      <c r="L308" s="3"/>
      <c r="M308" s="3"/>
      <c r="N308" s="3"/>
      <c r="O308" s="3"/>
      <c r="P308" s="3"/>
      <c r="Q308" s="3"/>
      <c r="R308" s="3"/>
      <c r="S308" s="3"/>
      <c r="T308" s="3"/>
      <c r="U308" s="3"/>
      <c r="V308" s="18"/>
      <c r="W308" s="3"/>
      <c r="X308" s="3"/>
      <c r="Y308" s="3"/>
      <c r="Z308" s="3"/>
      <c r="AA308" s="3"/>
    </row>
    <row r="309" spans="1:27" ht="24.75" customHeight="1">
      <c r="A309" s="3"/>
      <c r="B309" s="3"/>
      <c r="C309" s="3"/>
      <c r="D309" s="3"/>
      <c r="E309" s="3"/>
      <c r="F309" s="3"/>
      <c r="G309" s="3"/>
      <c r="H309" s="3"/>
      <c r="I309" s="3"/>
      <c r="J309" s="3"/>
      <c r="K309" s="3"/>
      <c r="L309" s="3"/>
      <c r="M309" s="3"/>
      <c r="N309" s="3"/>
      <c r="O309" s="3"/>
      <c r="P309" s="3"/>
      <c r="Q309" s="3"/>
      <c r="R309" s="3"/>
      <c r="S309" s="3"/>
      <c r="T309" s="3"/>
      <c r="U309" s="3"/>
      <c r="V309" s="18"/>
      <c r="W309" s="3"/>
      <c r="X309" s="3"/>
      <c r="Y309" s="3"/>
      <c r="Z309" s="3"/>
      <c r="AA309" s="3"/>
    </row>
    <row r="310" spans="1:27" ht="24.75" customHeight="1">
      <c r="A310" s="3"/>
      <c r="B310" s="3"/>
      <c r="C310" s="3"/>
      <c r="D310" s="3"/>
      <c r="E310" s="3"/>
      <c r="F310" s="3"/>
      <c r="G310" s="3"/>
      <c r="H310" s="3"/>
      <c r="I310" s="3"/>
      <c r="J310" s="3"/>
      <c r="K310" s="3"/>
      <c r="L310" s="3"/>
      <c r="M310" s="3"/>
      <c r="N310" s="3"/>
      <c r="O310" s="3"/>
      <c r="P310" s="3"/>
      <c r="Q310" s="3"/>
      <c r="R310" s="3"/>
      <c r="S310" s="3"/>
      <c r="T310" s="3"/>
      <c r="U310" s="3"/>
      <c r="V310" s="18"/>
      <c r="W310" s="3"/>
      <c r="X310" s="3"/>
      <c r="Y310" s="3"/>
      <c r="Z310" s="3"/>
      <c r="AA310" s="3"/>
    </row>
    <row r="311" spans="1:27" ht="24.75" customHeight="1">
      <c r="A311" s="3"/>
      <c r="B311" s="3"/>
      <c r="C311" s="3"/>
      <c r="D311" s="3"/>
      <c r="E311" s="3"/>
      <c r="F311" s="3"/>
      <c r="G311" s="3"/>
      <c r="H311" s="3"/>
      <c r="I311" s="3"/>
      <c r="J311" s="3"/>
      <c r="K311" s="3"/>
      <c r="L311" s="3"/>
      <c r="M311" s="3"/>
      <c r="N311" s="3"/>
      <c r="O311" s="3"/>
      <c r="P311" s="3"/>
      <c r="Q311" s="3"/>
      <c r="R311" s="3"/>
      <c r="S311" s="3"/>
      <c r="T311" s="3"/>
      <c r="U311" s="3"/>
      <c r="V311" s="18"/>
      <c r="W311" s="3"/>
      <c r="X311" s="3"/>
      <c r="Y311" s="3"/>
      <c r="Z311" s="3"/>
      <c r="AA311" s="3"/>
    </row>
    <row r="312" spans="1:27" ht="24.75" customHeight="1">
      <c r="A312" s="3"/>
      <c r="B312" s="3"/>
      <c r="C312" s="3"/>
      <c r="D312" s="3"/>
      <c r="E312" s="3"/>
      <c r="F312" s="3"/>
      <c r="G312" s="3"/>
      <c r="H312" s="3"/>
      <c r="I312" s="3"/>
      <c r="J312" s="3"/>
      <c r="K312" s="3"/>
      <c r="L312" s="3"/>
      <c r="M312" s="3"/>
      <c r="N312" s="3"/>
      <c r="O312" s="3"/>
      <c r="P312" s="3"/>
      <c r="Q312" s="3"/>
      <c r="R312" s="3"/>
      <c r="S312" s="3"/>
      <c r="T312" s="3"/>
      <c r="U312" s="3"/>
      <c r="V312" s="18"/>
      <c r="W312" s="3"/>
      <c r="X312" s="3"/>
      <c r="Y312" s="3"/>
      <c r="Z312" s="3"/>
      <c r="AA312" s="3"/>
    </row>
    <row r="313" spans="1:27" ht="24.75" customHeight="1">
      <c r="A313" s="3"/>
      <c r="B313" s="3"/>
      <c r="C313" s="3"/>
      <c r="D313" s="3"/>
      <c r="E313" s="3"/>
      <c r="F313" s="3"/>
      <c r="G313" s="3"/>
      <c r="H313" s="3"/>
      <c r="I313" s="3"/>
      <c r="J313" s="3"/>
      <c r="K313" s="3"/>
      <c r="L313" s="3"/>
      <c r="M313" s="3"/>
      <c r="N313" s="3"/>
      <c r="O313" s="3"/>
      <c r="P313" s="3"/>
      <c r="Q313" s="3"/>
      <c r="R313" s="3"/>
      <c r="S313" s="3"/>
      <c r="T313" s="3"/>
      <c r="U313" s="3"/>
      <c r="V313" s="18"/>
      <c r="W313" s="3"/>
      <c r="X313" s="3"/>
      <c r="Y313" s="3"/>
      <c r="Z313" s="3"/>
      <c r="AA313" s="3"/>
    </row>
    <row r="314" spans="1:27" ht="24.75" customHeight="1">
      <c r="A314" s="3"/>
      <c r="B314" s="3"/>
      <c r="C314" s="3"/>
      <c r="D314" s="3"/>
      <c r="E314" s="3"/>
      <c r="F314" s="3"/>
      <c r="G314" s="3"/>
      <c r="H314" s="3"/>
      <c r="I314" s="3"/>
      <c r="J314" s="3"/>
      <c r="K314" s="3"/>
      <c r="L314" s="3"/>
      <c r="M314" s="3"/>
      <c r="N314" s="3"/>
      <c r="O314" s="3"/>
      <c r="P314" s="3"/>
      <c r="Q314" s="3"/>
      <c r="R314" s="3"/>
      <c r="S314" s="3"/>
      <c r="T314" s="3"/>
      <c r="U314" s="3"/>
      <c r="V314" s="18"/>
      <c r="W314" s="3"/>
      <c r="X314" s="3"/>
      <c r="Y314" s="3"/>
      <c r="Z314" s="3"/>
      <c r="AA314" s="3"/>
    </row>
    <row r="315" spans="1:27" ht="24.75" customHeight="1">
      <c r="A315" s="3"/>
      <c r="B315" s="3"/>
      <c r="C315" s="3"/>
      <c r="D315" s="3"/>
      <c r="E315" s="3"/>
      <c r="F315" s="3"/>
      <c r="G315" s="3"/>
      <c r="H315" s="3"/>
      <c r="I315" s="3"/>
      <c r="J315" s="3"/>
      <c r="K315" s="3"/>
      <c r="L315" s="3"/>
      <c r="M315" s="3"/>
      <c r="N315" s="3"/>
      <c r="O315" s="3"/>
      <c r="P315" s="3"/>
      <c r="Q315" s="3"/>
      <c r="R315" s="3"/>
      <c r="S315" s="3"/>
      <c r="T315" s="3"/>
      <c r="U315" s="3"/>
      <c r="V315" s="18"/>
      <c r="W315" s="3"/>
      <c r="X315" s="3"/>
      <c r="Y315" s="3"/>
      <c r="Z315" s="3"/>
      <c r="AA315" s="3"/>
    </row>
    <row r="316" spans="1:27" ht="24.75" customHeight="1">
      <c r="A316" s="3"/>
      <c r="B316" s="3"/>
      <c r="C316" s="3"/>
      <c r="D316" s="3"/>
      <c r="E316" s="3"/>
      <c r="F316" s="3"/>
      <c r="G316" s="3"/>
      <c r="H316" s="3"/>
      <c r="I316" s="3"/>
      <c r="J316" s="3"/>
      <c r="K316" s="3"/>
      <c r="L316" s="3"/>
      <c r="M316" s="3"/>
      <c r="N316" s="3"/>
      <c r="O316" s="3"/>
      <c r="P316" s="3"/>
      <c r="Q316" s="3"/>
      <c r="R316" s="3"/>
      <c r="S316" s="3"/>
      <c r="T316" s="3"/>
      <c r="U316" s="3"/>
      <c r="V316" s="18"/>
      <c r="W316" s="3"/>
      <c r="X316" s="3"/>
      <c r="Y316" s="3"/>
      <c r="Z316" s="3"/>
      <c r="AA316" s="3"/>
    </row>
    <row r="317" spans="1:27" ht="24.75" customHeight="1">
      <c r="A317" s="3"/>
      <c r="B317" s="3"/>
      <c r="C317" s="3"/>
      <c r="D317" s="3"/>
      <c r="E317" s="3"/>
      <c r="F317" s="3"/>
      <c r="G317" s="3"/>
      <c r="H317" s="3"/>
      <c r="I317" s="3"/>
      <c r="J317" s="3"/>
      <c r="K317" s="3"/>
      <c r="L317" s="3"/>
      <c r="M317" s="3"/>
      <c r="N317" s="3"/>
      <c r="O317" s="3"/>
      <c r="P317" s="3"/>
      <c r="Q317" s="3"/>
      <c r="R317" s="3"/>
      <c r="S317" s="3"/>
      <c r="T317" s="3"/>
      <c r="U317" s="3"/>
      <c r="V317" s="18"/>
      <c r="W317" s="3"/>
      <c r="X317" s="3"/>
      <c r="Y317" s="3"/>
      <c r="Z317" s="3"/>
      <c r="AA317" s="3"/>
    </row>
    <row r="318" spans="1:27" ht="24.75" customHeight="1">
      <c r="A318" s="3"/>
      <c r="B318" s="3"/>
      <c r="C318" s="3"/>
      <c r="D318" s="3"/>
      <c r="E318" s="3"/>
      <c r="F318" s="3"/>
      <c r="G318" s="3"/>
      <c r="H318" s="3"/>
      <c r="I318" s="3"/>
      <c r="J318" s="3"/>
      <c r="K318" s="3"/>
      <c r="L318" s="3"/>
      <c r="M318" s="3"/>
      <c r="N318" s="3"/>
      <c r="O318" s="3"/>
      <c r="P318" s="3"/>
      <c r="Q318" s="3"/>
      <c r="R318" s="3"/>
      <c r="S318" s="3"/>
      <c r="T318" s="3"/>
      <c r="U318" s="3"/>
      <c r="V318" s="18"/>
      <c r="W318" s="3"/>
      <c r="X318" s="3"/>
      <c r="Y318" s="3"/>
      <c r="Z318" s="3"/>
      <c r="AA318" s="3"/>
    </row>
    <row r="319" spans="1:27" ht="24.75" customHeight="1">
      <c r="A319" s="3"/>
      <c r="B319" s="3"/>
      <c r="C319" s="3"/>
      <c r="D319" s="3"/>
      <c r="E319" s="3"/>
      <c r="F319" s="3"/>
      <c r="G319" s="3"/>
      <c r="H319" s="3"/>
      <c r="I319" s="3"/>
      <c r="J319" s="3"/>
      <c r="K319" s="3"/>
      <c r="L319" s="3"/>
      <c r="M319" s="3"/>
      <c r="N319" s="3"/>
      <c r="O319" s="3"/>
      <c r="P319" s="3"/>
      <c r="Q319" s="3"/>
      <c r="R319" s="3"/>
      <c r="S319" s="3"/>
      <c r="T319" s="3"/>
      <c r="U319" s="3"/>
      <c r="V319" s="18"/>
      <c r="W319" s="3"/>
      <c r="X319" s="3"/>
      <c r="Y319" s="3"/>
      <c r="Z319" s="3"/>
      <c r="AA319" s="3"/>
    </row>
    <row r="320" spans="1:27" ht="24.75" customHeight="1">
      <c r="A320" s="3"/>
      <c r="B320" s="3"/>
      <c r="C320" s="3"/>
      <c r="D320" s="3"/>
      <c r="E320" s="3"/>
      <c r="F320" s="3"/>
      <c r="G320" s="3"/>
      <c r="H320" s="3"/>
      <c r="I320" s="3"/>
      <c r="J320" s="3"/>
      <c r="K320" s="3"/>
      <c r="L320" s="3"/>
      <c r="M320" s="3"/>
      <c r="N320" s="3"/>
      <c r="O320" s="3"/>
      <c r="P320" s="3"/>
      <c r="Q320" s="3"/>
      <c r="R320" s="3"/>
      <c r="S320" s="3"/>
      <c r="T320" s="3"/>
      <c r="U320" s="3"/>
      <c r="V320" s="18"/>
      <c r="W320" s="3"/>
      <c r="X320" s="3"/>
      <c r="Y320" s="3"/>
      <c r="Z320" s="3"/>
      <c r="AA320" s="3"/>
    </row>
    <row r="321" spans="1:27" ht="24.75" customHeight="1">
      <c r="A321" s="3"/>
      <c r="B321" s="3"/>
      <c r="C321" s="3"/>
      <c r="D321" s="3"/>
      <c r="E321" s="3"/>
      <c r="F321" s="3"/>
      <c r="G321" s="3"/>
      <c r="H321" s="3"/>
      <c r="I321" s="3"/>
      <c r="J321" s="3"/>
      <c r="K321" s="3"/>
      <c r="L321" s="3"/>
      <c r="M321" s="3"/>
      <c r="N321" s="3"/>
      <c r="O321" s="3"/>
      <c r="P321" s="3"/>
      <c r="Q321" s="3"/>
      <c r="R321" s="3"/>
      <c r="S321" s="3"/>
      <c r="T321" s="3"/>
      <c r="U321" s="3"/>
      <c r="V321" s="18"/>
      <c r="W321" s="3"/>
      <c r="X321" s="3"/>
      <c r="Y321" s="3"/>
      <c r="Z321" s="3"/>
      <c r="AA321" s="3"/>
    </row>
    <row r="322" spans="1:27" ht="24.75" customHeight="1">
      <c r="A322" s="3"/>
      <c r="B322" s="3"/>
      <c r="C322" s="3"/>
      <c r="D322" s="3"/>
      <c r="E322" s="3"/>
      <c r="F322" s="3"/>
      <c r="G322" s="3"/>
      <c r="H322" s="3"/>
      <c r="I322" s="3"/>
      <c r="J322" s="3"/>
      <c r="K322" s="3"/>
      <c r="L322" s="3"/>
      <c r="M322" s="3"/>
      <c r="N322" s="3"/>
      <c r="O322" s="3"/>
      <c r="P322" s="3"/>
      <c r="Q322" s="3"/>
      <c r="R322" s="3"/>
      <c r="S322" s="3"/>
      <c r="T322" s="3"/>
      <c r="U322" s="3"/>
      <c r="V322" s="18"/>
      <c r="W322" s="3"/>
      <c r="X322" s="3"/>
      <c r="Y322" s="3"/>
      <c r="Z322" s="3"/>
      <c r="AA322" s="3"/>
    </row>
    <row r="323" spans="1:27" ht="24.75" customHeight="1">
      <c r="A323" s="3"/>
      <c r="B323" s="3"/>
      <c r="C323" s="3"/>
      <c r="D323" s="3"/>
      <c r="E323" s="3"/>
      <c r="F323" s="3"/>
      <c r="G323" s="3"/>
      <c r="H323" s="3"/>
      <c r="I323" s="3"/>
      <c r="J323" s="3"/>
      <c r="K323" s="3"/>
      <c r="L323" s="3"/>
      <c r="M323" s="3"/>
      <c r="N323" s="3"/>
      <c r="O323" s="3"/>
      <c r="P323" s="3"/>
      <c r="Q323" s="3"/>
      <c r="R323" s="3"/>
      <c r="S323" s="3"/>
      <c r="T323" s="3"/>
      <c r="U323" s="3"/>
      <c r="V323" s="18"/>
      <c r="W323" s="3"/>
      <c r="X323" s="3"/>
      <c r="Y323" s="3"/>
      <c r="Z323" s="3"/>
      <c r="AA323" s="3"/>
    </row>
    <row r="324" spans="1:27" ht="24.75" customHeight="1">
      <c r="A324" s="3"/>
      <c r="B324" s="3"/>
      <c r="C324" s="3"/>
      <c r="D324" s="3"/>
      <c r="E324" s="3"/>
      <c r="F324" s="3"/>
      <c r="G324" s="3"/>
      <c r="H324" s="3"/>
      <c r="I324" s="3"/>
      <c r="J324" s="3"/>
      <c r="K324" s="3"/>
      <c r="L324" s="3"/>
      <c r="M324" s="3"/>
      <c r="N324" s="3"/>
      <c r="O324" s="3"/>
      <c r="P324" s="3"/>
      <c r="Q324" s="3"/>
      <c r="R324" s="3"/>
      <c r="S324" s="3"/>
      <c r="T324" s="3"/>
      <c r="U324" s="3"/>
      <c r="V324" s="18"/>
      <c r="W324" s="3"/>
      <c r="X324" s="3"/>
      <c r="Y324" s="3"/>
      <c r="Z324" s="3"/>
      <c r="AA324" s="3"/>
    </row>
    <row r="325" spans="1:27" ht="24.75" customHeight="1">
      <c r="A325" s="3"/>
      <c r="B325" s="3"/>
      <c r="C325" s="3"/>
      <c r="D325" s="3"/>
      <c r="E325" s="3"/>
      <c r="F325" s="3"/>
      <c r="G325" s="3"/>
      <c r="H325" s="3"/>
      <c r="I325" s="3"/>
      <c r="J325" s="3"/>
      <c r="K325" s="3"/>
      <c r="L325" s="3"/>
      <c r="M325" s="3"/>
      <c r="N325" s="3"/>
      <c r="O325" s="3"/>
      <c r="P325" s="3"/>
      <c r="Q325" s="3"/>
      <c r="R325" s="3"/>
      <c r="S325" s="3"/>
      <c r="T325" s="3"/>
      <c r="U325" s="3"/>
      <c r="V325" s="18"/>
      <c r="W325" s="3"/>
      <c r="X325" s="3"/>
      <c r="Y325" s="3"/>
      <c r="Z325" s="3"/>
      <c r="AA325" s="3"/>
    </row>
    <row r="326" spans="1:27" ht="24.75" customHeight="1">
      <c r="A326" s="3"/>
      <c r="B326" s="3"/>
      <c r="C326" s="3"/>
      <c r="D326" s="3"/>
      <c r="E326" s="3"/>
      <c r="F326" s="3"/>
      <c r="G326" s="3"/>
      <c r="H326" s="3"/>
      <c r="I326" s="3"/>
      <c r="J326" s="3"/>
      <c r="K326" s="3"/>
      <c r="L326" s="3"/>
      <c r="M326" s="3"/>
      <c r="N326" s="3"/>
      <c r="O326" s="3"/>
      <c r="P326" s="3"/>
      <c r="Q326" s="3"/>
      <c r="R326" s="3"/>
      <c r="S326" s="3"/>
      <c r="T326" s="3"/>
      <c r="U326" s="3"/>
      <c r="V326" s="18"/>
      <c r="W326" s="3"/>
      <c r="X326" s="3"/>
      <c r="Y326" s="3"/>
      <c r="Z326" s="3"/>
      <c r="AA326" s="3"/>
    </row>
    <row r="327" spans="1:27" ht="24.75" customHeight="1">
      <c r="A327" s="3"/>
      <c r="B327" s="3"/>
      <c r="C327" s="3"/>
      <c r="D327" s="3"/>
      <c r="E327" s="3"/>
      <c r="F327" s="3"/>
      <c r="G327" s="3"/>
      <c r="H327" s="3"/>
      <c r="I327" s="3"/>
      <c r="J327" s="3"/>
      <c r="K327" s="3"/>
      <c r="L327" s="3"/>
      <c r="M327" s="3"/>
      <c r="N327" s="3"/>
      <c r="O327" s="3"/>
      <c r="P327" s="3"/>
      <c r="Q327" s="3"/>
      <c r="R327" s="3"/>
      <c r="S327" s="3"/>
      <c r="T327" s="3"/>
      <c r="U327" s="3"/>
      <c r="V327" s="18"/>
      <c r="W327" s="3"/>
      <c r="X327" s="3"/>
      <c r="Y327" s="3"/>
      <c r="Z327" s="3"/>
      <c r="AA327" s="3"/>
    </row>
    <row r="328" spans="1:27" ht="24.75" customHeight="1">
      <c r="A328" s="3"/>
      <c r="B328" s="3"/>
      <c r="C328" s="3"/>
      <c r="D328" s="3"/>
      <c r="E328" s="3"/>
      <c r="F328" s="3"/>
      <c r="G328" s="3"/>
      <c r="H328" s="3"/>
      <c r="I328" s="3"/>
      <c r="J328" s="3"/>
      <c r="K328" s="3"/>
      <c r="L328" s="3"/>
      <c r="M328" s="3"/>
      <c r="N328" s="3"/>
      <c r="O328" s="3"/>
      <c r="P328" s="3"/>
      <c r="Q328" s="3"/>
      <c r="R328" s="3"/>
      <c r="S328" s="3"/>
      <c r="T328" s="3"/>
      <c r="U328" s="3"/>
      <c r="V328" s="18"/>
      <c r="W328" s="3"/>
      <c r="X328" s="3"/>
      <c r="Y328" s="3"/>
      <c r="Z328" s="3"/>
      <c r="AA328" s="3"/>
    </row>
    <row r="329" spans="1:27" ht="24.75" customHeight="1">
      <c r="A329" s="3"/>
      <c r="B329" s="3"/>
      <c r="C329" s="3"/>
      <c r="D329" s="3"/>
      <c r="E329" s="3"/>
      <c r="F329" s="3"/>
      <c r="G329" s="3"/>
      <c r="H329" s="3"/>
      <c r="I329" s="3"/>
      <c r="J329" s="3"/>
      <c r="K329" s="3"/>
      <c r="L329" s="3"/>
      <c r="M329" s="3"/>
      <c r="N329" s="3"/>
      <c r="O329" s="3"/>
      <c r="P329" s="3"/>
      <c r="Q329" s="3"/>
      <c r="R329" s="3"/>
      <c r="S329" s="3"/>
      <c r="T329" s="3"/>
      <c r="U329" s="3"/>
      <c r="V329" s="18"/>
      <c r="W329" s="3"/>
      <c r="X329" s="3"/>
      <c r="Y329" s="3"/>
      <c r="Z329" s="3"/>
      <c r="AA329" s="3"/>
    </row>
    <row r="330" spans="1:27" ht="24.75" customHeight="1">
      <c r="A330" s="3"/>
      <c r="B330" s="3"/>
      <c r="C330" s="3"/>
      <c r="D330" s="3"/>
      <c r="E330" s="3"/>
      <c r="F330" s="3"/>
      <c r="G330" s="3"/>
      <c r="H330" s="3"/>
      <c r="I330" s="3"/>
      <c r="J330" s="3"/>
      <c r="K330" s="3"/>
      <c r="L330" s="3"/>
      <c r="M330" s="3"/>
      <c r="N330" s="3"/>
      <c r="O330" s="3"/>
      <c r="P330" s="3"/>
      <c r="Q330" s="3"/>
      <c r="R330" s="3"/>
      <c r="S330" s="3"/>
      <c r="T330" s="3"/>
      <c r="U330" s="3"/>
      <c r="V330" s="18"/>
      <c r="W330" s="3"/>
      <c r="X330" s="3"/>
      <c r="Y330" s="3"/>
      <c r="Z330" s="3"/>
      <c r="AA330" s="3"/>
    </row>
    <row r="331" spans="1:27" ht="24.75" customHeight="1">
      <c r="A331" s="3"/>
      <c r="B331" s="3"/>
      <c r="C331" s="3"/>
      <c r="D331" s="3"/>
      <c r="E331" s="3"/>
      <c r="F331" s="3"/>
      <c r="G331" s="3"/>
      <c r="H331" s="3"/>
      <c r="I331" s="3"/>
      <c r="J331" s="3"/>
      <c r="K331" s="3"/>
      <c r="L331" s="3"/>
      <c r="M331" s="3"/>
      <c r="N331" s="3"/>
      <c r="O331" s="3"/>
      <c r="P331" s="3"/>
      <c r="Q331" s="3"/>
      <c r="R331" s="3"/>
      <c r="S331" s="3"/>
      <c r="T331" s="3"/>
      <c r="U331" s="3"/>
      <c r="V331" s="18"/>
      <c r="W331" s="3"/>
      <c r="X331" s="3"/>
      <c r="Y331" s="3"/>
      <c r="Z331" s="3"/>
      <c r="AA331" s="3"/>
    </row>
    <row r="332" spans="1:27" ht="24.75" customHeight="1">
      <c r="A332" s="3"/>
      <c r="B332" s="3"/>
      <c r="C332" s="3"/>
      <c r="D332" s="3"/>
      <c r="E332" s="3"/>
      <c r="F332" s="3"/>
      <c r="G332" s="3"/>
      <c r="H332" s="3"/>
      <c r="I332" s="3"/>
      <c r="J332" s="3"/>
      <c r="K332" s="3"/>
      <c r="L332" s="3"/>
      <c r="M332" s="3"/>
      <c r="N332" s="3"/>
      <c r="O332" s="3"/>
      <c r="P332" s="3"/>
      <c r="Q332" s="3"/>
      <c r="R332" s="3"/>
      <c r="S332" s="3"/>
      <c r="T332" s="3"/>
      <c r="U332" s="3"/>
      <c r="V332" s="18"/>
      <c r="W332" s="3"/>
      <c r="X332" s="3"/>
      <c r="Y332" s="3"/>
      <c r="Z332" s="3"/>
      <c r="AA332" s="3"/>
    </row>
    <row r="333" spans="1:27" ht="24.75" customHeight="1">
      <c r="A333" s="3"/>
      <c r="B333" s="3"/>
      <c r="C333" s="3"/>
      <c r="D333" s="3"/>
      <c r="E333" s="3"/>
      <c r="F333" s="3"/>
      <c r="G333" s="3"/>
      <c r="H333" s="3"/>
      <c r="I333" s="3"/>
      <c r="J333" s="3"/>
      <c r="K333" s="3"/>
      <c r="L333" s="3"/>
      <c r="M333" s="3"/>
      <c r="N333" s="3"/>
      <c r="O333" s="3"/>
      <c r="P333" s="3"/>
      <c r="Q333" s="3"/>
      <c r="R333" s="3"/>
      <c r="S333" s="3"/>
      <c r="T333" s="3"/>
      <c r="U333" s="3"/>
      <c r="V333" s="18"/>
      <c r="W333" s="3"/>
      <c r="X333" s="3"/>
      <c r="Y333" s="3"/>
      <c r="Z333" s="3"/>
      <c r="AA333" s="3"/>
    </row>
    <row r="334" spans="1:27" ht="24.75" customHeight="1">
      <c r="A334" s="3"/>
      <c r="B334" s="3"/>
      <c r="C334" s="3"/>
      <c r="D334" s="3"/>
      <c r="E334" s="3"/>
      <c r="F334" s="3"/>
      <c r="G334" s="3"/>
      <c r="H334" s="3"/>
      <c r="I334" s="3"/>
      <c r="J334" s="3"/>
      <c r="K334" s="3"/>
      <c r="L334" s="3"/>
      <c r="M334" s="3"/>
      <c r="N334" s="3"/>
      <c r="O334" s="3"/>
      <c r="P334" s="3"/>
      <c r="Q334" s="3"/>
      <c r="R334" s="3"/>
      <c r="S334" s="3"/>
      <c r="T334" s="3"/>
      <c r="U334" s="3"/>
      <c r="V334" s="18"/>
      <c r="W334" s="3"/>
      <c r="X334" s="3"/>
      <c r="Y334" s="3"/>
      <c r="Z334" s="3"/>
      <c r="AA334" s="3"/>
    </row>
    <row r="335" spans="1:27" ht="24.75" customHeight="1">
      <c r="A335" s="3"/>
      <c r="B335" s="3"/>
      <c r="C335" s="3"/>
      <c r="D335" s="3"/>
      <c r="E335" s="3"/>
      <c r="F335" s="3"/>
      <c r="G335" s="3"/>
      <c r="H335" s="3"/>
      <c r="I335" s="3"/>
      <c r="J335" s="3"/>
      <c r="K335" s="3"/>
      <c r="L335" s="3"/>
      <c r="M335" s="3"/>
      <c r="N335" s="3"/>
      <c r="O335" s="3"/>
      <c r="P335" s="3"/>
      <c r="Q335" s="3"/>
      <c r="R335" s="3"/>
      <c r="S335" s="3"/>
      <c r="T335" s="3"/>
      <c r="U335" s="3"/>
      <c r="V335" s="18"/>
      <c r="W335" s="3"/>
      <c r="X335" s="3"/>
      <c r="Y335" s="3"/>
      <c r="Z335" s="3"/>
      <c r="AA335" s="3"/>
    </row>
    <row r="336" spans="1:27" ht="24.75" customHeight="1">
      <c r="A336" s="3"/>
      <c r="B336" s="3"/>
      <c r="C336" s="3"/>
      <c r="D336" s="3"/>
      <c r="E336" s="3"/>
      <c r="F336" s="3"/>
      <c r="G336" s="3"/>
      <c r="H336" s="3"/>
      <c r="I336" s="3"/>
      <c r="J336" s="3"/>
      <c r="K336" s="3"/>
      <c r="L336" s="3"/>
      <c r="M336" s="3"/>
      <c r="N336" s="3"/>
      <c r="O336" s="3"/>
      <c r="P336" s="3"/>
      <c r="Q336" s="3"/>
      <c r="R336" s="3"/>
      <c r="S336" s="3"/>
      <c r="T336" s="3"/>
      <c r="U336" s="3"/>
      <c r="V336" s="18"/>
      <c r="W336" s="3"/>
      <c r="X336" s="3"/>
      <c r="Y336" s="3"/>
      <c r="Z336" s="3"/>
      <c r="AA336" s="3"/>
    </row>
    <row r="337" spans="1:27" ht="24.75" customHeight="1">
      <c r="A337" s="3"/>
      <c r="B337" s="3"/>
      <c r="C337" s="3"/>
      <c r="D337" s="3"/>
      <c r="E337" s="3"/>
      <c r="F337" s="3"/>
      <c r="G337" s="3"/>
      <c r="H337" s="3"/>
      <c r="I337" s="3"/>
      <c r="J337" s="3"/>
      <c r="K337" s="3"/>
      <c r="L337" s="3"/>
      <c r="M337" s="3"/>
      <c r="N337" s="3"/>
      <c r="O337" s="3"/>
      <c r="P337" s="3"/>
      <c r="Q337" s="3"/>
      <c r="R337" s="3"/>
      <c r="S337" s="3"/>
      <c r="T337" s="3"/>
      <c r="U337" s="3"/>
      <c r="V337" s="18"/>
      <c r="W337" s="3"/>
      <c r="X337" s="3"/>
      <c r="Y337" s="3"/>
      <c r="Z337" s="3"/>
      <c r="AA337" s="3"/>
    </row>
    <row r="338" spans="1:27" ht="24.75" customHeight="1">
      <c r="A338" s="3"/>
      <c r="B338" s="3"/>
      <c r="C338" s="3"/>
      <c r="D338" s="3"/>
      <c r="E338" s="3"/>
      <c r="F338" s="3"/>
      <c r="G338" s="3"/>
      <c r="H338" s="3"/>
      <c r="I338" s="3"/>
      <c r="J338" s="3"/>
      <c r="K338" s="3"/>
      <c r="L338" s="3"/>
      <c r="M338" s="3"/>
      <c r="N338" s="3"/>
      <c r="O338" s="3"/>
      <c r="P338" s="3"/>
      <c r="Q338" s="3"/>
      <c r="R338" s="3"/>
      <c r="S338" s="3"/>
      <c r="T338" s="3"/>
      <c r="U338" s="3"/>
      <c r="V338" s="18"/>
      <c r="W338" s="3"/>
      <c r="X338" s="3"/>
      <c r="Y338" s="3"/>
      <c r="Z338" s="3"/>
      <c r="AA338" s="3"/>
    </row>
    <row r="339" spans="1:27" ht="24.75" customHeight="1">
      <c r="A339" s="3"/>
      <c r="B339" s="3"/>
      <c r="C339" s="3"/>
      <c r="D339" s="3"/>
      <c r="E339" s="3"/>
      <c r="F339" s="3"/>
      <c r="G339" s="3"/>
      <c r="H339" s="3"/>
      <c r="I339" s="3"/>
      <c r="J339" s="3"/>
      <c r="K339" s="3"/>
      <c r="L339" s="3"/>
      <c r="M339" s="3"/>
      <c r="N339" s="3"/>
      <c r="O339" s="3"/>
      <c r="P339" s="3"/>
      <c r="Q339" s="3"/>
      <c r="R339" s="3"/>
      <c r="S339" s="3"/>
      <c r="T339" s="3"/>
      <c r="U339" s="3"/>
      <c r="V339" s="18"/>
      <c r="W339" s="3"/>
      <c r="X339" s="3"/>
      <c r="Y339" s="3"/>
      <c r="Z339" s="3"/>
      <c r="AA339" s="3"/>
    </row>
    <row r="340" spans="1:27" ht="24.75" customHeight="1">
      <c r="A340" s="3"/>
      <c r="B340" s="3"/>
      <c r="C340" s="3"/>
      <c r="D340" s="3"/>
      <c r="E340" s="3"/>
      <c r="F340" s="3"/>
      <c r="G340" s="3"/>
      <c r="H340" s="3"/>
      <c r="I340" s="3"/>
      <c r="J340" s="3"/>
      <c r="K340" s="3"/>
      <c r="L340" s="3"/>
      <c r="M340" s="3"/>
      <c r="N340" s="3"/>
      <c r="O340" s="3"/>
      <c r="P340" s="3"/>
      <c r="Q340" s="3"/>
      <c r="R340" s="3"/>
      <c r="S340" s="3"/>
      <c r="T340" s="3"/>
      <c r="U340" s="3"/>
      <c r="V340" s="18"/>
      <c r="W340" s="3"/>
      <c r="X340" s="3"/>
      <c r="Y340" s="3"/>
      <c r="Z340" s="3"/>
      <c r="AA340" s="3"/>
    </row>
    <row r="341" spans="1:27" ht="24.75" customHeight="1">
      <c r="A341" s="3"/>
      <c r="B341" s="3"/>
      <c r="C341" s="3"/>
      <c r="D341" s="3"/>
      <c r="E341" s="3"/>
      <c r="F341" s="3"/>
      <c r="G341" s="3"/>
      <c r="H341" s="3"/>
      <c r="I341" s="3"/>
      <c r="J341" s="3"/>
      <c r="K341" s="3"/>
      <c r="L341" s="3"/>
      <c r="M341" s="3"/>
      <c r="N341" s="3"/>
      <c r="O341" s="3"/>
      <c r="P341" s="3"/>
      <c r="Q341" s="3"/>
      <c r="R341" s="3"/>
      <c r="S341" s="3"/>
      <c r="T341" s="3"/>
      <c r="U341" s="3"/>
      <c r="V341" s="18"/>
      <c r="W341" s="3"/>
      <c r="X341" s="3"/>
      <c r="Y341" s="3"/>
      <c r="Z341" s="3"/>
      <c r="AA341" s="3"/>
    </row>
    <row r="342" spans="1:27" ht="24.75" customHeight="1">
      <c r="A342" s="3"/>
      <c r="B342" s="3"/>
      <c r="C342" s="3"/>
      <c r="D342" s="3"/>
      <c r="E342" s="3"/>
      <c r="F342" s="3"/>
      <c r="G342" s="3"/>
      <c r="H342" s="3"/>
      <c r="I342" s="3"/>
      <c r="J342" s="3"/>
      <c r="K342" s="3"/>
      <c r="L342" s="3"/>
      <c r="M342" s="3"/>
      <c r="N342" s="3"/>
      <c r="O342" s="3"/>
      <c r="P342" s="3"/>
      <c r="Q342" s="3"/>
      <c r="R342" s="3"/>
      <c r="S342" s="3"/>
      <c r="T342" s="3"/>
      <c r="U342" s="3"/>
      <c r="V342" s="18"/>
      <c r="W342" s="3"/>
      <c r="X342" s="3"/>
      <c r="Y342" s="3"/>
      <c r="Z342" s="3"/>
      <c r="AA342" s="3"/>
    </row>
    <row r="343" spans="1:27" ht="24.75" customHeight="1">
      <c r="A343" s="3"/>
      <c r="B343" s="3"/>
      <c r="C343" s="3"/>
      <c r="D343" s="3"/>
      <c r="E343" s="3"/>
      <c r="F343" s="3"/>
      <c r="G343" s="3"/>
      <c r="H343" s="3"/>
      <c r="I343" s="3"/>
      <c r="J343" s="3"/>
      <c r="K343" s="3"/>
      <c r="L343" s="3"/>
      <c r="M343" s="3"/>
      <c r="N343" s="3"/>
      <c r="O343" s="3"/>
      <c r="P343" s="3"/>
      <c r="Q343" s="3"/>
      <c r="R343" s="3"/>
      <c r="S343" s="3"/>
      <c r="T343" s="3"/>
      <c r="U343" s="3"/>
      <c r="V343" s="18"/>
      <c r="W343" s="3"/>
      <c r="X343" s="3"/>
      <c r="Y343" s="3"/>
      <c r="Z343" s="3"/>
      <c r="AA343" s="3"/>
    </row>
    <row r="344" spans="1:27" ht="24.75" customHeight="1">
      <c r="A344" s="3"/>
      <c r="B344" s="3"/>
      <c r="C344" s="3"/>
      <c r="D344" s="3"/>
      <c r="E344" s="3"/>
      <c r="F344" s="3"/>
      <c r="G344" s="3"/>
      <c r="H344" s="3"/>
      <c r="I344" s="3"/>
      <c r="J344" s="3"/>
      <c r="K344" s="3"/>
      <c r="L344" s="3"/>
      <c r="M344" s="3"/>
      <c r="N344" s="3"/>
      <c r="O344" s="3"/>
      <c r="P344" s="3"/>
      <c r="Q344" s="3"/>
      <c r="R344" s="3"/>
      <c r="S344" s="3"/>
      <c r="T344" s="3"/>
      <c r="U344" s="3"/>
      <c r="V344" s="18"/>
      <c r="W344" s="3"/>
      <c r="X344" s="3"/>
      <c r="Y344" s="3"/>
      <c r="Z344" s="3"/>
      <c r="AA344" s="3"/>
    </row>
    <row r="345" spans="1:27" ht="24.75" customHeight="1">
      <c r="A345" s="3"/>
      <c r="B345" s="3"/>
      <c r="C345" s="3"/>
      <c r="D345" s="3"/>
      <c r="E345" s="3"/>
      <c r="F345" s="3"/>
      <c r="G345" s="3"/>
      <c r="H345" s="3"/>
      <c r="I345" s="3"/>
      <c r="J345" s="3"/>
      <c r="K345" s="3"/>
      <c r="L345" s="3"/>
      <c r="M345" s="3"/>
      <c r="N345" s="3"/>
      <c r="O345" s="3"/>
      <c r="P345" s="3"/>
      <c r="Q345" s="3"/>
      <c r="R345" s="3"/>
      <c r="S345" s="3"/>
      <c r="T345" s="3"/>
      <c r="U345" s="3"/>
      <c r="V345" s="18"/>
      <c r="W345" s="3"/>
      <c r="X345" s="3"/>
      <c r="Y345" s="3"/>
      <c r="Z345" s="3"/>
      <c r="AA345" s="3"/>
    </row>
    <row r="346" spans="1:27" ht="24.75" customHeight="1">
      <c r="A346" s="3"/>
      <c r="B346" s="3"/>
      <c r="C346" s="3"/>
      <c r="D346" s="3"/>
      <c r="E346" s="3"/>
      <c r="F346" s="3"/>
      <c r="G346" s="3"/>
      <c r="H346" s="3"/>
      <c r="I346" s="3"/>
      <c r="J346" s="3"/>
      <c r="K346" s="3"/>
      <c r="L346" s="3"/>
      <c r="M346" s="3"/>
      <c r="N346" s="3"/>
      <c r="O346" s="3"/>
      <c r="P346" s="3"/>
      <c r="Q346" s="3"/>
      <c r="R346" s="3"/>
      <c r="S346" s="3"/>
      <c r="T346" s="3"/>
      <c r="U346" s="3"/>
      <c r="V346" s="18"/>
      <c r="W346" s="3"/>
      <c r="X346" s="3"/>
      <c r="Y346" s="3"/>
      <c r="Z346" s="3"/>
      <c r="AA346" s="3"/>
    </row>
    <row r="347" spans="1:27" ht="24.75" customHeight="1">
      <c r="A347" s="3"/>
      <c r="B347" s="3"/>
      <c r="C347" s="3"/>
      <c r="D347" s="3"/>
      <c r="E347" s="3"/>
      <c r="F347" s="3"/>
      <c r="G347" s="3"/>
      <c r="H347" s="3"/>
      <c r="I347" s="3"/>
      <c r="J347" s="3"/>
      <c r="K347" s="3"/>
      <c r="L347" s="3"/>
      <c r="M347" s="3"/>
      <c r="N347" s="3"/>
      <c r="O347" s="3"/>
      <c r="P347" s="3"/>
      <c r="Q347" s="3"/>
      <c r="R347" s="3"/>
      <c r="S347" s="3"/>
      <c r="T347" s="3"/>
      <c r="U347" s="3"/>
      <c r="V347" s="18"/>
      <c r="W347" s="3"/>
      <c r="X347" s="3"/>
      <c r="Y347" s="3"/>
      <c r="Z347" s="3"/>
      <c r="AA347" s="3"/>
    </row>
    <row r="348" spans="1:27" ht="24.75" customHeight="1">
      <c r="A348" s="3"/>
      <c r="B348" s="3"/>
      <c r="C348" s="3"/>
      <c r="D348" s="3"/>
      <c r="E348" s="3"/>
      <c r="F348" s="3"/>
      <c r="G348" s="3"/>
      <c r="H348" s="3"/>
      <c r="I348" s="3"/>
      <c r="J348" s="3"/>
      <c r="K348" s="3"/>
      <c r="L348" s="3"/>
      <c r="M348" s="3"/>
      <c r="N348" s="3"/>
      <c r="O348" s="3"/>
      <c r="P348" s="3"/>
      <c r="Q348" s="3"/>
      <c r="R348" s="3"/>
      <c r="S348" s="3"/>
      <c r="T348" s="3"/>
      <c r="U348" s="3"/>
      <c r="V348" s="18"/>
      <c r="W348" s="3"/>
      <c r="X348" s="3"/>
      <c r="Y348" s="3"/>
      <c r="Z348" s="3"/>
      <c r="AA348" s="3"/>
    </row>
    <row r="349" spans="1:27" ht="24.75" customHeight="1">
      <c r="A349" s="3"/>
      <c r="B349" s="3"/>
      <c r="C349" s="3"/>
      <c r="D349" s="3"/>
      <c r="E349" s="3"/>
      <c r="F349" s="3"/>
      <c r="G349" s="3"/>
      <c r="H349" s="3"/>
      <c r="I349" s="3"/>
      <c r="J349" s="3"/>
      <c r="K349" s="3"/>
      <c r="L349" s="3"/>
      <c r="M349" s="3"/>
      <c r="N349" s="3"/>
      <c r="O349" s="3"/>
      <c r="P349" s="3"/>
      <c r="Q349" s="3"/>
      <c r="R349" s="3"/>
      <c r="S349" s="3"/>
      <c r="T349" s="3"/>
      <c r="U349" s="3"/>
      <c r="V349" s="18"/>
      <c r="W349" s="3"/>
      <c r="X349" s="3"/>
      <c r="Y349" s="3"/>
      <c r="Z349" s="3"/>
      <c r="AA349" s="3"/>
    </row>
    <row r="350" spans="1:27" ht="24.75" customHeight="1">
      <c r="A350" s="3"/>
      <c r="B350" s="3"/>
      <c r="C350" s="3"/>
      <c r="D350" s="3"/>
      <c r="E350" s="3"/>
      <c r="F350" s="3"/>
      <c r="G350" s="3"/>
      <c r="H350" s="3"/>
      <c r="I350" s="3"/>
      <c r="J350" s="3"/>
      <c r="K350" s="3"/>
      <c r="L350" s="3"/>
      <c r="M350" s="3"/>
      <c r="N350" s="3"/>
      <c r="O350" s="3"/>
      <c r="P350" s="3"/>
      <c r="Q350" s="3"/>
      <c r="R350" s="3"/>
      <c r="S350" s="3"/>
      <c r="T350" s="3"/>
      <c r="U350" s="3"/>
      <c r="V350" s="18"/>
      <c r="W350" s="3"/>
      <c r="X350" s="3"/>
      <c r="Y350" s="3"/>
      <c r="Z350" s="3"/>
      <c r="AA350" s="3"/>
    </row>
    <row r="351" spans="1:27" ht="24.75" customHeight="1">
      <c r="A351" s="3"/>
      <c r="B351" s="3"/>
      <c r="C351" s="3"/>
      <c r="D351" s="3"/>
      <c r="E351" s="3"/>
      <c r="F351" s="3"/>
      <c r="G351" s="3"/>
      <c r="H351" s="3"/>
      <c r="I351" s="3"/>
      <c r="J351" s="3"/>
      <c r="K351" s="3"/>
      <c r="L351" s="3"/>
      <c r="M351" s="3"/>
      <c r="N351" s="3"/>
      <c r="O351" s="3"/>
      <c r="P351" s="3"/>
      <c r="Q351" s="3"/>
      <c r="R351" s="3"/>
      <c r="S351" s="3"/>
      <c r="T351" s="3"/>
      <c r="U351" s="3"/>
      <c r="V351" s="18"/>
      <c r="W351" s="3"/>
      <c r="X351" s="3"/>
      <c r="Y351" s="3"/>
      <c r="Z351" s="3"/>
      <c r="AA351" s="3"/>
    </row>
    <row r="352" spans="1:27" ht="24.75" customHeight="1">
      <c r="A352" s="3"/>
      <c r="B352" s="3"/>
      <c r="C352" s="3"/>
      <c r="D352" s="3"/>
      <c r="E352" s="3"/>
      <c r="F352" s="3"/>
      <c r="G352" s="3"/>
      <c r="H352" s="3"/>
      <c r="I352" s="3"/>
      <c r="J352" s="3"/>
      <c r="K352" s="3"/>
      <c r="L352" s="3"/>
      <c r="M352" s="3"/>
      <c r="N352" s="3"/>
      <c r="O352" s="3"/>
      <c r="P352" s="3"/>
      <c r="Q352" s="3"/>
      <c r="R352" s="3"/>
      <c r="S352" s="3"/>
      <c r="T352" s="3"/>
      <c r="U352" s="3"/>
      <c r="V352" s="18"/>
      <c r="W352" s="3"/>
      <c r="X352" s="3"/>
      <c r="Y352" s="3"/>
      <c r="Z352" s="3"/>
      <c r="AA352" s="3"/>
    </row>
    <row r="353" spans="1:27" ht="24.75" customHeight="1">
      <c r="A353" s="3"/>
      <c r="B353" s="3"/>
      <c r="C353" s="3"/>
      <c r="D353" s="3"/>
      <c r="E353" s="3"/>
      <c r="F353" s="3"/>
      <c r="G353" s="3"/>
      <c r="H353" s="3"/>
      <c r="I353" s="3"/>
      <c r="J353" s="3"/>
      <c r="K353" s="3"/>
      <c r="L353" s="3"/>
      <c r="M353" s="3"/>
      <c r="N353" s="3"/>
      <c r="O353" s="3"/>
      <c r="P353" s="3"/>
      <c r="Q353" s="3"/>
      <c r="R353" s="3"/>
      <c r="S353" s="3"/>
      <c r="T353" s="3"/>
      <c r="U353" s="3"/>
      <c r="V353" s="18"/>
      <c r="W353" s="3"/>
      <c r="X353" s="3"/>
      <c r="Y353" s="3"/>
      <c r="Z353" s="3"/>
      <c r="AA353" s="3"/>
    </row>
    <row r="354" spans="1:27" ht="24.75" customHeight="1">
      <c r="A354" s="3"/>
      <c r="B354" s="3"/>
      <c r="C354" s="3"/>
      <c r="D354" s="3"/>
      <c r="E354" s="3"/>
      <c r="F354" s="3"/>
      <c r="G354" s="3"/>
      <c r="H354" s="3"/>
      <c r="I354" s="3"/>
      <c r="J354" s="3"/>
      <c r="K354" s="3"/>
      <c r="L354" s="3"/>
      <c r="M354" s="3"/>
      <c r="N354" s="3"/>
      <c r="O354" s="3"/>
      <c r="P354" s="3"/>
      <c r="Q354" s="3"/>
      <c r="R354" s="3"/>
      <c r="S354" s="3"/>
      <c r="T354" s="3"/>
      <c r="U354" s="3"/>
      <c r="V354" s="18"/>
      <c r="W354" s="3"/>
      <c r="X354" s="3"/>
      <c r="Y354" s="3"/>
      <c r="Z354" s="3"/>
      <c r="AA354" s="3"/>
    </row>
    <row r="355" spans="1:27" ht="24.75" customHeight="1">
      <c r="A355" s="3"/>
      <c r="B355" s="3"/>
      <c r="C355" s="3"/>
      <c r="D355" s="3"/>
      <c r="E355" s="3"/>
      <c r="F355" s="3"/>
      <c r="G355" s="3"/>
      <c r="H355" s="3"/>
      <c r="I355" s="3"/>
      <c r="J355" s="3"/>
      <c r="K355" s="3"/>
      <c r="L355" s="3"/>
      <c r="M355" s="3"/>
      <c r="N355" s="3"/>
      <c r="O355" s="3"/>
      <c r="P355" s="3"/>
      <c r="Q355" s="3"/>
      <c r="R355" s="3"/>
      <c r="S355" s="3"/>
      <c r="T355" s="3"/>
      <c r="U355" s="3"/>
      <c r="V355" s="18"/>
      <c r="W355" s="3"/>
      <c r="X355" s="3"/>
      <c r="Y355" s="3"/>
      <c r="Z355" s="3"/>
      <c r="AA355" s="3"/>
    </row>
    <row r="356" spans="1:27" ht="24.75" customHeight="1">
      <c r="A356" s="3"/>
      <c r="B356" s="3"/>
      <c r="C356" s="3"/>
      <c r="D356" s="3"/>
      <c r="E356" s="3"/>
      <c r="F356" s="3"/>
      <c r="G356" s="3"/>
      <c r="H356" s="3"/>
      <c r="I356" s="3"/>
      <c r="J356" s="3"/>
      <c r="K356" s="3"/>
      <c r="L356" s="3"/>
      <c r="M356" s="3"/>
      <c r="N356" s="3"/>
      <c r="O356" s="3"/>
      <c r="P356" s="3"/>
      <c r="Q356" s="3"/>
      <c r="R356" s="3"/>
      <c r="S356" s="3"/>
      <c r="T356" s="3"/>
      <c r="U356" s="3"/>
      <c r="V356" s="18"/>
      <c r="W356" s="3"/>
      <c r="X356" s="3"/>
      <c r="Y356" s="3"/>
      <c r="Z356" s="3"/>
      <c r="AA356" s="3"/>
    </row>
    <row r="357" spans="1:27" ht="24.75" customHeight="1">
      <c r="A357" s="3"/>
      <c r="B357" s="3"/>
      <c r="C357" s="3"/>
      <c r="D357" s="3"/>
      <c r="E357" s="3"/>
      <c r="F357" s="3"/>
      <c r="G357" s="3"/>
      <c r="H357" s="3"/>
      <c r="I357" s="3"/>
      <c r="J357" s="3"/>
      <c r="K357" s="3"/>
      <c r="L357" s="3"/>
      <c r="M357" s="3"/>
      <c r="N357" s="3"/>
      <c r="O357" s="3"/>
      <c r="P357" s="3"/>
      <c r="Q357" s="3"/>
      <c r="R357" s="3"/>
      <c r="S357" s="3"/>
      <c r="T357" s="3"/>
      <c r="U357" s="3"/>
      <c r="V357" s="18"/>
      <c r="W357" s="3"/>
      <c r="X357" s="3"/>
      <c r="Y357" s="3"/>
      <c r="Z357" s="3"/>
      <c r="AA357" s="3"/>
    </row>
    <row r="358" spans="1:27" ht="24.75" customHeight="1">
      <c r="A358" s="3"/>
      <c r="B358" s="3"/>
      <c r="C358" s="3"/>
      <c r="D358" s="3"/>
      <c r="E358" s="3"/>
      <c r="F358" s="3"/>
      <c r="G358" s="3"/>
      <c r="H358" s="3"/>
      <c r="I358" s="3"/>
      <c r="J358" s="3"/>
      <c r="K358" s="3"/>
      <c r="L358" s="3"/>
      <c r="M358" s="3"/>
      <c r="N358" s="3"/>
      <c r="O358" s="3"/>
      <c r="P358" s="3"/>
      <c r="Q358" s="3"/>
      <c r="R358" s="3"/>
      <c r="S358" s="3"/>
      <c r="T358" s="3"/>
      <c r="U358" s="3"/>
      <c r="V358" s="18"/>
      <c r="W358" s="3"/>
      <c r="X358" s="3"/>
      <c r="Y358" s="3"/>
      <c r="Z358" s="3"/>
      <c r="AA358" s="3"/>
    </row>
    <row r="359" spans="1:27" ht="24.75" customHeight="1">
      <c r="A359" s="3"/>
      <c r="B359" s="3"/>
      <c r="C359" s="3"/>
      <c r="D359" s="3"/>
      <c r="E359" s="3"/>
      <c r="F359" s="3"/>
      <c r="G359" s="3"/>
      <c r="H359" s="3"/>
      <c r="I359" s="3"/>
      <c r="J359" s="3"/>
      <c r="K359" s="3"/>
      <c r="L359" s="3"/>
      <c r="M359" s="3"/>
      <c r="N359" s="3"/>
      <c r="O359" s="3"/>
      <c r="P359" s="3"/>
      <c r="Q359" s="3"/>
      <c r="R359" s="3"/>
      <c r="S359" s="3"/>
      <c r="T359" s="3"/>
      <c r="U359" s="3"/>
      <c r="V359" s="18"/>
      <c r="W359" s="3"/>
      <c r="X359" s="3"/>
      <c r="Y359" s="3"/>
      <c r="Z359" s="3"/>
      <c r="AA359" s="3"/>
    </row>
    <row r="360" spans="1:27" ht="15.75" customHeight="1">
      <c r="A360" s="12"/>
      <c r="B360" s="12"/>
      <c r="C360" s="12"/>
      <c r="D360" s="12"/>
      <c r="E360" s="12"/>
      <c r="F360" s="12"/>
      <c r="G360" s="12"/>
      <c r="H360" s="12"/>
      <c r="I360" s="12"/>
      <c r="J360" s="12"/>
      <c r="K360" s="12"/>
      <c r="L360" s="12"/>
      <c r="M360" s="12"/>
      <c r="N360" s="12"/>
      <c r="O360" s="12"/>
      <c r="P360" s="12"/>
      <c r="Q360" s="12"/>
      <c r="R360" s="12"/>
      <c r="S360" s="12"/>
      <c r="T360" s="12"/>
      <c r="U360" s="12"/>
      <c r="W360" s="12"/>
      <c r="X360" s="12"/>
      <c r="Y360" s="12"/>
      <c r="Z360" s="12"/>
      <c r="AA360" s="12"/>
    </row>
    <row r="361" spans="1:27" ht="15.75" customHeight="1">
      <c r="A361" s="12"/>
      <c r="B361" s="12"/>
      <c r="C361" s="12"/>
      <c r="D361" s="12"/>
      <c r="E361" s="12"/>
      <c r="F361" s="12"/>
      <c r="G361" s="12"/>
      <c r="H361" s="12"/>
      <c r="I361" s="12"/>
      <c r="J361" s="12"/>
      <c r="K361" s="12"/>
      <c r="L361" s="12"/>
      <c r="M361" s="12"/>
      <c r="N361" s="12"/>
      <c r="O361" s="12"/>
      <c r="P361" s="12"/>
      <c r="Q361" s="12"/>
      <c r="R361" s="12"/>
      <c r="S361" s="12"/>
      <c r="T361" s="12"/>
      <c r="U361" s="12"/>
      <c r="W361" s="12"/>
      <c r="X361" s="12"/>
      <c r="Y361" s="12"/>
      <c r="Z361" s="12"/>
      <c r="AA361" s="12"/>
    </row>
    <row r="362" spans="1:27" ht="15.75" customHeight="1">
      <c r="A362" s="12"/>
      <c r="B362" s="12"/>
      <c r="C362" s="12"/>
      <c r="D362" s="12"/>
      <c r="E362" s="12"/>
      <c r="F362" s="12"/>
      <c r="G362" s="12"/>
      <c r="H362" s="12"/>
      <c r="I362" s="12"/>
      <c r="J362" s="12"/>
      <c r="K362" s="12"/>
      <c r="L362" s="12"/>
      <c r="M362" s="12"/>
      <c r="N362" s="12"/>
      <c r="O362" s="12"/>
      <c r="P362" s="12"/>
      <c r="Q362" s="12"/>
      <c r="R362" s="12"/>
      <c r="S362" s="12"/>
      <c r="T362" s="12"/>
      <c r="U362" s="12"/>
      <c r="W362" s="12"/>
      <c r="X362" s="12"/>
      <c r="Y362" s="12"/>
      <c r="Z362" s="12"/>
      <c r="AA362" s="12"/>
    </row>
    <row r="363" spans="1:27" ht="15.75" customHeight="1">
      <c r="A363" s="12"/>
      <c r="B363" s="12"/>
      <c r="C363" s="12"/>
      <c r="D363" s="12"/>
      <c r="E363" s="12"/>
      <c r="F363" s="12"/>
      <c r="G363" s="12"/>
      <c r="H363" s="12"/>
      <c r="I363" s="12"/>
      <c r="J363" s="12"/>
      <c r="K363" s="12"/>
      <c r="L363" s="12"/>
      <c r="M363" s="12"/>
      <c r="N363" s="12"/>
      <c r="O363" s="12"/>
      <c r="P363" s="12"/>
      <c r="Q363" s="12"/>
      <c r="R363" s="12"/>
      <c r="S363" s="12"/>
      <c r="T363" s="12"/>
      <c r="U363" s="12"/>
      <c r="W363" s="12"/>
      <c r="X363" s="12"/>
      <c r="Y363" s="12"/>
      <c r="Z363" s="12"/>
      <c r="AA363" s="12"/>
    </row>
    <row r="364" spans="1:27" ht="15.75" customHeight="1">
      <c r="A364" s="12"/>
      <c r="B364" s="12"/>
      <c r="C364" s="12"/>
      <c r="D364" s="12"/>
      <c r="E364" s="12"/>
      <c r="F364" s="12"/>
      <c r="G364" s="12"/>
      <c r="H364" s="12"/>
      <c r="I364" s="12"/>
      <c r="J364" s="12"/>
      <c r="K364" s="12"/>
      <c r="L364" s="12"/>
      <c r="M364" s="12"/>
      <c r="N364" s="12"/>
      <c r="O364" s="12"/>
      <c r="P364" s="12"/>
      <c r="Q364" s="12"/>
      <c r="R364" s="12"/>
      <c r="S364" s="12"/>
      <c r="T364" s="12"/>
      <c r="U364" s="12"/>
      <c r="W364" s="12"/>
      <c r="X364" s="12"/>
      <c r="Y364" s="12"/>
      <c r="Z364" s="12"/>
      <c r="AA364" s="12"/>
    </row>
    <row r="365" spans="1:27" ht="15.75" customHeight="1">
      <c r="A365" s="12"/>
      <c r="B365" s="12"/>
      <c r="C365" s="12"/>
      <c r="D365" s="12"/>
      <c r="E365" s="12"/>
      <c r="F365" s="12"/>
      <c r="G365" s="12"/>
      <c r="H365" s="12"/>
      <c r="I365" s="12"/>
      <c r="J365" s="12"/>
      <c r="K365" s="12"/>
      <c r="L365" s="12"/>
      <c r="M365" s="12"/>
      <c r="N365" s="12"/>
      <c r="O365" s="12"/>
      <c r="P365" s="12"/>
      <c r="Q365" s="12"/>
      <c r="R365" s="12"/>
      <c r="S365" s="12"/>
      <c r="T365" s="12"/>
      <c r="U365" s="12"/>
      <c r="W365" s="12"/>
      <c r="X365" s="12"/>
      <c r="Y365" s="12"/>
      <c r="Z365" s="12"/>
      <c r="AA365" s="12"/>
    </row>
    <row r="366" spans="1:27" ht="15.75" customHeight="1">
      <c r="A366" s="12"/>
      <c r="B366" s="12"/>
      <c r="C366" s="12"/>
      <c r="D366" s="12"/>
      <c r="E366" s="12"/>
      <c r="F366" s="12"/>
      <c r="G366" s="12"/>
      <c r="H366" s="12"/>
      <c r="I366" s="12"/>
      <c r="J366" s="12"/>
      <c r="K366" s="12"/>
      <c r="L366" s="12"/>
      <c r="M366" s="12"/>
      <c r="N366" s="12"/>
      <c r="O366" s="12"/>
      <c r="P366" s="12"/>
      <c r="Q366" s="12"/>
      <c r="R366" s="12"/>
      <c r="S366" s="12"/>
      <c r="T366" s="12"/>
      <c r="U366" s="12"/>
      <c r="W366" s="12"/>
      <c r="X366" s="12"/>
      <c r="Y366" s="12"/>
      <c r="Z366" s="12"/>
      <c r="AA366" s="12"/>
    </row>
    <row r="367" spans="1:27" ht="15.75" customHeight="1">
      <c r="A367" s="12"/>
      <c r="B367" s="12"/>
      <c r="C367" s="12"/>
      <c r="D367" s="12"/>
      <c r="E367" s="12"/>
      <c r="F367" s="12"/>
      <c r="G367" s="12"/>
      <c r="H367" s="12"/>
      <c r="I367" s="12"/>
      <c r="J367" s="12"/>
      <c r="K367" s="12"/>
      <c r="L367" s="12"/>
      <c r="M367" s="12"/>
      <c r="N367" s="12"/>
      <c r="O367" s="12"/>
      <c r="P367" s="12"/>
      <c r="Q367" s="12"/>
      <c r="R367" s="12"/>
      <c r="S367" s="12"/>
      <c r="T367" s="12"/>
      <c r="U367" s="12"/>
      <c r="W367" s="12"/>
      <c r="X367" s="12"/>
      <c r="Y367" s="12"/>
      <c r="Z367" s="12"/>
      <c r="AA367" s="12"/>
    </row>
    <row r="368" spans="1:27" ht="15.75" customHeight="1">
      <c r="A368" s="12"/>
      <c r="B368" s="12"/>
      <c r="C368" s="12"/>
      <c r="D368" s="12"/>
      <c r="E368" s="12"/>
      <c r="F368" s="12"/>
      <c r="G368" s="12"/>
      <c r="H368" s="12"/>
      <c r="I368" s="12"/>
      <c r="J368" s="12"/>
      <c r="K368" s="12"/>
      <c r="L368" s="12"/>
      <c r="M368" s="12"/>
      <c r="N368" s="12"/>
      <c r="O368" s="12"/>
      <c r="P368" s="12"/>
      <c r="Q368" s="12"/>
      <c r="R368" s="12"/>
      <c r="S368" s="12"/>
      <c r="T368" s="12"/>
      <c r="U368" s="12"/>
      <c r="W368" s="12"/>
      <c r="X368" s="12"/>
      <c r="Y368" s="12"/>
      <c r="Z368" s="12"/>
      <c r="AA368" s="12"/>
    </row>
    <row r="369" spans="1:27" ht="15.75" customHeight="1">
      <c r="A369" s="12"/>
      <c r="B369" s="12"/>
      <c r="C369" s="12"/>
      <c r="D369" s="12"/>
      <c r="E369" s="12"/>
      <c r="F369" s="12"/>
      <c r="G369" s="12"/>
      <c r="H369" s="12"/>
      <c r="I369" s="12"/>
      <c r="J369" s="12"/>
      <c r="K369" s="12"/>
      <c r="L369" s="12"/>
      <c r="M369" s="12"/>
      <c r="N369" s="12"/>
      <c r="O369" s="12"/>
      <c r="P369" s="12"/>
      <c r="Q369" s="12"/>
      <c r="R369" s="12"/>
      <c r="S369" s="12"/>
      <c r="T369" s="12"/>
      <c r="U369" s="12"/>
      <c r="W369" s="12"/>
      <c r="X369" s="12"/>
      <c r="Y369" s="12"/>
      <c r="Z369" s="12"/>
      <c r="AA369" s="12"/>
    </row>
    <row r="370" spans="1:27" ht="15.75" customHeight="1">
      <c r="A370" s="12"/>
      <c r="B370" s="12"/>
      <c r="C370" s="12"/>
      <c r="D370" s="12"/>
      <c r="E370" s="12"/>
      <c r="F370" s="12"/>
      <c r="G370" s="12"/>
      <c r="H370" s="12"/>
      <c r="I370" s="12"/>
      <c r="J370" s="12"/>
      <c r="K370" s="12"/>
      <c r="L370" s="12"/>
      <c r="M370" s="12"/>
      <c r="N370" s="12"/>
      <c r="O370" s="12"/>
      <c r="P370" s="12"/>
      <c r="Q370" s="12"/>
      <c r="R370" s="12"/>
      <c r="S370" s="12"/>
      <c r="T370" s="12"/>
      <c r="U370" s="12"/>
      <c r="W370" s="12"/>
      <c r="X370" s="12"/>
      <c r="Y370" s="12"/>
      <c r="Z370" s="12"/>
      <c r="AA370" s="12"/>
    </row>
    <row r="371" spans="1:27" ht="15.75" customHeight="1">
      <c r="A371" s="12"/>
      <c r="B371" s="12"/>
      <c r="C371" s="12"/>
      <c r="D371" s="12"/>
      <c r="E371" s="12"/>
      <c r="F371" s="12"/>
      <c r="G371" s="12"/>
      <c r="H371" s="12"/>
      <c r="I371" s="12"/>
      <c r="J371" s="12"/>
      <c r="K371" s="12"/>
      <c r="L371" s="12"/>
      <c r="M371" s="12"/>
      <c r="N371" s="12"/>
      <c r="O371" s="12"/>
      <c r="P371" s="12"/>
      <c r="Q371" s="12"/>
      <c r="R371" s="12"/>
      <c r="S371" s="12"/>
      <c r="T371" s="12"/>
      <c r="U371" s="12"/>
      <c r="W371" s="12"/>
      <c r="X371" s="12"/>
      <c r="Y371" s="12"/>
      <c r="Z371" s="12"/>
      <c r="AA371" s="12"/>
    </row>
    <row r="372" spans="1:27" ht="15.75" customHeight="1">
      <c r="A372" s="12"/>
      <c r="B372" s="12"/>
      <c r="C372" s="12"/>
      <c r="D372" s="12"/>
      <c r="E372" s="12"/>
      <c r="F372" s="12"/>
      <c r="G372" s="12"/>
      <c r="H372" s="12"/>
      <c r="I372" s="12"/>
      <c r="J372" s="12"/>
      <c r="K372" s="12"/>
      <c r="L372" s="12"/>
      <c r="M372" s="12"/>
      <c r="N372" s="12"/>
      <c r="O372" s="12"/>
      <c r="P372" s="12"/>
      <c r="Q372" s="12"/>
      <c r="R372" s="12"/>
      <c r="S372" s="12"/>
      <c r="T372" s="12"/>
      <c r="U372" s="12"/>
      <c r="W372" s="12"/>
      <c r="X372" s="12"/>
      <c r="Y372" s="12"/>
      <c r="Z372" s="12"/>
      <c r="AA372" s="12"/>
    </row>
    <row r="373" spans="1:27" ht="15.75" customHeight="1">
      <c r="A373" s="12"/>
      <c r="B373" s="12"/>
      <c r="C373" s="12"/>
      <c r="D373" s="12"/>
      <c r="E373" s="12"/>
      <c r="F373" s="12"/>
      <c r="G373" s="12"/>
      <c r="H373" s="12"/>
      <c r="I373" s="12"/>
      <c r="J373" s="12"/>
      <c r="K373" s="12"/>
      <c r="L373" s="12"/>
      <c r="M373" s="12"/>
      <c r="N373" s="12"/>
      <c r="O373" s="12"/>
      <c r="P373" s="12"/>
      <c r="Q373" s="12"/>
      <c r="R373" s="12"/>
      <c r="S373" s="12"/>
      <c r="T373" s="12"/>
      <c r="U373" s="12"/>
      <c r="W373" s="12"/>
      <c r="X373" s="12"/>
      <c r="Y373" s="12"/>
      <c r="Z373" s="12"/>
      <c r="AA373" s="12"/>
    </row>
    <row r="374" spans="1:27" ht="15.75" customHeight="1">
      <c r="A374" s="12"/>
      <c r="B374" s="12"/>
      <c r="C374" s="12"/>
      <c r="D374" s="12"/>
      <c r="E374" s="12"/>
      <c r="F374" s="12"/>
      <c r="G374" s="12"/>
      <c r="H374" s="12"/>
      <c r="I374" s="12"/>
      <c r="J374" s="12"/>
      <c r="K374" s="12"/>
      <c r="L374" s="12"/>
      <c r="M374" s="12"/>
      <c r="N374" s="12"/>
      <c r="O374" s="12"/>
      <c r="P374" s="12"/>
      <c r="Q374" s="12"/>
      <c r="R374" s="12"/>
      <c r="S374" s="12"/>
      <c r="T374" s="12"/>
      <c r="U374" s="12"/>
      <c r="W374" s="12"/>
      <c r="X374" s="12"/>
      <c r="Y374" s="12"/>
      <c r="Z374" s="12"/>
      <c r="AA374" s="12"/>
    </row>
    <row r="375" spans="1:27" ht="15.75" customHeight="1">
      <c r="A375" s="12"/>
      <c r="B375" s="12"/>
      <c r="C375" s="12"/>
      <c r="D375" s="12"/>
      <c r="E375" s="12"/>
      <c r="F375" s="12"/>
      <c r="G375" s="12"/>
      <c r="H375" s="12"/>
      <c r="I375" s="12"/>
      <c r="J375" s="12"/>
      <c r="K375" s="12"/>
      <c r="L375" s="12"/>
      <c r="M375" s="12"/>
      <c r="N375" s="12"/>
      <c r="O375" s="12"/>
      <c r="P375" s="12"/>
      <c r="Q375" s="12"/>
      <c r="R375" s="12"/>
      <c r="S375" s="12"/>
      <c r="T375" s="12"/>
      <c r="U375" s="12"/>
      <c r="W375" s="12"/>
      <c r="X375" s="12"/>
      <c r="Y375" s="12"/>
      <c r="Z375" s="12"/>
      <c r="AA375" s="12"/>
    </row>
    <row r="376" spans="1:27" ht="15.75" customHeight="1">
      <c r="A376" s="12"/>
      <c r="B376" s="12"/>
      <c r="C376" s="12"/>
      <c r="D376" s="12"/>
      <c r="E376" s="12"/>
      <c r="F376" s="12"/>
      <c r="G376" s="12"/>
      <c r="H376" s="12"/>
      <c r="I376" s="12"/>
      <c r="J376" s="12"/>
      <c r="K376" s="12"/>
      <c r="L376" s="12"/>
      <c r="M376" s="12"/>
      <c r="N376" s="12"/>
      <c r="O376" s="12"/>
      <c r="P376" s="12"/>
      <c r="Q376" s="12"/>
      <c r="R376" s="12"/>
      <c r="S376" s="12"/>
      <c r="T376" s="12"/>
      <c r="U376" s="12"/>
      <c r="W376" s="12"/>
      <c r="X376" s="12"/>
      <c r="Y376" s="12"/>
      <c r="Z376" s="12"/>
      <c r="AA376" s="12"/>
    </row>
    <row r="377" spans="1:27" ht="15.75" customHeight="1">
      <c r="A377" s="12"/>
      <c r="B377" s="12"/>
      <c r="C377" s="12"/>
      <c r="D377" s="12"/>
      <c r="E377" s="12"/>
      <c r="F377" s="12"/>
      <c r="G377" s="12"/>
      <c r="H377" s="12"/>
      <c r="I377" s="12"/>
      <c r="J377" s="12"/>
      <c r="K377" s="12"/>
      <c r="L377" s="12"/>
      <c r="M377" s="12"/>
      <c r="N377" s="12"/>
      <c r="O377" s="12"/>
      <c r="P377" s="12"/>
      <c r="Q377" s="12"/>
      <c r="R377" s="12"/>
      <c r="S377" s="12"/>
      <c r="T377" s="12"/>
      <c r="U377" s="12"/>
      <c r="W377" s="12"/>
      <c r="X377" s="12"/>
      <c r="Y377" s="12"/>
      <c r="Z377" s="12"/>
      <c r="AA377" s="12"/>
    </row>
    <row r="378" spans="1:27" ht="15.75" customHeight="1">
      <c r="A378" s="12"/>
      <c r="B378" s="12"/>
      <c r="C378" s="12"/>
      <c r="D378" s="12"/>
      <c r="E378" s="12"/>
      <c r="F378" s="12"/>
      <c r="G378" s="12"/>
      <c r="H378" s="12"/>
      <c r="I378" s="12"/>
      <c r="J378" s="12"/>
      <c r="K378" s="12"/>
      <c r="L378" s="12"/>
      <c r="M378" s="12"/>
      <c r="N378" s="12"/>
      <c r="O378" s="12"/>
      <c r="P378" s="12"/>
      <c r="Q378" s="12"/>
      <c r="R378" s="12"/>
      <c r="S378" s="12"/>
      <c r="T378" s="12"/>
      <c r="U378" s="12"/>
      <c r="W378" s="12"/>
      <c r="X378" s="12"/>
      <c r="Y378" s="12"/>
      <c r="Z378" s="12"/>
      <c r="AA378" s="12"/>
    </row>
    <row r="379" spans="1:27" ht="15.75" customHeight="1">
      <c r="A379" s="12"/>
      <c r="B379" s="12"/>
      <c r="C379" s="12"/>
      <c r="D379" s="12"/>
      <c r="E379" s="12"/>
      <c r="F379" s="12"/>
      <c r="G379" s="12"/>
      <c r="H379" s="12"/>
      <c r="I379" s="12"/>
      <c r="J379" s="12"/>
      <c r="K379" s="12"/>
      <c r="L379" s="12"/>
      <c r="M379" s="12"/>
      <c r="N379" s="12"/>
      <c r="O379" s="12"/>
      <c r="P379" s="12"/>
      <c r="Q379" s="12"/>
      <c r="R379" s="12"/>
      <c r="S379" s="12"/>
      <c r="T379" s="12"/>
      <c r="U379" s="12"/>
      <c r="W379" s="12"/>
      <c r="X379" s="12"/>
      <c r="Y379" s="12"/>
      <c r="Z379" s="12"/>
      <c r="AA379" s="12"/>
    </row>
    <row r="380" spans="1:27" ht="15.75" customHeight="1">
      <c r="A380" s="12"/>
      <c r="B380" s="12"/>
      <c r="C380" s="12"/>
      <c r="D380" s="12"/>
      <c r="E380" s="12"/>
      <c r="F380" s="12"/>
      <c r="G380" s="12"/>
      <c r="H380" s="12"/>
      <c r="I380" s="12"/>
      <c r="J380" s="12"/>
      <c r="K380" s="12"/>
      <c r="L380" s="12"/>
      <c r="M380" s="12"/>
      <c r="N380" s="12"/>
      <c r="O380" s="12"/>
      <c r="P380" s="12"/>
      <c r="Q380" s="12"/>
      <c r="R380" s="12"/>
      <c r="S380" s="12"/>
      <c r="T380" s="12"/>
      <c r="U380" s="12"/>
      <c r="W380" s="12"/>
      <c r="X380" s="12"/>
      <c r="Y380" s="12"/>
      <c r="Z380" s="12"/>
      <c r="AA380" s="12"/>
    </row>
    <row r="381" spans="1:27" ht="15.75" customHeight="1">
      <c r="A381" s="12"/>
      <c r="B381" s="12"/>
      <c r="C381" s="12"/>
      <c r="D381" s="12"/>
      <c r="E381" s="12"/>
      <c r="F381" s="12"/>
      <c r="G381" s="12"/>
      <c r="H381" s="12"/>
      <c r="I381" s="12"/>
      <c r="J381" s="12"/>
      <c r="K381" s="12"/>
      <c r="L381" s="12"/>
      <c r="M381" s="12"/>
      <c r="N381" s="12"/>
      <c r="O381" s="12"/>
      <c r="P381" s="12"/>
      <c r="Q381" s="12"/>
      <c r="R381" s="12"/>
      <c r="S381" s="12"/>
      <c r="T381" s="12"/>
      <c r="U381" s="12"/>
      <c r="W381" s="12"/>
      <c r="X381" s="12"/>
      <c r="Y381" s="12"/>
      <c r="Z381" s="12"/>
      <c r="AA381" s="12"/>
    </row>
    <row r="382" spans="1:27" ht="15.75" customHeight="1">
      <c r="A382" s="12"/>
      <c r="B382" s="12"/>
      <c r="C382" s="12"/>
      <c r="D382" s="12"/>
      <c r="E382" s="12"/>
      <c r="F382" s="12"/>
      <c r="G382" s="12"/>
      <c r="H382" s="12"/>
      <c r="I382" s="12"/>
      <c r="J382" s="12"/>
      <c r="K382" s="12"/>
      <c r="L382" s="12"/>
      <c r="M382" s="12"/>
      <c r="N382" s="12"/>
      <c r="O382" s="12"/>
      <c r="P382" s="12"/>
      <c r="Q382" s="12"/>
      <c r="R382" s="12"/>
      <c r="S382" s="12"/>
      <c r="T382" s="12"/>
      <c r="U382" s="12"/>
      <c r="W382" s="12"/>
      <c r="X382" s="12"/>
      <c r="Y382" s="12"/>
      <c r="Z382" s="12"/>
      <c r="AA382" s="12"/>
    </row>
    <row r="383" spans="1:27" ht="15.75" customHeight="1">
      <c r="A383" s="12"/>
      <c r="B383" s="12"/>
      <c r="C383" s="12"/>
      <c r="D383" s="12"/>
      <c r="E383" s="12"/>
      <c r="F383" s="12"/>
      <c r="G383" s="12"/>
      <c r="H383" s="12"/>
      <c r="I383" s="12"/>
      <c r="J383" s="12"/>
      <c r="K383" s="12"/>
      <c r="L383" s="12"/>
      <c r="M383" s="12"/>
      <c r="N383" s="12"/>
      <c r="O383" s="12"/>
      <c r="P383" s="12"/>
      <c r="Q383" s="12"/>
      <c r="R383" s="12"/>
      <c r="S383" s="12"/>
      <c r="T383" s="12"/>
      <c r="U383" s="12"/>
      <c r="W383" s="12"/>
      <c r="X383" s="12"/>
      <c r="Y383" s="12"/>
      <c r="Z383" s="12"/>
      <c r="AA383" s="12"/>
    </row>
    <row r="384" spans="1:27" ht="15.75" customHeight="1">
      <c r="A384" s="12"/>
      <c r="B384" s="12"/>
      <c r="C384" s="12"/>
      <c r="D384" s="12"/>
      <c r="E384" s="12"/>
      <c r="F384" s="12"/>
      <c r="G384" s="12"/>
      <c r="H384" s="12"/>
      <c r="I384" s="12"/>
      <c r="J384" s="12"/>
      <c r="K384" s="12"/>
      <c r="L384" s="12"/>
      <c r="M384" s="12"/>
      <c r="N384" s="12"/>
      <c r="O384" s="12"/>
      <c r="P384" s="12"/>
      <c r="Q384" s="12"/>
      <c r="R384" s="12"/>
      <c r="S384" s="12"/>
      <c r="T384" s="12"/>
      <c r="U384" s="12"/>
      <c r="W384" s="12"/>
      <c r="X384" s="12"/>
      <c r="Y384" s="12"/>
      <c r="Z384" s="12"/>
      <c r="AA384" s="12"/>
    </row>
    <row r="385" spans="1:27" ht="15.75" customHeight="1">
      <c r="A385" s="12"/>
      <c r="B385" s="12"/>
      <c r="C385" s="12"/>
      <c r="D385" s="12"/>
      <c r="E385" s="12"/>
      <c r="F385" s="12"/>
      <c r="G385" s="12"/>
      <c r="H385" s="12"/>
      <c r="I385" s="12"/>
      <c r="J385" s="12"/>
      <c r="K385" s="12"/>
      <c r="L385" s="12"/>
      <c r="M385" s="12"/>
      <c r="N385" s="12"/>
      <c r="O385" s="12"/>
      <c r="P385" s="12"/>
      <c r="Q385" s="12"/>
      <c r="R385" s="12"/>
      <c r="S385" s="12"/>
      <c r="T385" s="12"/>
      <c r="U385" s="12"/>
      <c r="W385" s="12"/>
      <c r="X385" s="12"/>
      <c r="Y385" s="12"/>
      <c r="Z385" s="12"/>
      <c r="AA385" s="12"/>
    </row>
    <row r="386" spans="1:27" ht="15.75" customHeight="1">
      <c r="A386" s="12"/>
      <c r="B386" s="12"/>
      <c r="C386" s="12"/>
      <c r="D386" s="12"/>
      <c r="E386" s="12"/>
      <c r="F386" s="12"/>
      <c r="G386" s="12"/>
      <c r="H386" s="12"/>
      <c r="I386" s="12"/>
      <c r="J386" s="12"/>
      <c r="K386" s="12"/>
      <c r="L386" s="12"/>
      <c r="M386" s="12"/>
      <c r="N386" s="12"/>
      <c r="O386" s="12"/>
      <c r="P386" s="12"/>
      <c r="Q386" s="12"/>
      <c r="R386" s="12"/>
      <c r="S386" s="12"/>
      <c r="T386" s="12"/>
      <c r="U386" s="12"/>
      <c r="W386" s="12"/>
      <c r="X386" s="12"/>
      <c r="Y386" s="12"/>
      <c r="Z386" s="12"/>
      <c r="AA386" s="12"/>
    </row>
    <row r="387" spans="1:27" ht="15.75" customHeight="1">
      <c r="A387" s="12"/>
      <c r="B387" s="12"/>
      <c r="C387" s="12"/>
      <c r="D387" s="12"/>
      <c r="E387" s="12"/>
      <c r="F387" s="12"/>
      <c r="G387" s="12"/>
      <c r="H387" s="12"/>
      <c r="I387" s="12"/>
      <c r="J387" s="12"/>
      <c r="K387" s="12"/>
      <c r="L387" s="12"/>
      <c r="M387" s="12"/>
      <c r="N387" s="12"/>
      <c r="O387" s="12"/>
      <c r="P387" s="12"/>
      <c r="Q387" s="12"/>
      <c r="R387" s="12"/>
      <c r="S387" s="12"/>
      <c r="T387" s="12"/>
      <c r="U387" s="12"/>
      <c r="W387" s="12"/>
      <c r="X387" s="12"/>
      <c r="Y387" s="12"/>
      <c r="Z387" s="12"/>
      <c r="AA387" s="12"/>
    </row>
    <row r="388" spans="1:27" ht="15.75" customHeight="1">
      <c r="A388" s="12"/>
      <c r="B388" s="12"/>
      <c r="C388" s="12"/>
      <c r="D388" s="12"/>
      <c r="E388" s="12"/>
      <c r="F388" s="12"/>
      <c r="G388" s="12"/>
      <c r="H388" s="12"/>
      <c r="I388" s="12"/>
      <c r="J388" s="12"/>
      <c r="K388" s="12"/>
      <c r="L388" s="12"/>
      <c r="M388" s="12"/>
      <c r="N388" s="12"/>
      <c r="O388" s="12"/>
      <c r="P388" s="12"/>
      <c r="Q388" s="12"/>
      <c r="R388" s="12"/>
      <c r="S388" s="12"/>
      <c r="T388" s="12"/>
      <c r="U388" s="12"/>
      <c r="W388" s="12"/>
      <c r="X388" s="12"/>
      <c r="Y388" s="12"/>
      <c r="Z388" s="12"/>
      <c r="AA388" s="12"/>
    </row>
    <row r="389" spans="1:27" ht="15.75" customHeight="1">
      <c r="A389" s="12"/>
      <c r="B389" s="12"/>
      <c r="C389" s="12"/>
      <c r="D389" s="12"/>
      <c r="E389" s="12"/>
      <c r="F389" s="12"/>
      <c r="G389" s="12"/>
      <c r="H389" s="12"/>
      <c r="I389" s="12"/>
      <c r="J389" s="12"/>
      <c r="K389" s="12"/>
      <c r="L389" s="12"/>
      <c r="M389" s="12"/>
      <c r="N389" s="12"/>
      <c r="O389" s="12"/>
      <c r="P389" s="12"/>
      <c r="Q389" s="12"/>
      <c r="R389" s="12"/>
      <c r="S389" s="12"/>
      <c r="T389" s="12"/>
      <c r="U389" s="12"/>
      <c r="W389" s="12"/>
      <c r="X389" s="12"/>
      <c r="Y389" s="12"/>
      <c r="Z389" s="12"/>
      <c r="AA389" s="12"/>
    </row>
    <row r="390" spans="1:27" ht="15.75" customHeight="1">
      <c r="A390" s="12"/>
      <c r="B390" s="12"/>
      <c r="C390" s="12"/>
      <c r="D390" s="12"/>
      <c r="E390" s="12"/>
      <c r="F390" s="12"/>
      <c r="G390" s="12"/>
      <c r="H390" s="12"/>
      <c r="I390" s="12"/>
      <c r="J390" s="12"/>
      <c r="K390" s="12"/>
      <c r="L390" s="12"/>
      <c r="M390" s="12"/>
      <c r="N390" s="12"/>
      <c r="O390" s="12"/>
      <c r="P390" s="12"/>
      <c r="Q390" s="12"/>
      <c r="R390" s="12"/>
      <c r="S390" s="12"/>
      <c r="T390" s="12"/>
      <c r="U390" s="12"/>
      <c r="W390" s="12"/>
      <c r="X390" s="12"/>
      <c r="Y390" s="12"/>
      <c r="Z390" s="12"/>
      <c r="AA390" s="12"/>
    </row>
    <row r="391" spans="1:27" ht="15.75" customHeight="1">
      <c r="A391" s="12"/>
      <c r="B391" s="12"/>
      <c r="C391" s="12"/>
      <c r="D391" s="12"/>
      <c r="E391" s="12"/>
      <c r="F391" s="12"/>
      <c r="G391" s="12"/>
      <c r="H391" s="12"/>
      <c r="I391" s="12"/>
      <c r="J391" s="12"/>
      <c r="K391" s="12"/>
      <c r="L391" s="12"/>
      <c r="M391" s="12"/>
      <c r="N391" s="12"/>
      <c r="O391" s="12"/>
      <c r="P391" s="12"/>
      <c r="Q391" s="12"/>
      <c r="R391" s="12"/>
      <c r="S391" s="12"/>
      <c r="T391" s="12"/>
      <c r="U391" s="12"/>
      <c r="W391" s="12"/>
      <c r="X391" s="12"/>
      <c r="Y391" s="12"/>
      <c r="Z391" s="12"/>
      <c r="AA391" s="12"/>
    </row>
    <row r="392" spans="1:27" ht="15.75" customHeight="1">
      <c r="A392" s="12"/>
      <c r="B392" s="12"/>
      <c r="C392" s="12"/>
      <c r="D392" s="12"/>
      <c r="E392" s="12"/>
      <c r="F392" s="12"/>
      <c r="G392" s="12"/>
      <c r="H392" s="12"/>
      <c r="I392" s="12"/>
      <c r="J392" s="12"/>
      <c r="K392" s="12"/>
      <c r="L392" s="12"/>
      <c r="M392" s="12"/>
      <c r="N392" s="12"/>
      <c r="O392" s="12"/>
      <c r="P392" s="12"/>
      <c r="Q392" s="12"/>
      <c r="R392" s="12"/>
      <c r="S392" s="12"/>
      <c r="T392" s="12"/>
      <c r="U392" s="12"/>
      <c r="W392" s="12"/>
      <c r="X392" s="12"/>
      <c r="Y392" s="12"/>
      <c r="Z392" s="12"/>
      <c r="AA392" s="12"/>
    </row>
    <row r="393" spans="1:27" ht="15.75" customHeight="1">
      <c r="A393" s="12"/>
      <c r="B393" s="12"/>
      <c r="C393" s="12"/>
      <c r="D393" s="12"/>
      <c r="E393" s="12"/>
      <c r="F393" s="12"/>
      <c r="G393" s="12"/>
      <c r="H393" s="12"/>
      <c r="I393" s="12"/>
      <c r="J393" s="12"/>
      <c r="K393" s="12"/>
      <c r="L393" s="12"/>
      <c r="M393" s="12"/>
      <c r="N393" s="12"/>
      <c r="O393" s="12"/>
      <c r="P393" s="12"/>
      <c r="Q393" s="12"/>
      <c r="R393" s="12"/>
      <c r="S393" s="12"/>
      <c r="T393" s="12"/>
      <c r="U393" s="12"/>
      <c r="W393" s="12"/>
      <c r="X393" s="12"/>
      <c r="Y393" s="12"/>
      <c r="Z393" s="12"/>
      <c r="AA393" s="12"/>
    </row>
    <row r="394" spans="1:27" ht="15.75" customHeight="1">
      <c r="A394" s="12"/>
      <c r="B394" s="12"/>
      <c r="C394" s="12"/>
      <c r="D394" s="12"/>
      <c r="E394" s="12"/>
      <c r="F394" s="12"/>
      <c r="G394" s="12"/>
      <c r="H394" s="12"/>
      <c r="I394" s="12"/>
      <c r="J394" s="12"/>
      <c r="K394" s="12"/>
      <c r="L394" s="12"/>
      <c r="M394" s="12"/>
      <c r="N394" s="12"/>
      <c r="O394" s="12"/>
      <c r="P394" s="12"/>
      <c r="Q394" s="12"/>
      <c r="R394" s="12"/>
      <c r="S394" s="12"/>
      <c r="T394" s="12"/>
      <c r="U394" s="12"/>
      <c r="W394" s="12"/>
      <c r="X394" s="12"/>
      <c r="Y394" s="12"/>
      <c r="Z394" s="12"/>
      <c r="AA394" s="12"/>
    </row>
    <row r="395" spans="1:27" ht="15.75" customHeight="1">
      <c r="A395" s="12"/>
      <c r="B395" s="12"/>
      <c r="C395" s="12"/>
      <c r="D395" s="12"/>
      <c r="E395" s="12"/>
      <c r="F395" s="12"/>
      <c r="G395" s="12"/>
      <c r="H395" s="12"/>
      <c r="I395" s="12"/>
      <c r="J395" s="12"/>
      <c r="K395" s="12"/>
      <c r="L395" s="12"/>
      <c r="M395" s="12"/>
      <c r="N395" s="12"/>
      <c r="O395" s="12"/>
      <c r="P395" s="12"/>
      <c r="Q395" s="12"/>
      <c r="R395" s="12"/>
      <c r="S395" s="12"/>
      <c r="T395" s="12"/>
      <c r="U395" s="12"/>
      <c r="W395" s="12"/>
      <c r="X395" s="12"/>
      <c r="Y395" s="12"/>
      <c r="Z395" s="12"/>
      <c r="AA395" s="12"/>
    </row>
    <row r="396" spans="1:27" ht="15.75" customHeight="1">
      <c r="A396" s="12"/>
      <c r="B396" s="12"/>
      <c r="C396" s="12"/>
      <c r="D396" s="12"/>
      <c r="E396" s="12"/>
      <c r="F396" s="12"/>
      <c r="G396" s="12"/>
      <c r="H396" s="12"/>
      <c r="I396" s="12"/>
      <c r="J396" s="12"/>
      <c r="K396" s="12"/>
      <c r="L396" s="12"/>
      <c r="M396" s="12"/>
      <c r="N396" s="12"/>
      <c r="O396" s="12"/>
      <c r="P396" s="12"/>
      <c r="Q396" s="12"/>
      <c r="R396" s="12"/>
      <c r="S396" s="12"/>
      <c r="T396" s="12"/>
      <c r="U396" s="12"/>
      <c r="W396" s="12"/>
      <c r="X396" s="12"/>
      <c r="Y396" s="12"/>
      <c r="Z396" s="12"/>
      <c r="AA396" s="12"/>
    </row>
    <row r="397" spans="1:27" ht="15.75" customHeight="1">
      <c r="A397" s="12"/>
      <c r="B397" s="12"/>
      <c r="C397" s="12"/>
      <c r="D397" s="12"/>
      <c r="E397" s="12"/>
      <c r="F397" s="12"/>
      <c r="G397" s="12"/>
      <c r="H397" s="12"/>
      <c r="I397" s="12"/>
      <c r="J397" s="12"/>
      <c r="K397" s="12"/>
      <c r="L397" s="12"/>
      <c r="M397" s="12"/>
      <c r="N397" s="12"/>
      <c r="O397" s="12"/>
      <c r="P397" s="12"/>
      <c r="Q397" s="12"/>
      <c r="R397" s="12"/>
      <c r="S397" s="12"/>
      <c r="T397" s="12"/>
      <c r="U397" s="12"/>
      <c r="W397" s="12"/>
      <c r="X397" s="12"/>
      <c r="Y397" s="12"/>
      <c r="Z397" s="12"/>
      <c r="AA397" s="12"/>
    </row>
    <row r="398" spans="1:27" ht="15.75" customHeight="1">
      <c r="A398" s="12"/>
      <c r="B398" s="12"/>
      <c r="C398" s="12"/>
      <c r="D398" s="12"/>
      <c r="E398" s="12"/>
      <c r="F398" s="12"/>
      <c r="G398" s="12"/>
      <c r="H398" s="12"/>
      <c r="I398" s="12"/>
      <c r="J398" s="12"/>
      <c r="K398" s="12"/>
      <c r="L398" s="12"/>
      <c r="M398" s="12"/>
      <c r="N398" s="12"/>
      <c r="O398" s="12"/>
      <c r="P398" s="12"/>
      <c r="Q398" s="12"/>
      <c r="R398" s="12"/>
      <c r="S398" s="12"/>
      <c r="T398" s="12"/>
      <c r="U398" s="12"/>
      <c r="W398" s="12"/>
      <c r="X398" s="12"/>
      <c r="Y398" s="12"/>
      <c r="Z398" s="12"/>
      <c r="AA398" s="12"/>
    </row>
    <row r="399" spans="1:27" ht="15.75" customHeight="1">
      <c r="A399" s="12"/>
      <c r="B399" s="12"/>
      <c r="C399" s="12"/>
      <c r="D399" s="12"/>
      <c r="E399" s="12"/>
      <c r="F399" s="12"/>
      <c r="G399" s="12"/>
      <c r="H399" s="12"/>
      <c r="I399" s="12"/>
      <c r="J399" s="12"/>
      <c r="K399" s="12"/>
      <c r="L399" s="12"/>
      <c r="M399" s="12"/>
      <c r="N399" s="12"/>
      <c r="O399" s="12"/>
      <c r="P399" s="12"/>
      <c r="Q399" s="12"/>
      <c r="R399" s="12"/>
      <c r="S399" s="12"/>
      <c r="T399" s="12"/>
      <c r="U399" s="12"/>
      <c r="W399" s="12"/>
      <c r="X399" s="12"/>
      <c r="Y399" s="12"/>
      <c r="Z399" s="12"/>
      <c r="AA399" s="12"/>
    </row>
    <row r="400" spans="1:27" ht="15.75" customHeight="1">
      <c r="A400" s="12"/>
      <c r="B400" s="12"/>
      <c r="C400" s="12"/>
      <c r="D400" s="12"/>
      <c r="E400" s="12"/>
      <c r="F400" s="12"/>
      <c r="G400" s="12"/>
      <c r="H400" s="12"/>
      <c r="I400" s="12"/>
      <c r="J400" s="12"/>
      <c r="K400" s="12"/>
      <c r="L400" s="12"/>
      <c r="M400" s="12"/>
      <c r="N400" s="12"/>
      <c r="O400" s="12"/>
      <c r="P400" s="12"/>
      <c r="Q400" s="12"/>
      <c r="R400" s="12"/>
      <c r="S400" s="12"/>
      <c r="T400" s="12"/>
      <c r="U400" s="12"/>
      <c r="W400" s="12"/>
      <c r="X400" s="12"/>
      <c r="Y400" s="12"/>
      <c r="Z400" s="12"/>
      <c r="AA400" s="12"/>
    </row>
    <row r="401" spans="1:27" ht="15.75" customHeight="1">
      <c r="A401" s="12"/>
      <c r="B401" s="12"/>
      <c r="C401" s="12"/>
      <c r="D401" s="12"/>
      <c r="E401" s="12"/>
      <c r="F401" s="12"/>
      <c r="G401" s="12"/>
      <c r="H401" s="12"/>
      <c r="I401" s="12"/>
      <c r="J401" s="12"/>
      <c r="K401" s="12"/>
      <c r="L401" s="12"/>
      <c r="M401" s="12"/>
      <c r="N401" s="12"/>
      <c r="O401" s="12"/>
      <c r="P401" s="12"/>
      <c r="Q401" s="12"/>
      <c r="R401" s="12"/>
      <c r="S401" s="12"/>
      <c r="T401" s="12"/>
      <c r="U401" s="12"/>
      <c r="W401" s="12"/>
      <c r="X401" s="12"/>
      <c r="Y401" s="12"/>
      <c r="Z401" s="12"/>
      <c r="AA401" s="12"/>
    </row>
    <row r="402" spans="1:27" ht="15.75" customHeight="1">
      <c r="A402" s="12"/>
      <c r="B402" s="12"/>
      <c r="C402" s="12"/>
      <c r="D402" s="12"/>
      <c r="E402" s="12"/>
      <c r="F402" s="12"/>
      <c r="G402" s="12"/>
      <c r="H402" s="12"/>
      <c r="I402" s="12"/>
      <c r="J402" s="12"/>
      <c r="K402" s="12"/>
      <c r="L402" s="12"/>
      <c r="M402" s="12"/>
      <c r="N402" s="12"/>
      <c r="O402" s="12"/>
      <c r="P402" s="12"/>
      <c r="Q402" s="12"/>
      <c r="R402" s="12"/>
      <c r="S402" s="12"/>
      <c r="T402" s="12"/>
      <c r="U402" s="12"/>
      <c r="W402" s="12"/>
      <c r="X402" s="12"/>
      <c r="Y402" s="12"/>
      <c r="Z402" s="12"/>
      <c r="AA402" s="12"/>
    </row>
    <row r="403" spans="1:27" ht="15.75" customHeight="1">
      <c r="A403" s="12"/>
      <c r="B403" s="12"/>
      <c r="C403" s="12"/>
      <c r="D403" s="12"/>
      <c r="E403" s="12"/>
      <c r="F403" s="12"/>
      <c r="G403" s="12"/>
      <c r="H403" s="12"/>
      <c r="I403" s="12"/>
      <c r="J403" s="12"/>
      <c r="K403" s="12"/>
      <c r="L403" s="12"/>
      <c r="M403" s="12"/>
      <c r="N403" s="12"/>
      <c r="O403" s="12"/>
      <c r="P403" s="12"/>
      <c r="Q403" s="12"/>
      <c r="R403" s="12"/>
      <c r="S403" s="12"/>
      <c r="T403" s="12"/>
      <c r="U403" s="12"/>
      <c r="W403" s="12"/>
      <c r="X403" s="12"/>
      <c r="Y403" s="12"/>
      <c r="Z403" s="12"/>
      <c r="AA403" s="12"/>
    </row>
    <row r="404" spans="1:27" ht="15.75" customHeight="1">
      <c r="A404" s="12"/>
      <c r="B404" s="12"/>
      <c r="C404" s="12"/>
      <c r="D404" s="12"/>
      <c r="E404" s="12"/>
      <c r="F404" s="12"/>
      <c r="G404" s="12"/>
      <c r="H404" s="12"/>
      <c r="I404" s="12"/>
      <c r="J404" s="12"/>
      <c r="K404" s="12"/>
      <c r="L404" s="12"/>
      <c r="M404" s="12"/>
      <c r="N404" s="12"/>
      <c r="O404" s="12"/>
      <c r="P404" s="12"/>
      <c r="Q404" s="12"/>
      <c r="R404" s="12"/>
      <c r="S404" s="12"/>
      <c r="T404" s="12"/>
      <c r="U404" s="12"/>
      <c r="W404" s="12"/>
      <c r="X404" s="12"/>
      <c r="Y404" s="12"/>
      <c r="Z404" s="12"/>
      <c r="AA404" s="12"/>
    </row>
    <row r="405" spans="1:27" ht="15.75" customHeight="1">
      <c r="A405" s="12"/>
      <c r="B405" s="12"/>
      <c r="C405" s="12"/>
      <c r="D405" s="12"/>
      <c r="E405" s="12"/>
      <c r="F405" s="12"/>
      <c r="G405" s="12"/>
      <c r="H405" s="12"/>
      <c r="I405" s="12"/>
      <c r="J405" s="12"/>
      <c r="K405" s="12"/>
      <c r="L405" s="12"/>
      <c r="M405" s="12"/>
      <c r="N405" s="12"/>
      <c r="O405" s="12"/>
      <c r="P405" s="12"/>
      <c r="Q405" s="12"/>
      <c r="R405" s="12"/>
      <c r="S405" s="12"/>
      <c r="T405" s="12"/>
      <c r="U405" s="12"/>
      <c r="W405" s="12"/>
      <c r="X405" s="12"/>
      <c r="Y405" s="12"/>
      <c r="Z405" s="12"/>
      <c r="AA405" s="12"/>
    </row>
    <row r="406" spans="1:27" ht="15.75" customHeight="1">
      <c r="A406" s="12"/>
      <c r="B406" s="12"/>
      <c r="C406" s="12"/>
      <c r="D406" s="12"/>
      <c r="E406" s="12"/>
      <c r="F406" s="12"/>
      <c r="G406" s="12"/>
      <c r="H406" s="12"/>
      <c r="I406" s="12"/>
      <c r="J406" s="12"/>
      <c r="K406" s="12"/>
      <c r="L406" s="12"/>
      <c r="M406" s="12"/>
      <c r="N406" s="12"/>
      <c r="O406" s="12"/>
      <c r="P406" s="12"/>
      <c r="Q406" s="12"/>
      <c r="R406" s="12"/>
      <c r="S406" s="12"/>
      <c r="T406" s="12"/>
      <c r="U406" s="12"/>
      <c r="W406" s="12"/>
      <c r="X406" s="12"/>
      <c r="Y406" s="12"/>
      <c r="Z406" s="12"/>
      <c r="AA406" s="12"/>
    </row>
    <row r="407" spans="1:27" ht="15.75" customHeight="1">
      <c r="A407" s="12"/>
      <c r="B407" s="12"/>
      <c r="C407" s="12"/>
      <c r="D407" s="12"/>
      <c r="E407" s="12"/>
      <c r="F407" s="12"/>
      <c r="G407" s="12"/>
      <c r="H407" s="12"/>
      <c r="I407" s="12"/>
      <c r="J407" s="12"/>
      <c r="K407" s="12"/>
      <c r="L407" s="12"/>
      <c r="M407" s="12"/>
      <c r="N407" s="12"/>
      <c r="O407" s="12"/>
      <c r="P407" s="12"/>
      <c r="Q407" s="12"/>
      <c r="R407" s="12"/>
      <c r="S407" s="12"/>
      <c r="T407" s="12"/>
      <c r="U407" s="12"/>
      <c r="W407" s="12"/>
      <c r="X407" s="12"/>
      <c r="Y407" s="12"/>
      <c r="Z407" s="12"/>
      <c r="AA407" s="12"/>
    </row>
    <row r="408" spans="1:27" ht="15.75" customHeight="1">
      <c r="A408" s="12"/>
      <c r="B408" s="12"/>
      <c r="C408" s="12"/>
      <c r="D408" s="12"/>
      <c r="E408" s="12"/>
      <c r="F408" s="12"/>
      <c r="G408" s="12"/>
      <c r="H408" s="12"/>
      <c r="I408" s="12"/>
      <c r="J408" s="12"/>
      <c r="K408" s="12"/>
      <c r="L408" s="12"/>
      <c r="M408" s="12"/>
      <c r="N408" s="12"/>
      <c r="O408" s="12"/>
      <c r="P408" s="12"/>
      <c r="Q408" s="12"/>
      <c r="R408" s="12"/>
      <c r="S408" s="12"/>
      <c r="T408" s="12"/>
      <c r="U408" s="12"/>
      <c r="W408" s="12"/>
      <c r="X408" s="12"/>
      <c r="Y408" s="12"/>
      <c r="Z408" s="12"/>
      <c r="AA408" s="12"/>
    </row>
    <row r="409" spans="1:27" ht="15.75" customHeight="1">
      <c r="A409" s="12"/>
      <c r="B409" s="12"/>
      <c r="C409" s="12"/>
      <c r="D409" s="12"/>
      <c r="E409" s="12"/>
      <c r="F409" s="12"/>
      <c r="G409" s="12"/>
      <c r="H409" s="12"/>
      <c r="I409" s="12"/>
      <c r="J409" s="12"/>
      <c r="K409" s="12"/>
      <c r="L409" s="12"/>
      <c r="M409" s="12"/>
      <c r="N409" s="12"/>
      <c r="O409" s="12"/>
      <c r="P409" s="12"/>
      <c r="Q409" s="12"/>
      <c r="R409" s="12"/>
      <c r="S409" s="12"/>
      <c r="T409" s="12"/>
      <c r="U409" s="12"/>
      <c r="W409" s="12"/>
      <c r="X409" s="12"/>
      <c r="Y409" s="12"/>
      <c r="Z409" s="12"/>
      <c r="AA409" s="12"/>
    </row>
    <row r="410" spans="1:27" ht="15.75" customHeight="1">
      <c r="A410" s="12"/>
      <c r="B410" s="12"/>
      <c r="C410" s="12"/>
      <c r="D410" s="12"/>
      <c r="E410" s="12"/>
      <c r="F410" s="12"/>
      <c r="G410" s="12"/>
      <c r="H410" s="12"/>
      <c r="I410" s="12"/>
      <c r="J410" s="12"/>
      <c r="K410" s="12"/>
      <c r="L410" s="12"/>
      <c r="M410" s="12"/>
      <c r="N410" s="12"/>
      <c r="O410" s="12"/>
      <c r="P410" s="12"/>
      <c r="Q410" s="12"/>
      <c r="R410" s="12"/>
      <c r="S410" s="12"/>
      <c r="T410" s="12"/>
      <c r="U410" s="12"/>
      <c r="W410" s="12"/>
      <c r="X410" s="12"/>
      <c r="Y410" s="12"/>
      <c r="Z410" s="12"/>
      <c r="AA410" s="12"/>
    </row>
    <row r="411" spans="1:27" ht="15.75" customHeight="1">
      <c r="A411" s="12"/>
      <c r="B411" s="12"/>
      <c r="C411" s="12"/>
      <c r="D411" s="12"/>
      <c r="E411" s="12"/>
      <c r="F411" s="12"/>
      <c r="G411" s="12"/>
      <c r="H411" s="12"/>
      <c r="I411" s="12"/>
      <c r="J411" s="12"/>
      <c r="K411" s="12"/>
      <c r="L411" s="12"/>
      <c r="M411" s="12"/>
      <c r="N411" s="12"/>
      <c r="O411" s="12"/>
      <c r="P411" s="12"/>
      <c r="Q411" s="12"/>
      <c r="R411" s="12"/>
      <c r="S411" s="12"/>
      <c r="T411" s="12"/>
      <c r="U411" s="12"/>
      <c r="W411" s="12"/>
      <c r="X411" s="12"/>
      <c r="Y411" s="12"/>
      <c r="Z411" s="12"/>
      <c r="AA411" s="12"/>
    </row>
    <row r="412" spans="1:27" ht="15.75" customHeight="1">
      <c r="A412" s="12"/>
      <c r="B412" s="12"/>
      <c r="C412" s="12"/>
      <c r="D412" s="12"/>
      <c r="E412" s="12"/>
      <c r="F412" s="12"/>
      <c r="G412" s="12"/>
      <c r="H412" s="12"/>
      <c r="I412" s="12"/>
      <c r="J412" s="12"/>
      <c r="K412" s="12"/>
      <c r="L412" s="12"/>
      <c r="M412" s="12"/>
      <c r="N412" s="12"/>
      <c r="O412" s="12"/>
      <c r="P412" s="12"/>
      <c r="Q412" s="12"/>
      <c r="R412" s="12"/>
      <c r="S412" s="12"/>
      <c r="T412" s="12"/>
      <c r="U412" s="12"/>
      <c r="W412" s="12"/>
      <c r="X412" s="12"/>
      <c r="Y412" s="12"/>
      <c r="Z412" s="12"/>
      <c r="AA412" s="12"/>
    </row>
    <row r="413" spans="1:27" ht="15.75" customHeight="1">
      <c r="A413" s="12"/>
      <c r="B413" s="12"/>
      <c r="C413" s="12"/>
      <c r="D413" s="12"/>
      <c r="E413" s="12"/>
      <c r="F413" s="12"/>
      <c r="G413" s="12"/>
      <c r="H413" s="12"/>
      <c r="I413" s="12"/>
      <c r="J413" s="12"/>
      <c r="K413" s="12"/>
      <c r="L413" s="12"/>
      <c r="M413" s="12"/>
      <c r="N413" s="12"/>
      <c r="O413" s="12"/>
      <c r="P413" s="12"/>
      <c r="Q413" s="12"/>
      <c r="R413" s="12"/>
      <c r="S413" s="12"/>
      <c r="T413" s="12"/>
      <c r="U413" s="12"/>
      <c r="W413" s="12"/>
      <c r="X413" s="12"/>
      <c r="Y413" s="12"/>
      <c r="Z413" s="12"/>
      <c r="AA413" s="12"/>
    </row>
    <row r="414" spans="1:27" ht="15.75" customHeight="1">
      <c r="A414" s="12"/>
      <c r="B414" s="12"/>
      <c r="C414" s="12"/>
      <c r="D414" s="12"/>
      <c r="E414" s="12"/>
      <c r="F414" s="12"/>
      <c r="G414" s="12"/>
      <c r="H414" s="12"/>
      <c r="I414" s="12"/>
      <c r="J414" s="12"/>
      <c r="K414" s="12"/>
      <c r="L414" s="12"/>
      <c r="M414" s="12"/>
      <c r="N414" s="12"/>
      <c r="O414" s="12"/>
      <c r="P414" s="12"/>
      <c r="Q414" s="12"/>
      <c r="R414" s="12"/>
      <c r="S414" s="12"/>
      <c r="T414" s="12"/>
      <c r="U414" s="12"/>
      <c r="W414" s="12"/>
      <c r="X414" s="12"/>
      <c r="Y414" s="12"/>
      <c r="Z414" s="12"/>
      <c r="AA414" s="12"/>
    </row>
    <row r="415" spans="1:27" ht="15.75" customHeight="1">
      <c r="A415" s="12"/>
      <c r="B415" s="12"/>
      <c r="C415" s="12"/>
      <c r="D415" s="12"/>
      <c r="E415" s="12"/>
      <c r="F415" s="12"/>
      <c r="G415" s="12"/>
      <c r="H415" s="12"/>
      <c r="I415" s="12"/>
      <c r="J415" s="12"/>
      <c r="K415" s="12"/>
      <c r="L415" s="12"/>
      <c r="M415" s="12"/>
      <c r="N415" s="12"/>
      <c r="O415" s="12"/>
      <c r="P415" s="12"/>
      <c r="Q415" s="12"/>
      <c r="R415" s="12"/>
      <c r="S415" s="12"/>
      <c r="T415" s="12"/>
      <c r="U415" s="12"/>
      <c r="W415" s="12"/>
      <c r="X415" s="12"/>
      <c r="Y415" s="12"/>
      <c r="Z415" s="12"/>
      <c r="AA415" s="12"/>
    </row>
    <row r="416" spans="1:27" ht="15.75" customHeight="1">
      <c r="A416" s="12"/>
      <c r="B416" s="12"/>
      <c r="C416" s="12"/>
      <c r="D416" s="12"/>
      <c r="E416" s="12"/>
      <c r="F416" s="12"/>
      <c r="G416" s="12"/>
      <c r="H416" s="12"/>
      <c r="I416" s="12"/>
      <c r="J416" s="12"/>
      <c r="K416" s="12"/>
      <c r="L416" s="12"/>
      <c r="M416" s="12"/>
      <c r="N416" s="12"/>
      <c r="O416" s="12"/>
      <c r="P416" s="12"/>
      <c r="Q416" s="12"/>
      <c r="R416" s="12"/>
      <c r="S416" s="12"/>
      <c r="T416" s="12"/>
      <c r="U416" s="12"/>
      <c r="W416" s="12"/>
      <c r="X416" s="12"/>
      <c r="Y416" s="12"/>
      <c r="Z416" s="12"/>
      <c r="AA416" s="12"/>
    </row>
    <row r="417" spans="1:27" ht="15.75" customHeight="1">
      <c r="A417" s="12"/>
      <c r="B417" s="12"/>
      <c r="C417" s="12"/>
      <c r="D417" s="12"/>
      <c r="E417" s="12"/>
      <c r="F417" s="12"/>
      <c r="G417" s="12"/>
      <c r="H417" s="12"/>
      <c r="I417" s="12"/>
      <c r="J417" s="12"/>
      <c r="K417" s="12"/>
      <c r="L417" s="12"/>
      <c r="M417" s="12"/>
      <c r="N417" s="12"/>
      <c r="O417" s="12"/>
      <c r="P417" s="12"/>
      <c r="Q417" s="12"/>
      <c r="R417" s="12"/>
      <c r="S417" s="12"/>
      <c r="T417" s="12"/>
      <c r="U417" s="12"/>
      <c r="W417" s="12"/>
      <c r="X417" s="12"/>
      <c r="Y417" s="12"/>
      <c r="Z417" s="12"/>
      <c r="AA417" s="12"/>
    </row>
    <row r="418" spans="1:27" ht="15.75" customHeight="1">
      <c r="A418" s="12"/>
      <c r="B418" s="12"/>
      <c r="C418" s="12"/>
      <c r="D418" s="12"/>
      <c r="E418" s="12"/>
      <c r="F418" s="12"/>
      <c r="G418" s="12"/>
      <c r="H418" s="12"/>
      <c r="I418" s="12"/>
      <c r="J418" s="12"/>
      <c r="K418" s="12"/>
      <c r="L418" s="12"/>
      <c r="M418" s="12"/>
      <c r="N418" s="12"/>
      <c r="O418" s="12"/>
      <c r="P418" s="12"/>
      <c r="Q418" s="12"/>
      <c r="R418" s="12"/>
      <c r="S418" s="12"/>
      <c r="T418" s="12"/>
      <c r="U418" s="12"/>
      <c r="W418" s="12"/>
      <c r="X418" s="12"/>
      <c r="Y418" s="12"/>
      <c r="Z418" s="12"/>
      <c r="AA418" s="12"/>
    </row>
    <row r="419" spans="1:27" ht="15.75" customHeight="1">
      <c r="A419" s="12"/>
      <c r="B419" s="12"/>
      <c r="C419" s="12"/>
      <c r="D419" s="12"/>
      <c r="E419" s="12"/>
      <c r="F419" s="12"/>
      <c r="G419" s="12"/>
      <c r="H419" s="12"/>
      <c r="I419" s="12"/>
      <c r="J419" s="12"/>
      <c r="K419" s="12"/>
      <c r="L419" s="12"/>
      <c r="M419" s="12"/>
      <c r="N419" s="12"/>
      <c r="O419" s="12"/>
      <c r="P419" s="12"/>
      <c r="Q419" s="12"/>
      <c r="R419" s="12"/>
      <c r="S419" s="12"/>
      <c r="T419" s="12"/>
      <c r="U419" s="12"/>
      <c r="W419" s="12"/>
      <c r="X419" s="12"/>
      <c r="Y419" s="12"/>
      <c r="Z419" s="12"/>
      <c r="AA419" s="12"/>
    </row>
    <row r="420" spans="1:27" ht="15.75" customHeight="1">
      <c r="A420" s="12"/>
      <c r="B420" s="12"/>
      <c r="C420" s="12"/>
      <c r="D420" s="12"/>
      <c r="E420" s="12"/>
      <c r="F420" s="12"/>
      <c r="G420" s="12"/>
      <c r="H420" s="12"/>
      <c r="I420" s="12"/>
      <c r="J420" s="12"/>
      <c r="K420" s="12"/>
      <c r="L420" s="12"/>
      <c r="M420" s="12"/>
      <c r="N420" s="12"/>
      <c r="O420" s="12"/>
      <c r="P420" s="12"/>
      <c r="Q420" s="12"/>
      <c r="R420" s="12"/>
      <c r="S420" s="12"/>
      <c r="T420" s="12"/>
      <c r="U420" s="12"/>
      <c r="W420" s="12"/>
      <c r="X420" s="12"/>
      <c r="Y420" s="12"/>
      <c r="Z420" s="12"/>
      <c r="AA420" s="12"/>
    </row>
    <row r="421" spans="1:27" ht="15.75" customHeight="1">
      <c r="A421" s="12"/>
      <c r="B421" s="12"/>
      <c r="C421" s="12"/>
      <c r="D421" s="12"/>
      <c r="E421" s="12"/>
      <c r="F421" s="12"/>
      <c r="G421" s="12"/>
      <c r="H421" s="12"/>
      <c r="I421" s="12"/>
      <c r="J421" s="12"/>
      <c r="K421" s="12"/>
      <c r="L421" s="12"/>
      <c r="M421" s="12"/>
      <c r="N421" s="12"/>
      <c r="O421" s="12"/>
      <c r="P421" s="12"/>
      <c r="Q421" s="12"/>
      <c r="R421" s="12"/>
      <c r="S421" s="12"/>
      <c r="T421" s="12"/>
      <c r="U421" s="12"/>
      <c r="W421" s="12"/>
      <c r="X421" s="12"/>
      <c r="Y421" s="12"/>
      <c r="Z421" s="12"/>
      <c r="AA421" s="12"/>
    </row>
    <row r="422" spans="1:27" ht="15.75" customHeight="1">
      <c r="A422" s="12"/>
      <c r="B422" s="12"/>
      <c r="C422" s="12"/>
      <c r="D422" s="12"/>
      <c r="E422" s="12"/>
      <c r="F422" s="12"/>
      <c r="G422" s="12"/>
      <c r="H422" s="12"/>
      <c r="I422" s="12"/>
      <c r="J422" s="12"/>
      <c r="K422" s="12"/>
      <c r="L422" s="12"/>
      <c r="M422" s="12"/>
      <c r="N422" s="12"/>
      <c r="O422" s="12"/>
      <c r="P422" s="12"/>
      <c r="Q422" s="12"/>
      <c r="R422" s="12"/>
      <c r="S422" s="12"/>
      <c r="T422" s="12"/>
      <c r="U422" s="12"/>
      <c r="W422" s="12"/>
      <c r="X422" s="12"/>
      <c r="Y422" s="12"/>
      <c r="Z422" s="12"/>
      <c r="AA422" s="12"/>
    </row>
    <row r="423" spans="1:27" ht="15.75" customHeight="1">
      <c r="A423" s="12"/>
      <c r="B423" s="12"/>
      <c r="C423" s="12"/>
      <c r="D423" s="12"/>
      <c r="E423" s="12"/>
      <c r="F423" s="12"/>
      <c r="G423" s="12"/>
      <c r="H423" s="12"/>
      <c r="I423" s="12"/>
      <c r="J423" s="12"/>
      <c r="K423" s="12"/>
      <c r="L423" s="12"/>
      <c r="M423" s="12"/>
      <c r="N423" s="12"/>
      <c r="O423" s="12"/>
      <c r="P423" s="12"/>
      <c r="Q423" s="12"/>
      <c r="R423" s="12"/>
      <c r="S423" s="12"/>
      <c r="T423" s="12"/>
      <c r="U423" s="12"/>
      <c r="W423" s="12"/>
      <c r="X423" s="12"/>
      <c r="Y423" s="12"/>
      <c r="Z423" s="12"/>
      <c r="AA423" s="12"/>
    </row>
    <row r="424" spans="1:27" ht="15.75" customHeight="1">
      <c r="A424" s="12"/>
      <c r="B424" s="12"/>
      <c r="C424" s="12"/>
      <c r="D424" s="12"/>
      <c r="E424" s="12"/>
      <c r="F424" s="12"/>
      <c r="G424" s="12"/>
      <c r="H424" s="12"/>
      <c r="I424" s="12"/>
      <c r="J424" s="12"/>
      <c r="K424" s="12"/>
      <c r="L424" s="12"/>
      <c r="M424" s="12"/>
      <c r="N424" s="12"/>
      <c r="O424" s="12"/>
      <c r="P424" s="12"/>
      <c r="Q424" s="12"/>
      <c r="R424" s="12"/>
      <c r="S424" s="12"/>
      <c r="T424" s="12"/>
      <c r="U424" s="12"/>
      <c r="W424" s="12"/>
      <c r="X424" s="12"/>
      <c r="Y424" s="12"/>
      <c r="Z424" s="12"/>
      <c r="AA424" s="12"/>
    </row>
    <row r="425" spans="1:27" ht="15.75" customHeight="1">
      <c r="A425" s="12"/>
      <c r="B425" s="12"/>
      <c r="C425" s="12"/>
      <c r="D425" s="12"/>
      <c r="E425" s="12"/>
      <c r="F425" s="12"/>
      <c r="G425" s="12"/>
      <c r="H425" s="12"/>
      <c r="I425" s="12"/>
      <c r="J425" s="12"/>
      <c r="K425" s="12"/>
      <c r="L425" s="12"/>
      <c r="M425" s="12"/>
      <c r="N425" s="12"/>
      <c r="O425" s="12"/>
      <c r="P425" s="12"/>
      <c r="Q425" s="12"/>
      <c r="R425" s="12"/>
      <c r="S425" s="12"/>
      <c r="T425" s="12"/>
      <c r="U425" s="12"/>
      <c r="W425" s="12"/>
      <c r="X425" s="12"/>
      <c r="Y425" s="12"/>
      <c r="Z425" s="12"/>
      <c r="AA425" s="12"/>
    </row>
    <row r="426" spans="1:27" ht="15.75" customHeight="1">
      <c r="A426" s="12"/>
      <c r="B426" s="12"/>
      <c r="C426" s="12"/>
      <c r="D426" s="12"/>
      <c r="E426" s="12"/>
      <c r="F426" s="12"/>
      <c r="G426" s="12"/>
      <c r="H426" s="12"/>
      <c r="I426" s="12"/>
      <c r="J426" s="12"/>
      <c r="K426" s="12"/>
      <c r="L426" s="12"/>
      <c r="M426" s="12"/>
      <c r="N426" s="12"/>
      <c r="O426" s="12"/>
      <c r="P426" s="12"/>
      <c r="Q426" s="12"/>
      <c r="R426" s="12"/>
      <c r="S426" s="12"/>
      <c r="T426" s="12"/>
      <c r="U426" s="12"/>
      <c r="W426" s="12"/>
      <c r="X426" s="12"/>
      <c r="Y426" s="12"/>
      <c r="Z426" s="12"/>
      <c r="AA426" s="12"/>
    </row>
    <row r="427" spans="1:27" ht="15.75" customHeight="1">
      <c r="A427" s="12"/>
      <c r="B427" s="12"/>
      <c r="C427" s="12"/>
      <c r="D427" s="12"/>
      <c r="E427" s="12"/>
      <c r="F427" s="12"/>
      <c r="G427" s="12"/>
      <c r="H427" s="12"/>
      <c r="I427" s="12"/>
      <c r="J427" s="12"/>
      <c r="K427" s="12"/>
      <c r="L427" s="12"/>
      <c r="M427" s="12"/>
      <c r="N427" s="12"/>
      <c r="O427" s="12"/>
      <c r="P427" s="12"/>
      <c r="Q427" s="12"/>
      <c r="R427" s="12"/>
      <c r="S427" s="12"/>
      <c r="T427" s="12"/>
      <c r="U427" s="12"/>
      <c r="W427" s="12"/>
      <c r="X427" s="12"/>
      <c r="Y427" s="12"/>
      <c r="Z427" s="12"/>
      <c r="AA427" s="12"/>
    </row>
    <row r="428" spans="1:27" ht="15.75" customHeight="1">
      <c r="A428" s="12"/>
      <c r="B428" s="12"/>
      <c r="C428" s="12"/>
      <c r="D428" s="12"/>
      <c r="E428" s="12"/>
      <c r="F428" s="12"/>
      <c r="G428" s="12"/>
      <c r="H428" s="12"/>
      <c r="I428" s="12"/>
      <c r="J428" s="12"/>
      <c r="K428" s="12"/>
      <c r="L428" s="12"/>
      <c r="M428" s="12"/>
      <c r="N428" s="12"/>
      <c r="O428" s="12"/>
      <c r="P428" s="12"/>
      <c r="Q428" s="12"/>
      <c r="R428" s="12"/>
      <c r="S428" s="12"/>
      <c r="T428" s="12"/>
      <c r="U428" s="12"/>
      <c r="W428" s="12"/>
      <c r="X428" s="12"/>
      <c r="Y428" s="12"/>
      <c r="Z428" s="12"/>
      <c r="AA428" s="12"/>
    </row>
    <row r="429" spans="1:27" ht="15.75" customHeight="1">
      <c r="A429" s="12"/>
      <c r="B429" s="12"/>
      <c r="C429" s="12"/>
      <c r="D429" s="12"/>
      <c r="E429" s="12"/>
      <c r="F429" s="12"/>
      <c r="G429" s="12"/>
      <c r="H429" s="12"/>
      <c r="I429" s="12"/>
      <c r="J429" s="12"/>
      <c r="K429" s="12"/>
      <c r="L429" s="12"/>
      <c r="M429" s="12"/>
      <c r="N429" s="12"/>
      <c r="O429" s="12"/>
      <c r="P429" s="12"/>
      <c r="Q429" s="12"/>
      <c r="R429" s="12"/>
      <c r="S429" s="12"/>
      <c r="T429" s="12"/>
      <c r="U429" s="12"/>
      <c r="W429" s="12"/>
      <c r="X429" s="12"/>
      <c r="Y429" s="12"/>
      <c r="Z429" s="12"/>
      <c r="AA429" s="12"/>
    </row>
    <row r="430" spans="1:27" ht="15.75" customHeight="1">
      <c r="A430" s="12"/>
      <c r="B430" s="12"/>
      <c r="C430" s="12"/>
      <c r="D430" s="12"/>
      <c r="E430" s="12"/>
      <c r="F430" s="12"/>
      <c r="G430" s="12"/>
      <c r="H430" s="12"/>
      <c r="I430" s="12"/>
      <c r="J430" s="12"/>
      <c r="K430" s="12"/>
      <c r="L430" s="12"/>
      <c r="M430" s="12"/>
      <c r="N430" s="12"/>
      <c r="O430" s="12"/>
      <c r="P430" s="12"/>
      <c r="Q430" s="12"/>
      <c r="R430" s="12"/>
      <c r="S430" s="12"/>
      <c r="T430" s="12"/>
      <c r="U430" s="12"/>
      <c r="W430" s="12"/>
      <c r="X430" s="12"/>
      <c r="Y430" s="12"/>
      <c r="Z430" s="12"/>
      <c r="AA430" s="12"/>
    </row>
    <row r="431" spans="1:27" ht="15.75" customHeight="1">
      <c r="A431" s="12"/>
      <c r="B431" s="12"/>
      <c r="C431" s="12"/>
      <c r="D431" s="12"/>
      <c r="E431" s="12"/>
      <c r="F431" s="12"/>
      <c r="G431" s="12"/>
      <c r="H431" s="12"/>
      <c r="I431" s="12"/>
      <c r="J431" s="12"/>
      <c r="K431" s="12"/>
      <c r="L431" s="12"/>
      <c r="M431" s="12"/>
      <c r="N431" s="12"/>
      <c r="O431" s="12"/>
      <c r="P431" s="12"/>
      <c r="Q431" s="12"/>
      <c r="R431" s="12"/>
      <c r="S431" s="12"/>
      <c r="T431" s="12"/>
      <c r="U431" s="12"/>
      <c r="W431" s="12"/>
      <c r="X431" s="12"/>
      <c r="Y431" s="12"/>
      <c r="Z431" s="12"/>
      <c r="AA431" s="12"/>
    </row>
    <row r="432" spans="1:27" ht="15.75" customHeight="1">
      <c r="A432" s="12"/>
      <c r="B432" s="12"/>
      <c r="C432" s="12"/>
      <c r="D432" s="12"/>
      <c r="E432" s="12"/>
      <c r="F432" s="12"/>
      <c r="G432" s="12"/>
      <c r="H432" s="12"/>
      <c r="I432" s="12"/>
      <c r="J432" s="12"/>
      <c r="K432" s="12"/>
      <c r="L432" s="12"/>
      <c r="M432" s="12"/>
      <c r="N432" s="12"/>
      <c r="O432" s="12"/>
      <c r="P432" s="12"/>
      <c r="Q432" s="12"/>
      <c r="R432" s="12"/>
      <c r="S432" s="12"/>
      <c r="T432" s="12"/>
      <c r="U432" s="12"/>
      <c r="W432" s="12"/>
      <c r="X432" s="12"/>
      <c r="Y432" s="12"/>
      <c r="Z432" s="12"/>
      <c r="AA432" s="12"/>
    </row>
    <row r="433" spans="1:27" ht="15.75" customHeight="1">
      <c r="A433" s="12"/>
      <c r="B433" s="12"/>
      <c r="C433" s="12"/>
      <c r="D433" s="12"/>
      <c r="E433" s="12"/>
      <c r="F433" s="12"/>
      <c r="G433" s="12"/>
      <c r="H433" s="12"/>
      <c r="I433" s="12"/>
      <c r="J433" s="12"/>
      <c r="K433" s="12"/>
      <c r="L433" s="12"/>
      <c r="M433" s="12"/>
      <c r="N433" s="12"/>
      <c r="O433" s="12"/>
      <c r="P433" s="12"/>
      <c r="Q433" s="12"/>
      <c r="R433" s="12"/>
      <c r="S433" s="12"/>
      <c r="T433" s="12"/>
      <c r="U433" s="12"/>
      <c r="W433" s="12"/>
      <c r="X433" s="12"/>
      <c r="Y433" s="12"/>
      <c r="Z433" s="12"/>
      <c r="AA433" s="12"/>
    </row>
    <row r="434" spans="1:27" ht="15.75" customHeight="1">
      <c r="A434" s="12"/>
      <c r="B434" s="12"/>
      <c r="C434" s="12"/>
      <c r="D434" s="12"/>
      <c r="E434" s="12"/>
      <c r="F434" s="12"/>
      <c r="G434" s="12"/>
      <c r="H434" s="12"/>
      <c r="I434" s="12"/>
      <c r="J434" s="12"/>
      <c r="K434" s="12"/>
      <c r="L434" s="12"/>
      <c r="M434" s="12"/>
      <c r="N434" s="12"/>
      <c r="O434" s="12"/>
      <c r="P434" s="12"/>
      <c r="Q434" s="12"/>
      <c r="R434" s="12"/>
      <c r="S434" s="12"/>
      <c r="T434" s="12"/>
      <c r="U434" s="12"/>
      <c r="W434" s="12"/>
      <c r="X434" s="12"/>
      <c r="Y434" s="12"/>
      <c r="Z434" s="12"/>
      <c r="AA434" s="12"/>
    </row>
    <row r="435" spans="1:27" ht="15.75" customHeight="1">
      <c r="A435" s="12"/>
      <c r="B435" s="12"/>
      <c r="C435" s="12"/>
      <c r="D435" s="12"/>
      <c r="E435" s="12"/>
      <c r="F435" s="12"/>
      <c r="G435" s="12"/>
      <c r="H435" s="12"/>
      <c r="I435" s="12"/>
      <c r="J435" s="12"/>
      <c r="K435" s="12"/>
      <c r="L435" s="12"/>
      <c r="M435" s="12"/>
      <c r="N435" s="12"/>
      <c r="O435" s="12"/>
      <c r="P435" s="12"/>
      <c r="Q435" s="12"/>
      <c r="R435" s="12"/>
      <c r="S435" s="12"/>
      <c r="T435" s="12"/>
      <c r="U435" s="12"/>
      <c r="W435" s="12"/>
      <c r="X435" s="12"/>
      <c r="Y435" s="12"/>
      <c r="Z435" s="12"/>
      <c r="AA435" s="12"/>
    </row>
    <row r="436" spans="1:27" ht="15.75" customHeight="1">
      <c r="A436" s="12"/>
      <c r="B436" s="12"/>
      <c r="C436" s="12"/>
      <c r="D436" s="12"/>
      <c r="E436" s="12"/>
      <c r="F436" s="12"/>
      <c r="G436" s="12"/>
      <c r="H436" s="12"/>
      <c r="I436" s="12"/>
      <c r="J436" s="12"/>
      <c r="K436" s="12"/>
      <c r="L436" s="12"/>
      <c r="M436" s="12"/>
      <c r="N436" s="12"/>
      <c r="O436" s="12"/>
      <c r="P436" s="12"/>
      <c r="Q436" s="12"/>
      <c r="R436" s="12"/>
      <c r="S436" s="12"/>
      <c r="T436" s="12"/>
      <c r="U436" s="12"/>
      <c r="W436" s="12"/>
      <c r="X436" s="12"/>
      <c r="Y436" s="12"/>
      <c r="Z436" s="12"/>
      <c r="AA436" s="12"/>
    </row>
    <row r="437" spans="1:27" ht="15.75" customHeight="1">
      <c r="A437" s="12"/>
      <c r="B437" s="12"/>
      <c r="C437" s="12"/>
      <c r="D437" s="12"/>
      <c r="E437" s="12"/>
      <c r="F437" s="12"/>
      <c r="G437" s="12"/>
      <c r="H437" s="12"/>
      <c r="I437" s="12"/>
      <c r="J437" s="12"/>
      <c r="K437" s="12"/>
      <c r="L437" s="12"/>
      <c r="M437" s="12"/>
      <c r="N437" s="12"/>
      <c r="O437" s="12"/>
      <c r="P437" s="12"/>
      <c r="Q437" s="12"/>
      <c r="R437" s="12"/>
      <c r="S437" s="12"/>
      <c r="T437" s="12"/>
      <c r="U437" s="12"/>
      <c r="W437" s="12"/>
      <c r="X437" s="12"/>
      <c r="Y437" s="12"/>
      <c r="Z437" s="12"/>
      <c r="AA437" s="12"/>
    </row>
    <row r="438" spans="1:27" ht="15.75" customHeight="1">
      <c r="A438" s="12"/>
      <c r="B438" s="12"/>
      <c r="C438" s="12"/>
      <c r="D438" s="12"/>
      <c r="E438" s="12"/>
      <c r="F438" s="12"/>
      <c r="G438" s="12"/>
      <c r="H438" s="12"/>
      <c r="I438" s="12"/>
      <c r="J438" s="12"/>
      <c r="K438" s="12"/>
      <c r="L438" s="12"/>
      <c r="M438" s="12"/>
      <c r="N438" s="12"/>
      <c r="O438" s="12"/>
      <c r="P438" s="12"/>
      <c r="Q438" s="12"/>
      <c r="R438" s="12"/>
      <c r="S438" s="12"/>
      <c r="T438" s="12"/>
      <c r="U438" s="12"/>
      <c r="W438" s="12"/>
      <c r="X438" s="12"/>
      <c r="Y438" s="12"/>
      <c r="Z438" s="12"/>
      <c r="AA438" s="12"/>
    </row>
    <row r="439" spans="1:27" ht="15.75" customHeight="1">
      <c r="A439" s="12"/>
      <c r="B439" s="12"/>
      <c r="C439" s="12"/>
      <c r="D439" s="12"/>
      <c r="E439" s="12"/>
      <c r="F439" s="12"/>
      <c r="G439" s="12"/>
      <c r="H439" s="12"/>
      <c r="I439" s="12"/>
      <c r="J439" s="12"/>
      <c r="K439" s="12"/>
      <c r="L439" s="12"/>
      <c r="M439" s="12"/>
      <c r="N439" s="12"/>
      <c r="O439" s="12"/>
      <c r="P439" s="12"/>
      <c r="Q439" s="12"/>
      <c r="R439" s="12"/>
      <c r="S439" s="12"/>
      <c r="T439" s="12"/>
      <c r="U439" s="12"/>
      <c r="W439" s="12"/>
      <c r="X439" s="12"/>
      <c r="Y439" s="12"/>
      <c r="Z439" s="12"/>
      <c r="AA439" s="12"/>
    </row>
    <row r="440" spans="1:27" ht="15.75" customHeight="1">
      <c r="A440" s="12"/>
      <c r="B440" s="12"/>
      <c r="C440" s="12"/>
      <c r="D440" s="12"/>
      <c r="E440" s="12"/>
      <c r="F440" s="12"/>
      <c r="G440" s="12"/>
      <c r="H440" s="12"/>
      <c r="I440" s="12"/>
      <c r="J440" s="12"/>
      <c r="K440" s="12"/>
      <c r="L440" s="12"/>
      <c r="M440" s="12"/>
      <c r="N440" s="12"/>
      <c r="O440" s="12"/>
      <c r="P440" s="12"/>
      <c r="Q440" s="12"/>
      <c r="R440" s="12"/>
      <c r="S440" s="12"/>
      <c r="T440" s="12"/>
      <c r="U440" s="12"/>
      <c r="W440" s="12"/>
      <c r="X440" s="12"/>
      <c r="Y440" s="12"/>
      <c r="Z440" s="12"/>
      <c r="AA440" s="12"/>
    </row>
    <row r="441" spans="1:27" ht="15.75" customHeight="1">
      <c r="A441" s="12"/>
      <c r="B441" s="12"/>
      <c r="C441" s="12"/>
      <c r="D441" s="12"/>
      <c r="E441" s="12"/>
      <c r="F441" s="12"/>
      <c r="G441" s="12"/>
      <c r="H441" s="12"/>
      <c r="I441" s="12"/>
      <c r="J441" s="12"/>
      <c r="K441" s="12"/>
      <c r="L441" s="12"/>
      <c r="M441" s="12"/>
      <c r="N441" s="12"/>
      <c r="O441" s="12"/>
      <c r="P441" s="12"/>
      <c r="Q441" s="12"/>
      <c r="R441" s="12"/>
      <c r="S441" s="12"/>
      <c r="T441" s="12"/>
      <c r="U441" s="12"/>
      <c r="W441" s="12"/>
      <c r="X441" s="12"/>
      <c r="Y441" s="12"/>
      <c r="Z441" s="12"/>
      <c r="AA441" s="12"/>
    </row>
    <row r="442" spans="1:27" ht="15.75" customHeight="1">
      <c r="A442" s="12"/>
      <c r="B442" s="12"/>
      <c r="C442" s="12"/>
      <c r="D442" s="12"/>
      <c r="E442" s="12"/>
      <c r="F442" s="12"/>
      <c r="G442" s="12"/>
      <c r="H442" s="12"/>
      <c r="I442" s="12"/>
      <c r="J442" s="12"/>
      <c r="K442" s="12"/>
      <c r="L442" s="12"/>
      <c r="M442" s="12"/>
      <c r="N442" s="12"/>
      <c r="O442" s="12"/>
      <c r="P442" s="12"/>
      <c r="Q442" s="12"/>
      <c r="R442" s="12"/>
      <c r="S442" s="12"/>
      <c r="T442" s="12"/>
      <c r="U442" s="12"/>
      <c r="W442" s="12"/>
      <c r="X442" s="12"/>
      <c r="Y442" s="12"/>
      <c r="Z442" s="12"/>
      <c r="AA442" s="12"/>
    </row>
    <row r="443" spans="1:27" ht="15.75" customHeight="1">
      <c r="A443" s="12"/>
      <c r="B443" s="12"/>
      <c r="C443" s="12"/>
      <c r="D443" s="12"/>
      <c r="E443" s="12"/>
      <c r="F443" s="12"/>
      <c r="G443" s="12"/>
      <c r="H443" s="12"/>
      <c r="I443" s="12"/>
      <c r="J443" s="12"/>
      <c r="K443" s="12"/>
      <c r="L443" s="12"/>
      <c r="M443" s="12"/>
      <c r="N443" s="12"/>
      <c r="O443" s="12"/>
      <c r="P443" s="12"/>
      <c r="Q443" s="12"/>
      <c r="R443" s="12"/>
      <c r="S443" s="12"/>
      <c r="T443" s="12"/>
      <c r="U443" s="12"/>
      <c r="W443" s="12"/>
      <c r="X443" s="12"/>
      <c r="Y443" s="12"/>
      <c r="Z443" s="12"/>
      <c r="AA443" s="12"/>
    </row>
    <row r="444" spans="1:27" ht="15.75" customHeight="1">
      <c r="A444" s="12"/>
      <c r="B444" s="12"/>
      <c r="C444" s="12"/>
      <c r="D444" s="12"/>
      <c r="E444" s="12"/>
      <c r="F444" s="12"/>
      <c r="G444" s="12"/>
      <c r="H444" s="12"/>
      <c r="I444" s="12"/>
      <c r="J444" s="12"/>
      <c r="K444" s="12"/>
      <c r="L444" s="12"/>
      <c r="M444" s="12"/>
      <c r="N444" s="12"/>
      <c r="O444" s="12"/>
      <c r="P444" s="12"/>
      <c r="Q444" s="12"/>
      <c r="R444" s="12"/>
      <c r="S444" s="12"/>
      <c r="T444" s="12"/>
      <c r="U444" s="12"/>
      <c r="W444" s="12"/>
      <c r="X444" s="12"/>
      <c r="Y444" s="12"/>
      <c r="Z444" s="12"/>
      <c r="AA444" s="12"/>
    </row>
    <row r="445" spans="1:27" ht="15.75" customHeight="1">
      <c r="A445" s="12"/>
      <c r="B445" s="12"/>
      <c r="C445" s="12"/>
      <c r="D445" s="12"/>
      <c r="E445" s="12"/>
      <c r="F445" s="12"/>
      <c r="G445" s="12"/>
      <c r="H445" s="12"/>
      <c r="I445" s="12"/>
      <c r="J445" s="12"/>
      <c r="K445" s="12"/>
      <c r="L445" s="12"/>
      <c r="M445" s="12"/>
      <c r="N445" s="12"/>
      <c r="O445" s="12"/>
      <c r="P445" s="12"/>
      <c r="Q445" s="12"/>
      <c r="R445" s="12"/>
      <c r="S445" s="12"/>
      <c r="T445" s="12"/>
      <c r="U445" s="12"/>
      <c r="W445" s="12"/>
      <c r="X445" s="12"/>
      <c r="Y445" s="12"/>
      <c r="Z445" s="12"/>
      <c r="AA445" s="12"/>
    </row>
    <row r="446" spans="1:27" ht="15.75" customHeight="1">
      <c r="A446" s="12"/>
      <c r="B446" s="12"/>
      <c r="C446" s="12"/>
      <c r="D446" s="12"/>
      <c r="E446" s="12"/>
      <c r="F446" s="12"/>
      <c r="G446" s="12"/>
      <c r="H446" s="12"/>
      <c r="I446" s="12"/>
      <c r="J446" s="12"/>
      <c r="K446" s="12"/>
      <c r="L446" s="12"/>
      <c r="M446" s="12"/>
      <c r="N446" s="12"/>
      <c r="O446" s="12"/>
      <c r="P446" s="12"/>
      <c r="Q446" s="12"/>
      <c r="R446" s="12"/>
      <c r="S446" s="12"/>
      <c r="T446" s="12"/>
      <c r="U446" s="12"/>
      <c r="W446" s="12"/>
      <c r="X446" s="12"/>
      <c r="Y446" s="12"/>
      <c r="Z446" s="12"/>
      <c r="AA446" s="12"/>
    </row>
    <row r="447" spans="1:27" ht="15.75" customHeight="1">
      <c r="A447" s="12"/>
      <c r="B447" s="12"/>
      <c r="C447" s="12"/>
      <c r="D447" s="12"/>
      <c r="E447" s="12"/>
      <c r="F447" s="12"/>
      <c r="G447" s="12"/>
      <c r="H447" s="12"/>
      <c r="I447" s="12"/>
      <c r="J447" s="12"/>
      <c r="K447" s="12"/>
      <c r="L447" s="12"/>
      <c r="M447" s="12"/>
      <c r="N447" s="12"/>
      <c r="O447" s="12"/>
      <c r="P447" s="12"/>
      <c r="Q447" s="12"/>
      <c r="R447" s="12"/>
      <c r="S447" s="12"/>
      <c r="T447" s="12"/>
      <c r="U447" s="12"/>
      <c r="W447" s="12"/>
      <c r="X447" s="12"/>
      <c r="Y447" s="12"/>
      <c r="Z447" s="12"/>
      <c r="AA447" s="12"/>
    </row>
    <row r="448" spans="1:27" ht="15.75" customHeight="1">
      <c r="A448" s="12"/>
      <c r="B448" s="12"/>
      <c r="C448" s="12"/>
      <c r="D448" s="12"/>
      <c r="E448" s="12"/>
      <c r="F448" s="12"/>
      <c r="G448" s="12"/>
      <c r="H448" s="12"/>
      <c r="I448" s="12"/>
      <c r="J448" s="12"/>
      <c r="K448" s="12"/>
      <c r="L448" s="12"/>
      <c r="M448" s="12"/>
      <c r="N448" s="12"/>
      <c r="O448" s="12"/>
      <c r="P448" s="12"/>
      <c r="Q448" s="12"/>
      <c r="R448" s="12"/>
      <c r="S448" s="12"/>
      <c r="T448" s="12"/>
      <c r="U448" s="12"/>
      <c r="W448" s="12"/>
      <c r="X448" s="12"/>
      <c r="Y448" s="12"/>
      <c r="Z448" s="12"/>
      <c r="AA448" s="12"/>
    </row>
    <row r="449" spans="1:27" ht="15.75" customHeight="1">
      <c r="A449" s="12"/>
      <c r="B449" s="12"/>
      <c r="C449" s="12"/>
      <c r="D449" s="12"/>
      <c r="E449" s="12"/>
      <c r="F449" s="12"/>
      <c r="G449" s="12"/>
      <c r="H449" s="12"/>
      <c r="I449" s="12"/>
      <c r="J449" s="12"/>
      <c r="K449" s="12"/>
      <c r="L449" s="12"/>
      <c r="M449" s="12"/>
      <c r="N449" s="12"/>
      <c r="O449" s="12"/>
      <c r="P449" s="12"/>
      <c r="Q449" s="12"/>
      <c r="R449" s="12"/>
      <c r="S449" s="12"/>
      <c r="T449" s="12"/>
      <c r="U449" s="12"/>
      <c r="W449" s="12"/>
      <c r="X449" s="12"/>
      <c r="Y449" s="12"/>
      <c r="Z449" s="12"/>
      <c r="AA449" s="12"/>
    </row>
    <row r="450" spans="1:27" ht="15.75" customHeight="1">
      <c r="A450" s="12"/>
      <c r="B450" s="12"/>
      <c r="C450" s="12"/>
      <c r="D450" s="12"/>
      <c r="E450" s="12"/>
      <c r="F450" s="12"/>
      <c r="G450" s="12"/>
      <c r="H450" s="12"/>
      <c r="I450" s="12"/>
      <c r="J450" s="12"/>
      <c r="K450" s="12"/>
      <c r="L450" s="12"/>
      <c r="M450" s="12"/>
      <c r="N450" s="12"/>
      <c r="O450" s="12"/>
      <c r="P450" s="12"/>
      <c r="Q450" s="12"/>
      <c r="R450" s="12"/>
      <c r="S450" s="12"/>
      <c r="T450" s="12"/>
      <c r="U450" s="12"/>
      <c r="W450" s="12"/>
      <c r="X450" s="12"/>
      <c r="Y450" s="12"/>
      <c r="Z450" s="12"/>
      <c r="AA450" s="12"/>
    </row>
    <row r="451" spans="1:27" ht="15.75" customHeight="1">
      <c r="A451" s="12"/>
      <c r="B451" s="12"/>
      <c r="C451" s="12"/>
      <c r="D451" s="12"/>
      <c r="E451" s="12"/>
      <c r="F451" s="12"/>
      <c r="G451" s="12"/>
      <c r="H451" s="12"/>
      <c r="I451" s="12"/>
      <c r="J451" s="12"/>
      <c r="K451" s="12"/>
      <c r="L451" s="12"/>
      <c r="M451" s="12"/>
      <c r="N451" s="12"/>
      <c r="O451" s="12"/>
      <c r="P451" s="12"/>
      <c r="Q451" s="12"/>
      <c r="R451" s="12"/>
      <c r="S451" s="12"/>
      <c r="T451" s="12"/>
      <c r="U451" s="12"/>
      <c r="W451" s="12"/>
      <c r="X451" s="12"/>
      <c r="Y451" s="12"/>
      <c r="Z451" s="12"/>
      <c r="AA451" s="12"/>
    </row>
    <row r="452" spans="1:27" ht="15.75" customHeight="1">
      <c r="A452" s="12"/>
      <c r="B452" s="12"/>
      <c r="C452" s="12"/>
      <c r="D452" s="12"/>
      <c r="E452" s="12"/>
      <c r="F452" s="12"/>
      <c r="G452" s="12"/>
      <c r="H452" s="12"/>
      <c r="I452" s="12"/>
      <c r="J452" s="12"/>
      <c r="K452" s="12"/>
      <c r="L452" s="12"/>
      <c r="M452" s="12"/>
      <c r="N452" s="12"/>
      <c r="O452" s="12"/>
      <c r="P452" s="12"/>
      <c r="Q452" s="12"/>
      <c r="R452" s="12"/>
      <c r="S452" s="12"/>
      <c r="T452" s="12"/>
      <c r="U452" s="12"/>
      <c r="W452" s="12"/>
      <c r="X452" s="12"/>
      <c r="Y452" s="12"/>
      <c r="Z452" s="12"/>
      <c r="AA452" s="12"/>
    </row>
    <row r="453" spans="1:27" ht="15.75" customHeight="1">
      <c r="A453" s="12"/>
      <c r="B453" s="12"/>
      <c r="C453" s="12"/>
      <c r="D453" s="12"/>
      <c r="E453" s="12"/>
      <c r="F453" s="12"/>
      <c r="G453" s="12"/>
      <c r="H453" s="12"/>
      <c r="I453" s="12"/>
      <c r="J453" s="12"/>
      <c r="K453" s="12"/>
      <c r="L453" s="12"/>
      <c r="M453" s="12"/>
      <c r="N453" s="12"/>
      <c r="O453" s="12"/>
      <c r="P453" s="12"/>
      <c r="Q453" s="12"/>
      <c r="R453" s="12"/>
      <c r="S453" s="12"/>
      <c r="T453" s="12"/>
      <c r="U453" s="12"/>
      <c r="W453" s="12"/>
      <c r="X453" s="12"/>
      <c r="Y453" s="12"/>
      <c r="Z453" s="12"/>
      <c r="AA453" s="12"/>
    </row>
    <row r="454" spans="1:27" ht="15.75" customHeight="1">
      <c r="A454" s="12"/>
      <c r="B454" s="12"/>
      <c r="C454" s="12"/>
      <c r="D454" s="12"/>
      <c r="E454" s="12"/>
      <c r="F454" s="12"/>
      <c r="G454" s="12"/>
      <c r="H454" s="12"/>
      <c r="I454" s="12"/>
      <c r="J454" s="12"/>
      <c r="K454" s="12"/>
      <c r="L454" s="12"/>
      <c r="M454" s="12"/>
      <c r="N454" s="12"/>
      <c r="O454" s="12"/>
      <c r="P454" s="12"/>
      <c r="Q454" s="12"/>
      <c r="R454" s="12"/>
      <c r="S454" s="12"/>
      <c r="T454" s="12"/>
      <c r="U454" s="12"/>
      <c r="W454" s="12"/>
      <c r="X454" s="12"/>
      <c r="Y454" s="12"/>
      <c r="Z454" s="12"/>
      <c r="AA454" s="12"/>
    </row>
    <row r="455" spans="1:27" ht="15.75" customHeight="1">
      <c r="A455" s="12"/>
      <c r="B455" s="12"/>
      <c r="C455" s="12"/>
      <c r="D455" s="12"/>
      <c r="E455" s="12"/>
      <c r="F455" s="12"/>
      <c r="G455" s="12"/>
      <c r="H455" s="12"/>
      <c r="I455" s="12"/>
      <c r="J455" s="12"/>
      <c r="K455" s="12"/>
      <c r="L455" s="12"/>
      <c r="M455" s="12"/>
      <c r="N455" s="12"/>
      <c r="O455" s="12"/>
      <c r="P455" s="12"/>
      <c r="Q455" s="12"/>
      <c r="R455" s="12"/>
      <c r="S455" s="12"/>
      <c r="T455" s="12"/>
      <c r="U455" s="12"/>
      <c r="W455" s="12"/>
      <c r="X455" s="12"/>
      <c r="Y455" s="12"/>
      <c r="Z455" s="12"/>
      <c r="AA455" s="12"/>
    </row>
    <row r="456" spans="1:27" ht="15.75" customHeight="1">
      <c r="A456" s="12"/>
      <c r="B456" s="12"/>
      <c r="C456" s="12"/>
      <c r="D456" s="12"/>
      <c r="E456" s="12"/>
      <c r="F456" s="12"/>
      <c r="G456" s="12"/>
      <c r="H456" s="12"/>
      <c r="I456" s="12"/>
      <c r="J456" s="12"/>
      <c r="K456" s="12"/>
      <c r="L456" s="12"/>
      <c r="M456" s="12"/>
      <c r="N456" s="12"/>
      <c r="O456" s="12"/>
      <c r="P456" s="12"/>
      <c r="Q456" s="12"/>
      <c r="R456" s="12"/>
      <c r="S456" s="12"/>
      <c r="T456" s="12"/>
      <c r="U456" s="12"/>
      <c r="W456" s="12"/>
      <c r="X456" s="12"/>
      <c r="Y456" s="12"/>
      <c r="Z456" s="12"/>
      <c r="AA456" s="12"/>
    </row>
    <row r="457" spans="1:27" ht="15.75" customHeight="1">
      <c r="A457" s="12"/>
      <c r="B457" s="12"/>
      <c r="C457" s="12"/>
      <c r="D457" s="12"/>
      <c r="E457" s="12"/>
      <c r="F457" s="12"/>
      <c r="G457" s="12"/>
      <c r="H457" s="12"/>
      <c r="I457" s="12"/>
      <c r="J457" s="12"/>
      <c r="K457" s="12"/>
      <c r="L457" s="12"/>
      <c r="M457" s="12"/>
      <c r="N457" s="12"/>
      <c r="O457" s="12"/>
      <c r="P457" s="12"/>
      <c r="Q457" s="12"/>
      <c r="R457" s="12"/>
      <c r="S457" s="12"/>
      <c r="T457" s="12"/>
      <c r="U457" s="12"/>
      <c r="W457" s="12"/>
      <c r="X457" s="12"/>
      <c r="Y457" s="12"/>
      <c r="Z457" s="12"/>
      <c r="AA457" s="12"/>
    </row>
    <row r="458" spans="1:27" ht="15.75" customHeight="1">
      <c r="A458" s="12"/>
      <c r="B458" s="12"/>
      <c r="C458" s="12"/>
      <c r="D458" s="12"/>
      <c r="E458" s="12"/>
      <c r="F458" s="12"/>
      <c r="G458" s="12"/>
      <c r="H458" s="12"/>
      <c r="I458" s="12"/>
      <c r="J458" s="12"/>
      <c r="K458" s="12"/>
      <c r="L458" s="12"/>
      <c r="M458" s="12"/>
      <c r="N458" s="12"/>
      <c r="O458" s="12"/>
      <c r="P458" s="12"/>
      <c r="Q458" s="12"/>
      <c r="R458" s="12"/>
      <c r="S458" s="12"/>
      <c r="T458" s="12"/>
      <c r="U458" s="12"/>
      <c r="W458" s="12"/>
      <c r="X458" s="12"/>
      <c r="Y458" s="12"/>
      <c r="Z458" s="12"/>
      <c r="AA458" s="12"/>
    </row>
    <row r="459" spans="1:27" ht="15.75" customHeight="1">
      <c r="A459" s="12"/>
      <c r="B459" s="12"/>
      <c r="C459" s="12"/>
      <c r="D459" s="12"/>
      <c r="E459" s="12"/>
      <c r="F459" s="12"/>
      <c r="G459" s="12"/>
      <c r="H459" s="12"/>
      <c r="I459" s="12"/>
      <c r="J459" s="12"/>
      <c r="K459" s="12"/>
      <c r="L459" s="12"/>
      <c r="M459" s="12"/>
      <c r="N459" s="12"/>
      <c r="O459" s="12"/>
      <c r="P459" s="12"/>
      <c r="Q459" s="12"/>
      <c r="R459" s="12"/>
      <c r="S459" s="12"/>
      <c r="T459" s="12"/>
      <c r="U459" s="12"/>
      <c r="W459" s="12"/>
      <c r="X459" s="12"/>
      <c r="Y459" s="12"/>
      <c r="Z459" s="12"/>
      <c r="AA459" s="12"/>
    </row>
    <row r="460" spans="1:27" ht="15.75" customHeight="1">
      <c r="A460" s="12"/>
      <c r="B460" s="12"/>
      <c r="C460" s="12"/>
      <c r="D460" s="12"/>
      <c r="E460" s="12"/>
      <c r="F460" s="12"/>
      <c r="G460" s="12"/>
      <c r="H460" s="12"/>
      <c r="I460" s="12"/>
      <c r="J460" s="12"/>
      <c r="K460" s="12"/>
      <c r="L460" s="12"/>
      <c r="M460" s="12"/>
      <c r="N460" s="12"/>
      <c r="O460" s="12"/>
      <c r="P460" s="12"/>
      <c r="Q460" s="12"/>
      <c r="R460" s="12"/>
      <c r="S460" s="12"/>
      <c r="T460" s="12"/>
      <c r="U460" s="12"/>
      <c r="W460" s="12"/>
      <c r="X460" s="12"/>
      <c r="Y460" s="12"/>
      <c r="Z460" s="12"/>
      <c r="AA460" s="12"/>
    </row>
    <row r="461" spans="1:27" ht="15.75" customHeight="1">
      <c r="A461" s="12"/>
      <c r="B461" s="12"/>
      <c r="C461" s="12"/>
      <c r="D461" s="12"/>
      <c r="E461" s="12"/>
      <c r="F461" s="12"/>
      <c r="G461" s="12"/>
      <c r="H461" s="12"/>
      <c r="I461" s="12"/>
      <c r="J461" s="12"/>
      <c r="K461" s="12"/>
      <c r="L461" s="12"/>
      <c r="M461" s="12"/>
      <c r="N461" s="12"/>
      <c r="O461" s="12"/>
      <c r="P461" s="12"/>
      <c r="Q461" s="12"/>
      <c r="R461" s="12"/>
      <c r="S461" s="12"/>
      <c r="T461" s="12"/>
      <c r="U461" s="12"/>
      <c r="W461" s="12"/>
      <c r="X461" s="12"/>
      <c r="Y461" s="12"/>
      <c r="Z461" s="12"/>
      <c r="AA461" s="12"/>
    </row>
    <row r="462" spans="1:27" ht="15.75" customHeight="1">
      <c r="A462" s="12"/>
      <c r="B462" s="12"/>
      <c r="C462" s="12"/>
      <c r="D462" s="12"/>
      <c r="E462" s="12"/>
      <c r="F462" s="12"/>
      <c r="G462" s="12"/>
      <c r="H462" s="12"/>
      <c r="I462" s="12"/>
      <c r="J462" s="12"/>
      <c r="K462" s="12"/>
      <c r="L462" s="12"/>
      <c r="M462" s="12"/>
      <c r="N462" s="12"/>
      <c r="O462" s="12"/>
      <c r="P462" s="12"/>
      <c r="Q462" s="12"/>
      <c r="R462" s="12"/>
      <c r="S462" s="12"/>
      <c r="T462" s="12"/>
      <c r="U462" s="12"/>
      <c r="W462" s="12"/>
      <c r="X462" s="12"/>
      <c r="Y462" s="12"/>
      <c r="Z462" s="12"/>
      <c r="AA462" s="12"/>
    </row>
    <row r="463" spans="1:27" ht="15.75" customHeight="1">
      <c r="A463" s="12"/>
      <c r="B463" s="12"/>
      <c r="C463" s="12"/>
      <c r="D463" s="12"/>
      <c r="E463" s="12"/>
      <c r="F463" s="12"/>
      <c r="G463" s="12"/>
      <c r="H463" s="12"/>
      <c r="I463" s="12"/>
      <c r="J463" s="12"/>
      <c r="K463" s="12"/>
      <c r="L463" s="12"/>
      <c r="M463" s="12"/>
      <c r="N463" s="12"/>
      <c r="O463" s="12"/>
      <c r="P463" s="12"/>
      <c r="Q463" s="12"/>
      <c r="R463" s="12"/>
      <c r="S463" s="12"/>
      <c r="T463" s="12"/>
      <c r="U463" s="12"/>
      <c r="W463" s="12"/>
      <c r="X463" s="12"/>
      <c r="Y463" s="12"/>
      <c r="Z463" s="12"/>
      <c r="AA463" s="12"/>
    </row>
    <row r="464" spans="1:27" ht="15.75" customHeight="1">
      <c r="A464" s="12"/>
      <c r="B464" s="12"/>
      <c r="C464" s="12"/>
      <c r="D464" s="12"/>
      <c r="E464" s="12"/>
      <c r="F464" s="12"/>
      <c r="G464" s="12"/>
      <c r="H464" s="12"/>
      <c r="I464" s="12"/>
      <c r="J464" s="12"/>
      <c r="K464" s="12"/>
      <c r="L464" s="12"/>
      <c r="M464" s="12"/>
      <c r="N464" s="12"/>
      <c r="O464" s="12"/>
      <c r="P464" s="12"/>
      <c r="Q464" s="12"/>
      <c r="R464" s="12"/>
      <c r="S464" s="12"/>
      <c r="T464" s="12"/>
      <c r="U464" s="12"/>
      <c r="W464" s="12"/>
      <c r="X464" s="12"/>
      <c r="Y464" s="12"/>
      <c r="Z464" s="12"/>
      <c r="AA464" s="12"/>
    </row>
    <row r="465" spans="1:27" ht="15.75" customHeight="1">
      <c r="A465" s="12"/>
      <c r="B465" s="12"/>
      <c r="C465" s="12"/>
      <c r="D465" s="12"/>
      <c r="E465" s="12"/>
      <c r="F465" s="12"/>
      <c r="G465" s="12"/>
      <c r="H465" s="12"/>
      <c r="I465" s="12"/>
      <c r="J465" s="12"/>
      <c r="K465" s="12"/>
      <c r="L465" s="12"/>
      <c r="M465" s="12"/>
      <c r="N465" s="12"/>
      <c r="O465" s="12"/>
      <c r="P465" s="12"/>
      <c r="Q465" s="12"/>
      <c r="R465" s="12"/>
      <c r="S465" s="12"/>
      <c r="T465" s="12"/>
      <c r="U465" s="12"/>
      <c r="W465" s="12"/>
      <c r="X465" s="12"/>
      <c r="Y465" s="12"/>
      <c r="Z465" s="12"/>
      <c r="AA465" s="12"/>
    </row>
    <row r="466" spans="1:27" ht="15.75" customHeight="1">
      <c r="A466" s="12"/>
      <c r="B466" s="12"/>
      <c r="C466" s="12"/>
      <c r="D466" s="12"/>
      <c r="E466" s="12"/>
      <c r="F466" s="12"/>
      <c r="G466" s="12"/>
      <c r="H466" s="12"/>
      <c r="I466" s="12"/>
      <c r="J466" s="12"/>
      <c r="K466" s="12"/>
      <c r="L466" s="12"/>
      <c r="M466" s="12"/>
      <c r="N466" s="12"/>
      <c r="O466" s="12"/>
      <c r="P466" s="12"/>
      <c r="Q466" s="12"/>
      <c r="R466" s="12"/>
      <c r="S466" s="12"/>
      <c r="T466" s="12"/>
      <c r="U466" s="12"/>
      <c r="W466" s="12"/>
      <c r="X466" s="12"/>
      <c r="Y466" s="12"/>
      <c r="Z466" s="12"/>
      <c r="AA466" s="12"/>
    </row>
    <row r="467" spans="1:27" ht="15.75" customHeight="1">
      <c r="A467" s="12"/>
      <c r="B467" s="12"/>
      <c r="C467" s="12"/>
      <c r="D467" s="12"/>
      <c r="E467" s="12"/>
      <c r="F467" s="12"/>
      <c r="G467" s="12"/>
      <c r="H467" s="12"/>
      <c r="I467" s="12"/>
      <c r="J467" s="12"/>
      <c r="K467" s="12"/>
      <c r="L467" s="12"/>
      <c r="M467" s="12"/>
      <c r="N467" s="12"/>
      <c r="O467" s="12"/>
      <c r="P467" s="12"/>
      <c r="Q467" s="12"/>
      <c r="R467" s="12"/>
      <c r="S467" s="12"/>
      <c r="T467" s="12"/>
      <c r="U467" s="12"/>
      <c r="W467" s="12"/>
      <c r="X467" s="12"/>
      <c r="Y467" s="12"/>
      <c r="Z467" s="12"/>
      <c r="AA467" s="12"/>
    </row>
    <row r="468" spans="1:27" ht="15.75" customHeight="1">
      <c r="A468" s="12"/>
      <c r="B468" s="12"/>
      <c r="C468" s="12"/>
      <c r="D468" s="12"/>
      <c r="E468" s="12"/>
      <c r="F468" s="12"/>
      <c r="G468" s="12"/>
      <c r="H468" s="12"/>
      <c r="I468" s="12"/>
      <c r="J468" s="12"/>
      <c r="K468" s="12"/>
      <c r="L468" s="12"/>
      <c r="M468" s="12"/>
      <c r="N468" s="12"/>
      <c r="O468" s="12"/>
      <c r="P468" s="12"/>
      <c r="Q468" s="12"/>
      <c r="R468" s="12"/>
      <c r="S468" s="12"/>
      <c r="T468" s="12"/>
      <c r="U468" s="12"/>
      <c r="W468" s="12"/>
      <c r="X468" s="12"/>
      <c r="Y468" s="12"/>
      <c r="Z468" s="12"/>
      <c r="AA468" s="12"/>
    </row>
    <row r="469" spans="1:27" ht="15.75" customHeight="1">
      <c r="A469" s="12"/>
      <c r="B469" s="12"/>
      <c r="C469" s="12"/>
      <c r="D469" s="12"/>
      <c r="E469" s="12"/>
      <c r="F469" s="12"/>
      <c r="G469" s="12"/>
      <c r="H469" s="12"/>
      <c r="I469" s="12"/>
      <c r="J469" s="12"/>
      <c r="K469" s="12"/>
      <c r="L469" s="12"/>
      <c r="M469" s="12"/>
      <c r="N469" s="12"/>
      <c r="O469" s="12"/>
      <c r="P469" s="12"/>
      <c r="Q469" s="12"/>
      <c r="R469" s="12"/>
      <c r="S469" s="12"/>
      <c r="T469" s="12"/>
      <c r="U469" s="12"/>
      <c r="W469" s="12"/>
      <c r="X469" s="12"/>
      <c r="Y469" s="12"/>
      <c r="Z469" s="12"/>
      <c r="AA469" s="12"/>
    </row>
    <row r="470" spans="1:27" ht="15.75" customHeight="1">
      <c r="A470" s="12"/>
      <c r="B470" s="12"/>
      <c r="C470" s="12"/>
      <c r="D470" s="12"/>
      <c r="E470" s="12"/>
      <c r="F470" s="12"/>
      <c r="G470" s="12"/>
      <c r="H470" s="12"/>
      <c r="I470" s="12"/>
      <c r="J470" s="12"/>
      <c r="K470" s="12"/>
      <c r="L470" s="12"/>
      <c r="M470" s="12"/>
      <c r="N470" s="12"/>
      <c r="O470" s="12"/>
      <c r="P470" s="12"/>
      <c r="Q470" s="12"/>
      <c r="R470" s="12"/>
      <c r="S470" s="12"/>
      <c r="T470" s="12"/>
      <c r="U470" s="12"/>
      <c r="W470" s="12"/>
      <c r="X470" s="12"/>
      <c r="Y470" s="12"/>
      <c r="Z470" s="12"/>
      <c r="AA470" s="12"/>
    </row>
    <row r="471" spans="1:27" ht="15.75" customHeight="1">
      <c r="A471" s="12"/>
      <c r="B471" s="12"/>
      <c r="C471" s="12"/>
      <c r="D471" s="12"/>
      <c r="E471" s="12"/>
      <c r="F471" s="12"/>
      <c r="G471" s="12"/>
      <c r="H471" s="12"/>
      <c r="I471" s="12"/>
      <c r="J471" s="12"/>
      <c r="K471" s="12"/>
      <c r="L471" s="12"/>
      <c r="M471" s="12"/>
      <c r="N471" s="12"/>
      <c r="O471" s="12"/>
      <c r="P471" s="12"/>
      <c r="Q471" s="12"/>
      <c r="R471" s="12"/>
      <c r="S471" s="12"/>
      <c r="T471" s="12"/>
      <c r="U471" s="12"/>
      <c r="W471" s="12"/>
      <c r="X471" s="12"/>
      <c r="Y471" s="12"/>
      <c r="Z471" s="12"/>
      <c r="AA471" s="12"/>
    </row>
    <row r="472" spans="1:27" ht="15.75" customHeight="1">
      <c r="A472" s="12"/>
      <c r="B472" s="12"/>
      <c r="C472" s="12"/>
      <c r="D472" s="12"/>
      <c r="E472" s="12"/>
      <c r="F472" s="12"/>
      <c r="G472" s="12"/>
      <c r="H472" s="12"/>
      <c r="I472" s="12"/>
      <c r="J472" s="12"/>
      <c r="K472" s="12"/>
      <c r="L472" s="12"/>
      <c r="M472" s="12"/>
      <c r="N472" s="12"/>
      <c r="O472" s="12"/>
      <c r="P472" s="12"/>
      <c r="Q472" s="12"/>
      <c r="R472" s="12"/>
      <c r="S472" s="12"/>
      <c r="T472" s="12"/>
      <c r="U472" s="12"/>
      <c r="W472" s="12"/>
      <c r="X472" s="12"/>
      <c r="Y472" s="12"/>
      <c r="Z472" s="12"/>
      <c r="AA472" s="12"/>
    </row>
    <row r="473" spans="1:27" ht="15.75" customHeight="1">
      <c r="A473" s="12"/>
      <c r="B473" s="12"/>
      <c r="C473" s="12"/>
      <c r="D473" s="12"/>
      <c r="E473" s="12"/>
      <c r="F473" s="12"/>
      <c r="G473" s="12"/>
      <c r="H473" s="12"/>
      <c r="I473" s="12"/>
      <c r="J473" s="12"/>
      <c r="K473" s="12"/>
      <c r="L473" s="12"/>
      <c r="M473" s="12"/>
      <c r="N473" s="12"/>
      <c r="O473" s="12"/>
      <c r="P473" s="12"/>
      <c r="Q473" s="12"/>
      <c r="R473" s="12"/>
      <c r="S473" s="12"/>
      <c r="T473" s="12"/>
      <c r="U473" s="12"/>
      <c r="W473" s="12"/>
      <c r="X473" s="12"/>
      <c r="Y473" s="12"/>
      <c r="Z473" s="12"/>
      <c r="AA473" s="12"/>
    </row>
    <row r="474" spans="1:27" ht="15.75" customHeight="1">
      <c r="A474" s="12"/>
      <c r="B474" s="12"/>
      <c r="C474" s="12"/>
      <c r="D474" s="12"/>
      <c r="E474" s="12"/>
      <c r="F474" s="12"/>
      <c r="G474" s="12"/>
      <c r="H474" s="12"/>
      <c r="I474" s="12"/>
      <c r="J474" s="12"/>
      <c r="K474" s="12"/>
      <c r="L474" s="12"/>
      <c r="M474" s="12"/>
      <c r="N474" s="12"/>
      <c r="O474" s="12"/>
      <c r="P474" s="12"/>
      <c r="Q474" s="12"/>
      <c r="R474" s="12"/>
      <c r="S474" s="12"/>
      <c r="T474" s="12"/>
      <c r="U474" s="12"/>
      <c r="W474" s="12"/>
      <c r="X474" s="12"/>
      <c r="Y474" s="12"/>
      <c r="Z474" s="12"/>
      <c r="AA474" s="12"/>
    </row>
    <row r="475" spans="1:27" ht="15.75" customHeight="1">
      <c r="A475" s="12"/>
      <c r="B475" s="12"/>
      <c r="C475" s="12"/>
      <c r="D475" s="12"/>
      <c r="E475" s="12"/>
      <c r="F475" s="12"/>
      <c r="G475" s="12"/>
      <c r="H475" s="12"/>
      <c r="I475" s="12"/>
      <c r="J475" s="12"/>
      <c r="K475" s="12"/>
      <c r="L475" s="12"/>
      <c r="M475" s="12"/>
      <c r="N475" s="12"/>
      <c r="O475" s="12"/>
      <c r="P475" s="12"/>
      <c r="Q475" s="12"/>
      <c r="R475" s="12"/>
      <c r="S475" s="12"/>
      <c r="T475" s="12"/>
      <c r="U475" s="12"/>
      <c r="W475" s="12"/>
      <c r="X475" s="12"/>
      <c r="Y475" s="12"/>
      <c r="Z475" s="12"/>
      <c r="AA475" s="12"/>
    </row>
    <row r="476" spans="1:27" ht="15.75" customHeight="1">
      <c r="A476" s="12"/>
      <c r="B476" s="12"/>
      <c r="C476" s="12"/>
      <c r="D476" s="12"/>
      <c r="E476" s="12"/>
      <c r="F476" s="12"/>
      <c r="G476" s="12"/>
      <c r="H476" s="12"/>
      <c r="I476" s="12"/>
      <c r="J476" s="12"/>
      <c r="K476" s="12"/>
      <c r="L476" s="12"/>
      <c r="M476" s="12"/>
      <c r="N476" s="12"/>
      <c r="O476" s="12"/>
      <c r="P476" s="12"/>
      <c r="Q476" s="12"/>
      <c r="R476" s="12"/>
      <c r="S476" s="12"/>
      <c r="T476" s="12"/>
      <c r="U476" s="12"/>
      <c r="W476" s="12"/>
      <c r="X476" s="12"/>
      <c r="Y476" s="12"/>
      <c r="Z476" s="12"/>
      <c r="AA476" s="12"/>
    </row>
    <row r="477" spans="1:27" ht="15.75" customHeight="1">
      <c r="A477" s="12"/>
      <c r="B477" s="12"/>
      <c r="C477" s="12"/>
      <c r="D477" s="12"/>
      <c r="E477" s="12"/>
      <c r="F477" s="12"/>
      <c r="G477" s="12"/>
      <c r="H477" s="12"/>
      <c r="I477" s="12"/>
      <c r="J477" s="12"/>
      <c r="K477" s="12"/>
      <c r="L477" s="12"/>
      <c r="M477" s="12"/>
      <c r="N477" s="12"/>
      <c r="O477" s="12"/>
      <c r="P477" s="12"/>
      <c r="Q477" s="12"/>
      <c r="R477" s="12"/>
      <c r="S477" s="12"/>
      <c r="T477" s="12"/>
      <c r="U477" s="12"/>
      <c r="W477" s="12"/>
      <c r="X477" s="12"/>
      <c r="Y477" s="12"/>
      <c r="Z477" s="12"/>
      <c r="AA477" s="12"/>
    </row>
    <row r="478" spans="1:27" ht="15.75" customHeight="1">
      <c r="A478" s="12"/>
      <c r="B478" s="12"/>
      <c r="C478" s="12"/>
      <c r="D478" s="12"/>
      <c r="E478" s="12"/>
      <c r="F478" s="12"/>
      <c r="G478" s="12"/>
      <c r="H478" s="12"/>
      <c r="I478" s="12"/>
      <c r="J478" s="12"/>
      <c r="K478" s="12"/>
      <c r="L478" s="12"/>
      <c r="M478" s="12"/>
      <c r="N478" s="12"/>
      <c r="O478" s="12"/>
      <c r="P478" s="12"/>
      <c r="Q478" s="12"/>
      <c r="R478" s="12"/>
      <c r="S478" s="12"/>
      <c r="T478" s="12"/>
      <c r="U478" s="12"/>
      <c r="W478" s="12"/>
      <c r="X478" s="12"/>
      <c r="Y478" s="12"/>
      <c r="Z478" s="12"/>
      <c r="AA478" s="12"/>
    </row>
    <row r="479" spans="1:27" ht="15.75" customHeight="1">
      <c r="A479" s="12"/>
      <c r="B479" s="12"/>
      <c r="C479" s="12"/>
      <c r="D479" s="12"/>
      <c r="E479" s="12"/>
      <c r="F479" s="12"/>
      <c r="G479" s="12"/>
      <c r="H479" s="12"/>
      <c r="I479" s="12"/>
      <c r="J479" s="12"/>
      <c r="K479" s="12"/>
      <c r="L479" s="12"/>
      <c r="M479" s="12"/>
      <c r="N479" s="12"/>
      <c r="O479" s="12"/>
      <c r="P479" s="12"/>
      <c r="Q479" s="12"/>
      <c r="R479" s="12"/>
      <c r="S479" s="12"/>
      <c r="T479" s="12"/>
      <c r="U479" s="12"/>
      <c r="W479" s="12"/>
      <c r="X479" s="12"/>
      <c r="Y479" s="12"/>
      <c r="Z479" s="12"/>
      <c r="AA479" s="12"/>
    </row>
    <row r="480" spans="1:27" ht="15.75" customHeight="1">
      <c r="A480" s="12"/>
      <c r="B480" s="12"/>
      <c r="C480" s="12"/>
      <c r="D480" s="12"/>
      <c r="E480" s="12"/>
      <c r="F480" s="12"/>
      <c r="G480" s="12"/>
      <c r="H480" s="12"/>
      <c r="I480" s="12"/>
      <c r="J480" s="12"/>
      <c r="K480" s="12"/>
      <c r="L480" s="12"/>
      <c r="M480" s="12"/>
      <c r="N480" s="12"/>
      <c r="O480" s="12"/>
      <c r="P480" s="12"/>
      <c r="Q480" s="12"/>
      <c r="R480" s="12"/>
      <c r="S480" s="12"/>
      <c r="T480" s="12"/>
      <c r="U480" s="12"/>
      <c r="W480" s="12"/>
      <c r="X480" s="12"/>
      <c r="Y480" s="12"/>
      <c r="Z480" s="12"/>
      <c r="AA480" s="12"/>
    </row>
    <row r="481" spans="1:27" ht="15.75" customHeight="1">
      <c r="A481" s="12"/>
      <c r="B481" s="12"/>
      <c r="C481" s="12"/>
      <c r="D481" s="12"/>
      <c r="E481" s="12"/>
      <c r="F481" s="12"/>
      <c r="G481" s="12"/>
      <c r="H481" s="12"/>
      <c r="I481" s="12"/>
      <c r="J481" s="12"/>
      <c r="K481" s="12"/>
      <c r="L481" s="12"/>
      <c r="M481" s="12"/>
      <c r="N481" s="12"/>
      <c r="O481" s="12"/>
      <c r="P481" s="12"/>
      <c r="Q481" s="12"/>
      <c r="R481" s="12"/>
      <c r="S481" s="12"/>
      <c r="T481" s="12"/>
      <c r="U481" s="12"/>
      <c r="W481" s="12"/>
      <c r="X481" s="12"/>
      <c r="Y481" s="12"/>
      <c r="Z481" s="12"/>
      <c r="AA481" s="12"/>
    </row>
    <row r="482" spans="1:27" ht="15.75" customHeight="1">
      <c r="A482" s="12"/>
      <c r="B482" s="12"/>
      <c r="C482" s="12"/>
      <c r="D482" s="12"/>
      <c r="E482" s="12"/>
      <c r="F482" s="12"/>
      <c r="G482" s="12"/>
      <c r="H482" s="12"/>
      <c r="I482" s="12"/>
      <c r="J482" s="12"/>
      <c r="K482" s="12"/>
      <c r="L482" s="12"/>
      <c r="M482" s="12"/>
      <c r="N482" s="12"/>
      <c r="O482" s="12"/>
      <c r="P482" s="12"/>
      <c r="Q482" s="12"/>
      <c r="R482" s="12"/>
      <c r="S482" s="12"/>
      <c r="T482" s="12"/>
      <c r="U482" s="12"/>
      <c r="W482" s="12"/>
      <c r="X482" s="12"/>
      <c r="Y482" s="12"/>
      <c r="Z482" s="12"/>
      <c r="AA482" s="12"/>
    </row>
    <row r="483" spans="1:27" ht="15.75" customHeight="1">
      <c r="A483" s="12"/>
      <c r="B483" s="12"/>
      <c r="C483" s="12"/>
      <c r="D483" s="12"/>
      <c r="E483" s="12"/>
      <c r="F483" s="12"/>
      <c r="G483" s="12"/>
      <c r="H483" s="12"/>
      <c r="I483" s="12"/>
      <c r="J483" s="12"/>
      <c r="K483" s="12"/>
      <c r="L483" s="12"/>
      <c r="M483" s="12"/>
      <c r="N483" s="12"/>
      <c r="O483" s="12"/>
      <c r="P483" s="12"/>
      <c r="Q483" s="12"/>
      <c r="R483" s="12"/>
      <c r="S483" s="12"/>
      <c r="T483" s="12"/>
      <c r="U483" s="12"/>
      <c r="W483" s="12"/>
      <c r="X483" s="12"/>
      <c r="Y483" s="12"/>
      <c r="Z483" s="12"/>
      <c r="AA483" s="12"/>
    </row>
    <row r="484" spans="1:27" ht="15.75" customHeight="1">
      <c r="A484" s="12"/>
      <c r="B484" s="12"/>
      <c r="C484" s="12"/>
      <c r="D484" s="12"/>
      <c r="E484" s="12"/>
      <c r="F484" s="12"/>
      <c r="G484" s="12"/>
      <c r="H484" s="12"/>
      <c r="I484" s="12"/>
      <c r="J484" s="12"/>
      <c r="K484" s="12"/>
      <c r="L484" s="12"/>
      <c r="M484" s="12"/>
      <c r="N484" s="12"/>
      <c r="O484" s="12"/>
      <c r="P484" s="12"/>
      <c r="Q484" s="12"/>
      <c r="R484" s="12"/>
      <c r="S484" s="12"/>
      <c r="T484" s="12"/>
      <c r="U484" s="12"/>
      <c r="W484" s="12"/>
      <c r="X484" s="12"/>
      <c r="Y484" s="12"/>
      <c r="Z484" s="12"/>
      <c r="AA484" s="12"/>
    </row>
    <row r="485" spans="1:27" ht="15.75" customHeight="1">
      <c r="A485" s="12"/>
      <c r="B485" s="12"/>
      <c r="C485" s="12"/>
      <c r="D485" s="12"/>
      <c r="E485" s="12"/>
      <c r="F485" s="12"/>
      <c r="G485" s="12"/>
      <c r="H485" s="12"/>
      <c r="I485" s="12"/>
      <c r="J485" s="12"/>
      <c r="K485" s="12"/>
      <c r="L485" s="12"/>
      <c r="M485" s="12"/>
      <c r="N485" s="12"/>
      <c r="O485" s="12"/>
      <c r="P485" s="12"/>
      <c r="Q485" s="12"/>
      <c r="R485" s="12"/>
      <c r="S485" s="12"/>
      <c r="T485" s="12"/>
      <c r="U485" s="12"/>
      <c r="W485" s="12"/>
      <c r="X485" s="12"/>
      <c r="Y485" s="12"/>
      <c r="Z485" s="12"/>
      <c r="AA485" s="12"/>
    </row>
    <row r="486" spans="1:27" ht="15.75" customHeight="1">
      <c r="A486" s="12"/>
      <c r="B486" s="12"/>
      <c r="C486" s="12"/>
      <c r="D486" s="12"/>
      <c r="E486" s="12"/>
      <c r="F486" s="12"/>
      <c r="G486" s="12"/>
      <c r="H486" s="12"/>
      <c r="I486" s="12"/>
      <c r="J486" s="12"/>
      <c r="K486" s="12"/>
      <c r="L486" s="12"/>
      <c r="M486" s="12"/>
      <c r="N486" s="12"/>
      <c r="O486" s="12"/>
      <c r="P486" s="12"/>
      <c r="Q486" s="12"/>
      <c r="R486" s="12"/>
      <c r="S486" s="12"/>
      <c r="T486" s="12"/>
      <c r="U486" s="12"/>
      <c r="W486" s="12"/>
      <c r="X486" s="12"/>
      <c r="Y486" s="12"/>
      <c r="Z486" s="12"/>
      <c r="AA486" s="12"/>
    </row>
    <row r="487" spans="1:27" ht="15.75" customHeight="1">
      <c r="A487" s="12"/>
      <c r="B487" s="12"/>
      <c r="C487" s="12"/>
      <c r="D487" s="12"/>
      <c r="E487" s="12"/>
      <c r="F487" s="12"/>
      <c r="G487" s="12"/>
      <c r="H487" s="12"/>
      <c r="I487" s="12"/>
      <c r="J487" s="12"/>
      <c r="K487" s="12"/>
      <c r="L487" s="12"/>
      <c r="M487" s="12"/>
      <c r="N487" s="12"/>
      <c r="O487" s="12"/>
      <c r="P487" s="12"/>
      <c r="Q487" s="12"/>
      <c r="R487" s="12"/>
      <c r="S487" s="12"/>
      <c r="T487" s="12"/>
      <c r="U487" s="12"/>
      <c r="W487" s="12"/>
      <c r="X487" s="12"/>
      <c r="Y487" s="12"/>
      <c r="Z487" s="12"/>
      <c r="AA487" s="12"/>
    </row>
    <row r="488" spans="1:27" ht="15.75" customHeight="1">
      <c r="A488" s="12"/>
      <c r="B488" s="12"/>
      <c r="C488" s="12"/>
      <c r="D488" s="12"/>
      <c r="E488" s="12"/>
      <c r="F488" s="12"/>
      <c r="G488" s="12"/>
      <c r="H488" s="12"/>
      <c r="I488" s="12"/>
      <c r="J488" s="12"/>
      <c r="K488" s="12"/>
      <c r="L488" s="12"/>
      <c r="M488" s="12"/>
      <c r="N488" s="12"/>
      <c r="O488" s="12"/>
      <c r="P488" s="12"/>
      <c r="Q488" s="12"/>
      <c r="R488" s="12"/>
      <c r="S488" s="12"/>
      <c r="T488" s="12"/>
      <c r="U488" s="12"/>
      <c r="W488" s="12"/>
      <c r="X488" s="12"/>
      <c r="Y488" s="12"/>
      <c r="Z488" s="12"/>
      <c r="AA488" s="12"/>
    </row>
    <row r="489" spans="1:27" ht="15.75" customHeight="1">
      <c r="A489" s="12"/>
      <c r="B489" s="12"/>
      <c r="C489" s="12"/>
      <c r="D489" s="12"/>
      <c r="E489" s="12"/>
      <c r="F489" s="12"/>
      <c r="G489" s="12"/>
      <c r="H489" s="12"/>
      <c r="I489" s="12"/>
      <c r="J489" s="12"/>
      <c r="K489" s="12"/>
      <c r="L489" s="12"/>
      <c r="M489" s="12"/>
      <c r="N489" s="12"/>
      <c r="O489" s="12"/>
      <c r="P489" s="12"/>
      <c r="Q489" s="12"/>
      <c r="R489" s="12"/>
      <c r="S489" s="12"/>
      <c r="T489" s="12"/>
      <c r="U489" s="12"/>
      <c r="W489" s="12"/>
      <c r="X489" s="12"/>
      <c r="Y489" s="12"/>
      <c r="Z489" s="12"/>
      <c r="AA489" s="12"/>
    </row>
    <row r="490" spans="1:27" ht="15.75" customHeight="1">
      <c r="A490" s="12"/>
      <c r="B490" s="12"/>
      <c r="C490" s="12"/>
      <c r="D490" s="12"/>
      <c r="E490" s="12"/>
      <c r="F490" s="12"/>
      <c r="G490" s="12"/>
      <c r="H490" s="12"/>
      <c r="I490" s="12"/>
      <c r="J490" s="12"/>
      <c r="K490" s="12"/>
      <c r="L490" s="12"/>
      <c r="M490" s="12"/>
      <c r="N490" s="12"/>
      <c r="O490" s="12"/>
      <c r="P490" s="12"/>
      <c r="Q490" s="12"/>
      <c r="R490" s="12"/>
      <c r="S490" s="12"/>
      <c r="T490" s="12"/>
      <c r="U490" s="12"/>
      <c r="W490" s="12"/>
      <c r="X490" s="12"/>
      <c r="Y490" s="12"/>
      <c r="Z490" s="12"/>
      <c r="AA490" s="12"/>
    </row>
    <row r="491" spans="1:27" ht="15.75" customHeight="1">
      <c r="A491" s="12"/>
      <c r="B491" s="12"/>
      <c r="C491" s="12"/>
      <c r="D491" s="12"/>
      <c r="E491" s="12"/>
      <c r="F491" s="12"/>
      <c r="G491" s="12"/>
      <c r="H491" s="12"/>
      <c r="I491" s="12"/>
      <c r="J491" s="12"/>
      <c r="K491" s="12"/>
      <c r="L491" s="12"/>
      <c r="M491" s="12"/>
      <c r="N491" s="12"/>
      <c r="O491" s="12"/>
      <c r="P491" s="12"/>
      <c r="Q491" s="12"/>
      <c r="R491" s="12"/>
      <c r="S491" s="12"/>
      <c r="T491" s="12"/>
      <c r="U491" s="12"/>
      <c r="W491" s="12"/>
      <c r="X491" s="12"/>
      <c r="Y491" s="12"/>
      <c r="Z491" s="12"/>
      <c r="AA491" s="12"/>
    </row>
    <row r="492" spans="1:27" ht="15.75" customHeight="1">
      <c r="A492" s="12"/>
      <c r="B492" s="12"/>
      <c r="C492" s="12"/>
      <c r="D492" s="12"/>
      <c r="E492" s="12"/>
      <c r="F492" s="12"/>
      <c r="G492" s="12"/>
      <c r="H492" s="12"/>
      <c r="I492" s="12"/>
      <c r="J492" s="12"/>
      <c r="K492" s="12"/>
      <c r="L492" s="12"/>
      <c r="M492" s="12"/>
      <c r="N492" s="12"/>
      <c r="O492" s="12"/>
      <c r="P492" s="12"/>
      <c r="Q492" s="12"/>
      <c r="R492" s="12"/>
      <c r="S492" s="12"/>
      <c r="T492" s="12"/>
      <c r="U492" s="12"/>
      <c r="W492" s="12"/>
      <c r="X492" s="12"/>
      <c r="Y492" s="12"/>
      <c r="Z492" s="12"/>
      <c r="AA492" s="12"/>
    </row>
    <row r="493" spans="1:27" ht="15.75" customHeight="1">
      <c r="A493" s="12"/>
      <c r="B493" s="12"/>
      <c r="C493" s="12"/>
      <c r="D493" s="12"/>
      <c r="E493" s="12"/>
      <c r="F493" s="12"/>
      <c r="G493" s="12"/>
      <c r="H493" s="12"/>
      <c r="I493" s="12"/>
      <c r="J493" s="12"/>
      <c r="K493" s="12"/>
      <c r="L493" s="12"/>
      <c r="M493" s="12"/>
      <c r="N493" s="12"/>
      <c r="O493" s="12"/>
      <c r="P493" s="12"/>
      <c r="Q493" s="12"/>
      <c r="R493" s="12"/>
      <c r="S493" s="12"/>
      <c r="T493" s="12"/>
      <c r="U493" s="12"/>
      <c r="W493" s="12"/>
      <c r="X493" s="12"/>
      <c r="Y493" s="12"/>
      <c r="Z493" s="12"/>
      <c r="AA493" s="12"/>
    </row>
    <row r="494" spans="1:27" ht="15.75" customHeight="1">
      <c r="A494" s="12"/>
      <c r="B494" s="12"/>
      <c r="C494" s="12"/>
      <c r="D494" s="12"/>
      <c r="E494" s="12"/>
      <c r="F494" s="12"/>
      <c r="G494" s="12"/>
      <c r="H494" s="12"/>
      <c r="I494" s="12"/>
      <c r="J494" s="12"/>
      <c r="K494" s="12"/>
      <c r="L494" s="12"/>
      <c r="M494" s="12"/>
      <c r="N494" s="12"/>
      <c r="O494" s="12"/>
      <c r="P494" s="12"/>
      <c r="Q494" s="12"/>
      <c r="R494" s="12"/>
      <c r="S494" s="12"/>
      <c r="T494" s="12"/>
      <c r="U494" s="12"/>
      <c r="W494" s="12"/>
      <c r="X494" s="12"/>
      <c r="Y494" s="12"/>
      <c r="Z494" s="12"/>
      <c r="AA494" s="12"/>
    </row>
    <row r="495" spans="1:27" ht="15.75" customHeight="1">
      <c r="A495" s="12"/>
      <c r="B495" s="12"/>
      <c r="C495" s="12"/>
      <c r="D495" s="12"/>
      <c r="E495" s="12"/>
      <c r="F495" s="12"/>
      <c r="G495" s="12"/>
      <c r="H495" s="12"/>
      <c r="I495" s="12"/>
      <c r="J495" s="12"/>
      <c r="K495" s="12"/>
      <c r="L495" s="12"/>
      <c r="M495" s="12"/>
      <c r="N495" s="12"/>
      <c r="O495" s="12"/>
      <c r="P495" s="12"/>
      <c r="Q495" s="12"/>
      <c r="R495" s="12"/>
      <c r="S495" s="12"/>
      <c r="T495" s="12"/>
      <c r="U495" s="12"/>
      <c r="W495" s="12"/>
      <c r="X495" s="12"/>
      <c r="Y495" s="12"/>
      <c r="Z495" s="12"/>
      <c r="AA495" s="12"/>
    </row>
    <row r="496" spans="1:27" ht="15.75" customHeight="1">
      <c r="A496" s="12"/>
      <c r="B496" s="12"/>
      <c r="C496" s="12"/>
      <c r="D496" s="12"/>
      <c r="E496" s="12"/>
      <c r="F496" s="12"/>
      <c r="G496" s="12"/>
      <c r="H496" s="12"/>
      <c r="I496" s="12"/>
      <c r="J496" s="12"/>
      <c r="K496" s="12"/>
      <c r="L496" s="12"/>
      <c r="M496" s="12"/>
      <c r="N496" s="12"/>
      <c r="O496" s="12"/>
      <c r="P496" s="12"/>
      <c r="Q496" s="12"/>
      <c r="R496" s="12"/>
      <c r="S496" s="12"/>
      <c r="T496" s="12"/>
      <c r="U496" s="12"/>
      <c r="W496" s="12"/>
      <c r="X496" s="12"/>
      <c r="Y496" s="12"/>
      <c r="Z496" s="12"/>
      <c r="AA496" s="12"/>
    </row>
    <row r="497" spans="1:27" ht="15.75" customHeight="1">
      <c r="A497" s="12"/>
      <c r="B497" s="12"/>
      <c r="C497" s="12"/>
      <c r="D497" s="12"/>
      <c r="E497" s="12"/>
      <c r="F497" s="12"/>
      <c r="G497" s="12"/>
      <c r="H497" s="12"/>
      <c r="I497" s="12"/>
      <c r="J497" s="12"/>
      <c r="K497" s="12"/>
      <c r="L497" s="12"/>
      <c r="M497" s="12"/>
      <c r="N497" s="12"/>
      <c r="O497" s="12"/>
      <c r="P497" s="12"/>
      <c r="Q497" s="12"/>
      <c r="R497" s="12"/>
      <c r="S497" s="12"/>
      <c r="T497" s="12"/>
      <c r="U497" s="12"/>
      <c r="W497" s="12"/>
      <c r="X497" s="12"/>
      <c r="Y497" s="12"/>
      <c r="Z497" s="12"/>
      <c r="AA497" s="12"/>
    </row>
    <row r="498" spans="1:27" ht="15.75" customHeight="1">
      <c r="A498" s="12"/>
      <c r="B498" s="12"/>
      <c r="C498" s="12"/>
      <c r="D498" s="12"/>
      <c r="E498" s="12"/>
      <c r="F498" s="12"/>
      <c r="G498" s="12"/>
      <c r="H498" s="12"/>
      <c r="I498" s="12"/>
      <c r="J498" s="12"/>
      <c r="K498" s="12"/>
      <c r="L498" s="12"/>
      <c r="M498" s="12"/>
      <c r="N498" s="12"/>
      <c r="O498" s="12"/>
      <c r="P498" s="12"/>
      <c r="Q498" s="12"/>
      <c r="R498" s="12"/>
      <c r="S498" s="12"/>
      <c r="T498" s="12"/>
      <c r="U498" s="12"/>
      <c r="W498" s="12"/>
      <c r="X498" s="12"/>
      <c r="Y498" s="12"/>
      <c r="Z498" s="12"/>
      <c r="AA498" s="12"/>
    </row>
    <row r="499" spans="1:27" ht="15.75" customHeight="1">
      <c r="A499" s="12"/>
      <c r="B499" s="12"/>
      <c r="C499" s="12"/>
      <c r="D499" s="12"/>
      <c r="E499" s="12"/>
      <c r="F499" s="12"/>
      <c r="G499" s="12"/>
      <c r="H499" s="12"/>
      <c r="I499" s="12"/>
      <c r="J499" s="12"/>
      <c r="K499" s="12"/>
      <c r="L499" s="12"/>
      <c r="M499" s="12"/>
      <c r="N499" s="12"/>
      <c r="O499" s="12"/>
      <c r="P499" s="12"/>
      <c r="Q499" s="12"/>
      <c r="R499" s="12"/>
      <c r="S499" s="12"/>
      <c r="T499" s="12"/>
      <c r="U499" s="12"/>
      <c r="W499" s="12"/>
      <c r="X499" s="12"/>
      <c r="Y499" s="12"/>
      <c r="Z499" s="12"/>
      <c r="AA499" s="12"/>
    </row>
    <row r="500" spans="1:27" ht="15.75" customHeight="1">
      <c r="A500" s="12"/>
      <c r="B500" s="12"/>
      <c r="C500" s="12"/>
      <c r="D500" s="12"/>
      <c r="E500" s="12"/>
      <c r="F500" s="12"/>
      <c r="G500" s="12"/>
      <c r="H500" s="12"/>
      <c r="I500" s="12"/>
      <c r="J500" s="12"/>
      <c r="K500" s="12"/>
      <c r="L500" s="12"/>
      <c r="M500" s="12"/>
      <c r="N500" s="12"/>
      <c r="O500" s="12"/>
      <c r="P500" s="12"/>
      <c r="Q500" s="12"/>
      <c r="R500" s="12"/>
      <c r="S500" s="12"/>
      <c r="T500" s="12"/>
      <c r="U500" s="12"/>
      <c r="W500" s="12"/>
      <c r="X500" s="12"/>
      <c r="Y500" s="12"/>
      <c r="Z500" s="12"/>
      <c r="AA500" s="12"/>
    </row>
    <row r="501" spans="1:27" ht="15.75" customHeight="1">
      <c r="A501" s="12"/>
      <c r="B501" s="12"/>
      <c r="C501" s="12"/>
      <c r="D501" s="12"/>
      <c r="E501" s="12"/>
      <c r="F501" s="12"/>
      <c r="G501" s="12"/>
      <c r="H501" s="12"/>
      <c r="I501" s="12"/>
      <c r="J501" s="12"/>
      <c r="K501" s="12"/>
      <c r="L501" s="12"/>
      <c r="M501" s="12"/>
      <c r="N501" s="12"/>
      <c r="O501" s="12"/>
      <c r="P501" s="12"/>
      <c r="Q501" s="12"/>
      <c r="R501" s="12"/>
      <c r="S501" s="12"/>
      <c r="T501" s="12"/>
      <c r="U501" s="12"/>
      <c r="W501" s="12"/>
      <c r="X501" s="12"/>
      <c r="Y501" s="12"/>
      <c r="Z501" s="12"/>
      <c r="AA501" s="12"/>
    </row>
    <row r="502" spans="1:27" ht="15.75" customHeight="1">
      <c r="A502" s="12"/>
      <c r="B502" s="12"/>
      <c r="C502" s="12"/>
      <c r="D502" s="12"/>
      <c r="E502" s="12"/>
      <c r="F502" s="12"/>
      <c r="G502" s="12"/>
      <c r="H502" s="12"/>
      <c r="I502" s="12"/>
      <c r="J502" s="12"/>
      <c r="K502" s="12"/>
      <c r="L502" s="12"/>
      <c r="M502" s="12"/>
      <c r="N502" s="12"/>
      <c r="O502" s="12"/>
      <c r="P502" s="12"/>
      <c r="Q502" s="12"/>
      <c r="R502" s="12"/>
      <c r="S502" s="12"/>
      <c r="T502" s="12"/>
      <c r="U502" s="12"/>
      <c r="W502" s="12"/>
      <c r="X502" s="12"/>
      <c r="Y502" s="12"/>
      <c r="Z502" s="12"/>
      <c r="AA502" s="12"/>
    </row>
    <row r="503" spans="1:27" ht="15.75" customHeight="1">
      <c r="A503" s="12"/>
      <c r="B503" s="12"/>
      <c r="C503" s="12"/>
      <c r="D503" s="12"/>
      <c r="E503" s="12"/>
      <c r="F503" s="12"/>
      <c r="G503" s="12"/>
      <c r="H503" s="12"/>
      <c r="I503" s="12"/>
      <c r="J503" s="12"/>
      <c r="K503" s="12"/>
      <c r="L503" s="12"/>
      <c r="M503" s="12"/>
      <c r="N503" s="12"/>
      <c r="O503" s="12"/>
      <c r="P503" s="12"/>
      <c r="Q503" s="12"/>
      <c r="R503" s="12"/>
      <c r="S503" s="12"/>
      <c r="T503" s="12"/>
      <c r="U503" s="12"/>
      <c r="W503" s="12"/>
      <c r="X503" s="12"/>
      <c r="Y503" s="12"/>
      <c r="Z503" s="12"/>
      <c r="AA503" s="12"/>
    </row>
    <row r="504" spans="1:27" ht="15.75" customHeight="1">
      <c r="A504" s="12"/>
      <c r="B504" s="12"/>
      <c r="C504" s="12"/>
      <c r="D504" s="12"/>
      <c r="E504" s="12"/>
      <c r="F504" s="12"/>
      <c r="G504" s="12"/>
      <c r="H504" s="12"/>
      <c r="I504" s="12"/>
      <c r="J504" s="12"/>
      <c r="K504" s="12"/>
      <c r="L504" s="12"/>
      <c r="M504" s="12"/>
      <c r="N504" s="12"/>
      <c r="O504" s="12"/>
      <c r="P504" s="12"/>
      <c r="Q504" s="12"/>
      <c r="R504" s="12"/>
      <c r="S504" s="12"/>
      <c r="T504" s="12"/>
      <c r="U504" s="12"/>
      <c r="W504" s="12"/>
      <c r="X504" s="12"/>
      <c r="Y504" s="12"/>
      <c r="Z504" s="12"/>
      <c r="AA504" s="12"/>
    </row>
    <row r="505" spans="1:27" ht="15.75" customHeight="1">
      <c r="A505" s="12"/>
      <c r="B505" s="12"/>
      <c r="C505" s="12"/>
      <c r="D505" s="12"/>
      <c r="E505" s="12"/>
      <c r="F505" s="12"/>
      <c r="G505" s="12"/>
      <c r="H505" s="12"/>
      <c r="I505" s="12"/>
      <c r="J505" s="12"/>
      <c r="K505" s="12"/>
      <c r="L505" s="12"/>
      <c r="M505" s="12"/>
      <c r="N505" s="12"/>
      <c r="O505" s="12"/>
      <c r="P505" s="12"/>
      <c r="Q505" s="12"/>
      <c r="R505" s="12"/>
      <c r="S505" s="12"/>
      <c r="T505" s="12"/>
      <c r="U505" s="12"/>
      <c r="W505" s="12"/>
      <c r="X505" s="12"/>
      <c r="Y505" s="12"/>
      <c r="Z505" s="12"/>
      <c r="AA505" s="12"/>
    </row>
    <row r="506" spans="1:27" ht="15.75" customHeight="1">
      <c r="A506" s="12"/>
      <c r="B506" s="12"/>
      <c r="C506" s="12"/>
      <c r="D506" s="12"/>
      <c r="E506" s="12"/>
      <c r="F506" s="12"/>
      <c r="G506" s="12"/>
      <c r="H506" s="12"/>
      <c r="I506" s="12"/>
      <c r="J506" s="12"/>
      <c r="K506" s="12"/>
      <c r="L506" s="12"/>
      <c r="M506" s="12"/>
      <c r="N506" s="12"/>
      <c r="O506" s="12"/>
      <c r="P506" s="12"/>
      <c r="Q506" s="12"/>
      <c r="R506" s="12"/>
      <c r="S506" s="12"/>
      <c r="T506" s="12"/>
      <c r="U506" s="12"/>
      <c r="W506" s="12"/>
      <c r="X506" s="12"/>
      <c r="Y506" s="12"/>
      <c r="Z506" s="12"/>
      <c r="AA506" s="12"/>
    </row>
    <row r="507" spans="1:27" ht="15.75" customHeight="1">
      <c r="A507" s="12"/>
      <c r="B507" s="12"/>
      <c r="C507" s="12"/>
      <c r="D507" s="12"/>
      <c r="E507" s="12"/>
      <c r="F507" s="12"/>
      <c r="G507" s="12"/>
      <c r="H507" s="12"/>
      <c r="I507" s="12"/>
      <c r="J507" s="12"/>
      <c r="K507" s="12"/>
      <c r="L507" s="12"/>
      <c r="M507" s="12"/>
      <c r="N507" s="12"/>
      <c r="O507" s="12"/>
      <c r="P507" s="12"/>
      <c r="Q507" s="12"/>
      <c r="R507" s="12"/>
      <c r="S507" s="12"/>
      <c r="T507" s="12"/>
      <c r="U507" s="12"/>
      <c r="W507" s="12"/>
      <c r="X507" s="12"/>
      <c r="Y507" s="12"/>
      <c r="Z507" s="12"/>
      <c r="AA507" s="12"/>
    </row>
    <row r="508" spans="1:27" ht="15.75" customHeight="1">
      <c r="A508" s="12"/>
      <c r="B508" s="12"/>
      <c r="C508" s="12"/>
      <c r="D508" s="12"/>
      <c r="E508" s="12"/>
      <c r="F508" s="12"/>
      <c r="G508" s="12"/>
      <c r="H508" s="12"/>
      <c r="I508" s="12"/>
      <c r="J508" s="12"/>
      <c r="K508" s="12"/>
      <c r="L508" s="12"/>
      <c r="M508" s="12"/>
      <c r="N508" s="12"/>
      <c r="O508" s="12"/>
      <c r="P508" s="12"/>
      <c r="Q508" s="12"/>
      <c r="R508" s="12"/>
      <c r="S508" s="12"/>
      <c r="T508" s="12"/>
      <c r="U508" s="12"/>
      <c r="W508" s="12"/>
      <c r="X508" s="12"/>
      <c r="Y508" s="12"/>
      <c r="Z508" s="12"/>
      <c r="AA508" s="12"/>
    </row>
    <row r="509" spans="1:27" ht="15.75" customHeight="1">
      <c r="A509" s="12"/>
      <c r="B509" s="12"/>
      <c r="C509" s="12"/>
      <c r="D509" s="12"/>
      <c r="E509" s="12"/>
      <c r="F509" s="12"/>
      <c r="G509" s="12"/>
      <c r="H509" s="12"/>
      <c r="I509" s="12"/>
      <c r="J509" s="12"/>
      <c r="K509" s="12"/>
      <c r="L509" s="12"/>
      <c r="M509" s="12"/>
      <c r="N509" s="12"/>
      <c r="O509" s="12"/>
      <c r="P509" s="12"/>
      <c r="Q509" s="12"/>
      <c r="R509" s="12"/>
      <c r="S509" s="12"/>
      <c r="T509" s="12"/>
      <c r="U509" s="12"/>
      <c r="W509" s="12"/>
      <c r="X509" s="12"/>
      <c r="Y509" s="12"/>
      <c r="Z509" s="12"/>
      <c r="AA509" s="12"/>
    </row>
    <row r="510" spans="1:27" ht="15.75" customHeight="1">
      <c r="A510" s="12"/>
      <c r="B510" s="12"/>
      <c r="C510" s="12"/>
      <c r="D510" s="12"/>
      <c r="E510" s="12"/>
      <c r="F510" s="12"/>
      <c r="G510" s="12"/>
      <c r="H510" s="12"/>
      <c r="I510" s="12"/>
      <c r="J510" s="12"/>
      <c r="K510" s="12"/>
      <c r="L510" s="12"/>
      <c r="M510" s="12"/>
      <c r="N510" s="12"/>
      <c r="O510" s="12"/>
      <c r="P510" s="12"/>
      <c r="Q510" s="12"/>
      <c r="R510" s="12"/>
      <c r="S510" s="12"/>
      <c r="T510" s="12"/>
      <c r="U510" s="12"/>
      <c r="W510" s="12"/>
      <c r="X510" s="12"/>
      <c r="Y510" s="12"/>
      <c r="Z510" s="12"/>
      <c r="AA510" s="12"/>
    </row>
    <row r="511" spans="1:27" ht="15.75" customHeight="1">
      <c r="A511" s="12"/>
      <c r="B511" s="12"/>
      <c r="C511" s="12"/>
      <c r="D511" s="12"/>
      <c r="E511" s="12"/>
      <c r="F511" s="12"/>
      <c r="G511" s="12"/>
      <c r="H511" s="12"/>
      <c r="I511" s="12"/>
      <c r="J511" s="12"/>
      <c r="K511" s="12"/>
      <c r="L511" s="12"/>
      <c r="M511" s="12"/>
      <c r="N511" s="12"/>
      <c r="O511" s="12"/>
      <c r="P511" s="12"/>
      <c r="Q511" s="12"/>
      <c r="R511" s="12"/>
      <c r="S511" s="12"/>
      <c r="T511" s="12"/>
      <c r="U511" s="12"/>
      <c r="W511" s="12"/>
      <c r="X511" s="12"/>
      <c r="Y511" s="12"/>
      <c r="Z511" s="12"/>
      <c r="AA511" s="12"/>
    </row>
    <row r="512" spans="1:27" ht="15.75" customHeight="1">
      <c r="A512" s="12"/>
      <c r="B512" s="12"/>
      <c r="C512" s="12"/>
      <c r="D512" s="12"/>
      <c r="E512" s="12"/>
      <c r="F512" s="12"/>
      <c r="G512" s="12"/>
      <c r="H512" s="12"/>
      <c r="I512" s="12"/>
      <c r="J512" s="12"/>
      <c r="K512" s="12"/>
      <c r="L512" s="12"/>
      <c r="M512" s="12"/>
      <c r="N512" s="12"/>
      <c r="O512" s="12"/>
      <c r="P512" s="12"/>
      <c r="Q512" s="12"/>
      <c r="R512" s="12"/>
      <c r="S512" s="12"/>
      <c r="T512" s="12"/>
      <c r="U512" s="12"/>
      <c r="W512" s="12"/>
      <c r="X512" s="12"/>
      <c r="Y512" s="12"/>
      <c r="Z512" s="12"/>
      <c r="AA512" s="12"/>
    </row>
    <row r="513" spans="1:27" ht="15.75" customHeight="1">
      <c r="A513" s="12"/>
      <c r="B513" s="12"/>
      <c r="C513" s="12"/>
      <c r="D513" s="12"/>
      <c r="E513" s="12"/>
      <c r="F513" s="12"/>
      <c r="G513" s="12"/>
      <c r="H513" s="12"/>
      <c r="I513" s="12"/>
      <c r="J513" s="12"/>
      <c r="K513" s="12"/>
      <c r="L513" s="12"/>
      <c r="M513" s="12"/>
      <c r="N513" s="12"/>
      <c r="O513" s="12"/>
      <c r="P513" s="12"/>
      <c r="Q513" s="12"/>
      <c r="R513" s="12"/>
      <c r="S513" s="12"/>
      <c r="T513" s="12"/>
      <c r="U513" s="12"/>
      <c r="W513" s="12"/>
      <c r="X513" s="12"/>
      <c r="Y513" s="12"/>
      <c r="Z513" s="12"/>
      <c r="AA513" s="12"/>
    </row>
    <row r="514" spans="1:27" ht="15.75" customHeight="1">
      <c r="A514" s="12"/>
      <c r="B514" s="12"/>
      <c r="C514" s="12"/>
      <c r="D514" s="12"/>
      <c r="E514" s="12"/>
      <c r="F514" s="12"/>
      <c r="G514" s="12"/>
      <c r="H514" s="12"/>
      <c r="I514" s="12"/>
      <c r="J514" s="12"/>
      <c r="K514" s="12"/>
      <c r="L514" s="12"/>
      <c r="M514" s="12"/>
      <c r="N514" s="12"/>
      <c r="O514" s="12"/>
      <c r="P514" s="12"/>
      <c r="Q514" s="12"/>
      <c r="R514" s="12"/>
      <c r="S514" s="12"/>
      <c r="T514" s="12"/>
      <c r="U514" s="12"/>
      <c r="W514" s="12"/>
      <c r="X514" s="12"/>
      <c r="Y514" s="12"/>
      <c r="Z514" s="12"/>
      <c r="AA514" s="12"/>
    </row>
    <row r="515" spans="1:27" ht="15.75" customHeight="1">
      <c r="A515" s="12"/>
      <c r="B515" s="12"/>
      <c r="C515" s="12"/>
      <c r="D515" s="12"/>
      <c r="E515" s="12"/>
      <c r="F515" s="12"/>
      <c r="G515" s="12"/>
      <c r="H515" s="12"/>
      <c r="I515" s="12"/>
      <c r="J515" s="12"/>
      <c r="K515" s="12"/>
      <c r="L515" s="12"/>
      <c r="M515" s="12"/>
      <c r="N515" s="12"/>
      <c r="O515" s="12"/>
      <c r="P515" s="12"/>
      <c r="Q515" s="12"/>
      <c r="R515" s="12"/>
      <c r="S515" s="12"/>
      <c r="T515" s="12"/>
      <c r="U515" s="12"/>
      <c r="W515" s="12"/>
      <c r="X515" s="12"/>
      <c r="Y515" s="12"/>
      <c r="Z515" s="12"/>
      <c r="AA515" s="12"/>
    </row>
    <row r="516" spans="1:27" ht="15.75" customHeight="1">
      <c r="A516" s="12"/>
      <c r="B516" s="12"/>
      <c r="C516" s="12"/>
      <c r="D516" s="12"/>
      <c r="E516" s="12"/>
      <c r="F516" s="12"/>
      <c r="G516" s="12"/>
      <c r="H516" s="12"/>
      <c r="I516" s="12"/>
      <c r="J516" s="12"/>
      <c r="K516" s="12"/>
      <c r="L516" s="12"/>
      <c r="M516" s="12"/>
      <c r="N516" s="12"/>
      <c r="O516" s="12"/>
      <c r="P516" s="12"/>
      <c r="Q516" s="12"/>
      <c r="R516" s="12"/>
      <c r="S516" s="12"/>
      <c r="T516" s="12"/>
      <c r="U516" s="12"/>
      <c r="W516" s="12"/>
      <c r="X516" s="12"/>
      <c r="Y516" s="12"/>
      <c r="Z516" s="12"/>
      <c r="AA516" s="12"/>
    </row>
    <row r="517" spans="1:27" ht="15.75" customHeight="1">
      <c r="A517" s="12"/>
      <c r="B517" s="12"/>
      <c r="C517" s="12"/>
      <c r="D517" s="12"/>
      <c r="E517" s="12"/>
      <c r="F517" s="12"/>
      <c r="G517" s="12"/>
      <c r="H517" s="12"/>
      <c r="I517" s="12"/>
      <c r="J517" s="12"/>
      <c r="K517" s="12"/>
      <c r="L517" s="12"/>
      <c r="M517" s="12"/>
      <c r="N517" s="12"/>
      <c r="O517" s="12"/>
      <c r="P517" s="12"/>
      <c r="Q517" s="12"/>
      <c r="R517" s="12"/>
      <c r="S517" s="12"/>
      <c r="T517" s="12"/>
      <c r="U517" s="12"/>
      <c r="W517" s="12"/>
      <c r="X517" s="12"/>
      <c r="Y517" s="12"/>
      <c r="Z517" s="12"/>
      <c r="AA517" s="12"/>
    </row>
    <row r="518" spans="1:27" ht="15.75" customHeight="1">
      <c r="A518" s="12"/>
      <c r="B518" s="12"/>
      <c r="C518" s="12"/>
      <c r="D518" s="12"/>
      <c r="E518" s="12"/>
      <c r="F518" s="12"/>
      <c r="G518" s="12"/>
      <c r="H518" s="12"/>
      <c r="I518" s="12"/>
      <c r="J518" s="12"/>
      <c r="K518" s="12"/>
      <c r="L518" s="12"/>
      <c r="M518" s="12"/>
      <c r="N518" s="12"/>
      <c r="O518" s="12"/>
      <c r="P518" s="12"/>
      <c r="Q518" s="12"/>
      <c r="R518" s="12"/>
      <c r="S518" s="12"/>
      <c r="T518" s="12"/>
      <c r="U518" s="12"/>
      <c r="W518" s="12"/>
      <c r="X518" s="12"/>
      <c r="Y518" s="12"/>
      <c r="Z518" s="12"/>
      <c r="AA518" s="12"/>
    </row>
    <row r="519" spans="1:27" ht="15.75" customHeight="1">
      <c r="A519" s="12"/>
      <c r="B519" s="12"/>
      <c r="C519" s="12"/>
      <c r="D519" s="12"/>
      <c r="E519" s="12"/>
      <c r="F519" s="12"/>
      <c r="G519" s="12"/>
      <c r="H519" s="12"/>
      <c r="I519" s="12"/>
      <c r="J519" s="12"/>
      <c r="K519" s="12"/>
      <c r="L519" s="12"/>
      <c r="M519" s="12"/>
      <c r="N519" s="12"/>
      <c r="O519" s="12"/>
      <c r="P519" s="12"/>
      <c r="Q519" s="12"/>
      <c r="R519" s="12"/>
      <c r="S519" s="12"/>
      <c r="T519" s="12"/>
      <c r="U519" s="12"/>
      <c r="W519" s="12"/>
      <c r="X519" s="12"/>
      <c r="Y519" s="12"/>
      <c r="Z519" s="12"/>
      <c r="AA519" s="12"/>
    </row>
    <row r="520" spans="1:27" ht="15.75" customHeight="1">
      <c r="A520" s="12"/>
      <c r="B520" s="12"/>
      <c r="C520" s="12"/>
      <c r="D520" s="12"/>
      <c r="E520" s="12"/>
      <c r="F520" s="12"/>
      <c r="G520" s="12"/>
      <c r="H520" s="12"/>
      <c r="I520" s="12"/>
      <c r="J520" s="12"/>
      <c r="K520" s="12"/>
      <c r="L520" s="12"/>
      <c r="M520" s="12"/>
      <c r="N520" s="12"/>
      <c r="O520" s="12"/>
      <c r="P520" s="12"/>
      <c r="Q520" s="12"/>
      <c r="R520" s="12"/>
      <c r="S520" s="12"/>
      <c r="T520" s="12"/>
      <c r="U520" s="12"/>
      <c r="W520" s="12"/>
      <c r="X520" s="12"/>
      <c r="Y520" s="12"/>
      <c r="Z520" s="12"/>
      <c r="AA520" s="12"/>
    </row>
    <row r="521" spans="1:27" ht="15.75" customHeight="1">
      <c r="A521" s="12"/>
      <c r="B521" s="12"/>
      <c r="C521" s="12"/>
      <c r="D521" s="12"/>
      <c r="E521" s="12"/>
      <c r="F521" s="12"/>
      <c r="G521" s="12"/>
      <c r="H521" s="12"/>
      <c r="I521" s="12"/>
      <c r="J521" s="12"/>
      <c r="K521" s="12"/>
      <c r="L521" s="12"/>
      <c r="M521" s="12"/>
      <c r="N521" s="12"/>
      <c r="O521" s="12"/>
      <c r="P521" s="12"/>
      <c r="Q521" s="12"/>
      <c r="R521" s="12"/>
      <c r="S521" s="12"/>
      <c r="T521" s="12"/>
      <c r="U521" s="12"/>
      <c r="W521" s="12"/>
      <c r="X521" s="12"/>
      <c r="Y521" s="12"/>
      <c r="Z521" s="12"/>
      <c r="AA521" s="12"/>
    </row>
    <row r="522" spans="1:27" ht="15.75" customHeight="1">
      <c r="A522" s="12"/>
      <c r="B522" s="12"/>
      <c r="C522" s="12"/>
      <c r="D522" s="12"/>
      <c r="E522" s="12"/>
      <c r="F522" s="12"/>
      <c r="G522" s="12"/>
      <c r="H522" s="12"/>
      <c r="I522" s="12"/>
      <c r="J522" s="12"/>
      <c r="K522" s="12"/>
      <c r="L522" s="12"/>
      <c r="M522" s="12"/>
      <c r="N522" s="12"/>
      <c r="O522" s="12"/>
      <c r="P522" s="12"/>
      <c r="Q522" s="12"/>
      <c r="R522" s="12"/>
      <c r="S522" s="12"/>
      <c r="T522" s="12"/>
      <c r="U522" s="12"/>
      <c r="W522" s="12"/>
      <c r="X522" s="12"/>
      <c r="Y522" s="12"/>
      <c r="Z522" s="12"/>
      <c r="AA522" s="12"/>
    </row>
    <row r="523" spans="1:27" ht="15.75" customHeight="1">
      <c r="A523" s="12"/>
      <c r="B523" s="12"/>
      <c r="C523" s="12"/>
      <c r="D523" s="12"/>
      <c r="E523" s="12"/>
      <c r="F523" s="12"/>
      <c r="G523" s="12"/>
      <c r="H523" s="12"/>
      <c r="I523" s="12"/>
      <c r="J523" s="12"/>
      <c r="K523" s="12"/>
      <c r="L523" s="12"/>
      <c r="M523" s="12"/>
      <c r="N523" s="12"/>
      <c r="O523" s="12"/>
      <c r="P523" s="12"/>
      <c r="Q523" s="12"/>
      <c r="R523" s="12"/>
      <c r="S523" s="12"/>
      <c r="T523" s="12"/>
      <c r="U523" s="12"/>
      <c r="W523" s="12"/>
      <c r="X523" s="12"/>
      <c r="Y523" s="12"/>
      <c r="Z523" s="12"/>
      <c r="AA523" s="12"/>
    </row>
    <row r="524" spans="1:27" ht="15.75" customHeight="1">
      <c r="A524" s="12"/>
      <c r="B524" s="12"/>
      <c r="C524" s="12"/>
      <c r="D524" s="12"/>
      <c r="E524" s="12"/>
      <c r="F524" s="12"/>
      <c r="G524" s="12"/>
      <c r="H524" s="12"/>
      <c r="I524" s="12"/>
      <c r="J524" s="12"/>
      <c r="K524" s="12"/>
      <c r="L524" s="12"/>
      <c r="M524" s="12"/>
      <c r="N524" s="12"/>
      <c r="O524" s="12"/>
      <c r="P524" s="12"/>
      <c r="Q524" s="12"/>
      <c r="R524" s="12"/>
      <c r="S524" s="12"/>
      <c r="T524" s="12"/>
      <c r="U524" s="12"/>
      <c r="W524" s="12"/>
      <c r="X524" s="12"/>
      <c r="Y524" s="12"/>
      <c r="Z524" s="12"/>
      <c r="AA524" s="12"/>
    </row>
    <row r="525" spans="1:27" ht="15.75" customHeight="1">
      <c r="A525" s="12"/>
      <c r="B525" s="12"/>
      <c r="C525" s="12"/>
      <c r="D525" s="12"/>
      <c r="E525" s="12"/>
      <c r="F525" s="12"/>
      <c r="G525" s="12"/>
      <c r="H525" s="12"/>
      <c r="I525" s="12"/>
      <c r="J525" s="12"/>
      <c r="K525" s="12"/>
      <c r="L525" s="12"/>
      <c r="M525" s="12"/>
      <c r="N525" s="12"/>
      <c r="O525" s="12"/>
      <c r="P525" s="12"/>
      <c r="Q525" s="12"/>
      <c r="R525" s="12"/>
      <c r="S525" s="12"/>
      <c r="T525" s="12"/>
      <c r="U525" s="12"/>
      <c r="W525" s="12"/>
      <c r="X525" s="12"/>
      <c r="Y525" s="12"/>
      <c r="Z525" s="12"/>
      <c r="AA525" s="12"/>
    </row>
    <row r="526" spans="1:27" ht="15.75" customHeight="1">
      <c r="A526" s="12"/>
      <c r="B526" s="12"/>
      <c r="C526" s="12"/>
      <c r="D526" s="12"/>
      <c r="E526" s="12"/>
      <c r="F526" s="12"/>
      <c r="G526" s="12"/>
      <c r="H526" s="12"/>
      <c r="I526" s="12"/>
      <c r="J526" s="12"/>
      <c r="K526" s="12"/>
      <c r="L526" s="12"/>
      <c r="M526" s="12"/>
      <c r="N526" s="12"/>
      <c r="O526" s="12"/>
      <c r="P526" s="12"/>
      <c r="Q526" s="12"/>
      <c r="R526" s="12"/>
      <c r="S526" s="12"/>
      <c r="T526" s="12"/>
      <c r="U526" s="12"/>
      <c r="W526" s="12"/>
      <c r="X526" s="12"/>
      <c r="Y526" s="12"/>
      <c r="Z526" s="12"/>
      <c r="AA526" s="12"/>
    </row>
    <row r="527" spans="1:27" ht="15.75" customHeight="1">
      <c r="A527" s="12"/>
      <c r="B527" s="12"/>
      <c r="C527" s="12"/>
      <c r="D527" s="12"/>
      <c r="E527" s="12"/>
      <c r="F527" s="12"/>
      <c r="G527" s="12"/>
      <c r="H527" s="12"/>
      <c r="I527" s="12"/>
      <c r="J527" s="12"/>
      <c r="K527" s="12"/>
      <c r="L527" s="12"/>
      <c r="M527" s="12"/>
      <c r="N527" s="12"/>
      <c r="O527" s="12"/>
      <c r="P527" s="12"/>
      <c r="Q527" s="12"/>
      <c r="R527" s="12"/>
      <c r="S527" s="12"/>
      <c r="T527" s="12"/>
      <c r="U527" s="12"/>
      <c r="W527" s="12"/>
      <c r="X527" s="12"/>
      <c r="Y527" s="12"/>
      <c r="Z527" s="12"/>
      <c r="AA527" s="12"/>
    </row>
    <row r="528" spans="1:27" ht="15.75" customHeight="1">
      <c r="A528" s="12"/>
      <c r="B528" s="12"/>
      <c r="C528" s="12"/>
      <c r="D528" s="12"/>
      <c r="E528" s="12"/>
      <c r="F528" s="12"/>
      <c r="G528" s="12"/>
      <c r="H528" s="12"/>
      <c r="I528" s="12"/>
      <c r="J528" s="12"/>
      <c r="K528" s="12"/>
      <c r="L528" s="12"/>
      <c r="M528" s="12"/>
      <c r="N528" s="12"/>
      <c r="O528" s="12"/>
      <c r="P528" s="12"/>
      <c r="Q528" s="12"/>
      <c r="R528" s="12"/>
      <c r="S528" s="12"/>
      <c r="T528" s="12"/>
      <c r="U528" s="12"/>
      <c r="W528" s="12"/>
      <c r="X528" s="12"/>
      <c r="Y528" s="12"/>
      <c r="Z528" s="12"/>
      <c r="AA528" s="12"/>
    </row>
    <row r="529" spans="1:27" ht="15.75" customHeight="1">
      <c r="A529" s="12"/>
      <c r="B529" s="12"/>
      <c r="C529" s="12"/>
      <c r="D529" s="12"/>
      <c r="E529" s="12"/>
      <c r="F529" s="12"/>
      <c r="G529" s="12"/>
      <c r="H529" s="12"/>
      <c r="I529" s="12"/>
      <c r="J529" s="12"/>
      <c r="K529" s="12"/>
      <c r="L529" s="12"/>
      <c r="M529" s="12"/>
      <c r="N529" s="12"/>
      <c r="O529" s="12"/>
      <c r="P529" s="12"/>
      <c r="Q529" s="12"/>
      <c r="R529" s="12"/>
      <c r="S529" s="12"/>
      <c r="T529" s="12"/>
      <c r="U529" s="12"/>
      <c r="W529" s="12"/>
      <c r="X529" s="12"/>
      <c r="Y529" s="12"/>
      <c r="Z529" s="12"/>
      <c r="AA529" s="12"/>
    </row>
    <row r="530" spans="1:27" ht="15.75" customHeight="1">
      <c r="A530" s="12"/>
      <c r="B530" s="12"/>
      <c r="C530" s="12"/>
      <c r="D530" s="12"/>
      <c r="E530" s="12"/>
      <c r="F530" s="12"/>
      <c r="G530" s="12"/>
      <c r="H530" s="12"/>
      <c r="I530" s="12"/>
      <c r="J530" s="12"/>
      <c r="K530" s="12"/>
      <c r="L530" s="12"/>
      <c r="M530" s="12"/>
      <c r="N530" s="12"/>
      <c r="O530" s="12"/>
      <c r="P530" s="12"/>
      <c r="Q530" s="12"/>
      <c r="R530" s="12"/>
      <c r="S530" s="12"/>
      <c r="T530" s="12"/>
      <c r="U530" s="12"/>
      <c r="W530" s="12"/>
      <c r="X530" s="12"/>
      <c r="Y530" s="12"/>
      <c r="Z530" s="12"/>
      <c r="AA530" s="12"/>
    </row>
    <row r="531" spans="1:27" ht="15.75" customHeight="1">
      <c r="A531" s="12"/>
      <c r="B531" s="12"/>
      <c r="C531" s="12"/>
      <c r="D531" s="12"/>
      <c r="E531" s="12"/>
      <c r="F531" s="12"/>
      <c r="G531" s="12"/>
      <c r="H531" s="12"/>
      <c r="I531" s="12"/>
      <c r="J531" s="12"/>
      <c r="K531" s="12"/>
      <c r="L531" s="12"/>
      <c r="M531" s="12"/>
      <c r="N531" s="12"/>
      <c r="O531" s="12"/>
      <c r="P531" s="12"/>
      <c r="Q531" s="12"/>
      <c r="R531" s="12"/>
      <c r="S531" s="12"/>
      <c r="T531" s="12"/>
      <c r="U531" s="12"/>
      <c r="W531" s="12"/>
      <c r="X531" s="12"/>
      <c r="Y531" s="12"/>
      <c r="Z531" s="12"/>
      <c r="AA531" s="12"/>
    </row>
    <row r="532" spans="1:27" ht="15.75" customHeight="1">
      <c r="A532" s="12"/>
      <c r="B532" s="12"/>
      <c r="C532" s="12"/>
      <c r="D532" s="12"/>
      <c r="E532" s="12"/>
      <c r="F532" s="12"/>
      <c r="G532" s="12"/>
      <c r="H532" s="12"/>
      <c r="I532" s="12"/>
      <c r="J532" s="12"/>
      <c r="K532" s="12"/>
      <c r="L532" s="12"/>
      <c r="M532" s="12"/>
      <c r="N532" s="12"/>
      <c r="O532" s="12"/>
      <c r="P532" s="12"/>
      <c r="Q532" s="12"/>
      <c r="R532" s="12"/>
      <c r="S532" s="12"/>
      <c r="T532" s="12"/>
      <c r="U532" s="12"/>
      <c r="W532" s="12"/>
      <c r="X532" s="12"/>
      <c r="Y532" s="12"/>
      <c r="Z532" s="12"/>
      <c r="AA532" s="12"/>
    </row>
    <row r="533" spans="1:27" ht="15.75" customHeight="1">
      <c r="A533" s="12"/>
      <c r="B533" s="12"/>
      <c r="C533" s="12"/>
      <c r="D533" s="12"/>
      <c r="E533" s="12"/>
      <c r="F533" s="12"/>
      <c r="G533" s="12"/>
      <c r="H533" s="12"/>
      <c r="I533" s="12"/>
      <c r="J533" s="12"/>
      <c r="K533" s="12"/>
      <c r="L533" s="12"/>
      <c r="M533" s="12"/>
      <c r="N533" s="12"/>
      <c r="O533" s="12"/>
      <c r="P533" s="12"/>
      <c r="Q533" s="12"/>
      <c r="R533" s="12"/>
      <c r="S533" s="12"/>
      <c r="T533" s="12"/>
      <c r="U533" s="12"/>
      <c r="W533" s="12"/>
      <c r="X533" s="12"/>
      <c r="Y533" s="12"/>
      <c r="Z533" s="12"/>
      <c r="AA533" s="12"/>
    </row>
    <row r="534" spans="1:27" ht="15.75" customHeight="1">
      <c r="A534" s="12"/>
      <c r="B534" s="12"/>
      <c r="C534" s="12"/>
      <c r="D534" s="12"/>
      <c r="E534" s="12"/>
      <c r="F534" s="12"/>
      <c r="G534" s="12"/>
      <c r="H534" s="12"/>
      <c r="I534" s="12"/>
      <c r="J534" s="12"/>
      <c r="K534" s="12"/>
      <c r="L534" s="12"/>
      <c r="M534" s="12"/>
      <c r="N534" s="12"/>
      <c r="O534" s="12"/>
      <c r="P534" s="12"/>
      <c r="Q534" s="12"/>
      <c r="R534" s="12"/>
      <c r="S534" s="12"/>
      <c r="T534" s="12"/>
      <c r="U534" s="12"/>
      <c r="W534" s="12"/>
      <c r="X534" s="12"/>
      <c r="Y534" s="12"/>
      <c r="Z534" s="12"/>
      <c r="AA534" s="12"/>
    </row>
    <row r="535" spans="1:27" ht="15.75" customHeight="1">
      <c r="A535" s="12"/>
      <c r="B535" s="12"/>
      <c r="C535" s="12"/>
      <c r="D535" s="12"/>
      <c r="E535" s="12"/>
      <c r="F535" s="12"/>
      <c r="G535" s="12"/>
      <c r="H535" s="12"/>
      <c r="I535" s="12"/>
      <c r="J535" s="12"/>
      <c r="K535" s="12"/>
      <c r="L535" s="12"/>
      <c r="M535" s="12"/>
      <c r="N535" s="12"/>
      <c r="O535" s="12"/>
      <c r="P535" s="12"/>
      <c r="Q535" s="12"/>
      <c r="R535" s="12"/>
      <c r="S535" s="12"/>
      <c r="T535" s="12"/>
      <c r="U535" s="12"/>
      <c r="W535" s="12"/>
      <c r="X535" s="12"/>
      <c r="Y535" s="12"/>
      <c r="Z535" s="12"/>
      <c r="AA535" s="12"/>
    </row>
    <row r="536" spans="1:27" ht="15.75" customHeight="1">
      <c r="A536" s="12"/>
      <c r="B536" s="12"/>
      <c r="C536" s="12"/>
      <c r="D536" s="12"/>
      <c r="E536" s="12"/>
      <c r="F536" s="12"/>
      <c r="G536" s="12"/>
      <c r="H536" s="12"/>
      <c r="I536" s="12"/>
      <c r="J536" s="12"/>
      <c r="K536" s="12"/>
      <c r="L536" s="12"/>
      <c r="M536" s="12"/>
      <c r="N536" s="12"/>
      <c r="O536" s="12"/>
      <c r="P536" s="12"/>
      <c r="Q536" s="12"/>
      <c r="R536" s="12"/>
      <c r="S536" s="12"/>
      <c r="T536" s="12"/>
      <c r="U536" s="12"/>
      <c r="W536" s="12"/>
      <c r="X536" s="12"/>
      <c r="Y536" s="12"/>
      <c r="Z536" s="12"/>
      <c r="AA536" s="12"/>
    </row>
    <row r="537" spans="1:27" ht="15.75" customHeight="1">
      <c r="A537" s="12"/>
      <c r="B537" s="12"/>
      <c r="C537" s="12"/>
      <c r="D537" s="12"/>
      <c r="E537" s="12"/>
      <c r="F537" s="12"/>
      <c r="G537" s="12"/>
      <c r="H537" s="12"/>
      <c r="I537" s="12"/>
      <c r="J537" s="12"/>
      <c r="K537" s="12"/>
      <c r="L537" s="12"/>
      <c r="M537" s="12"/>
      <c r="N537" s="12"/>
      <c r="O537" s="12"/>
      <c r="P537" s="12"/>
      <c r="Q537" s="12"/>
      <c r="R537" s="12"/>
      <c r="S537" s="12"/>
      <c r="T537" s="12"/>
      <c r="U537" s="12"/>
      <c r="W537" s="12"/>
      <c r="X537" s="12"/>
      <c r="Y537" s="12"/>
      <c r="Z537" s="12"/>
      <c r="AA537" s="12"/>
    </row>
    <row r="538" spans="1:27" ht="15.75" customHeight="1">
      <c r="A538" s="12"/>
      <c r="B538" s="12"/>
      <c r="C538" s="12"/>
      <c r="D538" s="12"/>
      <c r="E538" s="12"/>
      <c r="F538" s="12"/>
      <c r="G538" s="12"/>
      <c r="H538" s="12"/>
      <c r="I538" s="12"/>
      <c r="J538" s="12"/>
      <c r="K538" s="12"/>
      <c r="L538" s="12"/>
      <c r="M538" s="12"/>
      <c r="N538" s="12"/>
      <c r="O538" s="12"/>
      <c r="P538" s="12"/>
      <c r="Q538" s="12"/>
      <c r="R538" s="12"/>
      <c r="S538" s="12"/>
      <c r="T538" s="12"/>
      <c r="U538" s="12"/>
      <c r="W538" s="12"/>
      <c r="X538" s="12"/>
      <c r="Y538" s="12"/>
      <c r="Z538" s="12"/>
      <c r="AA538" s="12"/>
    </row>
    <row r="539" spans="1:27" ht="15.75" customHeight="1">
      <c r="A539" s="12"/>
      <c r="B539" s="12"/>
      <c r="C539" s="12"/>
      <c r="D539" s="12"/>
      <c r="E539" s="12"/>
      <c r="F539" s="12"/>
      <c r="G539" s="12"/>
      <c r="H539" s="12"/>
      <c r="I539" s="12"/>
      <c r="J539" s="12"/>
      <c r="K539" s="12"/>
      <c r="L539" s="12"/>
      <c r="M539" s="12"/>
      <c r="N539" s="12"/>
      <c r="O539" s="12"/>
      <c r="P539" s="12"/>
      <c r="Q539" s="12"/>
      <c r="R539" s="12"/>
      <c r="S539" s="12"/>
      <c r="T539" s="12"/>
      <c r="U539" s="12"/>
      <c r="W539" s="12"/>
      <c r="X539" s="12"/>
      <c r="Y539" s="12"/>
      <c r="Z539" s="12"/>
      <c r="AA539" s="12"/>
    </row>
    <row r="540" spans="1:27" ht="15.75" customHeight="1">
      <c r="A540" s="12"/>
      <c r="B540" s="12"/>
      <c r="C540" s="12"/>
      <c r="D540" s="12"/>
      <c r="E540" s="12"/>
      <c r="F540" s="12"/>
      <c r="G540" s="12"/>
      <c r="H540" s="12"/>
      <c r="I540" s="12"/>
      <c r="J540" s="12"/>
      <c r="K540" s="12"/>
      <c r="L540" s="12"/>
      <c r="M540" s="12"/>
      <c r="N540" s="12"/>
      <c r="O540" s="12"/>
      <c r="P540" s="12"/>
      <c r="Q540" s="12"/>
      <c r="R540" s="12"/>
      <c r="S540" s="12"/>
      <c r="T540" s="12"/>
      <c r="U540" s="12"/>
      <c r="W540" s="12"/>
      <c r="X540" s="12"/>
      <c r="Y540" s="12"/>
      <c r="Z540" s="12"/>
      <c r="AA540" s="12"/>
    </row>
    <row r="541" spans="1:27" ht="15.75" customHeight="1">
      <c r="A541" s="12"/>
      <c r="B541" s="12"/>
      <c r="C541" s="12"/>
      <c r="D541" s="12"/>
      <c r="E541" s="12"/>
      <c r="F541" s="12"/>
      <c r="G541" s="12"/>
      <c r="H541" s="12"/>
      <c r="I541" s="12"/>
      <c r="J541" s="12"/>
      <c r="K541" s="12"/>
      <c r="L541" s="12"/>
      <c r="M541" s="12"/>
      <c r="N541" s="12"/>
      <c r="O541" s="12"/>
      <c r="P541" s="12"/>
      <c r="Q541" s="12"/>
      <c r="R541" s="12"/>
      <c r="S541" s="12"/>
      <c r="T541" s="12"/>
      <c r="U541" s="12"/>
      <c r="W541" s="12"/>
      <c r="X541" s="12"/>
      <c r="Y541" s="12"/>
      <c r="Z541" s="12"/>
      <c r="AA541" s="12"/>
    </row>
    <row r="542" spans="1:27" ht="15.75" customHeight="1">
      <c r="A542" s="12"/>
      <c r="B542" s="12"/>
      <c r="C542" s="12"/>
      <c r="D542" s="12"/>
      <c r="E542" s="12"/>
      <c r="F542" s="12"/>
      <c r="G542" s="12"/>
      <c r="H542" s="12"/>
      <c r="I542" s="12"/>
      <c r="J542" s="12"/>
      <c r="K542" s="12"/>
      <c r="L542" s="12"/>
      <c r="M542" s="12"/>
      <c r="N542" s="12"/>
      <c r="O542" s="12"/>
      <c r="P542" s="12"/>
      <c r="Q542" s="12"/>
      <c r="R542" s="12"/>
      <c r="S542" s="12"/>
      <c r="T542" s="12"/>
      <c r="U542" s="12"/>
      <c r="W542" s="12"/>
      <c r="X542" s="12"/>
      <c r="Y542" s="12"/>
      <c r="Z542" s="12"/>
      <c r="AA542" s="12"/>
    </row>
    <row r="543" spans="1:27" ht="15.75" customHeight="1">
      <c r="A543" s="12"/>
      <c r="B543" s="12"/>
      <c r="C543" s="12"/>
      <c r="D543" s="12"/>
      <c r="E543" s="12"/>
      <c r="F543" s="12"/>
      <c r="G543" s="12"/>
      <c r="H543" s="12"/>
      <c r="I543" s="12"/>
      <c r="J543" s="12"/>
      <c r="K543" s="12"/>
      <c r="L543" s="12"/>
      <c r="M543" s="12"/>
      <c r="N543" s="12"/>
      <c r="O543" s="12"/>
      <c r="P543" s="12"/>
      <c r="Q543" s="12"/>
      <c r="R543" s="12"/>
      <c r="S543" s="12"/>
      <c r="T543" s="12"/>
      <c r="U543" s="12"/>
      <c r="W543" s="12"/>
      <c r="X543" s="12"/>
      <c r="Y543" s="12"/>
      <c r="Z543" s="12"/>
      <c r="AA543" s="12"/>
    </row>
    <row r="544" spans="1:27" ht="15.75" customHeight="1">
      <c r="A544" s="12"/>
      <c r="B544" s="12"/>
      <c r="C544" s="12"/>
      <c r="D544" s="12"/>
      <c r="E544" s="12"/>
      <c r="F544" s="12"/>
      <c r="G544" s="12"/>
      <c r="H544" s="12"/>
      <c r="I544" s="12"/>
      <c r="J544" s="12"/>
      <c r="K544" s="12"/>
      <c r="L544" s="12"/>
      <c r="M544" s="12"/>
      <c r="N544" s="12"/>
      <c r="O544" s="12"/>
      <c r="P544" s="12"/>
      <c r="Q544" s="12"/>
      <c r="R544" s="12"/>
      <c r="S544" s="12"/>
      <c r="T544" s="12"/>
      <c r="U544" s="12"/>
      <c r="W544" s="12"/>
      <c r="X544" s="12"/>
      <c r="Y544" s="12"/>
      <c r="Z544" s="12"/>
      <c r="AA544" s="12"/>
    </row>
    <row r="545" spans="1:27" ht="15.75" customHeight="1">
      <c r="A545" s="12"/>
      <c r="B545" s="12"/>
      <c r="C545" s="12"/>
      <c r="D545" s="12"/>
      <c r="E545" s="12"/>
      <c r="F545" s="12"/>
      <c r="G545" s="12"/>
      <c r="H545" s="12"/>
      <c r="I545" s="12"/>
      <c r="J545" s="12"/>
      <c r="K545" s="12"/>
      <c r="L545" s="12"/>
      <c r="M545" s="12"/>
      <c r="N545" s="12"/>
      <c r="O545" s="12"/>
      <c r="P545" s="12"/>
      <c r="Q545" s="12"/>
      <c r="R545" s="12"/>
      <c r="S545" s="12"/>
      <c r="T545" s="12"/>
      <c r="U545" s="12"/>
      <c r="W545" s="12"/>
      <c r="X545" s="12"/>
      <c r="Y545" s="12"/>
      <c r="Z545" s="12"/>
      <c r="AA545" s="12"/>
    </row>
    <row r="546" spans="1:27" ht="15.75" customHeight="1">
      <c r="A546" s="12"/>
      <c r="B546" s="12"/>
      <c r="C546" s="12"/>
      <c r="D546" s="12"/>
      <c r="E546" s="12"/>
      <c r="F546" s="12"/>
      <c r="G546" s="12"/>
      <c r="H546" s="12"/>
      <c r="I546" s="12"/>
      <c r="J546" s="12"/>
      <c r="K546" s="12"/>
      <c r="L546" s="12"/>
      <c r="M546" s="12"/>
      <c r="N546" s="12"/>
      <c r="O546" s="12"/>
      <c r="P546" s="12"/>
      <c r="Q546" s="12"/>
      <c r="R546" s="12"/>
      <c r="S546" s="12"/>
      <c r="T546" s="12"/>
      <c r="U546" s="12"/>
      <c r="W546" s="12"/>
      <c r="X546" s="12"/>
      <c r="Y546" s="12"/>
      <c r="Z546" s="12"/>
      <c r="AA546" s="12"/>
    </row>
    <row r="547" spans="1:27" ht="15.75" customHeight="1">
      <c r="A547" s="12"/>
      <c r="B547" s="12"/>
      <c r="C547" s="12"/>
      <c r="D547" s="12"/>
      <c r="E547" s="12"/>
      <c r="F547" s="12"/>
      <c r="G547" s="12"/>
      <c r="H547" s="12"/>
      <c r="I547" s="12"/>
      <c r="J547" s="12"/>
      <c r="K547" s="12"/>
      <c r="L547" s="12"/>
      <c r="M547" s="12"/>
      <c r="N547" s="12"/>
      <c r="O547" s="12"/>
      <c r="P547" s="12"/>
      <c r="Q547" s="12"/>
      <c r="R547" s="12"/>
      <c r="S547" s="12"/>
      <c r="T547" s="12"/>
      <c r="U547" s="12"/>
      <c r="W547" s="12"/>
      <c r="X547" s="12"/>
      <c r="Y547" s="12"/>
      <c r="Z547" s="12"/>
      <c r="AA547" s="12"/>
    </row>
    <row r="548" spans="1:27" ht="15.75" customHeight="1">
      <c r="A548" s="12"/>
      <c r="B548" s="12"/>
      <c r="C548" s="12"/>
      <c r="D548" s="12"/>
      <c r="E548" s="12"/>
      <c r="F548" s="12"/>
      <c r="G548" s="12"/>
      <c r="H548" s="12"/>
      <c r="I548" s="12"/>
      <c r="J548" s="12"/>
      <c r="K548" s="12"/>
      <c r="L548" s="12"/>
      <c r="M548" s="12"/>
      <c r="N548" s="12"/>
      <c r="O548" s="12"/>
      <c r="P548" s="12"/>
      <c r="Q548" s="12"/>
      <c r="R548" s="12"/>
      <c r="S548" s="12"/>
      <c r="T548" s="12"/>
      <c r="U548" s="12"/>
      <c r="W548" s="12"/>
      <c r="X548" s="12"/>
      <c r="Y548" s="12"/>
      <c r="Z548" s="12"/>
      <c r="AA548" s="12"/>
    </row>
    <row r="549" spans="1:27" ht="15.75" customHeight="1">
      <c r="A549" s="12"/>
      <c r="B549" s="12"/>
      <c r="C549" s="12"/>
      <c r="D549" s="12"/>
      <c r="E549" s="12"/>
      <c r="F549" s="12"/>
      <c r="G549" s="12"/>
      <c r="H549" s="12"/>
      <c r="I549" s="12"/>
      <c r="J549" s="12"/>
      <c r="K549" s="12"/>
      <c r="L549" s="12"/>
      <c r="M549" s="12"/>
      <c r="N549" s="12"/>
      <c r="O549" s="12"/>
      <c r="P549" s="12"/>
      <c r="Q549" s="12"/>
      <c r="R549" s="12"/>
      <c r="S549" s="12"/>
      <c r="T549" s="12"/>
      <c r="U549" s="12"/>
      <c r="W549" s="12"/>
      <c r="X549" s="12"/>
      <c r="Y549" s="12"/>
      <c r="Z549" s="12"/>
      <c r="AA549" s="12"/>
    </row>
    <row r="550" spans="1:27" ht="15.75" customHeight="1">
      <c r="A550" s="12"/>
      <c r="B550" s="12"/>
      <c r="C550" s="12"/>
      <c r="D550" s="12"/>
      <c r="E550" s="12"/>
      <c r="F550" s="12"/>
      <c r="G550" s="12"/>
      <c r="H550" s="12"/>
      <c r="I550" s="12"/>
      <c r="J550" s="12"/>
      <c r="K550" s="12"/>
      <c r="L550" s="12"/>
      <c r="M550" s="12"/>
      <c r="N550" s="12"/>
      <c r="O550" s="12"/>
      <c r="P550" s="12"/>
      <c r="Q550" s="12"/>
      <c r="R550" s="12"/>
      <c r="S550" s="12"/>
      <c r="T550" s="12"/>
      <c r="U550" s="12"/>
      <c r="W550" s="12"/>
      <c r="X550" s="12"/>
      <c r="Y550" s="12"/>
      <c r="Z550" s="12"/>
      <c r="AA550" s="12"/>
    </row>
    <row r="551" spans="1:27" ht="15.75" customHeight="1">
      <c r="A551" s="12"/>
      <c r="B551" s="12"/>
      <c r="C551" s="12"/>
      <c r="D551" s="12"/>
      <c r="E551" s="12"/>
      <c r="F551" s="12"/>
      <c r="G551" s="12"/>
      <c r="H551" s="12"/>
      <c r="I551" s="12"/>
      <c r="J551" s="12"/>
      <c r="K551" s="12"/>
      <c r="L551" s="12"/>
      <c r="M551" s="12"/>
      <c r="N551" s="12"/>
      <c r="O551" s="12"/>
      <c r="P551" s="12"/>
      <c r="Q551" s="12"/>
      <c r="R551" s="12"/>
      <c r="S551" s="12"/>
      <c r="T551" s="12"/>
      <c r="U551" s="12"/>
      <c r="W551" s="12"/>
      <c r="X551" s="12"/>
      <c r="Y551" s="12"/>
      <c r="Z551" s="12"/>
      <c r="AA551" s="12"/>
    </row>
    <row r="552" spans="1:27" ht="15.75" customHeight="1">
      <c r="A552" s="12"/>
      <c r="B552" s="12"/>
      <c r="C552" s="12"/>
      <c r="D552" s="12"/>
      <c r="E552" s="12"/>
      <c r="F552" s="12"/>
      <c r="G552" s="12"/>
      <c r="H552" s="12"/>
      <c r="I552" s="12"/>
      <c r="J552" s="12"/>
      <c r="K552" s="12"/>
      <c r="L552" s="12"/>
      <c r="M552" s="12"/>
      <c r="N552" s="12"/>
      <c r="O552" s="12"/>
      <c r="P552" s="12"/>
      <c r="Q552" s="12"/>
      <c r="R552" s="12"/>
      <c r="S552" s="12"/>
      <c r="T552" s="12"/>
      <c r="U552" s="12"/>
      <c r="W552" s="12"/>
      <c r="X552" s="12"/>
      <c r="Y552" s="12"/>
      <c r="Z552" s="12"/>
      <c r="AA552" s="12"/>
    </row>
    <row r="553" spans="1:27" ht="15.75" customHeight="1">
      <c r="A553" s="12"/>
      <c r="B553" s="12"/>
      <c r="C553" s="12"/>
      <c r="D553" s="12"/>
      <c r="E553" s="12"/>
      <c r="F553" s="12"/>
      <c r="G553" s="12"/>
      <c r="H553" s="12"/>
      <c r="I553" s="12"/>
      <c r="J553" s="12"/>
      <c r="K553" s="12"/>
      <c r="L553" s="12"/>
      <c r="M553" s="12"/>
      <c r="N553" s="12"/>
      <c r="O553" s="12"/>
      <c r="P553" s="12"/>
      <c r="Q553" s="12"/>
      <c r="R553" s="12"/>
      <c r="S553" s="12"/>
      <c r="T553" s="12"/>
      <c r="U553" s="12"/>
      <c r="W553" s="12"/>
      <c r="X553" s="12"/>
      <c r="Y553" s="12"/>
      <c r="Z553" s="12"/>
      <c r="AA553" s="12"/>
    </row>
    <row r="554" spans="1:27" ht="15.75" customHeight="1">
      <c r="A554" s="12"/>
      <c r="B554" s="12"/>
      <c r="C554" s="12"/>
      <c r="D554" s="12"/>
      <c r="E554" s="12"/>
      <c r="F554" s="12"/>
      <c r="G554" s="12"/>
      <c r="H554" s="12"/>
      <c r="I554" s="12"/>
      <c r="J554" s="12"/>
      <c r="K554" s="12"/>
      <c r="L554" s="12"/>
      <c r="M554" s="12"/>
      <c r="N554" s="12"/>
      <c r="O554" s="12"/>
      <c r="P554" s="12"/>
      <c r="Q554" s="12"/>
      <c r="R554" s="12"/>
      <c r="S554" s="12"/>
      <c r="T554" s="12"/>
      <c r="U554" s="12"/>
      <c r="W554" s="12"/>
      <c r="X554" s="12"/>
      <c r="Y554" s="12"/>
      <c r="Z554" s="12"/>
      <c r="AA554" s="12"/>
    </row>
    <row r="555" spans="1:27" ht="15.75" customHeight="1">
      <c r="A555" s="12"/>
      <c r="B555" s="12"/>
      <c r="C555" s="12"/>
      <c r="D555" s="12"/>
      <c r="E555" s="12"/>
      <c r="F555" s="12"/>
      <c r="G555" s="12"/>
      <c r="H555" s="12"/>
      <c r="I555" s="12"/>
      <c r="J555" s="12"/>
      <c r="K555" s="12"/>
      <c r="L555" s="12"/>
      <c r="M555" s="12"/>
      <c r="N555" s="12"/>
      <c r="O555" s="12"/>
      <c r="P555" s="12"/>
      <c r="Q555" s="12"/>
      <c r="R555" s="12"/>
      <c r="S555" s="12"/>
      <c r="T555" s="12"/>
      <c r="U555" s="12"/>
      <c r="W555" s="12"/>
      <c r="X555" s="12"/>
      <c r="Y555" s="12"/>
      <c r="Z555" s="12"/>
      <c r="AA555" s="12"/>
    </row>
    <row r="556" spans="1:27" ht="15.75" customHeight="1">
      <c r="A556" s="12"/>
      <c r="B556" s="12"/>
      <c r="C556" s="12"/>
      <c r="D556" s="12"/>
      <c r="E556" s="12"/>
      <c r="F556" s="12"/>
      <c r="G556" s="12"/>
      <c r="H556" s="12"/>
      <c r="I556" s="12"/>
      <c r="J556" s="12"/>
      <c r="K556" s="12"/>
      <c r="L556" s="12"/>
      <c r="M556" s="12"/>
      <c r="N556" s="12"/>
      <c r="O556" s="12"/>
      <c r="P556" s="12"/>
      <c r="Q556" s="12"/>
      <c r="R556" s="12"/>
      <c r="S556" s="12"/>
      <c r="T556" s="12"/>
      <c r="U556" s="12"/>
      <c r="W556" s="12"/>
      <c r="X556" s="12"/>
      <c r="Y556" s="12"/>
      <c r="Z556" s="12"/>
      <c r="AA556" s="12"/>
    </row>
    <row r="557" spans="1:27" ht="15.75" customHeight="1">
      <c r="A557" s="12"/>
      <c r="B557" s="12"/>
      <c r="C557" s="12"/>
      <c r="D557" s="12"/>
      <c r="E557" s="12"/>
      <c r="F557" s="12"/>
      <c r="G557" s="12"/>
      <c r="H557" s="12"/>
      <c r="I557" s="12"/>
      <c r="J557" s="12"/>
      <c r="K557" s="12"/>
      <c r="L557" s="12"/>
      <c r="M557" s="12"/>
      <c r="N557" s="12"/>
      <c r="O557" s="12"/>
      <c r="P557" s="12"/>
      <c r="Q557" s="12"/>
      <c r="R557" s="12"/>
      <c r="S557" s="12"/>
      <c r="T557" s="12"/>
      <c r="U557" s="12"/>
      <c r="W557" s="12"/>
      <c r="X557" s="12"/>
      <c r="Y557" s="12"/>
      <c r="Z557" s="12"/>
      <c r="AA557" s="12"/>
    </row>
    <row r="558" spans="1:27" ht="15.75" customHeight="1">
      <c r="A558" s="12"/>
      <c r="B558" s="12"/>
      <c r="C558" s="12"/>
      <c r="D558" s="12"/>
      <c r="E558" s="12"/>
      <c r="F558" s="12"/>
      <c r="G558" s="12"/>
      <c r="H558" s="12"/>
      <c r="I558" s="12"/>
      <c r="J558" s="12"/>
      <c r="K558" s="12"/>
      <c r="L558" s="12"/>
      <c r="M558" s="12"/>
      <c r="N558" s="12"/>
      <c r="O558" s="12"/>
      <c r="P558" s="12"/>
      <c r="Q558" s="12"/>
      <c r="R558" s="12"/>
      <c r="S558" s="12"/>
      <c r="T558" s="12"/>
      <c r="U558" s="12"/>
      <c r="W558" s="12"/>
      <c r="X558" s="12"/>
      <c r="Y558" s="12"/>
      <c r="Z558" s="12"/>
      <c r="AA558" s="12"/>
    </row>
    <row r="559" spans="1:27" ht="15.75" customHeight="1">
      <c r="A559" s="12"/>
      <c r="B559" s="12"/>
      <c r="C559" s="12"/>
      <c r="D559" s="12"/>
      <c r="E559" s="12"/>
      <c r="F559" s="12"/>
      <c r="G559" s="12"/>
      <c r="H559" s="12"/>
      <c r="I559" s="12"/>
      <c r="J559" s="12"/>
      <c r="K559" s="12"/>
      <c r="L559" s="12"/>
      <c r="M559" s="12"/>
      <c r="N559" s="12"/>
      <c r="O559" s="12"/>
      <c r="P559" s="12"/>
      <c r="Q559" s="12"/>
      <c r="R559" s="12"/>
      <c r="S559" s="12"/>
      <c r="T559" s="12"/>
      <c r="U559" s="12"/>
      <c r="W559" s="12"/>
      <c r="X559" s="12"/>
      <c r="Y559" s="12"/>
      <c r="Z559" s="12"/>
      <c r="AA559" s="12"/>
    </row>
    <row r="560" spans="1:27" ht="15.75" customHeight="1">
      <c r="A560" s="12"/>
      <c r="B560" s="12"/>
      <c r="C560" s="12"/>
      <c r="D560" s="12"/>
      <c r="E560" s="12"/>
      <c r="F560" s="12"/>
      <c r="G560" s="12"/>
      <c r="H560" s="12"/>
      <c r="I560" s="12"/>
      <c r="J560" s="12"/>
      <c r="K560" s="12"/>
      <c r="L560" s="12"/>
      <c r="M560" s="12"/>
      <c r="N560" s="12"/>
      <c r="O560" s="12"/>
      <c r="P560" s="12"/>
      <c r="Q560" s="12"/>
      <c r="R560" s="12"/>
      <c r="S560" s="12"/>
      <c r="T560" s="12"/>
      <c r="U560" s="12"/>
      <c r="W560" s="12"/>
      <c r="X560" s="12"/>
      <c r="Y560" s="12"/>
      <c r="Z560" s="12"/>
      <c r="AA560" s="12"/>
    </row>
    <row r="561" spans="1:27" ht="15.75" customHeight="1">
      <c r="A561" s="12"/>
      <c r="B561" s="12"/>
      <c r="C561" s="12"/>
      <c r="D561" s="12"/>
      <c r="E561" s="12"/>
      <c r="F561" s="12"/>
      <c r="G561" s="12"/>
      <c r="H561" s="12"/>
      <c r="I561" s="12"/>
      <c r="J561" s="12"/>
      <c r="K561" s="12"/>
      <c r="L561" s="12"/>
      <c r="M561" s="12"/>
      <c r="N561" s="12"/>
      <c r="O561" s="12"/>
      <c r="P561" s="12"/>
      <c r="Q561" s="12"/>
      <c r="R561" s="12"/>
      <c r="S561" s="12"/>
      <c r="T561" s="12"/>
      <c r="U561" s="12"/>
      <c r="W561" s="12"/>
      <c r="X561" s="12"/>
      <c r="Y561" s="12"/>
      <c r="Z561" s="12"/>
      <c r="AA561" s="12"/>
    </row>
    <row r="562" spans="1:27" ht="15.75" customHeight="1">
      <c r="A562" s="12"/>
      <c r="B562" s="12"/>
      <c r="C562" s="12"/>
      <c r="D562" s="12"/>
      <c r="E562" s="12"/>
      <c r="F562" s="12"/>
      <c r="G562" s="12"/>
      <c r="H562" s="12"/>
      <c r="I562" s="12"/>
      <c r="J562" s="12"/>
      <c r="K562" s="12"/>
      <c r="L562" s="12"/>
      <c r="M562" s="12"/>
      <c r="N562" s="12"/>
      <c r="O562" s="12"/>
      <c r="P562" s="12"/>
      <c r="Q562" s="12"/>
      <c r="R562" s="12"/>
      <c r="S562" s="12"/>
      <c r="T562" s="12"/>
      <c r="U562" s="12"/>
      <c r="W562" s="12"/>
      <c r="X562" s="12"/>
      <c r="Y562" s="12"/>
      <c r="Z562" s="12"/>
      <c r="AA562" s="12"/>
    </row>
    <row r="563" spans="1:27" ht="15.75" customHeight="1">
      <c r="A563" s="12"/>
      <c r="B563" s="12"/>
      <c r="C563" s="12"/>
      <c r="D563" s="12"/>
      <c r="E563" s="12"/>
      <c r="F563" s="12"/>
      <c r="G563" s="12"/>
      <c r="H563" s="12"/>
      <c r="I563" s="12"/>
      <c r="J563" s="12"/>
      <c r="K563" s="12"/>
      <c r="L563" s="12"/>
      <c r="M563" s="12"/>
      <c r="N563" s="12"/>
      <c r="O563" s="12"/>
      <c r="P563" s="12"/>
      <c r="Q563" s="12"/>
      <c r="R563" s="12"/>
      <c r="S563" s="12"/>
      <c r="T563" s="12"/>
      <c r="U563" s="12"/>
      <c r="W563" s="12"/>
      <c r="X563" s="12"/>
      <c r="Y563" s="12"/>
      <c r="Z563" s="12"/>
      <c r="AA563" s="12"/>
    </row>
    <row r="564" spans="1:27" ht="15.75" customHeight="1">
      <c r="A564" s="12"/>
      <c r="B564" s="12"/>
      <c r="C564" s="12"/>
      <c r="D564" s="12"/>
      <c r="E564" s="12"/>
      <c r="F564" s="12"/>
      <c r="G564" s="12"/>
      <c r="H564" s="12"/>
      <c r="I564" s="12"/>
      <c r="J564" s="12"/>
      <c r="K564" s="12"/>
      <c r="L564" s="12"/>
      <c r="M564" s="12"/>
      <c r="N564" s="12"/>
      <c r="O564" s="12"/>
      <c r="P564" s="12"/>
      <c r="Q564" s="12"/>
      <c r="R564" s="12"/>
      <c r="S564" s="12"/>
      <c r="T564" s="12"/>
      <c r="U564" s="12"/>
      <c r="W564" s="12"/>
      <c r="X564" s="12"/>
      <c r="Y564" s="12"/>
      <c r="Z564" s="12"/>
      <c r="AA564" s="12"/>
    </row>
    <row r="565" spans="1:27" ht="15.75" customHeight="1">
      <c r="A565" s="12"/>
      <c r="B565" s="12"/>
      <c r="C565" s="12"/>
      <c r="D565" s="12"/>
      <c r="E565" s="12"/>
      <c r="F565" s="12"/>
      <c r="G565" s="12"/>
      <c r="H565" s="12"/>
      <c r="I565" s="12"/>
      <c r="J565" s="12"/>
      <c r="K565" s="12"/>
      <c r="L565" s="12"/>
      <c r="M565" s="12"/>
      <c r="N565" s="12"/>
      <c r="O565" s="12"/>
      <c r="P565" s="12"/>
      <c r="Q565" s="12"/>
      <c r="R565" s="12"/>
      <c r="S565" s="12"/>
      <c r="T565" s="12"/>
      <c r="U565" s="12"/>
      <c r="W565" s="12"/>
      <c r="X565" s="12"/>
      <c r="Y565" s="12"/>
      <c r="Z565" s="12"/>
      <c r="AA565" s="12"/>
    </row>
    <row r="566" spans="1:27" ht="15.75" customHeight="1">
      <c r="A566" s="12"/>
      <c r="B566" s="12"/>
      <c r="C566" s="12"/>
      <c r="D566" s="12"/>
      <c r="E566" s="12"/>
      <c r="F566" s="12"/>
      <c r="G566" s="12"/>
      <c r="H566" s="12"/>
      <c r="I566" s="12"/>
      <c r="J566" s="12"/>
      <c r="K566" s="12"/>
      <c r="L566" s="12"/>
      <c r="M566" s="12"/>
      <c r="N566" s="12"/>
      <c r="O566" s="12"/>
      <c r="P566" s="12"/>
      <c r="Q566" s="12"/>
      <c r="R566" s="12"/>
      <c r="S566" s="12"/>
      <c r="T566" s="12"/>
      <c r="U566" s="12"/>
      <c r="W566" s="12"/>
      <c r="X566" s="12"/>
      <c r="Y566" s="12"/>
      <c r="Z566" s="12"/>
      <c r="AA566" s="12"/>
    </row>
    <row r="567" spans="1:27" ht="15.75" customHeight="1">
      <c r="A567" s="12"/>
      <c r="B567" s="12"/>
      <c r="C567" s="12"/>
      <c r="D567" s="12"/>
      <c r="E567" s="12"/>
      <c r="F567" s="12"/>
      <c r="G567" s="12"/>
      <c r="H567" s="12"/>
      <c r="I567" s="12"/>
      <c r="J567" s="12"/>
      <c r="K567" s="12"/>
      <c r="L567" s="12"/>
      <c r="M567" s="12"/>
      <c r="N567" s="12"/>
      <c r="O567" s="12"/>
      <c r="P567" s="12"/>
      <c r="Q567" s="12"/>
      <c r="R567" s="12"/>
      <c r="S567" s="12"/>
      <c r="T567" s="12"/>
      <c r="U567" s="12"/>
      <c r="W567" s="12"/>
      <c r="X567" s="12"/>
      <c r="Y567" s="12"/>
      <c r="Z567" s="12"/>
      <c r="AA567" s="12"/>
    </row>
    <row r="568" spans="1:27" ht="15.75" customHeight="1">
      <c r="A568" s="12"/>
      <c r="B568" s="12"/>
      <c r="C568" s="12"/>
      <c r="D568" s="12"/>
      <c r="E568" s="12"/>
      <c r="F568" s="12"/>
      <c r="G568" s="12"/>
      <c r="H568" s="12"/>
      <c r="I568" s="12"/>
      <c r="J568" s="12"/>
      <c r="K568" s="12"/>
      <c r="L568" s="12"/>
      <c r="M568" s="12"/>
      <c r="N568" s="12"/>
      <c r="O568" s="12"/>
      <c r="P568" s="12"/>
      <c r="Q568" s="12"/>
      <c r="R568" s="12"/>
      <c r="S568" s="12"/>
      <c r="T568" s="12"/>
      <c r="U568" s="12"/>
      <c r="W568" s="12"/>
      <c r="X568" s="12"/>
      <c r="Y568" s="12"/>
      <c r="Z568" s="12"/>
      <c r="AA568" s="12"/>
    </row>
    <row r="569" spans="1:27" ht="15.75" customHeight="1">
      <c r="A569" s="12"/>
      <c r="B569" s="12"/>
      <c r="C569" s="12"/>
      <c r="D569" s="12"/>
      <c r="E569" s="12"/>
      <c r="F569" s="12"/>
      <c r="G569" s="12"/>
      <c r="H569" s="12"/>
      <c r="I569" s="12"/>
      <c r="J569" s="12"/>
      <c r="K569" s="12"/>
      <c r="L569" s="12"/>
      <c r="M569" s="12"/>
      <c r="N569" s="12"/>
      <c r="O569" s="12"/>
      <c r="P569" s="12"/>
      <c r="Q569" s="12"/>
      <c r="R569" s="12"/>
      <c r="S569" s="12"/>
      <c r="T569" s="12"/>
      <c r="U569" s="12"/>
      <c r="W569" s="12"/>
      <c r="X569" s="12"/>
      <c r="Y569" s="12"/>
      <c r="Z569" s="12"/>
      <c r="AA569" s="12"/>
    </row>
    <row r="570" spans="1:27" ht="15.75" customHeight="1">
      <c r="A570" s="12"/>
      <c r="B570" s="12"/>
      <c r="C570" s="12"/>
      <c r="D570" s="12"/>
      <c r="E570" s="12"/>
      <c r="F570" s="12"/>
      <c r="G570" s="12"/>
      <c r="H570" s="12"/>
      <c r="I570" s="12"/>
      <c r="J570" s="12"/>
      <c r="K570" s="12"/>
      <c r="L570" s="12"/>
      <c r="M570" s="12"/>
      <c r="N570" s="12"/>
      <c r="O570" s="12"/>
      <c r="P570" s="12"/>
      <c r="Q570" s="12"/>
      <c r="R570" s="12"/>
      <c r="S570" s="12"/>
      <c r="T570" s="12"/>
      <c r="U570" s="12"/>
      <c r="W570" s="12"/>
      <c r="X570" s="12"/>
      <c r="Y570" s="12"/>
      <c r="Z570" s="12"/>
      <c r="AA570" s="12"/>
    </row>
    <row r="571" spans="1:27" ht="15.75" customHeight="1">
      <c r="A571" s="12"/>
      <c r="B571" s="12"/>
      <c r="C571" s="12"/>
      <c r="D571" s="12"/>
      <c r="E571" s="12"/>
      <c r="F571" s="12"/>
      <c r="G571" s="12"/>
      <c r="H571" s="12"/>
      <c r="I571" s="12"/>
      <c r="J571" s="12"/>
      <c r="K571" s="12"/>
      <c r="L571" s="12"/>
      <c r="M571" s="12"/>
      <c r="N571" s="12"/>
      <c r="O571" s="12"/>
      <c r="P571" s="12"/>
      <c r="Q571" s="12"/>
      <c r="R571" s="12"/>
      <c r="S571" s="12"/>
      <c r="T571" s="12"/>
      <c r="U571" s="12"/>
      <c r="W571" s="12"/>
      <c r="X571" s="12"/>
      <c r="Y571" s="12"/>
      <c r="Z571" s="12"/>
      <c r="AA571" s="12"/>
    </row>
    <row r="572" spans="1:27" ht="15.75" customHeight="1">
      <c r="A572" s="12"/>
      <c r="B572" s="12"/>
      <c r="C572" s="12"/>
      <c r="D572" s="12"/>
      <c r="E572" s="12"/>
      <c r="F572" s="12"/>
      <c r="G572" s="12"/>
      <c r="H572" s="12"/>
      <c r="I572" s="12"/>
      <c r="J572" s="12"/>
      <c r="K572" s="12"/>
      <c r="L572" s="12"/>
      <c r="M572" s="12"/>
      <c r="N572" s="12"/>
      <c r="O572" s="12"/>
      <c r="P572" s="12"/>
      <c r="Q572" s="12"/>
      <c r="R572" s="12"/>
      <c r="S572" s="12"/>
      <c r="T572" s="12"/>
      <c r="U572" s="12"/>
      <c r="W572" s="12"/>
      <c r="X572" s="12"/>
      <c r="Y572" s="12"/>
      <c r="Z572" s="12"/>
      <c r="AA572" s="12"/>
    </row>
    <row r="573" spans="1:27" ht="15.75" customHeight="1">
      <c r="A573" s="12"/>
      <c r="B573" s="12"/>
      <c r="C573" s="12"/>
      <c r="D573" s="12"/>
      <c r="E573" s="12"/>
      <c r="F573" s="12"/>
      <c r="G573" s="12"/>
      <c r="H573" s="12"/>
      <c r="I573" s="12"/>
      <c r="J573" s="12"/>
      <c r="K573" s="12"/>
      <c r="L573" s="12"/>
      <c r="M573" s="12"/>
      <c r="N573" s="12"/>
      <c r="O573" s="12"/>
      <c r="P573" s="12"/>
      <c r="Q573" s="12"/>
      <c r="R573" s="12"/>
      <c r="S573" s="12"/>
      <c r="T573" s="12"/>
      <c r="U573" s="12"/>
      <c r="W573" s="12"/>
      <c r="X573" s="12"/>
      <c r="Y573" s="12"/>
      <c r="Z573" s="12"/>
      <c r="AA573" s="12"/>
    </row>
    <row r="574" spans="1:27" ht="15.75" customHeight="1">
      <c r="A574" s="12"/>
      <c r="B574" s="12"/>
      <c r="C574" s="12"/>
      <c r="D574" s="12"/>
      <c r="E574" s="12"/>
      <c r="F574" s="12"/>
      <c r="G574" s="12"/>
      <c r="H574" s="12"/>
      <c r="I574" s="12"/>
      <c r="J574" s="12"/>
      <c r="K574" s="12"/>
      <c r="L574" s="12"/>
      <c r="M574" s="12"/>
      <c r="N574" s="12"/>
      <c r="O574" s="12"/>
      <c r="P574" s="12"/>
      <c r="Q574" s="12"/>
      <c r="R574" s="12"/>
      <c r="S574" s="12"/>
      <c r="T574" s="12"/>
      <c r="U574" s="12"/>
      <c r="W574" s="12"/>
      <c r="X574" s="12"/>
      <c r="Y574" s="12"/>
      <c r="Z574" s="12"/>
      <c r="AA574" s="12"/>
    </row>
    <row r="575" spans="1:27" ht="15.75" customHeight="1">
      <c r="A575" s="12"/>
      <c r="B575" s="12"/>
      <c r="C575" s="12"/>
      <c r="D575" s="12"/>
      <c r="E575" s="12"/>
      <c r="F575" s="12"/>
      <c r="G575" s="12"/>
      <c r="H575" s="12"/>
      <c r="I575" s="12"/>
      <c r="J575" s="12"/>
      <c r="K575" s="12"/>
      <c r="L575" s="12"/>
      <c r="M575" s="12"/>
      <c r="N575" s="12"/>
      <c r="O575" s="12"/>
      <c r="P575" s="12"/>
      <c r="Q575" s="12"/>
      <c r="R575" s="12"/>
      <c r="S575" s="12"/>
      <c r="T575" s="12"/>
      <c r="U575" s="12"/>
      <c r="W575" s="12"/>
      <c r="X575" s="12"/>
      <c r="Y575" s="12"/>
      <c r="Z575" s="12"/>
      <c r="AA575" s="12"/>
    </row>
    <row r="576" spans="1:27" ht="15.75" customHeight="1">
      <c r="A576" s="12"/>
      <c r="B576" s="12"/>
      <c r="C576" s="12"/>
      <c r="D576" s="12"/>
      <c r="E576" s="12"/>
      <c r="F576" s="12"/>
      <c r="G576" s="12"/>
      <c r="H576" s="12"/>
      <c r="I576" s="12"/>
      <c r="J576" s="12"/>
      <c r="K576" s="12"/>
      <c r="L576" s="12"/>
      <c r="M576" s="12"/>
      <c r="N576" s="12"/>
      <c r="O576" s="12"/>
      <c r="P576" s="12"/>
      <c r="Q576" s="12"/>
      <c r="R576" s="12"/>
      <c r="S576" s="12"/>
      <c r="T576" s="12"/>
      <c r="U576" s="12"/>
      <c r="W576" s="12"/>
      <c r="X576" s="12"/>
      <c r="Y576" s="12"/>
      <c r="Z576" s="12"/>
      <c r="AA576" s="12"/>
    </row>
    <row r="577" spans="1:27" ht="15.75" customHeight="1">
      <c r="A577" s="12"/>
      <c r="B577" s="12"/>
      <c r="C577" s="12"/>
      <c r="D577" s="12"/>
      <c r="E577" s="12"/>
      <c r="F577" s="12"/>
      <c r="G577" s="12"/>
      <c r="H577" s="12"/>
      <c r="I577" s="12"/>
      <c r="J577" s="12"/>
      <c r="K577" s="12"/>
      <c r="L577" s="12"/>
      <c r="M577" s="12"/>
      <c r="N577" s="12"/>
      <c r="O577" s="12"/>
      <c r="P577" s="12"/>
      <c r="Q577" s="12"/>
      <c r="R577" s="12"/>
      <c r="S577" s="12"/>
      <c r="T577" s="12"/>
      <c r="U577" s="12"/>
      <c r="W577" s="12"/>
      <c r="X577" s="12"/>
      <c r="Y577" s="12"/>
      <c r="Z577" s="12"/>
      <c r="AA577" s="12"/>
    </row>
    <row r="578" spans="1:27" ht="15.75" customHeight="1">
      <c r="A578" s="12"/>
      <c r="B578" s="12"/>
      <c r="C578" s="12"/>
      <c r="D578" s="12"/>
      <c r="E578" s="12"/>
      <c r="F578" s="12"/>
      <c r="G578" s="12"/>
      <c r="H578" s="12"/>
      <c r="I578" s="12"/>
      <c r="J578" s="12"/>
      <c r="K578" s="12"/>
      <c r="L578" s="12"/>
      <c r="M578" s="12"/>
      <c r="N578" s="12"/>
      <c r="O578" s="12"/>
      <c r="P578" s="12"/>
      <c r="Q578" s="12"/>
      <c r="R578" s="12"/>
      <c r="S578" s="12"/>
      <c r="T578" s="12"/>
      <c r="U578" s="12"/>
      <c r="W578" s="12"/>
      <c r="X578" s="12"/>
      <c r="Y578" s="12"/>
      <c r="Z578" s="12"/>
      <c r="AA578" s="12"/>
    </row>
    <row r="579" spans="1:27" ht="15.75" customHeight="1">
      <c r="A579" s="12"/>
      <c r="B579" s="12"/>
      <c r="C579" s="12"/>
      <c r="D579" s="12"/>
      <c r="E579" s="12"/>
      <c r="F579" s="12"/>
      <c r="G579" s="12"/>
      <c r="H579" s="12"/>
      <c r="I579" s="12"/>
      <c r="J579" s="12"/>
      <c r="K579" s="12"/>
      <c r="L579" s="12"/>
      <c r="M579" s="12"/>
      <c r="N579" s="12"/>
      <c r="O579" s="12"/>
      <c r="P579" s="12"/>
      <c r="Q579" s="12"/>
      <c r="R579" s="12"/>
      <c r="S579" s="12"/>
      <c r="T579" s="12"/>
      <c r="U579" s="12"/>
      <c r="W579" s="12"/>
      <c r="X579" s="12"/>
      <c r="Y579" s="12"/>
      <c r="Z579" s="12"/>
      <c r="AA579" s="12"/>
    </row>
    <row r="580" spans="1:27" ht="15.75" customHeight="1">
      <c r="A580" s="12"/>
      <c r="B580" s="12"/>
      <c r="C580" s="12"/>
      <c r="D580" s="12"/>
      <c r="E580" s="12"/>
      <c r="F580" s="12"/>
      <c r="G580" s="12"/>
      <c r="H580" s="12"/>
      <c r="I580" s="12"/>
      <c r="J580" s="12"/>
      <c r="K580" s="12"/>
      <c r="L580" s="12"/>
      <c r="M580" s="12"/>
      <c r="N580" s="12"/>
      <c r="O580" s="12"/>
      <c r="P580" s="12"/>
      <c r="Q580" s="12"/>
      <c r="R580" s="12"/>
      <c r="S580" s="12"/>
      <c r="T580" s="12"/>
      <c r="U580" s="12"/>
      <c r="W580" s="12"/>
      <c r="X580" s="12"/>
      <c r="Y580" s="12"/>
      <c r="Z580" s="12"/>
      <c r="AA580" s="12"/>
    </row>
    <row r="581" spans="1:27" ht="15.75" customHeight="1">
      <c r="A581" s="12"/>
      <c r="B581" s="12"/>
      <c r="C581" s="12"/>
      <c r="D581" s="12"/>
      <c r="E581" s="12"/>
      <c r="F581" s="12"/>
      <c r="G581" s="12"/>
      <c r="H581" s="12"/>
      <c r="I581" s="12"/>
      <c r="J581" s="12"/>
      <c r="K581" s="12"/>
      <c r="L581" s="12"/>
      <c r="M581" s="12"/>
      <c r="N581" s="12"/>
      <c r="O581" s="12"/>
      <c r="P581" s="12"/>
      <c r="Q581" s="12"/>
      <c r="R581" s="12"/>
      <c r="S581" s="12"/>
      <c r="T581" s="12"/>
      <c r="U581" s="12"/>
      <c r="W581" s="12"/>
      <c r="X581" s="12"/>
      <c r="Y581" s="12"/>
      <c r="Z581" s="12"/>
      <c r="AA581" s="12"/>
    </row>
    <row r="582" spans="1:27" ht="15.75" customHeight="1">
      <c r="A582" s="12"/>
      <c r="B582" s="12"/>
      <c r="C582" s="12"/>
      <c r="D582" s="12"/>
      <c r="E582" s="12"/>
      <c r="F582" s="12"/>
      <c r="G582" s="12"/>
      <c r="H582" s="12"/>
      <c r="I582" s="12"/>
      <c r="J582" s="12"/>
      <c r="K582" s="12"/>
      <c r="L582" s="12"/>
      <c r="M582" s="12"/>
      <c r="N582" s="12"/>
      <c r="O582" s="12"/>
      <c r="P582" s="12"/>
      <c r="Q582" s="12"/>
      <c r="R582" s="12"/>
      <c r="S582" s="12"/>
      <c r="T582" s="12"/>
      <c r="U582" s="12"/>
      <c r="W582" s="12"/>
      <c r="X582" s="12"/>
      <c r="Y582" s="12"/>
      <c r="Z582" s="12"/>
      <c r="AA582" s="12"/>
    </row>
    <row r="583" spans="1:27" ht="15.75" customHeight="1">
      <c r="A583" s="12"/>
      <c r="B583" s="12"/>
      <c r="C583" s="12"/>
      <c r="D583" s="12"/>
      <c r="E583" s="12"/>
      <c r="F583" s="12"/>
      <c r="G583" s="12"/>
      <c r="H583" s="12"/>
      <c r="I583" s="12"/>
      <c r="J583" s="12"/>
      <c r="K583" s="12"/>
      <c r="L583" s="12"/>
      <c r="M583" s="12"/>
      <c r="N583" s="12"/>
      <c r="O583" s="12"/>
      <c r="P583" s="12"/>
      <c r="Q583" s="12"/>
      <c r="R583" s="12"/>
      <c r="S583" s="12"/>
      <c r="T583" s="12"/>
      <c r="U583" s="12"/>
      <c r="W583" s="12"/>
      <c r="X583" s="12"/>
      <c r="Y583" s="12"/>
      <c r="Z583" s="12"/>
      <c r="AA583" s="12"/>
    </row>
    <row r="584" spans="1:27" ht="15.75" customHeight="1">
      <c r="A584" s="12"/>
      <c r="B584" s="12"/>
      <c r="C584" s="12"/>
      <c r="D584" s="12"/>
      <c r="E584" s="12"/>
      <c r="F584" s="12"/>
      <c r="G584" s="12"/>
      <c r="H584" s="12"/>
      <c r="I584" s="12"/>
      <c r="J584" s="12"/>
      <c r="K584" s="12"/>
      <c r="L584" s="12"/>
      <c r="M584" s="12"/>
      <c r="N584" s="12"/>
      <c r="O584" s="12"/>
      <c r="P584" s="12"/>
      <c r="Q584" s="12"/>
      <c r="R584" s="12"/>
      <c r="S584" s="12"/>
      <c r="T584" s="12"/>
      <c r="U584" s="12"/>
      <c r="W584" s="12"/>
      <c r="X584" s="12"/>
      <c r="Y584" s="12"/>
      <c r="Z584" s="12"/>
      <c r="AA584" s="12"/>
    </row>
    <row r="585" spans="1:27" ht="15.75" customHeight="1">
      <c r="A585" s="12"/>
      <c r="B585" s="12"/>
      <c r="C585" s="12"/>
      <c r="D585" s="12"/>
      <c r="E585" s="12"/>
      <c r="F585" s="12"/>
      <c r="G585" s="12"/>
      <c r="H585" s="12"/>
      <c r="I585" s="12"/>
      <c r="J585" s="12"/>
      <c r="K585" s="12"/>
      <c r="L585" s="12"/>
      <c r="M585" s="12"/>
      <c r="N585" s="12"/>
      <c r="O585" s="12"/>
      <c r="P585" s="12"/>
      <c r="Q585" s="12"/>
      <c r="R585" s="12"/>
      <c r="S585" s="12"/>
      <c r="T585" s="12"/>
      <c r="U585" s="12"/>
      <c r="W585" s="12"/>
      <c r="X585" s="12"/>
      <c r="Y585" s="12"/>
      <c r="Z585" s="12"/>
      <c r="AA585" s="12"/>
    </row>
    <row r="586" spans="1:27" ht="15.75" customHeight="1">
      <c r="A586" s="12"/>
      <c r="B586" s="12"/>
      <c r="C586" s="12"/>
      <c r="D586" s="12"/>
      <c r="E586" s="12"/>
      <c r="F586" s="12"/>
      <c r="G586" s="12"/>
      <c r="H586" s="12"/>
      <c r="I586" s="12"/>
      <c r="J586" s="12"/>
      <c r="K586" s="12"/>
      <c r="L586" s="12"/>
      <c r="M586" s="12"/>
      <c r="N586" s="12"/>
      <c r="O586" s="12"/>
      <c r="P586" s="12"/>
      <c r="Q586" s="12"/>
      <c r="R586" s="12"/>
      <c r="S586" s="12"/>
      <c r="T586" s="12"/>
      <c r="U586" s="12"/>
      <c r="W586" s="12"/>
      <c r="X586" s="12"/>
      <c r="Y586" s="12"/>
      <c r="Z586" s="12"/>
      <c r="AA586" s="12"/>
    </row>
    <row r="587" spans="1:27" ht="15.75" customHeight="1">
      <c r="A587" s="12"/>
      <c r="B587" s="12"/>
      <c r="C587" s="12"/>
      <c r="D587" s="12"/>
      <c r="E587" s="12"/>
      <c r="F587" s="12"/>
      <c r="G587" s="12"/>
      <c r="H587" s="12"/>
      <c r="I587" s="12"/>
      <c r="J587" s="12"/>
      <c r="K587" s="12"/>
      <c r="L587" s="12"/>
      <c r="M587" s="12"/>
      <c r="N587" s="12"/>
      <c r="O587" s="12"/>
      <c r="P587" s="12"/>
      <c r="Q587" s="12"/>
      <c r="R587" s="12"/>
      <c r="S587" s="12"/>
      <c r="T587" s="12"/>
      <c r="U587" s="12"/>
      <c r="W587" s="12"/>
      <c r="X587" s="12"/>
      <c r="Y587" s="12"/>
      <c r="Z587" s="12"/>
      <c r="AA587" s="12"/>
    </row>
    <row r="588" spans="1:27" ht="15.75" customHeight="1">
      <c r="A588" s="12"/>
      <c r="B588" s="12"/>
      <c r="C588" s="12"/>
      <c r="D588" s="12"/>
      <c r="E588" s="12"/>
      <c r="F588" s="12"/>
      <c r="G588" s="12"/>
      <c r="H588" s="12"/>
      <c r="I588" s="12"/>
      <c r="J588" s="12"/>
      <c r="K588" s="12"/>
      <c r="L588" s="12"/>
      <c r="M588" s="12"/>
      <c r="N588" s="12"/>
      <c r="O588" s="12"/>
      <c r="P588" s="12"/>
      <c r="Q588" s="12"/>
      <c r="R588" s="12"/>
      <c r="S588" s="12"/>
      <c r="T588" s="12"/>
      <c r="U588" s="12"/>
      <c r="W588" s="12"/>
      <c r="X588" s="12"/>
      <c r="Y588" s="12"/>
      <c r="Z588" s="12"/>
      <c r="AA588" s="12"/>
    </row>
    <row r="589" spans="1:27" ht="15.75" customHeight="1">
      <c r="A589" s="12"/>
      <c r="B589" s="12"/>
      <c r="C589" s="12"/>
      <c r="D589" s="12"/>
      <c r="E589" s="12"/>
      <c r="F589" s="12"/>
      <c r="G589" s="12"/>
      <c r="H589" s="12"/>
      <c r="I589" s="12"/>
      <c r="J589" s="12"/>
      <c r="K589" s="12"/>
      <c r="L589" s="12"/>
      <c r="M589" s="12"/>
      <c r="N589" s="12"/>
      <c r="O589" s="12"/>
      <c r="P589" s="12"/>
      <c r="Q589" s="12"/>
      <c r="R589" s="12"/>
      <c r="S589" s="12"/>
      <c r="T589" s="12"/>
      <c r="U589" s="12"/>
      <c r="W589" s="12"/>
      <c r="X589" s="12"/>
      <c r="Y589" s="12"/>
      <c r="Z589" s="12"/>
      <c r="AA589" s="12"/>
    </row>
    <row r="590" spans="1:27" ht="15.75" customHeight="1">
      <c r="A590" s="12"/>
      <c r="B590" s="12"/>
      <c r="C590" s="12"/>
      <c r="D590" s="12"/>
      <c r="E590" s="12"/>
      <c r="F590" s="12"/>
      <c r="G590" s="12"/>
      <c r="H590" s="12"/>
      <c r="I590" s="12"/>
      <c r="J590" s="12"/>
      <c r="K590" s="12"/>
      <c r="L590" s="12"/>
      <c r="M590" s="12"/>
      <c r="N590" s="12"/>
      <c r="O590" s="12"/>
      <c r="P590" s="12"/>
      <c r="Q590" s="12"/>
      <c r="R590" s="12"/>
      <c r="S590" s="12"/>
      <c r="T590" s="12"/>
      <c r="U590" s="12"/>
      <c r="W590" s="12"/>
      <c r="X590" s="12"/>
      <c r="Y590" s="12"/>
      <c r="Z590" s="12"/>
      <c r="AA590" s="12"/>
    </row>
    <row r="591" spans="1:27" ht="15.75" customHeight="1">
      <c r="A591" s="12"/>
      <c r="B591" s="12"/>
      <c r="C591" s="12"/>
      <c r="D591" s="12"/>
      <c r="E591" s="12"/>
      <c r="F591" s="12"/>
      <c r="G591" s="12"/>
      <c r="H591" s="12"/>
      <c r="I591" s="12"/>
      <c r="J591" s="12"/>
      <c r="K591" s="12"/>
      <c r="L591" s="12"/>
      <c r="M591" s="12"/>
      <c r="N591" s="12"/>
      <c r="O591" s="12"/>
      <c r="P591" s="12"/>
      <c r="Q591" s="12"/>
      <c r="R591" s="12"/>
      <c r="S591" s="12"/>
      <c r="T591" s="12"/>
      <c r="U591" s="12"/>
      <c r="W591" s="12"/>
      <c r="X591" s="12"/>
      <c r="Y591" s="12"/>
      <c r="Z591" s="12"/>
      <c r="AA591" s="12"/>
    </row>
    <row r="592" spans="1:27" ht="15.75" customHeight="1">
      <c r="A592" s="12"/>
      <c r="B592" s="12"/>
      <c r="C592" s="12"/>
      <c r="D592" s="12"/>
      <c r="E592" s="12"/>
      <c r="F592" s="12"/>
      <c r="G592" s="12"/>
      <c r="H592" s="12"/>
      <c r="I592" s="12"/>
      <c r="J592" s="12"/>
      <c r="K592" s="12"/>
      <c r="L592" s="12"/>
      <c r="M592" s="12"/>
      <c r="N592" s="12"/>
      <c r="O592" s="12"/>
      <c r="P592" s="12"/>
      <c r="Q592" s="12"/>
      <c r="R592" s="12"/>
      <c r="S592" s="12"/>
      <c r="T592" s="12"/>
      <c r="U592" s="12"/>
      <c r="W592" s="12"/>
      <c r="X592" s="12"/>
      <c r="Y592" s="12"/>
      <c r="Z592" s="12"/>
      <c r="AA592" s="12"/>
    </row>
    <row r="593" spans="1:27" ht="15.75" customHeight="1">
      <c r="A593" s="12"/>
      <c r="B593" s="12"/>
      <c r="C593" s="12"/>
      <c r="D593" s="12"/>
      <c r="E593" s="12"/>
      <c r="F593" s="12"/>
      <c r="G593" s="12"/>
      <c r="H593" s="12"/>
      <c r="I593" s="12"/>
      <c r="J593" s="12"/>
      <c r="K593" s="12"/>
      <c r="L593" s="12"/>
      <c r="M593" s="12"/>
      <c r="N593" s="12"/>
      <c r="O593" s="12"/>
      <c r="P593" s="12"/>
      <c r="Q593" s="12"/>
      <c r="R593" s="12"/>
      <c r="S593" s="12"/>
      <c r="T593" s="12"/>
      <c r="U593" s="12"/>
      <c r="W593" s="12"/>
      <c r="X593" s="12"/>
      <c r="Y593" s="12"/>
      <c r="Z593" s="12"/>
      <c r="AA593" s="12"/>
    </row>
    <row r="594" spans="1:27" ht="15.75" customHeight="1">
      <c r="A594" s="12"/>
      <c r="B594" s="12"/>
      <c r="C594" s="12"/>
      <c r="D594" s="12"/>
      <c r="E594" s="12"/>
      <c r="F594" s="12"/>
      <c r="G594" s="12"/>
      <c r="H594" s="12"/>
      <c r="I594" s="12"/>
      <c r="J594" s="12"/>
      <c r="K594" s="12"/>
      <c r="L594" s="12"/>
      <c r="M594" s="12"/>
      <c r="N594" s="12"/>
      <c r="O594" s="12"/>
      <c r="P594" s="12"/>
      <c r="Q594" s="12"/>
      <c r="R594" s="12"/>
      <c r="S594" s="12"/>
      <c r="T594" s="12"/>
      <c r="U594" s="12"/>
      <c r="W594" s="12"/>
      <c r="X594" s="12"/>
      <c r="Y594" s="12"/>
      <c r="Z594" s="12"/>
      <c r="AA594" s="12"/>
    </row>
    <row r="595" spans="1:27" ht="15.75" customHeight="1">
      <c r="A595" s="12"/>
      <c r="B595" s="12"/>
      <c r="C595" s="12"/>
      <c r="D595" s="12"/>
      <c r="E595" s="12"/>
      <c r="F595" s="12"/>
      <c r="G595" s="12"/>
      <c r="H595" s="12"/>
      <c r="I595" s="12"/>
      <c r="J595" s="12"/>
      <c r="K595" s="12"/>
      <c r="L595" s="12"/>
      <c r="M595" s="12"/>
      <c r="N595" s="12"/>
      <c r="O595" s="12"/>
      <c r="P595" s="12"/>
      <c r="Q595" s="12"/>
      <c r="R595" s="12"/>
      <c r="S595" s="12"/>
      <c r="T595" s="12"/>
      <c r="U595" s="12"/>
      <c r="W595" s="12"/>
      <c r="X595" s="12"/>
      <c r="Y595" s="12"/>
      <c r="Z595" s="12"/>
      <c r="AA595" s="12"/>
    </row>
    <row r="596" spans="1:27" ht="15.75" customHeight="1">
      <c r="A596" s="12"/>
      <c r="B596" s="12"/>
      <c r="C596" s="12"/>
      <c r="D596" s="12"/>
      <c r="E596" s="12"/>
      <c r="F596" s="12"/>
      <c r="G596" s="12"/>
      <c r="H596" s="12"/>
      <c r="I596" s="12"/>
      <c r="J596" s="12"/>
      <c r="K596" s="12"/>
      <c r="L596" s="12"/>
      <c r="M596" s="12"/>
      <c r="N596" s="12"/>
      <c r="O596" s="12"/>
      <c r="P596" s="12"/>
      <c r="Q596" s="12"/>
      <c r="R596" s="12"/>
      <c r="S596" s="12"/>
      <c r="T596" s="12"/>
      <c r="U596" s="12"/>
      <c r="W596" s="12"/>
      <c r="X596" s="12"/>
      <c r="Y596" s="12"/>
      <c r="Z596" s="12"/>
      <c r="AA596" s="12"/>
    </row>
    <row r="597" spans="1:27" ht="15.75" customHeight="1">
      <c r="A597" s="12"/>
      <c r="B597" s="12"/>
      <c r="C597" s="12"/>
      <c r="D597" s="12"/>
      <c r="E597" s="12"/>
      <c r="F597" s="12"/>
      <c r="G597" s="12"/>
      <c r="H597" s="12"/>
      <c r="I597" s="12"/>
      <c r="J597" s="12"/>
      <c r="K597" s="12"/>
      <c r="L597" s="12"/>
      <c r="M597" s="12"/>
      <c r="N597" s="12"/>
      <c r="O597" s="12"/>
      <c r="P597" s="12"/>
      <c r="Q597" s="12"/>
      <c r="R597" s="12"/>
      <c r="S597" s="12"/>
      <c r="T597" s="12"/>
      <c r="U597" s="12"/>
      <c r="W597" s="12"/>
      <c r="X597" s="12"/>
      <c r="Y597" s="12"/>
      <c r="Z597" s="12"/>
      <c r="AA597" s="12"/>
    </row>
    <row r="598" spans="1:27" ht="15.75" customHeight="1">
      <c r="A598" s="12"/>
      <c r="B598" s="12"/>
      <c r="C598" s="12"/>
      <c r="D598" s="12"/>
      <c r="E598" s="12"/>
      <c r="F598" s="12"/>
      <c r="G598" s="12"/>
      <c r="H598" s="12"/>
      <c r="I598" s="12"/>
      <c r="J598" s="12"/>
      <c r="K598" s="12"/>
      <c r="L598" s="12"/>
      <c r="M598" s="12"/>
      <c r="N598" s="12"/>
      <c r="O598" s="12"/>
      <c r="P598" s="12"/>
      <c r="Q598" s="12"/>
      <c r="R598" s="12"/>
      <c r="S598" s="12"/>
      <c r="T598" s="12"/>
      <c r="U598" s="12"/>
      <c r="W598" s="12"/>
      <c r="X598" s="12"/>
      <c r="Y598" s="12"/>
      <c r="Z598" s="12"/>
      <c r="AA598" s="12"/>
    </row>
    <row r="599" spans="1:27" ht="15.75" customHeight="1">
      <c r="A599" s="12"/>
      <c r="B599" s="12"/>
      <c r="C599" s="12"/>
      <c r="D599" s="12"/>
      <c r="E599" s="12"/>
      <c r="F599" s="12"/>
      <c r="G599" s="12"/>
      <c r="H599" s="12"/>
      <c r="I599" s="12"/>
      <c r="J599" s="12"/>
      <c r="K599" s="12"/>
      <c r="L599" s="12"/>
      <c r="M599" s="12"/>
      <c r="N599" s="12"/>
      <c r="O599" s="12"/>
      <c r="P599" s="12"/>
      <c r="Q599" s="12"/>
      <c r="R599" s="12"/>
      <c r="S599" s="12"/>
      <c r="T599" s="12"/>
      <c r="U599" s="12"/>
      <c r="W599" s="12"/>
      <c r="X599" s="12"/>
      <c r="Y599" s="12"/>
      <c r="Z599" s="12"/>
      <c r="AA599" s="12"/>
    </row>
    <row r="600" spans="1:27" ht="15.75" customHeight="1">
      <c r="A600" s="12"/>
      <c r="B600" s="12"/>
      <c r="C600" s="12"/>
      <c r="D600" s="12"/>
      <c r="E600" s="12"/>
      <c r="F600" s="12"/>
      <c r="G600" s="12"/>
      <c r="H600" s="12"/>
      <c r="I600" s="12"/>
      <c r="J600" s="12"/>
      <c r="K600" s="12"/>
      <c r="L600" s="12"/>
      <c r="M600" s="12"/>
      <c r="N600" s="12"/>
      <c r="O600" s="12"/>
      <c r="P600" s="12"/>
      <c r="Q600" s="12"/>
      <c r="R600" s="12"/>
      <c r="S600" s="12"/>
      <c r="T600" s="12"/>
      <c r="U600" s="12"/>
      <c r="W600" s="12"/>
      <c r="X600" s="12"/>
      <c r="Y600" s="12"/>
      <c r="Z600" s="12"/>
      <c r="AA600" s="12"/>
    </row>
    <row r="601" spans="1:27" ht="15.75" customHeight="1">
      <c r="A601" s="12"/>
      <c r="B601" s="12"/>
      <c r="C601" s="12"/>
      <c r="D601" s="12"/>
      <c r="E601" s="12"/>
      <c r="F601" s="12"/>
      <c r="G601" s="12"/>
      <c r="H601" s="12"/>
      <c r="I601" s="12"/>
      <c r="J601" s="12"/>
      <c r="K601" s="12"/>
      <c r="L601" s="12"/>
      <c r="M601" s="12"/>
      <c r="N601" s="12"/>
      <c r="O601" s="12"/>
      <c r="P601" s="12"/>
      <c r="Q601" s="12"/>
      <c r="R601" s="12"/>
      <c r="S601" s="12"/>
      <c r="T601" s="12"/>
      <c r="U601" s="12"/>
      <c r="W601" s="12"/>
      <c r="X601" s="12"/>
      <c r="Y601" s="12"/>
      <c r="Z601" s="12"/>
      <c r="AA601" s="12"/>
    </row>
    <row r="602" spans="1:27" ht="15.75" customHeight="1">
      <c r="A602" s="12"/>
      <c r="B602" s="12"/>
      <c r="C602" s="12"/>
      <c r="D602" s="12"/>
      <c r="E602" s="12"/>
      <c r="F602" s="12"/>
      <c r="G602" s="12"/>
      <c r="H602" s="12"/>
      <c r="I602" s="12"/>
      <c r="J602" s="12"/>
      <c r="K602" s="12"/>
      <c r="L602" s="12"/>
      <c r="M602" s="12"/>
      <c r="N602" s="12"/>
      <c r="O602" s="12"/>
      <c r="P602" s="12"/>
      <c r="Q602" s="12"/>
      <c r="R602" s="12"/>
      <c r="S602" s="12"/>
      <c r="T602" s="12"/>
      <c r="U602" s="12"/>
      <c r="W602" s="12"/>
      <c r="X602" s="12"/>
      <c r="Y602" s="12"/>
      <c r="Z602" s="12"/>
      <c r="AA602" s="12"/>
    </row>
    <row r="603" spans="1:27" ht="15.75" customHeight="1">
      <c r="A603" s="12"/>
      <c r="B603" s="12"/>
      <c r="C603" s="12"/>
      <c r="D603" s="12"/>
      <c r="E603" s="12"/>
      <c r="F603" s="12"/>
      <c r="G603" s="12"/>
      <c r="H603" s="12"/>
      <c r="I603" s="12"/>
      <c r="J603" s="12"/>
      <c r="K603" s="12"/>
      <c r="L603" s="12"/>
      <c r="M603" s="12"/>
      <c r="N603" s="12"/>
      <c r="O603" s="12"/>
      <c r="P603" s="12"/>
      <c r="Q603" s="12"/>
      <c r="R603" s="12"/>
      <c r="S603" s="12"/>
      <c r="T603" s="12"/>
      <c r="U603" s="12"/>
      <c r="W603" s="12"/>
      <c r="X603" s="12"/>
      <c r="Y603" s="12"/>
      <c r="Z603" s="12"/>
      <c r="AA603" s="12"/>
    </row>
    <row r="604" spans="1:27" ht="15.75" customHeight="1">
      <c r="A604" s="12"/>
      <c r="B604" s="12"/>
      <c r="C604" s="12"/>
      <c r="D604" s="12"/>
      <c r="E604" s="12"/>
      <c r="F604" s="12"/>
      <c r="G604" s="12"/>
      <c r="H604" s="12"/>
      <c r="I604" s="12"/>
      <c r="J604" s="12"/>
      <c r="K604" s="12"/>
      <c r="L604" s="12"/>
      <c r="M604" s="12"/>
      <c r="N604" s="12"/>
      <c r="O604" s="12"/>
      <c r="P604" s="12"/>
      <c r="Q604" s="12"/>
      <c r="R604" s="12"/>
      <c r="S604" s="12"/>
      <c r="T604" s="12"/>
      <c r="U604" s="12"/>
      <c r="W604" s="12"/>
      <c r="X604" s="12"/>
      <c r="Y604" s="12"/>
      <c r="Z604" s="12"/>
      <c r="AA604" s="12"/>
    </row>
    <row r="605" spans="1:27" ht="15.75" customHeight="1">
      <c r="A605" s="12"/>
      <c r="B605" s="12"/>
      <c r="C605" s="12"/>
      <c r="D605" s="12"/>
      <c r="E605" s="12"/>
      <c r="F605" s="12"/>
      <c r="G605" s="12"/>
      <c r="H605" s="12"/>
      <c r="I605" s="12"/>
      <c r="J605" s="12"/>
      <c r="K605" s="12"/>
      <c r="L605" s="12"/>
      <c r="M605" s="12"/>
      <c r="N605" s="12"/>
      <c r="O605" s="12"/>
      <c r="P605" s="12"/>
      <c r="Q605" s="12"/>
      <c r="R605" s="12"/>
      <c r="S605" s="12"/>
      <c r="T605" s="12"/>
      <c r="U605" s="12"/>
      <c r="W605" s="12"/>
      <c r="X605" s="12"/>
      <c r="Y605" s="12"/>
      <c r="Z605" s="12"/>
      <c r="AA605" s="12"/>
    </row>
    <row r="606" spans="1:27" ht="15.75" customHeight="1">
      <c r="A606" s="12"/>
      <c r="B606" s="12"/>
      <c r="C606" s="12"/>
      <c r="D606" s="12"/>
      <c r="E606" s="12"/>
      <c r="F606" s="12"/>
      <c r="G606" s="12"/>
      <c r="H606" s="12"/>
      <c r="I606" s="12"/>
      <c r="J606" s="12"/>
      <c r="K606" s="12"/>
      <c r="L606" s="12"/>
      <c r="M606" s="12"/>
      <c r="N606" s="12"/>
      <c r="O606" s="12"/>
      <c r="P606" s="12"/>
      <c r="Q606" s="12"/>
      <c r="R606" s="12"/>
      <c r="S606" s="12"/>
      <c r="T606" s="12"/>
      <c r="U606" s="12"/>
      <c r="W606" s="12"/>
      <c r="X606" s="12"/>
      <c r="Y606" s="12"/>
      <c r="Z606" s="12"/>
      <c r="AA606" s="12"/>
    </row>
    <row r="607" spans="1:27" ht="15.75" customHeight="1">
      <c r="A607" s="12"/>
      <c r="B607" s="12"/>
      <c r="C607" s="12"/>
      <c r="D607" s="12"/>
      <c r="E607" s="12"/>
      <c r="F607" s="12"/>
      <c r="G607" s="12"/>
      <c r="H607" s="12"/>
      <c r="I607" s="12"/>
      <c r="J607" s="12"/>
      <c r="K607" s="12"/>
      <c r="L607" s="12"/>
      <c r="M607" s="12"/>
      <c r="N607" s="12"/>
      <c r="O607" s="12"/>
      <c r="P607" s="12"/>
      <c r="Q607" s="12"/>
      <c r="R607" s="12"/>
      <c r="S607" s="12"/>
      <c r="T607" s="12"/>
      <c r="U607" s="12"/>
      <c r="W607" s="12"/>
      <c r="X607" s="12"/>
      <c r="Y607" s="12"/>
      <c r="Z607" s="12"/>
      <c r="AA607" s="12"/>
    </row>
    <row r="608" spans="1:27" ht="15.75" customHeight="1">
      <c r="A608" s="12"/>
      <c r="B608" s="12"/>
      <c r="C608" s="12"/>
      <c r="D608" s="12"/>
      <c r="E608" s="12"/>
      <c r="F608" s="12"/>
      <c r="G608" s="12"/>
      <c r="H608" s="12"/>
      <c r="I608" s="12"/>
      <c r="J608" s="12"/>
      <c r="K608" s="12"/>
      <c r="L608" s="12"/>
      <c r="M608" s="12"/>
      <c r="N608" s="12"/>
      <c r="O608" s="12"/>
      <c r="P608" s="12"/>
      <c r="Q608" s="12"/>
      <c r="R608" s="12"/>
      <c r="S608" s="12"/>
      <c r="T608" s="12"/>
      <c r="U608" s="12"/>
      <c r="W608" s="12"/>
      <c r="X608" s="12"/>
      <c r="Y608" s="12"/>
      <c r="Z608" s="12"/>
      <c r="AA608" s="12"/>
    </row>
    <row r="609" spans="1:27" ht="15.75" customHeight="1">
      <c r="A609" s="12"/>
      <c r="B609" s="12"/>
      <c r="C609" s="12"/>
      <c r="D609" s="12"/>
      <c r="E609" s="12"/>
      <c r="F609" s="12"/>
      <c r="G609" s="12"/>
      <c r="H609" s="12"/>
      <c r="I609" s="12"/>
      <c r="J609" s="12"/>
      <c r="K609" s="12"/>
      <c r="L609" s="12"/>
      <c r="M609" s="12"/>
      <c r="N609" s="12"/>
      <c r="O609" s="12"/>
      <c r="P609" s="12"/>
      <c r="Q609" s="12"/>
      <c r="R609" s="12"/>
      <c r="S609" s="12"/>
      <c r="T609" s="12"/>
      <c r="U609" s="12"/>
      <c r="W609" s="12"/>
      <c r="X609" s="12"/>
      <c r="Y609" s="12"/>
      <c r="Z609" s="12"/>
      <c r="AA609" s="12"/>
    </row>
    <row r="610" spans="1:27" ht="15.75" customHeight="1">
      <c r="A610" s="12"/>
      <c r="B610" s="12"/>
      <c r="C610" s="12"/>
      <c r="D610" s="12"/>
      <c r="E610" s="12"/>
      <c r="F610" s="12"/>
      <c r="G610" s="12"/>
      <c r="H610" s="12"/>
      <c r="I610" s="12"/>
      <c r="J610" s="12"/>
      <c r="K610" s="12"/>
      <c r="L610" s="12"/>
      <c r="M610" s="12"/>
      <c r="N610" s="12"/>
      <c r="O610" s="12"/>
      <c r="P610" s="12"/>
      <c r="Q610" s="12"/>
      <c r="R610" s="12"/>
      <c r="S610" s="12"/>
      <c r="T610" s="12"/>
      <c r="U610" s="12"/>
      <c r="W610" s="12"/>
      <c r="X610" s="12"/>
      <c r="Y610" s="12"/>
      <c r="Z610" s="12"/>
      <c r="AA610" s="12"/>
    </row>
    <row r="611" spans="1:27" ht="15.75" customHeight="1">
      <c r="A611" s="12"/>
      <c r="B611" s="12"/>
      <c r="C611" s="12"/>
      <c r="D611" s="12"/>
      <c r="E611" s="12"/>
      <c r="F611" s="12"/>
      <c r="G611" s="12"/>
      <c r="H611" s="12"/>
      <c r="I611" s="12"/>
      <c r="J611" s="12"/>
      <c r="K611" s="12"/>
      <c r="L611" s="12"/>
      <c r="M611" s="12"/>
      <c r="N611" s="12"/>
      <c r="O611" s="12"/>
      <c r="P611" s="12"/>
      <c r="Q611" s="12"/>
      <c r="R611" s="12"/>
      <c r="S611" s="12"/>
      <c r="T611" s="12"/>
      <c r="U611" s="12"/>
      <c r="W611" s="12"/>
      <c r="X611" s="12"/>
      <c r="Y611" s="12"/>
      <c r="Z611" s="12"/>
      <c r="AA611" s="12"/>
    </row>
    <row r="612" spans="1:27" ht="15.75" customHeight="1">
      <c r="A612" s="12"/>
      <c r="B612" s="12"/>
      <c r="C612" s="12"/>
      <c r="D612" s="12"/>
      <c r="E612" s="12"/>
      <c r="F612" s="12"/>
      <c r="G612" s="12"/>
      <c r="H612" s="12"/>
      <c r="I612" s="12"/>
      <c r="J612" s="12"/>
      <c r="K612" s="12"/>
      <c r="L612" s="12"/>
      <c r="M612" s="12"/>
      <c r="N612" s="12"/>
      <c r="O612" s="12"/>
      <c r="P612" s="12"/>
      <c r="Q612" s="12"/>
      <c r="R612" s="12"/>
      <c r="S612" s="12"/>
      <c r="T612" s="12"/>
      <c r="U612" s="12"/>
      <c r="W612" s="12"/>
      <c r="X612" s="12"/>
      <c r="Y612" s="12"/>
      <c r="Z612" s="12"/>
      <c r="AA612" s="12"/>
    </row>
    <row r="613" spans="1:27" ht="15.75" customHeight="1">
      <c r="A613" s="12"/>
      <c r="B613" s="12"/>
      <c r="C613" s="12"/>
      <c r="D613" s="12"/>
      <c r="E613" s="12"/>
      <c r="F613" s="12"/>
      <c r="G613" s="12"/>
      <c r="H613" s="12"/>
      <c r="I613" s="12"/>
      <c r="J613" s="12"/>
      <c r="K613" s="12"/>
      <c r="L613" s="12"/>
      <c r="M613" s="12"/>
      <c r="N613" s="12"/>
      <c r="O613" s="12"/>
      <c r="P613" s="12"/>
      <c r="Q613" s="12"/>
      <c r="R613" s="12"/>
      <c r="S613" s="12"/>
      <c r="T613" s="12"/>
      <c r="U613" s="12"/>
      <c r="W613" s="12"/>
      <c r="X613" s="12"/>
      <c r="Y613" s="12"/>
      <c r="Z613" s="12"/>
      <c r="AA613" s="12"/>
    </row>
    <row r="614" spans="1:27" ht="15.75" customHeight="1">
      <c r="A614" s="12"/>
      <c r="B614" s="12"/>
      <c r="C614" s="12"/>
      <c r="D614" s="12"/>
      <c r="E614" s="12"/>
      <c r="F614" s="12"/>
      <c r="G614" s="12"/>
      <c r="H614" s="12"/>
      <c r="I614" s="12"/>
      <c r="J614" s="12"/>
      <c r="K614" s="12"/>
      <c r="L614" s="12"/>
      <c r="M614" s="12"/>
      <c r="N614" s="12"/>
      <c r="O614" s="12"/>
      <c r="P614" s="12"/>
      <c r="Q614" s="12"/>
      <c r="R614" s="12"/>
      <c r="S614" s="12"/>
      <c r="T614" s="12"/>
      <c r="U614" s="12"/>
      <c r="W614" s="12"/>
      <c r="X614" s="12"/>
      <c r="Y614" s="12"/>
      <c r="Z614" s="12"/>
      <c r="AA614" s="12"/>
    </row>
    <row r="615" spans="1:27" ht="15.75" customHeight="1">
      <c r="A615" s="12"/>
      <c r="B615" s="12"/>
      <c r="C615" s="12"/>
      <c r="D615" s="12"/>
      <c r="E615" s="12"/>
      <c r="F615" s="12"/>
      <c r="G615" s="12"/>
      <c r="H615" s="12"/>
      <c r="I615" s="12"/>
      <c r="J615" s="12"/>
      <c r="K615" s="12"/>
      <c r="L615" s="12"/>
      <c r="M615" s="12"/>
      <c r="N615" s="12"/>
      <c r="O615" s="12"/>
      <c r="P615" s="12"/>
      <c r="Q615" s="12"/>
      <c r="R615" s="12"/>
      <c r="S615" s="12"/>
      <c r="T615" s="12"/>
      <c r="U615" s="12"/>
      <c r="W615" s="12"/>
      <c r="X615" s="12"/>
      <c r="Y615" s="12"/>
      <c r="Z615" s="12"/>
      <c r="AA615" s="12"/>
    </row>
    <row r="616" spans="1:27" ht="15.75" customHeight="1">
      <c r="A616" s="12"/>
      <c r="B616" s="12"/>
      <c r="C616" s="12"/>
      <c r="D616" s="12"/>
      <c r="E616" s="12"/>
      <c r="F616" s="12"/>
      <c r="G616" s="12"/>
      <c r="H616" s="12"/>
      <c r="I616" s="12"/>
      <c r="J616" s="12"/>
      <c r="K616" s="12"/>
      <c r="L616" s="12"/>
      <c r="M616" s="12"/>
      <c r="N616" s="12"/>
      <c r="O616" s="12"/>
      <c r="P616" s="12"/>
      <c r="Q616" s="12"/>
      <c r="R616" s="12"/>
      <c r="S616" s="12"/>
      <c r="T616" s="12"/>
      <c r="U616" s="12"/>
      <c r="W616" s="12"/>
      <c r="X616" s="12"/>
      <c r="Y616" s="12"/>
      <c r="Z616" s="12"/>
      <c r="AA616" s="12"/>
    </row>
    <row r="617" spans="1:27" ht="15.75" customHeight="1">
      <c r="A617" s="12"/>
      <c r="B617" s="12"/>
      <c r="C617" s="12"/>
      <c r="D617" s="12"/>
      <c r="E617" s="12"/>
      <c r="F617" s="12"/>
      <c r="G617" s="12"/>
      <c r="H617" s="12"/>
      <c r="I617" s="12"/>
      <c r="J617" s="12"/>
      <c r="K617" s="12"/>
      <c r="L617" s="12"/>
      <c r="M617" s="12"/>
      <c r="N617" s="12"/>
      <c r="O617" s="12"/>
      <c r="P617" s="12"/>
      <c r="Q617" s="12"/>
      <c r="R617" s="12"/>
      <c r="S617" s="12"/>
      <c r="T617" s="12"/>
      <c r="U617" s="12"/>
      <c r="W617" s="12"/>
      <c r="X617" s="12"/>
      <c r="Y617" s="12"/>
      <c r="Z617" s="12"/>
      <c r="AA617" s="12"/>
    </row>
    <row r="618" spans="1:27" ht="15.75" customHeight="1">
      <c r="A618" s="12"/>
      <c r="B618" s="12"/>
      <c r="C618" s="12"/>
      <c r="D618" s="12"/>
      <c r="E618" s="12"/>
      <c r="F618" s="12"/>
      <c r="G618" s="12"/>
      <c r="H618" s="12"/>
      <c r="I618" s="12"/>
      <c r="J618" s="12"/>
      <c r="K618" s="12"/>
      <c r="L618" s="12"/>
      <c r="M618" s="12"/>
      <c r="N618" s="12"/>
      <c r="O618" s="12"/>
      <c r="P618" s="12"/>
      <c r="Q618" s="12"/>
      <c r="R618" s="12"/>
      <c r="S618" s="12"/>
      <c r="T618" s="12"/>
      <c r="U618" s="12"/>
      <c r="W618" s="12"/>
      <c r="X618" s="12"/>
      <c r="Y618" s="12"/>
      <c r="Z618" s="12"/>
      <c r="AA618" s="12"/>
    </row>
    <row r="619" spans="1:27" ht="15.75" customHeight="1">
      <c r="A619" s="12"/>
      <c r="B619" s="12"/>
      <c r="C619" s="12"/>
      <c r="D619" s="12"/>
      <c r="E619" s="12"/>
      <c r="F619" s="12"/>
      <c r="G619" s="12"/>
      <c r="H619" s="12"/>
      <c r="I619" s="12"/>
      <c r="J619" s="12"/>
      <c r="K619" s="12"/>
      <c r="L619" s="12"/>
      <c r="M619" s="12"/>
      <c r="N619" s="12"/>
      <c r="O619" s="12"/>
      <c r="P619" s="12"/>
      <c r="Q619" s="12"/>
      <c r="R619" s="12"/>
      <c r="S619" s="12"/>
      <c r="T619" s="12"/>
      <c r="U619" s="12"/>
      <c r="W619" s="12"/>
      <c r="X619" s="12"/>
      <c r="Y619" s="12"/>
      <c r="Z619" s="12"/>
      <c r="AA619" s="12"/>
    </row>
    <row r="620" spans="1:27" ht="15.75" customHeight="1">
      <c r="A620" s="12"/>
      <c r="B620" s="12"/>
      <c r="C620" s="12"/>
      <c r="D620" s="12"/>
      <c r="E620" s="12"/>
      <c r="F620" s="12"/>
      <c r="G620" s="12"/>
      <c r="H620" s="12"/>
      <c r="I620" s="12"/>
      <c r="J620" s="12"/>
      <c r="K620" s="12"/>
      <c r="L620" s="12"/>
      <c r="M620" s="12"/>
      <c r="N620" s="12"/>
      <c r="O620" s="12"/>
      <c r="P620" s="12"/>
      <c r="Q620" s="12"/>
      <c r="R620" s="12"/>
      <c r="S620" s="12"/>
      <c r="T620" s="12"/>
      <c r="U620" s="12"/>
      <c r="W620" s="12"/>
      <c r="X620" s="12"/>
      <c r="Y620" s="12"/>
      <c r="Z620" s="12"/>
      <c r="AA620" s="12"/>
    </row>
    <row r="621" spans="1:27" ht="15.75" customHeight="1">
      <c r="A621" s="12"/>
      <c r="B621" s="12"/>
      <c r="C621" s="12"/>
      <c r="D621" s="12"/>
      <c r="E621" s="12"/>
      <c r="F621" s="12"/>
      <c r="G621" s="12"/>
      <c r="H621" s="12"/>
      <c r="I621" s="12"/>
      <c r="J621" s="12"/>
      <c r="K621" s="12"/>
      <c r="L621" s="12"/>
      <c r="M621" s="12"/>
      <c r="N621" s="12"/>
      <c r="O621" s="12"/>
      <c r="P621" s="12"/>
      <c r="Q621" s="12"/>
      <c r="R621" s="12"/>
      <c r="S621" s="12"/>
      <c r="T621" s="12"/>
      <c r="U621" s="12"/>
      <c r="W621" s="12"/>
      <c r="X621" s="12"/>
      <c r="Y621" s="12"/>
      <c r="Z621" s="12"/>
      <c r="AA621" s="12"/>
    </row>
    <row r="622" spans="1:27" ht="15.75" customHeight="1">
      <c r="A622" s="12"/>
      <c r="B622" s="12"/>
      <c r="C622" s="12"/>
      <c r="D622" s="12"/>
      <c r="E622" s="12"/>
      <c r="F622" s="12"/>
      <c r="G622" s="12"/>
      <c r="H622" s="12"/>
      <c r="I622" s="12"/>
      <c r="J622" s="12"/>
      <c r="K622" s="12"/>
      <c r="L622" s="12"/>
      <c r="M622" s="12"/>
      <c r="N622" s="12"/>
      <c r="O622" s="12"/>
      <c r="P622" s="12"/>
      <c r="Q622" s="12"/>
      <c r="R622" s="12"/>
      <c r="S622" s="12"/>
      <c r="T622" s="12"/>
      <c r="U622" s="12"/>
      <c r="W622" s="12"/>
      <c r="X622" s="12"/>
      <c r="Y622" s="12"/>
      <c r="Z622" s="12"/>
      <c r="AA622" s="12"/>
    </row>
    <row r="623" spans="1:27" ht="15.75" customHeight="1">
      <c r="A623" s="12"/>
      <c r="B623" s="12"/>
      <c r="C623" s="12"/>
      <c r="D623" s="12"/>
      <c r="E623" s="12"/>
      <c r="F623" s="12"/>
      <c r="G623" s="12"/>
      <c r="H623" s="12"/>
      <c r="I623" s="12"/>
      <c r="J623" s="12"/>
      <c r="K623" s="12"/>
      <c r="L623" s="12"/>
      <c r="M623" s="12"/>
      <c r="N623" s="12"/>
      <c r="O623" s="12"/>
      <c r="P623" s="12"/>
      <c r="Q623" s="12"/>
      <c r="R623" s="12"/>
      <c r="S623" s="12"/>
      <c r="T623" s="12"/>
      <c r="U623" s="12"/>
      <c r="W623" s="12"/>
      <c r="X623" s="12"/>
      <c r="Y623" s="12"/>
      <c r="Z623" s="12"/>
      <c r="AA623" s="12"/>
    </row>
    <row r="624" spans="1:27" ht="15.75" customHeight="1">
      <c r="A624" s="12"/>
      <c r="B624" s="12"/>
      <c r="C624" s="12"/>
      <c r="D624" s="12"/>
      <c r="E624" s="12"/>
      <c r="F624" s="12"/>
      <c r="G624" s="12"/>
      <c r="H624" s="12"/>
      <c r="I624" s="12"/>
      <c r="J624" s="12"/>
      <c r="K624" s="12"/>
      <c r="L624" s="12"/>
      <c r="M624" s="12"/>
      <c r="N624" s="12"/>
      <c r="O624" s="12"/>
      <c r="P624" s="12"/>
      <c r="Q624" s="12"/>
      <c r="R624" s="12"/>
      <c r="S624" s="12"/>
      <c r="T624" s="12"/>
      <c r="U624" s="12"/>
      <c r="W624" s="12"/>
      <c r="X624" s="12"/>
      <c r="Y624" s="12"/>
      <c r="Z624" s="12"/>
      <c r="AA624" s="12"/>
    </row>
    <row r="625" spans="1:27" ht="15.75" customHeight="1">
      <c r="A625" s="12"/>
      <c r="B625" s="12"/>
      <c r="C625" s="12"/>
      <c r="D625" s="12"/>
      <c r="E625" s="12"/>
      <c r="F625" s="12"/>
      <c r="G625" s="12"/>
      <c r="H625" s="12"/>
      <c r="I625" s="12"/>
      <c r="J625" s="12"/>
      <c r="K625" s="12"/>
      <c r="L625" s="12"/>
      <c r="M625" s="12"/>
      <c r="N625" s="12"/>
      <c r="O625" s="12"/>
      <c r="P625" s="12"/>
      <c r="Q625" s="12"/>
      <c r="R625" s="12"/>
      <c r="S625" s="12"/>
      <c r="T625" s="12"/>
      <c r="U625" s="12"/>
      <c r="W625" s="12"/>
      <c r="X625" s="12"/>
      <c r="Y625" s="12"/>
      <c r="Z625" s="12"/>
      <c r="AA625" s="12"/>
    </row>
    <row r="626" spans="1:27" ht="15.75" customHeight="1">
      <c r="A626" s="12"/>
      <c r="B626" s="12"/>
      <c r="C626" s="12"/>
      <c r="D626" s="12"/>
      <c r="E626" s="12"/>
      <c r="F626" s="12"/>
      <c r="G626" s="12"/>
      <c r="H626" s="12"/>
      <c r="I626" s="12"/>
      <c r="J626" s="12"/>
      <c r="K626" s="12"/>
      <c r="L626" s="12"/>
      <c r="M626" s="12"/>
      <c r="N626" s="12"/>
      <c r="O626" s="12"/>
      <c r="P626" s="12"/>
      <c r="Q626" s="12"/>
      <c r="R626" s="12"/>
      <c r="S626" s="12"/>
      <c r="T626" s="12"/>
      <c r="U626" s="12"/>
      <c r="W626" s="12"/>
      <c r="X626" s="12"/>
      <c r="Y626" s="12"/>
      <c r="Z626" s="12"/>
      <c r="AA626" s="12"/>
    </row>
    <row r="627" spans="1:27" ht="15.75" customHeight="1">
      <c r="A627" s="12"/>
      <c r="B627" s="12"/>
      <c r="C627" s="12"/>
      <c r="D627" s="12"/>
      <c r="E627" s="12"/>
      <c r="F627" s="12"/>
      <c r="G627" s="12"/>
      <c r="H627" s="12"/>
      <c r="I627" s="12"/>
      <c r="J627" s="12"/>
      <c r="K627" s="12"/>
      <c r="L627" s="12"/>
      <c r="M627" s="12"/>
      <c r="N627" s="12"/>
      <c r="O627" s="12"/>
      <c r="P627" s="12"/>
      <c r="Q627" s="12"/>
      <c r="R627" s="12"/>
      <c r="S627" s="12"/>
      <c r="T627" s="12"/>
      <c r="U627" s="12"/>
      <c r="W627" s="12"/>
      <c r="X627" s="12"/>
      <c r="Y627" s="12"/>
      <c r="Z627" s="12"/>
      <c r="AA627" s="12"/>
    </row>
    <row r="628" spans="1:27" ht="15.75" customHeight="1">
      <c r="A628" s="12"/>
      <c r="B628" s="12"/>
      <c r="C628" s="12"/>
      <c r="D628" s="12"/>
      <c r="E628" s="12"/>
      <c r="F628" s="12"/>
      <c r="G628" s="12"/>
      <c r="H628" s="12"/>
      <c r="I628" s="12"/>
      <c r="J628" s="12"/>
      <c r="K628" s="12"/>
      <c r="L628" s="12"/>
      <c r="M628" s="12"/>
      <c r="N628" s="12"/>
      <c r="O628" s="12"/>
      <c r="P628" s="12"/>
      <c r="Q628" s="12"/>
      <c r="R628" s="12"/>
      <c r="S628" s="12"/>
      <c r="T628" s="12"/>
      <c r="U628" s="12"/>
      <c r="W628" s="12"/>
      <c r="X628" s="12"/>
      <c r="Y628" s="12"/>
      <c r="Z628" s="12"/>
      <c r="AA628" s="12"/>
    </row>
    <row r="629" spans="1:27" ht="15.75" customHeight="1">
      <c r="A629" s="12"/>
      <c r="B629" s="12"/>
      <c r="C629" s="12"/>
      <c r="D629" s="12"/>
      <c r="E629" s="12"/>
      <c r="F629" s="12"/>
      <c r="G629" s="12"/>
      <c r="H629" s="12"/>
      <c r="I629" s="12"/>
      <c r="J629" s="12"/>
      <c r="K629" s="12"/>
      <c r="L629" s="12"/>
      <c r="M629" s="12"/>
      <c r="N629" s="12"/>
      <c r="O629" s="12"/>
      <c r="P629" s="12"/>
      <c r="Q629" s="12"/>
      <c r="R629" s="12"/>
      <c r="S629" s="12"/>
      <c r="T629" s="12"/>
      <c r="U629" s="12"/>
      <c r="W629" s="12"/>
      <c r="X629" s="12"/>
      <c r="Y629" s="12"/>
      <c r="Z629" s="12"/>
      <c r="AA629" s="12"/>
    </row>
    <row r="630" spans="1:27" ht="15.75" customHeight="1">
      <c r="A630" s="12"/>
      <c r="B630" s="12"/>
      <c r="C630" s="12"/>
      <c r="D630" s="12"/>
      <c r="E630" s="12"/>
      <c r="F630" s="12"/>
      <c r="G630" s="12"/>
      <c r="H630" s="12"/>
      <c r="I630" s="12"/>
      <c r="J630" s="12"/>
      <c r="K630" s="12"/>
      <c r="L630" s="12"/>
      <c r="M630" s="12"/>
      <c r="N630" s="12"/>
      <c r="O630" s="12"/>
      <c r="P630" s="12"/>
      <c r="Q630" s="12"/>
      <c r="R630" s="12"/>
      <c r="S630" s="12"/>
      <c r="T630" s="12"/>
      <c r="U630" s="12"/>
      <c r="W630" s="12"/>
      <c r="X630" s="12"/>
      <c r="Y630" s="12"/>
      <c r="Z630" s="12"/>
      <c r="AA630" s="12"/>
    </row>
    <row r="631" spans="1:27" ht="15.75" customHeight="1">
      <c r="A631" s="12"/>
      <c r="B631" s="12"/>
      <c r="C631" s="12"/>
      <c r="D631" s="12"/>
      <c r="E631" s="12"/>
      <c r="F631" s="12"/>
      <c r="G631" s="12"/>
      <c r="H631" s="12"/>
      <c r="I631" s="12"/>
      <c r="J631" s="12"/>
      <c r="K631" s="12"/>
      <c r="L631" s="12"/>
      <c r="M631" s="12"/>
      <c r="N631" s="12"/>
      <c r="O631" s="12"/>
      <c r="P631" s="12"/>
      <c r="Q631" s="12"/>
      <c r="R631" s="12"/>
      <c r="S631" s="12"/>
      <c r="T631" s="12"/>
      <c r="U631" s="12"/>
      <c r="W631" s="12"/>
      <c r="X631" s="12"/>
      <c r="Y631" s="12"/>
      <c r="Z631" s="12"/>
      <c r="AA631" s="12"/>
    </row>
    <row r="632" spans="1:27" ht="15.75" customHeight="1">
      <c r="A632" s="12"/>
      <c r="B632" s="12"/>
      <c r="C632" s="12"/>
      <c r="D632" s="12"/>
      <c r="E632" s="12"/>
      <c r="F632" s="12"/>
      <c r="G632" s="12"/>
      <c r="H632" s="12"/>
      <c r="I632" s="12"/>
      <c r="J632" s="12"/>
      <c r="K632" s="12"/>
      <c r="L632" s="12"/>
      <c r="M632" s="12"/>
      <c r="N632" s="12"/>
      <c r="O632" s="12"/>
      <c r="P632" s="12"/>
      <c r="Q632" s="12"/>
      <c r="R632" s="12"/>
      <c r="S632" s="12"/>
      <c r="T632" s="12"/>
      <c r="U632" s="12"/>
      <c r="W632" s="12"/>
      <c r="X632" s="12"/>
      <c r="Y632" s="12"/>
      <c r="Z632" s="12"/>
      <c r="AA632" s="12"/>
    </row>
    <row r="633" spans="1:27" ht="15.75" customHeight="1">
      <c r="A633" s="12"/>
      <c r="B633" s="12"/>
      <c r="C633" s="12"/>
      <c r="D633" s="12"/>
      <c r="E633" s="12"/>
      <c r="F633" s="12"/>
      <c r="G633" s="12"/>
      <c r="H633" s="12"/>
      <c r="I633" s="12"/>
      <c r="J633" s="12"/>
      <c r="K633" s="12"/>
      <c r="L633" s="12"/>
      <c r="M633" s="12"/>
      <c r="N633" s="12"/>
      <c r="O633" s="12"/>
      <c r="P633" s="12"/>
      <c r="Q633" s="12"/>
      <c r="R633" s="12"/>
      <c r="S633" s="12"/>
      <c r="T633" s="12"/>
      <c r="U633" s="12"/>
      <c r="W633" s="12"/>
      <c r="X633" s="12"/>
      <c r="Y633" s="12"/>
      <c r="Z633" s="12"/>
      <c r="AA633" s="12"/>
    </row>
    <row r="634" spans="1:27" ht="15.75" customHeight="1">
      <c r="A634" s="12"/>
      <c r="B634" s="12"/>
      <c r="C634" s="12"/>
      <c r="D634" s="12"/>
      <c r="E634" s="12"/>
      <c r="F634" s="12"/>
      <c r="G634" s="12"/>
      <c r="H634" s="12"/>
      <c r="I634" s="12"/>
      <c r="J634" s="12"/>
      <c r="K634" s="12"/>
      <c r="L634" s="12"/>
      <c r="M634" s="12"/>
      <c r="N634" s="12"/>
      <c r="O634" s="12"/>
      <c r="P634" s="12"/>
      <c r="Q634" s="12"/>
      <c r="R634" s="12"/>
      <c r="S634" s="12"/>
      <c r="T634" s="12"/>
      <c r="U634" s="12"/>
      <c r="W634" s="12"/>
      <c r="X634" s="12"/>
      <c r="Y634" s="12"/>
      <c r="Z634" s="12"/>
      <c r="AA634" s="12"/>
    </row>
    <row r="635" spans="1:27" ht="15.75" customHeight="1">
      <c r="A635" s="12"/>
      <c r="B635" s="12"/>
      <c r="C635" s="12"/>
      <c r="D635" s="12"/>
      <c r="E635" s="12"/>
      <c r="F635" s="12"/>
      <c r="G635" s="12"/>
      <c r="H635" s="12"/>
      <c r="I635" s="12"/>
      <c r="J635" s="12"/>
      <c r="K635" s="12"/>
      <c r="L635" s="12"/>
      <c r="M635" s="12"/>
      <c r="N635" s="12"/>
      <c r="O635" s="12"/>
      <c r="P635" s="12"/>
      <c r="Q635" s="12"/>
      <c r="R635" s="12"/>
      <c r="S635" s="12"/>
      <c r="T635" s="12"/>
      <c r="U635" s="12"/>
      <c r="W635" s="12"/>
      <c r="X635" s="12"/>
      <c r="Y635" s="12"/>
      <c r="Z635" s="12"/>
      <c r="AA635" s="12"/>
    </row>
    <row r="636" spans="1:27" ht="15.75" customHeight="1">
      <c r="A636" s="12"/>
      <c r="B636" s="12"/>
      <c r="C636" s="12"/>
      <c r="D636" s="12"/>
      <c r="E636" s="12"/>
      <c r="F636" s="12"/>
      <c r="G636" s="12"/>
      <c r="H636" s="12"/>
      <c r="I636" s="12"/>
      <c r="J636" s="12"/>
      <c r="K636" s="12"/>
      <c r="L636" s="12"/>
      <c r="M636" s="12"/>
      <c r="N636" s="12"/>
      <c r="O636" s="12"/>
      <c r="P636" s="12"/>
      <c r="Q636" s="12"/>
      <c r="R636" s="12"/>
      <c r="S636" s="12"/>
      <c r="T636" s="12"/>
      <c r="U636" s="12"/>
      <c r="W636" s="12"/>
      <c r="X636" s="12"/>
      <c r="Y636" s="12"/>
      <c r="Z636" s="12"/>
      <c r="AA636" s="12"/>
    </row>
    <row r="637" spans="1:27" ht="15.75" customHeight="1">
      <c r="A637" s="12"/>
      <c r="B637" s="12"/>
      <c r="C637" s="12"/>
      <c r="D637" s="12"/>
      <c r="E637" s="12"/>
      <c r="F637" s="12"/>
      <c r="G637" s="12"/>
      <c r="H637" s="12"/>
      <c r="I637" s="12"/>
      <c r="J637" s="12"/>
      <c r="K637" s="12"/>
      <c r="L637" s="12"/>
      <c r="M637" s="12"/>
      <c r="N637" s="12"/>
      <c r="O637" s="12"/>
      <c r="P637" s="12"/>
      <c r="Q637" s="12"/>
      <c r="R637" s="12"/>
      <c r="S637" s="12"/>
      <c r="T637" s="12"/>
      <c r="U637" s="12"/>
      <c r="W637" s="12"/>
      <c r="X637" s="12"/>
      <c r="Y637" s="12"/>
      <c r="Z637" s="12"/>
      <c r="AA637" s="12"/>
    </row>
    <row r="638" spans="1:27" ht="15.75" customHeight="1">
      <c r="A638" s="12"/>
      <c r="B638" s="12"/>
      <c r="C638" s="12"/>
      <c r="D638" s="12"/>
      <c r="E638" s="12"/>
      <c r="F638" s="12"/>
      <c r="G638" s="12"/>
      <c r="H638" s="12"/>
      <c r="I638" s="12"/>
      <c r="J638" s="12"/>
      <c r="K638" s="12"/>
      <c r="L638" s="12"/>
      <c r="M638" s="12"/>
      <c r="N638" s="12"/>
      <c r="O638" s="12"/>
      <c r="P638" s="12"/>
      <c r="Q638" s="12"/>
      <c r="R638" s="12"/>
      <c r="S638" s="12"/>
      <c r="T638" s="12"/>
      <c r="U638" s="12"/>
      <c r="W638" s="12"/>
      <c r="X638" s="12"/>
      <c r="Y638" s="12"/>
      <c r="Z638" s="12"/>
      <c r="AA638" s="12"/>
    </row>
    <row r="639" spans="1:27" ht="15.75" customHeight="1">
      <c r="A639" s="12"/>
      <c r="B639" s="12"/>
      <c r="C639" s="12"/>
      <c r="D639" s="12"/>
      <c r="E639" s="12"/>
      <c r="F639" s="12"/>
      <c r="G639" s="12"/>
      <c r="H639" s="12"/>
      <c r="I639" s="12"/>
      <c r="J639" s="12"/>
      <c r="K639" s="12"/>
      <c r="L639" s="12"/>
      <c r="M639" s="12"/>
      <c r="N639" s="12"/>
      <c r="O639" s="12"/>
      <c r="P639" s="12"/>
      <c r="Q639" s="12"/>
      <c r="R639" s="12"/>
      <c r="S639" s="12"/>
      <c r="T639" s="12"/>
      <c r="U639" s="12"/>
      <c r="W639" s="12"/>
      <c r="X639" s="12"/>
      <c r="Y639" s="12"/>
      <c r="Z639" s="12"/>
      <c r="AA639" s="12"/>
    </row>
    <row r="640" spans="1:27" ht="15.75" customHeight="1">
      <c r="A640" s="12"/>
      <c r="B640" s="12"/>
      <c r="C640" s="12"/>
      <c r="D640" s="12"/>
      <c r="E640" s="12"/>
      <c r="F640" s="12"/>
      <c r="G640" s="12"/>
      <c r="H640" s="12"/>
      <c r="I640" s="12"/>
      <c r="J640" s="12"/>
      <c r="K640" s="12"/>
      <c r="L640" s="12"/>
      <c r="M640" s="12"/>
      <c r="N640" s="12"/>
      <c r="O640" s="12"/>
      <c r="P640" s="12"/>
      <c r="Q640" s="12"/>
      <c r="R640" s="12"/>
      <c r="S640" s="12"/>
      <c r="T640" s="12"/>
      <c r="U640" s="12"/>
      <c r="W640" s="12"/>
      <c r="X640" s="12"/>
      <c r="Y640" s="12"/>
      <c r="Z640" s="12"/>
      <c r="AA640" s="12"/>
    </row>
    <row r="641" spans="1:27" ht="15.75" customHeight="1">
      <c r="A641" s="12"/>
      <c r="B641" s="12"/>
      <c r="C641" s="12"/>
      <c r="D641" s="12"/>
      <c r="E641" s="12"/>
      <c r="F641" s="12"/>
      <c r="G641" s="12"/>
      <c r="H641" s="12"/>
      <c r="I641" s="12"/>
      <c r="J641" s="12"/>
      <c r="K641" s="12"/>
      <c r="L641" s="12"/>
      <c r="M641" s="12"/>
      <c r="N641" s="12"/>
      <c r="O641" s="12"/>
      <c r="P641" s="12"/>
      <c r="Q641" s="12"/>
      <c r="R641" s="12"/>
      <c r="S641" s="12"/>
      <c r="T641" s="12"/>
      <c r="U641" s="12"/>
      <c r="W641" s="12"/>
      <c r="X641" s="12"/>
      <c r="Y641" s="12"/>
      <c r="Z641" s="12"/>
      <c r="AA641" s="12"/>
    </row>
    <row r="642" spans="1:27" ht="15.75" customHeight="1">
      <c r="A642" s="12"/>
      <c r="B642" s="12"/>
      <c r="C642" s="12"/>
      <c r="D642" s="12"/>
      <c r="E642" s="12"/>
      <c r="F642" s="12"/>
      <c r="G642" s="12"/>
      <c r="H642" s="12"/>
      <c r="I642" s="12"/>
      <c r="J642" s="12"/>
      <c r="K642" s="12"/>
      <c r="L642" s="12"/>
      <c r="M642" s="12"/>
      <c r="N642" s="12"/>
      <c r="O642" s="12"/>
      <c r="P642" s="12"/>
      <c r="Q642" s="12"/>
      <c r="R642" s="12"/>
      <c r="S642" s="12"/>
      <c r="T642" s="12"/>
      <c r="U642" s="12"/>
      <c r="W642" s="12"/>
      <c r="X642" s="12"/>
      <c r="Y642" s="12"/>
      <c r="Z642" s="12"/>
      <c r="AA642" s="12"/>
    </row>
    <row r="643" spans="1:27" ht="15.75" customHeight="1">
      <c r="A643" s="12"/>
      <c r="B643" s="12"/>
      <c r="C643" s="12"/>
      <c r="D643" s="12"/>
      <c r="E643" s="12"/>
      <c r="F643" s="12"/>
      <c r="G643" s="12"/>
      <c r="H643" s="12"/>
      <c r="I643" s="12"/>
      <c r="J643" s="12"/>
      <c r="K643" s="12"/>
      <c r="L643" s="12"/>
      <c r="M643" s="12"/>
      <c r="N643" s="12"/>
      <c r="O643" s="12"/>
      <c r="P643" s="12"/>
      <c r="Q643" s="12"/>
      <c r="R643" s="12"/>
      <c r="S643" s="12"/>
      <c r="T643" s="12"/>
      <c r="U643" s="12"/>
      <c r="W643" s="12"/>
      <c r="X643" s="12"/>
      <c r="Y643" s="12"/>
      <c r="Z643" s="12"/>
      <c r="AA643" s="12"/>
    </row>
    <row r="644" spans="1:27" ht="15.75" customHeight="1">
      <c r="A644" s="12"/>
      <c r="B644" s="12"/>
      <c r="C644" s="12"/>
      <c r="D644" s="12"/>
      <c r="E644" s="12"/>
      <c r="F644" s="12"/>
      <c r="G644" s="12"/>
      <c r="H644" s="12"/>
      <c r="I644" s="12"/>
      <c r="J644" s="12"/>
      <c r="K644" s="12"/>
      <c r="L644" s="12"/>
      <c r="M644" s="12"/>
      <c r="N644" s="12"/>
      <c r="O644" s="12"/>
      <c r="P644" s="12"/>
      <c r="Q644" s="12"/>
      <c r="R644" s="12"/>
      <c r="S644" s="12"/>
      <c r="T644" s="12"/>
      <c r="U644" s="12"/>
      <c r="W644" s="12"/>
      <c r="X644" s="12"/>
      <c r="Y644" s="12"/>
      <c r="Z644" s="12"/>
      <c r="AA644" s="12"/>
    </row>
    <row r="645" spans="1:27" ht="15.75" customHeight="1">
      <c r="A645" s="12"/>
      <c r="B645" s="12"/>
      <c r="C645" s="12"/>
      <c r="D645" s="12"/>
      <c r="E645" s="12"/>
      <c r="F645" s="12"/>
      <c r="G645" s="12"/>
      <c r="H645" s="12"/>
      <c r="I645" s="12"/>
      <c r="J645" s="12"/>
      <c r="K645" s="12"/>
      <c r="L645" s="12"/>
      <c r="M645" s="12"/>
      <c r="N645" s="12"/>
      <c r="O645" s="12"/>
      <c r="P645" s="12"/>
      <c r="Q645" s="12"/>
      <c r="R645" s="12"/>
      <c r="S645" s="12"/>
      <c r="T645" s="12"/>
      <c r="U645" s="12"/>
      <c r="W645" s="12"/>
      <c r="X645" s="12"/>
      <c r="Y645" s="12"/>
      <c r="Z645" s="12"/>
      <c r="AA645" s="12"/>
    </row>
    <row r="646" spans="1:27" ht="15.75" customHeight="1">
      <c r="A646" s="12"/>
      <c r="B646" s="12"/>
      <c r="C646" s="12"/>
      <c r="D646" s="12"/>
      <c r="E646" s="12"/>
      <c r="F646" s="12"/>
      <c r="G646" s="12"/>
      <c r="H646" s="12"/>
      <c r="I646" s="12"/>
      <c r="J646" s="12"/>
      <c r="K646" s="12"/>
      <c r="L646" s="12"/>
      <c r="M646" s="12"/>
      <c r="N646" s="12"/>
      <c r="O646" s="12"/>
      <c r="P646" s="12"/>
      <c r="Q646" s="12"/>
      <c r="R646" s="12"/>
      <c r="S646" s="12"/>
      <c r="T646" s="12"/>
      <c r="U646" s="12"/>
      <c r="W646" s="12"/>
      <c r="X646" s="12"/>
      <c r="Y646" s="12"/>
      <c r="Z646" s="12"/>
      <c r="AA646" s="12"/>
    </row>
    <row r="647" spans="1:27" ht="15.75" customHeight="1">
      <c r="A647" s="12"/>
      <c r="B647" s="12"/>
      <c r="C647" s="12"/>
      <c r="D647" s="12"/>
      <c r="E647" s="12"/>
      <c r="F647" s="12"/>
      <c r="G647" s="12"/>
      <c r="H647" s="12"/>
      <c r="I647" s="12"/>
      <c r="J647" s="12"/>
      <c r="K647" s="12"/>
      <c r="L647" s="12"/>
      <c r="M647" s="12"/>
      <c r="N647" s="12"/>
      <c r="O647" s="12"/>
      <c r="P647" s="12"/>
      <c r="Q647" s="12"/>
      <c r="R647" s="12"/>
      <c r="S647" s="12"/>
      <c r="T647" s="12"/>
      <c r="U647" s="12"/>
      <c r="W647" s="12"/>
      <c r="X647" s="12"/>
      <c r="Y647" s="12"/>
      <c r="Z647" s="12"/>
      <c r="AA647" s="12"/>
    </row>
    <row r="648" spans="1:27" ht="15.75" customHeight="1">
      <c r="A648" s="12"/>
      <c r="B648" s="12"/>
      <c r="C648" s="12"/>
      <c r="D648" s="12"/>
      <c r="E648" s="12"/>
      <c r="F648" s="12"/>
      <c r="G648" s="12"/>
      <c r="H648" s="12"/>
      <c r="I648" s="12"/>
      <c r="J648" s="12"/>
      <c r="K648" s="12"/>
      <c r="L648" s="12"/>
      <c r="M648" s="12"/>
      <c r="N648" s="12"/>
      <c r="O648" s="12"/>
      <c r="P648" s="12"/>
      <c r="Q648" s="12"/>
      <c r="R648" s="12"/>
      <c r="S648" s="12"/>
      <c r="T648" s="12"/>
      <c r="U648" s="12"/>
      <c r="W648" s="12"/>
      <c r="X648" s="12"/>
      <c r="Y648" s="12"/>
      <c r="Z648" s="12"/>
      <c r="AA648" s="12"/>
    </row>
    <row r="649" spans="1:27" ht="15.75" customHeight="1">
      <c r="A649" s="12"/>
      <c r="B649" s="12"/>
      <c r="C649" s="12"/>
      <c r="D649" s="12"/>
      <c r="E649" s="12"/>
      <c r="F649" s="12"/>
      <c r="G649" s="12"/>
      <c r="H649" s="12"/>
      <c r="I649" s="12"/>
      <c r="J649" s="12"/>
      <c r="K649" s="12"/>
      <c r="L649" s="12"/>
      <c r="M649" s="12"/>
      <c r="N649" s="12"/>
      <c r="O649" s="12"/>
      <c r="P649" s="12"/>
      <c r="Q649" s="12"/>
      <c r="R649" s="12"/>
      <c r="S649" s="12"/>
      <c r="T649" s="12"/>
      <c r="U649" s="12"/>
      <c r="W649" s="12"/>
      <c r="X649" s="12"/>
      <c r="Y649" s="12"/>
      <c r="Z649" s="12"/>
      <c r="AA649" s="12"/>
    </row>
    <row r="650" spans="1:27" ht="15.75" customHeight="1">
      <c r="A650" s="12"/>
      <c r="B650" s="12"/>
      <c r="C650" s="12"/>
      <c r="D650" s="12"/>
      <c r="E650" s="12"/>
      <c r="F650" s="12"/>
      <c r="G650" s="12"/>
      <c r="H650" s="12"/>
      <c r="I650" s="12"/>
      <c r="J650" s="12"/>
      <c r="K650" s="12"/>
      <c r="L650" s="12"/>
      <c r="M650" s="12"/>
      <c r="N650" s="12"/>
      <c r="O650" s="12"/>
      <c r="P650" s="12"/>
      <c r="Q650" s="12"/>
      <c r="R650" s="12"/>
      <c r="S650" s="12"/>
      <c r="T650" s="12"/>
      <c r="U650" s="12"/>
      <c r="W650" s="12"/>
      <c r="X650" s="12"/>
      <c r="Y650" s="12"/>
      <c r="Z650" s="12"/>
      <c r="AA650" s="12"/>
    </row>
    <row r="651" spans="1:27" ht="15.75" customHeight="1">
      <c r="A651" s="12"/>
      <c r="B651" s="12"/>
      <c r="C651" s="12"/>
      <c r="D651" s="12"/>
      <c r="E651" s="12"/>
      <c r="F651" s="12"/>
      <c r="G651" s="12"/>
      <c r="H651" s="12"/>
      <c r="I651" s="12"/>
      <c r="J651" s="12"/>
      <c r="K651" s="12"/>
      <c r="L651" s="12"/>
      <c r="M651" s="12"/>
      <c r="N651" s="12"/>
      <c r="O651" s="12"/>
      <c r="P651" s="12"/>
      <c r="Q651" s="12"/>
      <c r="R651" s="12"/>
      <c r="S651" s="12"/>
      <c r="T651" s="12"/>
      <c r="U651" s="12"/>
      <c r="W651" s="12"/>
      <c r="X651" s="12"/>
      <c r="Y651" s="12"/>
      <c r="Z651" s="12"/>
      <c r="AA651" s="12"/>
    </row>
    <row r="652" spans="1:27" ht="15.75" customHeight="1">
      <c r="A652" s="12"/>
      <c r="B652" s="12"/>
      <c r="C652" s="12"/>
      <c r="D652" s="12"/>
      <c r="E652" s="12"/>
      <c r="F652" s="12"/>
      <c r="G652" s="12"/>
      <c r="H652" s="12"/>
      <c r="I652" s="12"/>
      <c r="J652" s="12"/>
      <c r="K652" s="12"/>
      <c r="L652" s="12"/>
      <c r="M652" s="12"/>
      <c r="N652" s="12"/>
      <c r="O652" s="12"/>
      <c r="P652" s="12"/>
      <c r="Q652" s="12"/>
      <c r="R652" s="12"/>
      <c r="S652" s="12"/>
      <c r="T652" s="12"/>
      <c r="U652" s="12"/>
      <c r="W652" s="12"/>
      <c r="X652" s="12"/>
      <c r="Y652" s="12"/>
      <c r="Z652" s="12"/>
      <c r="AA652" s="12"/>
    </row>
    <row r="653" spans="1:27" ht="15.75" customHeight="1">
      <c r="A653" s="12"/>
      <c r="B653" s="12"/>
      <c r="C653" s="12"/>
      <c r="D653" s="12"/>
      <c r="E653" s="12"/>
      <c r="F653" s="12"/>
      <c r="G653" s="12"/>
      <c r="H653" s="12"/>
      <c r="I653" s="12"/>
      <c r="J653" s="12"/>
      <c r="K653" s="12"/>
      <c r="L653" s="12"/>
      <c r="M653" s="12"/>
      <c r="N653" s="12"/>
      <c r="O653" s="12"/>
      <c r="P653" s="12"/>
      <c r="Q653" s="12"/>
      <c r="R653" s="12"/>
      <c r="S653" s="12"/>
      <c r="T653" s="12"/>
      <c r="U653" s="12"/>
      <c r="W653" s="12"/>
      <c r="X653" s="12"/>
      <c r="Y653" s="12"/>
      <c r="Z653" s="12"/>
      <c r="AA653" s="12"/>
    </row>
    <row r="654" spans="1:27" ht="15.75" customHeight="1">
      <c r="A654" s="12"/>
      <c r="B654" s="12"/>
      <c r="C654" s="12"/>
      <c r="D654" s="12"/>
      <c r="E654" s="12"/>
      <c r="F654" s="12"/>
      <c r="G654" s="12"/>
      <c r="H654" s="12"/>
      <c r="I654" s="12"/>
      <c r="J654" s="12"/>
      <c r="K654" s="12"/>
      <c r="L654" s="12"/>
      <c r="M654" s="12"/>
      <c r="N654" s="12"/>
      <c r="O654" s="12"/>
      <c r="P654" s="12"/>
      <c r="Q654" s="12"/>
      <c r="R654" s="12"/>
      <c r="S654" s="12"/>
      <c r="T654" s="12"/>
      <c r="U654" s="12"/>
      <c r="W654" s="12"/>
      <c r="X654" s="12"/>
      <c r="Y654" s="12"/>
      <c r="Z654" s="12"/>
      <c r="AA654" s="12"/>
    </row>
    <row r="655" spans="1:27" ht="15.75" customHeight="1">
      <c r="A655" s="12"/>
      <c r="B655" s="12"/>
      <c r="C655" s="12"/>
      <c r="D655" s="12"/>
      <c r="E655" s="12"/>
      <c r="F655" s="12"/>
      <c r="G655" s="12"/>
      <c r="H655" s="12"/>
      <c r="I655" s="12"/>
      <c r="J655" s="12"/>
      <c r="K655" s="12"/>
      <c r="L655" s="12"/>
      <c r="M655" s="12"/>
      <c r="N655" s="12"/>
      <c r="O655" s="12"/>
      <c r="P655" s="12"/>
      <c r="Q655" s="12"/>
      <c r="R655" s="12"/>
      <c r="S655" s="12"/>
      <c r="T655" s="12"/>
      <c r="U655" s="12"/>
      <c r="W655" s="12"/>
      <c r="X655" s="12"/>
      <c r="Y655" s="12"/>
      <c r="Z655" s="12"/>
      <c r="AA655" s="12"/>
    </row>
    <row r="656" spans="1:27" ht="15.75" customHeight="1">
      <c r="A656" s="12"/>
      <c r="B656" s="12"/>
      <c r="C656" s="12"/>
      <c r="D656" s="12"/>
      <c r="E656" s="12"/>
      <c r="F656" s="12"/>
      <c r="G656" s="12"/>
      <c r="H656" s="12"/>
      <c r="I656" s="12"/>
      <c r="J656" s="12"/>
      <c r="K656" s="12"/>
      <c r="L656" s="12"/>
      <c r="M656" s="12"/>
      <c r="N656" s="12"/>
      <c r="O656" s="12"/>
      <c r="P656" s="12"/>
      <c r="Q656" s="12"/>
      <c r="R656" s="12"/>
      <c r="S656" s="12"/>
      <c r="T656" s="12"/>
      <c r="U656" s="12"/>
      <c r="W656" s="12"/>
      <c r="X656" s="12"/>
      <c r="Y656" s="12"/>
      <c r="Z656" s="12"/>
      <c r="AA656" s="12"/>
    </row>
    <row r="657" spans="1:27" ht="15.75" customHeight="1">
      <c r="A657" s="12"/>
      <c r="B657" s="12"/>
      <c r="C657" s="12"/>
      <c r="D657" s="12"/>
      <c r="E657" s="12"/>
      <c r="F657" s="12"/>
      <c r="G657" s="12"/>
      <c r="H657" s="12"/>
      <c r="I657" s="12"/>
      <c r="J657" s="12"/>
      <c r="K657" s="12"/>
      <c r="L657" s="12"/>
      <c r="M657" s="12"/>
      <c r="N657" s="12"/>
      <c r="O657" s="12"/>
      <c r="P657" s="12"/>
      <c r="Q657" s="12"/>
      <c r="R657" s="12"/>
      <c r="S657" s="12"/>
      <c r="T657" s="12"/>
      <c r="U657" s="12"/>
      <c r="W657" s="12"/>
      <c r="X657" s="12"/>
      <c r="Y657" s="12"/>
      <c r="Z657" s="12"/>
      <c r="AA657" s="12"/>
    </row>
    <row r="658" spans="1:27" ht="15.75" customHeight="1">
      <c r="A658" s="12"/>
      <c r="B658" s="12"/>
      <c r="C658" s="12"/>
      <c r="D658" s="12"/>
      <c r="E658" s="12"/>
      <c r="F658" s="12"/>
      <c r="G658" s="12"/>
      <c r="H658" s="12"/>
      <c r="I658" s="12"/>
      <c r="J658" s="12"/>
      <c r="K658" s="12"/>
      <c r="L658" s="12"/>
      <c r="M658" s="12"/>
      <c r="N658" s="12"/>
      <c r="O658" s="12"/>
      <c r="P658" s="12"/>
      <c r="Q658" s="12"/>
      <c r="R658" s="12"/>
      <c r="S658" s="12"/>
      <c r="T658" s="12"/>
      <c r="U658" s="12"/>
      <c r="W658" s="12"/>
      <c r="X658" s="12"/>
      <c r="Y658" s="12"/>
      <c r="Z658" s="12"/>
      <c r="AA658" s="12"/>
    </row>
    <row r="659" spans="1:27" ht="15.75" customHeight="1">
      <c r="A659" s="12"/>
      <c r="B659" s="12"/>
      <c r="C659" s="12"/>
      <c r="D659" s="12"/>
      <c r="E659" s="12"/>
      <c r="F659" s="12"/>
      <c r="G659" s="12"/>
      <c r="H659" s="12"/>
      <c r="I659" s="12"/>
      <c r="J659" s="12"/>
      <c r="K659" s="12"/>
      <c r="L659" s="12"/>
      <c r="M659" s="12"/>
      <c r="N659" s="12"/>
      <c r="O659" s="12"/>
      <c r="P659" s="12"/>
      <c r="Q659" s="12"/>
      <c r="R659" s="12"/>
      <c r="S659" s="12"/>
      <c r="T659" s="12"/>
      <c r="U659" s="12"/>
      <c r="W659" s="12"/>
      <c r="X659" s="12"/>
      <c r="Y659" s="12"/>
      <c r="Z659" s="12"/>
      <c r="AA659" s="12"/>
    </row>
    <row r="660" spans="1:27" ht="15.75" customHeight="1">
      <c r="A660" s="12"/>
      <c r="B660" s="12"/>
      <c r="C660" s="12"/>
      <c r="D660" s="12"/>
      <c r="E660" s="12"/>
      <c r="F660" s="12"/>
      <c r="G660" s="12"/>
      <c r="H660" s="12"/>
      <c r="I660" s="12"/>
      <c r="J660" s="12"/>
      <c r="K660" s="12"/>
      <c r="L660" s="12"/>
      <c r="M660" s="12"/>
      <c r="N660" s="12"/>
      <c r="O660" s="12"/>
      <c r="P660" s="12"/>
      <c r="Q660" s="12"/>
      <c r="R660" s="12"/>
      <c r="S660" s="12"/>
      <c r="T660" s="12"/>
      <c r="U660" s="12"/>
      <c r="W660" s="12"/>
      <c r="X660" s="12"/>
      <c r="Y660" s="12"/>
      <c r="Z660" s="12"/>
      <c r="AA660" s="12"/>
    </row>
    <row r="661" spans="1:27" ht="15.75" customHeight="1">
      <c r="A661" s="12"/>
      <c r="B661" s="12"/>
      <c r="C661" s="12"/>
      <c r="D661" s="12"/>
      <c r="E661" s="12"/>
      <c r="F661" s="12"/>
      <c r="G661" s="12"/>
      <c r="H661" s="12"/>
      <c r="I661" s="12"/>
      <c r="J661" s="12"/>
      <c r="K661" s="12"/>
      <c r="L661" s="12"/>
      <c r="M661" s="12"/>
      <c r="N661" s="12"/>
      <c r="O661" s="12"/>
      <c r="P661" s="12"/>
      <c r="Q661" s="12"/>
      <c r="R661" s="12"/>
      <c r="S661" s="12"/>
      <c r="T661" s="12"/>
      <c r="U661" s="12"/>
      <c r="W661" s="12"/>
      <c r="X661" s="12"/>
      <c r="Y661" s="12"/>
      <c r="Z661" s="12"/>
      <c r="AA661" s="12"/>
    </row>
    <row r="662" spans="1:27" ht="15.75" customHeight="1">
      <c r="A662" s="12"/>
      <c r="B662" s="12"/>
      <c r="C662" s="12"/>
      <c r="D662" s="12"/>
      <c r="E662" s="12"/>
      <c r="F662" s="12"/>
      <c r="G662" s="12"/>
      <c r="H662" s="12"/>
      <c r="I662" s="12"/>
      <c r="J662" s="12"/>
      <c r="K662" s="12"/>
      <c r="L662" s="12"/>
      <c r="M662" s="12"/>
      <c r="N662" s="12"/>
      <c r="O662" s="12"/>
      <c r="P662" s="12"/>
      <c r="Q662" s="12"/>
      <c r="R662" s="12"/>
      <c r="S662" s="12"/>
      <c r="T662" s="12"/>
      <c r="U662" s="12"/>
      <c r="W662" s="12"/>
      <c r="X662" s="12"/>
      <c r="Y662" s="12"/>
      <c r="Z662" s="12"/>
      <c r="AA662" s="12"/>
    </row>
    <row r="663" spans="1:27" ht="15.75" customHeight="1">
      <c r="A663" s="12"/>
      <c r="B663" s="12"/>
      <c r="C663" s="12"/>
      <c r="D663" s="12"/>
      <c r="E663" s="12"/>
      <c r="F663" s="12"/>
      <c r="G663" s="12"/>
      <c r="H663" s="12"/>
      <c r="I663" s="12"/>
      <c r="J663" s="12"/>
      <c r="K663" s="12"/>
      <c r="L663" s="12"/>
      <c r="M663" s="12"/>
      <c r="N663" s="12"/>
      <c r="O663" s="12"/>
      <c r="P663" s="12"/>
      <c r="Q663" s="12"/>
      <c r="R663" s="12"/>
      <c r="S663" s="12"/>
      <c r="T663" s="12"/>
      <c r="U663" s="12"/>
      <c r="W663" s="12"/>
      <c r="X663" s="12"/>
      <c r="Y663" s="12"/>
      <c r="Z663" s="12"/>
      <c r="AA663" s="12"/>
    </row>
    <row r="664" spans="1:27" ht="15.75" customHeight="1">
      <c r="A664" s="12"/>
      <c r="B664" s="12"/>
      <c r="C664" s="12"/>
      <c r="D664" s="12"/>
      <c r="E664" s="12"/>
      <c r="F664" s="12"/>
      <c r="G664" s="12"/>
      <c r="H664" s="12"/>
      <c r="I664" s="12"/>
      <c r="J664" s="12"/>
      <c r="K664" s="12"/>
      <c r="L664" s="12"/>
      <c r="M664" s="12"/>
      <c r="N664" s="12"/>
      <c r="O664" s="12"/>
      <c r="P664" s="12"/>
      <c r="Q664" s="12"/>
      <c r="R664" s="12"/>
      <c r="S664" s="12"/>
      <c r="T664" s="12"/>
      <c r="U664" s="12"/>
      <c r="W664" s="12"/>
      <c r="X664" s="12"/>
      <c r="Y664" s="12"/>
      <c r="Z664" s="12"/>
      <c r="AA664" s="12"/>
    </row>
    <row r="665" spans="1:27" ht="15.75" customHeight="1">
      <c r="A665" s="12"/>
      <c r="B665" s="12"/>
      <c r="C665" s="12"/>
      <c r="D665" s="12"/>
      <c r="E665" s="12"/>
      <c r="F665" s="12"/>
      <c r="G665" s="12"/>
      <c r="H665" s="12"/>
      <c r="I665" s="12"/>
      <c r="J665" s="12"/>
      <c r="K665" s="12"/>
      <c r="L665" s="12"/>
      <c r="M665" s="12"/>
      <c r="N665" s="12"/>
      <c r="O665" s="12"/>
      <c r="P665" s="12"/>
      <c r="Q665" s="12"/>
      <c r="R665" s="12"/>
      <c r="S665" s="12"/>
      <c r="T665" s="12"/>
      <c r="U665" s="12"/>
      <c r="W665" s="12"/>
      <c r="X665" s="12"/>
      <c r="Y665" s="12"/>
      <c r="Z665" s="12"/>
      <c r="AA665" s="12"/>
    </row>
    <row r="666" spans="1:27" ht="15.75" customHeight="1">
      <c r="A666" s="12"/>
      <c r="B666" s="12"/>
      <c r="C666" s="12"/>
      <c r="D666" s="12"/>
      <c r="E666" s="12"/>
      <c r="F666" s="12"/>
      <c r="G666" s="12"/>
      <c r="H666" s="12"/>
      <c r="I666" s="12"/>
      <c r="J666" s="12"/>
      <c r="K666" s="12"/>
      <c r="L666" s="12"/>
      <c r="M666" s="12"/>
      <c r="N666" s="12"/>
      <c r="O666" s="12"/>
      <c r="P666" s="12"/>
      <c r="Q666" s="12"/>
      <c r="R666" s="12"/>
      <c r="S666" s="12"/>
      <c r="T666" s="12"/>
      <c r="U666" s="12"/>
      <c r="W666" s="12"/>
      <c r="X666" s="12"/>
      <c r="Y666" s="12"/>
      <c r="Z666" s="12"/>
      <c r="AA666" s="12"/>
    </row>
    <row r="667" spans="1:27" ht="15.75" customHeight="1">
      <c r="A667" s="12"/>
      <c r="B667" s="12"/>
      <c r="C667" s="12"/>
      <c r="D667" s="12"/>
      <c r="E667" s="12"/>
      <c r="F667" s="12"/>
      <c r="G667" s="12"/>
      <c r="H667" s="12"/>
      <c r="I667" s="12"/>
      <c r="J667" s="12"/>
      <c r="K667" s="12"/>
      <c r="L667" s="12"/>
      <c r="M667" s="12"/>
      <c r="N667" s="12"/>
      <c r="O667" s="12"/>
      <c r="P667" s="12"/>
      <c r="Q667" s="12"/>
      <c r="R667" s="12"/>
      <c r="S667" s="12"/>
      <c r="T667" s="12"/>
      <c r="U667" s="12"/>
      <c r="W667" s="12"/>
      <c r="X667" s="12"/>
      <c r="Y667" s="12"/>
      <c r="Z667" s="12"/>
      <c r="AA667" s="12"/>
    </row>
    <row r="668" spans="1:27" ht="15.75" customHeight="1">
      <c r="A668" s="12"/>
      <c r="B668" s="12"/>
      <c r="C668" s="12"/>
      <c r="D668" s="12"/>
      <c r="E668" s="12"/>
      <c r="F668" s="12"/>
      <c r="G668" s="12"/>
      <c r="H668" s="12"/>
      <c r="I668" s="12"/>
      <c r="J668" s="12"/>
      <c r="K668" s="12"/>
      <c r="L668" s="12"/>
      <c r="M668" s="12"/>
      <c r="N668" s="12"/>
      <c r="O668" s="12"/>
      <c r="P668" s="12"/>
      <c r="Q668" s="12"/>
      <c r="R668" s="12"/>
      <c r="S668" s="12"/>
      <c r="T668" s="12"/>
      <c r="U668" s="12"/>
      <c r="W668" s="12"/>
      <c r="X668" s="12"/>
      <c r="Y668" s="12"/>
      <c r="Z668" s="12"/>
      <c r="AA668" s="12"/>
    </row>
    <row r="669" spans="1:27" ht="15.75" customHeight="1">
      <c r="A669" s="12"/>
      <c r="B669" s="12"/>
      <c r="C669" s="12"/>
      <c r="D669" s="12"/>
      <c r="E669" s="12"/>
      <c r="F669" s="12"/>
      <c r="G669" s="12"/>
      <c r="H669" s="12"/>
      <c r="I669" s="12"/>
      <c r="J669" s="12"/>
      <c r="K669" s="12"/>
      <c r="L669" s="12"/>
      <c r="M669" s="12"/>
      <c r="N669" s="12"/>
      <c r="O669" s="12"/>
      <c r="P669" s="12"/>
      <c r="Q669" s="12"/>
      <c r="R669" s="12"/>
      <c r="S669" s="12"/>
      <c r="T669" s="12"/>
      <c r="U669" s="12"/>
      <c r="W669" s="12"/>
      <c r="X669" s="12"/>
      <c r="Y669" s="12"/>
      <c r="Z669" s="12"/>
      <c r="AA669" s="12"/>
    </row>
    <row r="670" spans="1:27" ht="15.75" customHeight="1">
      <c r="A670" s="12"/>
      <c r="B670" s="12"/>
      <c r="C670" s="12"/>
      <c r="D670" s="12"/>
      <c r="E670" s="12"/>
      <c r="F670" s="12"/>
      <c r="G670" s="12"/>
      <c r="H670" s="12"/>
      <c r="I670" s="12"/>
      <c r="J670" s="12"/>
      <c r="K670" s="12"/>
      <c r="L670" s="12"/>
      <c r="M670" s="12"/>
      <c r="N670" s="12"/>
      <c r="O670" s="12"/>
      <c r="P670" s="12"/>
      <c r="Q670" s="12"/>
      <c r="R670" s="12"/>
      <c r="S670" s="12"/>
      <c r="T670" s="12"/>
      <c r="U670" s="12"/>
      <c r="W670" s="12"/>
      <c r="X670" s="12"/>
      <c r="Y670" s="12"/>
      <c r="Z670" s="12"/>
      <c r="AA670" s="12"/>
    </row>
    <row r="671" spans="1:27" ht="15.75" customHeight="1">
      <c r="A671" s="12"/>
      <c r="B671" s="12"/>
      <c r="C671" s="12"/>
      <c r="D671" s="12"/>
      <c r="E671" s="12"/>
      <c r="F671" s="12"/>
      <c r="G671" s="12"/>
      <c r="H671" s="12"/>
      <c r="I671" s="12"/>
      <c r="J671" s="12"/>
      <c r="K671" s="12"/>
      <c r="L671" s="12"/>
      <c r="M671" s="12"/>
      <c r="N671" s="12"/>
      <c r="O671" s="12"/>
      <c r="P671" s="12"/>
      <c r="Q671" s="12"/>
      <c r="R671" s="12"/>
      <c r="S671" s="12"/>
      <c r="T671" s="12"/>
      <c r="U671" s="12"/>
      <c r="W671" s="12"/>
      <c r="X671" s="12"/>
      <c r="Y671" s="12"/>
      <c r="Z671" s="12"/>
      <c r="AA671" s="12"/>
    </row>
    <row r="672" spans="1:27" ht="15.75" customHeight="1">
      <c r="A672" s="12"/>
      <c r="B672" s="12"/>
      <c r="C672" s="12"/>
      <c r="D672" s="12"/>
      <c r="E672" s="12"/>
      <c r="F672" s="12"/>
      <c r="G672" s="12"/>
      <c r="H672" s="12"/>
      <c r="I672" s="12"/>
      <c r="J672" s="12"/>
      <c r="K672" s="12"/>
      <c r="L672" s="12"/>
      <c r="M672" s="12"/>
      <c r="N672" s="12"/>
      <c r="O672" s="12"/>
      <c r="P672" s="12"/>
      <c r="Q672" s="12"/>
      <c r="R672" s="12"/>
      <c r="S672" s="12"/>
      <c r="T672" s="12"/>
      <c r="U672" s="12"/>
      <c r="W672" s="12"/>
      <c r="X672" s="12"/>
      <c r="Y672" s="12"/>
      <c r="Z672" s="12"/>
      <c r="AA672" s="12"/>
    </row>
    <row r="673" spans="1:27" ht="15.75" customHeight="1">
      <c r="A673" s="12"/>
      <c r="B673" s="12"/>
      <c r="C673" s="12"/>
      <c r="D673" s="12"/>
      <c r="E673" s="12"/>
      <c r="F673" s="12"/>
      <c r="G673" s="12"/>
      <c r="H673" s="12"/>
      <c r="I673" s="12"/>
      <c r="J673" s="12"/>
      <c r="K673" s="12"/>
      <c r="L673" s="12"/>
      <c r="M673" s="12"/>
      <c r="N673" s="12"/>
      <c r="O673" s="12"/>
      <c r="P673" s="12"/>
      <c r="Q673" s="12"/>
      <c r="R673" s="12"/>
      <c r="S673" s="12"/>
      <c r="T673" s="12"/>
      <c r="U673" s="12"/>
      <c r="W673" s="12"/>
      <c r="X673" s="12"/>
      <c r="Y673" s="12"/>
      <c r="Z673" s="12"/>
      <c r="AA673" s="12"/>
    </row>
    <row r="674" spans="1:27" ht="15.75" customHeight="1">
      <c r="A674" s="12"/>
      <c r="B674" s="12"/>
      <c r="C674" s="12"/>
      <c r="D674" s="12"/>
      <c r="E674" s="12"/>
      <c r="F674" s="12"/>
      <c r="G674" s="12"/>
      <c r="H674" s="12"/>
      <c r="I674" s="12"/>
      <c r="J674" s="12"/>
      <c r="K674" s="12"/>
      <c r="L674" s="12"/>
      <c r="M674" s="12"/>
      <c r="N674" s="12"/>
      <c r="O674" s="12"/>
      <c r="P674" s="12"/>
      <c r="Q674" s="12"/>
      <c r="R674" s="12"/>
      <c r="S674" s="12"/>
      <c r="T674" s="12"/>
      <c r="U674" s="12"/>
      <c r="W674" s="12"/>
      <c r="X674" s="12"/>
      <c r="Y674" s="12"/>
      <c r="Z674" s="12"/>
      <c r="AA674" s="12"/>
    </row>
    <row r="675" spans="1:27" ht="15.75" customHeight="1">
      <c r="A675" s="12"/>
      <c r="B675" s="12"/>
      <c r="C675" s="12"/>
      <c r="D675" s="12"/>
      <c r="E675" s="12"/>
      <c r="F675" s="12"/>
      <c r="G675" s="12"/>
      <c r="H675" s="12"/>
      <c r="I675" s="12"/>
      <c r="J675" s="12"/>
      <c r="K675" s="12"/>
      <c r="L675" s="12"/>
      <c r="M675" s="12"/>
      <c r="N675" s="12"/>
      <c r="O675" s="12"/>
      <c r="P675" s="12"/>
      <c r="Q675" s="12"/>
      <c r="R675" s="12"/>
      <c r="S675" s="12"/>
      <c r="T675" s="12"/>
      <c r="U675" s="12"/>
      <c r="W675" s="12"/>
      <c r="X675" s="12"/>
      <c r="Y675" s="12"/>
      <c r="Z675" s="12"/>
      <c r="AA675" s="12"/>
    </row>
    <row r="676" spans="1:27" ht="15.75" customHeight="1">
      <c r="A676" s="12"/>
      <c r="B676" s="12"/>
      <c r="C676" s="12"/>
      <c r="D676" s="12"/>
      <c r="E676" s="12"/>
      <c r="F676" s="12"/>
      <c r="G676" s="12"/>
      <c r="H676" s="12"/>
      <c r="I676" s="12"/>
      <c r="J676" s="12"/>
      <c r="K676" s="12"/>
      <c r="L676" s="12"/>
      <c r="M676" s="12"/>
      <c r="N676" s="12"/>
      <c r="O676" s="12"/>
      <c r="P676" s="12"/>
      <c r="Q676" s="12"/>
      <c r="R676" s="12"/>
      <c r="S676" s="12"/>
      <c r="T676" s="12"/>
      <c r="U676" s="12"/>
      <c r="W676" s="12"/>
      <c r="X676" s="12"/>
      <c r="Y676" s="12"/>
      <c r="Z676" s="12"/>
      <c r="AA676" s="12"/>
    </row>
    <row r="677" spans="1:27" ht="15.75" customHeight="1">
      <c r="A677" s="12"/>
      <c r="B677" s="12"/>
      <c r="C677" s="12"/>
      <c r="D677" s="12"/>
      <c r="E677" s="12"/>
      <c r="F677" s="12"/>
      <c r="G677" s="12"/>
      <c r="H677" s="12"/>
      <c r="I677" s="12"/>
      <c r="J677" s="12"/>
      <c r="K677" s="12"/>
      <c r="L677" s="12"/>
      <c r="M677" s="12"/>
      <c r="N677" s="12"/>
      <c r="O677" s="12"/>
      <c r="P677" s="12"/>
      <c r="Q677" s="12"/>
      <c r="R677" s="12"/>
      <c r="S677" s="12"/>
      <c r="T677" s="12"/>
      <c r="U677" s="12"/>
      <c r="W677" s="12"/>
      <c r="X677" s="12"/>
      <c r="Y677" s="12"/>
      <c r="Z677" s="12"/>
      <c r="AA677" s="12"/>
    </row>
    <row r="678" spans="1:27" ht="15.75" customHeight="1">
      <c r="A678" s="12"/>
      <c r="B678" s="12"/>
      <c r="C678" s="12"/>
      <c r="D678" s="12"/>
      <c r="E678" s="12"/>
      <c r="F678" s="12"/>
      <c r="G678" s="12"/>
      <c r="H678" s="12"/>
      <c r="I678" s="12"/>
      <c r="J678" s="12"/>
      <c r="K678" s="12"/>
      <c r="L678" s="12"/>
      <c r="M678" s="12"/>
      <c r="N678" s="12"/>
      <c r="O678" s="12"/>
      <c r="P678" s="12"/>
      <c r="Q678" s="12"/>
      <c r="R678" s="12"/>
      <c r="S678" s="12"/>
      <c r="T678" s="12"/>
      <c r="U678" s="12"/>
      <c r="W678" s="12"/>
      <c r="X678" s="12"/>
      <c r="Y678" s="12"/>
      <c r="Z678" s="12"/>
      <c r="AA678" s="12"/>
    </row>
    <row r="679" spans="1:27" ht="15.75" customHeight="1">
      <c r="A679" s="12"/>
      <c r="B679" s="12"/>
      <c r="C679" s="12"/>
      <c r="D679" s="12"/>
      <c r="E679" s="12"/>
      <c r="F679" s="12"/>
      <c r="G679" s="12"/>
      <c r="H679" s="12"/>
      <c r="I679" s="12"/>
      <c r="J679" s="12"/>
      <c r="K679" s="12"/>
      <c r="L679" s="12"/>
      <c r="M679" s="12"/>
      <c r="N679" s="12"/>
      <c r="O679" s="12"/>
      <c r="P679" s="12"/>
      <c r="Q679" s="12"/>
      <c r="R679" s="12"/>
      <c r="S679" s="12"/>
      <c r="T679" s="12"/>
      <c r="U679" s="12"/>
      <c r="W679" s="12"/>
      <c r="X679" s="12"/>
      <c r="Y679" s="12"/>
      <c r="Z679" s="12"/>
      <c r="AA679" s="12"/>
    </row>
    <row r="680" spans="1:27" ht="15.75" customHeight="1">
      <c r="A680" s="12"/>
      <c r="B680" s="12"/>
      <c r="C680" s="12"/>
      <c r="D680" s="12"/>
      <c r="E680" s="12"/>
      <c r="F680" s="12"/>
      <c r="G680" s="12"/>
      <c r="H680" s="12"/>
      <c r="I680" s="12"/>
      <c r="J680" s="12"/>
      <c r="K680" s="12"/>
      <c r="L680" s="12"/>
      <c r="M680" s="12"/>
      <c r="N680" s="12"/>
      <c r="O680" s="12"/>
      <c r="P680" s="12"/>
      <c r="Q680" s="12"/>
      <c r="R680" s="12"/>
      <c r="S680" s="12"/>
      <c r="T680" s="12"/>
      <c r="U680" s="12"/>
      <c r="W680" s="12"/>
      <c r="X680" s="12"/>
      <c r="Y680" s="12"/>
      <c r="Z680" s="12"/>
      <c r="AA680" s="12"/>
    </row>
    <row r="681" spans="1:27" ht="15.75" customHeight="1">
      <c r="A681" s="12"/>
      <c r="B681" s="12"/>
      <c r="C681" s="12"/>
      <c r="D681" s="12"/>
      <c r="E681" s="12"/>
      <c r="F681" s="12"/>
      <c r="G681" s="12"/>
      <c r="H681" s="12"/>
      <c r="I681" s="12"/>
      <c r="J681" s="12"/>
      <c r="K681" s="12"/>
      <c r="L681" s="12"/>
      <c r="M681" s="12"/>
      <c r="N681" s="12"/>
      <c r="O681" s="12"/>
      <c r="P681" s="12"/>
      <c r="Q681" s="12"/>
      <c r="R681" s="12"/>
      <c r="S681" s="12"/>
      <c r="T681" s="12"/>
      <c r="U681" s="12"/>
      <c r="W681" s="12"/>
      <c r="X681" s="12"/>
      <c r="Y681" s="12"/>
      <c r="Z681" s="12"/>
      <c r="AA681" s="12"/>
    </row>
    <row r="682" spans="1:27" ht="15.75" customHeight="1">
      <c r="A682" s="12"/>
      <c r="B682" s="12"/>
      <c r="C682" s="12"/>
      <c r="D682" s="12"/>
      <c r="E682" s="12"/>
      <c r="F682" s="12"/>
      <c r="G682" s="12"/>
      <c r="H682" s="12"/>
      <c r="I682" s="12"/>
      <c r="J682" s="12"/>
      <c r="K682" s="12"/>
      <c r="L682" s="12"/>
      <c r="M682" s="12"/>
      <c r="N682" s="12"/>
      <c r="O682" s="12"/>
      <c r="P682" s="12"/>
      <c r="Q682" s="12"/>
      <c r="R682" s="12"/>
      <c r="S682" s="12"/>
      <c r="T682" s="12"/>
      <c r="U682" s="12"/>
      <c r="W682" s="12"/>
      <c r="X682" s="12"/>
      <c r="Y682" s="12"/>
      <c r="Z682" s="12"/>
      <c r="AA682" s="12"/>
    </row>
    <row r="683" spans="1:27" ht="15.75" customHeight="1">
      <c r="A683" s="12"/>
      <c r="B683" s="12"/>
      <c r="C683" s="12"/>
      <c r="D683" s="12"/>
      <c r="E683" s="12"/>
      <c r="F683" s="12"/>
      <c r="G683" s="12"/>
      <c r="H683" s="12"/>
      <c r="I683" s="12"/>
      <c r="J683" s="12"/>
      <c r="K683" s="12"/>
      <c r="L683" s="12"/>
      <c r="M683" s="12"/>
      <c r="N683" s="12"/>
      <c r="O683" s="12"/>
      <c r="P683" s="12"/>
      <c r="Q683" s="12"/>
      <c r="R683" s="12"/>
      <c r="S683" s="12"/>
      <c r="T683" s="12"/>
      <c r="U683" s="12"/>
      <c r="W683" s="12"/>
      <c r="X683" s="12"/>
      <c r="Y683" s="12"/>
      <c r="Z683" s="12"/>
      <c r="AA683" s="12"/>
    </row>
    <row r="684" spans="1:27" ht="15.75" customHeight="1">
      <c r="A684" s="12"/>
      <c r="B684" s="12"/>
      <c r="C684" s="12"/>
      <c r="D684" s="12"/>
      <c r="E684" s="12"/>
      <c r="F684" s="12"/>
      <c r="G684" s="12"/>
      <c r="H684" s="12"/>
      <c r="I684" s="12"/>
      <c r="J684" s="12"/>
      <c r="K684" s="12"/>
      <c r="L684" s="12"/>
      <c r="M684" s="12"/>
      <c r="N684" s="12"/>
      <c r="O684" s="12"/>
      <c r="P684" s="12"/>
      <c r="Q684" s="12"/>
      <c r="R684" s="12"/>
      <c r="S684" s="12"/>
      <c r="T684" s="12"/>
      <c r="U684" s="12"/>
      <c r="W684" s="12"/>
      <c r="X684" s="12"/>
      <c r="Y684" s="12"/>
      <c r="Z684" s="12"/>
      <c r="AA684" s="12"/>
    </row>
    <row r="685" spans="1:27" ht="15.75" customHeight="1">
      <c r="A685" s="12"/>
      <c r="B685" s="12"/>
      <c r="C685" s="12"/>
      <c r="D685" s="12"/>
      <c r="E685" s="12"/>
      <c r="F685" s="12"/>
      <c r="G685" s="12"/>
      <c r="H685" s="12"/>
      <c r="I685" s="12"/>
      <c r="J685" s="12"/>
      <c r="K685" s="12"/>
      <c r="L685" s="12"/>
      <c r="M685" s="12"/>
      <c r="N685" s="12"/>
      <c r="O685" s="12"/>
      <c r="P685" s="12"/>
      <c r="Q685" s="12"/>
      <c r="R685" s="12"/>
      <c r="S685" s="12"/>
      <c r="T685" s="12"/>
      <c r="U685" s="12"/>
      <c r="W685" s="12"/>
      <c r="X685" s="12"/>
      <c r="Y685" s="12"/>
      <c r="Z685" s="12"/>
      <c r="AA685" s="12"/>
    </row>
    <row r="686" spans="1:27" ht="15.75" customHeight="1">
      <c r="A686" s="12"/>
      <c r="B686" s="12"/>
      <c r="C686" s="12"/>
      <c r="D686" s="12"/>
      <c r="E686" s="12"/>
      <c r="F686" s="12"/>
      <c r="G686" s="12"/>
      <c r="H686" s="12"/>
      <c r="I686" s="12"/>
      <c r="J686" s="12"/>
      <c r="K686" s="12"/>
      <c r="L686" s="12"/>
      <c r="M686" s="12"/>
      <c r="N686" s="12"/>
      <c r="O686" s="12"/>
      <c r="P686" s="12"/>
      <c r="Q686" s="12"/>
      <c r="R686" s="12"/>
      <c r="S686" s="12"/>
      <c r="T686" s="12"/>
      <c r="U686" s="12"/>
      <c r="W686" s="12"/>
      <c r="X686" s="12"/>
      <c r="Y686" s="12"/>
      <c r="Z686" s="12"/>
      <c r="AA686" s="12"/>
    </row>
    <row r="687" spans="1:27" ht="15.75" customHeight="1">
      <c r="A687" s="12"/>
      <c r="B687" s="12"/>
      <c r="C687" s="12"/>
      <c r="D687" s="12"/>
      <c r="E687" s="12"/>
      <c r="F687" s="12"/>
      <c r="G687" s="12"/>
      <c r="H687" s="12"/>
      <c r="I687" s="12"/>
      <c r="J687" s="12"/>
      <c r="K687" s="12"/>
      <c r="L687" s="12"/>
      <c r="M687" s="12"/>
      <c r="N687" s="12"/>
      <c r="O687" s="12"/>
      <c r="P687" s="12"/>
      <c r="Q687" s="12"/>
      <c r="R687" s="12"/>
      <c r="S687" s="12"/>
      <c r="T687" s="12"/>
      <c r="U687" s="12"/>
      <c r="W687" s="12"/>
      <c r="X687" s="12"/>
      <c r="Y687" s="12"/>
      <c r="Z687" s="12"/>
      <c r="AA687" s="12"/>
    </row>
    <row r="688" spans="1:27" ht="15.75" customHeight="1">
      <c r="A688" s="12"/>
      <c r="B688" s="12"/>
      <c r="C688" s="12"/>
      <c r="D688" s="12"/>
      <c r="E688" s="12"/>
      <c r="F688" s="12"/>
      <c r="G688" s="12"/>
      <c r="H688" s="12"/>
      <c r="I688" s="12"/>
      <c r="J688" s="12"/>
      <c r="K688" s="12"/>
      <c r="L688" s="12"/>
      <c r="M688" s="12"/>
      <c r="N688" s="12"/>
      <c r="O688" s="12"/>
      <c r="P688" s="12"/>
      <c r="Q688" s="12"/>
      <c r="R688" s="12"/>
      <c r="S688" s="12"/>
      <c r="T688" s="12"/>
      <c r="U688" s="12"/>
      <c r="W688" s="12"/>
      <c r="X688" s="12"/>
      <c r="Y688" s="12"/>
      <c r="Z688" s="12"/>
      <c r="AA688" s="12"/>
    </row>
    <row r="689" spans="1:27" ht="15.75" customHeight="1">
      <c r="A689" s="12"/>
      <c r="B689" s="12"/>
      <c r="C689" s="12"/>
      <c r="D689" s="12"/>
      <c r="E689" s="12"/>
      <c r="F689" s="12"/>
      <c r="G689" s="12"/>
      <c r="H689" s="12"/>
      <c r="I689" s="12"/>
      <c r="J689" s="12"/>
      <c r="K689" s="12"/>
      <c r="L689" s="12"/>
      <c r="M689" s="12"/>
      <c r="N689" s="12"/>
      <c r="O689" s="12"/>
      <c r="P689" s="12"/>
      <c r="Q689" s="12"/>
      <c r="R689" s="12"/>
      <c r="S689" s="12"/>
      <c r="T689" s="12"/>
      <c r="U689" s="12"/>
      <c r="W689" s="12"/>
      <c r="X689" s="12"/>
      <c r="Y689" s="12"/>
      <c r="Z689" s="12"/>
      <c r="AA689" s="12"/>
    </row>
    <row r="690" spans="1:27" ht="15.75" customHeight="1">
      <c r="A690" s="12"/>
      <c r="B690" s="12"/>
      <c r="C690" s="12"/>
      <c r="D690" s="12"/>
      <c r="E690" s="12"/>
      <c r="F690" s="12"/>
      <c r="G690" s="12"/>
      <c r="H690" s="12"/>
      <c r="I690" s="12"/>
      <c r="J690" s="12"/>
      <c r="K690" s="12"/>
      <c r="L690" s="12"/>
      <c r="M690" s="12"/>
      <c r="N690" s="12"/>
      <c r="O690" s="12"/>
      <c r="P690" s="12"/>
      <c r="Q690" s="12"/>
      <c r="R690" s="12"/>
      <c r="S690" s="12"/>
      <c r="T690" s="12"/>
      <c r="U690" s="12"/>
      <c r="W690" s="12"/>
      <c r="X690" s="12"/>
      <c r="Y690" s="12"/>
      <c r="Z690" s="12"/>
      <c r="AA690" s="12"/>
    </row>
    <row r="691" spans="1:27" ht="15.75" customHeight="1">
      <c r="A691" s="12"/>
      <c r="B691" s="12"/>
      <c r="C691" s="12"/>
      <c r="D691" s="12"/>
      <c r="E691" s="12"/>
      <c r="F691" s="12"/>
      <c r="G691" s="12"/>
      <c r="H691" s="12"/>
      <c r="I691" s="12"/>
      <c r="J691" s="12"/>
      <c r="K691" s="12"/>
      <c r="L691" s="12"/>
      <c r="M691" s="12"/>
      <c r="N691" s="12"/>
      <c r="O691" s="12"/>
      <c r="P691" s="12"/>
      <c r="Q691" s="12"/>
      <c r="R691" s="12"/>
      <c r="S691" s="12"/>
      <c r="T691" s="12"/>
      <c r="U691" s="12"/>
      <c r="W691" s="12"/>
      <c r="X691" s="12"/>
      <c r="Y691" s="12"/>
      <c r="Z691" s="12"/>
      <c r="AA691" s="12"/>
    </row>
    <row r="692" spans="1:27" ht="15.75" customHeight="1">
      <c r="A692" s="12"/>
      <c r="B692" s="12"/>
      <c r="C692" s="12"/>
      <c r="D692" s="12"/>
      <c r="E692" s="12"/>
      <c r="F692" s="12"/>
      <c r="G692" s="12"/>
      <c r="H692" s="12"/>
      <c r="I692" s="12"/>
      <c r="J692" s="12"/>
      <c r="K692" s="12"/>
      <c r="L692" s="12"/>
      <c r="M692" s="12"/>
      <c r="N692" s="12"/>
      <c r="O692" s="12"/>
      <c r="P692" s="12"/>
      <c r="Q692" s="12"/>
      <c r="R692" s="12"/>
      <c r="S692" s="12"/>
      <c r="T692" s="12"/>
      <c r="U692" s="12"/>
      <c r="W692" s="12"/>
      <c r="X692" s="12"/>
      <c r="Y692" s="12"/>
      <c r="Z692" s="12"/>
      <c r="AA692" s="12"/>
    </row>
    <row r="693" spans="1:27" ht="15.75" customHeight="1">
      <c r="A693" s="12"/>
      <c r="B693" s="12"/>
      <c r="C693" s="12"/>
      <c r="D693" s="12"/>
      <c r="E693" s="12"/>
      <c r="F693" s="12"/>
      <c r="G693" s="12"/>
      <c r="H693" s="12"/>
      <c r="I693" s="12"/>
      <c r="J693" s="12"/>
      <c r="K693" s="12"/>
      <c r="L693" s="12"/>
      <c r="M693" s="12"/>
      <c r="N693" s="12"/>
      <c r="O693" s="12"/>
      <c r="P693" s="12"/>
      <c r="Q693" s="12"/>
      <c r="R693" s="12"/>
      <c r="S693" s="12"/>
      <c r="T693" s="12"/>
      <c r="U693" s="12"/>
      <c r="W693" s="12"/>
      <c r="X693" s="12"/>
      <c r="Y693" s="12"/>
      <c r="Z693" s="12"/>
      <c r="AA693" s="12"/>
    </row>
    <row r="694" spans="1:27" ht="15.75" customHeight="1">
      <c r="A694" s="12"/>
      <c r="B694" s="12"/>
      <c r="C694" s="12"/>
      <c r="D694" s="12"/>
      <c r="E694" s="12"/>
      <c r="F694" s="12"/>
      <c r="G694" s="12"/>
      <c r="H694" s="12"/>
      <c r="I694" s="12"/>
      <c r="J694" s="12"/>
      <c r="K694" s="12"/>
      <c r="L694" s="12"/>
      <c r="M694" s="12"/>
      <c r="N694" s="12"/>
      <c r="O694" s="12"/>
      <c r="P694" s="12"/>
      <c r="Q694" s="12"/>
      <c r="R694" s="12"/>
      <c r="S694" s="12"/>
      <c r="T694" s="12"/>
      <c r="U694" s="12"/>
      <c r="W694" s="12"/>
      <c r="X694" s="12"/>
      <c r="Y694" s="12"/>
      <c r="Z694" s="12"/>
      <c r="AA694" s="12"/>
    </row>
    <row r="695" spans="1:27" ht="15.75" customHeight="1">
      <c r="A695" s="12"/>
      <c r="B695" s="12"/>
      <c r="C695" s="12"/>
      <c r="D695" s="12"/>
      <c r="E695" s="12"/>
      <c r="F695" s="12"/>
      <c r="G695" s="12"/>
      <c r="H695" s="12"/>
      <c r="I695" s="12"/>
      <c r="J695" s="12"/>
      <c r="K695" s="12"/>
      <c r="L695" s="12"/>
      <c r="M695" s="12"/>
      <c r="N695" s="12"/>
      <c r="O695" s="12"/>
      <c r="P695" s="12"/>
      <c r="Q695" s="12"/>
      <c r="R695" s="12"/>
      <c r="S695" s="12"/>
      <c r="T695" s="12"/>
      <c r="U695" s="12"/>
      <c r="W695" s="12"/>
      <c r="X695" s="12"/>
      <c r="Y695" s="12"/>
      <c r="Z695" s="12"/>
      <c r="AA695" s="12"/>
    </row>
    <row r="696" spans="1:27" ht="15.75" customHeight="1">
      <c r="A696" s="12"/>
      <c r="B696" s="12"/>
      <c r="C696" s="12"/>
      <c r="D696" s="12"/>
      <c r="E696" s="12"/>
      <c r="F696" s="12"/>
      <c r="G696" s="12"/>
      <c r="H696" s="12"/>
      <c r="I696" s="12"/>
      <c r="J696" s="12"/>
      <c r="K696" s="12"/>
      <c r="L696" s="12"/>
      <c r="M696" s="12"/>
      <c r="N696" s="12"/>
      <c r="O696" s="12"/>
      <c r="P696" s="12"/>
      <c r="Q696" s="12"/>
      <c r="R696" s="12"/>
      <c r="S696" s="12"/>
      <c r="T696" s="12"/>
      <c r="U696" s="12"/>
      <c r="W696" s="12"/>
      <c r="X696" s="12"/>
      <c r="Y696" s="12"/>
      <c r="Z696" s="12"/>
      <c r="AA696" s="12"/>
    </row>
    <row r="697" spans="1:27" ht="15.75" customHeight="1">
      <c r="A697" s="12"/>
      <c r="B697" s="12"/>
      <c r="C697" s="12"/>
      <c r="D697" s="12"/>
      <c r="E697" s="12"/>
      <c r="F697" s="12"/>
      <c r="G697" s="12"/>
      <c r="H697" s="12"/>
      <c r="I697" s="12"/>
      <c r="J697" s="12"/>
      <c r="K697" s="12"/>
      <c r="L697" s="12"/>
      <c r="M697" s="12"/>
      <c r="N697" s="12"/>
      <c r="O697" s="12"/>
      <c r="P697" s="12"/>
      <c r="Q697" s="12"/>
      <c r="R697" s="12"/>
      <c r="S697" s="12"/>
      <c r="T697" s="12"/>
      <c r="U697" s="12"/>
      <c r="W697" s="12"/>
      <c r="X697" s="12"/>
      <c r="Y697" s="12"/>
      <c r="Z697" s="12"/>
      <c r="AA697" s="12"/>
    </row>
    <row r="698" spans="1:27" ht="15.75" customHeight="1">
      <c r="A698" s="12"/>
      <c r="B698" s="12"/>
      <c r="C698" s="12"/>
      <c r="D698" s="12"/>
      <c r="E698" s="12"/>
      <c r="F698" s="12"/>
      <c r="G698" s="12"/>
      <c r="H698" s="12"/>
      <c r="I698" s="12"/>
      <c r="J698" s="12"/>
      <c r="K698" s="12"/>
      <c r="L698" s="12"/>
      <c r="M698" s="12"/>
      <c r="N698" s="12"/>
      <c r="O698" s="12"/>
      <c r="P698" s="12"/>
      <c r="Q698" s="12"/>
      <c r="R698" s="12"/>
      <c r="S698" s="12"/>
      <c r="T698" s="12"/>
      <c r="U698" s="12"/>
      <c r="W698" s="12"/>
      <c r="X698" s="12"/>
      <c r="Y698" s="12"/>
      <c r="Z698" s="12"/>
      <c r="AA698" s="12"/>
    </row>
    <row r="699" spans="1:27" ht="15.75" customHeight="1">
      <c r="A699" s="12"/>
      <c r="B699" s="12"/>
      <c r="C699" s="12"/>
      <c r="D699" s="12"/>
      <c r="E699" s="12"/>
      <c r="F699" s="12"/>
      <c r="G699" s="12"/>
      <c r="H699" s="12"/>
      <c r="I699" s="12"/>
      <c r="J699" s="12"/>
      <c r="K699" s="12"/>
      <c r="L699" s="12"/>
      <c r="M699" s="12"/>
      <c r="N699" s="12"/>
      <c r="O699" s="12"/>
      <c r="P699" s="12"/>
      <c r="Q699" s="12"/>
      <c r="R699" s="12"/>
      <c r="S699" s="12"/>
      <c r="T699" s="12"/>
      <c r="U699" s="12"/>
      <c r="W699" s="12"/>
      <c r="X699" s="12"/>
      <c r="Y699" s="12"/>
      <c r="Z699" s="12"/>
      <c r="AA699" s="12"/>
    </row>
    <row r="700" spans="1:27" ht="15.75" customHeight="1">
      <c r="A700" s="12"/>
      <c r="B700" s="12"/>
      <c r="C700" s="12"/>
      <c r="D700" s="12"/>
      <c r="E700" s="12"/>
      <c r="F700" s="12"/>
      <c r="G700" s="12"/>
      <c r="H700" s="12"/>
      <c r="I700" s="12"/>
      <c r="J700" s="12"/>
      <c r="K700" s="12"/>
      <c r="L700" s="12"/>
      <c r="M700" s="12"/>
      <c r="N700" s="12"/>
      <c r="O700" s="12"/>
      <c r="P700" s="12"/>
      <c r="Q700" s="12"/>
      <c r="R700" s="12"/>
      <c r="S700" s="12"/>
      <c r="T700" s="12"/>
      <c r="U700" s="12"/>
      <c r="W700" s="12"/>
      <c r="X700" s="12"/>
      <c r="Y700" s="12"/>
      <c r="Z700" s="12"/>
      <c r="AA700" s="12"/>
    </row>
    <row r="701" spans="1:27" ht="15.75" customHeight="1">
      <c r="A701" s="12"/>
      <c r="B701" s="12"/>
      <c r="C701" s="12"/>
      <c r="D701" s="12"/>
      <c r="E701" s="12"/>
      <c r="F701" s="12"/>
      <c r="G701" s="12"/>
      <c r="H701" s="12"/>
      <c r="I701" s="12"/>
      <c r="J701" s="12"/>
      <c r="K701" s="12"/>
      <c r="L701" s="12"/>
      <c r="M701" s="12"/>
      <c r="N701" s="12"/>
      <c r="O701" s="12"/>
      <c r="P701" s="12"/>
      <c r="Q701" s="12"/>
      <c r="R701" s="12"/>
      <c r="S701" s="12"/>
      <c r="T701" s="12"/>
      <c r="U701" s="12"/>
      <c r="W701" s="12"/>
      <c r="X701" s="12"/>
      <c r="Y701" s="12"/>
      <c r="Z701" s="12"/>
      <c r="AA701" s="12"/>
    </row>
    <row r="702" spans="1:27" ht="15.75" customHeight="1">
      <c r="A702" s="12"/>
      <c r="B702" s="12"/>
      <c r="C702" s="12"/>
      <c r="D702" s="12"/>
      <c r="E702" s="12"/>
      <c r="F702" s="12"/>
      <c r="G702" s="12"/>
      <c r="H702" s="12"/>
      <c r="I702" s="12"/>
      <c r="J702" s="12"/>
      <c r="K702" s="12"/>
      <c r="L702" s="12"/>
      <c r="M702" s="12"/>
      <c r="N702" s="12"/>
      <c r="O702" s="12"/>
      <c r="P702" s="12"/>
      <c r="Q702" s="12"/>
      <c r="R702" s="12"/>
      <c r="S702" s="12"/>
      <c r="T702" s="12"/>
      <c r="U702" s="12"/>
      <c r="W702" s="12"/>
      <c r="X702" s="12"/>
      <c r="Y702" s="12"/>
      <c r="Z702" s="12"/>
      <c r="AA702" s="12"/>
    </row>
    <row r="703" spans="1:27" ht="15.75" customHeight="1">
      <c r="A703" s="12"/>
      <c r="B703" s="12"/>
      <c r="C703" s="12"/>
      <c r="D703" s="12"/>
      <c r="E703" s="12"/>
      <c r="F703" s="12"/>
      <c r="G703" s="12"/>
      <c r="H703" s="12"/>
      <c r="I703" s="12"/>
      <c r="J703" s="12"/>
      <c r="K703" s="12"/>
      <c r="L703" s="12"/>
      <c r="M703" s="12"/>
      <c r="N703" s="12"/>
      <c r="O703" s="12"/>
      <c r="P703" s="12"/>
      <c r="Q703" s="12"/>
      <c r="R703" s="12"/>
      <c r="S703" s="12"/>
      <c r="T703" s="12"/>
      <c r="U703" s="12"/>
      <c r="W703" s="12"/>
      <c r="X703" s="12"/>
      <c r="Y703" s="12"/>
      <c r="Z703" s="12"/>
      <c r="AA703" s="12"/>
    </row>
    <row r="704" spans="1:27" ht="15.75" customHeight="1">
      <c r="A704" s="12"/>
      <c r="B704" s="12"/>
      <c r="C704" s="12"/>
      <c r="D704" s="12"/>
      <c r="E704" s="12"/>
      <c r="F704" s="12"/>
      <c r="G704" s="12"/>
      <c r="H704" s="12"/>
      <c r="I704" s="12"/>
      <c r="J704" s="12"/>
      <c r="K704" s="12"/>
      <c r="L704" s="12"/>
      <c r="M704" s="12"/>
      <c r="N704" s="12"/>
      <c r="O704" s="12"/>
      <c r="P704" s="12"/>
      <c r="Q704" s="12"/>
      <c r="R704" s="12"/>
      <c r="S704" s="12"/>
      <c r="T704" s="12"/>
      <c r="U704" s="12"/>
      <c r="W704" s="12"/>
      <c r="X704" s="12"/>
      <c r="Y704" s="12"/>
      <c r="Z704" s="12"/>
      <c r="AA704" s="12"/>
    </row>
    <row r="705" spans="1:27" ht="15.75" customHeight="1">
      <c r="A705" s="12"/>
      <c r="B705" s="12"/>
      <c r="C705" s="12"/>
      <c r="D705" s="12"/>
      <c r="E705" s="12"/>
      <c r="F705" s="12"/>
      <c r="G705" s="12"/>
      <c r="H705" s="12"/>
      <c r="I705" s="12"/>
      <c r="J705" s="12"/>
      <c r="K705" s="12"/>
      <c r="L705" s="12"/>
      <c r="M705" s="12"/>
      <c r="N705" s="12"/>
      <c r="O705" s="12"/>
      <c r="P705" s="12"/>
      <c r="Q705" s="12"/>
      <c r="R705" s="12"/>
      <c r="S705" s="12"/>
      <c r="T705" s="12"/>
      <c r="U705" s="12"/>
      <c r="W705" s="12"/>
      <c r="X705" s="12"/>
      <c r="Y705" s="12"/>
      <c r="Z705" s="12"/>
      <c r="AA705" s="12"/>
    </row>
    <row r="706" spans="1:27" ht="15.75" customHeight="1">
      <c r="A706" s="12"/>
      <c r="B706" s="12"/>
      <c r="C706" s="12"/>
      <c r="D706" s="12"/>
      <c r="E706" s="12"/>
      <c r="F706" s="12"/>
      <c r="G706" s="12"/>
      <c r="H706" s="12"/>
      <c r="I706" s="12"/>
      <c r="J706" s="12"/>
      <c r="K706" s="12"/>
      <c r="L706" s="12"/>
      <c r="M706" s="12"/>
      <c r="N706" s="12"/>
      <c r="O706" s="12"/>
      <c r="P706" s="12"/>
      <c r="Q706" s="12"/>
      <c r="R706" s="12"/>
      <c r="S706" s="12"/>
      <c r="T706" s="12"/>
      <c r="U706" s="12"/>
      <c r="W706" s="12"/>
      <c r="X706" s="12"/>
      <c r="Y706" s="12"/>
      <c r="Z706" s="12"/>
      <c r="AA706" s="12"/>
    </row>
    <row r="707" spans="1:27" ht="15.75" customHeight="1">
      <c r="A707" s="12"/>
      <c r="B707" s="12"/>
      <c r="C707" s="12"/>
      <c r="D707" s="12"/>
      <c r="E707" s="12"/>
      <c r="F707" s="12"/>
      <c r="G707" s="12"/>
      <c r="H707" s="12"/>
      <c r="I707" s="12"/>
      <c r="J707" s="12"/>
      <c r="K707" s="12"/>
      <c r="L707" s="12"/>
      <c r="M707" s="12"/>
      <c r="N707" s="12"/>
      <c r="O707" s="12"/>
      <c r="P707" s="12"/>
      <c r="Q707" s="12"/>
      <c r="R707" s="12"/>
      <c r="S707" s="12"/>
      <c r="T707" s="12"/>
      <c r="U707" s="12"/>
      <c r="W707" s="12"/>
      <c r="X707" s="12"/>
      <c r="Y707" s="12"/>
      <c r="Z707" s="12"/>
      <c r="AA707" s="12"/>
    </row>
    <row r="708" spans="1:27" ht="15.75" customHeight="1">
      <c r="A708" s="12"/>
      <c r="B708" s="12"/>
      <c r="C708" s="12"/>
      <c r="D708" s="12"/>
      <c r="E708" s="12"/>
      <c r="F708" s="12"/>
      <c r="G708" s="12"/>
      <c r="H708" s="12"/>
      <c r="I708" s="12"/>
      <c r="J708" s="12"/>
      <c r="K708" s="12"/>
      <c r="L708" s="12"/>
      <c r="M708" s="12"/>
      <c r="N708" s="12"/>
      <c r="O708" s="12"/>
      <c r="P708" s="12"/>
      <c r="Q708" s="12"/>
      <c r="R708" s="12"/>
      <c r="S708" s="12"/>
      <c r="T708" s="12"/>
      <c r="U708" s="12"/>
      <c r="W708" s="12"/>
      <c r="X708" s="12"/>
      <c r="Y708" s="12"/>
      <c r="Z708" s="12"/>
      <c r="AA708" s="12"/>
    </row>
    <row r="709" spans="1:27" ht="15.75" customHeight="1">
      <c r="A709" s="12"/>
      <c r="B709" s="12"/>
      <c r="C709" s="12"/>
      <c r="D709" s="12"/>
      <c r="E709" s="12"/>
      <c r="F709" s="12"/>
      <c r="G709" s="12"/>
      <c r="H709" s="12"/>
      <c r="I709" s="12"/>
      <c r="J709" s="12"/>
      <c r="K709" s="12"/>
      <c r="L709" s="12"/>
      <c r="M709" s="12"/>
      <c r="N709" s="12"/>
      <c r="O709" s="12"/>
      <c r="P709" s="12"/>
      <c r="Q709" s="12"/>
      <c r="R709" s="12"/>
      <c r="S709" s="12"/>
      <c r="T709" s="12"/>
      <c r="U709" s="12"/>
      <c r="W709" s="12"/>
      <c r="X709" s="12"/>
      <c r="Y709" s="12"/>
      <c r="Z709" s="12"/>
      <c r="AA709" s="12"/>
    </row>
    <row r="710" spans="1:27" ht="15.75" customHeight="1">
      <c r="A710" s="12"/>
      <c r="B710" s="12"/>
      <c r="C710" s="12"/>
      <c r="D710" s="12"/>
      <c r="E710" s="12"/>
      <c r="F710" s="12"/>
      <c r="G710" s="12"/>
      <c r="H710" s="12"/>
      <c r="I710" s="12"/>
      <c r="J710" s="12"/>
      <c r="K710" s="12"/>
      <c r="L710" s="12"/>
      <c r="M710" s="12"/>
      <c r="N710" s="12"/>
      <c r="O710" s="12"/>
      <c r="P710" s="12"/>
      <c r="Q710" s="12"/>
      <c r="R710" s="12"/>
      <c r="S710" s="12"/>
      <c r="T710" s="12"/>
      <c r="U710" s="12"/>
      <c r="W710" s="12"/>
      <c r="X710" s="12"/>
      <c r="Y710" s="12"/>
      <c r="Z710" s="12"/>
      <c r="AA710" s="12"/>
    </row>
    <row r="711" spans="1:27" ht="15.75" customHeight="1">
      <c r="A711" s="12"/>
      <c r="B711" s="12"/>
      <c r="C711" s="12"/>
      <c r="D711" s="12"/>
      <c r="E711" s="12"/>
      <c r="F711" s="12"/>
      <c r="G711" s="12"/>
      <c r="H711" s="12"/>
      <c r="I711" s="12"/>
      <c r="J711" s="12"/>
      <c r="K711" s="12"/>
      <c r="L711" s="12"/>
      <c r="M711" s="12"/>
      <c r="N711" s="12"/>
      <c r="O711" s="12"/>
      <c r="P711" s="12"/>
      <c r="Q711" s="12"/>
      <c r="R711" s="12"/>
      <c r="S711" s="12"/>
      <c r="T711" s="12"/>
      <c r="U711" s="12"/>
      <c r="W711" s="12"/>
      <c r="X711" s="12"/>
      <c r="Y711" s="12"/>
      <c r="Z711" s="12"/>
      <c r="AA711" s="12"/>
    </row>
    <row r="712" spans="1:27" ht="15.75" customHeight="1">
      <c r="A712" s="12"/>
      <c r="B712" s="12"/>
      <c r="C712" s="12"/>
      <c r="D712" s="12"/>
      <c r="E712" s="12"/>
      <c r="F712" s="12"/>
      <c r="G712" s="12"/>
      <c r="H712" s="12"/>
      <c r="I712" s="12"/>
      <c r="J712" s="12"/>
      <c r="K712" s="12"/>
      <c r="L712" s="12"/>
      <c r="M712" s="12"/>
      <c r="N712" s="12"/>
      <c r="O712" s="12"/>
      <c r="P712" s="12"/>
      <c r="Q712" s="12"/>
      <c r="R712" s="12"/>
      <c r="S712" s="12"/>
      <c r="T712" s="12"/>
      <c r="U712" s="12"/>
      <c r="W712" s="12"/>
      <c r="X712" s="12"/>
      <c r="Y712" s="12"/>
      <c r="Z712" s="12"/>
      <c r="AA712" s="12"/>
    </row>
    <row r="713" spans="1:27" ht="15.75" customHeight="1">
      <c r="A713" s="12"/>
      <c r="B713" s="12"/>
      <c r="C713" s="12"/>
      <c r="D713" s="12"/>
      <c r="E713" s="12"/>
      <c r="F713" s="12"/>
      <c r="G713" s="12"/>
      <c r="H713" s="12"/>
      <c r="I713" s="12"/>
      <c r="J713" s="12"/>
      <c r="K713" s="12"/>
      <c r="L713" s="12"/>
      <c r="M713" s="12"/>
      <c r="N713" s="12"/>
      <c r="O713" s="12"/>
      <c r="P713" s="12"/>
      <c r="Q713" s="12"/>
      <c r="R713" s="12"/>
      <c r="S713" s="12"/>
      <c r="T713" s="12"/>
      <c r="U713" s="12"/>
      <c r="W713" s="12"/>
      <c r="X713" s="12"/>
      <c r="Y713" s="12"/>
      <c r="Z713" s="12"/>
      <c r="AA713" s="12"/>
    </row>
    <row r="714" spans="1:27" ht="15.75" customHeight="1">
      <c r="A714" s="12"/>
      <c r="B714" s="12"/>
      <c r="C714" s="12"/>
      <c r="D714" s="12"/>
      <c r="E714" s="12"/>
      <c r="F714" s="12"/>
      <c r="G714" s="12"/>
      <c r="H714" s="12"/>
      <c r="I714" s="12"/>
      <c r="J714" s="12"/>
      <c r="K714" s="12"/>
      <c r="L714" s="12"/>
      <c r="M714" s="12"/>
      <c r="N714" s="12"/>
      <c r="O714" s="12"/>
      <c r="P714" s="12"/>
      <c r="Q714" s="12"/>
      <c r="R714" s="12"/>
      <c r="S714" s="12"/>
      <c r="T714" s="12"/>
      <c r="U714" s="12"/>
      <c r="W714" s="12"/>
      <c r="X714" s="12"/>
      <c r="Y714" s="12"/>
      <c r="Z714" s="12"/>
      <c r="AA714" s="12"/>
    </row>
    <row r="715" spans="1:27" ht="15.75" customHeight="1">
      <c r="A715" s="12"/>
      <c r="B715" s="12"/>
      <c r="C715" s="12"/>
      <c r="D715" s="12"/>
      <c r="E715" s="12"/>
      <c r="F715" s="12"/>
      <c r="G715" s="12"/>
      <c r="H715" s="12"/>
      <c r="I715" s="12"/>
      <c r="J715" s="12"/>
      <c r="K715" s="12"/>
      <c r="L715" s="12"/>
      <c r="M715" s="12"/>
      <c r="N715" s="12"/>
      <c r="O715" s="12"/>
      <c r="P715" s="12"/>
      <c r="Q715" s="12"/>
      <c r="R715" s="12"/>
      <c r="S715" s="12"/>
      <c r="T715" s="12"/>
      <c r="U715" s="12"/>
      <c r="W715" s="12"/>
      <c r="X715" s="12"/>
      <c r="Y715" s="12"/>
      <c r="Z715" s="12"/>
      <c r="AA715" s="12"/>
    </row>
    <row r="716" spans="1:27" ht="15.75" customHeight="1">
      <c r="A716" s="12"/>
      <c r="B716" s="12"/>
      <c r="C716" s="12"/>
      <c r="D716" s="12"/>
      <c r="E716" s="12"/>
      <c r="F716" s="12"/>
      <c r="G716" s="12"/>
      <c r="H716" s="12"/>
      <c r="I716" s="12"/>
      <c r="J716" s="12"/>
      <c r="K716" s="12"/>
      <c r="L716" s="12"/>
      <c r="M716" s="12"/>
      <c r="N716" s="12"/>
      <c r="O716" s="12"/>
      <c r="P716" s="12"/>
      <c r="Q716" s="12"/>
      <c r="R716" s="12"/>
      <c r="S716" s="12"/>
      <c r="T716" s="12"/>
      <c r="U716" s="12"/>
      <c r="W716" s="12"/>
      <c r="X716" s="12"/>
      <c r="Y716" s="12"/>
      <c r="Z716" s="12"/>
      <c r="AA716" s="12"/>
    </row>
    <row r="717" spans="1:27" ht="15.75" customHeight="1">
      <c r="A717" s="12"/>
      <c r="B717" s="12"/>
      <c r="C717" s="12"/>
      <c r="D717" s="12"/>
      <c r="E717" s="12"/>
      <c r="F717" s="12"/>
      <c r="G717" s="12"/>
      <c r="H717" s="12"/>
      <c r="I717" s="12"/>
      <c r="J717" s="12"/>
      <c r="K717" s="12"/>
      <c r="L717" s="12"/>
      <c r="M717" s="12"/>
      <c r="N717" s="12"/>
      <c r="O717" s="12"/>
      <c r="P717" s="12"/>
      <c r="Q717" s="12"/>
      <c r="R717" s="12"/>
      <c r="S717" s="12"/>
      <c r="T717" s="12"/>
      <c r="U717" s="12"/>
      <c r="W717" s="12"/>
      <c r="X717" s="12"/>
      <c r="Y717" s="12"/>
      <c r="Z717" s="12"/>
      <c r="AA717" s="12"/>
    </row>
    <row r="718" spans="1:27" ht="15.75" customHeight="1">
      <c r="A718" s="12"/>
      <c r="B718" s="12"/>
      <c r="C718" s="12"/>
      <c r="D718" s="12"/>
      <c r="E718" s="12"/>
      <c r="F718" s="12"/>
      <c r="G718" s="12"/>
      <c r="H718" s="12"/>
      <c r="I718" s="12"/>
      <c r="J718" s="12"/>
      <c r="K718" s="12"/>
      <c r="L718" s="12"/>
      <c r="M718" s="12"/>
      <c r="N718" s="12"/>
      <c r="O718" s="12"/>
      <c r="P718" s="12"/>
      <c r="Q718" s="12"/>
      <c r="R718" s="12"/>
      <c r="S718" s="12"/>
      <c r="T718" s="12"/>
      <c r="U718" s="12"/>
      <c r="W718" s="12"/>
      <c r="X718" s="12"/>
      <c r="Y718" s="12"/>
      <c r="Z718" s="12"/>
      <c r="AA718" s="12"/>
    </row>
    <row r="719" spans="1:27" ht="15.75" customHeight="1">
      <c r="A719" s="12"/>
      <c r="B719" s="12"/>
      <c r="C719" s="12"/>
      <c r="D719" s="12"/>
      <c r="E719" s="12"/>
      <c r="F719" s="12"/>
      <c r="G719" s="12"/>
      <c r="H719" s="12"/>
      <c r="I719" s="12"/>
      <c r="J719" s="12"/>
      <c r="K719" s="12"/>
      <c r="L719" s="12"/>
      <c r="M719" s="12"/>
      <c r="N719" s="12"/>
      <c r="O719" s="12"/>
      <c r="P719" s="12"/>
      <c r="Q719" s="12"/>
      <c r="R719" s="12"/>
      <c r="S719" s="12"/>
      <c r="T719" s="12"/>
      <c r="U719" s="12"/>
      <c r="W719" s="12"/>
      <c r="X719" s="12"/>
      <c r="Y719" s="12"/>
      <c r="Z719" s="12"/>
      <c r="AA719" s="12"/>
    </row>
    <row r="720" spans="1:27" ht="15.75" customHeight="1">
      <c r="A720" s="12"/>
      <c r="B720" s="12"/>
      <c r="C720" s="12"/>
      <c r="D720" s="12"/>
      <c r="E720" s="12"/>
      <c r="F720" s="12"/>
      <c r="G720" s="12"/>
      <c r="H720" s="12"/>
      <c r="I720" s="12"/>
      <c r="J720" s="12"/>
      <c r="K720" s="12"/>
      <c r="L720" s="12"/>
      <c r="M720" s="12"/>
      <c r="N720" s="12"/>
      <c r="O720" s="12"/>
      <c r="P720" s="12"/>
      <c r="Q720" s="12"/>
      <c r="R720" s="12"/>
      <c r="S720" s="12"/>
      <c r="T720" s="12"/>
      <c r="U720" s="12"/>
      <c r="W720" s="12"/>
      <c r="X720" s="12"/>
      <c r="Y720" s="12"/>
      <c r="Z720" s="12"/>
      <c r="AA720" s="12"/>
    </row>
    <row r="721" spans="1:27" ht="15.75" customHeight="1">
      <c r="A721" s="12"/>
      <c r="B721" s="12"/>
      <c r="C721" s="12"/>
      <c r="D721" s="12"/>
      <c r="E721" s="12"/>
      <c r="F721" s="12"/>
      <c r="G721" s="12"/>
      <c r="H721" s="12"/>
      <c r="I721" s="12"/>
      <c r="J721" s="12"/>
      <c r="K721" s="12"/>
      <c r="L721" s="12"/>
      <c r="M721" s="12"/>
      <c r="N721" s="12"/>
      <c r="O721" s="12"/>
      <c r="P721" s="12"/>
      <c r="Q721" s="12"/>
      <c r="R721" s="12"/>
      <c r="S721" s="12"/>
      <c r="T721" s="12"/>
      <c r="U721" s="12"/>
      <c r="W721" s="12"/>
      <c r="X721" s="12"/>
      <c r="Y721" s="12"/>
      <c r="Z721" s="12"/>
      <c r="AA721" s="12"/>
    </row>
    <row r="722" spans="1:27" ht="15.75" customHeight="1">
      <c r="A722" s="12"/>
      <c r="B722" s="12"/>
      <c r="C722" s="12"/>
      <c r="D722" s="12"/>
      <c r="E722" s="12"/>
      <c r="F722" s="12"/>
      <c r="G722" s="12"/>
      <c r="H722" s="12"/>
      <c r="I722" s="12"/>
      <c r="J722" s="12"/>
      <c r="K722" s="12"/>
      <c r="L722" s="12"/>
      <c r="M722" s="12"/>
      <c r="N722" s="12"/>
      <c r="O722" s="12"/>
      <c r="P722" s="12"/>
      <c r="Q722" s="12"/>
      <c r="R722" s="12"/>
      <c r="S722" s="12"/>
      <c r="T722" s="12"/>
      <c r="U722" s="12"/>
      <c r="W722" s="12"/>
      <c r="X722" s="12"/>
      <c r="Y722" s="12"/>
      <c r="Z722" s="12"/>
      <c r="AA722" s="12"/>
    </row>
    <row r="723" spans="1:27" ht="15.75" customHeight="1">
      <c r="A723" s="12"/>
      <c r="B723" s="12"/>
      <c r="C723" s="12"/>
      <c r="D723" s="12"/>
      <c r="E723" s="12"/>
      <c r="F723" s="12"/>
      <c r="G723" s="12"/>
      <c r="H723" s="12"/>
      <c r="I723" s="12"/>
      <c r="J723" s="12"/>
      <c r="K723" s="12"/>
      <c r="L723" s="12"/>
      <c r="M723" s="12"/>
      <c r="N723" s="12"/>
      <c r="O723" s="12"/>
      <c r="P723" s="12"/>
      <c r="Q723" s="12"/>
      <c r="R723" s="12"/>
      <c r="S723" s="12"/>
      <c r="T723" s="12"/>
      <c r="U723" s="12"/>
      <c r="W723" s="12"/>
      <c r="X723" s="12"/>
      <c r="Y723" s="12"/>
      <c r="Z723" s="12"/>
      <c r="AA723" s="12"/>
    </row>
    <row r="724" spans="1:27" ht="15.75" customHeight="1">
      <c r="A724" s="12"/>
      <c r="B724" s="12"/>
      <c r="C724" s="12"/>
      <c r="D724" s="12"/>
      <c r="E724" s="12"/>
      <c r="F724" s="12"/>
      <c r="G724" s="12"/>
      <c r="H724" s="12"/>
      <c r="I724" s="12"/>
      <c r="J724" s="12"/>
      <c r="K724" s="12"/>
      <c r="L724" s="12"/>
      <c r="M724" s="12"/>
      <c r="N724" s="12"/>
      <c r="O724" s="12"/>
      <c r="P724" s="12"/>
      <c r="Q724" s="12"/>
      <c r="R724" s="12"/>
      <c r="S724" s="12"/>
      <c r="T724" s="12"/>
      <c r="U724" s="12"/>
      <c r="W724" s="12"/>
      <c r="X724" s="12"/>
      <c r="Y724" s="12"/>
      <c r="Z724" s="12"/>
      <c r="AA724" s="12"/>
    </row>
    <row r="725" spans="1:27" ht="15.75" customHeight="1">
      <c r="A725" s="12"/>
      <c r="B725" s="12"/>
      <c r="C725" s="12"/>
      <c r="D725" s="12"/>
      <c r="E725" s="12"/>
      <c r="F725" s="12"/>
      <c r="G725" s="12"/>
      <c r="H725" s="12"/>
      <c r="I725" s="12"/>
      <c r="J725" s="12"/>
      <c r="K725" s="12"/>
      <c r="L725" s="12"/>
      <c r="M725" s="12"/>
      <c r="N725" s="12"/>
      <c r="O725" s="12"/>
      <c r="P725" s="12"/>
      <c r="Q725" s="12"/>
      <c r="R725" s="12"/>
      <c r="S725" s="12"/>
      <c r="T725" s="12"/>
      <c r="U725" s="12"/>
      <c r="W725" s="12"/>
      <c r="X725" s="12"/>
      <c r="Y725" s="12"/>
      <c r="Z725" s="12"/>
      <c r="AA725" s="12"/>
    </row>
    <row r="726" spans="1:27" ht="15.75" customHeight="1">
      <c r="A726" s="12"/>
      <c r="B726" s="12"/>
      <c r="C726" s="12"/>
      <c r="D726" s="12"/>
      <c r="E726" s="12"/>
      <c r="F726" s="12"/>
      <c r="G726" s="12"/>
      <c r="H726" s="12"/>
      <c r="I726" s="12"/>
      <c r="J726" s="12"/>
      <c r="K726" s="12"/>
      <c r="L726" s="12"/>
      <c r="M726" s="12"/>
      <c r="N726" s="12"/>
      <c r="O726" s="12"/>
      <c r="P726" s="12"/>
      <c r="Q726" s="12"/>
      <c r="R726" s="12"/>
      <c r="S726" s="12"/>
      <c r="T726" s="12"/>
      <c r="U726" s="12"/>
      <c r="W726" s="12"/>
      <c r="X726" s="12"/>
      <c r="Y726" s="12"/>
      <c r="Z726" s="12"/>
      <c r="AA726" s="12"/>
    </row>
    <row r="727" spans="1:27" ht="15.75" customHeight="1">
      <c r="A727" s="12"/>
      <c r="B727" s="12"/>
      <c r="C727" s="12"/>
      <c r="D727" s="12"/>
      <c r="E727" s="12"/>
      <c r="F727" s="12"/>
      <c r="G727" s="12"/>
      <c r="H727" s="12"/>
      <c r="I727" s="12"/>
      <c r="J727" s="12"/>
      <c r="K727" s="12"/>
      <c r="L727" s="12"/>
      <c r="M727" s="12"/>
      <c r="N727" s="12"/>
      <c r="O727" s="12"/>
      <c r="P727" s="12"/>
      <c r="Q727" s="12"/>
      <c r="R727" s="12"/>
      <c r="S727" s="12"/>
      <c r="T727" s="12"/>
      <c r="U727" s="12"/>
      <c r="W727" s="12"/>
      <c r="X727" s="12"/>
      <c r="Y727" s="12"/>
      <c r="Z727" s="12"/>
      <c r="AA727" s="12"/>
    </row>
    <row r="728" spans="1:27" ht="15.75" customHeight="1">
      <c r="A728" s="12"/>
      <c r="B728" s="12"/>
      <c r="C728" s="12"/>
      <c r="D728" s="12"/>
      <c r="E728" s="12"/>
      <c r="F728" s="12"/>
      <c r="G728" s="12"/>
      <c r="H728" s="12"/>
      <c r="I728" s="12"/>
      <c r="J728" s="12"/>
      <c r="K728" s="12"/>
      <c r="L728" s="12"/>
      <c r="M728" s="12"/>
      <c r="N728" s="12"/>
      <c r="O728" s="12"/>
      <c r="P728" s="12"/>
      <c r="Q728" s="12"/>
      <c r="R728" s="12"/>
      <c r="S728" s="12"/>
      <c r="T728" s="12"/>
      <c r="U728" s="12"/>
      <c r="W728" s="12"/>
      <c r="X728" s="12"/>
      <c r="Y728" s="12"/>
      <c r="Z728" s="12"/>
      <c r="AA728" s="12"/>
    </row>
    <row r="729" spans="1:27" ht="15.75" customHeight="1">
      <c r="A729" s="12"/>
      <c r="B729" s="12"/>
      <c r="C729" s="12"/>
      <c r="D729" s="12"/>
      <c r="E729" s="12"/>
      <c r="F729" s="12"/>
      <c r="G729" s="12"/>
      <c r="H729" s="12"/>
      <c r="I729" s="12"/>
      <c r="J729" s="12"/>
      <c r="K729" s="12"/>
      <c r="L729" s="12"/>
      <c r="M729" s="12"/>
      <c r="N729" s="12"/>
      <c r="O729" s="12"/>
      <c r="P729" s="12"/>
      <c r="Q729" s="12"/>
      <c r="R729" s="12"/>
      <c r="S729" s="12"/>
      <c r="T729" s="12"/>
      <c r="U729" s="12"/>
      <c r="W729" s="12"/>
      <c r="X729" s="12"/>
      <c r="Y729" s="12"/>
      <c r="Z729" s="12"/>
      <c r="AA729" s="12"/>
    </row>
    <row r="730" spans="1:27" ht="15.75" customHeight="1">
      <c r="A730" s="12"/>
      <c r="B730" s="12"/>
      <c r="C730" s="12"/>
      <c r="D730" s="12"/>
      <c r="E730" s="12"/>
      <c r="F730" s="12"/>
      <c r="G730" s="12"/>
      <c r="H730" s="12"/>
      <c r="I730" s="12"/>
      <c r="J730" s="12"/>
      <c r="K730" s="12"/>
      <c r="L730" s="12"/>
      <c r="M730" s="12"/>
      <c r="N730" s="12"/>
      <c r="O730" s="12"/>
      <c r="P730" s="12"/>
      <c r="Q730" s="12"/>
      <c r="R730" s="12"/>
      <c r="S730" s="12"/>
      <c r="T730" s="12"/>
      <c r="U730" s="12"/>
      <c r="W730" s="12"/>
      <c r="X730" s="12"/>
      <c r="Y730" s="12"/>
      <c r="Z730" s="12"/>
      <c r="AA730" s="12"/>
    </row>
    <row r="731" spans="1:27" ht="15.75" customHeight="1">
      <c r="A731" s="12"/>
      <c r="B731" s="12"/>
      <c r="C731" s="12"/>
      <c r="D731" s="12"/>
      <c r="E731" s="12"/>
      <c r="F731" s="12"/>
      <c r="G731" s="12"/>
      <c r="H731" s="12"/>
      <c r="I731" s="12"/>
      <c r="J731" s="12"/>
      <c r="K731" s="12"/>
      <c r="L731" s="12"/>
      <c r="M731" s="12"/>
      <c r="N731" s="12"/>
      <c r="O731" s="12"/>
      <c r="P731" s="12"/>
      <c r="Q731" s="12"/>
      <c r="R731" s="12"/>
      <c r="S731" s="12"/>
      <c r="T731" s="12"/>
      <c r="U731" s="12"/>
      <c r="W731" s="12"/>
      <c r="X731" s="12"/>
      <c r="Y731" s="12"/>
      <c r="Z731" s="12"/>
      <c r="AA731" s="12"/>
    </row>
    <row r="732" spans="1:27" ht="15.75" customHeight="1">
      <c r="A732" s="12"/>
      <c r="B732" s="12"/>
      <c r="C732" s="12"/>
      <c r="D732" s="12"/>
      <c r="E732" s="12"/>
      <c r="F732" s="12"/>
      <c r="G732" s="12"/>
      <c r="H732" s="12"/>
      <c r="I732" s="12"/>
      <c r="J732" s="12"/>
      <c r="K732" s="12"/>
      <c r="L732" s="12"/>
      <c r="M732" s="12"/>
      <c r="N732" s="12"/>
      <c r="O732" s="12"/>
      <c r="P732" s="12"/>
      <c r="Q732" s="12"/>
      <c r="R732" s="12"/>
      <c r="S732" s="12"/>
      <c r="T732" s="12"/>
      <c r="U732" s="12"/>
      <c r="W732" s="12"/>
      <c r="X732" s="12"/>
      <c r="Y732" s="12"/>
      <c r="Z732" s="12"/>
      <c r="AA732" s="12"/>
    </row>
    <row r="733" spans="1:27" ht="15.75" customHeight="1">
      <c r="A733" s="12"/>
      <c r="B733" s="12"/>
      <c r="C733" s="12"/>
      <c r="D733" s="12"/>
      <c r="E733" s="12"/>
      <c r="F733" s="12"/>
      <c r="G733" s="12"/>
      <c r="H733" s="12"/>
      <c r="I733" s="12"/>
      <c r="J733" s="12"/>
      <c r="K733" s="12"/>
      <c r="L733" s="12"/>
      <c r="M733" s="12"/>
      <c r="N733" s="12"/>
      <c r="O733" s="12"/>
      <c r="P733" s="12"/>
      <c r="Q733" s="12"/>
      <c r="R733" s="12"/>
      <c r="S733" s="12"/>
      <c r="T733" s="12"/>
      <c r="U733" s="12"/>
      <c r="W733" s="12"/>
      <c r="X733" s="12"/>
      <c r="Y733" s="12"/>
      <c r="Z733" s="12"/>
      <c r="AA733" s="12"/>
    </row>
    <row r="734" spans="1:27" ht="15.75" customHeight="1">
      <c r="A734" s="12"/>
      <c r="B734" s="12"/>
      <c r="C734" s="12"/>
      <c r="D734" s="12"/>
      <c r="E734" s="12"/>
      <c r="F734" s="12"/>
      <c r="G734" s="12"/>
      <c r="H734" s="12"/>
      <c r="I734" s="12"/>
      <c r="J734" s="12"/>
      <c r="K734" s="12"/>
      <c r="L734" s="12"/>
      <c r="M734" s="12"/>
      <c r="N734" s="12"/>
      <c r="O734" s="12"/>
      <c r="P734" s="12"/>
      <c r="Q734" s="12"/>
      <c r="R734" s="12"/>
      <c r="S734" s="12"/>
      <c r="T734" s="12"/>
      <c r="U734" s="12"/>
      <c r="W734" s="12"/>
      <c r="X734" s="12"/>
      <c r="Y734" s="12"/>
      <c r="Z734" s="12"/>
      <c r="AA734" s="12"/>
    </row>
    <row r="735" spans="1:27" ht="15.75" customHeight="1">
      <c r="A735" s="12"/>
      <c r="B735" s="12"/>
      <c r="C735" s="12"/>
      <c r="D735" s="12"/>
      <c r="E735" s="12"/>
      <c r="F735" s="12"/>
      <c r="G735" s="12"/>
      <c r="H735" s="12"/>
      <c r="I735" s="12"/>
      <c r="J735" s="12"/>
      <c r="K735" s="12"/>
      <c r="L735" s="12"/>
      <c r="M735" s="12"/>
      <c r="N735" s="12"/>
      <c r="O735" s="12"/>
      <c r="P735" s="12"/>
      <c r="Q735" s="12"/>
      <c r="R735" s="12"/>
      <c r="S735" s="12"/>
      <c r="T735" s="12"/>
      <c r="U735" s="12"/>
      <c r="W735" s="12"/>
      <c r="X735" s="12"/>
      <c r="Y735" s="12"/>
      <c r="Z735" s="12"/>
      <c r="AA735" s="12"/>
    </row>
    <row r="736" spans="1:27" ht="15.75" customHeight="1">
      <c r="A736" s="12"/>
      <c r="B736" s="12"/>
      <c r="C736" s="12"/>
      <c r="D736" s="12"/>
      <c r="E736" s="12"/>
      <c r="F736" s="12"/>
      <c r="G736" s="12"/>
      <c r="H736" s="12"/>
      <c r="I736" s="12"/>
      <c r="J736" s="12"/>
      <c r="K736" s="12"/>
      <c r="L736" s="12"/>
      <c r="M736" s="12"/>
      <c r="N736" s="12"/>
      <c r="O736" s="12"/>
      <c r="P736" s="12"/>
      <c r="Q736" s="12"/>
      <c r="R736" s="12"/>
      <c r="S736" s="12"/>
      <c r="T736" s="12"/>
      <c r="U736" s="12"/>
      <c r="W736" s="12"/>
      <c r="X736" s="12"/>
      <c r="Y736" s="12"/>
      <c r="Z736" s="12"/>
      <c r="AA736" s="12"/>
    </row>
    <row r="737" spans="1:27" ht="15.75" customHeight="1">
      <c r="A737" s="12"/>
      <c r="B737" s="12"/>
      <c r="C737" s="12"/>
      <c r="D737" s="12"/>
      <c r="E737" s="12"/>
      <c r="F737" s="12"/>
      <c r="G737" s="12"/>
      <c r="H737" s="12"/>
      <c r="I737" s="12"/>
      <c r="J737" s="12"/>
      <c r="K737" s="12"/>
      <c r="L737" s="12"/>
      <c r="M737" s="12"/>
      <c r="N737" s="12"/>
      <c r="O737" s="12"/>
      <c r="P737" s="12"/>
      <c r="Q737" s="12"/>
      <c r="R737" s="12"/>
      <c r="S737" s="12"/>
      <c r="T737" s="12"/>
      <c r="U737" s="12"/>
      <c r="W737" s="12"/>
      <c r="X737" s="12"/>
      <c r="Y737" s="12"/>
      <c r="Z737" s="12"/>
      <c r="AA737" s="12"/>
    </row>
    <row r="738" spans="1:27" ht="15.75" customHeight="1">
      <c r="A738" s="12"/>
      <c r="B738" s="12"/>
      <c r="C738" s="12"/>
      <c r="D738" s="12"/>
      <c r="E738" s="12"/>
      <c r="F738" s="12"/>
      <c r="G738" s="12"/>
      <c r="H738" s="12"/>
      <c r="I738" s="12"/>
      <c r="J738" s="12"/>
      <c r="K738" s="12"/>
      <c r="L738" s="12"/>
      <c r="M738" s="12"/>
      <c r="N738" s="12"/>
      <c r="O738" s="12"/>
      <c r="P738" s="12"/>
      <c r="Q738" s="12"/>
      <c r="R738" s="12"/>
      <c r="S738" s="12"/>
      <c r="T738" s="12"/>
      <c r="U738" s="12"/>
      <c r="W738" s="12"/>
      <c r="X738" s="12"/>
      <c r="Y738" s="12"/>
      <c r="Z738" s="12"/>
      <c r="AA738" s="12"/>
    </row>
    <row r="739" spans="1:27" ht="15.75" customHeight="1">
      <c r="A739" s="12"/>
      <c r="B739" s="12"/>
      <c r="C739" s="12"/>
      <c r="D739" s="12"/>
      <c r="E739" s="12"/>
      <c r="F739" s="12"/>
      <c r="G739" s="12"/>
      <c r="H739" s="12"/>
      <c r="I739" s="12"/>
      <c r="J739" s="12"/>
      <c r="K739" s="12"/>
      <c r="L739" s="12"/>
      <c r="M739" s="12"/>
      <c r="N739" s="12"/>
      <c r="O739" s="12"/>
      <c r="P739" s="12"/>
      <c r="Q739" s="12"/>
      <c r="R739" s="12"/>
      <c r="S739" s="12"/>
      <c r="T739" s="12"/>
      <c r="U739" s="12"/>
      <c r="W739" s="12"/>
      <c r="X739" s="12"/>
      <c r="Y739" s="12"/>
      <c r="Z739" s="12"/>
      <c r="AA739" s="12"/>
    </row>
    <row r="740" spans="1:27" ht="15.75" customHeight="1">
      <c r="A740" s="12"/>
      <c r="B740" s="12"/>
      <c r="C740" s="12"/>
      <c r="D740" s="12"/>
      <c r="E740" s="12"/>
      <c r="F740" s="12"/>
      <c r="G740" s="12"/>
      <c r="H740" s="12"/>
      <c r="I740" s="12"/>
      <c r="J740" s="12"/>
      <c r="K740" s="12"/>
      <c r="L740" s="12"/>
      <c r="M740" s="12"/>
      <c r="N740" s="12"/>
      <c r="O740" s="12"/>
      <c r="P740" s="12"/>
      <c r="Q740" s="12"/>
      <c r="R740" s="12"/>
      <c r="S740" s="12"/>
      <c r="T740" s="12"/>
      <c r="U740" s="12"/>
      <c r="W740" s="12"/>
      <c r="X740" s="12"/>
      <c r="Y740" s="12"/>
      <c r="Z740" s="12"/>
      <c r="AA740" s="12"/>
    </row>
    <row r="741" spans="1:27" ht="15.75" customHeight="1">
      <c r="A741" s="12"/>
      <c r="B741" s="12"/>
      <c r="C741" s="12"/>
      <c r="D741" s="12"/>
      <c r="E741" s="12"/>
      <c r="F741" s="12"/>
      <c r="G741" s="12"/>
      <c r="H741" s="12"/>
      <c r="I741" s="12"/>
      <c r="J741" s="12"/>
      <c r="K741" s="12"/>
      <c r="L741" s="12"/>
      <c r="M741" s="12"/>
      <c r="N741" s="12"/>
      <c r="O741" s="12"/>
      <c r="P741" s="12"/>
      <c r="Q741" s="12"/>
      <c r="R741" s="12"/>
      <c r="S741" s="12"/>
      <c r="T741" s="12"/>
      <c r="U741" s="12"/>
      <c r="W741" s="12"/>
      <c r="X741" s="12"/>
      <c r="Y741" s="12"/>
      <c r="Z741" s="12"/>
      <c r="AA741" s="12"/>
    </row>
    <row r="742" spans="1:27" ht="15.75" customHeight="1">
      <c r="A742" s="12"/>
      <c r="B742" s="12"/>
      <c r="C742" s="12"/>
      <c r="D742" s="12"/>
      <c r="E742" s="12"/>
      <c r="F742" s="12"/>
      <c r="G742" s="12"/>
      <c r="H742" s="12"/>
      <c r="I742" s="12"/>
      <c r="J742" s="12"/>
      <c r="K742" s="12"/>
      <c r="L742" s="12"/>
      <c r="M742" s="12"/>
      <c r="N742" s="12"/>
      <c r="O742" s="12"/>
      <c r="P742" s="12"/>
      <c r="Q742" s="12"/>
      <c r="R742" s="12"/>
      <c r="S742" s="12"/>
      <c r="T742" s="12"/>
      <c r="U742" s="12"/>
      <c r="W742" s="12"/>
      <c r="X742" s="12"/>
      <c r="Y742" s="12"/>
      <c r="Z742" s="12"/>
      <c r="AA742" s="12"/>
    </row>
    <row r="743" spans="1:27" ht="15.75" customHeight="1">
      <c r="A743" s="12"/>
      <c r="B743" s="12"/>
      <c r="C743" s="12"/>
      <c r="D743" s="12"/>
      <c r="E743" s="12"/>
      <c r="F743" s="12"/>
      <c r="G743" s="12"/>
      <c r="H743" s="12"/>
      <c r="I743" s="12"/>
      <c r="J743" s="12"/>
      <c r="K743" s="12"/>
      <c r="L743" s="12"/>
      <c r="M743" s="12"/>
      <c r="N743" s="12"/>
      <c r="O743" s="12"/>
      <c r="P743" s="12"/>
      <c r="Q743" s="12"/>
      <c r="R743" s="12"/>
      <c r="S743" s="12"/>
      <c r="T743" s="12"/>
      <c r="U743" s="12"/>
      <c r="W743" s="12"/>
      <c r="X743" s="12"/>
      <c r="Y743" s="12"/>
      <c r="Z743" s="12"/>
      <c r="AA743" s="12"/>
    </row>
    <row r="744" spans="1:27" ht="15.75" customHeight="1">
      <c r="A744" s="12"/>
      <c r="B744" s="12"/>
      <c r="C744" s="12"/>
      <c r="D744" s="12"/>
      <c r="E744" s="12"/>
      <c r="F744" s="12"/>
      <c r="G744" s="12"/>
      <c r="H744" s="12"/>
      <c r="I744" s="12"/>
      <c r="J744" s="12"/>
      <c r="K744" s="12"/>
      <c r="L744" s="12"/>
      <c r="M744" s="12"/>
      <c r="N744" s="12"/>
      <c r="O744" s="12"/>
      <c r="P744" s="12"/>
      <c r="Q744" s="12"/>
      <c r="R744" s="12"/>
      <c r="S744" s="12"/>
      <c r="T744" s="12"/>
      <c r="U744" s="12"/>
      <c r="W744" s="12"/>
      <c r="X744" s="12"/>
      <c r="Y744" s="12"/>
      <c r="Z744" s="12"/>
      <c r="AA744" s="12"/>
    </row>
    <row r="745" spans="1:27" ht="15.75" customHeight="1">
      <c r="A745" s="12"/>
      <c r="B745" s="12"/>
      <c r="C745" s="12"/>
      <c r="D745" s="12"/>
      <c r="E745" s="12"/>
      <c r="F745" s="12"/>
      <c r="G745" s="12"/>
      <c r="H745" s="12"/>
      <c r="I745" s="12"/>
      <c r="J745" s="12"/>
      <c r="K745" s="12"/>
      <c r="L745" s="12"/>
      <c r="M745" s="12"/>
      <c r="N745" s="12"/>
      <c r="O745" s="12"/>
      <c r="P745" s="12"/>
      <c r="Q745" s="12"/>
      <c r="R745" s="12"/>
      <c r="S745" s="12"/>
      <c r="T745" s="12"/>
      <c r="U745" s="12"/>
      <c r="W745" s="12"/>
      <c r="X745" s="12"/>
      <c r="Y745" s="12"/>
      <c r="Z745" s="12"/>
      <c r="AA745" s="12"/>
    </row>
    <row r="746" spans="1:27" ht="15.75" customHeight="1">
      <c r="A746" s="12"/>
      <c r="B746" s="12"/>
      <c r="C746" s="12"/>
      <c r="D746" s="12"/>
      <c r="E746" s="12"/>
      <c r="F746" s="12"/>
      <c r="G746" s="12"/>
      <c r="H746" s="12"/>
      <c r="I746" s="12"/>
      <c r="J746" s="12"/>
      <c r="K746" s="12"/>
      <c r="L746" s="12"/>
      <c r="M746" s="12"/>
      <c r="N746" s="12"/>
      <c r="O746" s="12"/>
      <c r="P746" s="12"/>
      <c r="Q746" s="12"/>
      <c r="R746" s="12"/>
      <c r="S746" s="12"/>
      <c r="T746" s="12"/>
      <c r="U746" s="12"/>
      <c r="W746" s="12"/>
      <c r="X746" s="12"/>
      <c r="Y746" s="12"/>
      <c r="Z746" s="12"/>
      <c r="AA746" s="12"/>
    </row>
    <row r="747" spans="1:27" ht="15.75" customHeight="1">
      <c r="A747" s="12"/>
      <c r="B747" s="12"/>
      <c r="C747" s="12"/>
      <c r="D747" s="12"/>
      <c r="E747" s="12"/>
      <c r="F747" s="12"/>
      <c r="G747" s="12"/>
      <c r="H747" s="12"/>
      <c r="I747" s="12"/>
      <c r="J747" s="12"/>
      <c r="K747" s="12"/>
      <c r="L747" s="12"/>
      <c r="M747" s="12"/>
      <c r="N747" s="12"/>
      <c r="O747" s="12"/>
      <c r="P747" s="12"/>
      <c r="Q747" s="12"/>
      <c r="R747" s="12"/>
      <c r="S747" s="12"/>
      <c r="T747" s="12"/>
      <c r="U747" s="12"/>
      <c r="W747" s="12"/>
      <c r="X747" s="12"/>
      <c r="Y747" s="12"/>
      <c r="Z747" s="12"/>
      <c r="AA747" s="12"/>
    </row>
    <row r="748" spans="1:27" ht="15.75" customHeight="1">
      <c r="A748" s="12"/>
      <c r="B748" s="12"/>
      <c r="C748" s="12"/>
      <c r="D748" s="12"/>
      <c r="E748" s="12"/>
      <c r="F748" s="12"/>
      <c r="G748" s="12"/>
      <c r="H748" s="12"/>
      <c r="I748" s="12"/>
      <c r="J748" s="12"/>
      <c r="K748" s="12"/>
      <c r="L748" s="12"/>
      <c r="M748" s="12"/>
      <c r="N748" s="12"/>
      <c r="O748" s="12"/>
      <c r="P748" s="12"/>
      <c r="Q748" s="12"/>
      <c r="R748" s="12"/>
      <c r="S748" s="12"/>
      <c r="T748" s="12"/>
      <c r="U748" s="12"/>
      <c r="W748" s="12"/>
      <c r="X748" s="12"/>
      <c r="Y748" s="12"/>
      <c r="Z748" s="12"/>
      <c r="AA748" s="12"/>
    </row>
    <row r="749" spans="1:27" ht="15.75" customHeight="1">
      <c r="A749" s="12"/>
      <c r="B749" s="12"/>
      <c r="C749" s="12"/>
      <c r="D749" s="12"/>
      <c r="E749" s="12"/>
      <c r="F749" s="12"/>
      <c r="G749" s="12"/>
      <c r="H749" s="12"/>
      <c r="I749" s="12"/>
      <c r="J749" s="12"/>
      <c r="K749" s="12"/>
      <c r="L749" s="12"/>
      <c r="M749" s="12"/>
      <c r="N749" s="12"/>
      <c r="O749" s="12"/>
      <c r="P749" s="12"/>
      <c r="Q749" s="12"/>
      <c r="R749" s="12"/>
      <c r="S749" s="12"/>
      <c r="T749" s="12"/>
      <c r="U749" s="12"/>
      <c r="W749" s="12"/>
      <c r="X749" s="12"/>
      <c r="Y749" s="12"/>
      <c r="Z749" s="12"/>
      <c r="AA749" s="12"/>
    </row>
    <row r="750" spans="1:27" ht="15.75" customHeight="1">
      <c r="A750" s="12"/>
      <c r="B750" s="12"/>
      <c r="C750" s="12"/>
      <c r="D750" s="12"/>
      <c r="E750" s="12"/>
      <c r="F750" s="12"/>
      <c r="G750" s="12"/>
      <c r="H750" s="12"/>
      <c r="I750" s="12"/>
      <c r="J750" s="12"/>
      <c r="K750" s="12"/>
      <c r="L750" s="12"/>
      <c r="M750" s="12"/>
      <c r="N750" s="12"/>
      <c r="O750" s="12"/>
      <c r="P750" s="12"/>
      <c r="Q750" s="12"/>
      <c r="R750" s="12"/>
      <c r="S750" s="12"/>
      <c r="T750" s="12"/>
      <c r="U750" s="12"/>
      <c r="W750" s="12"/>
      <c r="X750" s="12"/>
      <c r="Y750" s="12"/>
      <c r="Z750" s="12"/>
      <c r="AA750" s="12"/>
    </row>
    <row r="751" spans="1:27" ht="15.75" customHeight="1">
      <c r="A751" s="12"/>
      <c r="B751" s="12"/>
      <c r="C751" s="12"/>
      <c r="D751" s="12"/>
      <c r="E751" s="12"/>
      <c r="F751" s="12"/>
      <c r="G751" s="12"/>
      <c r="H751" s="12"/>
      <c r="I751" s="12"/>
      <c r="J751" s="12"/>
      <c r="K751" s="12"/>
      <c r="L751" s="12"/>
      <c r="M751" s="12"/>
      <c r="N751" s="12"/>
      <c r="O751" s="12"/>
      <c r="P751" s="12"/>
      <c r="Q751" s="12"/>
      <c r="R751" s="12"/>
      <c r="S751" s="12"/>
      <c r="T751" s="12"/>
      <c r="U751" s="12"/>
      <c r="W751" s="12"/>
      <c r="X751" s="12"/>
      <c r="Y751" s="12"/>
      <c r="Z751" s="12"/>
      <c r="AA751" s="12"/>
    </row>
    <row r="752" spans="1:27" ht="15.75" customHeight="1">
      <c r="A752" s="12"/>
      <c r="B752" s="12"/>
      <c r="C752" s="12"/>
      <c r="D752" s="12"/>
      <c r="E752" s="12"/>
      <c r="F752" s="12"/>
      <c r="G752" s="12"/>
      <c r="H752" s="12"/>
      <c r="I752" s="12"/>
      <c r="J752" s="12"/>
      <c r="K752" s="12"/>
      <c r="L752" s="12"/>
      <c r="M752" s="12"/>
      <c r="N752" s="12"/>
      <c r="O752" s="12"/>
      <c r="P752" s="12"/>
      <c r="Q752" s="12"/>
      <c r="R752" s="12"/>
      <c r="S752" s="12"/>
      <c r="T752" s="12"/>
      <c r="U752" s="12"/>
      <c r="W752" s="12"/>
      <c r="X752" s="12"/>
      <c r="Y752" s="12"/>
      <c r="Z752" s="12"/>
      <c r="AA752" s="12"/>
    </row>
    <row r="753" spans="1:27" ht="15.75" customHeight="1">
      <c r="A753" s="12"/>
      <c r="B753" s="12"/>
      <c r="C753" s="12"/>
      <c r="D753" s="12"/>
      <c r="E753" s="12"/>
      <c r="F753" s="12"/>
      <c r="G753" s="12"/>
      <c r="H753" s="12"/>
      <c r="I753" s="12"/>
      <c r="J753" s="12"/>
      <c r="K753" s="12"/>
      <c r="L753" s="12"/>
      <c r="M753" s="12"/>
      <c r="N753" s="12"/>
      <c r="O753" s="12"/>
      <c r="P753" s="12"/>
      <c r="Q753" s="12"/>
      <c r="R753" s="12"/>
      <c r="S753" s="12"/>
      <c r="T753" s="12"/>
      <c r="U753" s="12"/>
      <c r="W753" s="12"/>
      <c r="X753" s="12"/>
      <c r="Y753" s="12"/>
      <c r="Z753" s="12"/>
      <c r="AA753" s="12"/>
    </row>
    <row r="754" spans="1:27" ht="15.75" customHeight="1">
      <c r="A754" s="12"/>
      <c r="B754" s="12"/>
      <c r="C754" s="12"/>
      <c r="D754" s="12"/>
      <c r="E754" s="12"/>
      <c r="F754" s="12"/>
      <c r="G754" s="12"/>
      <c r="H754" s="12"/>
      <c r="I754" s="12"/>
      <c r="J754" s="12"/>
      <c r="K754" s="12"/>
      <c r="L754" s="12"/>
      <c r="M754" s="12"/>
      <c r="N754" s="12"/>
      <c r="O754" s="12"/>
      <c r="P754" s="12"/>
      <c r="Q754" s="12"/>
      <c r="R754" s="12"/>
      <c r="S754" s="12"/>
      <c r="T754" s="12"/>
      <c r="U754" s="12"/>
      <c r="W754" s="12"/>
      <c r="X754" s="12"/>
      <c r="Y754" s="12"/>
      <c r="Z754" s="12"/>
      <c r="AA754" s="12"/>
    </row>
    <row r="755" spans="1:27" ht="15.75" customHeight="1">
      <c r="A755" s="12"/>
      <c r="B755" s="12"/>
      <c r="C755" s="12"/>
      <c r="D755" s="12"/>
      <c r="E755" s="12"/>
      <c r="F755" s="12"/>
      <c r="G755" s="12"/>
      <c r="H755" s="12"/>
      <c r="I755" s="12"/>
      <c r="J755" s="12"/>
      <c r="K755" s="12"/>
      <c r="L755" s="12"/>
      <c r="M755" s="12"/>
      <c r="N755" s="12"/>
      <c r="O755" s="12"/>
      <c r="P755" s="12"/>
      <c r="Q755" s="12"/>
      <c r="R755" s="12"/>
      <c r="S755" s="12"/>
      <c r="T755" s="12"/>
      <c r="U755" s="12"/>
      <c r="W755" s="12"/>
      <c r="X755" s="12"/>
      <c r="Y755" s="12"/>
      <c r="Z755" s="12"/>
      <c r="AA755" s="12"/>
    </row>
    <row r="756" spans="1:27" ht="15.75" customHeight="1">
      <c r="A756" s="12"/>
      <c r="B756" s="12"/>
      <c r="C756" s="12"/>
      <c r="D756" s="12"/>
      <c r="E756" s="12"/>
      <c r="F756" s="12"/>
      <c r="G756" s="12"/>
      <c r="H756" s="12"/>
      <c r="I756" s="12"/>
      <c r="J756" s="12"/>
      <c r="K756" s="12"/>
      <c r="L756" s="12"/>
      <c r="M756" s="12"/>
      <c r="N756" s="12"/>
      <c r="O756" s="12"/>
      <c r="P756" s="12"/>
      <c r="Q756" s="12"/>
      <c r="R756" s="12"/>
      <c r="S756" s="12"/>
      <c r="T756" s="12"/>
      <c r="U756" s="12"/>
      <c r="W756" s="12"/>
      <c r="X756" s="12"/>
      <c r="Y756" s="12"/>
      <c r="Z756" s="12"/>
      <c r="AA756" s="12"/>
    </row>
    <row r="757" spans="1:27" ht="15.75" customHeight="1">
      <c r="A757" s="12"/>
      <c r="B757" s="12"/>
      <c r="C757" s="12"/>
      <c r="D757" s="12"/>
      <c r="E757" s="12"/>
      <c r="F757" s="12"/>
      <c r="G757" s="12"/>
      <c r="H757" s="12"/>
      <c r="I757" s="12"/>
      <c r="J757" s="12"/>
      <c r="K757" s="12"/>
      <c r="L757" s="12"/>
      <c r="M757" s="12"/>
      <c r="N757" s="12"/>
      <c r="O757" s="12"/>
      <c r="P757" s="12"/>
      <c r="Q757" s="12"/>
      <c r="R757" s="12"/>
      <c r="S757" s="12"/>
      <c r="T757" s="12"/>
      <c r="U757" s="12"/>
      <c r="W757" s="12"/>
      <c r="X757" s="12"/>
      <c r="Y757" s="12"/>
      <c r="Z757" s="12"/>
      <c r="AA757" s="12"/>
    </row>
    <row r="758" spans="1:27" ht="15.75" customHeight="1">
      <c r="A758" s="12"/>
      <c r="B758" s="12"/>
      <c r="C758" s="12"/>
      <c r="D758" s="12"/>
      <c r="E758" s="12"/>
      <c r="F758" s="12"/>
      <c r="G758" s="12"/>
      <c r="H758" s="12"/>
      <c r="I758" s="12"/>
      <c r="J758" s="12"/>
      <c r="K758" s="12"/>
      <c r="L758" s="12"/>
      <c r="M758" s="12"/>
      <c r="N758" s="12"/>
      <c r="O758" s="12"/>
      <c r="P758" s="12"/>
      <c r="Q758" s="12"/>
      <c r="R758" s="12"/>
      <c r="S758" s="12"/>
      <c r="T758" s="12"/>
      <c r="U758" s="12"/>
      <c r="W758" s="12"/>
      <c r="X758" s="12"/>
      <c r="Y758" s="12"/>
      <c r="Z758" s="12"/>
      <c r="AA758" s="12"/>
    </row>
    <row r="759" spans="1:27" ht="15.75" customHeight="1">
      <c r="A759" s="12"/>
      <c r="B759" s="12"/>
      <c r="C759" s="12"/>
      <c r="D759" s="12"/>
      <c r="E759" s="12"/>
      <c r="F759" s="12"/>
      <c r="G759" s="12"/>
      <c r="H759" s="12"/>
      <c r="I759" s="12"/>
      <c r="J759" s="12"/>
      <c r="K759" s="12"/>
      <c r="L759" s="12"/>
      <c r="M759" s="12"/>
      <c r="N759" s="12"/>
      <c r="O759" s="12"/>
      <c r="P759" s="12"/>
      <c r="Q759" s="12"/>
      <c r="R759" s="12"/>
      <c r="S759" s="12"/>
      <c r="T759" s="12"/>
      <c r="U759" s="12"/>
      <c r="W759" s="12"/>
      <c r="X759" s="12"/>
      <c r="Y759" s="12"/>
      <c r="Z759" s="12"/>
      <c r="AA759" s="12"/>
    </row>
    <row r="760" spans="1:27" ht="15.75" customHeight="1">
      <c r="A760" s="12"/>
      <c r="B760" s="12"/>
      <c r="C760" s="12"/>
      <c r="D760" s="12"/>
      <c r="E760" s="12"/>
      <c r="F760" s="12"/>
      <c r="G760" s="12"/>
      <c r="H760" s="12"/>
      <c r="I760" s="12"/>
      <c r="J760" s="12"/>
      <c r="K760" s="12"/>
      <c r="L760" s="12"/>
      <c r="M760" s="12"/>
      <c r="N760" s="12"/>
      <c r="O760" s="12"/>
      <c r="P760" s="12"/>
      <c r="Q760" s="12"/>
      <c r="R760" s="12"/>
      <c r="S760" s="12"/>
      <c r="T760" s="12"/>
      <c r="U760" s="12"/>
      <c r="W760" s="12"/>
      <c r="X760" s="12"/>
      <c r="Y760" s="12"/>
      <c r="Z760" s="12"/>
      <c r="AA760" s="12"/>
    </row>
    <row r="761" spans="1:27" ht="15.75" customHeight="1">
      <c r="A761" s="12"/>
      <c r="B761" s="12"/>
      <c r="C761" s="12"/>
      <c r="D761" s="12"/>
      <c r="E761" s="12"/>
      <c r="F761" s="12"/>
      <c r="G761" s="12"/>
      <c r="H761" s="12"/>
      <c r="I761" s="12"/>
      <c r="J761" s="12"/>
      <c r="K761" s="12"/>
      <c r="L761" s="12"/>
      <c r="M761" s="12"/>
      <c r="N761" s="12"/>
      <c r="O761" s="12"/>
      <c r="P761" s="12"/>
      <c r="Q761" s="12"/>
      <c r="R761" s="12"/>
      <c r="S761" s="12"/>
      <c r="T761" s="12"/>
      <c r="U761" s="12"/>
      <c r="W761" s="12"/>
      <c r="X761" s="12"/>
      <c r="Y761" s="12"/>
      <c r="Z761" s="12"/>
      <c r="AA761" s="12"/>
    </row>
    <row r="762" spans="1:27" ht="15.75" customHeight="1">
      <c r="A762" s="12"/>
      <c r="B762" s="12"/>
      <c r="C762" s="12"/>
      <c r="D762" s="12"/>
      <c r="E762" s="12"/>
      <c r="F762" s="12"/>
      <c r="G762" s="12"/>
      <c r="H762" s="12"/>
      <c r="I762" s="12"/>
      <c r="J762" s="12"/>
      <c r="K762" s="12"/>
      <c r="L762" s="12"/>
      <c r="M762" s="12"/>
      <c r="N762" s="12"/>
      <c r="O762" s="12"/>
      <c r="P762" s="12"/>
      <c r="Q762" s="12"/>
      <c r="R762" s="12"/>
      <c r="S762" s="12"/>
      <c r="T762" s="12"/>
      <c r="U762" s="12"/>
      <c r="W762" s="12"/>
      <c r="X762" s="12"/>
      <c r="Y762" s="12"/>
      <c r="Z762" s="12"/>
      <c r="AA762" s="12"/>
    </row>
    <row r="763" spans="1:27" ht="15.75" customHeight="1">
      <c r="A763" s="12"/>
      <c r="B763" s="12"/>
      <c r="C763" s="12"/>
      <c r="D763" s="12"/>
      <c r="E763" s="12"/>
      <c r="F763" s="12"/>
      <c r="G763" s="12"/>
      <c r="H763" s="12"/>
      <c r="I763" s="12"/>
      <c r="J763" s="12"/>
      <c r="K763" s="12"/>
      <c r="L763" s="12"/>
      <c r="M763" s="12"/>
      <c r="N763" s="12"/>
      <c r="O763" s="12"/>
      <c r="P763" s="12"/>
      <c r="Q763" s="12"/>
      <c r="R763" s="12"/>
      <c r="S763" s="12"/>
      <c r="T763" s="12"/>
      <c r="U763" s="12"/>
      <c r="W763" s="12"/>
      <c r="X763" s="12"/>
      <c r="Y763" s="12"/>
      <c r="Z763" s="12"/>
      <c r="AA763" s="12"/>
    </row>
    <row r="764" spans="1:27" ht="15.75" customHeight="1">
      <c r="A764" s="12"/>
      <c r="B764" s="12"/>
      <c r="C764" s="12"/>
      <c r="D764" s="12"/>
      <c r="E764" s="12"/>
      <c r="F764" s="12"/>
      <c r="G764" s="12"/>
      <c r="H764" s="12"/>
      <c r="I764" s="12"/>
      <c r="J764" s="12"/>
      <c r="K764" s="12"/>
      <c r="L764" s="12"/>
      <c r="M764" s="12"/>
      <c r="N764" s="12"/>
      <c r="O764" s="12"/>
      <c r="P764" s="12"/>
      <c r="Q764" s="12"/>
      <c r="R764" s="12"/>
      <c r="S764" s="12"/>
      <c r="T764" s="12"/>
      <c r="U764" s="12"/>
      <c r="W764" s="12"/>
      <c r="X764" s="12"/>
      <c r="Y764" s="12"/>
      <c r="Z764" s="12"/>
      <c r="AA764" s="12"/>
    </row>
    <row r="765" spans="1:27" ht="15.75" customHeight="1">
      <c r="A765" s="12"/>
      <c r="B765" s="12"/>
      <c r="C765" s="12"/>
      <c r="D765" s="12"/>
      <c r="E765" s="12"/>
      <c r="F765" s="12"/>
      <c r="G765" s="12"/>
      <c r="H765" s="12"/>
      <c r="I765" s="12"/>
      <c r="J765" s="12"/>
      <c r="K765" s="12"/>
      <c r="L765" s="12"/>
      <c r="M765" s="12"/>
      <c r="N765" s="12"/>
      <c r="O765" s="12"/>
      <c r="P765" s="12"/>
      <c r="Q765" s="12"/>
      <c r="R765" s="12"/>
      <c r="S765" s="12"/>
      <c r="T765" s="12"/>
      <c r="U765" s="12"/>
      <c r="W765" s="12"/>
      <c r="X765" s="12"/>
      <c r="Y765" s="12"/>
      <c r="Z765" s="12"/>
      <c r="AA765" s="12"/>
    </row>
    <row r="766" spans="1:27" ht="15.75" customHeight="1">
      <c r="A766" s="12"/>
      <c r="B766" s="12"/>
      <c r="C766" s="12"/>
      <c r="D766" s="12"/>
      <c r="E766" s="12"/>
      <c r="F766" s="12"/>
      <c r="G766" s="12"/>
      <c r="H766" s="12"/>
      <c r="I766" s="12"/>
      <c r="J766" s="12"/>
      <c r="K766" s="12"/>
      <c r="L766" s="12"/>
      <c r="M766" s="12"/>
      <c r="N766" s="12"/>
      <c r="O766" s="12"/>
      <c r="P766" s="12"/>
      <c r="Q766" s="12"/>
      <c r="R766" s="12"/>
      <c r="S766" s="12"/>
      <c r="T766" s="12"/>
      <c r="U766" s="12"/>
      <c r="W766" s="12"/>
      <c r="X766" s="12"/>
      <c r="Y766" s="12"/>
      <c r="Z766" s="12"/>
      <c r="AA766" s="12"/>
    </row>
    <row r="767" spans="1:27" ht="15.75" customHeight="1">
      <c r="A767" s="12"/>
      <c r="B767" s="12"/>
      <c r="C767" s="12"/>
      <c r="D767" s="12"/>
      <c r="E767" s="12"/>
      <c r="F767" s="12"/>
      <c r="G767" s="12"/>
      <c r="H767" s="12"/>
      <c r="I767" s="12"/>
      <c r="J767" s="12"/>
      <c r="K767" s="12"/>
      <c r="L767" s="12"/>
      <c r="M767" s="12"/>
      <c r="N767" s="12"/>
      <c r="O767" s="12"/>
      <c r="P767" s="12"/>
      <c r="Q767" s="12"/>
      <c r="R767" s="12"/>
      <c r="S767" s="12"/>
      <c r="T767" s="12"/>
      <c r="U767" s="12"/>
      <c r="W767" s="12"/>
      <c r="X767" s="12"/>
      <c r="Y767" s="12"/>
      <c r="Z767" s="12"/>
      <c r="AA767" s="12"/>
    </row>
    <row r="768" spans="1:27" ht="15.75" customHeight="1">
      <c r="A768" s="12"/>
      <c r="B768" s="12"/>
      <c r="C768" s="12"/>
      <c r="D768" s="12"/>
      <c r="E768" s="12"/>
      <c r="F768" s="12"/>
      <c r="G768" s="12"/>
      <c r="H768" s="12"/>
      <c r="I768" s="12"/>
      <c r="J768" s="12"/>
      <c r="K768" s="12"/>
      <c r="L768" s="12"/>
      <c r="M768" s="12"/>
      <c r="N768" s="12"/>
      <c r="O768" s="12"/>
      <c r="P768" s="12"/>
      <c r="Q768" s="12"/>
      <c r="R768" s="12"/>
      <c r="S768" s="12"/>
      <c r="T768" s="12"/>
      <c r="U768" s="12"/>
      <c r="W768" s="12"/>
      <c r="X768" s="12"/>
      <c r="Y768" s="12"/>
      <c r="Z768" s="12"/>
      <c r="AA768" s="12"/>
    </row>
    <row r="769" spans="1:27" ht="15.75" customHeight="1">
      <c r="A769" s="12"/>
      <c r="B769" s="12"/>
      <c r="C769" s="12"/>
      <c r="D769" s="12"/>
      <c r="E769" s="12"/>
      <c r="F769" s="12"/>
      <c r="G769" s="12"/>
      <c r="H769" s="12"/>
      <c r="I769" s="12"/>
      <c r="J769" s="12"/>
      <c r="K769" s="12"/>
      <c r="L769" s="12"/>
      <c r="M769" s="12"/>
      <c r="N769" s="12"/>
      <c r="O769" s="12"/>
      <c r="P769" s="12"/>
      <c r="Q769" s="12"/>
      <c r="R769" s="12"/>
      <c r="S769" s="12"/>
      <c r="T769" s="12"/>
      <c r="U769" s="12"/>
      <c r="W769" s="12"/>
      <c r="X769" s="12"/>
      <c r="Y769" s="12"/>
      <c r="Z769" s="12"/>
      <c r="AA769" s="12"/>
    </row>
    <row r="770" spans="1:27" ht="15.75" customHeight="1">
      <c r="A770" s="12"/>
      <c r="B770" s="12"/>
      <c r="C770" s="12"/>
      <c r="D770" s="12"/>
      <c r="E770" s="12"/>
      <c r="F770" s="12"/>
      <c r="G770" s="12"/>
      <c r="H770" s="12"/>
      <c r="I770" s="12"/>
      <c r="J770" s="12"/>
      <c r="K770" s="12"/>
      <c r="L770" s="12"/>
      <c r="M770" s="12"/>
      <c r="N770" s="12"/>
      <c r="O770" s="12"/>
      <c r="P770" s="12"/>
      <c r="Q770" s="12"/>
      <c r="R770" s="12"/>
      <c r="S770" s="12"/>
      <c r="T770" s="12"/>
      <c r="U770" s="12"/>
      <c r="W770" s="12"/>
      <c r="X770" s="12"/>
      <c r="Y770" s="12"/>
      <c r="Z770" s="12"/>
      <c r="AA770" s="12"/>
    </row>
    <row r="771" spans="1:27" ht="15.75" customHeight="1">
      <c r="A771" s="12"/>
      <c r="B771" s="12"/>
      <c r="C771" s="12"/>
      <c r="D771" s="12"/>
      <c r="E771" s="12"/>
      <c r="F771" s="12"/>
      <c r="G771" s="12"/>
      <c r="H771" s="12"/>
      <c r="I771" s="12"/>
      <c r="J771" s="12"/>
      <c r="K771" s="12"/>
      <c r="L771" s="12"/>
      <c r="M771" s="12"/>
      <c r="N771" s="12"/>
      <c r="O771" s="12"/>
      <c r="P771" s="12"/>
      <c r="Q771" s="12"/>
      <c r="R771" s="12"/>
      <c r="S771" s="12"/>
      <c r="T771" s="12"/>
      <c r="U771" s="12"/>
      <c r="W771" s="12"/>
      <c r="X771" s="12"/>
      <c r="Y771" s="12"/>
      <c r="Z771" s="12"/>
      <c r="AA771" s="12"/>
    </row>
    <row r="772" spans="1:27" ht="15.75" customHeight="1">
      <c r="A772" s="12"/>
      <c r="B772" s="12"/>
      <c r="C772" s="12"/>
      <c r="D772" s="12"/>
      <c r="E772" s="12"/>
      <c r="F772" s="12"/>
      <c r="G772" s="12"/>
      <c r="H772" s="12"/>
      <c r="I772" s="12"/>
      <c r="J772" s="12"/>
      <c r="K772" s="12"/>
      <c r="L772" s="12"/>
      <c r="M772" s="12"/>
      <c r="N772" s="12"/>
      <c r="O772" s="12"/>
      <c r="P772" s="12"/>
      <c r="Q772" s="12"/>
      <c r="R772" s="12"/>
      <c r="S772" s="12"/>
      <c r="T772" s="12"/>
      <c r="U772" s="12"/>
      <c r="W772" s="12"/>
      <c r="X772" s="12"/>
      <c r="Y772" s="12"/>
      <c r="Z772" s="12"/>
      <c r="AA772" s="12"/>
    </row>
    <row r="773" spans="1:27" ht="15.75" customHeight="1">
      <c r="A773" s="12"/>
      <c r="B773" s="12"/>
      <c r="C773" s="12"/>
      <c r="D773" s="12"/>
      <c r="E773" s="12"/>
      <c r="F773" s="12"/>
      <c r="G773" s="12"/>
      <c r="H773" s="12"/>
      <c r="I773" s="12"/>
      <c r="J773" s="12"/>
      <c r="K773" s="12"/>
      <c r="L773" s="12"/>
      <c r="M773" s="12"/>
      <c r="N773" s="12"/>
      <c r="O773" s="12"/>
      <c r="P773" s="12"/>
      <c r="Q773" s="12"/>
      <c r="R773" s="12"/>
      <c r="S773" s="12"/>
      <c r="T773" s="12"/>
      <c r="U773" s="12"/>
      <c r="W773" s="12"/>
      <c r="X773" s="12"/>
      <c r="Y773" s="12"/>
      <c r="Z773" s="12"/>
      <c r="AA773" s="12"/>
    </row>
    <row r="774" spans="1:27" ht="15.75" customHeight="1">
      <c r="A774" s="12"/>
      <c r="B774" s="12"/>
      <c r="C774" s="12"/>
      <c r="D774" s="12"/>
      <c r="E774" s="12"/>
      <c r="F774" s="12"/>
      <c r="G774" s="12"/>
      <c r="H774" s="12"/>
      <c r="I774" s="12"/>
      <c r="J774" s="12"/>
      <c r="K774" s="12"/>
      <c r="L774" s="12"/>
      <c r="M774" s="12"/>
      <c r="N774" s="12"/>
      <c r="O774" s="12"/>
      <c r="P774" s="12"/>
      <c r="Q774" s="12"/>
      <c r="R774" s="12"/>
      <c r="S774" s="12"/>
      <c r="T774" s="12"/>
      <c r="U774" s="12"/>
      <c r="W774" s="12"/>
      <c r="X774" s="12"/>
      <c r="Y774" s="12"/>
      <c r="Z774" s="12"/>
      <c r="AA774" s="12"/>
    </row>
    <row r="775" spans="1:27" ht="15.75" customHeight="1">
      <c r="A775" s="12"/>
      <c r="B775" s="12"/>
      <c r="C775" s="12"/>
      <c r="D775" s="12"/>
      <c r="E775" s="12"/>
      <c r="F775" s="12"/>
      <c r="G775" s="12"/>
      <c r="H775" s="12"/>
      <c r="I775" s="12"/>
      <c r="J775" s="12"/>
      <c r="K775" s="12"/>
      <c r="L775" s="12"/>
      <c r="M775" s="12"/>
      <c r="N775" s="12"/>
      <c r="O775" s="12"/>
      <c r="P775" s="12"/>
      <c r="Q775" s="12"/>
      <c r="R775" s="12"/>
      <c r="S775" s="12"/>
      <c r="T775" s="12"/>
      <c r="U775" s="12"/>
      <c r="W775" s="12"/>
      <c r="X775" s="12"/>
      <c r="Y775" s="12"/>
      <c r="Z775" s="12"/>
      <c r="AA775" s="12"/>
    </row>
    <row r="776" spans="1:27" ht="15.75" customHeight="1">
      <c r="A776" s="12"/>
      <c r="B776" s="12"/>
      <c r="C776" s="12"/>
      <c r="D776" s="12"/>
      <c r="E776" s="12"/>
      <c r="F776" s="12"/>
      <c r="G776" s="12"/>
      <c r="H776" s="12"/>
      <c r="I776" s="12"/>
      <c r="J776" s="12"/>
      <c r="K776" s="12"/>
      <c r="L776" s="12"/>
      <c r="M776" s="12"/>
      <c r="N776" s="12"/>
      <c r="O776" s="12"/>
      <c r="P776" s="12"/>
      <c r="Q776" s="12"/>
      <c r="R776" s="12"/>
      <c r="S776" s="12"/>
      <c r="T776" s="12"/>
      <c r="U776" s="12"/>
      <c r="W776" s="12"/>
      <c r="X776" s="12"/>
      <c r="Y776" s="12"/>
      <c r="Z776" s="12"/>
      <c r="AA776" s="12"/>
    </row>
    <row r="777" spans="1:27" ht="15.75" customHeight="1">
      <c r="A777" s="12"/>
      <c r="B777" s="12"/>
      <c r="C777" s="12"/>
      <c r="D777" s="12"/>
      <c r="E777" s="12"/>
      <c r="F777" s="12"/>
      <c r="G777" s="12"/>
      <c r="H777" s="12"/>
      <c r="I777" s="12"/>
      <c r="J777" s="12"/>
      <c r="K777" s="12"/>
      <c r="L777" s="12"/>
      <c r="M777" s="12"/>
      <c r="N777" s="12"/>
      <c r="O777" s="12"/>
      <c r="P777" s="12"/>
      <c r="Q777" s="12"/>
      <c r="R777" s="12"/>
      <c r="S777" s="12"/>
      <c r="T777" s="12"/>
      <c r="U777" s="12"/>
      <c r="W777" s="12"/>
      <c r="X777" s="12"/>
      <c r="Y777" s="12"/>
      <c r="Z777" s="12"/>
      <c r="AA777" s="12"/>
    </row>
    <row r="778" spans="1:27" ht="15.75" customHeight="1">
      <c r="A778" s="12"/>
      <c r="B778" s="12"/>
      <c r="C778" s="12"/>
      <c r="D778" s="12"/>
      <c r="E778" s="12"/>
      <c r="F778" s="12"/>
      <c r="G778" s="12"/>
      <c r="H778" s="12"/>
      <c r="I778" s="12"/>
      <c r="J778" s="12"/>
      <c r="K778" s="12"/>
      <c r="L778" s="12"/>
      <c r="M778" s="12"/>
      <c r="N778" s="12"/>
      <c r="O778" s="12"/>
      <c r="P778" s="12"/>
      <c r="Q778" s="12"/>
      <c r="R778" s="12"/>
      <c r="S778" s="12"/>
      <c r="T778" s="12"/>
      <c r="U778" s="12"/>
      <c r="W778" s="12"/>
      <c r="X778" s="12"/>
      <c r="Y778" s="12"/>
      <c r="Z778" s="12"/>
      <c r="AA778" s="12"/>
    </row>
    <row r="779" spans="1:27" ht="15.75" customHeight="1">
      <c r="A779" s="12"/>
      <c r="B779" s="12"/>
      <c r="C779" s="12"/>
      <c r="D779" s="12"/>
      <c r="E779" s="12"/>
      <c r="F779" s="12"/>
      <c r="G779" s="12"/>
      <c r="H779" s="12"/>
      <c r="I779" s="12"/>
      <c r="J779" s="12"/>
      <c r="K779" s="12"/>
      <c r="L779" s="12"/>
      <c r="M779" s="12"/>
      <c r="N779" s="12"/>
      <c r="O779" s="12"/>
      <c r="P779" s="12"/>
      <c r="Q779" s="12"/>
      <c r="R779" s="12"/>
      <c r="S779" s="12"/>
      <c r="T779" s="12"/>
      <c r="U779" s="12"/>
      <c r="W779" s="12"/>
      <c r="X779" s="12"/>
      <c r="Y779" s="12"/>
      <c r="Z779" s="12"/>
      <c r="AA779" s="12"/>
    </row>
    <row r="780" spans="1:27" ht="15.75" customHeight="1">
      <c r="A780" s="12"/>
      <c r="B780" s="12"/>
      <c r="C780" s="12"/>
      <c r="D780" s="12"/>
      <c r="E780" s="12"/>
      <c r="F780" s="12"/>
      <c r="G780" s="12"/>
      <c r="H780" s="12"/>
      <c r="I780" s="12"/>
      <c r="J780" s="12"/>
      <c r="K780" s="12"/>
      <c r="L780" s="12"/>
      <c r="M780" s="12"/>
      <c r="N780" s="12"/>
      <c r="O780" s="12"/>
      <c r="P780" s="12"/>
      <c r="Q780" s="12"/>
      <c r="R780" s="12"/>
      <c r="S780" s="12"/>
      <c r="T780" s="12"/>
      <c r="U780" s="12"/>
      <c r="W780" s="12"/>
      <c r="X780" s="12"/>
      <c r="Y780" s="12"/>
      <c r="Z780" s="12"/>
      <c r="AA780" s="12"/>
    </row>
    <row r="781" spans="1:27" ht="15.75" customHeight="1">
      <c r="A781" s="12"/>
      <c r="B781" s="12"/>
      <c r="C781" s="12"/>
      <c r="D781" s="12"/>
      <c r="E781" s="12"/>
      <c r="F781" s="12"/>
      <c r="G781" s="12"/>
      <c r="H781" s="12"/>
      <c r="I781" s="12"/>
      <c r="J781" s="12"/>
      <c r="K781" s="12"/>
      <c r="L781" s="12"/>
      <c r="M781" s="12"/>
      <c r="N781" s="12"/>
      <c r="O781" s="12"/>
      <c r="P781" s="12"/>
      <c r="Q781" s="12"/>
      <c r="R781" s="12"/>
      <c r="S781" s="12"/>
      <c r="T781" s="12"/>
      <c r="U781" s="12"/>
      <c r="W781" s="12"/>
      <c r="X781" s="12"/>
      <c r="Y781" s="12"/>
      <c r="Z781" s="12"/>
      <c r="AA781" s="12"/>
    </row>
    <row r="782" spans="1:27" ht="15.75" customHeight="1">
      <c r="A782" s="12"/>
      <c r="B782" s="12"/>
      <c r="C782" s="12"/>
      <c r="D782" s="12"/>
      <c r="E782" s="12"/>
      <c r="F782" s="12"/>
      <c r="G782" s="12"/>
      <c r="H782" s="12"/>
      <c r="I782" s="12"/>
      <c r="J782" s="12"/>
      <c r="K782" s="12"/>
      <c r="L782" s="12"/>
      <c r="M782" s="12"/>
      <c r="N782" s="12"/>
      <c r="O782" s="12"/>
      <c r="P782" s="12"/>
      <c r="Q782" s="12"/>
      <c r="R782" s="12"/>
      <c r="S782" s="12"/>
      <c r="T782" s="12"/>
      <c r="U782" s="12"/>
      <c r="W782" s="12"/>
      <c r="X782" s="12"/>
      <c r="Y782" s="12"/>
      <c r="Z782" s="12"/>
      <c r="AA782" s="12"/>
    </row>
    <row r="783" spans="1:27" ht="15.75" customHeight="1">
      <c r="A783" s="12"/>
      <c r="B783" s="12"/>
      <c r="C783" s="12"/>
      <c r="D783" s="12"/>
      <c r="E783" s="12"/>
      <c r="F783" s="12"/>
      <c r="G783" s="12"/>
      <c r="H783" s="12"/>
      <c r="I783" s="12"/>
      <c r="J783" s="12"/>
      <c r="K783" s="12"/>
      <c r="L783" s="12"/>
      <c r="M783" s="12"/>
      <c r="N783" s="12"/>
      <c r="O783" s="12"/>
      <c r="P783" s="12"/>
      <c r="Q783" s="12"/>
      <c r="R783" s="12"/>
      <c r="S783" s="12"/>
      <c r="T783" s="12"/>
      <c r="U783" s="12"/>
      <c r="W783" s="12"/>
      <c r="X783" s="12"/>
      <c r="Y783" s="12"/>
      <c r="Z783" s="12"/>
      <c r="AA783" s="12"/>
    </row>
    <row r="784" spans="1:27" ht="15.75" customHeight="1">
      <c r="A784" s="12"/>
      <c r="B784" s="12"/>
      <c r="C784" s="12"/>
      <c r="D784" s="12"/>
      <c r="E784" s="12"/>
      <c r="F784" s="12"/>
      <c r="G784" s="12"/>
      <c r="H784" s="12"/>
      <c r="I784" s="12"/>
      <c r="J784" s="12"/>
      <c r="K784" s="12"/>
      <c r="L784" s="12"/>
      <c r="M784" s="12"/>
      <c r="N784" s="12"/>
      <c r="O784" s="12"/>
      <c r="P784" s="12"/>
      <c r="Q784" s="12"/>
      <c r="R784" s="12"/>
      <c r="S784" s="12"/>
      <c r="T784" s="12"/>
      <c r="U784" s="12"/>
      <c r="W784" s="12"/>
      <c r="X784" s="12"/>
      <c r="Y784" s="12"/>
      <c r="Z784" s="12"/>
      <c r="AA784" s="12"/>
    </row>
    <row r="785" spans="1:27" ht="15.75" customHeight="1">
      <c r="A785" s="12"/>
      <c r="B785" s="12"/>
      <c r="C785" s="12"/>
      <c r="D785" s="12"/>
      <c r="E785" s="12"/>
      <c r="F785" s="12"/>
      <c r="G785" s="12"/>
      <c r="H785" s="12"/>
      <c r="I785" s="12"/>
      <c r="J785" s="12"/>
      <c r="K785" s="12"/>
      <c r="L785" s="12"/>
      <c r="M785" s="12"/>
      <c r="N785" s="12"/>
      <c r="O785" s="12"/>
      <c r="P785" s="12"/>
      <c r="Q785" s="12"/>
      <c r="R785" s="12"/>
      <c r="S785" s="12"/>
      <c r="T785" s="12"/>
      <c r="U785" s="12"/>
      <c r="W785" s="12"/>
      <c r="X785" s="12"/>
      <c r="Y785" s="12"/>
      <c r="Z785" s="12"/>
      <c r="AA785" s="12"/>
    </row>
    <row r="786" spans="1:27" ht="15.75" customHeight="1">
      <c r="A786" s="12"/>
      <c r="B786" s="12"/>
      <c r="C786" s="12"/>
      <c r="D786" s="12"/>
      <c r="E786" s="12"/>
      <c r="F786" s="12"/>
      <c r="G786" s="12"/>
      <c r="H786" s="12"/>
      <c r="I786" s="12"/>
      <c r="J786" s="12"/>
      <c r="K786" s="12"/>
      <c r="L786" s="12"/>
      <c r="M786" s="12"/>
      <c r="N786" s="12"/>
      <c r="O786" s="12"/>
      <c r="P786" s="12"/>
      <c r="Q786" s="12"/>
      <c r="R786" s="12"/>
      <c r="S786" s="12"/>
      <c r="T786" s="12"/>
      <c r="U786" s="12"/>
      <c r="W786" s="12"/>
      <c r="X786" s="12"/>
      <c r="Y786" s="12"/>
      <c r="Z786" s="12"/>
      <c r="AA786" s="12"/>
    </row>
    <row r="787" spans="1:27" ht="15.75" customHeight="1">
      <c r="A787" s="12"/>
      <c r="B787" s="12"/>
      <c r="C787" s="12"/>
      <c r="D787" s="12"/>
      <c r="E787" s="12"/>
      <c r="F787" s="12"/>
      <c r="G787" s="12"/>
      <c r="H787" s="12"/>
      <c r="I787" s="12"/>
      <c r="J787" s="12"/>
      <c r="K787" s="12"/>
      <c r="L787" s="12"/>
      <c r="M787" s="12"/>
      <c r="N787" s="12"/>
      <c r="O787" s="12"/>
      <c r="P787" s="12"/>
      <c r="Q787" s="12"/>
      <c r="R787" s="12"/>
      <c r="S787" s="12"/>
      <c r="T787" s="12"/>
      <c r="U787" s="12"/>
      <c r="W787" s="12"/>
      <c r="X787" s="12"/>
      <c r="Y787" s="12"/>
      <c r="Z787" s="12"/>
      <c r="AA787" s="12"/>
    </row>
    <row r="788" spans="1:27" ht="15.75" customHeight="1">
      <c r="A788" s="12"/>
      <c r="B788" s="12"/>
      <c r="C788" s="12"/>
      <c r="D788" s="12"/>
      <c r="E788" s="12"/>
      <c r="F788" s="12"/>
      <c r="G788" s="12"/>
      <c r="H788" s="12"/>
      <c r="I788" s="12"/>
      <c r="J788" s="12"/>
      <c r="K788" s="12"/>
      <c r="L788" s="12"/>
      <c r="M788" s="12"/>
      <c r="N788" s="12"/>
      <c r="O788" s="12"/>
      <c r="P788" s="12"/>
      <c r="Q788" s="12"/>
      <c r="R788" s="12"/>
      <c r="S788" s="12"/>
      <c r="T788" s="12"/>
      <c r="U788" s="12"/>
      <c r="W788" s="12"/>
      <c r="X788" s="12"/>
      <c r="Y788" s="12"/>
      <c r="Z788" s="12"/>
      <c r="AA788" s="12"/>
    </row>
    <row r="789" spans="1:27" ht="15.75" customHeight="1">
      <c r="A789" s="12"/>
      <c r="B789" s="12"/>
      <c r="C789" s="12"/>
      <c r="D789" s="12"/>
      <c r="E789" s="12"/>
      <c r="F789" s="12"/>
      <c r="G789" s="12"/>
      <c r="H789" s="12"/>
      <c r="I789" s="12"/>
      <c r="J789" s="12"/>
      <c r="K789" s="12"/>
      <c r="L789" s="12"/>
      <c r="M789" s="12"/>
      <c r="N789" s="12"/>
      <c r="O789" s="12"/>
      <c r="P789" s="12"/>
      <c r="Q789" s="12"/>
      <c r="R789" s="12"/>
      <c r="S789" s="12"/>
      <c r="T789" s="12"/>
      <c r="U789" s="12"/>
      <c r="W789" s="12"/>
      <c r="X789" s="12"/>
      <c r="Y789" s="12"/>
      <c r="Z789" s="12"/>
      <c r="AA789" s="12"/>
    </row>
    <row r="790" spans="1:27" ht="15.75" customHeight="1">
      <c r="A790" s="12"/>
      <c r="B790" s="12"/>
      <c r="C790" s="12"/>
      <c r="D790" s="12"/>
      <c r="E790" s="12"/>
      <c r="F790" s="12"/>
      <c r="G790" s="12"/>
      <c r="H790" s="12"/>
      <c r="I790" s="12"/>
      <c r="J790" s="12"/>
      <c r="K790" s="12"/>
      <c r="L790" s="12"/>
      <c r="M790" s="12"/>
      <c r="N790" s="12"/>
      <c r="O790" s="12"/>
      <c r="P790" s="12"/>
      <c r="Q790" s="12"/>
      <c r="R790" s="12"/>
      <c r="S790" s="12"/>
      <c r="T790" s="12"/>
      <c r="U790" s="12"/>
      <c r="W790" s="12"/>
      <c r="X790" s="12"/>
      <c r="Y790" s="12"/>
      <c r="Z790" s="12"/>
      <c r="AA790" s="12"/>
    </row>
    <row r="791" spans="1:27" ht="15.75" customHeight="1">
      <c r="A791" s="12"/>
      <c r="B791" s="12"/>
      <c r="C791" s="12"/>
      <c r="D791" s="12"/>
      <c r="E791" s="12"/>
      <c r="F791" s="12"/>
      <c r="G791" s="12"/>
      <c r="H791" s="12"/>
      <c r="I791" s="12"/>
      <c r="J791" s="12"/>
      <c r="K791" s="12"/>
      <c r="L791" s="12"/>
      <c r="M791" s="12"/>
      <c r="N791" s="12"/>
      <c r="O791" s="12"/>
      <c r="P791" s="12"/>
      <c r="Q791" s="12"/>
      <c r="R791" s="12"/>
      <c r="S791" s="12"/>
      <c r="T791" s="12"/>
      <c r="U791" s="12"/>
      <c r="W791" s="12"/>
      <c r="X791" s="12"/>
      <c r="Y791" s="12"/>
      <c r="Z791" s="12"/>
      <c r="AA791" s="12"/>
    </row>
    <row r="792" spans="1:27" ht="15.75" customHeight="1">
      <c r="A792" s="12"/>
      <c r="B792" s="12"/>
      <c r="C792" s="12"/>
      <c r="D792" s="12"/>
      <c r="E792" s="12"/>
      <c r="F792" s="12"/>
      <c r="G792" s="12"/>
      <c r="H792" s="12"/>
      <c r="I792" s="12"/>
      <c r="J792" s="12"/>
      <c r="K792" s="12"/>
      <c r="L792" s="12"/>
      <c r="M792" s="12"/>
      <c r="N792" s="12"/>
      <c r="O792" s="12"/>
      <c r="P792" s="12"/>
      <c r="Q792" s="12"/>
      <c r="R792" s="12"/>
      <c r="S792" s="12"/>
      <c r="T792" s="12"/>
      <c r="U792" s="12"/>
      <c r="W792" s="12"/>
      <c r="X792" s="12"/>
      <c r="Y792" s="12"/>
      <c r="Z792" s="12"/>
      <c r="AA792" s="12"/>
    </row>
    <row r="793" spans="1:27" ht="15.75" customHeight="1">
      <c r="A793" s="12"/>
      <c r="B793" s="12"/>
      <c r="C793" s="12"/>
      <c r="D793" s="12"/>
      <c r="E793" s="12"/>
      <c r="F793" s="12"/>
      <c r="G793" s="12"/>
      <c r="H793" s="12"/>
      <c r="I793" s="12"/>
      <c r="J793" s="12"/>
      <c r="K793" s="12"/>
      <c r="L793" s="12"/>
      <c r="M793" s="12"/>
      <c r="N793" s="12"/>
      <c r="O793" s="12"/>
      <c r="P793" s="12"/>
      <c r="Q793" s="12"/>
      <c r="R793" s="12"/>
      <c r="S793" s="12"/>
      <c r="T793" s="12"/>
      <c r="U793" s="12"/>
      <c r="W793" s="12"/>
      <c r="X793" s="12"/>
      <c r="Y793" s="12"/>
      <c r="Z793" s="12"/>
      <c r="AA793" s="12"/>
    </row>
    <row r="794" spans="1:27" ht="15.75" customHeight="1">
      <c r="A794" s="12"/>
      <c r="B794" s="12"/>
      <c r="C794" s="12"/>
      <c r="D794" s="12"/>
      <c r="E794" s="12"/>
      <c r="F794" s="12"/>
      <c r="G794" s="12"/>
      <c r="H794" s="12"/>
      <c r="I794" s="12"/>
      <c r="J794" s="12"/>
      <c r="K794" s="12"/>
      <c r="L794" s="12"/>
      <c r="M794" s="12"/>
      <c r="N794" s="12"/>
      <c r="O794" s="12"/>
      <c r="P794" s="12"/>
      <c r="Q794" s="12"/>
      <c r="R794" s="12"/>
      <c r="S794" s="12"/>
      <c r="T794" s="12"/>
      <c r="U794" s="12"/>
      <c r="W794" s="12"/>
      <c r="X794" s="12"/>
      <c r="Y794" s="12"/>
      <c r="Z794" s="12"/>
      <c r="AA794" s="12"/>
    </row>
    <row r="795" spans="1:27" ht="15.75" customHeight="1">
      <c r="A795" s="12"/>
      <c r="B795" s="12"/>
      <c r="C795" s="12"/>
      <c r="D795" s="12"/>
      <c r="E795" s="12"/>
      <c r="F795" s="12"/>
      <c r="G795" s="12"/>
      <c r="H795" s="12"/>
      <c r="I795" s="12"/>
      <c r="J795" s="12"/>
      <c r="K795" s="12"/>
      <c r="L795" s="12"/>
      <c r="M795" s="12"/>
      <c r="N795" s="12"/>
      <c r="O795" s="12"/>
      <c r="P795" s="12"/>
      <c r="Q795" s="12"/>
      <c r="R795" s="12"/>
      <c r="S795" s="12"/>
      <c r="T795" s="12"/>
      <c r="U795" s="12"/>
      <c r="W795" s="12"/>
      <c r="X795" s="12"/>
      <c r="Y795" s="12"/>
      <c r="Z795" s="12"/>
      <c r="AA795" s="12"/>
    </row>
    <row r="796" spans="1:27" ht="15.75" customHeight="1">
      <c r="A796" s="12"/>
      <c r="B796" s="12"/>
      <c r="C796" s="12"/>
      <c r="D796" s="12"/>
      <c r="E796" s="12"/>
      <c r="F796" s="12"/>
      <c r="G796" s="12"/>
      <c r="H796" s="12"/>
      <c r="I796" s="12"/>
      <c r="J796" s="12"/>
      <c r="K796" s="12"/>
      <c r="L796" s="12"/>
      <c r="M796" s="12"/>
      <c r="N796" s="12"/>
      <c r="O796" s="12"/>
      <c r="P796" s="12"/>
      <c r="Q796" s="12"/>
      <c r="R796" s="12"/>
      <c r="S796" s="12"/>
      <c r="T796" s="12"/>
      <c r="U796" s="12"/>
      <c r="W796" s="12"/>
      <c r="X796" s="12"/>
      <c r="Y796" s="12"/>
      <c r="Z796" s="12"/>
      <c r="AA796" s="12"/>
    </row>
    <row r="797" spans="1:27" ht="15.75" customHeight="1">
      <c r="A797" s="12"/>
      <c r="B797" s="12"/>
      <c r="C797" s="12"/>
      <c r="D797" s="12"/>
      <c r="E797" s="12"/>
      <c r="F797" s="12"/>
      <c r="G797" s="12"/>
      <c r="H797" s="12"/>
      <c r="I797" s="12"/>
      <c r="J797" s="12"/>
      <c r="K797" s="12"/>
      <c r="L797" s="12"/>
      <c r="M797" s="12"/>
      <c r="N797" s="12"/>
      <c r="O797" s="12"/>
      <c r="P797" s="12"/>
      <c r="Q797" s="12"/>
      <c r="R797" s="12"/>
      <c r="S797" s="12"/>
      <c r="T797" s="12"/>
      <c r="U797" s="12"/>
      <c r="W797" s="12"/>
      <c r="X797" s="12"/>
      <c r="Y797" s="12"/>
      <c r="Z797" s="12"/>
      <c r="AA797" s="12"/>
    </row>
    <row r="798" spans="1:27" ht="15.75" customHeight="1">
      <c r="A798" s="12"/>
      <c r="B798" s="12"/>
      <c r="C798" s="12"/>
      <c r="D798" s="12"/>
      <c r="E798" s="12"/>
      <c r="F798" s="12"/>
      <c r="G798" s="12"/>
      <c r="H798" s="12"/>
      <c r="I798" s="12"/>
      <c r="J798" s="12"/>
      <c r="K798" s="12"/>
      <c r="L798" s="12"/>
      <c r="M798" s="12"/>
      <c r="N798" s="12"/>
      <c r="O798" s="12"/>
      <c r="P798" s="12"/>
      <c r="Q798" s="12"/>
      <c r="R798" s="12"/>
      <c r="S798" s="12"/>
      <c r="T798" s="12"/>
      <c r="U798" s="12"/>
      <c r="W798" s="12"/>
      <c r="X798" s="12"/>
      <c r="Y798" s="12"/>
      <c r="Z798" s="12"/>
      <c r="AA798" s="12"/>
    </row>
    <row r="799" spans="1:27" ht="15.75" customHeight="1">
      <c r="A799" s="12"/>
      <c r="B799" s="12"/>
      <c r="C799" s="12"/>
      <c r="D799" s="12"/>
      <c r="E799" s="12"/>
      <c r="F799" s="12"/>
      <c r="G799" s="12"/>
      <c r="H799" s="12"/>
      <c r="I799" s="12"/>
      <c r="J799" s="12"/>
      <c r="K799" s="12"/>
      <c r="L799" s="12"/>
      <c r="M799" s="12"/>
      <c r="N799" s="12"/>
      <c r="O799" s="12"/>
      <c r="P799" s="12"/>
      <c r="Q799" s="12"/>
      <c r="R799" s="12"/>
      <c r="S799" s="12"/>
      <c r="T799" s="12"/>
      <c r="U799" s="12"/>
      <c r="W799" s="12"/>
      <c r="X799" s="12"/>
      <c r="Y799" s="12"/>
      <c r="Z799" s="12"/>
      <c r="AA799" s="12"/>
    </row>
    <row r="800" spans="1:27" ht="15.75" customHeight="1">
      <c r="A800" s="12"/>
      <c r="B800" s="12"/>
      <c r="C800" s="12"/>
      <c r="D800" s="12"/>
      <c r="E800" s="12"/>
      <c r="F800" s="12"/>
      <c r="G800" s="12"/>
      <c r="H800" s="12"/>
      <c r="I800" s="12"/>
      <c r="J800" s="12"/>
      <c r="K800" s="12"/>
      <c r="L800" s="12"/>
      <c r="M800" s="12"/>
      <c r="N800" s="12"/>
      <c r="O800" s="12"/>
      <c r="P800" s="12"/>
      <c r="Q800" s="12"/>
      <c r="R800" s="12"/>
      <c r="S800" s="12"/>
      <c r="T800" s="12"/>
      <c r="U800" s="12"/>
      <c r="W800" s="12"/>
      <c r="X800" s="12"/>
      <c r="Y800" s="12"/>
      <c r="Z800" s="12"/>
      <c r="AA800" s="12"/>
    </row>
    <row r="801" spans="1:27" ht="15.75" customHeight="1">
      <c r="A801" s="12"/>
      <c r="B801" s="12"/>
      <c r="C801" s="12"/>
      <c r="D801" s="12"/>
      <c r="E801" s="12"/>
      <c r="F801" s="12"/>
      <c r="G801" s="12"/>
      <c r="H801" s="12"/>
      <c r="I801" s="12"/>
      <c r="J801" s="12"/>
      <c r="K801" s="12"/>
      <c r="L801" s="12"/>
      <c r="M801" s="12"/>
      <c r="N801" s="12"/>
      <c r="O801" s="12"/>
      <c r="P801" s="12"/>
      <c r="Q801" s="12"/>
      <c r="R801" s="12"/>
      <c r="S801" s="12"/>
      <c r="T801" s="12"/>
      <c r="U801" s="12"/>
      <c r="W801" s="12"/>
      <c r="X801" s="12"/>
      <c r="Y801" s="12"/>
      <c r="Z801" s="12"/>
      <c r="AA801" s="12"/>
    </row>
    <row r="802" spans="1:27" ht="15.75" customHeight="1">
      <c r="A802" s="12"/>
      <c r="B802" s="12"/>
      <c r="C802" s="12"/>
      <c r="D802" s="12"/>
      <c r="E802" s="12"/>
      <c r="F802" s="12"/>
      <c r="G802" s="12"/>
      <c r="H802" s="12"/>
      <c r="I802" s="12"/>
      <c r="J802" s="12"/>
      <c r="K802" s="12"/>
      <c r="L802" s="12"/>
      <c r="M802" s="12"/>
      <c r="N802" s="12"/>
      <c r="O802" s="12"/>
      <c r="P802" s="12"/>
      <c r="Q802" s="12"/>
      <c r="R802" s="12"/>
      <c r="S802" s="12"/>
      <c r="T802" s="12"/>
      <c r="U802" s="12"/>
      <c r="W802" s="12"/>
      <c r="X802" s="12"/>
      <c r="Y802" s="12"/>
      <c r="Z802" s="12"/>
      <c r="AA802" s="12"/>
    </row>
    <row r="803" spans="1:27" ht="15.75" customHeight="1">
      <c r="A803" s="12"/>
      <c r="B803" s="12"/>
      <c r="C803" s="12"/>
      <c r="D803" s="12"/>
      <c r="E803" s="12"/>
      <c r="F803" s="12"/>
      <c r="G803" s="12"/>
      <c r="H803" s="12"/>
      <c r="I803" s="12"/>
      <c r="J803" s="12"/>
      <c r="K803" s="12"/>
      <c r="L803" s="12"/>
      <c r="M803" s="12"/>
      <c r="N803" s="12"/>
      <c r="O803" s="12"/>
      <c r="P803" s="12"/>
      <c r="Q803" s="12"/>
      <c r="R803" s="12"/>
      <c r="S803" s="12"/>
      <c r="T803" s="12"/>
      <c r="U803" s="12"/>
      <c r="W803" s="12"/>
      <c r="X803" s="12"/>
      <c r="Y803" s="12"/>
      <c r="Z803" s="12"/>
      <c r="AA803" s="12"/>
    </row>
    <row r="804" spans="1:27" ht="15.75" customHeight="1">
      <c r="A804" s="12"/>
      <c r="B804" s="12"/>
      <c r="C804" s="12"/>
      <c r="D804" s="12"/>
      <c r="E804" s="12"/>
      <c r="F804" s="12"/>
      <c r="G804" s="12"/>
      <c r="H804" s="12"/>
      <c r="I804" s="12"/>
      <c r="J804" s="12"/>
      <c r="K804" s="12"/>
      <c r="L804" s="12"/>
      <c r="M804" s="12"/>
      <c r="N804" s="12"/>
      <c r="O804" s="12"/>
      <c r="P804" s="12"/>
      <c r="Q804" s="12"/>
      <c r="R804" s="12"/>
      <c r="S804" s="12"/>
      <c r="T804" s="12"/>
      <c r="U804" s="12"/>
      <c r="W804" s="12"/>
      <c r="X804" s="12"/>
      <c r="Y804" s="12"/>
      <c r="Z804" s="12"/>
      <c r="AA804" s="12"/>
    </row>
    <row r="805" spans="1:27" ht="15.75" customHeight="1">
      <c r="A805" s="12"/>
      <c r="B805" s="12"/>
      <c r="C805" s="12"/>
      <c r="D805" s="12"/>
      <c r="E805" s="12"/>
      <c r="F805" s="12"/>
      <c r="G805" s="12"/>
      <c r="H805" s="12"/>
      <c r="I805" s="12"/>
      <c r="J805" s="12"/>
      <c r="K805" s="12"/>
      <c r="L805" s="12"/>
      <c r="M805" s="12"/>
      <c r="N805" s="12"/>
      <c r="O805" s="12"/>
      <c r="P805" s="12"/>
      <c r="Q805" s="12"/>
      <c r="R805" s="12"/>
      <c r="S805" s="12"/>
      <c r="T805" s="12"/>
      <c r="U805" s="12"/>
      <c r="W805" s="12"/>
      <c r="X805" s="12"/>
      <c r="Y805" s="12"/>
      <c r="Z805" s="12"/>
      <c r="AA805" s="12"/>
    </row>
    <row r="806" spans="1:27" ht="15.75" customHeight="1">
      <c r="A806" s="12"/>
      <c r="B806" s="12"/>
      <c r="C806" s="12"/>
      <c r="D806" s="12"/>
      <c r="E806" s="12"/>
      <c r="F806" s="12"/>
      <c r="G806" s="12"/>
      <c r="H806" s="12"/>
      <c r="I806" s="12"/>
      <c r="J806" s="12"/>
      <c r="K806" s="12"/>
      <c r="L806" s="12"/>
      <c r="M806" s="12"/>
      <c r="N806" s="12"/>
      <c r="O806" s="12"/>
      <c r="P806" s="12"/>
      <c r="Q806" s="12"/>
      <c r="R806" s="12"/>
      <c r="S806" s="12"/>
      <c r="T806" s="12"/>
      <c r="U806" s="12"/>
      <c r="W806" s="12"/>
      <c r="X806" s="12"/>
      <c r="Y806" s="12"/>
      <c r="Z806" s="12"/>
      <c r="AA806" s="12"/>
    </row>
    <row r="807" spans="1:27" ht="15.75" customHeight="1">
      <c r="A807" s="12"/>
      <c r="B807" s="12"/>
      <c r="C807" s="12"/>
      <c r="D807" s="12"/>
      <c r="E807" s="12"/>
      <c r="F807" s="12"/>
      <c r="G807" s="12"/>
      <c r="H807" s="12"/>
      <c r="I807" s="12"/>
      <c r="J807" s="12"/>
      <c r="K807" s="12"/>
      <c r="L807" s="12"/>
      <c r="M807" s="12"/>
      <c r="N807" s="12"/>
      <c r="O807" s="12"/>
      <c r="P807" s="12"/>
      <c r="Q807" s="12"/>
      <c r="R807" s="12"/>
      <c r="S807" s="12"/>
      <c r="T807" s="12"/>
      <c r="U807" s="12"/>
      <c r="W807" s="12"/>
      <c r="X807" s="12"/>
      <c r="Y807" s="12"/>
      <c r="Z807" s="12"/>
      <c r="AA807" s="12"/>
    </row>
    <row r="808" spans="1:27" ht="15.75" customHeight="1">
      <c r="A808" s="12"/>
      <c r="B808" s="12"/>
      <c r="C808" s="12"/>
      <c r="D808" s="12"/>
      <c r="E808" s="12"/>
      <c r="F808" s="12"/>
      <c r="G808" s="12"/>
      <c r="H808" s="12"/>
      <c r="I808" s="12"/>
      <c r="J808" s="12"/>
      <c r="K808" s="12"/>
      <c r="L808" s="12"/>
      <c r="M808" s="12"/>
      <c r="N808" s="12"/>
      <c r="O808" s="12"/>
      <c r="P808" s="12"/>
      <c r="Q808" s="12"/>
      <c r="R808" s="12"/>
      <c r="S808" s="12"/>
      <c r="T808" s="12"/>
      <c r="U808" s="12"/>
      <c r="W808" s="12"/>
      <c r="X808" s="12"/>
      <c r="Y808" s="12"/>
      <c r="Z808" s="12"/>
      <c r="AA808" s="12"/>
    </row>
    <row r="809" spans="1:27" ht="15.75" customHeight="1">
      <c r="A809" s="12"/>
      <c r="B809" s="12"/>
      <c r="C809" s="12"/>
      <c r="D809" s="12"/>
      <c r="E809" s="12"/>
      <c r="F809" s="12"/>
      <c r="G809" s="12"/>
      <c r="H809" s="12"/>
      <c r="I809" s="12"/>
      <c r="J809" s="12"/>
      <c r="K809" s="12"/>
      <c r="L809" s="12"/>
      <c r="M809" s="12"/>
      <c r="N809" s="12"/>
      <c r="O809" s="12"/>
      <c r="P809" s="12"/>
      <c r="Q809" s="12"/>
      <c r="R809" s="12"/>
      <c r="S809" s="12"/>
      <c r="T809" s="12"/>
      <c r="U809" s="12"/>
      <c r="W809" s="12"/>
      <c r="X809" s="12"/>
      <c r="Y809" s="12"/>
      <c r="Z809" s="12"/>
      <c r="AA809" s="12"/>
    </row>
    <row r="810" spans="1:27" ht="15.75" customHeight="1">
      <c r="A810" s="12"/>
      <c r="B810" s="12"/>
      <c r="C810" s="12"/>
      <c r="D810" s="12"/>
      <c r="E810" s="12"/>
      <c r="F810" s="12"/>
      <c r="G810" s="12"/>
      <c r="H810" s="12"/>
      <c r="I810" s="12"/>
      <c r="J810" s="12"/>
      <c r="K810" s="12"/>
      <c r="L810" s="12"/>
      <c r="M810" s="12"/>
      <c r="N810" s="12"/>
      <c r="O810" s="12"/>
      <c r="P810" s="12"/>
      <c r="Q810" s="12"/>
      <c r="R810" s="12"/>
      <c r="S810" s="12"/>
      <c r="T810" s="12"/>
      <c r="U810" s="12"/>
      <c r="W810" s="12"/>
      <c r="X810" s="12"/>
      <c r="Y810" s="12"/>
      <c r="Z810" s="12"/>
      <c r="AA810" s="12"/>
    </row>
    <row r="811" spans="1:27" ht="15.75" customHeight="1">
      <c r="A811" s="12"/>
      <c r="B811" s="12"/>
      <c r="C811" s="12"/>
      <c r="D811" s="12"/>
      <c r="E811" s="12"/>
      <c r="F811" s="12"/>
      <c r="G811" s="12"/>
      <c r="H811" s="12"/>
      <c r="I811" s="12"/>
      <c r="J811" s="12"/>
      <c r="K811" s="12"/>
      <c r="L811" s="12"/>
      <c r="M811" s="12"/>
      <c r="N811" s="12"/>
      <c r="O811" s="12"/>
      <c r="P811" s="12"/>
      <c r="Q811" s="12"/>
      <c r="R811" s="12"/>
      <c r="S811" s="12"/>
      <c r="T811" s="12"/>
      <c r="U811" s="12"/>
      <c r="W811" s="12"/>
      <c r="X811" s="12"/>
      <c r="Y811" s="12"/>
      <c r="Z811" s="12"/>
      <c r="AA811" s="12"/>
    </row>
    <row r="812" spans="1:27" ht="15.75" customHeight="1">
      <c r="A812" s="12"/>
      <c r="B812" s="12"/>
      <c r="C812" s="12"/>
      <c r="D812" s="12"/>
      <c r="E812" s="12"/>
      <c r="F812" s="12"/>
      <c r="G812" s="12"/>
      <c r="H812" s="12"/>
      <c r="I812" s="12"/>
      <c r="J812" s="12"/>
      <c r="K812" s="12"/>
      <c r="L812" s="12"/>
      <c r="M812" s="12"/>
      <c r="N812" s="12"/>
      <c r="O812" s="12"/>
      <c r="P812" s="12"/>
      <c r="Q812" s="12"/>
      <c r="R812" s="12"/>
      <c r="S812" s="12"/>
      <c r="T812" s="12"/>
      <c r="U812" s="12"/>
      <c r="W812" s="12"/>
      <c r="X812" s="12"/>
      <c r="Y812" s="12"/>
      <c r="Z812" s="12"/>
      <c r="AA812" s="12"/>
    </row>
    <row r="813" spans="1:27" ht="15.75" customHeight="1">
      <c r="A813" s="12"/>
      <c r="B813" s="12"/>
      <c r="C813" s="12"/>
      <c r="D813" s="12"/>
      <c r="E813" s="12"/>
      <c r="F813" s="12"/>
      <c r="G813" s="12"/>
      <c r="H813" s="12"/>
      <c r="I813" s="12"/>
      <c r="J813" s="12"/>
      <c r="K813" s="12"/>
      <c r="L813" s="12"/>
      <c r="M813" s="12"/>
      <c r="N813" s="12"/>
      <c r="O813" s="12"/>
      <c r="P813" s="12"/>
      <c r="Q813" s="12"/>
      <c r="R813" s="12"/>
      <c r="S813" s="12"/>
      <c r="T813" s="12"/>
      <c r="U813" s="12"/>
      <c r="W813" s="12"/>
      <c r="X813" s="12"/>
      <c r="Y813" s="12"/>
      <c r="Z813" s="12"/>
      <c r="AA813" s="12"/>
    </row>
    <row r="814" spans="1:27" ht="15.75" customHeight="1">
      <c r="A814" s="12"/>
      <c r="B814" s="12"/>
      <c r="C814" s="12"/>
      <c r="D814" s="12"/>
      <c r="E814" s="12"/>
      <c r="F814" s="12"/>
      <c r="G814" s="12"/>
      <c r="H814" s="12"/>
      <c r="I814" s="12"/>
      <c r="J814" s="12"/>
      <c r="K814" s="12"/>
      <c r="L814" s="12"/>
      <c r="M814" s="12"/>
      <c r="N814" s="12"/>
      <c r="O814" s="12"/>
      <c r="P814" s="12"/>
      <c r="Q814" s="12"/>
      <c r="R814" s="12"/>
      <c r="S814" s="12"/>
      <c r="T814" s="12"/>
      <c r="U814" s="12"/>
      <c r="W814" s="12"/>
      <c r="X814" s="12"/>
      <c r="Y814" s="12"/>
      <c r="Z814" s="12"/>
      <c r="AA814" s="12"/>
    </row>
    <row r="815" spans="1:27" ht="15.75" customHeight="1">
      <c r="A815" s="12"/>
      <c r="B815" s="12"/>
      <c r="C815" s="12"/>
      <c r="D815" s="12"/>
      <c r="E815" s="12"/>
      <c r="F815" s="12"/>
      <c r="G815" s="12"/>
      <c r="H815" s="12"/>
      <c r="I815" s="12"/>
      <c r="J815" s="12"/>
      <c r="K815" s="12"/>
      <c r="L815" s="12"/>
      <c r="M815" s="12"/>
      <c r="N815" s="12"/>
      <c r="O815" s="12"/>
      <c r="P815" s="12"/>
      <c r="Q815" s="12"/>
      <c r="R815" s="12"/>
      <c r="S815" s="12"/>
      <c r="T815" s="12"/>
      <c r="U815" s="12"/>
      <c r="W815" s="12"/>
      <c r="X815" s="12"/>
      <c r="Y815" s="12"/>
      <c r="Z815" s="12"/>
      <c r="AA815" s="12"/>
    </row>
    <row r="816" spans="1:27" ht="15.75" customHeight="1">
      <c r="A816" s="12"/>
      <c r="B816" s="12"/>
      <c r="C816" s="12"/>
      <c r="D816" s="12"/>
      <c r="E816" s="12"/>
      <c r="F816" s="12"/>
      <c r="G816" s="12"/>
      <c r="H816" s="12"/>
      <c r="I816" s="12"/>
      <c r="J816" s="12"/>
      <c r="K816" s="12"/>
      <c r="L816" s="12"/>
      <c r="M816" s="12"/>
      <c r="N816" s="12"/>
      <c r="O816" s="12"/>
      <c r="P816" s="12"/>
      <c r="Q816" s="12"/>
      <c r="R816" s="12"/>
      <c r="S816" s="12"/>
      <c r="T816" s="12"/>
      <c r="U816" s="12"/>
      <c r="W816" s="12"/>
      <c r="X816" s="12"/>
      <c r="Y816" s="12"/>
      <c r="Z816" s="12"/>
      <c r="AA816" s="12"/>
    </row>
    <row r="817" spans="1:27" ht="15.75" customHeight="1">
      <c r="A817" s="12"/>
      <c r="B817" s="12"/>
      <c r="C817" s="12"/>
      <c r="D817" s="12"/>
      <c r="E817" s="12"/>
      <c r="F817" s="12"/>
      <c r="G817" s="12"/>
      <c r="H817" s="12"/>
      <c r="I817" s="12"/>
      <c r="J817" s="12"/>
      <c r="K817" s="12"/>
      <c r="L817" s="12"/>
      <c r="M817" s="12"/>
      <c r="N817" s="12"/>
      <c r="O817" s="12"/>
      <c r="P817" s="12"/>
      <c r="Q817" s="12"/>
      <c r="R817" s="12"/>
      <c r="S817" s="12"/>
      <c r="T817" s="12"/>
      <c r="U817" s="12"/>
      <c r="W817" s="12"/>
      <c r="X817" s="12"/>
      <c r="Y817" s="12"/>
      <c r="Z817" s="12"/>
      <c r="AA817" s="12"/>
    </row>
    <row r="818" spans="1:27" ht="15.75" customHeight="1">
      <c r="A818" s="12"/>
      <c r="B818" s="12"/>
      <c r="C818" s="12"/>
      <c r="D818" s="12"/>
      <c r="E818" s="12"/>
      <c r="F818" s="12"/>
      <c r="G818" s="12"/>
      <c r="H818" s="12"/>
      <c r="I818" s="12"/>
      <c r="J818" s="12"/>
      <c r="K818" s="12"/>
      <c r="L818" s="12"/>
      <c r="M818" s="12"/>
      <c r="N818" s="12"/>
      <c r="O818" s="12"/>
      <c r="P818" s="12"/>
      <c r="Q818" s="12"/>
      <c r="R818" s="12"/>
      <c r="S818" s="12"/>
      <c r="T818" s="12"/>
      <c r="U818" s="12"/>
      <c r="W818" s="12"/>
      <c r="X818" s="12"/>
      <c r="Y818" s="12"/>
      <c r="Z818" s="12"/>
      <c r="AA818" s="12"/>
    </row>
    <row r="819" spans="1:27" ht="15.75" customHeight="1">
      <c r="A819" s="12"/>
      <c r="B819" s="12"/>
      <c r="C819" s="12"/>
      <c r="D819" s="12"/>
      <c r="E819" s="12"/>
      <c r="F819" s="12"/>
      <c r="G819" s="12"/>
      <c r="H819" s="12"/>
      <c r="I819" s="12"/>
      <c r="J819" s="12"/>
      <c r="K819" s="12"/>
      <c r="L819" s="12"/>
      <c r="M819" s="12"/>
      <c r="N819" s="12"/>
      <c r="O819" s="12"/>
      <c r="P819" s="12"/>
      <c r="Q819" s="12"/>
      <c r="R819" s="12"/>
      <c r="S819" s="12"/>
      <c r="T819" s="12"/>
      <c r="U819" s="12"/>
      <c r="W819" s="12"/>
      <c r="X819" s="12"/>
      <c r="Y819" s="12"/>
      <c r="Z819" s="12"/>
      <c r="AA819" s="12"/>
    </row>
    <row r="820" spans="1:27" ht="15.75" customHeight="1">
      <c r="A820" s="12"/>
      <c r="B820" s="12"/>
      <c r="C820" s="12"/>
      <c r="D820" s="12"/>
      <c r="E820" s="12"/>
      <c r="F820" s="12"/>
      <c r="G820" s="12"/>
      <c r="H820" s="12"/>
      <c r="I820" s="12"/>
      <c r="J820" s="12"/>
      <c r="K820" s="12"/>
      <c r="L820" s="12"/>
      <c r="M820" s="12"/>
      <c r="N820" s="12"/>
      <c r="O820" s="12"/>
      <c r="P820" s="12"/>
      <c r="Q820" s="12"/>
      <c r="R820" s="12"/>
      <c r="S820" s="12"/>
      <c r="T820" s="12"/>
      <c r="U820" s="12"/>
      <c r="W820" s="12"/>
      <c r="X820" s="12"/>
      <c r="Y820" s="12"/>
      <c r="Z820" s="12"/>
      <c r="AA820" s="12"/>
    </row>
    <row r="821" spans="1:27" ht="15.75" customHeight="1">
      <c r="A821" s="12"/>
      <c r="B821" s="12"/>
      <c r="C821" s="12"/>
      <c r="D821" s="12"/>
      <c r="E821" s="12"/>
      <c r="F821" s="12"/>
      <c r="G821" s="12"/>
      <c r="H821" s="12"/>
      <c r="I821" s="12"/>
      <c r="J821" s="12"/>
      <c r="K821" s="12"/>
      <c r="L821" s="12"/>
      <c r="M821" s="12"/>
      <c r="N821" s="12"/>
      <c r="O821" s="12"/>
      <c r="P821" s="12"/>
      <c r="Q821" s="12"/>
      <c r="R821" s="12"/>
      <c r="S821" s="12"/>
      <c r="T821" s="12"/>
      <c r="U821" s="12"/>
      <c r="W821" s="12"/>
      <c r="X821" s="12"/>
      <c r="Y821" s="12"/>
      <c r="Z821" s="12"/>
      <c r="AA821" s="12"/>
    </row>
    <row r="822" spans="1:27" ht="15.75" customHeight="1">
      <c r="A822" s="12"/>
      <c r="B822" s="12"/>
      <c r="C822" s="12"/>
      <c r="D822" s="12"/>
      <c r="E822" s="12"/>
      <c r="F822" s="12"/>
      <c r="G822" s="12"/>
      <c r="H822" s="12"/>
      <c r="I822" s="12"/>
      <c r="J822" s="12"/>
      <c r="K822" s="12"/>
      <c r="L822" s="12"/>
      <c r="M822" s="12"/>
      <c r="N822" s="12"/>
      <c r="O822" s="12"/>
      <c r="P822" s="12"/>
      <c r="Q822" s="12"/>
      <c r="R822" s="12"/>
      <c r="S822" s="12"/>
      <c r="T822" s="12"/>
      <c r="U822" s="12"/>
      <c r="W822" s="12"/>
      <c r="X822" s="12"/>
      <c r="Y822" s="12"/>
      <c r="Z822" s="12"/>
      <c r="AA822" s="12"/>
    </row>
    <row r="823" spans="1:27" ht="15.75" customHeight="1">
      <c r="A823" s="12"/>
      <c r="B823" s="12"/>
      <c r="C823" s="12"/>
      <c r="D823" s="12"/>
      <c r="E823" s="12"/>
      <c r="F823" s="12"/>
      <c r="G823" s="12"/>
      <c r="H823" s="12"/>
      <c r="I823" s="12"/>
      <c r="J823" s="12"/>
      <c r="K823" s="12"/>
      <c r="L823" s="12"/>
      <c r="M823" s="12"/>
      <c r="N823" s="12"/>
      <c r="O823" s="12"/>
      <c r="P823" s="12"/>
      <c r="Q823" s="12"/>
      <c r="R823" s="12"/>
      <c r="S823" s="12"/>
      <c r="T823" s="12"/>
      <c r="U823" s="12"/>
      <c r="W823" s="12"/>
      <c r="X823" s="12"/>
      <c r="Y823" s="12"/>
      <c r="Z823" s="12"/>
      <c r="AA823" s="12"/>
    </row>
    <row r="824" spans="1:27" ht="15.75" customHeight="1">
      <c r="A824" s="12"/>
      <c r="B824" s="12"/>
      <c r="C824" s="12"/>
      <c r="D824" s="12"/>
      <c r="E824" s="12"/>
      <c r="F824" s="12"/>
      <c r="G824" s="12"/>
      <c r="H824" s="12"/>
      <c r="I824" s="12"/>
      <c r="J824" s="12"/>
      <c r="K824" s="12"/>
      <c r="L824" s="12"/>
      <c r="M824" s="12"/>
      <c r="N824" s="12"/>
      <c r="O824" s="12"/>
      <c r="P824" s="12"/>
      <c r="Q824" s="12"/>
      <c r="R824" s="12"/>
      <c r="S824" s="12"/>
      <c r="T824" s="12"/>
      <c r="U824" s="12"/>
      <c r="W824" s="12"/>
      <c r="X824" s="12"/>
      <c r="Y824" s="12"/>
      <c r="Z824" s="12"/>
      <c r="AA824" s="12"/>
    </row>
    <row r="825" spans="1:27" ht="15.75" customHeight="1">
      <c r="A825" s="12"/>
      <c r="B825" s="12"/>
      <c r="C825" s="12"/>
      <c r="D825" s="12"/>
      <c r="E825" s="12"/>
      <c r="F825" s="12"/>
      <c r="G825" s="12"/>
      <c r="H825" s="12"/>
      <c r="I825" s="12"/>
      <c r="J825" s="12"/>
      <c r="K825" s="12"/>
      <c r="L825" s="12"/>
      <c r="M825" s="12"/>
      <c r="N825" s="12"/>
      <c r="O825" s="12"/>
      <c r="P825" s="12"/>
      <c r="Q825" s="12"/>
      <c r="R825" s="12"/>
      <c r="S825" s="12"/>
      <c r="T825" s="12"/>
      <c r="U825" s="12"/>
      <c r="W825" s="12"/>
      <c r="X825" s="12"/>
      <c r="Y825" s="12"/>
      <c r="Z825" s="12"/>
      <c r="AA825" s="12"/>
    </row>
    <row r="826" spans="1:27" ht="15.75" customHeight="1">
      <c r="A826" s="12"/>
      <c r="B826" s="12"/>
      <c r="C826" s="12"/>
      <c r="D826" s="12"/>
      <c r="E826" s="12"/>
      <c r="F826" s="12"/>
      <c r="G826" s="12"/>
      <c r="H826" s="12"/>
      <c r="I826" s="12"/>
      <c r="J826" s="12"/>
      <c r="K826" s="12"/>
      <c r="L826" s="12"/>
      <c r="M826" s="12"/>
      <c r="N826" s="12"/>
      <c r="O826" s="12"/>
      <c r="P826" s="12"/>
      <c r="Q826" s="12"/>
      <c r="R826" s="12"/>
      <c r="S826" s="12"/>
      <c r="T826" s="12"/>
      <c r="U826" s="12"/>
      <c r="W826" s="12"/>
      <c r="X826" s="12"/>
      <c r="Y826" s="12"/>
      <c r="Z826" s="12"/>
      <c r="AA826" s="12"/>
    </row>
    <row r="827" spans="1:27" ht="15.75" customHeight="1">
      <c r="A827" s="12"/>
      <c r="B827" s="12"/>
      <c r="C827" s="12"/>
      <c r="D827" s="12"/>
      <c r="E827" s="12"/>
      <c r="F827" s="12"/>
      <c r="G827" s="12"/>
      <c r="H827" s="12"/>
      <c r="I827" s="12"/>
      <c r="J827" s="12"/>
      <c r="K827" s="12"/>
      <c r="L827" s="12"/>
      <c r="M827" s="12"/>
      <c r="N827" s="12"/>
      <c r="O827" s="12"/>
      <c r="P827" s="12"/>
      <c r="Q827" s="12"/>
      <c r="R827" s="12"/>
      <c r="S827" s="12"/>
      <c r="T827" s="12"/>
      <c r="U827" s="12"/>
      <c r="W827" s="12"/>
      <c r="X827" s="12"/>
      <c r="Y827" s="12"/>
      <c r="Z827" s="12"/>
      <c r="AA827" s="12"/>
    </row>
    <row r="828" spans="1:27" ht="15.75" customHeight="1">
      <c r="A828" s="12"/>
      <c r="B828" s="12"/>
      <c r="C828" s="12"/>
      <c r="D828" s="12"/>
      <c r="E828" s="12"/>
      <c r="F828" s="12"/>
      <c r="G828" s="12"/>
      <c r="H828" s="12"/>
      <c r="I828" s="12"/>
      <c r="J828" s="12"/>
      <c r="K828" s="12"/>
      <c r="L828" s="12"/>
      <c r="M828" s="12"/>
      <c r="N828" s="12"/>
      <c r="O828" s="12"/>
      <c r="P828" s="12"/>
      <c r="Q828" s="12"/>
      <c r="R828" s="12"/>
      <c r="S828" s="12"/>
      <c r="T828" s="12"/>
      <c r="U828" s="12"/>
      <c r="W828" s="12"/>
      <c r="X828" s="12"/>
      <c r="Y828" s="12"/>
      <c r="Z828" s="12"/>
      <c r="AA828" s="12"/>
    </row>
    <row r="829" spans="1:27" ht="15.75" customHeight="1">
      <c r="A829" s="12"/>
      <c r="B829" s="12"/>
      <c r="C829" s="12"/>
      <c r="D829" s="12"/>
      <c r="E829" s="12"/>
      <c r="F829" s="12"/>
      <c r="G829" s="12"/>
      <c r="H829" s="12"/>
      <c r="I829" s="12"/>
      <c r="J829" s="12"/>
      <c r="K829" s="12"/>
      <c r="L829" s="12"/>
      <c r="M829" s="12"/>
      <c r="N829" s="12"/>
      <c r="O829" s="12"/>
      <c r="P829" s="12"/>
      <c r="Q829" s="12"/>
      <c r="R829" s="12"/>
      <c r="S829" s="12"/>
      <c r="T829" s="12"/>
      <c r="U829" s="12"/>
      <c r="W829" s="12"/>
      <c r="X829" s="12"/>
      <c r="Y829" s="12"/>
      <c r="Z829" s="12"/>
      <c r="AA829" s="12"/>
    </row>
    <row r="830" spans="1:27" ht="15.75" customHeight="1">
      <c r="A830" s="12"/>
      <c r="B830" s="12"/>
      <c r="C830" s="12"/>
      <c r="D830" s="12"/>
      <c r="E830" s="12"/>
      <c r="F830" s="12"/>
      <c r="G830" s="12"/>
      <c r="H830" s="12"/>
      <c r="I830" s="12"/>
      <c r="J830" s="12"/>
      <c r="K830" s="12"/>
      <c r="L830" s="12"/>
      <c r="M830" s="12"/>
      <c r="N830" s="12"/>
      <c r="O830" s="12"/>
      <c r="P830" s="12"/>
      <c r="Q830" s="12"/>
      <c r="R830" s="12"/>
      <c r="S830" s="12"/>
      <c r="T830" s="12"/>
      <c r="U830" s="12"/>
      <c r="W830" s="12"/>
      <c r="X830" s="12"/>
      <c r="Y830" s="12"/>
      <c r="Z830" s="12"/>
      <c r="AA830" s="12"/>
    </row>
    <row r="831" spans="1:27" ht="15.75" customHeight="1">
      <c r="A831" s="12"/>
      <c r="B831" s="12"/>
      <c r="C831" s="12"/>
      <c r="D831" s="12"/>
      <c r="E831" s="12"/>
      <c r="F831" s="12"/>
      <c r="G831" s="12"/>
      <c r="H831" s="12"/>
      <c r="I831" s="12"/>
      <c r="J831" s="12"/>
      <c r="K831" s="12"/>
      <c r="L831" s="12"/>
      <c r="M831" s="12"/>
      <c r="N831" s="12"/>
      <c r="O831" s="12"/>
      <c r="P831" s="12"/>
      <c r="Q831" s="12"/>
      <c r="R831" s="12"/>
      <c r="S831" s="12"/>
      <c r="T831" s="12"/>
      <c r="U831" s="12"/>
      <c r="W831" s="12"/>
      <c r="X831" s="12"/>
      <c r="Y831" s="12"/>
      <c r="Z831" s="12"/>
      <c r="AA831" s="12"/>
    </row>
    <row r="832" spans="1:27" ht="15.75" customHeight="1">
      <c r="A832" s="12"/>
      <c r="B832" s="12"/>
      <c r="C832" s="12"/>
      <c r="D832" s="12"/>
      <c r="E832" s="12"/>
      <c r="F832" s="12"/>
      <c r="G832" s="12"/>
      <c r="H832" s="12"/>
      <c r="I832" s="12"/>
      <c r="J832" s="12"/>
      <c r="K832" s="12"/>
      <c r="L832" s="12"/>
      <c r="M832" s="12"/>
      <c r="N832" s="12"/>
      <c r="O832" s="12"/>
      <c r="P832" s="12"/>
      <c r="Q832" s="12"/>
      <c r="R832" s="12"/>
      <c r="S832" s="12"/>
      <c r="T832" s="12"/>
      <c r="U832" s="12"/>
      <c r="W832" s="12"/>
      <c r="X832" s="12"/>
      <c r="Y832" s="12"/>
      <c r="Z832" s="12"/>
      <c r="AA832" s="12"/>
    </row>
    <row r="833" spans="1:27" ht="15.75" customHeight="1">
      <c r="A833" s="12"/>
      <c r="B833" s="12"/>
      <c r="C833" s="12"/>
      <c r="D833" s="12"/>
      <c r="E833" s="12"/>
      <c r="F833" s="12"/>
      <c r="G833" s="12"/>
      <c r="H833" s="12"/>
      <c r="I833" s="12"/>
      <c r="J833" s="12"/>
      <c r="K833" s="12"/>
      <c r="L833" s="12"/>
      <c r="M833" s="12"/>
      <c r="N833" s="12"/>
      <c r="O833" s="12"/>
      <c r="P833" s="12"/>
      <c r="Q833" s="12"/>
      <c r="R833" s="12"/>
      <c r="S833" s="12"/>
      <c r="T833" s="12"/>
      <c r="U833" s="12"/>
      <c r="W833" s="12"/>
      <c r="X833" s="12"/>
      <c r="Y833" s="12"/>
      <c r="Z833" s="12"/>
      <c r="AA833" s="12"/>
    </row>
    <row r="834" spans="1:27" ht="15.75" customHeight="1">
      <c r="A834" s="12"/>
      <c r="B834" s="12"/>
      <c r="C834" s="12"/>
      <c r="D834" s="12"/>
      <c r="E834" s="12"/>
      <c r="F834" s="12"/>
      <c r="G834" s="12"/>
      <c r="H834" s="12"/>
      <c r="I834" s="12"/>
      <c r="J834" s="12"/>
      <c r="K834" s="12"/>
      <c r="L834" s="12"/>
      <c r="M834" s="12"/>
      <c r="N834" s="12"/>
      <c r="O834" s="12"/>
      <c r="P834" s="12"/>
      <c r="Q834" s="12"/>
      <c r="R834" s="12"/>
      <c r="S834" s="12"/>
      <c r="T834" s="12"/>
      <c r="U834" s="12"/>
      <c r="W834" s="12"/>
      <c r="X834" s="12"/>
      <c r="Y834" s="12"/>
      <c r="Z834" s="12"/>
      <c r="AA834" s="12"/>
    </row>
    <row r="835" spans="1:27" ht="15.75" customHeight="1">
      <c r="A835" s="12"/>
      <c r="B835" s="12"/>
      <c r="C835" s="12"/>
      <c r="D835" s="12"/>
      <c r="E835" s="12"/>
      <c r="F835" s="12"/>
      <c r="G835" s="12"/>
      <c r="H835" s="12"/>
      <c r="I835" s="12"/>
      <c r="J835" s="12"/>
      <c r="K835" s="12"/>
      <c r="L835" s="12"/>
      <c r="M835" s="12"/>
      <c r="N835" s="12"/>
      <c r="O835" s="12"/>
      <c r="P835" s="12"/>
      <c r="Q835" s="12"/>
      <c r="R835" s="12"/>
      <c r="S835" s="12"/>
      <c r="T835" s="12"/>
      <c r="U835" s="12"/>
      <c r="W835" s="12"/>
      <c r="X835" s="12"/>
      <c r="Y835" s="12"/>
      <c r="Z835" s="12"/>
      <c r="AA835" s="12"/>
    </row>
    <row r="836" spans="1:27" ht="15.75" customHeight="1">
      <c r="A836" s="12"/>
      <c r="B836" s="12"/>
      <c r="C836" s="12"/>
      <c r="D836" s="12"/>
      <c r="E836" s="12"/>
      <c r="F836" s="12"/>
      <c r="G836" s="12"/>
      <c r="H836" s="12"/>
      <c r="I836" s="12"/>
      <c r="J836" s="12"/>
      <c r="K836" s="12"/>
      <c r="L836" s="12"/>
      <c r="M836" s="12"/>
      <c r="N836" s="12"/>
      <c r="O836" s="12"/>
      <c r="P836" s="12"/>
      <c r="Q836" s="12"/>
      <c r="R836" s="12"/>
      <c r="S836" s="12"/>
      <c r="T836" s="12"/>
      <c r="U836" s="12"/>
      <c r="W836" s="12"/>
      <c r="X836" s="12"/>
      <c r="Y836" s="12"/>
      <c r="Z836" s="12"/>
      <c r="AA836" s="12"/>
    </row>
    <row r="837" spans="1:27" ht="15.75" customHeight="1">
      <c r="A837" s="12"/>
      <c r="B837" s="12"/>
      <c r="C837" s="12"/>
      <c r="D837" s="12"/>
      <c r="E837" s="12"/>
      <c r="F837" s="12"/>
      <c r="G837" s="12"/>
      <c r="H837" s="12"/>
      <c r="I837" s="12"/>
      <c r="J837" s="12"/>
      <c r="K837" s="12"/>
      <c r="L837" s="12"/>
      <c r="M837" s="12"/>
      <c r="N837" s="12"/>
      <c r="O837" s="12"/>
      <c r="P837" s="12"/>
      <c r="Q837" s="12"/>
      <c r="R837" s="12"/>
      <c r="S837" s="12"/>
      <c r="T837" s="12"/>
      <c r="U837" s="12"/>
      <c r="W837" s="12"/>
      <c r="X837" s="12"/>
      <c r="Y837" s="12"/>
      <c r="Z837" s="12"/>
      <c r="AA837" s="12"/>
    </row>
    <row r="838" spans="1:27" ht="15.75" customHeight="1">
      <c r="A838" s="12"/>
      <c r="B838" s="12"/>
      <c r="C838" s="12"/>
      <c r="D838" s="12"/>
      <c r="E838" s="12"/>
      <c r="F838" s="12"/>
      <c r="G838" s="12"/>
      <c r="H838" s="12"/>
      <c r="I838" s="12"/>
      <c r="J838" s="12"/>
      <c r="K838" s="12"/>
      <c r="L838" s="12"/>
      <c r="M838" s="12"/>
      <c r="N838" s="12"/>
      <c r="O838" s="12"/>
      <c r="P838" s="12"/>
      <c r="Q838" s="12"/>
      <c r="R838" s="12"/>
      <c r="S838" s="12"/>
      <c r="T838" s="12"/>
      <c r="U838" s="12"/>
      <c r="W838" s="12"/>
      <c r="X838" s="12"/>
      <c r="Y838" s="12"/>
      <c r="Z838" s="12"/>
      <c r="AA838" s="12"/>
    </row>
    <row r="839" spans="1:27" ht="15.75" customHeight="1">
      <c r="A839" s="12"/>
      <c r="B839" s="12"/>
      <c r="C839" s="12"/>
      <c r="D839" s="12"/>
      <c r="E839" s="12"/>
      <c r="F839" s="12"/>
      <c r="G839" s="12"/>
      <c r="H839" s="12"/>
      <c r="I839" s="12"/>
      <c r="J839" s="12"/>
      <c r="K839" s="12"/>
      <c r="L839" s="12"/>
      <c r="M839" s="12"/>
      <c r="N839" s="12"/>
      <c r="O839" s="12"/>
      <c r="P839" s="12"/>
      <c r="Q839" s="12"/>
      <c r="R839" s="12"/>
      <c r="S839" s="12"/>
      <c r="T839" s="12"/>
      <c r="U839" s="12"/>
      <c r="W839" s="12"/>
      <c r="X839" s="12"/>
      <c r="Y839" s="12"/>
      <c r="Z839" s="12"/>
      <c r="AA839" s="12"/>
    </row>
    <row r="840" spans="1:27" ht="15.75" customHeight="1">
      <c r="A840" s="12"/>
      <c r="B840" s="12"/>
      <c r="C840" s="12"/>
      <c r="D840" s="12"/>
      <c r="E840" s="12"/>
      <c r="F840" s="12"/>
      <c r="G840" s="12"/>
      <c r="H840" s="12"/>
      <c r="I840" s="12"/>
      <c r="J840" s="12"/>
      <c r="K840" s="12"/>
      <c r="L840" s="12"/>
      <c r="M840" s="12"/>
      <c r="N840" s="12"/>
      <c r="O840" s="12"/>
      <c r="P840" s="12"/>
      <c r="Q840" s="12"/>
      <c r="R840" s="12"/>
      <c r="S840" s="12"/>
      <c r="T840" s="12"/>
      <c r="U840" s="12"/>
      <c r="W840" s="12"/>
      <c r="X840" s="12"/>
      <c r="Y840" s="12"/>
      <c r="Z840" s="12"/>
      <c r="AA840" s="12"/>
    </row>
    <row r="841" spans="1:27" ht="15.75" customHeight="1">
      <c r="A841" s="12"/>
      <c r="B841" s="12"/>
      <c r="C841" s="12"/>
      <c r="D841" s="12"/>
      <c r="E841" s="12"/>
      <c r="F841" s="12"/>
      <c r="G841" s="12"/>
      <c r="H841" s="12"/>
      <c r="I841" s="12"/>
      <c r="J841" s="12"/>
      <c r="K841" s="12"/>
      <c r="L841" s="12"/>
      <c r="M841" s="12"/>
      <c r="N841" s="12"/>
      <c r="O841" s="12"/>
      <c r="P841" s="12"/>
      <c r="Q841" s="12"/>
      <c r="R841" s="12"/>
      <c r="S841" s="12"/>
      <c r="T841" s="12"/>
      <c r="U841" s="12"/>
      <c r="W841" s="12"/>
      <c r="X841" s="12"/>
      <c r="Y841" s="12"/>
      <c r="Z841" s="12"/>
      <c r="AA841" s="12"/>
    </row>
    <row r="842" spans="1:27" ht="15.75" customHeight="1">
      <c r="A842" s="12"/>
      <c r="B842" s="12"/>
      <c r="C842" s="12"/>
      <c r="D842" s="12"/>
      <c r="E842" s="12"/>
      <c r="F842" s="12"/>
      <c r="G842" s="12"/>
      <c r="H842" s="12"/>
      <c r="I842" s="12"/>
      <c r="J842" s="12"/>
      <c r="K842" s="12"/>
      <c r="L842" s="12"/>
      <c r="M842" s="12"/>
      <c r="N842" s="12"/>
      <c r="O842" s="12"/>
      <c r="P842" s="12"/>
      <c r="Q842" s="12"/>
      <c r="R842" s="12"/>
      <c r="S842" s="12"/>
      <c r="T842" s="12"/>
      <c r="U842" s="12"/>
      <c r="W842" s="12"/>
      <c r="X842" s="12"/>
      <c r="Y842" s="12"/>
      <c r="Z842" s="12"/>
      <c r="AA842" s="12"/>
    </row>
    <row r="843" spans="1:27" ht="15.75" customHeight="1">
      <c r="A843" s="12"/>
      <c r="B843" s="12"/>
      <c r="C843" s="12"/>
      <c r="D843" s="12"/>
      <c r="E843" s="12"/>
      <c r="F843" s="12"/>
      <c r="G843" s="12"/>
      <c r="H843" s="12"/>
      <c r="I843" s="12"/>
      <c r="J843" s="12"/>
      <c r="K843" s="12"/>
      <c r="L843" s="12"/>
      <c r="M843" s="12"/>
      <c r="N843" s="12"/>
      <c r="O843" s="12"/>
      <c r="P843" s="12"/>
      <c r="Q843" s="12"/>
      <c r="R843" s="12"/>
      <c r="S843" s="12"/>
      <c r="T843" s="12"/>
      <c r="U843" s="12"/>
      <c r="W843" s="12"/>
      <c r="X843" s="12"/>
      <c r="Y843" s="12"/>
      <c r="Z843" s="12"/>
      <c r="AA843" s="12"/>
    </row>
    <row r="844" spans="1:27" ht="15.75" customHeight="1">
      <c r="A844" s="12"/>
      <c r="B844" s="12"/>
      <c r="C844" s="12"/>
      <c r="D844" s="12"/>
      <c r="E844" s="12"/>
      <c r="F844" s="12"/>
      <c r="G844" s="12"/>
      <c r="H844" s="12"/>
      <c r="I844" s="12"/>
      <c r="J844" s="12"/>
      <c r="K844" s="12"/>
      <c r="L844" s="12"/>
      <c r="M844" s="12"/>
      <c r="N844" s="12"/>
      <c r="O844" s="12"/>
      <c r="P844" s="12"/>
      <c r="Q844" s="12"/>
      <c r="R844" s="12"/>
      <c r="S844" s="12"/>
      <c r="T844" s="12"/>
      <c r="U844" s="12"/>
      <c r="W844" s="12"/>
      <c r="X844" s="12"/>
      <c r="Y844" s="12"/>
      <c r="Z844" s="12"/>
      <c r="AA844" s="12"/>
    </row>
    <row r="845" spans="1:27" ht="15.75" customHeight="1">
      <c r="A845" s="12"/>
      <c r="B845" s="12"/>
      <c r="C845" s="12"/>
      <c r="D845" s="12"/>
      <c r="E845" s="12"/>
      <c r="F845" s="12"/>
      <c r="G845" s="12"/>
      <c r="H845" s="12"/>
      <c r="I845" s="12"/>
      <c r="J845" s="12"/>
      <c r="K845" s="12"/>
      <c r="L845" s="12"/>
      <c r="M845" s="12"/>
      <c r="N845" s="12"/>
      <c r="O845" s="12"/>
      <c r="P845" s="12"/>
      <c r="Q845" s="12"/>
      <c r="R845" s="12"/>
      <c r="S845" s="12"/>
      <c r="T845" s="12"/>
      <c r="U845" s="12"/>
      <c r="W845" s="12"/>
      <c r="X845" s="12"/>
      <c r="Y845" s="12"/>
      <c r="Z845" s="12"/>
      <c r="AA845" s="12"/>
    </row>
    <row r="846" spans="1:27" ht="15.75" customHeight="1">
      <c r="A846" s="12"/>
      <c r="B846" s="12"/>
      <c r="C846" s="12"/>
      <c r="D846" s="12"/>
      <c r="E846" s="12"/>
      <c r="F846" s="12"/>
      <c r="G846" s="12"/>
      <c r="H846" s="12"/>
      <c r="I846" s="12"/>
      <c r="J846" s="12"/>
      <c r="K846" s="12"/>
      <c r="L846" s="12"/>
      <c r="M846" s="12"/>
      <c r="N846" s="12"/>
      <c r="O846" s="12"/>
      <c r="P846" s="12"/>
      <c r="Q846" s="12"/>
      <c r="R846" s="12"/>
      <c r="S846" s="12"/>
      <c r="T846" s="12"/>
      <c r="U846" s="12"/>
      <c r="W846" s="12"/>
      <c r="X846" s="12"/>
      <c r="Y846" s="12"/>
      <c r="Z846" s="12"/>
      <c r="AA846" s="12"/>
    </row>
    <row r="847" spans="1:27" ht="15.75" customHeight="1">
      <c r="A847" s="12"/>
      <c r="B847" s="12"/>
      <c r="C847" s="12"/>
      <c r="D847" s="12"/>
      <c r="E847" s="12"/>
      <c r="F847" s="12"/>
      <c r="G847" s="12"/>
      <c r="H847" s="12"/>
      <c r="I847" s="12"/>
      <c r="J847" s="12"/>
      <c r="K847" s="12"/>
      <c r="L847" s="12"/>
      <c r="M847" s="12"/>
      <c r="N847" s="12"/>
      <c r="O847" s="12"/>
      <c r="P847" s="12"/>
      <c r="Q847" s="12"/>
      <c r="R847" s="12"/>
      <c r="S847" s="12"/>
      <c r="T847" s="12"/>
      <c r="U847" s="12"/>
      <c r="W847" s="12"/>
      <c r="X847" s="12"/>
      <c r="Y847" s="12"/>
      <c r="Z847" s="12"/>
      <c r="AA847" s="12"/>
    </row>
    <row r="848" spans="1:27" ht="15.75" customHeight="1">
      <c r="A848" s="12"/>
      <c r="B848" s="12"/>
      <c r="C848" s="12"/>
      <c r="D848" s="12"/>
      <c r="E848" s="12"/>
      <c r="F848" s="12"/>
      <c r="G848" s="12"/>
      <c r="H848" s="12"/>
      <c r="I848" s="12"/>
      <c r="J848" s="12"/>
      <c r="K848" s="12"/>
      <c r="L848" s="12"/>
      <c r="M848" s="12"/>
      <c r="N848" s="12"/>
      <c r="O848" s="12"/>
      <c r="P848" s="12"/>
      <c r="Q848" s="12"/>
      <c r="R848" s="12"/>
      <c r="S848" s="12"/>
      <c r="T848" s="12"/>
      <c r="U848" s="12"/>
      <c r="W848" s="12"/>
      <c r="X848" s="12"/>
      <c r="Y848" s="12"/>
      <c r="Z848" s="12"/>
      <c r="AA848" s="12"/>
    </row>
    <row r="849" spans="1:27" ht="15.75" customHeight="1">
      <c r="A849" s="12"/>
      <c r="B849" s="12"/>
      <c r="C849" s="12"/>
      <c r="D849" s="12"/>
      <c r="E849" s="12"/>
      <c r="F849" s="12"/>
      <c r="G849" s="12"/>
      <c r="H849" s="12"/>
      <c r="I849" s="12"/>
      <c r="J849" s="12"/>
      <c r="K849" s="12"/>
      <c r="L849" s="12"/>
      <c r="M849" s="12"/>
      <c r="N849" s="12"/>
      <c r="O849" s="12"/>
      <c r="P849" s="12"/>
      <c r="Q849" s="12"/>
      <c r="R849" s="12"/>
      <c r="S849" s="12"/>
      <c r="T849" s="12"/>
      <c r="U849" s="12"/>
      <c r="W849" s="12"/>
      <c r="X849" s="12"/>
      <c r="Y849" s="12"/>
      <c r="Z849" s="12"/>
      <c r="AA849" s="12"/>
    </row>
    <row r="850" spans="1:27" ht="15.75" customHeight="1">
      <c r="A850" s="12"/>
      <c r="B850" s="12"/>
      <c r="C850" s="12"/>
      <c r="D850" s="12"/>
      <c r="E850" s="12"/>
      <c r="F850" s="12"/>
      <c r="G850" s="12"/>
      <c r="H850" s="12"/>
      <c r="I850" s="12"/>
      <c r="J850" s="12"/>
      <c r="K850" s="12"/>
      <c r="L850" s="12"/>
      <c r="M850" s="12"/>
      <c r="N850" s="12"/>
      <c r="O850" s="12"/>
      <c r="P850" s="12"/>
      <c r="Q850" s="12"/>
      <c r="R850" s="12"/>
      <c r="S850" s="12"/>
      <c r="T850" s="12"/>
      <c r="U850" s="12"/>
      <c r="W850" s="12"/>
      <c r="X850" s="12"/>
      <c r="Y850" s="12"/>
      <c r="Z850" s="12"/>
      <c r="AA850" s="12"/>
    </row>
    <row r="851" spans="1:27" ht="15.75" customHeight="1">
      <c r="A851" s="12"/>
      <c r="B851" s="12"/>
      <c r="C851" s="12"/>
      <c r="D851" s="12"/>
      <c r="E851" s="12"/>
      <c r="F851" s="12"/>
      <c r="G851" s="12"/>
      <c r="H851" s="12"/>
      <c r="I851" s="12"/>
      <c r="J851" s="12"/>
      <c r="K851" s="12"/>
      <c r="L851" s="12"/>
      <c r="M851" s="12"/>
      <c r="N851" s="12"/>
      <c r="O851" s="12"/>
      <c r="P851" s="12"/>
      <c r="Q851" s="12"/>
      <c r="R851" s="12"/>
      <c r="S851" s="12"/>
      <c r="T851" s="12"/>
      <c r="U851" s="12"/>
      <c r="W851" s="12"/>
      <c r="X851" s="12"/>
      <c r="Y851" s="12"/>
      <c r="Z851" s="12"/>
      <c r="AA851" s="12"/>
    </row>
    <row r="852" spans="1:27" ht="15.75" customHeight="1">
      <c r="A852" s="12"/>
      <c r="B852" s="12"/>
      <c r="C852" s="12"/>
      <c r="D852" s="12"/>
      <c r="E852" s="12"/>
      <c r="F852" s="12"/>
      <c r="G852" s="12"/>
      <c r="H852" s="12"/>
      <c r="I852" s="12"/>
      <c r="J852" s="12"/>
      <c r="K852" s="12"/>
      <c r="L852" s="12"/>
      <c r="M852" s="12"/>
      <c r="N852" s="12"/>
      <c r="O852" s="12"/>
      <c r="P852" s="12"/>
      <c r="Q852" s="12"/>
      <c r="R852" s="12"/>
      <c r="S852" s="12"/>
      <c r="T852" s="12"/>
      <c r="U852" s="12"/>
      <c r="W852" s="12"/>
      <c r="X852" s="12"/>
      <c r="Y852" s="12"/>
      <c r="Z852" s="12"/>
      <c r="AA852" s="12"/>
    </row>
    <row r="853" spans="1:27" ht="15.75" customHeight="1">
      <c r="A853" s="12"/>
      <c r="B853" s="12"/>
      <c r="C853" s="12"/>
      <c r="D853" s="12"/>
      <c r="E853" s="12"/>
      <c r="F853" s="12"/>
      <c r="G853" s="12"/>
      <c r="H853" s="12"/>
      <c r="I853" s="12"/>
      <c r="J853" s="12"/>
      <c r="K853" s="12"/>
      <c r="L853" s="12"/>
      <c r="M853" s="12"/>
      <c r="N853" s="12"/>
      <c r="O853" s="12"/>
      <c r="P853" s="12"/>
      <c r="Q853" s="12"/>
      <c r="R853" s="12"/>
      <c r="S853" s="12"/>
      <c r="T853" s="12"/>
      <c r="U853" s="12"/>
      <c r="W853" s="12"/>
      <c r="X853" s="12"/>
      <c r="Y853" s="12"/>
      <c r="Z853" s="12"/>
      <c r="AA853" s="12"/>
    </row>
    <row r="854" spans="1:27" ht="15.75" customHeight="1">
      <c r="A854" s="12"/>
      <c r="B854" s="12"/>
      <c r="C854" s="12"/>
      <c r="D854" s="12"/>
      <c r="E854" s="12"/>
      <c r="F854" s="12"/>
      <c r="G854" s="12"/>
      <c r="H854" s="12"/>
      <c r="I854" s="12"/>
      <c r="J854" s="12"/>
      <c r="K854" s="12"/>
      <c r="L854" s="12"/>
      <c r="M854" s="12"/>
      <c r="N854" s="12"/>
      <c r="O854" s="12"/>
      <c r="P854" s="12"/>
      <c r="Q854" s="12"/>
      <c r="R854" s="12"/>
      <c r="S854" s="12"/>
      <c r="T854" s="12"/>
      <c r="U854" s="12"/>
      <c r="W854" s="12"/>
      <c r="X854" s="12"/>
      <c r="Y854" s="12"/>
      <c r="Z854" s="12"/>
      <c r="AA854" s="12"/>
    </row>
    <row r="855" spans="1:27" ht="15.75" customHeight="1">
      <c r="A855" s="12"/>
      <c r="B855" s="12"/>
      <c r="C855" s="12"/>
      <c r="D855" s="12"/>
      <c r="E855" s="12"/>
      <c r="F855" s="12"/>
      <c r="G855" s="12"/>
      <c r="H855" s="12"/>
      <c r="I855" s="12"/>
      <c r="J855" s="12"/>
      <c r="K855" s="12"/>
      <c r="L855" s="12"/>
      <c r="M855" s="12"/>
      <c r="N855" s="12"/>
      <c r="O855" s="12"/>
      <c r="P855" s="12"/>
      <c r="Q855" s="12"/>
      <c r="R855" s="12"/>
      <c r="S855" s="12"/>
      <c r="T855" s="12"/>
      <c r="U855" s="12"/>
      <c r="W855" s="12"/>
      <c r="X855" s="12"/>
      <c r="Y855" s="12"/>
      <c r="Z855" s="12"/>
      <c r="AA855" s="12"/>
    </row>
    <row r="856" spans="1:27" ht="15.75" customHeight="1">
      <c r="A856" s="12"/>
      <c r="B856" s="12"/>
      <c r="C856" s="12"/>
      <c r="D856" s="12"/>
      <c r="E856" s="12"/>
      <c r="F856" s="12"/>
      <c r="G856" s="12"/>
      <c r="H856" s="12"/>
      <c r="I856" s="12"/>
      <c r="J856" s="12"/>
      <c r="K856" s="12"/>
      <c r="L856" s="12"/>
      <c r="M856" s="12"/>
      <c r="N856" s="12"/>
      <c r="O856" s="12"/>
      <c r="P856" s="12"/>
      <c r="Q856" s="12"/>
      <c r="R856" s="12"/>
      <c r="S856" s="12"/>
      <c r="T856" s="12"/>
      <c r="U856" s="12"/>
      <c r="W856" s="12"/>
      <c r="X856" s="12"/>
      <c r="Y856" s="12"/>
      <c r="Z856" s="12"/>
      <c r="AA856" s="12"/>
    </row>
    <row r="857" spans="1:27" ht="15.75" customHeight="1">
      <c r="A857" s="12"/>
      <c r="B857" s="12"/>
      <c r="C857" s="12"/>
      <c r="D857" s="12"/>
      <c r="E857" s="12"/>
      <c r="F857" s="12"/>
      <c r="G857" s="12"/>
      <c r="H857" s="12"/>
      <c r="I857" s="12"/>
      <c r="J857" s="12"/>
      <c r="K857" s="12"/>
      <c r="L857" s="12"/>
      <c r="M857" s="12"/>
      <c r="N857" s="12"/>
      <c r="O857" s="12"/>
      <c r="P857" s="12"/>
      <c r="Q857" s="12"/>
      <c r="R857" s="12"/>
      <c r="S857" s="12"/>
      <c r="T857" s="12"/>
      <c r="U857" s="12"/>
      <c r="W857" s="12"/>
      <c r="X857" s="12"/>
      <c r="Y857" s="12"/>
      <c r="Z857" s="12"/>
      <c r="AA857" s="12"/>
    </row>
    <row r="858" spans="1:27" ht="15.75" customHeight="1">
      <c r="A858" s="12"/>
      <c r="B858" s="12"/>
      <c r="C858" s="12"/>
      <c r="D858" s="12"/>
      <c r="E858" s="12"/>
      <c r="F858" s="12"/>
      <c r="G858" s="12"/>
      <c r="H858" s="12"/>
      <c r="I858" s="12"/>
      <c r="J858" s="12"/>
      <c r="K858" s="12"/>
      <c r="L858" s="12"/>
      <c r="M858" s="12"/>
      <c r="N858" s="12"/>
      <c r="O858" s="12"/>
      <c r="P858" s="12"/>
      <c r="Q858" s="12"/>
      <c r="R858" s="12"/>
      <c r="S858" s="12"/>
      <c r="T858" s="12"/>
      <c r="U858" s="12"/>
      <c r="W858" s="12"/>
      <c r="X858" s="12"/>
      <c r="Y858" s="12"/>
      <c r="Z858" s="12"/>
      <c r="AA858" s="12"/>
    </row>
    <row r="859" spans="1:27" ht="15.75" customHeight="1">
      <c r="A859" s="12"/>
      <c r="B859" s="12"/>
      <c r="C859" s="12"/>
      <c r="D859" s="12"/>
      <c r="E859" s="12"/>
      <c r="F859" s="12"/>
      <c r="G859" s="12"/>
      <c r="H859" s="12"/>
      <c r="I859" s="12"/>
      <c r="J859" s="12"/>
      <c r="K859" s="12"/>
      <c r="L859" s="12"/>
      <c r="M859" s="12"/>
      <c r="N859" s="12"/>
      <c r="O859" s="12"/>
      <c r="P859" s="12"/>
      <c r="Q859" s="12"/>
      <c r="R859" s="12"/>
      <c r="S859" s="12"/>
      <c r="T859" s="12"/>
      <c r="U859" s="12"/>
      <c r="W859" s="12"/>
      <c r="X859" s="12"/>
      <c r="Y859" s="12"/>
      <c r="Z859" s="12"/>
      <c r="AA859" s="12"/>
    </row>
    <row r="860" spans="1:27" ht="15.75" customHeight="1">
      <c r="A860" s="12"/>
      <c r="B860" s="12"/>
      <c r="C860" s="12"/>
      <c r="D860" s="12"/>
      <c r="E860" s="12"/>
      <c r="F860" s="12"/>
      <c r="G860" s="12"/>
      <c r="H860" s="12"/>
      <c r="I860" s="12"/>
      <c r="J860" s="12"/>
      <c r="K860" s="12"/>
      <c r="L860" s="12"/>
      <c r="M860" s="12"/>
      <c r="N860" s="12"/>
      <c r="O860" s="12"/>
      <c r="P860" s="12"/>
      <c r="Q860" s="12"/>
      <c r="R860" s="12"/>
      <c r="S860" s="12"/>
      <c r="T860" s="12"/>
      <c r="U860" s="12"/>
      <c r="W860" s="12"/>
      <c r="X860" s="12"/>
      <c r="Y860" s="12"/>
      <c r="Z860" s="12"/>
      <c r="AA860" s="12"/>
    </row>
    <row r="861" spans="1:27" ht="15.75" customHeight="1">
      <c r="A861" s="12"/>
      <c r="B861" s="12"/>
      <c r="C861" s="12"/>
      <c r="D861" s="12"/>
      <c r="E861" s="12"/>
      <c r="F861" s="12"/>
      <c r="G861" s="12"/>
      <c r="H861" s="12"/>
      <c r="I861" s="12"/>
      <c r="J861" s="12"/>
      <c r="K861" s="12"/>
      <c r="L861" s="12"/>
      <c r="M861" s="12"/>
      <c r="N861" s="12"/>
      <c r="O861" s="12"/>
      <c r="P861" s="12"/>
      <c r="Q861" s="12"/>
      <c r="R861" s="12"/>
      <c r="S861" s="12"/>
      <c r="T861" s="12"/>
      <c r="U861" s="12"/>
      <c r="W861" s="12"/>
      <c r="X861" s="12"/>
      <c r="Y861" s="12"/>
      <c r="Z861" s="12"/>
      <c r="AA861" s="12"/>
    </row>
    <row r="862" spans="1:27" ht="15.75" customHeight="1">
      <c r="A862" s="12"/>
      <c r="B862" s="12"/>
      <c r="C862" s="12"/>
      <c r="D862" s="12"/>
      <c r="E862" s="12"/>
      <c r="F862" s="12"/>
      <c r="G862" s="12"/>
      <c r="H862" s="12"/>
      <c r="I862" s="12"/>
      <c r="J862" s="12"/>
      <c r="K862" s="12"/>
      <c r="L862" s="12"/>
      <c r="M862" s="12"/>
      <c r="N862" s="12"/>
      <c r="O862" s="12"/>
      <c r="P862" s="12"/>
      <c r="Q862" s="12"/>
      <c r="R862" s="12"/>
      <c r="S862" s="12"/>
      <c r="T862" s="12"/>
      <c r="U862" s="12"/>
      <c r="W862" s="12"/>
      <c r="X862" s="12"/>
      <c r="Y862" s="12"/>
      <c r="Z862" s="12"/>
      <c r="AA862" s="12"/>
    </row>
    <row r="863" spans="1:27" ht="15.75" customHeight="1">
      <c r="A863" s="12"/>
      <c r="B863" s="12"/>
      <c r="C863" s="12"/>
      <c r="D863" s="12"/>
      <c r="E863" s="12"/>
      <c r="F863" s="12"/>
      <c r="G863" s="12"/>
      <c r="H863" s="12"/>
      <c r="I863" s="12"/>
      <c r="J863" s="12"/>
      <c r="K863" s="12"/>
      <c r="L863" s="12"/>
      <c r="M863" s="12"/>
      <c r="N863" s="12"/>
      <c r="O863" s="12"/>
      <c r="P863" s="12"/>
      <c r="Q863" s="12"/>
      <c r="R863" s="12"/>
      <c r="S863" s="12"/>
      <c r="T863" s="12"/>
      <c r="U863" s="12"/>
      <c r="W863" s="12"/>
      <c r="X863" s="12"/>
      <c r="Y863" s="12"/>
      <c r="Z863" s="12"/>
      <c r="AA863" s="12"/>
    </row>
    <row r="864" spans="1:27" ht="15.75" customHeight="1">
      <c r="A864" s="12"/>
      <c r="B864" s="12"/>
      <c r="C864" s="12"/>
      <c r="D864" s="12"/>
      <c r="E864" s="12"/>
      <c r="F864" s="12"/>
      <c r="G864" s="12"/>
      <c r="H864" s="12"/>
      <c r="I864" s="12"/>
      <c r="J864" s="12"/>
      <c r="K864" s="12"/>
      <c r="L864" s="12"/>
      <c r="M864" s="12"/>
      <c r="N864" s="12"/>
      <c r="O864" s="12"/>
      <c r="P864" s="12"/>
      <c r="Q864" s="12"/>
      <c r="R864" s="12"/>
      <c r="S864" s="12"/>
      <c r="T864" s="12"/>
      <c r="U864" s="12"/>
      <c r="W864" s="12"/>
      <c r="X864" s="12"/>
      <c r="Y864" s="12"/>
      <c r="Z864" s="12"/>
      <c r="AA864" s="12"/>
    </row>
    <row r="865" spans="1:27" ht="15.75" customHeight="1">
      <c r="A865" s="12"/>
      <c r="B865" s="12"/>
      <c r="C865" s="12"/>
      <c r="D865" s="12"/>
      <c r="E865" s="12"/>
      <c r="F865" s="12"/>
      <c r="G865" s="12"/>
      <c r="H865" s="12"/>
      <c r="I865" s="12"/>
      <c r="J865" s="12"/>
      <c r="K865" s="12"/>
      <c r="L865" s="12"/>
      <c r="M865" s="12"/>
      <c r="N865" s="12"/>
      <c r="O865" s="12"/>
      <c r="P865" s="12"/>
      <c r="Q865" s="12"/>
      <c r="R865" s="12"/>
      <c r="S865" s="12"/>
      <c r="T865" s="12"/>
      <c r="U865" s="12"/>
      <c r="W865" s="12"/>
      <c r="X865" s="12"/>
      <c r="Y865" s="12"/>
      <c r="Z865" s="12"/>
      <c r="AA865" s="12"/>
    </row>
    <row r="866" spans="1:27" ht="15.75" customHeight="1">
      <c r="A866" s="12"/>
      <c r="B866" s="12"/>
      <c r="C866" s="12"/>
      <c r="D866" s="12"/>
      <c r="E866" s="12"/>
      <c r="F866" s="12"/>
      <c r="G866" s="12"/>
      <c r="H866" s="12"/>
      <c r="I866" s="12"/>
      <c r="J866" s="12"/>
      <c r="K866" s="12"/>
      <c r="L866" s="12"/>
      <c r="M866" s="12"/>
      <c r="N866" s="12"/>
      <c r="O866" s="12"/>
      <c r="P866" s="12"/>
      <c r="Q866" s="12"/>
      <c r="R866" s="12"/>
      <c r="S866" s="12"/>
      <c r="T866" s="12"/>
      <c r="U866" s="12"/>
      <c r="W866" s="12"/>
      <c r="X866" s="12"/>
      <c r="Y866" s="12"/>
      <c r="Z866" s="12"/>
      <c r="AA866" s="12"/>
    </row>
    <row r="867" spans="1:27" ht="15.75" customHeight="1">
      <c r="A867" s="12"/>
      <c r="B867" s="12"/>
      <c r="C867" s="12"/>
      <c r="D867" s="12"/>
      <c r="E867" s="12"/>
      <c r="F867" s="12"/>
      <c r="G867" s="12"/>
      <c r="H867" s="12"/>
      <c r="I867" s="12"/>
      <c r="J867" s="12"/>
      <c r="K867" s="12"/>
      <c r="L867" s="12"/>
      <c r="M867" s="12"/>
      <c r="N867" s="12"/>
      <c r="O867" s="12"/>
      <c r="P867" s="12"/>
      <c r="Q867" s="12"/>
      <c r="R867" s="12"/>
      <c r="S867" s="12"/>
      <c r="T867" s="12"/>
      <c r="U867" s="12"/>
      <c r="W867" s="12"/>
      <c r="X867" s="12"/>
      <c r="Y867" s="12"/>
      <c r="Z867" s="12"/>
      <c r="AA867" s="12"/>
    </row>
    <row r="868" spans="1:27" ht="15.75" customHeight="1">
      <c r="A868" s="12"/>
      <c r="B868" s="12"/>
      <c r="C868" s="12"/>
      <c r="D868" s="12"/>
      <c r="E868" s="12"/>
      <c r="F868" s="12"/>
      <c r="G868" s="12"/>
      <c r="H868" s="12"/>
      <c r="I868" s="12"/>
      <c r="J868" s="12"/>
      <c r="K868" s="12"/>
      <c r="L868" s="12"/>
      <c r="M868" s="12"/>
      <c r="N868" s="12"/>
      <c r="O868" s="12"/>
      <c r="P868" s="12"/>
      <c r="Q868" s="12"/>
      <c r="R868" s="12"/>
      <c r="S868" s="12"/>
      <c r="T868" s="12"/>
      <c r="U868" s="12"/>
      <c r="W868" s="12"/>
      <c r="X868" s="12"/>
      <c r="Y868" s="12"/>
      <c r="Z868" s="12"/>
      <c r="AA868" s="12"/>
    </row>
    <row r="869" spans="1:27" ht="15.75" customHeight="1">
      <c r="A869" s="12"/>
      <c r="B869" s="12"/>
      <c r="C869" s="12"/>
      <c r="D869" s="12"/>
      <c r="E869" s="12"/>
      <c r="F869" s="12"/>
      <c r="G869" s="12"/>
      <c r="H869" s="12"/>
      <c r="I869" s="12"/>
      <c r="J869" s="12"/>
      <c r="K869" s="12"/>
      <c r="L869" s="12"/>
      <c r="M869" s="12"/>
      <c r="N869" s="12"/>
      <c r="O869" s="12"/>
      <c r="P869" s="12"/>
      <c r="Q869" s="12"/>
      <c r="R869" s="12"/>
      <c r="S869" s="12"/>
      <c r="T869" s="12"/>
      <c r="U869" s="12"/>
      <c r="W869" s="12"/>
      <c r="X869" s="12"/>
      <c r="Y869" s="12"/>
      <c r="Z869" s="12"/>
      <c r="AA869" s="12"/>
    </row>
    <row r="870" spans="1:27" ht="15.75" customHeight="1">
      <c r="A870" s="12"/>
      <c r="B870" s="12"/>
      <c r="C870" s="12"/>
      <c r="D870" s="12"/>
      <c r="E870" s="12"/>
      <c r="F870" s="12"/>
      <c r="G870" s="12"/>
      <c r="H870" s="12"/>
      <c r="I870" s="12"/>
      <c r="J870" s="12"/>
      <c r="K870" s="12"/>
      <c r="L870" s="12"/>
      <c r="M870" s="12"/>
      <c r="N870" s="12"/>
      <c r="O870" s="12"/>
      <c r="P870" s="12"/>
      <c r="Q870" s="12"/>
      <c r="R870" s="12"/>
      <c r="S870" s="12"/>
      <c r="T870" s="12"/>
      <c r="U870" s="12"/>
      <c r="W870" s="12"/>
      <c r="X870" s="12"/>
      <c r="Y870" s="12"/>
      <c r="Z870" s="12"/>
      <c r="AA870" s="12"/>
    </row>
    <row r="871" spans="1:27" ht="15.75" customHeight="1">
      <c r="A871" s="12"/>
      <c r="B871" s="12"/>
      <c r="C871" s="12"/>
      <c r="D871" s="12"/>
      <c r="E871" s="12"/>
      <c r="F871" s="12"/>
      <c r="G871" s="12"/>
      <c r="H871" s="12"/>
      <c r="I871" s="12"/>
      <c r="J871" s="12"/>
      <c r="K871" s="12"/>
      <c r="L871" s="12"/>
      <c r="M871" s="12"/>
      <c r="N871" s="12"/>
      <c r="O871" s="12"/>
      <c r="P871" s="12"/>
      <c r="Q871" s="12"/>
      <c r="R871" s="12"/>
      <c r="S871" s="12"/>
      <c r="T871" s="12"/>
      <c r="U871" s="12"/>
      <c r="W871" s="12"/>
      <c r="X871" s="12"/>
      <c r="Y871" s="12"/>
      <c r="Z871" s="12"/>
      <c r="AA871" s="12"/>
    </row>
    <row r="872" spans="1:27" ht="15.75" customHeight="1">
      <c r="A872" s="12"/>
      <c r="B872" s="12"/>
      <c r="C872" s="12"/>
      <c r="D872" s="12"/>
      <c r="E872" s="12"/>
      <c r="F872" s="12"/>
      <c r="G872" s="12"/>
      <c r="H872" s="12"/>
      <c r="I872" s="12"/>
      <c r="J872" s="12"/>
      <c r="K872" s="12"/>
      <c r="L872" s="12"/>
      <c r="M872" s="12"/>
      <c r="N872" s="12"/>
      <c r="O872" s="12"/>
      <c r="P872" s="12"/>
      <c r="Q872" s="12"/>
      <c r="R872" s="12"/>
      <c r="S872" s="12"/>
      <c r="T872" s="12"/>
      <c r="U872" s="12"/>
      <c r="W872" s="12"/>
      <c r="X872" s="12"/>
      <c r="Y872" s="12"/>
      <c r="Z872" s="12"/>
      <c r="AA872" s="12"/>
    </row>
    <row r="873" spans="1:27" ht="15.75" customHeight="1">
      <c r="A873" s="12"/>
      <c r="B873" s="12"/>
      <c r="C873" s="12"/>
      <c r="D873" s="12"/>
      <c r="E873" s="12"/>
      <c r="F873" s="12"/>
      <c r="G873" s="12"/>
      <c r="H873" s="12"/>
      <c r="I873" s="12"/>
      <c r="J873" s="12"/>
      <c r="K873" s="12"/>
      <c r="L873" s="12"/>
      <c r="M873" s="12"/>
      <c r="N873" s="12"/>
      <c r="O873" s="12"/>
      <c r="P873" s="12"/>
      <c r="Q873" s="12"/>
      <c r="R873" s="12"/>
      <c r="S873" s="12"/>
      <c r="T873" s="12"/>
      <c r="U873" s="12"/>
      <c r="W873" s="12"/>
      <c r="X873" s="12"/>
      <c r="Y873" s="12"/>
      <c r="Z873" s="12"/>
      <c r="AA873" s="12"/>
    </row>
    <row r="874" spans="1:27" ht="15.75" customHeight="1">
      <c r="A874" s="12"/>
      <c r="B874" s="12"/>
      <c r="C874" s="12"/>
      <c r="D874" s="12"/>
      <c r="E874" s="12"/>
      <c r="F874" s="12"/>
      <c r="G874" s="12"/>
      <c r="H874" s="12"/>
      <c r="I874" s="12"/>
      <c r="J874" s="12"/>
      <c r="K874" s="12"/>
      <c r="L874" s="12"/>
      <c r="M874" s="12"/>
      <c r="N874" s="12"/>
      <c r="O874" s="12"/>
      <c r="P874" s="12"/>
      <c r="Q874" s="12"/>
      <c r="R874" s="12"/>
      <c r="S874" s="12"/>
      <c r="T874" s="12"/>
      <c r="U874" s="12"/>
      <c r="W874" s="12"/>
      <c r="X874" s="12"/>
      <c r="Y874" s="12"/>
      <c r="Z874" s="12"/>
      <c r="AA874" s="12"/>
    </row>
    <row r="875" spans="1:27" ht="15.75" customHeight="1">
      <c r="A875" s="12"/>
      <c r="B875" s="12"/>
      <c r="C875" s="12"/>
      <c r="D875" s="12"/>
      <c r="E875" s="12"/>
      <c r="F875" s="12"/>
      <c r="G875" s="12"/>
      <c r="H875" s="12"/>
      <c r="I875" s="12"/>
      <c r="J875" s="12"/>
      <c r="K875" s="12"/>
      <c r="L875" s="12"/>
      <c r="M875" s="12"/>
      <c r="N875" s="12"/>
      <c r="O875" s="12"/>
      <c r="P875" s="12"/>
      <c r="Q875" s="12"/>
      <c r="R875" s="12"/>
      <c r="S875" s="12"/>
      <c r="T875" s="12"/>
      <c r="U875" s="12"/>
      <c r="W875" s="12"/>
      <c r="X875" s="12"/>
      <c r="Y875" s="12"/>
      <c r="Z875" s="12"/>
      <c r="AA875" s="12"/>
    </row>
    <row r="876" spans="1:27" ht="15.75" customHeight="1">
      <c r="A876" s="12"/>
      <c r="B876" s="12"/>
      <c r="C876" s="12"/>
      <c r="D876" s="12"/>
      <c r="E876" s="12"/>
      <c r="F876" s="12"/>
      <c r="G876" s="12"/>
      <c r="H876" s="12"/>
      <c r="I876" s="12"/>
      <c r="J876" s="12"/>
      <c r="K876" s="12"/>
      <c r="L876" s="12"/>
      <c r="M876" s="12"/>
      <c r="N876" s="12"/>
      <c r="O876" s="12"/>
      <c r="P876" s="12"/>
      <c r="Q876" s="12"/>
      <c r="R876" s="12"/>
      <c r="S876" s="12"/>
      <c r="T876" s="12"/>
      <c r="U876" s="12"/>
      <c r="W876" s="12"/>
      <c r="X876" s="12"/>
      <c r="Y876" s="12"/>
      <c r="Z876" s="12"/>
      <c r="AA876" s="12"/>
    </row>
    <row r="877" spans="1:27" ht="15.75" customHeight="1">
      <c r="A877" s="12"/>
      <c r="B877" s="12"/>
      <c r="C877" s="12"/>
      <c r="D877" s="12"/>
      <c r="E877" s="12"/>
      <c r="F877" s="12"/>
      <c r="G877" s="12"/>
      <c r="H877" s="12"/>
      <c r="I877" s="12"/>
      <c r="J877" s="12"/>
      <c r="K877" s="12"/>
      <c r="L877" s="12"/>
      <c r="M877" s="12"/>
      <c r="N877" s="12"/>
      <c r="O877" s="12"/>
      <c r="P877" s="12"/>
      <c r="Q877" s="12"/>
      <c r="R877" s="12"/>
      <c r="S877" s="12"/>
      <c r="T877" s="12"/>
      <c r="U877" s="12"/>
      <c r="W877" s="12"/>
      <c r="X877" s="12"/>
      <c r="Y877" s="12"/>
      <c r="Z877" s="12"/>
      <c r="AA877" s="12"/>
    </row>
    <row r="878" spans="1:27" ht="15.75" customHeight="1">
      <c r="A878" s="12"/>
      <c r="B878" s="12"/>
      <c r="C878" s="12"/>
      <c r="D878" s="12"/>
      <c r="E878" s="12"/>
      <c r="F878" s="12"/>
      <c r="G878" s="12"/>
      <c r="H878" s="12"/>
      <c r="I878" s="12"/>
      <c r="J878" s="12"/>
      <c r="K878" s="12"/>
      <c r="L878" s="12"/>
      <c r="M878" s="12"/>
      <c r="N878" s="12"/>
      <c r="O878" s="12"/>
      <c r="P878" s="12"/>
      <c r="Q878" s="12"/>
      <c r="R878" s="12"/>
      <c r="S878" s="12"/>
      <c r="T878" s="12"/>
      <c r="U878" s="12"/>
      <c r="W878" s="12"/>
      <c r="X878" s="12"/>
      <c r="Y878" s="12"/>
      <c r="Z878" s="12"/>
      <c r="AA878" s="12"/>
    </row>
    <row r="879" spans="1:27" ht="15.75" customHeight="1">
      <c r="A879" s="12"/>
      <c r="B879" s="12"/>
      <c r="C879" s="12"/>
      <c r="D879" s="12"/>
      <c r="E879" s="12"/>
      <c r="F879" s="12"/>
      <c r="G879" s="12"/>
      <c r="H879" s="12"/>
      <c r="I879" s="12"/>
      <c r="J879" s="12"/>
      <c r="K879" s="12"/>
      <c r="L879" s="12"/>
      <c r="M879" s="12"/>
      <c r="N879" s="12"/>
      <c r="O879" s="12"/>
      <c r="P879" s="12"/>
      <c r="Q879" s="12"/>
      <c r="R879" s="12"/>
      <c r="S879" s="12"/>
      <c r="T879" s="12"/>
      <c r="U879" s="12"/>
      <c r="W879" s="12"/>
      <c r="X879" s="12"/>
      <c r="Y879" s="12"/>
      <c r="Z879" s="12"/>
      <c r="AA879" s="12"/>
    </row>
    <row r="880" spans="1:27" ht="15.75" customHeight="1">
      <c r="A880" s="12"/>
      <c r="B880" s="12"/>
      <c r="C880" s="12"/>
      <c r="D880" s="12"/>
      <c r="E880" s="12"/>
      <c r="F880" s="12"/>
      <c r="G880" s="12"/>
      <c r="H880" s="12"/>
      <c r="I880" s="12"/>
      <c r="J880" s="12"/>
      <c r="K880" s="12"/>
      <c r="L880" s="12"/>
      <c r="M880" s="12"/>
      <c r="N880" s="12"/>
      <c r="O880" s="12"/>
      <c r="P880" s="12"/>
      <c r="Q880" s="12"/>
      <c r="R880" s="12"/>
      <c r="S880" s="12"/>
      <c r="T880" s="12"/>
      <c r="U880" s="12"/>
      <c r="W880" s="12"/>
      <c r="X880" s="12"/>
      <c r="Y880" s="12"/>
      <c r="Z880" s="12"/>
      <c r="AA880" s="12"/>
    </row>
    <row r="881" spans="1:27" ht="15.75" customHeight="1">
      <c r="A881" s="12"/>
      <c r="B881" s="12"/>
      <c r="C881" s="12"/>
      <c r="D881" s="12"/>
      <c r="E881" s="12"/>
      <c r="F881" s="12"/>
      <c r="G881" s="12"/>
      <c r="H881" s="12"/>
      <c r="I881" s="12"/>
      <c r="J881" s="12"/>
      <c r="K881" s="12"/>
      <c r="L881" s="12"/>
      <c r="M881" s="12"/>
      <c r="N881" s="12"/>
      <c r="O881" s="12"/>
      <c r="P881" s="12"/>
      <c r="Q881" s="12"/>
      <c r="R881" s="12"/>
      <c r="S881" s="12"/>
      <c r="T881" s="12"/>
      <c r="U881" s="12"/>
      <c r="W881" s="12"/>
      <c r="X881" s="12"/>
      <c r="Y881" s="12"/>
      <c r="Z881" s="12"/>
      <c r="AA881" s="12"/>
    </row>
    <row r="882" spans="1:27" ht="15.75" customHeight="1">
      <c r="A882" s="12"/>
      <c r="B882" s="12"/>
      <c r="C882" s="12"/>
      <c r="D882" s="12"/>
      <c r="E882" s="12"/>
      <c r="F882" s="12"/>
      <c r="G882" s="12"/>
      <c r="H882" s="12"/>
      <c r="I882" s="12"/>
      <c r="J882" s="12"/>
      <c r="K882" s="12"/>
      <c r="L882" s="12"/>
      <c r="M882" s="12"/>
      <c r="N882" s="12"/>
      <c r="O882" s="12"/>
      <c r="P882" s="12"/>
      <c r="Q882" s="12"/>
      <c r="R882" s="12"/>
      <c r="S882" s="12"/>
      <c r="T882" s="12"/>
      <c r="U882" s="12"/>
      <c r="W882" s="12"/>
      <c r="X882" s="12"/>
      <c r="Y882" s="12"/>
      <c r="Z882" s="12"/>
      <c r="AA882" s="12"/>
    </row>
    <row r="883" spans="1:27" ht="15.75" customHeight="1">
      <c r="A883" s="12"/>
      <c r="B883" s="12"/>
      <c r="C883" s="12"/>
      <c r="D883" s="12"/>
      <c r="E883" s="12"/>
      <c r="F883" s="12"/>
      <c r="G883" s="12"/>
      <c r="H883" s="12"/>
      <c r="I883" s="12"/>
      <c r="J883" s="12"/>
      <c r="K883" s="12"/>
      <c r="L883" s="12"/>
      <c r="M883" s="12"/>
      <c r="N883" s="12"/>
      <c r="O883" s="12"/>
      <c r="P883" s="12"/>
      <c r="Q883" s="12"/>
      <c r="R883" s="12"/>
      <c r="S883" s="12"/>
      <c r="T883" s="12"/>
      <c r="U883" s="12"/>
      <c r="W883" s="12"/>
      <c r="X883" s="12"/>
      <c r="Y883" s="12"/>
      <c r="Z883" s="12"/>
      <c r="AA883" s="12"/>
    </row>
    <row r="884" spans="1:27" ht="15.75" customHeight="1">
      <c r="A884" s="12"/>
      <c r="B884" s="12"/>
      <c r="C884" s="12"/>
      <c r="D884" s="12"/>
      <c r="E884" s="12"/>
      <c r="F884" s="12"/>
      <c r="G884" s="12"/>
      <c r="H884" s="12"/>
      <c r="I884" s="12"/>
      <c r="J884" s="12"/>
      <c r="K884" s="12"/>
      <c r="L884" s="12"/>
      <c r="M884" s="12"/>
      <c r="N884" s="12"/>
      <c r="O884" s="12"/>
      <c r="P884" s="12"/>
      <c r="Q884" s="12"/>
      <c r="R884" s="12"/>
      <c r="S884" s="12"/>
      <c r="T884" s="12"/>
      <c r="U884" s="12"/>
      <c r="W884" s="12"/>
      <c r="X884" s="12"/>
      <c r="Y884" s="12"/>
      <c r="Z884" s="12"/>
      <c r="AA884" s="12"/>
    </row>
    <row r="885" spans="1:27" ht="15.75" customHeight="1">
      <c r="A885" s="12"/>
      <c r="B885" s="12"/>
      <c r="C885" s="12"/>
      <c r="D885" s="12"/>
      <c r="E885" s="12"/>
      <c r="F885" s="12"/>
      <c r="G885" s="12"/>
      <c r="H885" s="12"/>
      <c r="I885" s="12"/>
      <c r="J885" s="12"/>
      <c r="K885" s="12"/>
      <c r="L885" s="12"/>
      <c r="M885" s="12"/>
      <c r="N885" s="12"/>
      <c r="O885" s="12"/>
      <c r="P885" s="12"/>
      <c r="Q885" s="12"/>
      <c r="R885" s="12"/>
      <c r="S885" s="12"/>
      <c r="T885" s="12"/>
      <c r="U885" s="12"/>
      <c r="W885" s="12"/>
      <c r="X885" s="12"/>
      <c r="Y885" s="12"/>
      <c r="Z885" s="12"/>
      <c r="AA885" s="12"/>
    </row>
    <row r="886" spans="1:27" ht="15.75" customHeight="1">
      <c r="A886" s="12"/>
      <c r="B886" s="12"/>
      <c r="C886" s="12"/>
      <c r="D886" s="12"/>
      <c r="E886" s="12"/>
      <c r="F886" s="12"/>
      <c r="G886" s="12"/>
      <c r="H886" s="12"/>
      <c r="I886" s="12"/>
      <c r="J886" s="12"/>
      <c r="K886" s="12"/>
      <c r="L886" s="12"/>
      <c r="M886" s="12"/>
      <c r="N886" s="12"/>
      <c r="O886" s="12"/>
      <c r="P886" s="12"/>
      <c r="Q886" s="12"/>
      <c r="R886" s="12"/>
      <c r="S886" s="12"/>
      <c r="T886" s="12"/>
      <c r="U886" s="12"/>
      <c r="W886" s="12"/>
      <c r="X886" s="12"/>
      <c r="Y886" s="12"/>
      <c r="Z886" s="12"/>
      <c r="AA886" s="12"/>
    </row>
    <row r="887" spans="1:27" ht="15.75" customHeight="1">
      <c r="A887" s="12"/>
      <c r="B887" s="12"/>
      <c r="C887" s="12"/>
      <c r="D887" s="12"/>
      <c r="E887" s="12"/>
      <c r="F887" s="12"/>
      <c r="G887" s="12"/>
      <c r="H887" s="12"/>
      <c r="I887" s="12"/>
      <c r="J887" s="12"/>
      <c r="K887" s="12"/>
      <c r="L887" s="12"/>
      <c r="M887" s="12"/>
      <c r="N887" s="12"/>
      <c r="O887" s="12"/>
      <c r="P887" s="12"/>
      <c r="Q887" s="12"/>
      <c r="R887" s="12"/>
      <c r="S887" s="12"/>
      <c r="T887" s="12"/>
      <c r="U887" s="12"/>
      <c r="W887" s="12"/>
      <c r="X887" s="12"/>
      <c r="Y887" s="12"/>
      <c r="Z887" s="12"/>
      <c r="AA887" s="12"/>
    </row>
    <row r="888" spans="1:27" ht="15.75" customHeight="1">
      <c r="A888" s="12"/>
      <c r="B888" s="12"/>
      <c r="C888" s="12"/>
      <c r="D888" s="12"/>
      <c r="E888" s="12"/>
      <c r="F888" s="12"/>
      <c r="G888" s="12"/>
      <c r="H888" s="12"/>
      <c r="I888" s="12"/>
      <c r="J888" s="12"/>
      <c r="K888" s="12"/>
      <c r="L888" s="12"/>
      <c r="M888" s="12"/>
      <c r="N888" s="12"/>
      <c r="O888" s="12"/>
      <c r="P888" s="12"/>
      <c r="Q888" s="12"/>
      <c r="R888" s="12"/>
      <c r="S888" s="12"/>
      <c r="T888" s="12"/>
      <c r="U888" s="12"/>
      <c r="W888" s="12"/>
      <c r="X888" s="12"/>
      <c r="Y888" s="12"/>
      <c r="Z888" s="12"/>
      <c r="AA888" s="12"/>
    </row>
    <row r="889" spans="1:27" ht="15.75" customHeight="1">
      <c r="A889" s="12"/>
      <c r="B889" s="12"/>
      <c r="C889" s="12"/>
      <c r="D889" s="12"/>
      <c r="E889" s="12"/>
      <c r="F889" s="12"/>
      <c r="G889" s="12"/>
      <c r="H889" s="12"/>
      <c r="I889" s="12"/>
      <c r="J889" s="12"/>
      <c r="K889" s="12"/>
      <c r="L889" s="12"/>
      <c r="M889" s="12"/>
      <c r="N889" s="12"/>
      <c r="O889" s="12"/>
      <c r="P889" s="12"/>
      <c r="Q889" s="12"/>
      <c r="R889" s="12"/>
      <c r="S889" s="12"/>
      <c r="T889" s="12"/>
      <c r="U889" s="12"/>
      <c r="W889" s="12"/>
      <c r="X889" s="12"/>
      <c r="Y889" s="12"/>
      <c r="Z889" s="12"/>
      <c r="AA889" s="12"/>
    </row>
    <row r="890" spans="1:27" ht="15.75" customHeight="1">
      <c r="A890" s="12"/>
      <c r="B890" s="12"/>
      <c r="C890" s="12"/>
      <c r="D890" s="12"/>
      <c r="E890" s="12"/>
      <c r="F890" s="12"/>
      <c r="G890" s="12"/>
      <c r="H890" s="12"/>
      <c r="I890" s="12"/>
      <c r="J890" s="12"/>
      <c r="K890" s="12"/>
      <c r="L890" s="12"/>
      <c r="M890" s="12"/>
      <c r="N890" s="12"/>
      <c r="O890" s="12"/>
      <c r="P890" s="12"/>
      <c r="Q890" s="12"/>
      <c r="R890" s="12"/>
      <c r="S890" s="12"/>
      <c r="T890" s="12"/>
      <c r="U890" s="12"/>
      <c r="W890" s="12"/>
      <c r="X890" s="12"/>
      <c r="Y890" s="12"/>
      <c r="Z890" s="12"/>
      <c r="AA890" s="12"/>
    </row>
    <row r="891" spans="1:27" ht="15.75" customHeight="1">
      <c r="A891" s="12"/>
      <c r="B891" s="12"/>
      <c r="C891" s="12"/>
      <c r="D891" s="12"/>
      <c r="E891" s="12"/>
      <c r="F891" s="12"/>
      <c r="G891" s="12"/>
      <c r="H891" s="12"/>
      <c r="I891" s="12"/>
      <c r="J891" s="12"/>
      <c r="K891" s="12"/>
      <c r="L891" s="12"/>
      <c r="M891" s="12"/>
      <c r="N891" s="12"/>
      <c r="O891" s="12"/>
      <c r="P891" s="12"/>
      <c r="Q891" s="12"/>
      <c r="R891" s="12"/>
      <c r="S891" s="12"/>
      <c r="T891" s="12"/>
      <c r="U891" s="12"/>
      <c r="W891" s="12"/>
      <c r="X891" s="12"/>
      <c r="Y891" s="12"/>
      <c r="Z891" s="12"/>
      <c r="AA891" s="12"/>
    </row>
    <row r="892" spans="1:27" ht="15.75" customHeight="1">
      <c r="A892" s="12"/>
      <c r="B892" s="12"/>
      <c r="C892" s="12"/>
      <c r="D892" s="12"/>
      <c r="E892" s="12"/>
      <c r="F892" s="12"/>
      <c r="G892" s="12"/>
      <c r="H892" s="12"/>
      <c r="I892" s="12"/>
      <c r="J892" s="12"/>
      <c r="K892" s="12"/>
      <c r="L892" s="12"/>
      <c r="M892" s="12"/>
      <c r="N892" s="12"/>
      <c r="O892" s="12"/>
      <c r="P892" s="12"/>
      <c r="Q892" s="12"/>
      <c r="R892" s="12"/>
      <c r="S892" s="12"/>
      <c r="T892" s="12"/>
      <c r="U892" s="12"/>
      <c r="W892" s="12"/>
      <c r="X892" s="12"/>
      <c r="Y892" s="12"/>
      <c r="Z892" s="12"/>
      <c r="AA892" s="12"/>
    </row>
    <row r="893" spans="1:27" ht="15.75" customHeight="1">
      <c r="A893" s="12"/>
      <c r="B893" s="12"/>
      <c r="C893" s="12"/>
      <c r="D893" s="12"/>
      <c r="E893" s="12"/>
      <c r="F893" s="12"/>
      <c r="G893" s="12"/>
      <c r="H893" s="12"/>
      <c r="I893" s="12"/>
      <c r="J893" s="12"/>
      <c r="K893" s="12"/>
      <c r="L893" s="12"/>
      <c r="M893" s="12"/>
      <c r="N893" s="12"/>
      <c r="O893" s="12"/>
      <c r="P893" s="12"/>
      <c r="Q893" s="12"/>
      <c r="R893" s="12"/>
      <c r="S893" s="12"/>
      <c r="T893" s="12"/>
      <c r="U893" s="12"/>
      <c r="W893" s="12"/>
      <c r="X893" s="12"/>
      <c r="Y893" s="12"/>
      <c r="Z893" s="12"/>
      <c r="AA893" s="12"/>
    </row>
    <row r="894" spans="1:27" ht="15.75" customHeight="1">
      <c r="A894" s="12"/>
      <c r="B894" s="12"/>
      <c r="C894" s="12"/>
      <c r="D894" s="12"/>
      <c r="E894" s="12"/>
      <c r="F894" s="12"/>
      <c r="G894" s="12"/>
      <c r="H894" s="12"/>
      <c r="I894" s="12"/>
      <c r="J894" s="12"/>
      <c r="K894" s="12"/>
      <c r="L894" s="12"/>
      <c r="M894" s="12"/>
      <c r="N894" s="12"/>
      <c r="O894" s="12"/>
      <c r="P894" s="12"/>
      <c r="Q894" s="12"/>
      <c r="R894" s="12"/>
      <c r="S894" s="12"/>
      <c r="T894" s="12"/>
      <c r="U894" s="12"/>
      <c r="W894" s="12"/>
      <c r="X894" s="12"/>
      <c r="Y894" s="12"/>
      <c r="Z894" s="12"/>
      <c r="AA894" s="12"/>
    </row>
    <row r="895" spans="1:27" ht="15.75" customHeight="1">
      <c r="A895" s="12"/>
      <c r="B895" s="12"/>
      <c r="C895" s="12"/>
      <c r="D895" s="12"/>
      <c r="E895" s="12"/>
      <c r="F895" s="12"/>
      <c r="G895" s="12"/>
      <c r="H895" s="12"/>
      <c r="I895" s="12"/>
      <c r="J895" s="12"/>
      <c r="K895" s="12"/>
      <c r="L895" s="12"/>
      <c r="M895" s="12"/>
      <c r="N895" s="12"/>
      <c r="O895" s="12"/>
      <c r="P895" s="12"/>
      <c r="Q895" s="12"/>
      <c r="R895" s="12"/>
      <c r="S895" s="12"/>
      <c r="T895" s="12"/>
      <c r="U895" s="12"/>
      <c r="W895" s="12"/>
      <c r="X895" s="12"/>
      <c r="Y895" s="12"/>
      <c r="Z895" s="12"/>
      <c r="AA895" s="12"/>
    </row>
    <row r="896" spans="1:27" ht="15.75" customHeight="1">
      <c r="A896" s="12"/>
      <c r="B896" s="12"/>
      <c r="C896" s="12"/>
      <c r="D896" s="12"/>
      <c r="E896" s="12"/>
      <c r="F896" s="12"/>
      <c r="G896" s="12"/>
      <c r="H896" s="12"/>
      <c r="I896" s="12"/>
      <c r="J896" s="12"/>
      <c r="K896" s="12"/>
      <c r="L896" s="12"/>
      <c r="M896" s="12"/>
      <c r="N896" s="12"/>
      <c r="O896" s="12"/>
      <c r="P896" s="12"/>
      <c r="Q896" s="12"/>
      <c r="R896" s="12"/>
      <c r="S896" s="12"/>
      <c r="T896" s="12"/>
      <c r="U896" s="12"/>
      <c r="W896" s="12"/>
      <c r="X896" s="12"/>
      <c r="Y896" s="12"/>
      <c r="Z896" s="12"/>
      <c r="AA896" s="12"/>
    </row>
    <row r="897" spans="1:27" ht="15.75" customHeight="1">
      <c r="A897" s="12"/>
      <c r="B897" s="12"/>
      <c r="C897" s="12"/>
      <c r="D897" s="12"/>
      <c r="E897" s="12"/>
      <c r="F897" s="12"/>
      <c r="G897" s="12"/>
      <c r="H897" s="12"/>
      <c r="I897" s="12"/>
      <c r="J897" s="12"/>
      <c r="K897" s="12"/>
      <c r="L897" s="12"/>
      <c r="M897" s="12"/>
      <c r="N897" s="12"/>
      <c r="O897" s="12"/>
      <c r="P897" s="12"/>
      <c r="Q897" s="12"/>
      <c r="R897" s="12"/>
      <c r="S897" s="12"/>
      <c r="T897" s="12"/>
      <c r="U897" s="12"/>
      <c r="W897" s="12"/>
      <c r="X897" s="12"/>
      <c r="Y897" s="12"/>
      <c r="Z897" s="12"/>
      <c r="AA897" s="12"/>
    </row>
    <row r="898" spans="1:27" ht="15.75" customHeight="1">
      <c r="A898" s="12"/>
      <c r="B898" s="12"/>
      <c r="C898" s="12"/>
      <c r="D898" s="12"/>
      <c r="E898" s="12"/>
      <c r="F898" s="12"/>
      <c r="G898" s="12"/>
      <c r="H898" s="12"/>
      <c r="I898" s="12"/>
      <c r="J898" s="12"/>
      <c r="K898" s="12"/>
      <c r="L898" s="12"/>
      <c r="M898" s="12"/>
      <c r="N898" s="12"/>
      <c r="O898" s="12"/>
      <c r="P898" s="12"/>
      <c r="Q898" s="12"/>
      <c r="R898" s="12"/>
      <c r="S898" s="12"/>
      <c r="T898" s="12"/>
      <c r="U898" s="12"/>
      <c r="W898" s="12"/>
      <c r="X898" s="12"/>
      <c r="Y898" s="12"/>
      <c r="Z898" s="12"/>
      <c r="AA898" s="12"/>
    </row>
    <row r="899" spans="1:27" ht="15.75" customHeight="1">
      <c r="A899" s="12"/>
      <c r="B899" s="12"/>
      <c r="C899" s="12"/>
      <c r="D899" s="12"/>
      <c r="E899" s="12"/>
      <c r="F899" s="12"/>
      <c r="G899" s="12"/>
      <c r="H899" s="12"/>
      <c r="I899" s="12"/>
      <c r="J899" s="12"/>
      <c r="K899" s="12"/>
      <c r="L899" s="12"/>
      <c r="M899" s="12"/>
      <c r="N899" s="12"/>
      <c r="O899" s="12"/>
      <c r="P899" s="12"/>
      <c r="Q899" s="12"/>
      <c r="R899" s="12"/>
      <c r="S899" s="12"/>
      <c r="T899" s="12"/>
      <c r="U899" s="12"/>
      <c r="W899" s="12"/>
      <c r="X899" s="12"/>
      <c r="Y899" s="12"/>
      <c r="Z899" s="12"/>
      <c r="AA899" s="12"/>
    </row>
    <row r="900" spans="1:27" ht="15.75" customHeight="1">
      <c r="A900" s="12"/>
      <c r="B900" s="12"/>
      <c r="C900" s="12"/>
      <c r="D900" s="12"/>
      <c r="E900" s="12"/>
      <c r="F900" s="12"/>
      <c r="G900" s="12"/>
      <c r="H900" s="12"/>
      <c r="I900" s="12"/>
      <c r="J900" s="12"/>
      <c r="K900" s="12"/>
      <c r="L900" s="12"/>
      <c r="M900" s="12"/>
      <c r="N900" s="12"/>
      <c r="O900" s="12"/>
      <c r="P900" s="12"/>
      <c r="Q900" s="12"/>
      <c r="R900" s="12"/>
      <c r="S900" s="12"/>
      <c r="T900" s="12"/>
      <c r="U900" s="12"/>
      <c r="W900" s="12"/>
      <c r="X900" s="12"/>
      <c r="Y900" s="12"/>
      <c r="Z900" s="12"/>
      <c r="AA900" s="12"/>
    </row>
    <row r="901" spans="1:27" ht="15.75" customHeight="1">
      <c r="A901" s="12"/>
      <c r="B901" s="12"/>
      <c r="C901" s="12"/>
      <c r="D901" s="12"/>
      <c r="E901" s="12"/>
      <c r="F901" s="12"/>
      <c r="G901" s="12"/>
      <c r="H901" s="12"/>
      <c r="I901" s="12"/>
      <c r="J901" s="12"/>
      <c r="K901" s="12"/>
      <c r="L901" s="12"/>
      <c r="M901" s="12"/>
      <c r="N901" s="12"/>
      <c r="O901" s="12"/>
      <c r="P901" s="12"/>
      <c r="Q901" s="12"/>
      <c r="R901" s="12"/>
      <c r="S901" s="12"/>
      <c r="T901" s="12"/>
      <c r="U901" s="12"/>
      <c r="W901" s="12"/>
      <c r="X901" s="12"/>
      <c r="Y901" s="12"/>
      <c r="Z901" s="12"/>
      <c r="AA901" s="12"/>
    </row>
    <row r="902" spans="1:27" ht="15.75" customHeight="1">
      <c r="A902" s="12"/>
      <c r="B902" s="12"/>
      <c r="C902" s="12"/>
      <c r="D902" s="12"/>
      <c r="E902" s="12"/>
      <c r="F902" s="12"/>
      <c r="G902" s="12"/>
      <c r="H902" s="12"/>
      <c r="I902" s="12"/>
      <c r="J902" s="12"/>
      <c r="K902" s="12"/>
      <c r="L902" s="12"/>
      <c r="M902" s="12"/>
      <c r="N902" s="12"/>
      <c r="O902" s="12"/>
      <c r="P902" s="12"/>
      <c r="Q902" s="12"/>
      <c r="R902" s="12"/>
      <c r="S902" s="12"/>
      <c r="T902" s="12"/>
      <c r="U902" s="12"/>
      <c r="W902" s="12"/>
      <c r="X902" s="12"/>
      <c r="Y902" s="12"/>
      <c r="Z902" s="12"/>
      <c r="AA902" s="12"/>
    </row>
    <row r="903" spans="1:27" ht="15.75" customHeight="1">
      <c r="A903" s="12"/>
      <c r="B903" s="12"/>
      <c r="C903" s="12"/>
      <c r="D903" s="12"/>
      <c r="E903" s="12"/>
      <c r="F903" s="12"/>
      <c r="G903" s="12"/>
      <c r="H903" s="12"/>
      <c r="I903" s="12"/>
      <c r="J903" s="12"/>
      <c r="K903" s="12"/>
      <c r="L903" s="12"/>
      <c r="M903" s="12"/>
      <c r="N903" s="12"/>
      <c r="O903" s="12"/>
      <c r="P903" s="12"/>
      <c r="Q903" s="12"/>
      <c r="R903" s="12"/>
      <c r="S903" s="12"/>
      <c r="T903" s="12"/>
      <c r="U903" s="12"/>
      <c r="W903" s="12"/>
      <c r="X903" s="12"/>
      <c r="Y903" s="12"/>
      <c r="Z903" s="12"/>
      <c r="AA903" s="12"/>
    </row>
    <row r="904" spans="1:27" ht="15.75" customHeight="1">
      <c r="A904" s="12"/>
      <c r="B904" s="12"/>
      <c r="C904" s="12"/>
      <c r="D904" s="12"/>
      <c r="E904" s="12"/>
      <c r="F904" s="12"/>
      <c r="G904" s="12"/>
      <c r="H904" s="12"/>
      <c r="I904" s="12"/>
      <c r="J904" s="12"/>
      <c r="K904" s="12"/>
      <c r="L904" s="12"/>
      <c r="M904" s="12"/>
      <c r="N904" s="12"/>
      <c r="O904" s="12"/>
      <c r="P904" s="12"/>
      <c r="Q904" s="12"/>
      <c r="R904" s="12"/>
      <c r="S904" s="12"/>
      <c r="T904" s="12"/>
      <c r="U904" s="12"/>
      <c r="W904" s="12"/>
      <c r="X904" s="12"/>
      <c r="Y904" s="12"/>
      <c r="Z904" s="12"/>
      <c r="AA904" s="12"/>
    </row>
    <row r="905" spans="1:27" ht="15.75" customHeight="1">
      <c r="A905" s="12"/>
      <c r="B905" s="12"/>
      <c r="C905" s="12"/>
      <c r="D905" s="12"/>
      <c r="E905" s="12"/>
      <c r="F905" s="12"/>
      <c r="G905" s="12"/>
      <c r="H905" s="12"/>
      <c r="I905" s="12"/>
      <c r="J905" s="12"/>
      <c r="K905" s="12"/>
      <c r="L905" s="12"/>
      <c r="M905" s="12"/>
      <c r="N905" s="12"/>
      <c r="O905" s="12"/>
      <c r="P905" s="12"/>
      <c r="Q905" s="12"/>
      <c r="R905" s="12"/>
      <c r="S905" s="12"/>
      <c r="T905" s="12"/>
      <c r="U905" s="12"/>
      <c r="W905" s="12"/>
      <c r="X905" s="12"/>
      <c r="Y905" s="12"/>
      <c r="Z905" s="12"/>
      <c r="AA905" s="12"/>
    </row>
    <row r="906" spans="1:27" ht="15.75" customHeight="1">
      <c r="A906" s="12"/>
      <c r="B906" s="12"/>
      <c r="C906" s="12"/>
      <c r="D906" s="12"/>
      <c r="E906" s="12"/>
      <c r="F906" s="12"/>
      <c r="G906" s="12"/>
      <c r="H906" s="12"/>
      <c r="I906" s="12"/>
      <c r="J906" s="12"/>
      <c r="K906" s="12"/>
      <c r="L906" s="12"/>
      <c r="M906" s="12"/>
      <c r="N906" s="12"/>
      <c r="O906" s="12"/>
      <c r="P906" s="12"/>
      <c r="Q906" s="12"/>
      <c r="R906" s="12"/>
      <c r="S906" s="12"/>
      <c r="T906" s="12"/>
      <c r="U906" s="12"/>
      <c r="W906" s="12"/>
      <c r="X906" s="12"/>
      <c r="Y906" s="12"/>
      <c r="Z906" s="12"/>
      <c r="AA906" s="12"/>
    </row>
    <row r="907" spans="1:27" ht="15.75" customHeight="1">
      <c r="A907" s="12"/>
      <c r="B907" s="12"/>
      <c r="C907" s="12"/>
      <c r="D907" s="12"/>
      <c r="E907" s="12"/>
      <c r="F907" s="12"/>
      <c r="G907" s="12"/>
      <c r="H907" s="12"/>
      <c r="I907" s="12"/>
      <c r="J907" s="12"/>
      <c r="K907" s="12"/>
      <c r="L907" s="12"/>
      <c r="M907" s="12"/>
      <c r="N907" s="12"/>
      <c r="O907" s="12"/>
      <c r="P907" s="12"/>
      <c r="Q907" s="12"/>
      <c r="R907" s="12"/>
      <c r="S907" s="12"/>
      <c r="T907" s="12"/>
      <c r="U907" s="12"/>
      <c r="W907" s="12"/>
      <c r="X907" s="12"/>
      <c r="Y907" s="12"/>
      <c r="Z907" s="12"/>
      <c r="AA907" s="12"/>
    </row>
    <row r="908" spans="1:27" ht="15.75" customHeight="1">
      <c r="A908" s="12"/>
      <c r="B908" s="12"/>
      <c r="C908" s="12"/>
      <c r="D908" s="12"/>
      <c r="E908" s="12"/>
      <c r="F908" s="12"/>
      <c r="G908" s="12"/>
      <c r="H908" s="12"/>
      <c r="I908" s="12"/>
      <c r="J908" s="12"/>
      <c r="K908" s="12"/>
      <c r="L908" s="12"/>
      <c r="M908" s="12"/>
      <c r="N908" s="12"/>
      <c r="O908" s="12"/>
      <c r="P908" s="12"/>
      <c r="Q908" s="12"/>
      <c r="R908" s="12"/>
      <c r="S908" s="12"/>
      <c r="T908" s="12"/>
      <c r="U908" s="12"/>
      <c r="W908" s="12"/>
      <c r="X908" s="12"/>
      <c r="Y908" s="12"/>
      <c r="Z908" s="12"/>
      <c r="AA908" s="12"/>
    </row>
    <row r="909" spans="1:27" ht="15.75" customHeight="1">
      <c r="A909" s="12"/>
      <c r="B909" s="12"/>
      <c r="C909" s="12"/>
      <c r="D909" s="12"/>
      <c r="E909" s="12"/>
      <c r="F909" s="12"/>
      <c r="G909" s="12"/>
      <c r="H909" s="12"/>
      <c r="I909" s="12"/>
      <c r="J909" s="12"/>
      <c r="K909" s="12"/>
      <c r="L909" s="12"/>
      <c r="M909" s="12"/>
      <c r="N909" s="12"/>
      <c r="O909" s="12"/>
      <c r="P909" s="12"/>
      <c r="Q909" s="12"/>
      <c r="R909" s="12"/>
      <c r="S909" s="12"/>
      <c r="T909" s="12"/>
      <c r="U909" s="12"/>
      <c r="W909" s="12"/>
      <c r="X909" s="12"/>
      <c r="Y909" s="12"/>
      <c r="Z909" s="12"/>
      <c r="AA909" s="12"/>
    </row>
    <row r="910" spans="1:27" ht="15.75" customHeight="1">
      <c r="A910" s="12"/>
      <c r="B910" s="12"/>
      <c r="C910" s="12"/>
      <c r="D910" s="12"/>
      <c r="E910" s="12"/>
      <c r="F910" s="12"/>
      <c r="G910" s="12"/>
      <c r="H910" s="12"/>
      <c r="I910" s="12"/>
      <c r="J910" s="12"/>
      <c r="K910" s="12"/>
      <c r="L910" s="12"/>
      <c r="M910" s="12"/>
      <c r="N910" s="12"/>
      <c r="O910" s="12"/>
      <c r="P910" s="12"/>
      <c r="Q910" s="12"/>
      <c r="R910" s="12"/>
      <c r="S910" s="12"/>
      <c r="T910" s="12"/>
      <c r="U910" s="12"/>
      <c r="W910" s="12"/>
      <c r="X910" s="12"/>
      <c r="Y910" s="12"/>
      <c r="Z910" s="12"/>
      <c r="AA910" s="12"/>
    </row>
    <row r="911" spans="1:27" ht="15.75" customHeight="1">
      <c r="A911" s="12"/>
      <c r="B911" s="12"/>
      <c r="C911" s="12"/>
      <c r="D911" s="12"/>
      <c r="E911" s="12"/>
      <c r="F911" s="12"/>
      <c r="G911" s="12"/>
      <c r="H911" s="12"/>
      <c r="I911" s="12"/>
      <c r="J911" s="12"/>
      <c r="K911" s="12"/>
      <c r="L911" s="12"/>
      <c r="M911" s="12"/>
      <c r="N911" s="12"/>
      <c r="O911" s="12"/>
      <c r="P911" s="12"/>
      <c r="Q911" s="12"/>
      <c r="R911" s="12"/>
      <c r="S911" s="12"/>
      <c r="T911" s="12"/>
      <c r="U911" s="12"/>
      <c r="W911" s="12"/>
      <c r="X911" s="12"/>
      <c r="Y911" s="12"/>
      <c r="Z911" s="12"/>
      <c r="AA911" s="12"/>
    </row>
    <row r="912" spans="1:27" ht="15.75" customHeight="1">
      <c r="A912" s="12"/>
      <c r="B912" s="12"/>
      <c r="C912" s="12"/>
      <c r="D912" s="12"/>
      <c r="E912" s="12"/>
      <c r="F912" s="12"/>
      <c r="G912" s="12"/>
      <c r="H912" s="12"/>
      <c r="I912" s="12"/>
      <c r="J912" s="12"/>
      <c r="K912" s="12"/>
      <c r="L912" s="12"/>
      <c r="M912" s="12"/>
      <c r="N912" s="12"/>
      <c r="O912" s="12"/>
      <c r="P912" s="12"/>
      <c r="Q912" s="12"/>
      <c r="R912" s="12"/>
      <c r="S912" s="12"/>
      <c r="T912" s="12"/>
      <c r="U912" s="12"/>
      <c r="W912" s="12"/>
      <c r="X912" s="12"/>
      <c r="Y912" s="12"/>
      <c r="Z912" s="12"/>
      <c r="AA912" s="12"/>
    </row>
    <row r="913" spans="1:27" ht="15.75" customHeight="1">
      <c r="A913" s="12"/>
      <c r="B913" s="12"/>
      <c r="C913" s="12"/>
      <c r="D913" s="12"/>
      <c r="E913" s="12"/>
      <c r="F913" s="12"/>
      <c r="G913" s="12"/>
      <c r="H913" s="12"/>
      <c r="I913" s="12"/>
      <c r="J913" s="12"/>
      <c r="K913" s="12"/>
      <c r="L913" s="12"/>
      <c r="M913" s="12"/>
      <c r="N913" s="12"/>
      <c r="O913" s="12"/>
      <c r="P913" s="12"/>
      <c r="Q913" s="12"/>
      <c r="R913" s="12"/>
      <c r="S913" s="12"/>
      <c r="T913" s="12"/>
      <c r="U913" s="12"/>
      <c r="W913" s="12"/>
      <c r="X913" s="12"/>
      <c r="Y913" s="12"/>
      <c r="Z913" s="12"/>
      <c r="AA913" s="12"/>
    </row>
    <row r="914" spans="1:27" ht="15.75" customHeight="1">
      <c r="A914" s="12"/>
      <c r="B914" s="12"/>
      <c r="C914" s="12"/>
      <c r="D914" s="12"/>
      <c r="E914" s="12"/>
      <c r="F914" s="12"/>
      <c r="G914" s="12"/>
      <c r="H914" s="12"/>
      <c r="I914" s="12"/>
      <c r="J914" s="12"/>
      <c r="K914" s="12"/>
      <c r="L914" s="12"/>
      <c r="M914" s="12"/>
      <c r="N914" s="12"/>
      <c r="O914" s="12"/>
      <c r="P914" s="12"/>
      <c r="Q914" s="12"/>
      <c r="R914" s="12"/>
      <c r="S914" s="12"/>
      <c r="T914" s="12"/>
      <c r="U914" s="12"/>
      <c r="W914" s="12"/>
      <c r="X914" s="12"/>
      <c r="Y914" s="12"/>
      <c r="Z914" s="12"/>
      <c r="AA914" s="12"/>
    </row>
    <row r="915" spans="1:27" ht="15.75" customHeight="1">
      <c r="A915" s="12"/>
      <c r="B915" s="12"/>
      <c r="C915" s="12"/>
      <c r="D915" s="12"/>
      <c r="E915" s="12"/>
      <c r="F915" s="12"/>
      <c r="G915" s="12"/>
      <c r="H915" s="12"/>
      <c r="I915" s="12"/>
      <c r="J915" s="12"/>
      <c r="K915" s="12"/>
      <c r="L915" s="12"/>
      <c r="M915" s="12"/>
      <c r="N915" s="12"/>
      <c r="O915" s="12"/>
      <c r="P915" s="12"/>
      <c r="Q915" s="12"/>
      <c r="R915" s="12"/>
      <c r="S915" s="12"/>
      <c r="T915" s="12"/>
      <c r="U915" s="12"/>
      <c r="W915" s="12"/>
      <c r="X915" s="12"/>
      <c r="Y915" s="12"/>
      <c r="Z915" s="12"/>
      <c r="AA915" s="12"/>
    </row>
    <row r="916" spans="1:27" ht="15.75" customHeight="1">
      <c r="A916" s="12"/>
      <c r="B916" s="12"/>
      <c r="C916" s="12"/>
      <c r="D916" s="12"/>
      <c r="E916" s="12"/>
      <c r="F916" s="12"/>
      <c r="G916" s="12"/>
      <c r="H916" s="12"/>
      <c r="I916" s="12"/>
      <c r="J916" s="12"/>
      <c r="K916" s="12"/>
      <c r="L916" s="12"/>
      <c r="M916" s="12"/>
      <c r="N916" s="12"/>
      <c r="O916" s="12"/>
      <c r="P916" s="12"/>
      <c r="Q916" s="12"/>
      <c r="R916" s="12"/>
      <c r="S916" s="12"/>
      <c r="T916" s="12"/>
      <c r="U916" s="12"/>
      <c r="W916" s="12"/>
      <c r="X916" s="12"/>
      <c r="Y916" s="12"/>
      <c r="Z916" s="12"/>
      <c r="AA916" s="12"/>
    </row>
    <row r="917" spans="1:27" ht="15.75" customHeight="1">
      <c r="A917" s="12"/>
      <c r="B917" s="12"/>
      <c r="C917" s="12"/>
      <c r="D917" s="12"/>
      <c r="E917" s="12"/>
      <c r="F917" s="12"/>
      <c r="G917" s="12"/>
      <c r="H917" s="12"/>
      <c r="I917" s="12"/>
      <c r="J917" s="12"/>
      <c r="K917" s="12"/>
      <c r="L917" s="12"/>
      <c r="M917" s="12"/>
      <c r="N917" s="12"/>
      <c r="O917" s="12"/>
      <c r="P917" s="12"/>
      <c r="Q917" s="12"/>
      <c r="R917" s="12"/>
      <c r="S917" s="12"/>
      <c r="T917" s="12"/>
      <c r="U917" s="12"/>
      <c r="W917" s="12"/>
      <c r="X917" s="12"/>
      <c r="Y917" s="12"/>
      <c r="Z917" s="12"/>
      <c r="AA917" s="12"/>
    </row>
    <row r="918" spans="1:27" ht="15.75" customHeight="1">
      <c r="A918" s="12"/>
      <c r="B918" s="12"/>
      <c r="C918" s="12"/>
      <c r="D918" s="12"/>
      <c r="E918" s="12"/>
      <c r="F918" s="12"/>
      <c r="G918" s="12"/>
      <c r="H918" s="12"/>
      <c r="I918" s="12"/>
      <c r="J918" s="12"/>
      <c r="K918" s="12"/>
      <c r="L918" s="12"/>
      <c r="M918" s="12"/>
      <c r="N918" s="12"/>
      <c r="O918" s="12"/>
      <c r="P918" s="12"/>
      <c r="Q918" s="12"/>
      <c r="R918" s="12"/>
      <c r="S918" s="12"/>
      <c r="T918" s="12"/>
      <c r="U918" s="12"/>
      <c r="W918" s="12"/>
      <c r="X918" s="12"/>
      <c r="Y918" s="12"/>
      <c r="Z918" s="12"/>
      <c r="AA918" s="12"/>
    </row>
    <row r="919" spans="1:27" ht="15.75" customHeight="1">
      <c r="A919" s="12"/>
      <c r="B919" s="12"/>
      <c r="C919" s="12"/>
      <c r="D919" s="12"/>
      <c r="E919" s="12"/>
      <c r="F919" s="12"/>
      <c r="G919" s="12"/>
      <c r="H919" s="12"/>
      <c r="I919" s="12"/>
      <c r="J919" s="12"/>
      <c r="K919" s="12"/>
      <c r="L919" s="12"/>
      <c r="M919" s="12"/>
      <c r="N919" s="12"/>
      <c r="O919" s="12"/>
      <c r="P919" s="12"/>
      <c r="Q919" s="12"/>
      <c r="R919" s="12"/>
      <c r="S919" s="12"/>
      <c r="T919" s="12"/>
      <c r="U919" s="12"/>
      <c r="W919" s="12"/>
      <c r="X919" s="12"/>
      <c r="Y919" s="12"/>
      <c r="Z919" s="12"/>
      <c r="AA919" s="12"/>
    </row>
    <row r="920" spans="1:27" ht="15.75" customHeight="1">
      <c r="A920" s="12"/>
      <c r="B920" s="12"/>
      <c r="C920" s="12"/>
      <c r="D920" s="12"/>
      <c r="E920" s="12"/>
      <c r="F920" s="12"/>
      <c r="G920" s="12"/>
      <c r="H920" s="12"/>
      <c r="I920" s="12"/>
      <c r="J920" s="12"/>
      <c r="K920" s="12"/>
      <c r="L920" s="12"/>
      <c r="M920" s="12"/>
      <c r="N920" s="12"/>
      <c r="O920" s="12"/>
      <c r="P920" s="12"/>
      <c r="Q920" s="12"/>
      <c r="R920" s="12"/>
      <c r="S920" s="12"/>
      <c r="T920" s="12"/>
      <c r="U920" s="12"/>
      <c r="W920" s="12"/>
      <c r="X920" s="12"/>
      <c r="Y920" s="12"/>
      <c r="Z920" s="12"/>
      <c r="AA920" s="12"/>
    </row>
    <row r="921" spans="1:27" ht="15.75" customHeight="1">
      <c r="A921" s="12"/>
      <c r="B921" s="12"/>
      <c r="C921" s="12"/>
      <c r="D921" s="12"/>
      <c r="E921" s="12"/>
      <c r="F921" s="12"/>
      <c r="G921" s="12"/>
      <c r="H921" s="12"/>
      <c r="I921" s="12"/>
      <c r="J921" s="12"/>
      <c r="K921" s="12"/>
      <c r="L921" s="12"/>
      <c r="M921" s="12"/>
      <c r="N921" s="12"/>
      <c r="O921" s="12"/>
      <c r="P921" s="12"/>
      <c r="Q921" s="12"/>
      <c r="R921" s="12"/>
      <c r="S921" s="12"/>
      <c r="T921" s="12"/>
      <c r="U921" s="12"/>
      <c r="W921" s="12"/>
      <c r="X921" s="12"/>
      <c r="Y921" s="12"/>
      <c r="Z921" s="12"/>
      <c r="AA921" s="12"/>
    </row>
    <row r="922" spans="1:27" ht="15.75" customHeight="1">
      <c r="A922" s="12"/>
      <c r="B922" s="12"/>
      <c r="C922" s="12"/>
      <c r="D922" s="12"/>
      <c r="E922" s="12"/>
      <c r="F922" s="12"/>
      <c r="G922" s="12"/>
      <c r="H922" s="12"/>
      <c r="I922" s="12"/>
      <c r="J922" s="12"/>
      <c r="K922" s="12"/>
      <c r="L922" s="12"/>
      <c r="M922" s="12"/>
      <c r="N922" s="12"/>
      <c r="O922" s="12"/>
      <c r="P922" s="12"/>
      <c r="Q922" s="12"/>
      <c r="R922" s="12"/>
      <c r="S922" s="12"/>
      <c r="T922" s="12"/>
      <c r="U922" s="12"/>
      <c r="W922" s="12"/>
      <c r="X922" s="12"/>
      <c r="Y922" s="12"/>
      <c r="Z922" s="12"/>
      <c r="AA922" s="12"/>
    </row>
    <row r="923" spans="1:27" ht="15.75" customHeight="1">
      <c r="A923" s="12"/>
      <c r="B923" s="12"/>
      <c r="C923" s="12"/>
      <c r="D923" s="12"/>
      <c r="E923" s="12"/>
      <c r="F923" s="12"/>
      <c r="G923" s="12"/>
      <c r="H923" s="12"/>
      <c r="I923" s="12"/>
      <c r="J923" s="12"/>
      <c r="K923" s="12"/>
      <c r="L923" s="12"/>
      <c r="M923" s="12"/>
      <c r="N923" s="12"/>
      <c r="O923" s="12"/>
      <c r="P923" s="12"/>
      <c r="Q923" s="12"/>
      <c r="R923" s="12"/>
      <c r="S923" s="12"/>
      <c r="T923" s="12"/>
      <c r="U923" s="12"/>
      <c r="W923" s="12"/>
      <c r="X923" s="12"/>
      <c r="Y923" s="12"/>
      <c r="Z923" s="12"/>
      <c r="AA923" s="12"/>
    </row>
    <row r="924" spans="1:27" ht="15.75" customHeight="1">
      <c r="A924" s="12"/>
      <c r="B924" s="12"/>
      <c r="C924" s="12"/>
      <c r="D924" s="12"/>
      <c r="E924" s="12"/>
      <c r="F924" s="12"/>
      <c r="G924" s="12"/>
      <c r="H924" s="12"/>
      <c r="I924" s="12"/>
      <c r="J924" s="12"/>
      <c r="K924" s="12"/>
      <c r="L924" s="12"/>
      <c r="M924" s="12"/>
      <c r="N924" s="12"/>
      <c r="O924" s="12"/>
      <c r="P924" s="12"/>
      <c r="Q924" s="12"/>
      <c r="R924" s="12"/>
      <c r="S924" s="12"/>
      <c r="T924" s="12"/>
      <c r="U924" s="12"/>
      <c r="W924" s="12"/>
      <c r="X924" s="12"/>
      <c r="Y924" s="12"/>
      <c r="Z924" s="12"/>
      <c r="AA924" s="12"/>
    </row>
    <row r="925" spans="1:27" ht="15.75" customHeight="1">
      <c r="A925" s="12"/>
      <c r="B925" s="12"/>
      <c r="C925" s="12"/>
      <c r="D925" s="12"/>
      <c r="E925" s="12"/>
      <c r="F925" s="12"/>
      <c r="G925" s="12"/>
      <c r="H925" s="12"/>
      <c r="I925" s="12"/>
      <c r="J925" s="12"/>
      <c r="K925" s="12"/>
      <c r="L925" s="12"/>
      <c r="M925" s="12"/>
      <c r="N925" s="12"/>
      <c r="O925" s="12"/>
      <c r="P925" s="12"/>
      <c r="Q925" s="12"/>
      <c r="R925" s="12"/>
      <c r="S925" s="12"/>
      <c r="T925" s="12"/>
      <c r="U925" s="12"/>
      <c r="W925" s="12"/>
      <c r="X925" s="12"/>
      <c r="Y925" s="12"/>
      <c r="Z925" s="12"/>
      <c r="AA925" s="12"/>
    </row>
    <row r="926" spans="1:27" ht="15.75" customHeight="1">
      <c r="A926" s="12"/>
      <c r="B926" s="12"/>
      <c r="C926" s="12"/>
      <c r="D926" s="12"/>
      <c r="E926" s="12"/>
      <c r="F926" s="12"/>
      <c r="G926" s="12"/>
      <c r="H926" s="12"/>
      <c r="I926" s="12"/>
      <c r="J926" s="12"/>
      <c r="K926" s="12"/>
      <c r="L926" s="12"/>
      <c r="M926" s="12"/>
      <c r="N926" s="12"/>
      <c r="O926" s="12"/>
      <c r="P926" s="12"/>
      <c r="Q926" s="12"/>
      <c r="R926" s="12"/>
      <c r="S926" s="12"/>
      <c r="T926" s="12"/>
      <c r="U926" s="12"/>
      <c r="W926" s="12"/>
      <c r="X926" s="12"/>
      <c r="Y926" s="12"/>
      <c r="Z926" s="12"/>
      <c r="AA926" s="12"/>
    </row>
    <row r="927" spans="1:27" ht="15.75" customHeight="1">
      <c r="A927" s="12"/>
      <c r="B927" s="12"/>
      <c r="C927" s="12"/>
      <c r="D927" s="12"/>
      <c r="E927" s="12"/>
      <c r="F927" s="12"/>
      <c r="G927" s="12"/>
      <c r="H927" s="12"/>
      <c r="I927" s="12"/>
      <c r="J927" s="12"/>
      <c r="K927" s="12"/>
      <c r="L927" s="12"/>
      <c r="M927" s="12"/>
      <c r="N927" s="12"/>
      <c r="O927" s="12"/>
      <c r="P927" s="12"/>
      <c r="Q927" s="12"/>
      <c r="R927" s="12"/>
      <c r="S927" s="12"/>
      <c r="T927" s="12"/>
      <c r="U927" s="12"/>
      <c r="W927" s="12"/>
      <c r="X927" s="12"/>
      <c r="Y927" s="12"/>
      <c r="Z927" s="12"/>
      <c r="AA927" s="12"/>
    </row>
    <row r="928" spans="1:27" ht="15.75" customHeight="1">
      <c r="A928" s="12"/>
      <c r="B928" s="12"/>
      <c r="C928" s="12"/>
      <c r="D928" s="12"/>
      <c r="E928" s="12"/>
      <c r="F928" s="12"/>
      <c r="G928" s="12"/>
      <c r="H928" s="12"/>
      <c r="I928" s="12"/>
      <c r="J928" s="12"/>
      <c r="K928" s="12"/>
      <c r="L928" s="12"/>
      <c r="M928" s="12"/>
      <c r="N928" s="12"/>
      <c r="O928" s="12"/>
      <c r="P928" s="12"/>
      <c r="Q928" s="12"/>
      <c r="R928" s="12"/>
      <c r="S928" s="12"/>
      <c r="T928" s="12"/>
      <c r="U928" s="12"/>
      <c r="W928" s="12"/>
      <c r="X928" s="12"/>
      <c r="Y928" s="12"/>
      <c r="Z928" s="12"/>
      <c r="AA928" s="12"/>
    </row>
    <row r="929" spans="1:27" ht="15.75" customHeight="1">
      <c r="A929" s="12"/>
      <c r="B929" s="12"/>
      <c r="C929" s="12"/>
      <c r="D929" s="12"/>
      <c r="E929" s="12"/>
      <c r="F929" s="12"/>
      <c r="G929" s="12"/>
      <c r="H929" s="12"/>
      <c r="I929" s="12"/>
      <c r="J929" s="12"/>
      <c r="K929" s="12"/>
      <c r="L929" s="12"/>
      <c r="M929" s="12"/>
      <c r="N929" s="12"/>
      <c r="O929" s="12"/>
      <c r="P929" s="12"/>
      <c r="Q929" s="12"/>
      <c r="R929" s="12"/>
      <c r="S929" s="12"/>
      <c r="T929" s="12"/>
      <c r="U929" s="12"/>
      <c r="W929" s="12"/>
      <c r="X929" s="12"/>
      <c r="Y929" s="12"/>
      <c r="Z929" s="12"/>
      <c r="AA929" s="12"/>
    </row>
    <row r="930" spans="1:27" ht="15.75" customHeight="1">
      <c r="A930" s="12"/>
      <c r="B930" s="12"/>
      <c r="C930" s="12"/>
      <c r="D930" s="12"/>
      <c r="E930" s="12"/>
      <c r="F930" s="12"/>
      <c r="G930" s="12"/>
      <c r="H930" s="12"/>
      <c r="I930" s="12"/>
      <c r="J930" s="12"/>
      <c r="K930" s="12"/>
      <c r="L930" s="12"/>
      <c r="M930" s="12"/>
      <c r="N930" s="12"/>
      <c r="O930" s="12"/>
      <c r="P930" s="12"/>
      <c r="Q930" s="12"/>
      <c r="R930" s="12"/>
      <c r="S930" s="12"/>
      <c r="T930" s="12"/>
      <c r="U930" s="12"/>
      <c r="W930" s="12"/>
      <c r="X930" s="12"/>
      <c r="Y930" s="12"/>
      <c r="Z930" s="12"/>
      <c r="AA930" s="12"/>
    </row>
    <row r="931" spans="1:27" ht="15.75" customHeight="1">
      <c r="A931" s="12"/>
      <c r="B931" s="12"/>
      <c r="C931" s="12"/>
      <c r="D931" s="12"/>
      <c r="E931" s="12"/>
      <c r="F931" s="12"/>
      <c r="G931" s="12"/>
      <c r="H931" s="12"/>
      <c r="I931" s="12"/>
      <c r="J931" s="12"/>
      <c r="K931" s="12"/>
      <c r="L931" s="12"/>
      <c r="M931" s="12"/>
      <c r="N931" s="12"/>
      <c r="O931" s="12"/>
      <c r="P931" s="12"/>
      <c r="Q931" s="12"/>
      <c r="R931" s="12"/>
      <c r="S931" s="12"/>
      <c r="T931" s="12"/>
      <c r="U931" s="12"/>
      <c r="W931" s="12"/>
      <c r="X931" s="12"/>
      <c r="Y931" s="12"/>
      <c r="Z931" s="12"/>
      <c r="AA931" s="12"/>
    </row>
    <row r="932" spans="1:27" ht="15.75" customHeight="1">
      <c r="A932" s="12"/>
      <c r="B932" s="12"/>
      <c r="C932" s="12"/>
      <c r="D932" s="12"/>
      <c r="E932" s="12"/>
      <c r="F932" s="12"/>
      <c r="G932" s="12"/>
      <c r="H932" s="12"/>
      <c r="I932" s="12"/>
      <c r="J932" s="12"/>
      <c r="K932" s="12"/>
      <c r="L932" s="12"/>
      <c r="M932" s="12"/>
      <c r="N932" s="12"/>
      <c r="O932" s="12"/>
      <c r="P932" s="12"/>
      <c r="Q932" s="12"/>
      <c r="R932" s="12"/>
      <c r="S932" s="12"/>
      <c r="T932" s="12"/>
      <c r="U932" s="12"/>
      <c r="W932" s="12"/>
      <c r="X932" s="12"/>
      <c r="Y932" s="12"/>
      <c r="Z932" s="12"/>
      <c r="AA932" s="12"/>
    </row>
    <row r="933" spans="1:27" ht="15.75" customHeight="1">
      <c r="A933" s="12"/>
      <c r="B933" s="12"/>
      <c r="C933" s="12"/>
      <c r="D933" s="12"/>
      <c r="E933" s="12"/>
      <c r="F933" s="12"/>
      <c r="G933" s="12"/>
      <c r="H933" s="12"/>
      <c r="I933" s="12"/>
      <c r="J933" s="12"/>
      <c r="K933" s="12"/>
      <c r="L933" s="12"/>
      <c r="M933" s="12"/>
      <c r="N933" s="12"/>
      <c r="O933" s="12"/>
      <c r="P933" s="12"/>
      <c r="Q933" s="12"/>
      <c r="R933" s="12"/>
      <c r="S933" s="12"/>
      <c r="T933" s="12"/>
      <c r="U933" s="12"/>
      <c r="W933" s="12"/>
      <c r="X933" s="12"/>
      <c r="Y933" s="12"/>
      <c r="Z933" s="12"/>
      <c r="AA933" s="12"/>
    </row>
    <row r="934" spans="1:27" ht="15.75" customHeight="1">
      <c r="A934" s="12"/>
      <c r="B934" s="12"/>
      <c r="C934" s="12"/>
      <c r="D934" s="12"/>
      <c r="E934" s="12"/>
      <c r="F934" s="12"/>
      <c r="G934" s="12"/>
      <c r="H934" s="12"/>
      <c r="I934" s="12"/>
      <c r="J934" s="12"/>
      <c r="K934" s="12"/>
      <c r="L934" s="12"/>
      <c r="M934" s="12"/>
      <c r="N934" s="12"/>
      <c r="O934" s="12"/>
      <c r="P934" s="12"/>
      <c r="Q934" s="12"/>
      <c r="R934" s="12"/>
      <c r="S934" s="12"/>
      <c r="T934" s="12"/>
      <c r="U934" s="12"/>
      <c r="W934" s="12"/>
      <c r="X934" s="12"/>
      <c r="Y934" s="12"/>
      <c r="Z934" s="12"/>
      <c r="AA934" s="12"/>
    </row>
    <row r="935" spans="1:27" ht="15.75" customHeight="1">
      <c r="A935" s="12"/>
      <c r="B935" s="12"/>
      <c r="C935" s="12"/>
      <c r="D935" s="12"/>
      <c r="E935" s="12"/>
      <c r="F935" s="12"/>
      <c r="G935" s="12"/>
      <c r="H935" s="12"/>
      <c r="I935" s="12"/>
      <c r="J935" s="12"/>
      <c r="K935" s="12"/>
      <c r="L935" s="12"/>
      <c r="M935" s="12"/>
      <c r="N935" s="12"/>
      <c r="O935" s="12"/>
      <c r="P935" s="12"/>
      <c r="Q935" s="12"/>
      <c r="R935" s="12"/>
      <c r="S935" s="12"/>
      <c r="T935" s="12"/>
      <c r="U935" s="12"/>
      <c r="W935" s="12"/>
      <c r="X935" s="12"/>
      <c r="Y935" s="12"/>
      <c r="Z935" s="12"/>
      <c r="AA935" s="12"/>
    </row>
    <row r="936" spans="1:27" ht="15.75" customHeight="1">
      <c r="A936" s="12"/>
      <c r="B936" s="12"/>
      <c r="C936" s="12"/>
      <c r="D936" s="12"/>
      <c r="E936" s="12"/>
      <c r="F936" s="12"/>
      <c r="G936" s="12"/>
      <c r="H936" s="12"/>
      <c r="I936" s="12"/>
      <c r="J936" s="12"/>
      <c r="K936" s="12"/>
      <c r="L936" s="12"/>
      <c r="M936" s="12"/>
      <c r="N936" s="12"/>
      <c r="O936" s="12"/>
      <c r="P936" s="12"/>
      <c r="Q936" s="12"/>
      <c r="R936" s="12"/>
      <c r="S936" s="12"/>
      <c r="T936" s="12"/>
      <c r="U936" s="12"/>
      <c r="W936" s="12"/>
      <c r="X936" s="12"/>
      <c r="Y936" s="12"/>
      <c r="Z936" s="12"/>
      <c r="AA936" s="12"/>
    </row>
    <row r="937" spans="1:27" ht="15.75" customHeight="1">
      <c r="A937" s="12"/>
      <c r="B937" s="12"/>
      <c r="C937" s="12"/>
      <c r="D937" s="12"/>
      <c r="E937" s="12"/>
      <c r="F937" s="12"/>
      <c r="G937" s="12"/>
      <c r="H937" s="12"/>
      <c r="I937" s="12"/>
      <c r="J937" s="12"/>
      <c r="K937" s="12"/>
      <c r="L937" s="12"/>
      <c r="M937" s="12"/>
      <c r="N937" s="12"/>
      <c r="O937" s="12"/>
      <c r="P937" s="12"/>
      <c r="Q937" s="12"/>
      <c r="R937" s="12"/>
      <c r="S937" s="12"/>
      <c r="T937" s="12"/>
      <c r="U937" s="12"/>
      <c r="W937" s="12"/>
      <c r="X937" s="12"/>
      <c r="Y937" s="12"/>
      <c r="Z937" s="12"/>
      <c r="AA937" s="12"/>
    </row>
    <row r="938" spans="1:27" ht="15.75" customHeight="1">
      <c r="A938" s="12"/>
      <c r="B938" s="12"/>
      <c r="C938" s="12"/>
      <c r="D938" s="12"/>
      <c r="E938" s="12"/>
      <c r="F938" s="12"/>
      <c r="G938" s="12"/>
      <c r="H938" s="12"/>
      <c r="I938" s="12"/>
      <c r="J938" s="12"/>
      <c r="K938" s="12"/>
      <c r="L938" s="12"/>
      <c r="M938" s="12"/>
      <c r="N938" s="12"/>
      <c r="O938" s="12"/>
      <c r="P938" s="12"/>
      <c r="Q938" s="12"/>
      <c r="R938" s="12"/>
      <c r="S938" s="12"/>
      <c r="T938" s="12"/>
      <c r="U938" s="12"/>
      <c r="W938" s="12"/>
      <c r="X938" s="12"/>
      <c r="Y938" s="12"/>
      <c r="Z938" s="12"/>
      <c r="AA938" s="12"/>
    </row>
    <row r="939" spans="1:27" ht="15.75" customHeight="1">
      <c r="A939" s="12"/>
      <c r="B939" s="12"/>
      <c r="C939" s="12"/>
      <c r="D939" s="12"/>
      <c r="E939" s="12"/>
      <c r="F939" s="12"/>
      <c r="G939" s="12"/>
      <c r="H939" s="12"/>
      <c r="I939" s="12"/>
      <c r="J939" s="12"/>
      <c r="K939" s="12"/>
      <c r="L939" s="12"/>
      <c r="M939" s="12"/>
      <c r="N939" s="12"/>
      <c r="O939" s="12"/>
      <c r="P939" s="12"/>
      <c r="Q939" s="12"/>
      <c r="R939" s="12"/>
      <c r="S939" s="12"/>
      <c r="T939" s="12"/>
      <c r="U939" s="12"/>
      <c r="W939" s="12"/>
      <c r="X939" s="12"/>
      <c r="Y939" s="12"/>
      <c r="Z939" s="12"/>
      <c r="AA939" s="12"/>
    </row>
    <row r="940" spans="1:27" ht="15.75" customHeight="1">
      <c r="A940" s="12"/>
      <c r="B940" s="12"/>
      <c r="C940" s="12"/>
      <c r="D940" s="12"/>
      <c r="E940" s="12"/>
      <c r="F940" s="12"/>
      <c r="G940" s="12"/>
      <c r="H940" s="12"/>
      <c r="I940" s="12"/>
      <c r="J940" s="12"/>
      <c r="K940" s="12"/>
      <c r="L940" s="12"/>
      <c r="M940" s="12"/>
      <c r="N940" s="12"/>
      <c r="O940" s="12"/>
      <c r="P940" s="12"/>
      <c r="Q940" s="12"/>
      <c r="R940" s="12"/>
      <c r="S940" s="12"/>
      <c r="T940" s="12"/>
      <c r="U940" s="12"/>
      <c r="W940" s="12"/>
      <c r="X940" s="12"/>
      <c r="Y940" s="12"/>
      <c r="Z940" s="12"/>
      <c r="AA940" s="12"/>
    </row>
    <row r="941" spans="1:27" ht="15.75" customHeight="1">
      <c r="A941" s="12"/>
      <c r="B941" s="12"/>
      <c r="C941" s="12"/>
      <c r="D941" s="12"/>
      <c r="E941" s="12"/>
      <c r="F941" s="12"/>
      <c r="G941" s="12"/>
      <c r="H941" s="12"/>
      <c r="I941" s="12"/>
      <c r="J941" s="12"/>
      <c r="K941" s="12"/>
      <c r="L941" s="12"/>
      <c r="M941" s="12"/>
      <c r="N941" s="12"/>
      <c r="O941" s="12"/>
      <c r="P941" s="12"/>
      <c r="Q941" s="12"/>
      <c r="R941" s="12"/>
      <c r="S941" s="12"/>
      <c r="T941" s="12"/>
      <c r="U941" s="12"/>
      <c r="W941" s="12"/>
      <c r="X941" s="12"/>
      <c r="Y941" s="12"/>
      <c r="Z941" s="12"/>
      <c r="AA941" s="12"/>
    </row>
    <row r="942" spans="1:27" ht="15.75" customHeight="1">
      <c r="A942" s="12"/>
      <c r="B942" s="12"/>
      <c r="C942" s="12"/>
      <c r="D942" s="12"/>
      <c r="E942" s="12"/>
      <c r="F942" s="12"/>
      <c r="G942" s="12"/>
      <c r="H942" s="12"/>
      <c r="I942" s="12"/>
      <c r="J942" s="12"/>
      <c r="K942" s="12"/>
      <c r="L942" s="12"/>
      <c r="M942" s="12"/>
      <c r="N942" s="12"/>
      <c r="O942" s="12"/>
      <c r="P942" s="12"/>
      <c r="Q942" s="12"/>
      <c r="R942" s="12"/>
      <c r="S942" s="12"/>
      <c r="T942" s="12"/>
      <c r="U942" s="12"/>
      <c r="W942" s="12"/>
      <c r="X942" s="12"/>
      <c r="Y942" s="12"/>
      <c r="Z942" s="12"/>
      <c r="AA942" s="12"/>
    </row>
    <row r="943" spans="1:27" ht="15.75" customHeight="1">
      <c r="A943" s="12"/>
      <c r="B943" s="12"/>
      <c r="C943" s="12"/>
      <c r="D943" s="12"/>
      <c r="E943" s="12"/>
      <c r="F943" s="12"/>
      <c r="G943" s="12"/>
      <c r="H943" s="12"/>
      <c r="I943" s="12"/>
      <c r="J943" s="12"/>
      <c r="K943" s="12"/>
      <c r="L943" s="12"/>
      <c r="M943" s="12"/>
      <c r="N943" s="12"/>
      <c r="O943" s="12"/>
      <c r="P943" s="12"/>
      <c r="Q943" s="12"/>
      <c r="R943" s="12"/>
      <c r="S943" s="12"/>
      <c r="T943" s="12"/>
      <c r="U943" s="12"/>
      <c r="W943" s="12"/>
      <c r="X943" s="12"/>
      <c r="Y943" s="12"/>
      <c r="Z943" s="12"/>
      <c r="AA943" s="12"/>
    </row>
    <row r="944" spans="1:27" ht="15.75" customHeight="1">
      <c r="A944" s="12"/>
      <c r="B944" s="12"/>
      <c r="C944" s="12"/>
      <c r="D944" s="12"/>
      <c r="E944" s="12"/>
      <c r="F944" s="12"/>
      <c r="G944" s="12"/>
      <c r="H944" s="12"/>
      <c r="I944" s="12"/>
      <c r="J944" s="12"/>
      <c r="K944" s="12"/>
      <c r="L944" s="12"/>
      <c r="M944" s="12"/>
      <c r="N944" s="12"/>
      <c r="O944" s="12"/>
      <c r="P944" s="12"/>
      <c r="Q944" s="12"/>
      <c r="R944" s="12"/>
      <c r="S944" s="12"/>
      <c r="T944" s="12"/>
      <c r="U944" s="12"/>
      <c r="W944" s="12"/>
      <c r="X944" s="12"/>
      <c r="Y944" s="12"/>
      <c r="Z944" s="12"/>
      <c r="AA944" s="12"/>
    </row>
    <row r="945" spans="1:27" ht="15.75" customHeight="1">
      <c r="A945" s="12"/>
      <c r="B945" s="12"/>
      <c r="C945" s="12"/>
      <c r="D945" s="12"/>
      <c r="E945" s="12"/>
      <c r="F945" s="12"/>
      <c r="G945" s="12"/>
      <c r="H945" s="12"/>
      <c r="I945" s="12"/>
      <c r="J945" s="12"/>
      <c r="K945" s="12"/>
      <c r="L945" s="12"/>
      <c r="M945" s="12"/>
      <c r="N945" s="12"/>
      <c r="O945" s="12"/>
      <c r="P945" s="12"/>
      <c r="Q945" s="12"/>
      <c r="R945" s="12"/>
      <c r="S945" s="12"/>
      <c r="T945" s="12"/>
      <c r="U945" s="12"/>
      <c r="W945" s="12"/>
      <c r="X945" s="12"/>
      <c r="Y945" s="12"/>
      <c r="Z945" s="12"/>
      <c r="AA945" s="12"/>
    </row>
    <row r="946" spans="1:27" ht="15.75" customHeight="1">
      <c r="A946" s="12"/>
      <c r="B946" s="12"/>
      <c r="C946" s="12"/>
      <c r="D946" s="12"/>
      <c r="E946" s="12"/>
      <c r="F946" s="12"/>
      <c r="G946" s="12"/>
      <c r="H946" s="12"/>
      <c r="I946" s="12"/>
      <c r="J946" s="12"/>
      <c r="K946" s="12"/>
      <c r="L946" s="12"/>
      <c r="M946" s="12"/>
      <c r="N946" s="12"/>
      <c r="O946" s="12"/>
      <c r="P946" s="12"/>
      <c r="Q946" s="12"/>
      <c r="R946" s="12"/>
      <c r="S946" s="12"/>
      <c r="T946" s="12"/>
      <c r="U946" s="12"/>
      <c r="W946" s="12"/>
      <c r="X946" s="12"/>
      <c r="Y946" s="12"/>
      <c r="Z946" s="12"/>
      <c r="AA946" s="12"/>
    </row>
    <row r="947" spans="1:27" ht="15.75" customHeight="1">
      <c r="A947" s="12"/>
      <c r="B947" s="12"/>
      <c r="C947" s="12"/>
      <c r="D947" s="12"/>
      <c r="E947" s="12"/>
      <c r="F947" s="12"/>
      <c r="G947" s="12"/>
      <c r="H947" s="12"/>
      <c r="I947" s="12"/>
      <c r="J947" s="12"/>
      <c r="K947" s="12"/>
      <c r="L947" s="12"/>
      <c r="M947" s="12"/>
      <c r="N947" s="12"/>
      <c r="O947" s="12"/>
      <c r="P947" s="12"/>
      <c r="Q947" s="12"/>
      <c r="R947" s="12"/>
      <c r="S947" s="12"/>
      <c r="T947" s="12"/>
      <c r="U947" s="12"/>
      <c r="W947" s="12"/>
      <c r="X947" s="12"/>
      <c r="Y947" s="12"/>
      <c r="Z947" s="12"/>
      <c r="AA947" s="12"/>
    </row>
    <row r="948" spans="1:27" ht="15.75" customHeight="1">
      <c r="A948" s="12"/>
      <c r="B948" s="12"/>
      <c r="C948" s="12"/>
      <c r="D948" s="12"/>
      <c r="E948" s="12"/>
      <c r="F948" s="12"/>
      <c r="G948" s="12"/>
      <c r="H948" s="12"/>
      <c r="I948" s="12"/>
      <c r="J948" s="12"/>
      <c r="K948" s="12"/>
      <c r="L948" s="12"/>
      <c r="M948" s="12"/>
      <c r="N948" s="12"/>
      <c r="O948" s="12"/>
      <c r="P948" s="12"/>
      <c r="Q948" s="12"/>
      <c r="R948" s="12"/>
      <c r="S948" s="12"/>
      <c r="T948" s="12"/>
      <c r="U948" s="12"/>
      <c r="W948" s="12"/>
      <c r="X948" s="12"/>
      <c r="Y948" s="12"/>
      <c r="Z948" s="12"/>
      <c r="AA948" s="12"/>
    </row>
  </sheetData>
  <mergeCells count="101">
    <mergeCell ref="B204:B206"/>
    <mergeCell ref="C204:C206"/>
    <mergeCell ref="B210:D210"/>
    <mergeCell ref="A211:D211"/>
    <mergeCell ref="A135:A158"/>
    <mergeCell ref="B135:B136"/>
    <mergeCell ref="B138:B144"/>
    <mergeCell ref="B145:B146"/>
    <mergeCell ref="B147:B149"/>
    <mergeCell ref="B158:D158"/>
    <mergeCell ref="A159:A210"/>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A3:E3"/>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V4:V5"/>
    <mergeCell ref="G4:H4"/>
    <mergeCell ref="I4:I5"/>
    <mergeCell ref="J4:L4"/>
    <mergeCell ref="M4:M5"/>
    <mergeCell ref="N4:N5"/>
    <mergeCell ref="O4:O5"/>
    <mergeCell ref="P4:P5"/>
    <mergeCell ref="C40:C46"/>
  </mergeCells>
  <pageMargins left="0.19" right="0.21" top="0.22" bottom="0.23" header="0" footer="0"/>
  <pageSetup scale="85" orientation="portrait" r:id="rId1"/>
</worksheet>
</file>

<file path=xl/worksheets/sheet14.xml><?xml version="1.0" encoding="utf-8"?>
<worksheet xmlns="http://schemas.openxmlformats.org/spreadsheetml/2006/main" xmlns:r="http://schemas.openxmlformats.org/officeDocument/2006/relationships">
  <dimension ref="A1:AA1000"/>
  <sheetViews>
    <sheetView workbookViewId="0">
      <pane xSplit="4" ySplit="5" topLeftCell="E186" activePane="bottomRight" state="frozen"/>
      <selection pane="topRight" activeCell="E1" sqref="E1"/>
      <selection pane="bottomLeft" activeCell="A6" sqref="A6"/>
      <selection pane="bottomRight" activeCell="O190" sqref="O190"/>
    </sheetView>
  </sheetViews>
  <sheetFormatPr defaultColWidth="14.42578125" defaultRowHeight="15" customHeight="1"/>
  <cols>
    <col min="1" max="1" width="6.7109375" style="784" customWidth="1"/>
    <col min="2" max="2" width="5.7109375" style="784" customWidth="1"/>
    <col min="3" max="3" width="8" style="784" customWidth="1"/>
    <col min="4" max="4" width="5.85546875" style="784" customWidth="1"/>
    <col min="5" max="5" width="23.28515625" style="784" customWidth="1"/>
    <col min="6" max="6" width="8.140625" style="784" customWidth="1"/>
    <col min="7" max="7" width="10.7109375" style="784" customWidth="1"/>
    <col min="8" max="8" width="8.28515625" style="784" customWidth="1"/>
    <col min="9" max="9" width="10.5703125" style="784" customWidth="1"/>
    <col min="10" max="10" width="11.85546875" style="784" customWidth="1"/>
    <col min="11" max="11" width="9.28515625" style="784" customWidth="1"/>
    <col min="12" max="12" width="6.7109375" style="784" customWidth="1"/>
    <col min="13" max="13" width="9" style="784" customWidth="1"/>
    <col min="14" max="14" width="9.7109375" style="784" customWidth="1"/>
    <col min="15" max="15" width="11.5703125" style="784" customWidth="1"/>
    <col min="16" max="16" width="9.7109375" style="784" customWidth="1"/>
    <col min="17" max="17" width="8.28515625" style="784" customWidth="1"/>
    <col min="18" max="18" width="10" style="784" customWidth="1"/>
    <col min="19" max="19" width="10.42578125" style="784" customWidth="1"/>
    <col min="20" max="20" width="10.85546875" style="784" customWidth="1"/>
    <col min="21" max="21" width="9.85546875" style="784" customWidth="1"/>
    <col min="22" max="22" width="46.7109375" style="4" customWidth="1"/>
    <col min="23" max="23" width="48.5703125" style="784" customWidth="1"/>
    <col min="24" max="27" width="14.42578125" style="784" customWidth="1"/>
    <col min="28" max="16384" width="14.42578125" style="784"/>
  </cols>
  <sheetData>
    <row r="1" spans="1:27" s="731" customFormat="1" ht="20.25" customHeight="1">
      <c r="A1" s="522"/>
      <c r="B1" s="730"/>
      <c r="C1" s="730"/>
      <c r="D1" s="730"/>
      <c r="E1" s="523" t="s">
        <v>0</v>
      </c>
      <c r="J1" s="732"/>
      <c r="K1" s="732"/>
      <c r="L1" s="732"/>
      <c r="M1" s="732"/>
      <c r="N1" s="732"/>
      <c r="O1" s="732"/>
      <c r="P1" s="732"/>
      <c r="Q1" s="732"/>
      <c r="R1" s="732"/>
      <c r="S1" s="732"/>
      <c r="T1" s="732"/>
      <c r="U1" s="732"/>
      <c r="V1" s="733"/>
    </row>
    <row r="2" spans="1:27" s="731" customFormat="1" ht="23.25" customHeight="1">
      <c r="A2" s="732"/>
      <c r="B2" s="732"/>
      <c r="C2" s="732"/>
      <c r="D2" s="732"/>
      <c r="E2" s="732"/>
      <c r="F2" s="732"/>
      <c r="G2" s="732"/>
      <c r="H2" s="732"/>
      <c r="I2" s="732"/>
      <c r="J2" s="732"/>
      <c r="K2" s="732"/>
      <c r="L2" s="732"/>
      <c r="M2" s="732"/>
      <c r="N2" s="732"/>
      <c r="O2" s="732"/>
      <c r="P2" s="732"/>
      <c r="Q2" s="732"/>
      <c r="R2" s="732"/>
      <c r="S2" s="732"/>
      <c r="T2" s="732"/>
      <c r="U2" s="732"/>
      <c r="V2" s="733"/>
    </row>
    <row r="3" spans="1:27" s="731" customFormat="1" ht="22.5" customHeight="1">
      <c r="A3" s="734" t="s">
        <v>1729</v>
      </c>
      <c r="B3" s="734"/>
      <c r="C3" s="734"/>
      <c r="D3" s="734"/>
      <c r="E3" s="734"/>
      <c r="F3" s="519"/>
      <c r="G3" s="519"/>
      <c r="H3" s="519"/>
      <c r="I3" s="519"/>
      <c r="J3" s="519"/>
      <c r="K3" s="519"/>
      <c r="L3" s="519"/>
      <c r="M3" s="519"/>
      <c r="N3" s="519"/>
      <c r="O3" s="519"/>
      <c r="P3" s="519"/>
      <c r="Q3" s="519"/>
      <c r="R3" s="519"/>
      <c r="S3" s="519"/>
      <c r="T3" s="735"/>
      <c r="U3" s="519"/>
      <c r="V3" s="519" t="s">
        <v>2</v>
      </c>
    </row>
    <row r="4" spans="1:27">
      <c r="A4" s="699" t="s">
        <v>3</v>
      </c>
      <c r="B4" s="699" t="s">
        <v>4</v>
      </c>
      <c r="C4" s="699" t="s">
        <v>5</v>
      </c>
      <c r="D4" s="699" t="s">
        <v>6</v>
      </c>
      <c r="E4" s="699" t="s">
        <v>388</v>
      </c>
      <c r="F4" s="699" t="s">
        <v>8</v>
      </c>
      <c r="G4" s="699" t="s">
        <v>9</v>
      </c>
      <c r="H4" s="736"/>
      <c r="I4" s="699" t="s">
        <v>10</v>
      </c>
      <c r="J4" s="699" t="s">
        <v>11</v>
      </c>
      <c r="K4" s="736"/>
      <c r="L4" s="736"/>
      <c r="M4" s="699" t="s">
        <v>12</v>
      </c>
      <c r="N4" s="699" t="s">
        <v>13</v>
      </c>
      <c r="O4" s="699" t="s">
        <v>14</v>
      </c>
      <c r="P4" s="699" t="s">
        <v>445</v>
      </c>
      <c r="Q4" s="699" t="s">
        <v>16</v>
      </c>
      <c r="R4" s="699" t="s">
        <v>17</v>
      </c>
      <c r="S4" s="699" t="s">
        <v>18</v>
      </c>
      <c r="T4" s="644" t="s">
        <v>19</v>
      </c>
      <c r="U4" s="644" t="s">
        <v>19</v>
      </c>
      <c r="V4" s="737" t="s">
        <v>389</v>
      </c>
      <c r="W4" s="471"/>
      <c r="X4" s="3"/>
      <c r="Y4" s="3"/>
      <c r="Z4" s="3"/>
      <c r="AA4" s="3"/>
    </row>
    <row r="5" spans="1:27" ht="53.45" customHeight="1">
      <c r="A5" s="736"/>
      <c r="B5" s="736"/>
      <c r="C5" s="736"/>
      <c r="D5" s="736"/>
      <c r="E5" s="736"/>
      <c r="F5" s="736"/>
      <c r="G5" s="644" t="s">
        <v>21</v>
      </c>
      <c r="H5" s="644" t="s">
        <v>22</v>
      </c>
      <c r="I5" s="736"/>
      <c r="J5" s="644" t="s">
        <v>1692</v>
      </c>
      <c r="K5" s="644" t="s">
        <v>23</v>
      </c>
      <c r="L5" s="644" t="s">
        <v>24</v>
      </c>
      <c r="M5" s="736"/>
      <c r="N5" s="736"/>
      <c r="O5" s="736"/>
      <c r="P5" s="736"/>
      <c r="Q5" s="736"/>
      <c r="R5" s="736"/>
      <c r="S5" s="736"/>
      <c r="T5" s="644" t="s">
        <v>25</v>
      </c>
      <c r="U5" s="644" t="s">
        <v>26</v>
      </c>
      <c r="V5" s="794"/>
      <c r="W5" s="471"/>
      <c r="X5" s="3"/>
      <c r="Y5" s="3"/>
      <c r="Z5" s="3"/>
      <c r="AA5" s="3"/>
    </row>
    <row r="6" spans="1:27" ht="30">
      <c r="A6" s="700" t="s">
        <v>27</v>
      </c>
      <c r="B6" s="699" t="s">
        <v>28</v>
      </c>
      <c r="C6" s="699" t="s">
        <v>29</v>
      </c>
      <c r="D6" s="644">
        <v>1</v>
      </c>
      <c r="E6" s="644" t="s">
        <v>30</v>
      </c>
      <c r="F6" s="644"/>
      <c r="G6" s="644"/>
      <c r="H6" s="644"/>
      <c r="I6" s="644"/>
      <c r="J6" s="644"/>
      <c r="K6" s="644"/>
      <c r="L6" s="644"/>
      <c r="M6" s="644"/>
      <c r="N6" s="644"/>
      <c r="O6" s="644"/>
      <c r="P6" s="644"/>
      <c r="Q6" s="644"/>
      <c r="R6" s="644"/>
      <c r="S6" s="644"/>
      <c r="T6" s="646">
        <f t="shared" ref="T6:T103" si="0">SUM(F6:S6)</f>
        <v>0</v>
      </c>
      <c r="U6" s="646"/>
      <c r="V6" s="729"/>
      <c r="W6" s="471"/>
      <c r="X6" s="3"/>
      <c r="Y6" s="3"/>
      <c r="Z6" s="3"/>
      <c r="AA6" s="3"/>
    </row>
    <row r="7" spans="1:27" ht="45">
      <c r="A7" s="736"/>
      <c r="B7" s="736"/>
      <c r="C7" s="736"/>
      <c r="D7" s="644">
        <v>2</v>
      </c>
      <c r="E7" s="644" t="s">
        <v>31</v>
      </c>
      <c r="F7" s="644"/>
      <c r="G7" s="644"/>
      <c r="H7" s="644"/>
      <c r="I7" s="644"/>
      <c r="J7" s="644"/>
      <c r="K7" s="646"/>
      <c r="L7" s="644"/>
      <c r="M7" s="644"/>
      <c r="N7" s="644"/>
      <c r="O7" s="644"/>
      <c r="P7" s="654"/>
      <c r="Q7" s="644"/>
      <c r="R7" s="644"/>
      <c r="S7" s="644"/>
      <c r="T7" s="646">
        <f t="shared" si="0"/>
        <v>0</v>
      </c>
      <c r="U7" s="646">
        <f>T7+T7*0.1</f>
        <v>0</v>
      </c>
      <c r="V7" s="729"/>
      <c r="W7" s="471"/>
      <c r="X7" s="3"/>
      <c r="Y7" s="3"/>
      <c r="Z7" s="3"/>
      <c r="AA7" s="3"/>
    </row>
    <row r="8" spans="1:27" ht="105">
      <c r="A8" s="736"/>
      <c r="B8" s="736"/>
      <c r="C8" s="736"/>
      <c r="D8" s="644">
        <v>3</v>
      </c>
      <c r="E8" s="644" t="s">
        <v>32</v>
      </c>
      <c r="F8" s="654">
        <v>27.26</v>
      </c>
      <c r="G8" s="644"/>
      <c r="H8" s="644"/>
      <c r="I8" s="644"/>
      <c r="J8" s="644"/>
      <c r="K8" s="644"/>
      <c r="L8" s="644"/>
      <c r="M8" s="644"/>
      <c r="N8" s="644"/>
      <c r="O8" s="654">
        <v>22.21</v>
      </c>
      <c r="P8" s="644"/>
      <c r="Q8" s="644"/>
      <c r="R8" s="654">
        <v>1.0900000000000001</v>
      </c>
      <c r="S8" s="644"/>
      <c r="T8" s="646">
        <f t="shared" si="0"/>
        <v>50.56</v>
      </c>
      <c r="U8" s="646">
        <f t="shared" ref="U8:U12" si="1">T8</f>
        <v>50.56</v>
      </c>
      <c r="V8" s="729" t="s">
        <v>1070</v>
      </c>
      <c r="W8" s="471"/>
      <c r="X8" s="3"/>
      <c r="Y8" s="3"/>
      <c r="Z8" s="3"/>
      <c r="AA8" s="3"/>
    </row>
    <row r="9" spans="1:27" ht="195">
      <c r="A9" s="736"/>
      <c r="B9" s="736"/>
      <c r="C9" s="736"/>
      <c r="D9" s="644">
        <v>4</v>
      </c>
      <c r="E9" s="644" t="s">
        <v>34</v>
      </c>
      <c r="F9" s="644"/>
      <c r="G9" s="644"/>
      <c r="H9" s="644"/>
      <c r="I9" s="644"/>
      <c r="J9" s="644"/>
      <c r="K9" s="644">
        <v>30.68</v>
      </c>
      <c r="L9" s="644"/>
      <c r="M9" s="647">
        <v>8.02</v>
      </c>
      <c r="N9" s="645"/>
      <c r="O9" s="645"/>
      <c r="P9" s="648">
        <v>18.559999999999999</v>
      </c>
      <c r="Q9" s="644"/>
      <c r="R9" s="644"/>
      <c r="S9" s="644"/>
      <c r="T9" s="646">
        <f t="shared" si="0"/>
        <v>57.260000000000005</v>
      </c>
      <c r="U9" s="646">
        <f t="shared" si="1"/>
        <v>57.260000000000005</v>
      </c>
      <c r="V9" s="729" t="s">
        <v>1071</v>
      </c>
      <c r="W9" s="472"/>
      <c r="X9" s="3"/>
      <c r="Y9" s="3"/>
      <c r="Z9" s="3"/>
      <c r="AA9" s="3"/>
    </row>
    <row r="10" spans="1:27" ht="45">
      <c r="A10" s="736"/>
      <c r="B10" s="736"/>
      <c r="C10" s="736"/>
      <c r="D10" s="644">
        <v>5</v>
      </c>
      <c r="E10" s="644" t="s">
        <v>36</v>
      </c>
      <c r="F10" s="644"/>
      <c r="G10" s="644"/>
      <c r="H10" s="644"/>
      <c r="I10" s="644"/>
      <c r="J10" s="644"/>
      <c r="K10" s="644"/>
      <c r="L10" s="644"/>
      <c r="M10" s="644"/>
      <c r="N10" s="644"/>
      <c r="O10" s="644"/>
      <c r="P10" s="647">
        <v>20.045000000000002</v>
      </c>
      <c r="Q10" s="644"/>
      <c r="R10" s="644"/>
      <c r="S10" s="644"/>
      <c r="T10" s="646">
        <f t="shared" si="0"/>
        <v>20.045000000000002</v>
      </c>
      <c r="U10" s="646">
        <f t="shared" si="1"/>
        <v>20.045000000000002</v>
      </c>
      <c r="V10" s="729" t="s">
        <v>1072</v>
      </c>
      <c r="W10" s="472"/>
      <c r="X10" s="3"/>
      <c r="Y10" s="3"/>
      <c r="Z10" s="3"/>
      <c r="AA10" s="3"/>
    </row>
    <row r="11" spans="1:27" ht="270">
      <c r="A11" s="736"/>
      <c r="B11" s="736"/>
      <c r="C11" s="736"/>
      <c r="D11" s="644">
        <v>6</v>
      </c>
      <c r="E11" s="644" t="s">
        <v>38</v>
      </c>
      <c r="F11" s="644">
        <v>0.54</v>
      </c>
      <c r="G11" s="644"/>
      <c r="H11" s="644"/>
      <c r="I11" s="644"/>
      <c r="J11" s="644"/>
      <c r="K11" s="644"/>
      <c r="L11" s="644"/>
      <c r="M11" s="644"/>
      <c r="N11" s="654"/>
      <c r="O11" s="644">
        <v>1.65</v>
      </c>
      <c r="P11" s="648">
        <v>0.91</v>
      </c>
      <c r="Q11" s="644"/>
      <c r="R11" s="644"/>
      <c r="S11" s="644"/>
      <c r="T11" s="646">
        <f t="shared" si="0"/>
        <v>3.1</v>
      </c>
      <c r="U11" s="646">
        <f t="shared" si="1"/>
        <v>3.1</v>
      </c>
      <c r="V11" s="729" t="s">
        <v>1073</v>
      </c>
      <c r="W11" s="472"/>
      <c r="X11" s="3"/>
      <c r="Y11" s="3"/>
      <c r="Z11" s="3"/>
      <c r="AA11" s="3"/>
    </row>
    <row r="12" spans="1:27" ht="120">
      <c r="A12" s="736"/>
      <c r="B12" s="736"/>
      <c r="C12" s="736"/>
      <c r="D12" s="644">
        <v>7</v>
      </c>
      <c r="E12" s="644" t="s">
        <v>40</v>
      </c>
      <c r="F12" s="644"/>
      <c r="G12" s="644"/>
      <c r="H12" s="644"/>
      <c r="I12" s="644"/>
      <c r="J12" s="644"/>
      <c r="K12" s="644"/>
      <c r="L12" s="644"/>
      <c r="M12" s="644"/>
      <c r="N12" s="644"/>
      <c r="O12" s="644"/>
      <c r="P12" s="648">
        <v>0</v>
      </c>
      <c r="Q12" s="654">
        <v>1.1499999999999999</v>
      </c>
      <c r="R12" s="644">
        <v>0.1</v>
      </c>
      <c r="S12" s="644"/>
      <c r="T12" s="646">
        <f t="shared" si="0"/>
        <v>1.25</v>
      </c>
      <c r="U12" s="646">
        <f t="shared" si="1"/>
        <v>1.25</v>
      </c>
      <c r="V12" s="729" t="s">
        <v>644</v>
      </c>
      <c r="W12" s="472"/>
      <c r="X12" s="3"/>
      <c r="Y12" s="3"/>
      <c r="Z12" s="3"/>
      <c r="AA12" s="3"/>
    </row>
    <row r="13" spans="1:27">
      <c r="A13" s="736"/>
      <c r="B13" s="736"/>
      <c r="C13" s="736"/>
      <c r="D13" s="644">
        <v>8</v>
      </c>
      <c r="E13" s="644" t="s">
        <v>42</v>
      </c>
      <c r="F13" s="644"/>
      <c r="G13" s="644"/>
      <c r="H13" s="644"/>
      <c r="I13" s="644"/>
      <c r="J13" s="644"/>
      <c r="K13" s="644"/>
      <c r="L13" s="644"/>
      <c r="M13" s="644"/>
      <c r="N13" s="646"/>
      <c r="O13" s="644"/>
      <c r="P13" s="644"/>
      <c r="Q13" s="644"/>
      <c r="R13" s="644"/>
      <c r="S13" s="644"/>
      <c r="T13" s="646">
        <f t="shared" si="0"/>
        <v>0</v>
      </c>
      <c r="U13" s="646"/>
      <c r="V13" s="729"/>
      <c r="W13" s="472"/>
      <c r="X13" s="3"/>
      <c r="Y13" s="3"/>
      <c r="Z13" s="3"/>
      <c r="AA13" s="3"/>
    </row>
    <row r="14" spans="1:27" ht="90">
      <c r="A14" s="736"/>
      <c r="B14" s="736"/>
      <c r="C14" s="736"/>
      <c r="D14" s="644">
        <v>9</v>
      </c>
      <c r="E14" s="644" t="s">
        <v>43</v>
      </c>
      <c r="F14" s="644"/>
      <c r="G14" s="644"/>
      <c r="H14" s="644"/>
      <c r="I14" s="644"/>
      <c r="J14" s="644"/>
      <c r="K14" s="644"/>
      <c r="L14" s="644"/>
      <c r="M14" s="644"/>
      <c r="N14" s="646"/>
      <c r="O14" s="644"/>
      <c r="P14" s="682">
        <v>0.15851999999999999</v>
      </c>
      <c r="Q14" s="683"/>
      <c r="R14" s="683">
        <v>0.18</v>
      </c>
      <c r="S14" s="683"/>
      <c r="T14" s="646">
        <f t="shared" si="0"/>
        <v>0.33851999999999999</v>
      </c>
      <c r="U14" s="646">
        <f>T14</f>
        <v>0.33851999999999999</v>
      </c>
      <c r="V14" s="729" t="s">
        <v>1074</v>
      </c>
      <c r="W14" s="472"/>
      <c r="X14" s="3"/>
      <c r="Y14" s="3"/>
      <c r="Z14" s="3"/>
      <c r="AA14" s="3"/>
    </row>
    <row r="15" spans="1:27" ht="105">
      <c r="A15" s="736"/>
      <c r="B15" s="736"/>
      <c r="C15" s="736"/>
      <c r="D15" s="644">
        <v>10</v>
      </c>
      <c r="E15" s="644" t="s">
        <v>44</v>
      </c>
      <c r="F15" s="644"/>
      <c r="G15" s="644"/>
      <c r="H15" s="644"/>
      <c r="I15" s="646">
        <v>0.02</v>
      </c>
      <c r="J15" s="644"/>
      <c r="K15" s="644"/>
      <c r="L15" s="644"/>
      <c r="M15" s="644"/>
      <c r="N15" s="749">
        <v>0.82</v>
      </c>
      <c r="O15" s="644"/>
      <c r="P15" s="644"/>
      <c r="Q15" s="644"/>
      <c r="R15" s="644"/>
      <c r="S15" s="644"/>
      <c r="T15" s="646">
        <f t="shared" si="0"/>
        <v>0.84</v>
      </c>
      <c r="U15" s="646">
        <v>0.82</v>
      </c>
      <c r="V15" s="729" t="s">
        <v>1598</v>
      </c>
      <c r="W15" s="472"/>
      <c r="X15" s="3"/>
      <c r="Y15" s="3"/>
      <c r="Z15" s="3"/>
      <c r="AA15" s="3"/>
    </row>
    <row r="16" spans="1:27">
      <c r="A16" s="736"/>
      <c r="B16" s="736"/>
      <c r="C16" s="736"/>
      <c r="D16" s="644">
        <v>11</v>
      </c>
      <c r="E16" s="644" t="s">
        <v>45</v>
      </c>
      <c r="F16" s="644"/>
      <c r="G16" s="654"/>
      <c r="H16" s="654"/>
      <c r="I16" s="644"/>
      <c r="J16" s="644"/>
      <c r="K16" s="644"/>
      <c r="L16" s="644"/>
      <c r="M16" s="644"/>
      <c r="N16" s="644"/>
      <c r="O16" s="644"/>
      <c r="P16" s="644"/>
      <c r="Q16" s="644"/>
      <c r="R16" s="644"/>
      <c r="S16" s="644"/>
      <c r="T16" s="646">
        <f t="shared" si="0"/>
        <v>0</v>
      </c>
      <c r="U16" s="646"/>
      <c r="V16" s="729"/>
      <c r="W16" s="472"/>
      <c r="X16" s="3"/>
      <c r="Y16" s="3"/>
      <c r="Z16" s="3"/>
      <c r="AA16" s="3"/>
    </row>
    <row r="17" spans="1:27" ht="60">
      <c r="A17" s="736"/>
      <c r="B17" s="736"/>
      <c r="C17" s="736"/>
      <c r="D17" s="644">
        <v>12</v>
      </c>
      <c r="E17" s="644" t="s">
        <v>46</v>
      </c>
      <c r="F17" s="644"/>
      <c r="G17" s="644"/>
      <c r="H17" s="644"/>
      <c r="I17" s="644"/>
      <c r="J17" s="644"/>
      <c r="K17" s="644"/>
      <c r="L17" s="644"/>
      <c r="M17" s="644"/>
      <c r="N17" s="646">
        <v>1</v>
      </c>
      <c r="O17" s="644"/>
      <c r="P17" s="644"/>
      <c r="Q17" s="644"/>
      <c r="R17" s="644"/>
      <c r="S17" s="644"/>
      <c r="T17" s="646">
        <f t="shared" si="0"/>
        <v>1</v>
      </c>
      <c r="U17" s="646">
        <v>1</v>
      </c>
      <c r="V17" s="729" t="s">
        <v>452</v>
      </c>
      <c r="W17" s="472"/>
      <c r="X17" s="3"/>
      <c r="Y17" s="3"/>
      <c r="Z17" s="3"/>
      <c r="AA17" s="3"/>
    </row>
    <row r="18" spans="1:27" ht="30">
      <c r="A18" s="736"/>
      <c r="B18" s="736"/>
      <c r="C18" s="736"/>
      <c r="D18" s="644">
        <v>13</v>
      </c>
      <c r="E18" s="644" t="s">
        <v>48</v>
      </c>
      <c r="F18" s="644"/>
      <c r="G18" s="644"/>
      <c r="H18" s="644"/>
      <c r="I18" s="644"/>
      <c r="J18" s="644"/>
      <c r="K18" s="644"/>
      <c r="L18" s="644"/>
      <c r="M18" s="644"/>
      <c r="N18" s="644"/>
      <c r="O18" s="644"/>
      <c r="P18" s="654"/>
      <c r="Q18" s="644"/>
      <c r="R18" s="644"/>
      <c r="S18" s="644"/>
      <c r="T18" s="646">
        <f t="shared" si="0"/>
        <v>0</v>
      </c>
      <c r="U18" s="646"/>
      <c r="V18" s="729"/>
      <c r="W18" s="472"/>
      <c r="X18" s="3"/>
      <c r="Y18" s="3"/>
      <c r="Z18" s="3"/>
      <c r="AA18" s="3"/>
    </row>
    <row r="19" spans="1:27" ht="30">
      <c r="A19" s="736"/>
      <c r="B19" s="736"/>
      <c r="C19" s="736"/>
      <c r="D19" s="644">
        <v>14</v>
      </c>
      <c r="E19" s="644" t="s">
        <v>49</v>
      </c>
      <c r="F19" s="644"/>
      <c r="G19" s="644"/>
      <c r="H19" s="644"/>
      <c r="I19" s="644"/>
      <c r="J19" s="644"/>
      <c r="K19" s="644"/>
      <c r="L19" s="644"/>
      <c r="M19" s="644"/>
      <c r="N19" s="644"/>
      <c r="O19" s="644"/>
      <c r="P19" s="644"/>
      <c r="Q19" s="644"/>
      <c r="R19" s="644"/>
      <c r="S19" s="644"/>
      <c r="T19" s="646">
        <f t="shared" si="0"/>
        <v>0</v>
      </c>
      <c r="U19" s="646"/>
      <c r="V19" s="729"/>
      <c r="W19" s="472"/>
      <c r="X19" s="3"/>
      <c r="Y19" s="3"/>
      <c r="Z19" s="3"/>
      <c r="AA19" s="3"/>
    </row>
    <row r="20" spans="1:27" ht="360">
      <c r="A20" s="736"/>
      <c r="B20" s="736"/>
      <c r="C20" s="736"/>
      <c r="D20" s="644">
        <v>15</v>
      </c>
      <c r="E20" s="644" t="s">
        <v>50</v>
      </c>
      <c r="F20" s="644"/>
      <c r="G20" s="644"/>
      <c r="H20" s="644"/>
      <c r="I20" s="654">
        <v>0.3</v>
      </c>
      <c r="J20" s="644"/>
      <c r="K20" s="644"/>
      <c r="L20" s="644"/>
      <c r="M20" s="644"/>
      <c r="N20" s="646">
        <v>0.75</v>
      </c>
      <c r="O20" s="644"/>
      <c r="P20" s="654">
        <v>3</v>
      </c>
      <c r="Q20" s="654"/>
      <c r="R20" s="644"/>
      <c r="S20" s="644"/>
      <c r="T20" s="646">
        <f t="shared" si="0"/>
        <v>4.05</v>
      </c>
      <c r="U20" s="646">
        <f>0.33+1+1+2</f>
        <v>4.33</v>
      </c>
      <c r="V20" s="729" t="s">
        <v>1075</v>
      </c>
      <c r="W20" s="472"/>
      <c r="X20" s="3"/>
      <c r="Y20" s="3"/>
      <c r="Z20" s="3"/>
      <c r="AA20" s="3"/>
    </row>
    <row r="21" spans="1:27" ht="30">
      <c r="A21" s="736"/>
      <c r="B21" s="736"/>
      <c r="C21" s="736"/>
      <c r="D21" s="644">
        <v>16</v>
      </c>
      <c r="E21" s="644" t="s">
        <v>51</v>
      </c>
      <c r="F21" s="644"/>
      <c r="G21" s="644"/>
      <c r="H21" s="644"/>
      <c r="I21" s="644"/>
      <c r="J21" s="644"/>
      <c r="K21" s="644"/>
      <c r="L21" s="644"/>
      <c r="M21" s="644"/>
      <c r="N21" s="644"/>
      <c r="O21" s="644"/>
      <c r="P21" s="644"/>
      <c r="Q21" s="644"/>
      <c r="R21" s="644"/>
      <c r="S21" s="644"/>
      <c r="T21" s="646">
        <f t="shared" si="0"/>
        <v>0</v>
      </c>
      <c r="U21" s="646">
        <v>0</v>
      </c>
      <c r="V21" s="729" t="s">
        <v>1076</v>
      </c>
      <c r="W21" s="472"/>
      <c r="X21" s="3"/>
      <c r="Y21" s="3"/>
      <c r="Z21" s="3"/>
      <c r="AA21" s="3"/>
    </row>
    <row r="22" spans="1:27" ht="90">
      <c r="A22" s="736"/>
      <c r="B22" s="736"/>
      <c r="C22" s="736"/>
      <c r="D22" s="644">
        <v>17</v>
      </c>
      <c r="E22" s="644" t="s">
        <v>52</v>
      </c>
      <c r="F22" s="644"/>
      <c r="G22" s="644"/>
      <c r="H22" s="644"/>
      <c r="I22" s="646"/>
      <c r="J22" s="644"/>
      <c r="K22" s="644"/>
      <c r="L22" s="644"/>
      <c r="M22" s="644"/>
      <c r="N22" s="646"/>
      <c r="O22" s="644"/>
      <c r="P22" s="654">
        <v>0.75</v>
      </c>
      <c r="Q22" s="646">
        <v>3.85</v>
      </c>
      <c r="R22" s="644"/>
      <c r="S22" s="654"/>
      <c r="T22" s="646">
        <f t="shared" si="0"/>
        <v>4.5999999999999996</v>
      </c>
      <c r="U22" s="658">
        <f>T22+0.5</f>
        <v>5.0999999999999996</v>
      </c>
      <c r="V22" s="738" t="s">
        <v>1077</v>
      </c>
      <c r="W22" s="472"/>
      <c r="X22" s="3"/>
      <c r="Y22" s="3"/>
      <c r="Z22" s="3"/>
      <c r="AA22" s="3"/>
    </row>
    <row r="23" spans="1:27" ht="60">
      <c r="A23" s="736"/>
      <c r="B23" s="736"/>
      <c r="C23" s="736"/>
      <c r="D23" s="644">
        <v>18</v>
      </c>
      <c r="E23" s="644" t="s">
        <v>53</v>
      </c>
      <c r="F23" s="644"/>
      <c r="G23" s="644"/>
      <c r="H23" s="644"/>
      <c r="I23" s="644"/>
      <c r="J23" s="644"/>
      <c r="K23" s="644"/>
      <c r="L23" s="644"/>
      <c r="M23" s="644"/>
      <c r="N23" s="644"/>
      <c r="O23" s="644"/>
      <c r="P23" s="654">
        <v>0.92500000000000004</v>
      </c>
      <c r="Q23" s="654"/>
      <c r="R23" s="644"/>
      <c r="S23" s="654"/>
      <c r="T23" s="646">
        <f t="shared" si="0"/>
        <v>0.92500000000000004</v>
      </c>
      <c r="U23" s="646">
        <f>T23</f>
        <v>0.92500000000000004</v>
      </c>
      <c r="V23" s="729" t="s">
        <v>1763</v>
      </c>
      <c r="W23" s="472"/>
      <c r="X23" s="3"/>
      <c r="Y23" s="3"/>
      <c r="Z23" s="3"/>
      <c r="AA23" s="3"/>
    </row>
    <row r="24" spans="1:27">
      <c r="A24" s="736"/>
      <c r="B24" s="699" t="s">
        <v>54</v>
      </c>
      <c r="C24" s="699" t="s">
        <v>55</v>
      </c>
      <c r="D24" s="644">
        <v>19</v>
      </c>
      <c r="E24" s="644" t="s">
        <v>55</v>
      </c>
      <c r="F24" s="644"/>
      <c r="G24" s="644"/>
      <c r="H24" s="644"/>
      <c r="I24" s="644"/>
      <c r="J24" s="644"/>
      <c r="K24" s="644"/>
      <c r="L24" s="644"/>
      <c r="M24" s="644"/>
      <c r="N24" s="644"/>
      <c r="O24" s="644"/>
      <c r="P24" s="644"/>
      <c r="Q24" s="644"/>
      <c r="R24" s="644"/>
      <c r="S24" s="644"/>
      <c r="T24" s="646">
        <f t="shared" si="0"/>
        <v>0</v>
      </c>
      <c r="U24" s="646"/>
      <c r="V24" s="729"/>
      <c r="W24" s="472"/>
      <c r="X24" s="3"/>
      <c r="Y24" s="3"/>
      <c r="Z24" s="3"/>
      <c r="AA24" s="3"/>
    </row>
    <row r="25" spans="1:27" ht="60">
      <c r="A25" s="736"/>
      <c r="B25" s="736"/>
      <c r="C25" s="736"/>
      <c r="D25" s="644">
        <v>20</v>
      </c>
      <c r="E25" s="644" t="s">
        <v>56</v>
      </c>
      <c r="F25" s="644"/>
      <c r="G25" s="644"/>
      <c r="H25" s="644"/>
      <c r="I25" s="644"/>
      <c r="J25" s="644"/>
      <c r="K25" s="644"/>
      <c r="L25" s="644"/>
      <c r="M25" s="644"/>
      <c r="N25" s="644"/>
      <c r="O25" s="644"/>
      <c r="P25" s="644"/>
      <c r="Q25" s="646">
        <v>1.1000000000000001</v>
      </c>
      <c r="R25" s="644"/>
      <c r="S25" s="644"/>
      <c r="T25" s="646">
        <f t="shared" si="0"/>
        <v>1.1000000000000001</v>
      </c>
      <c r="U25" s="646">
        <f>1.1</f>
        <v>1.1000000000000001</v>
      </c>
      <c r="V25" s="738" t="s">
        <v>1078</v>
      </c>
      <c r="W25" s="472"/>
      <c r="X25" s="3"/>
      <c r="Y25" s="3"/>
      <c r="Z25" s="3"/>
      <c r="AA25" s="3"/>
    </row>
    <row r="26" spans="1:27" ht="316.89999999999998" customHeight="1">
      <c r="A26" s="736"/>
      <c r="B26" s="699" t="s">
        <v>58</v>
      </c>
      <c r="C26" s="699" t="s">
        <v>59</v>
      </c>
      <c r="D26" s="741">
        <v>21</v>
      </c>
      <c r="E26" s="741" t="s">
        <v>60</v>
      </c>
      <c r="F26" s="795"/>
      <c r="G26" s="795"/>
      <c r="H26" s="796"/>
      <c r="I26" s="797">
        <v>1.06</v>
      </c>
      <c r="J26" s="795"/>
      <c r="K26" s="797"/>
      <c r="L26" s="795"/>
      <c r="M26" s="795"/>
      <c r="N26" s="797">
        <f>1+0.42+0.175</f>
        <v>1.595</v>
      </c>
      <c r="O26" s="795"/>
      <c r="P26" s="796">
        <f>12.12+1.98</f>
        <v>14.1</v>
      </c>
      <c r="Q26" s="796">
        <v>0.13250000000000001</v>
      </c>
      <c r="R26" s="797">
        <v>0.5</v>
      </c>
      <c r="S26" s="795"/>
      <c r="T26" s="646">
        <f t="shared" si="0"/>
        <v>17.387499999999999</v>
      </c>
      <c r="U26" s="658">
        <f>I26+N26+P26+Q26+R26</f>
        <v>17.387499999999999</v>
      </c>
      <c r="V26" s="744" t="s">
        <v>1079</v>
      </c>
      <c r="W26" s="472"/>
      <c r="X26" s="3"/>
      <c r="Y26" s="3"/>
      <c r="Z26" s="3"/>
      <c r="AA26" s="3"/>
    </row>
    <row r="27" spans="1:27" ht="213" customHeight="1">
      <c r="A27" s="736"/>
      <c r="B27" s="736"/>
      <c r="C27" s="736"/>
      <c r="D27" s="741">
        <v>22</v>
      </c>
      <c r="E27" s="741" t="s">
        <v>62</v>
      </c>
      <c r="F27" s="796"/>
      <c r="G27" s="795"/>
      <c r="H27" s="796"/>
      <c r="I27" s="739">
        <f>441049/100000</f>
        <v>4.4104900000000002</v>
      </c>
      <c r="J27" s="795"/>
      <c r="K27" s="795"/>
      <c r="L27" s="795"/>
      <c r="M27" s="796">
        <v>1</v>
      </c>
      <c r="N27" s="795"/>
      <c r="O27" s="795"/>
      <c r="P27" s="796">
        <f>35.106+1.2</f>
        <v>36.306000000000004</v>
      </c>
      <c r="Q27" s="796">
        <v>1</v>
      </c>
      <c r="R27" s="797"/>
      <c r="S27" s="795"/>
      <c r="T27" s="646">
        <f t="shared" si="0"/>
        <v>42.716490000000007</v>
      </c>
      <c r="U27" s="658">
        <f>M27+P27+Q27</f>
        <v>38.306000000000004</v>
      </c>
      <c r="V27" s="770" t="s">
        <v>1080</v>
      </c>
      <c r="W27" s="472"/>
      <c r="X27" s="3"/>
      <c r="Y27" s="3"/>
      <c r="Z27" s="3"/>
      <c r="AA27" s="3"/>
    </row>
    <row r="28" spans="1:27" ht="165">
      <c r="A28" s="736"/>
      <c r="B28" s="736"/>
      <c r="C28" s="736"/>
      <c r="D28" s="644">
        <v>23</v>
      </c>
      <c r="E28" s="644" t="s">
        <v>64</v>
      </c>
      <c r="F28" s="795"/>
      <c r="G28" s="795"/>
      <c r="H28" s="795"/>
      <c r="I28" s="795"/>
      <c r="J28" s="795"/>
      <c r="K28" s="797"/>
      <c r="L28" s="795"/>
      <c r="M28" s="795"/>
      <c r="N28" s="795">
        <v>0.11</v>
      </c>
      <c r="O28" s="796">
        <v>27.81</v>
      </c>
      <c r="P28" s="795"/>
      <c r="Q28" s="796"/>
      <c r="R28" s="795"/>
      <c r="S28" s="795"/>
      <c r="T28" s="646">
        <f t="shared" si="0"/>
        <v>27.919999999999998</v>
      </c>
      <c r="U28" s="658">
        <f>T28</f>
        <v>27.919999999999998</v>
      </c>
      <c r="V28" s="740" t="s">
        <v>1081</v>
      </c>
      <c r="W28" s="472"/>
      <c r="X28" s="3"/>
      <c r="Y28" s="3"/>
      <c r="Z28" s="3"/>
      <c r="AA28" s="3"/>
    </row>
    <row r="29" spans="1:27" ht="319.14999999999998" customHeight="1">
      <c r="A29" s="736"/>
      <c r="B29" s="736"/>
      <c r="C29" s="736"/>
      <c r="D29" s="644">
        <v>24</v>
      </c>
      <c r="E29" s="741" t="s">
        <v>66</v>
      </c>
      <c r="F29" s="795"/>
      <c r="G29" s="795"/>
      <c r="H29" s="796"/>
      <c r="I29" s="795"/>
      <c r="J29" s="795"/>
      <c r="K29" s="795"/>
      <c r="L29" s="795"/>
      <c r="M29" s="795"/>
      <c r="N29" s="684">
        <f>1+0.688+0.688+0.5+2</f>
        <v>4.8759999999999994</v>
      </c>
      <c r="O29" s="796"/>
      <c r="P29" s="795">
        <v>7.9</v>
      </c>
      <c r="Q29" s="797">
        <v>2</v>
      </c>
      <c r="R29" s="795"/>
      <c r="S29" s="795"/>
      <c r="T29" s="646">
        <f t="shared" si="0"/>
        <v>14.776</v>
      </c>
      <c r="U29" s="652">
        <v>16.776</v>
      </c>
      <c r="V29" s="744" t="s">
        <v>1082</v>
      </c>
      <c r="W29" s="472"/>
      <c r="X29" s="3"/>
      <c r="Y29" s="3"/>
      <c r="Z29" s="3"/>
      <c r="AA29" s="3"/>
    </row>
    <row r="30" spans="1:27" ht="303" customHeight="1">
      <c r="A30" s="736"/>
      <c r="B30" s="736"/>
      <c r="C30" s="736"/>
      <c r="D30" s="644">
        <v>25</v>
      </c>
      <c r="E30" s="741" t="s">
        <v>68</v>
      </c>
      <c r="F30" s="795"/>
      <c r="G30" s="795"/>
      <c r="H30" s="795"/>
      <c r="I30" s="795"/>
      <c r="J30" s="795"/>
      <c r="K30" s="795"/>
      <c r="L30" s="795"/>
      <c r="M30" s="795"/>
      <c r="N30" s="797">
        <f>50000/100000</f>
        <v>0.5</v>
      </c>
      <c r="O30" s="799">
        <v>6.4500000000000002E-2</v>
      </c>
      <c r="P30" s="795">
        <v>0.89600000000000002</v>
      </c>
      <c r="Q30" s="795"/>
      <c r="R30" s="795"/>
      <c r="S30" s="795"/>
      <c r="T30" s="646">
        <f t="shared" si="0"/>
        <v>1.4605000000000001</v>
      </c>
      <c r="U30" s="658">
        <f>T30</f>
        <v>1.4605000000000001</v>
      </c>
      <c r="V30" s="744" t="s">
        <v>977</v>
      </c>
      <c r="W30" s="472"/>
      <c r="X30" s="3"/>
      <c r="Y30" s="3"/>
      <c r="Z30" s="3"/>
      <c r="AA30" s="3"/>
    </row>
    <row r="31" spans="1:27" ht="240">
      <c r="A31" s="736"/>
      <c r="B31" s="736"/>
      <c r="C31" s="736"/>
      <c r="D31" s="644">
        <v>26</v>
      </c>
      <c r="E31" s="741" t="s">
        <v>70</v>
      </c>
      <c r="F31" s="795"/>
      <c r="G31" s="795"/>
      <c r="H31" s="795"/>
      <c r="I31" s="797"/>
      <c r="J31" s="795"/>
      <c r="K31" s="795"/>
      <c r="L31" s="795"/>
      <c r="M31" s="795"/>
      <c r="N31" s="797">
        <v>2.4</v>
      </c>
      <c r="O31" s="795"/>
      <c r="P31" s="795"/>
      <c r="Q31" s="684">
        <v>3.2</v>
      </c>
      <c r="R31" s="685">
        <v>0.2</v>
      </c>
      <c r="S31" s="795"/>
      <c r="T31" s="646">
        <f t="shared" si="0"/>
        <v>5.8</v>
      </c>
      <c r="U31" s="658">
        <f>T31-0.2</f>
        <v>5.6</v>
      </c>
      <c r="V31" s="744" t="s">
        <v>978</v>
      </c>
      <c r="W31" s="472"/>
      <c r="X31" s="3"/>
      <c r="Y31" s="3"/>
      <c r="Z31" s="3"/>
      <c r="AA31" s="3"/>
    </row>
    <row r="32" spans="1:27" ht="165">
      <c r="A32" s="736"/>
      <c r="B32" s="736"/>
      <c r="C32" s="736"/>
      <c r="D32" s="644">
        <v>27</v>
      </c>
      <c r="E32" s="644" t="s">
        <v>72</v>
      </c>
      <c r="F32" s="795"/>
      <c r="G32" s="795"/>
      <c r="H32" s="796"/>
      <c r="I32" s="797"/>
      <c r="J32" s="795"/>
      <c r="K32" s="795"/>
      <c r="L32" s="795"/>
      <c r="M32" s="795"/>
      <c r="N32" s="797">
        <v>1</v>
      </c>
      <c r="O32" s="796"/>
      <c r="P32" s="796">
        <v>1.5</v>
      </c>
      <c r="Q32" s="795"/>
      <c r="R32" s="795"/>
      <c r="S32" s="795"/>
      <c r="T32" s="646">
        <f t="shared" si="0"/>
        <v>2.5</v>
      </c>
      <c r="U32" s="646">
        <f>T32</f>
        <v>2.5</v>
      </c>
      <c r="V32" s="740" t="s">
        <v>1031</v>
      </c>
      <c r="W32" s="472"/>
      <c r="X32" s="3"/>
      <c r="Y32" s="3"/>
      <c r="Z32" s="3"/>
      <c r="AA32" s="3"/>
    </row>
    <row r="33" spans="1:27" ht="60">
      <c r="A33" s="736"/>
      <c r="B33" s="736"/>
      <c r="C33" s="736"/>
      <c r="D33" s="644">
        <v>28</v>
      </c>
      <c r="E33" s="644" t="s">
        <v>34</v>
      </c>
      <c r="F33" s="795"/>
      <c r="G33" s="795"/>
      <c r="H33" s="795"/>
      <c r="I33" s="795"/>
      <c r="J33" s="795"/>
      <c r="K33" s="797">
        <v>1.204</v>
      </c>
      <c r="L33" s="795"/>
      <c r="M33" s="797">
        <v>1.204</v>
      </c>
      <c r="N33" s="795"/>
      <c r="O33" s="795"/>
      <c r="P33" s="795"/>
      <c r="Q33" s="795"/>
      <c r="R33" s="795"/>
      <c r="S33" s="795"/>
      <c r="T33" s="646">
        <f t="shared" si="0"/>
        <v>2.4079999999999999</v>
      </c>
      <c r="U33" s="646">
        <f>2.41</f>
        <v>2.41</v>
      </c>
      <c r="V33" s="729" t="s">
        <v>1764</v>
      </c>
      <c r="W33" s="472"/>
      <c r="X33" s="3"/>
      <c r="Y33" s="3"/>
      <c r="Z33" s="3"/>
      <c r="AA33" s="3"/>
    </row>
    <row r="34" spans="1:27" ht="45">
      <c r="A34" s="736"/>
      <c r="B34" s="736"/>
      <c r="C34" s="736"/>
      <c r="D34" s="644">
        <v>29</v>
      </c>
      <c r="E34" s="644" t="s">
        <v>36</v>
      </c>
      <c r="F34" s="795"/>
      <c r="G34" s="795"/>
      <c r="H34" s="795"/>
      <c r="I34" s="795"/>
      <c r="J34" s="795"/>
      <c r="K34" s="795"/>
      <c r="L34" s="795"/>
      <c r="M34" s="795"/>
      <c r="N34" s="795"/>
      <c r="O34" s="795"/>
      <c r="P34" s="797">
        <v>3.01</v>
      </c>
      <c r="Q34" s="795"/>
      <c r="R34" s="795"/>
      <c r="S34" s="795"/>
      <c r="T34" s="646">
        <f t="shared" si="0"/>
        <v>3.01</v>
      </c>
      <c r="U34" s="646">
        <f t="shared" ref="U34:U35" si="2">T34</f>
        <v>3.01</v>
      </c>
      <c r="V34" s="729" t="s">
        <v>1765</v>
      </c>
      <c r="W34" s="472"/>
      <c r="X34" s="3"/>
      <c r="Y34" s="3"/>
      <c r="Z34" s="3"/>
      <c r="AA34" s="3"/>
    </row>
    <row r="35" spans="1:27" ht="105">
      <c r="A35" s="736"/>
      <c r="B35" s="736"/>
      <c r="C35" s="736"/>
      <c r="D35" s="644">
        <v>30</v>
      </c>
      <c r="E35" s="741" t="s">
        <v>74</v>
      </c>
      <c r="F35" s="795"/>
      <c r="G35" s="795"/>
      <c r="H35" s="795"/>
      <c r="I35" s="797"/>
      <c r="J35" s="795"/>
      <c r="K35" s="795"/>
      <c r="L35" s="795"/>
      <c r="M35" s="795"/>
      <c r="N35" s="795"/>
      <c r="O35" s="795"/>
      <c r="P35" s="795"/>
      <c r="Q35" s="797">
        <v>3.3</v>
      </c>
      <c r="R35" s="685">
        <v>1.75</v>
      </c>
      <c r="S35" s="795"/>
      <c r="T35" s="646">
        <f t="shared" si="0"/>
        <v>5.05</v>
      </c>
      <c r="U35" s="646">
        <f t="shared" si="2"/>
        <v>5.05</v>
      </c>
      <c r="V35" s="746" t="s">
        <v>1083</v>
      </c>
      <c r="W35" s="472"/>
      <c r="X35" s="3"/>
      <c r="Y35" s="3"/>
      <c r="Z35" s="3"/>
      <c r="AA35" s="3"/>
    </row>
    <row r="36" spans="1:27" ht="30">
      <c r="A36" s="736"/>
      <c r="B36" s="736"/>
      <c r="C36" s="736"/>
      <c r="D36" s="644">
        <v>31</v>
      </c>
      <c r="E36" s="644" t="s">
        <v>53</v>
      </c>
      <c r="F36" s="795"/>
      <c r="G36" s="795"/>
      <c r="H36" s="795"/>
      <c r="I36" s="795"/>
      <c r="J36" s="795"/>
      <c r="K36" s="795"/>
      <c r="L36" s="795"/>
      <c r="M36" s="795"/>
      <c r="N36" s="795"/>
      <c r="O36" s="795"/>
      <c r="P36" s="795"/>
      <c r="Q36" s="795"/>
      <c r="R36" s="795"/>
      <c r="S36" s="795"/>
      <c r="T36" s="646">
        <f t="shared" si="0"/>
        <v>0</v>
      </c>
      <c r="U36" s="646"/>
      <c r="V36" s="729"/>
      <c r="W36" s="472"/>
      <c r="X36" s="3"/>
      <c r="Y36" s="3"/>
      <c r="Z36" s="3"/>
      <c r="AA36" s="3"/>
    </row>
    <row r="37" spans="1:27" ht="120">
      <c r="A37" s="736"/>
      <c r="B37" s="699" t="s">
        <v>76</v>
      </c>
      <c r="C37" s="699" t="s">
        <v>77</v>
      </c>
      <c r="D37" s="644">
        <v>32</v>
      </c>
      <c r="E37" s="644" t="s">
        <v>78</v>
      </c>
      <c r="F37" s="644"/>
      <c r="G37" s="644"/>
      <c r="H37" s="644"/>
      <c r="I37" s="646"/>
      <c r="J37" s="644"/>
      <c r="K37" s="644"/>
      <c r="L37" s="644"/>
      <c r="M37" s="646"/>
      <c r="N37" s="646">
        <v>3.5920000000000001</v>
      </c>
      <c r="O37" s="654">
        <v>54.334449999999997</v>
      </c>
      <c r="P37" s="654">
        <v>9.81</v>
      </c>
      <c r="Q37" s="646">
        <v>1.155</v>
      </c>
      <c r="R37" s="654">
        <v>4.13</v>
      </c>
      <c r="S37" s="644">
        <v>2.5</v>
      </c>
      <c r="T37" s="646">
        <f t="shared" si="0"/>
        <v>75.521449999999987</v>
      </c>
      <c r="U37" s="646">
        <f>T37-1.22</f>
        <v>74.301449999999988</v>
      </c>
      <c r="V37" s="746" t="s">
        <v>1084</v>
      </c>
      <c r="W37" s="472"/>
      <c r="X37" s="3"/>
      <c r="Y37" s="3"/>
      <c r="Z37" s="3"/>
      <c r="AA37" s="3"/>
    </row>
    <row r="38" spans="1:27">
      <c r="A38" s="736"/>
      <c r="B38" s="736"/>
      <c r="C38" s="736"/>
      <c r="D38" s="644">
        <v>33</v>
      </c>
      <c r="E38" s="644" t="s">
        <v>80</v>
      </c>
      <c r="F38" s="644"/>
      <c r="G38" s="644"/>
      <c r="H38" s="644"/>
      <c r="I38" s="644"/>
      <c r="J38" s="644"/>
      <c r="K38" s="644"/>
      <c r="L38" s="644"/>
      <c r="M38" s="644"/>
      <c r="N38" s="644"/>
      <c r="O38" s="795"/>
      <c r="P38" s="644"/>
      <c r="Q38" s="644"/>
      <c r="R38" s="644"/>
      <c r="S38" s="644"/>
      <c r="T38" s="646">
        <f t="shared" si="0"/>
        <v>0</v>
      </c>
      <c r="U38" s="646">
        <v>0</v>
      </c>
      <c r="V38" s="729"/>
      <c r="W38" s="472"/>
      <c r="X38" s="3"/>
      <c r="Y38" s="3"/>
      <c r="Z38" s="3"/>
      <c r="AA38" s="3"/>
    </row>
    <row r="39" spans="1:27">
      <c r="A39" s="736"/>
      <c r="B39" s="736"/>
      <c r="C39" s="736"/>
      <c r="D39" s="644">
        <v>34</v>
      </c>
      <c r="E39" s="644" t="s">
        <v>81</v>
      </c>
      <c r="F39" s="644"/>
      <c r="G39" s="644"/>
      <c r="H39" s="644"/>
      <c r="I39" s="644"/>
      <c r="J39" s="644"/>
      <c r="K39" s="644"/>
      <c r="L39" s="644"/>
      <c r="M39" s="644"/>
      <c r="N39" s="646"/>
      <c r="O39" s="644"/>
      <c r="P39" s="654"/>
      <c r="Q39" s="644"/>
      <c r="R39" s="644"/>
      <c r="S39" s="644"/>
      <c r="T39" s="646">
        <f t="shared" si="0"/>
        <v>0</v>
      </c>
      <c r="U39" s="646"/>
      <c r="V39" s="729"/>
      <c r="W39" s="472"/>
      <c r="X39" s="3"/>
      <c r="Y39" s="3"/>
      <c r="Z39" s="3"/>
      <c r="AA39" s="3"/>
    </row>
    <row r="40" spans="1:27" ht="315">
      <c r="A40" s="736"/>
      <c r="B40" s="699" t="s">
        <v>82</v>
      </c>
      <c r="C40" s="699" t="s">
        <v>83</v>
      </c>
      <c r="D40" s="644">
        <v>35</v>
      </c>
      <c r="E40" s="741" t="s">
        <v>84</v>
      </c>
      <c r="F40" s="682"/>
      <c r="G40" s="682"/>
      <c r="H40" s="682"/>
      <c r="I40" s="686"/>
      <c r="J40" s="682"/>
      <c r="K40" s="682"/>
      <c r="L40" s="682"/>
      <c r="M40" s="682"/>
      <c r="N40" s="686">
        <v>1.2</v>
      </c>
      <c r="O40" s="682"/>
      <c r="P40" s="683">
        <f>1.08+3.46+0.27+0.1</f>
        <v>4.91</v>
      </c>
      <c r="Q40" s="683">
        <v>0.25</v>
      </c>
      <c r="R40" s="682"/>
      <c r="S40" s="682"/>
      <c r="T40" s="646">
        <f t="shared" si="0"/>
        <v>6.36</v>
      </c>
      <c r="U40" s="646">
        <v>6.36</v>
      </c>
      <c r="V40" s="746" t="s">
        <v>1766</v>
      </c>
      <c r="W40" s="472"/>
      <c r="X40" s="3"/>
      <c r="Y40" s="3"/>
      <c r="Z40" s="3"/>
      <c r="AA40" s="3"/>
    </row>
    <row r="41" spans="1:27" ht="30">
      <c r="A41" s="736"/>
      <c r="B41" s="736"/>
      <c r="C41" s="736"/>
      <c r="D41" s="644">
        <v>36</v>
      </c>
      <c r="E41" s="741" t="s">
        <v>85</v>
      </c>
      <c r="F41" s="682"/>
      <c r="G41" s="682"/>
      <c r="H41" s="682"/>
      <c r="I41" s="682"/>
      <c r="J41" s="682"/>
      <c r="K41" s="686"/>
      <c r="L41" s="682"/>
      <c r="M41" s="682"/>
      <c r="N41" s="686">
        <v>0.35</v>
      </c>
      <c r="O41" s="682"/>
      <c r="P41" s="682"/>
      <c r="Q41" s="682"/>
      <c r="R41" s="682"/>
      <c r="S41" s="682"/>
      <c r="T41" s="646">
        <f t="shared" si="0"/>
        <v>0.35</v>
      </c>
      <c r="U41" s="646">
        <v>0.35</v>
      </c>
      <c r="V41" s="746" t="s">
        <v>1085</v>
      </c>
      <c r="W41" s="472"/>
      <c r="X41" s="3"/>
      <c r="Y41" s="3"/>
      <c r="Z41" s="3"/>
      <c r="AA41" s="3"/>
    </row>
    <row r="42" spans="1:27" ht="30">
      <c r="A42" s="736"/>
      <c r="B42" s="736"/>
      <c r="C42" s="736"/>
      <c r="D42" s="644">
        <v>37</v>
      </c>
      <c r="E42" s="644" t="s">
        <v>86</v>
      </c>
      <c r="F42" s="682"/>
      <c r="G42" s="682"/>
      <c r="H42" s="682"/>
      <c r="I42" s="682"/>
      <c r="J42" s="682"/>
      <c r="K42" s="686"/>
      <c r="L42" s="682"/>
      <c r="M42" s="682"/>
      <c r="N42" s="682"/>
      <c r="O42" s="682"/>
      <c r="P42" s="682"/>
      <c r="Q42" s="682"/>
      <c r="R42" s="682"/>
      <c r="S42" s="682"/>
      <c r="T42" s="646">
        <f t="shared" si="0"/>
        <v>0</v>
      </c>
      <c r="U42" s="646">
        <f>T42*1.05</f>
        <v>0</v>
      </c>
      <c r="V42" s="746"/>
      <c r="W42" s="472"/>
      <c r="X42" s="3"/>
      <c r="Y42" s="3"/>
      <c r="Z42" s="3"/>
      <c r="AA42" s="3"/>
    </row>
    <row r="43" spans="1:27" ht="300">
      <c r="A43" s="736"/>
      <c r="B43" s="736"/>
      <c r="C43" s="736"/>
      <c r="D43" s="644">
        <v>38</v>
      </c>
      <c r="E43" s="741" t="s">
        <v>87</v>
      </c>
      <c r="F43" s="682"/>
      <c r="G43" s="682"/>
      <c r="H43" s="682"/>
      <c r="I43" s="682"/>
      <c r="J43" s="682"/>
      <c r="K43" s="682"/>
      <c r="L43" s="682"/>
      <c r="M43" s="682"/>
      <c r="N43" s="686">
        <v>10.5</v>
      </c>
      <c r="O43" s="683">
        <v>0.28999999999999998</v>
      </c>
      <c r="P43" s="683">
        <v>16.2</v>
      </c>
      <c r="Q43" s="683">
        <v>2.1</v>
      </c>
      <c r="R43" s="682"/>
      <c r="S43" s="682"/>
      <c r="T43" s="646">
        <f t="shared" si="0"/>
        <v>29.09</v>
      </c>
      <c r="U43" s="646">
        <v>29.09</v>
      </c>
      <c r="V43" s="746" t="s">
        <v>1767</v>
      </c>
      <c r="W43" s="472"/>
      <c r="X43" s="3"/>
      <c r="Y43" s="3"/>
      <c r="Z43" s="3"/>
      <c r="AA43" s="3"/>
    </row>
    <row r="44" spans="1:27" ht="90">
      <c r="A44" s="736"/>
      <c r="B44" s="736"/>
      <c r="C44" s="736"/>
      <c r="D44" s="644">
        <v>39</v>
      </c>
      <c r="E44" s="644" t="s">
        <v>88</v>
      </c>
      <c r="F44" s="682"/>
      <c r="G44" s="682"/>
      <c r="H44" s="682"/>
      <c r="I44" s="682"/>
      <c r="J44" s="682"/>
      <c r="K44" s="682"/>
      <c r="L44" s="682"/>
      <c r="M44" s="682"/>
      <c r="N44" s="682">
        <v>1</v>
      </c>
      <c r="O44" s="682"/>
      <c r="P44" s="683">
        <v>0.4</v>
      </c>
      <c r="Q44" s="683"/>
      <c r="R44" s="682"/>
      <c r="S44" s="682"/>
      <c r="T44" s="646">
        <f t="shared" si="0"/>
        <v>1.4</v>
      </c>
      <c r="U44" s="646">
        <v>1.4</v>
      </c>
      <c r="V44" s="746" t="s">
        <v>401</v>
      </c>
      <c r="W44" s="472"/>
      <c r="X44" s="3"/>
      <c r="Y44" s="3"/>
      <c r="Z44" s="3"/>
      <c r="AA44" s="3"/>
    </row>
    <row r="45" spans="1:27" ht="195">
      <c r="A45" s="736"/>
      <c r="B45" s="736"/>
      <c r="C45" s="736"/>
      <c r="D45" s="644">
        <v>40</v>
      </c>
      <c r="E45" s="741" t="s">
        <v>89</v>
      </c>
      <c r="F45" s="682"/>
      <c r="G45" s="682"/>
      <c r="H45" s="682"/>
      <c r="I45" s="682"/>
      <c r="J45" s="682"/>
      <c r="K45" s="682"/>
      <c r="L45" s="682"/>
      <c r="M45" s="682"/>
      <c r="N45" s="658">
        <v>0.10920000000000001</v>
      </c>
      <c r="O45" s="682"/>
      <c r="P45" s="683"/>
      <c r="Q45" s="686">
        <f>0.5+2.5</f>
        <v>3</v>
      </c>
      <c r="R45" s="683"/>
      <c r="S45" s="682"/>
      <c r="T45" s="646">
        <f t="shared" si="0"/>
        <v>3.1092</v>
      </c>
      <c r="U45" s="646">
        <v>3.11</v>
      </c>
      <c r="V45" s="746" t="s">
        <v>1768</v>
      </c>
      <c r="W45" s="472"/>
      <c r="X45" s="3"/>
      <c r="Y45" s="3"/>
      <c r="Z45" s="3"/>
      <c r="AA45" s="3"/>
    </row>
    <row r="46" spans="1:27" ht="30">
      <c r="A46" s="736"/>
      <c r="B46" s="736"/>
      <c r="C46" s="736"/>
      <c r="D46" s="644">
        <v>41</v>
      </c>
      <c r="E46" s="644" t="s">
        <v>53</v>
      </c>
      <c r="F46" s="682"/>
      <c r="G46" s="682"/>
      <c r="H46" s="682"/>
      <c r="I46" s="682"/>
      <c r="J46" s="682"/>
      <c r="K46" s="682"/>
      <c r="L46" s="682"/>
      <c r="M46" s="682"/>
      <c r="N46" s="682"/>
      <c r="O46" s="682"/>
      <c r="P46" s="682"/>
      <c r="Q46" s="682"/>
      <c r="R46" s="682"/>
      <c r="S46" s="682"/>
      <c r="T46" s="646">
        <f t="shared" si="0"/>
        <v>0</v>
      </c>
      <c r="U46" s="646">
        <f>T46*1.05</f>
        <v>0</v>
      </c>
      <c r="V46" s="746"/>
      <c r="W46" s="472"/>
      <c r="X46" s="3"/>
      <c r="Y46" s="3"/>
      <c r="Z46" s="3"/>
      <c r="AA46" s="3"/>
    </row>
    <row r="47" spans="1:27" ht="75">
      <c r="A47" s="736"/>
      <c r="B47" s="699" t="s">
        <v>90</v>
      </c>
      <c r="C47" s="699" t="s">
        <v>91</v>
      </c>
      <c r="D47" s="644">
        <v>42</v>
      </c>
      <c r="E47" s="644" t="s">
        <v>92</v>
      </c>
      <c r="F47" s="654">
        <v>2.0419999999999998</v>
      </c>
      <c r="G47" s="644"/>
      <c r="H47" s="644"/>
      <c r="I47" s="646"/>
      <c r="J47" s="644"/>
      <c r="K47" s="644"/>
      <c r="L47" s="644"/>
      <c r="M47" s="644"/>
      <c r="N47" s="686">
        <v>1.1000000000000001</v>
      </c>
      <c r="O47" s="644"/>
      <c r="P47" s="654"/>
      <c r="Q47" s="644"/>
      <c r="R47" s="644"/>
      <c r="S47" s="644"/>
      <c r="T47" s="646">
        <f t="shared" si="0"/>
        <v>3.1419999999999999</v>
      </c>
      <c r="U47" s="646">
        <f t="shared" ref="U47:U50" si="3">T47</f>
        <v>3.1419999999999999</v>
      </c>
      <c r="V47" s="729" t="s">
        <v>1769</v>
      </c>
      <c r="W47" s="472"/>
      <c r="X47" s="3"/>
      <c r="Y47" s="3"/>
      <c r="Z47" s="3"/>
      <c r="AA47" s="3"/>
    </row>
    <row r="48" spans="1:27" ht="75">
      <c r="A48" s="736"/>
      <c r="B48" s="736"/>
      <c r="C48" s="736"/>
      <c r="D48" s="644">
        <v>43</v>
      </c>
      <c r="E48" s="644" t="s">
        <v>93</v>
      </c>
      <c r="F48" s="654">
        <v>0.56100000000000005</v>
      </c>
      <c r="G48" s="644"/>
      <c r="H48" s="644"/>
      <c r="I48" s="646"/>
      <c r="J48" s="644"/>
      <c r="K48" s="644"/>
      <c r="L48" s="644"/>
      <c r="M48" s="644"/>
      <c r="N48" s="686">
        <v>0.34499999999999997</v>
      </c>
      <c r="O48" s="644"/>
      <c r="P48" s="654"/>
      <c r="Q48" s="644"/>
      <c r="R48" s="644"/>
      <c r="S48" s="644"/>
      <c r="T48" s="646">
        <f t="shared" si="0"/>
        <v>0.90600000000000003</v>
      </c>
      <c r="U48" s="646">
        <f t="shared" si="3"/>
        <v>0.90600000000000003</v>
      </c>
      <c r="V48" s="729" t="s">
        <v>1086</v>
      </c>
      <c r="W48" s="472"/>
      <c r="X48" s="3"/>
      <c r="Y48" s="3"/>
      <c r="Z48" s="3"/>
      <c r="AA48" s="3"/>
    </row>
    <row r="49" spans="1:27" ht="180">
      <c r="A49" s="736"/>
      <c r="B49" s="736"/>
      <c r="C49" s="736"/>
      <c r="D49" s="644">
        <v>44</v>
      </c>
      <c r="E49" s="644" t="s">
        <v>95</v>
      </c>
      <c r="F49" s="654">
        <v>0.42320000000000002</v>
      </c>
      <c r="G49" s="644"/>
      <c r="H49" s="644"/>
      <c r="I49" s="646"/>
      <c r="J49" s="644"/>
      <c r="K49" s="644"/>
      <c r="L49" s="644"/>
      <c r="M49" s="644"/>
      <c r="N49" s="748">
        <v>0.375</v>
      </c>
      <c r="O49" s="654">
        <v>5.5E-2</v>
      </c>
      <c r="P49" s="654"/>
      <c r="Q49" s="644"/>
      <c r="R49" s="644"/>
      <c r="S49" s="644"/>
      <c r="T49" s="646">
        <f t="shared" si="0"/>
        <v>0.85320000000000007</v>
      </c>
      <c r="U49" s="646">
        <f t="shared" si="3"/>
        <v>0.85320000000000007</v>
      </c>
      <c r="V49" s="729" t="s">
        <v>1770</v>
      </c>
      <c r="W49" s="472"/>
      <c r="X49" s="3"/>
      <c r="Y49" s="3"/>
      <c r="Z49" s="3"/>
      <c r="AA49" s="3"/>
    </row>
    <row r="50" spans="1:27" ht="45">
      <c r="A50" s="736"/>
      <c r="B50" s="736"/>
      <c r="C50" s="736"/>
      <c r="D50" s="644">
        <v>45</v>
      </c>
      <c r="E50" s="644" t="s">
        <v>96</v>
      </c>
      <c r="F50" s="654">
        <v>0.22</v>
      </c>
      <c r="G50" s="644"/>
      <c r="H50" s="644"/>
      <c r="I50" s="644"/>
      <c r="J50" s="644"/>
      <c r="K50" s="644"/>
      <c r="L50" s="644"/>
      <c r="M50" s="644"/>
      <c r="N50" s="646"/>
      <c r="O50" s="654">
        <v>0.22</v>
      </c>
      <c r="P50" s="644"/>
      <c r="Q50" s="644"/>
      <c r="R50" s="644"/>
      <c r="S50" s="644"/>
      <c r="T50" s="646">
        <f t="shared" si="0"/>
        <v>0.44</v>
      </c>
      <c r="U50" s="646">
        <f t="shared" si="3"/>
        <v>0.44</v>
      </c>
      <c r="V50" s="729" t="s">
        <v>1087</v>
      </c>
      <c r="W50" s="472"/>
      <c r="X50" s="3"/>
      <c r="Y50" s="3"/>
      <c r="Z50" s="3"/>
      <c r="AA50" s="3"/>
    </row>
    <row r="51" spans="1:27" ht="30">
      <c r="A51" s="736"/>
      <c r="B51" s="736"/>
      <c r="C51" s="736"/>
      <c r="D51" s="644">
        <v>46</v>
      </c>
      <c r="E51" s="644" t="s">
        <v>98</v>
      </c>
      <c r="F51" s="644"/>
      <c r="G51" s="644"/>
      <c r="H51" s="644"/>
      <c r="I51" s="644"/>
      <c r="J51" s="644"/>
      <c r="K51" s="644"/>
      <c r="L51" s="644"/>
      <c r="M51" s="644"/>
      <c r="N51" s="644"/>
      <c r="O51" s="644"/>
      <c r="P51" s="644"/>
      <c r="Q51" s="644"/>
      <c r="R51" s="644"/>
      <c r="S51" s="644"/>
      <c r="T51" s="646">
        <f t="shared" si="0"/>
        <v>0</v>
      </c>
      <c r="U51" s="646"/>
      <c r="V51" s="729"/>
      <c r="W51" s="472"/>
      <c r="X51" s="3"/>
      <c r="Y51" s="3"/>
      <c r="Z51" s="3"/>
      <c r="AA51" s="3"/>
    </row>
    <row r="52" spans="1:27" ht="30">
      <c r="A52" s="736"/>
      <c r="B52" s="736"/>
      <c r="C52" s="736"/>
      <c r="D52" s="644">
        <v>47</v>
      </c>
      <c r="E52" s="644" t="s">
        <v>99</v>
      </c>
      <c r="F52" s="654">
        <v>0.6</v>
      </c>
      <c r="G52" s="644"/>
      <c r="H52" s="644">
        <v>0</v>
      </c>
      <c r="I52" s="644"/>
      <c r="J52" s="644"/>
      <c r="K52" s="644"/>
      <c r="L52" s="644"/>
      <c r="M52" s="644"/>
      <c r="N52" s="644"/>
      <c r="O52" s="644"/>
      <c r="P52" s="644"/>
      <c r="Q52" s="644"/>
      <c r="R52" s="644"/>
      <c r="S52" s="644"/>
      <c r="T52" s="646">
        <f t="shared" si="0"/>
        <v>0.6</v>
      </c>
      <c r="U52" s="646">
        <f t="shared" ref="U52:U55" si="4">T52</f>
        <v>0.6</v>
      </c>
      <c r="V52" s="729" t="s">
        <v>1088</v>
      </c>
      <c r="W52" s="472"/>
      <c r="X52" s="3"/>
      <c r="Y52" s="3"/>
      <c r="Z52" s="3"/>
      <c r="AA52" s="3"/>
    </row>
    <row r="53" spans="1:27" ht="30">
      <c r="A53" s="736"/>
      <c r="B53" s="736"/>
      <c r="C53" s="736"/>
      <c r="D53" s="644">
        <v>48</v>
      </c>
      <c r="E53" s="644" t="s">
        <v>101</v>
      </c>
      <c r="F53" s="644"/>
      <c r="G53" s="644"/>
      <c r="H53" s="644"/>
      <c r="I53" s="644"/>
      <c r="J53" s="644"/>
      <c r="K53" s="644"/>
      <c r="L53" s="644"/>
      <c r="M53" s="644"/>
      <c r="N53" s="646">
        <v>0.28899999999999998</v>
      </c>
      <c r="O53" s="644"/>
      <c r="P53" s="654"/>
      <c r="Q53" s="644"/>
      <c r="R53" s="644"/>
      <c r="S53" s="644"/>
      <c r="T53" s="646">
        <f t="shared" si="0"/>
        <v>0.28899999999999998</v>
      </c>
      <c r="U53" s="646">
        <f t="shared" si="4"/>
        <v>0.28899999999999998</v>
      </c>
      <c r="V53" s="729" t="s">
        <v>102</v>
      </c>
      <c r="W53" s="472"/>
      <c r="X53" s="3"/>
      <c r="Y53" s="3"/>
      <c r="Z53" s="3"/>
      <c r="AA53" s="3"/>
    </row>
    <row r="54" spans="1:27" ht="75">
      <c r="A54" s="736"/>
      <c r="B54" s="736"/>
      <c r="C54" s="736"/>
      <c r="D54" s="644">
        <v>49</v>
      </c>
      <c r="E54" s="644" t="s">
        <v>103</v>
      </c>
      <c r="F54" s="644"/>
      <c r="G54" s="644"/>
      <c r="H54" s="644"/>
      <c r="I54" s="644"/>
      <c r="J54" s="644"/>
      <c r="K54" s="644"/>
      <c r="L54" s="644"/>
      <c r="M54" s="644"/>
      <c r="N54" s="644"/>
      <c r="O54" s="644"/>
      <c r="P54" s="644"/>
      <c r="Q54" s="646">
        <v>2.06</v>
      </c>
      <c r="R54" s="654">
        <v>1</v>
      </c>
      <c r="S54" s="644"/>
      <c r="T54" s="646">
        <f t="shared" si="0"/>
        <v>3.06</v>
      </c>
      <c r="U54" s="646">
        <f t="shared" si="4"/>
        <v>3.06</v>
      </c>
      <c r="V54" s="744" t="s">
        <v>1089</v>
      </c>
      <c r="W54" s="472"/>
      <c r="X54" s="3"/>
      <c r="Y54" s="3"/>
      <c r="Z54" s="3"/>
      <c r="AA54" s="3"/>
    </row>
    <row r="55" spans="1:27" ht="120">
      <c r="A55" s="736"/>
      <c r="B55" s="736"/>
      <c r="C55" s="736"/>
      <c r="D55" s="644">
        <v>50</v>
      </c>
      <c r="E55" s="644" t="s">
        <v>105</v>
      </c>
      <c r="F55" s="644"/>
      <c r="G55" s="644"/>
      <c r="H55" s="644"/>
      <c r="I55" s="646"/>
      <c r="J55" s="644"/>
      <c r="K55" s="644">
        <v>0.21</v>
      </c>
      <c r="L55" s="644"/>
      <c r="M55" s="644"/>
      <c r="N55" s="646"/>
      <c r="O55" s="644"/>
      <c r="P55" s="654"/>
      <c r="Q55" s="646">
        <v>1.5</v>
      </c>
      <c r="R55" s="654">
        <v>0.04</v>
      </c>
      <c r="S55" s="644"/>
      <c r="T55" s="646">
        <f t="shared" si="0"/>
        <v>1.75</v>
      </c>
      <c r="U55" s="646">
        <f t="shared" si="4"/>
        <v>1.75</v>
      </c>
      <c r="V55" s="738" t="s">
        <v>1090</v>
      </c>
      <c r="W55" s="472"/>
      <c r="X55" s="3"/>
      <c r="Y55" s="3"/>
      <c r="Z55" s="3"/>
      <c r="AA55" s="3"/>
    </row>
    <row r="56" spans="1:27" ht="30">
      <c r="A56" s="736"/>
      <c r="B56" s="736"/>
      <c r="C56" s="736"/>
      <c r="D56" s="644">
        <v>51</v>
      </c>
      <c r="E56" s="644" t="s">
        <v>53</v>
      </c>
      <c r="F56" s="644"/>
      <c r="G56" s="644"/>
      <c r="H56" s="644"/>
      <c r="I56" s="644"/>
      <c r="J56" s="644"/>
      <c r="K56" s="644"/>
      <c r="L56" s="644"/>
      <c r="M56" s="644"/>
      <c r="N56" s="654"/>
      <c r="O56" s="644"/>
      <c r="P56" s="644"/>
      <c r="Q56" s="644"/>
      <c r="R56" s="644"/>
      <c r="S56" s="644"/>
      <c r="T56" s="646">
        <f t="shared" si="0"/>
        <v>0</v>
      </c>
      <c r="U56" s="646"/>
      <c r="V56" s="729"/>
      <c r="W56" s="472"/>
      <c r="X56" s="3"/>
      <c r="Y56" s="3"/>
      <c r="Z56" s="3"/>
      <c r="AA56" s="3"/>
    </row>
    <row r="57" spans="1:27" ht="229.15" customHeight="1">
      <c r="A57" s="736"/>
      <c r="B57" s="699" t="s">
        <v>107</v>
      </c>
      <c r="C57" s="699" t="s">
        <v>108</v>
      </c>
      <c r="D57" s="644">
        <v>52</v>
      </c>
      <c r="E57" s="741" t="s">
        <v>109</v>
      </c>
      <c r="F57" s="795"/>
      <c r="G57" s="795"/>
      <c r="H57" s="795"/>
      <c r="I57" s="797"/>
      <c r="J57" s="795"/>
      <c r="K57" s="797"/>
      <c r="L57" s="795"/>
      <c r="M57" s="795"/>
      <c r="N57" s="797">
        <v>2</v>
      </c>
      <c r="O57" s="796">
        <v>16.686</v>
      </c>
      <c r="P57" s="795"/>
      <c r="Q57" s="795"/>
      <c r="R57" s="795"/>
      <c r="S57" s="795"/>
      <c r="T57" s="646">
        <f t="shared" si="0"/>
        <v>18.686</v>
      </c>
      <c r="U57" s="658">
        <f>N57+O57</f>
        <v>18.686</v>
      </c>
      <c r="V57" s="746" t="s">
        <v>1091</v>
      </c>
      <c r="W57" s="472"/>
      <c r="X57" s="3"/>
      <c r="Y57" s="3"/>
      <c r="Z57" s="3"/>
      <c r="AA57" s="3"/>
    </row>
    <row r="58" spans="1:27" ht="180">
      <c r="A58" s="736"/>
      <c r="B58" s="736"/>
      <c r="C58" s="736"/>
      <c r="D58" s="644">
        <v>53</v>
      </c>
      <c r="E58" s="644" t="s">
        <v>111</v>
      </c>
      <c r="F58" s="795"/>
      <c r="G58" s="795"/>
      <c r="H58" s="795"/>
      <c r="I58" s="795"/>
      <c r="J58" s="795"/>
      <c r="K58" s="797"/>
      <c r="L58" s="795"/>
      <c r="M58" s="795"/>
      <c r="N58" s="797">
        <v>3.31</v>
      </c>
      <c r="O58" s="796">
        <v>1.8540000000000001</v>
      </c>
      <c r="P58" s="795"/>
      <c r="Q58" s="796">
        <v>3</v>
      </c>
      <c r="R58" s="795"/>
      <c r="S58" s="795"/>
      <c r="T58" s="646">
        <f t="shared" si="0"/>
        <v>8.1639999999999997</v>
      </c>
      <c r="U58" s="658">
        <f>T58</f>
        <v>8.1639999999999997</v>
      </c>
      <c r="V58" s="740" t="s">
        <v>1092</v>
      </c>
      <c r="W58" s="472"/>
      <c r="X58" s="3"/>
      <c r="Y58" s="3"/>
      <c r="Z58" s="3"/>
      <c r="AA58" s="3"/>
    </row>
    <row r="59" spans="1:27" ht="45">
      <c r="A59" s="736"/>
      <c r="B59" s="736"/>
      <c r="C59" s="736"/>
      <c r="D59" s="644">
        <v>54</v>
      </c>
      <c r="E59" s="644" t="s">
        <v>113</v>
      </c>
      <c r="F59" s="795"/>
      <c r="G59" s="795"/>
      <c r="H59" s="796"/>
      <c r="I59" s="795"/>
      <c r="J59" s="795"/>
      <c r="K59" s="795"/>
      <c r="L59" s="795"/>
      <c r="M59" s="795"/>
      <c r="N59" s="795"/>
      <c r="O59" s="796"/>
      <c r="P59" s="796"/>
      <c r="Q59" s="795"/>
      <c r="R59" s="795"/>
      <c r="S59" s="795"/>
      <c r="T59" s="646">
        <f t="shared" si="0"/>
        <v>0</v>
      </c>
      <c r="U59" s="646"/>
      <c r="V59" s="740"/>
      <c r="W59" s="472"/>
      <c r="X59" s="3"/>
      <c r="Y59" s="3"/>
      <c r="Z59" s="3"/>
      <c r="AA59" s="3"/>
    </row>
    <row r="60" spans="1:27" ht="30">
      <c r="A60" s="736"/>
      <c r="B60" s="736"/>
      <c r="C60" s="736"/>
      <c r="D60" s="644">
        <v>55</v>
      </c>
      <c r="E60" s="644" t="s">
        <v>114</v>
      </c>
      <c r="F60" s="795"/>
      <c r="G60" s="795"/>
      <c r="H60" s="795"/>
      <c r="I60" s="795"/>
      <c r="J60" s="795"/>
      <c r="K60" s="797"/>
      <c r="L60" s="795"/>
      <c r="M60" s="795"/>
      <c r="N60" s="795"/>
      <c r="O60" s="795"/>
      <c r="P60" s="795"/>
      <c r="Q60" s="795"/>
      <c r="R60" s="795"/>
      <c r="S60" s="795"/>
      <c r="T60" s="646">
        <f t="shared" si="0"/>
        <v>0</v>
      </c>
      <c r="U60" s="646"/>
      <c r="V60" s="744"/>
      <c r="W60" s="472"/>
      <c r="X60" s="3"/>
      <c r="Y60" s="3"/>
      <c r="Z60" s="3"/>
      <c r="AA60" s="3"/>
    </row>
    <row r="61" spans="1:27" ht="90">
      <c r="A61" s="736"/>
      <c r="B61" s="736"/>
      <c r="C61" s="736"/>
      <c r="D61" s="644">
        <v>56</v>
      </c>
      <c r="E61" s="644" t="s">
        <v>115</v>
      </c>
      <c r="F61" s="795"/>
      <c r="G61" s="795"/>
      <c r="H61" s="795"/>
      <c r="I61" s="795"/>
      <c r="J61" s="795"/>
      <c r="K61" s="795"/>
      <c r="L61" s="795"/>
      <c r="M61" s="795"/>
      <c r="N61" s="795"/>
      <c r="O61" s="796">
        <v>3.71</v>
      </c>
      <c r="P61" s="795"/>
      <c r="Q61" s="795">
        <v>0.5</v>
      </c>
      <c r="R61" s="795"/>
      <c r="S61" s="795"/>
      <c r="T61" s="646">
        <f t="shared" si="0"/>
        <v>4.21</v>
      </c>
      <c r="U61" s="646">
        <f>T61</f>
        <v>4.21</v>
      </c>
      <c r="V61" s="746" t="s">
        <v>1093</v>
      </c>
      <c r="W61" s="472"/>
      <c r="X61" s="3"/>
      <c r="Y61" s="3"/>
      <c r="Z61" s="3"/>
      <c r="AA61" s="3"/>
    </row>
    <row r="62" spans="1:27" ht="49.15" customHeight="1">
      <c r="A62" s="736"/>
      <c r="B62" s="736"/>
      <c r="C62" s="736"/>
      <c r="D62" s="644">
        <v>57</v>
      </c>
      <c r="E62" s="741" t="s">
        <v>116</v>
      </c>
      <c r="F62" s="795"/>
      <c r="G62" s="795"/>
      <c r="H62" s="796"/>
      <c r="I62" s="795"/>
      <c r="J62" s="795"/>
      <c r="K62" s="795"/>
      <c r="L62" s="795"/>
      <c r="M62" s="797">
        <v>2.1</v>
      </c>
      <c r="N62" s="795"/>
      <c r="O62" s="795"/>
      <c r="P62" s="795"/>
      <c r="Q62" s="795"/>
      <c r="R62" s="795"/>
      <c r="S62" s="795"/>
      <c r="T62" s="646">
        <f t="shared" si="0"/>
        <v>2.1</v>
      </c>
      <c r="U62" s="646">
        <f>M62</f>
        <v>2.1</v>
      </c>
      <c r="V62" s="740" t="s">
        <v>1094</v>
      </c>
      <c r="W62" s="472"/>
      <c r="X62" s="3"/>
      <c r="Y62" s="3"/>
      <c r="Z62" s="3"/>
      <c r="AA62" s="3"/>
    </row>
    <row r="63" spans="1:27" ht="90">
      <c r="A63" s="736"/>
      <c r="B63" s="736"/>
      <c r="C63" s="736"/>
      <c r="D63" s="644">
        <v>58</v>
      </c>
      <c r="E63" s="644" t="s">
        <v>117</v>
      </c>
      <c r="F63" s="795"/>
      <c r="G63" s="795"/>
      <c r="H63" s="795"/>
      <c r="I63" s="795"/>
      <c r="J63" s="795"/>
      <c r="K63" s="797"/>
      <c r="L63" s="795"/>
      <c r="M63" s="795"/>
      <c r="N63" s="795"/>
      <c r="O63" s="800">
        <v>0.92700000000000005</v>
      </c>
      <c r="P63" s="795"/>
      <c r="Q63" s="796">
        <v>0.75</v>
      </c>
      <c r="R63" s="795"/>
      <c r="S63" s="795"/>
      <c r="T63" s="646">
        <f t="shared" si="0"/>
        <v>1.677</v>
      </c>
      <c r="U63" s="646">
        <f>T63</f>
        <v>1.677</v>
      </c>
      <c r="V63" s="740" t="s">
        <v>1095</v>
      </c>
      <c r="W63" s="472"/>
      <c r="X63" s="3"/>
      <c r="Y63" s="3"/>
      <c r="Z63" s="3"/>
      <c r="AA63" s="3"/>
    </row>
    <row r="64" spans="1:27">
      <c r="A64" s="736"/>
      <c r="B64" s="736"/>
      <c r="C64" s="736"/>
      <c r="D64" s="644">
        <v>59</v>
      </c>
      <c r="E64" s="644" t="s">
        <v>119</v>
      </c>
      <c r="F64" s="795"/>
      <c r="G64" s="795"/>
      <c r="H64" s="795"/>
      <c r="I64" s="795"/>
      <c r="J64" s="795"/>
      <c r="K64" s="795"/>
      <c r="L64" s="795"/>
      <c r="M64" s="795"/>
      <c r="N64" s="795"/>
      <c r="O64" s="795"/>
      <c r="P64" s="795"/>
      <c r="Q64" s="795"/>
      <c r="R64" s="795"/>
      <c r="S64" s="795"/>
      <c r="T64" s="646">
        <f t="shared" si="0"/>
        <v>0</v>
      </c>
      <c r="U64" s="646"/>
      <c r="V64" s="729"/>
      <c r="W64" s="472"/>
      <c r="X64" s="3"/>
      <c r="Y64" s="3"/>
      <c r="Z64" s="3"/>
      <c r="AA64" s="3"/>
    </row>
    <row r="65" spans="1:27" ht="30">
      <c r="A65" s="736"/>
      <c r="B65" s="736"/>
      <c r="C65" s="736"/>
      <c r="D65" s="644">
        <v>60</v>
      </c>
      <c r="E65" s="644" t="s">
        <v>120</v>
      </c>
      <c r="F65" s="795"/>
      <c r="G65" s="795"/>
      <c r="H65" s="795"/>
      <c r="I65" s="795"/>
      <c r="J65" s="795"/>
      <c r="K65" s="795"/>
      <c r="L65" s="795"/>
      <c r="M65" s="795"/>
      <c r="N65" s="795"/>
      <c r="O65" s="795"/>
      <c r="P65" s="795"/>
      <c r="Q65" s="795"/>
      <c r="R65" s="795"/>
      <c r="S65" s="795"/>
      <c r="T65" s="646">
        <f t="shared" si="0"/>
        <v>0</v>
      </c>
      <c r="U65" s="646"/>
      <c r="V65" s="729"/>
      <c r="W65" s="472"/>
      <c r="X65" s="3"/>
      <c r="Y65" s="3"/>
      <c r="Z65" s="3"/>
      <c r="AA65" s="3"/>
    </row>
    <row r="66" spans="1:27" ht="30">
      <c r="A66" s="736"/>
      <c r="B66" s="736"/>
      <c r="C66" s="736"/>
      <c r="D66" s="644">
        <v>61</v>
      </c>
      <c r="E66" s="644" t="s">
        <v>53</v>
      </c>
      <c r="F66" s="795"/>
      <c r="G66" s="795"/>
      <c r="H66" s="795"/>
      <c r="I66" s="795"/>
      <c r="J66" s="795"/>
      <c r="K66" s="795"/>
      <c r="L66" s="795"/>
      <c r="M66" s="795"/>
      <c r="N66" s="795"/>
      <c r="O66" s="795"/>
      <c r="P66" s="795"/>
      <c r="Q66" s="795"/>
      <c r="R66" s="795"/>
      <c r="S66" s="795"/>
      <c r="T66" s="646">
        <f t="shared" si="0"/>
        <v>0</v>
      </c>
      <c r="U66" s="646"/>
      <c r="V66" s="729"/>
      <c r="W66" s="472"/>
      <c r="X66" s="3"/>
      <c r="Y66" s="3"/>
      <c r="Z66" s="3"/>
      <c r="AA66" s="3"/>
    </row>
    <row r="67" spans="1:27" ht="44.45" customHeight="1">
      <c r="A67" s="736"/>
      <c r="B67" s="644" t="s">
        <v>121</v>
      </c>
      <c r="C67" s="644" t="s">
        <v>122</v>
      </c>
      <c r="D67" s="644">
        <v>62</v>
      </c>
      <c r="E67" s="644" t="s">
        <v>123</v>
      </c>
      <c r="F67" s="644"/>
      <c r="G67" s="644"/>
      <c r="H67" s="644"/>
      <c r="I67" s="644"/>
      <c r="J67" s="644"/>
      <c r="K67" s="644"/>
      <c r="L67" s="644"/>
      <c r="M67" s="646"/>
      <c r="N67" s="644"/>
      <c r="O67" s="654">
        <v>0.5</v>
      </c>
      <c r="P67" s="654"/>
      <c r="Q67" s="646"/>
      <c r="R67" s="644"/>
      <c r="S67" s="654"/>
      <c r="T67" s="646">
        <f t="shared" si="0"/>
        <v>0.5</v>
      </c>
      <c r="U67" s="646">
        <f>T67</f>
        <v>0.5</v>
      </c>
      <c r="V67" s="749" t="s">
        <v>540</v>
      </c>
      <c r="W67" s="472"/>
      <c r="X67" s="3"/>
      <c r="Y67" s="3"/>
      <c r="Z67" s="3"/>
      <c r="AA67" s="3"/>
    </row>
    <row r="68" spans="1:27">
      <c r="A68" s="736"/>
      <c r="B68" s="701" t="s">
        <v>125</v>
      </c>
      <c r="C68" s="736"/>
      <c r="D68" s="736"/>
      <c r="E68" s="660"/>
      <c r="F68" s="660">
        <f t="shared" ref="F68:S68" si="5">SUM(F6:F67)</f>
        <v>31.6462</v>
      </c>
      <c r="G68" s="660">
        <f t="shared" si="5"/>
        <v>0</v>
      </c>
      <c r="H68" s="660">
        <f t="shared" si="5"/>
        <v>0</v>
      </c>
      <c r="I68" s="660">
        <f t="shared" si="5"/>
        <v>5.7904900000000001</v>
      </c>
      <c r="J68" s="660">
        <f t="shared" si="5"/>
        <v>0</v>
      </c>
      <c r="K68" s="660">
        <f t="shared" si="5"/>
        <v>32.094000000000001</v>
      </c>
      <c r="L68" s="660">
        <f t="shared" si="5"/>
        <v>0</v>
      </c>
      <c r="M68" s="660">
        <f t="shared" si="5"/>
        <v>12.324</v>
      </c>
      <c r="N68" s="660">
        <f t="shared" si="5"/>
        <v>37.22120000000001</v>
      </c>
      <c r="O68" s="660">
        <f t="shared" si="5"/>
        <v>130.31094999999999</v>
      </c>
      <c r="P68" s="660">
        <f t="shared" si="5"/>
        <v>139.38052000000002</v>
      </c>
      <c r="Q68" s="660">
        <f t="shared" si="5"/>
        <v>30.047500000000003</v>
      </c>
      <c r="R68" s="660">
        <f t="shared" si="5"/>
        <v>8.9899999999999984</v>
      </c>
      <c r="S68" s="660">
        <f t="shared" si="5"/>
        <v>2.5</v>
      </c>
      <c r="T68" s="660">
        <f t="shared" si="0"/>
        <v>430.30486000000008</v>
      </c>
      <c r="U68" s="660">
        <f>SUM(U6:U67)</f>
        <v>427.23716999999999</v>
      </c>
      <c r="V68" s="813"/>
      <c r="W68" s="472"/>
      <c r="X68" s="3"/>
      <c r="Y68" s="3"/>
      <c r="Z68" s="3"/>
      <c r="AA68" s="3"/>
    </row>
    <row r="69" spans="1:27" ht="120">
      <c r="A69" s="700" t="s">
        <v>126</v>
      </c>
      <c r="B69" s="644" t="s">
        <v>127</v>
      </c>
      <c r="C69" s="644" t="s">
        <v>128</v>
      </c>
      <c r="D69" s="644">
        <v>63</v>
      </c>
      <c r="E69" s="644" t="s">
        <v>129</v>
      </c>
      <c r="F69" s="644"/>
      <c r="G69" s="644"/>
      <c r="H69" s="644"/>
      <c r="I69" s="644"/>
      <c r="J69" s="644"/>
      <c r="K69" s="644"/>
      <c r="L69" s="644"/>
      <c r="M69" s="654"/>
      <c r="N69" s="646">
        <v>6.25</v>
      </c>
      <c r="O69" s="644"/>
      <c r="P69" s="646"/>
      <c r="Q69" s="661">
        <v>1</v>
      </c>
      <c r="R69" s="654">
        <v>3.75</v>
      </c>
      <c r="S69" s="654">
        <v>1.5</v>
      </c>
      <c r="T69" s="646">
        <f t="shared" si="0"/>
        <v>12.5</v>
      </c>
      <c r="U69" s="646">
        <f t="shared" ref="U69:U74" si="6">T69</f>
        <v>12.5</v>
      </c>
      <c r="V69" s="749" t="s">
        <v>1096</v>
      </c>
      <c r="W69" s="472"/>
      <c r="X69" s="3"/>
      <c r="Y69" s="3"/>
      <c r="Z69" s="3"/>
      <c r="AA69" s="3"/>
    </row>
    <row r="70" spans="1:27" ht="105">
      <c r="A70" s="736"/>
      <c r="B70" s="699" t="s">
        <v>131</v>
      </c>
      <c r="C70" s="699" t="s">
        <v>132</v>
      </c>
      <c r="D70" s="644">
        <v>64</v>
      </c>
      <c r="E70" s="644" t="s">
        <v>133</v>
      </c>
      <c r="F70" s="521"/>
      <c r="G70" s="779"/>
      <c r="H70" s="521"/>
      <c r="I70" s="661">
        <v>5.59</v>
      </c>
      <c r="J70" s="521"/>
      <c r="K70" s="661"/>
      <c r="L70" s="521"/>
      <c r="M70" s="521"/>
      <c r="N70" s="661">
        <v>1.3</v>
      </c>
      <c r="O70" s="662"/>
      <c r="P70" s="661">
        <v>1.88</v>
      </c>
      <c r="Q70" s="661">
        <v>0.6</v>
      </c>
      <c r="R70" s="662">
        <v>2.1</v>
      </c>
      <c r="S70" s="662"/>
      <c r="T70" s="646">
        <f t="shared" si="0"/>
        <v>11.469999999999999</v>
      </c>
      <c r="U70" s="646">
        <f t="shared" si="6"/>
        <v>11.469999999999999</v>
      </c>
      <c r="V70" s="729" t="s">
        <v>1097</v>
      </c>
      <c r="W70" s="472"/>
      <c r="X70" s="3"/>
      <c r="Y70" s="3"/>
      <c r="Z70" s="3"/>
      <c r="AA70" s="3"/>
    </row>
    <row r="71" spans="1:27" ht="45">
      <c r="A71" s="736"/>
      <c r="B71" s="736"/>
      <c r="C71" s="736"/>
      <c r="D71" s="644">
        <v>65</v>
      </c>
      <c r="E71" s="644" t="s">
        <v>135</v>
      </c>
      <c r="F71" s="521"/>
      <c r="G71" s="521"/>
      <c r="H71" s="521"/>
      <c r="I71" s="521"/>
      <c r="J71" s="521"/>
      <c r="K71" s="521"/>
      <c r="L71" s="521"/>
      <c r="M71" s="521"/>
      <c r="N71" s="661"/>
      <c r="O71" s="521"/>
      <c r="P71" s="662">
        <v>0.45</v>
      </c>
      <c r="Q71" s="521"/>
      <c r="R71" s="521"/>
      <c r="S71" s="662"/>
      <c r="T71" s="646">
        <f t="shared" si="0"/>
        <v>0.45</v>
      </c>
      <c r="U71" s="646">
        <f t="shared" si="6"/>
        <v>0.45</v>
      </c>
      <c r="V71" s="738" t="s">
        <v>136</v>
      </c>
      <c r="W71" s="472"/>
      <c r="X71" s="3"/>
      <c r="Y71" s="3"/>
      <c r="Z71" s="3"/>
      <c r="AA71" s="3"/>
    </row>
    <row r="72" spans="1:27" ht="75">
      <c r="A72" s="736"/>
      <c r="B72" s="736"/>
      <c r="C72" s="736"/>
      <c r="D72" s="644">
        <v>66</v>
      </c>
      <c r="E72" s="644" t="s">
        <v>137</v>
      </c>
      <c r="F72" s="521"/>
      <c r="G72" s="521"/>
      <c r="H72" s="521"/>
      <c r="I72" s="521"/>
      <c r="J72" s="521"/>
      <c r="K72" s="661"/>
      <c r="L72" s="521"/>
      <c r="M72" s="521"/>
      <c r="N72" s="661">
        <v>0.2</v>
      </c>
      <c r="O72" s="521"/>
      <c r="P72" s="662">
        <v>0.09</v>
      </c>
      <c r="Q72" s="661">
        <v>0.05</v>
      </c>
      <c r="R72" s="804">
        <v>0.15</v>
      </c>
      <c r="S72" s="521"/>
      <c r="T72" s="646">
        <f t="shared" si="0"/>
        <v>0.49</v>
      </c>
      <c r="U72" s="646">
        <f t="shared" si="6"/>
        <v>0.49</v>
      </c>
      <c r="V72" s="729" t="s">
        <v>545</v>
      </c>
      <c r="W72" s="472"/>
      <c r="X72" s="3"/>
      <c r="Y72" s="3"/>
      <c r="Z72" s="3"/>
      <c r="AA72" s="3"/>
    </row>
    <row r="73" spans="1:27" ht="90">
      <c r="A73" s="736"/>
      <c r="B73" s="736"/>
      <c r="C73" s="736"/>
      <c r="D73" s="644">
        <v>67</v>
      </c>
      <c r="E73" s="644" t="s">
        <v>139</v>
      </c>
      <c r="F73" s="521"/>
      <c r="G73" s="521"/>
      <c r="H73" s="521"/>
      <c r="I73" s="521"/>
      <c r="J73" s="521"/>
      <c r="K73" s="661"/>
      <c r="L73" s="521"/>
      <c r="M73" s="521"/>
      <c r="N73" s="661">
        <v>0.4</v>
      </c>
      <c r="O73" s="521">
        <v>0.88</v>
      </c>
      <c r="P73" s="662">
        <v>31.81</v>
      </c>
      <c r="Q73" s="661">
        <v>0.5</v>
      </c>
      <c r="R73" s="662">
        <v>3.5</v>
      </c>
      <c r="S73" s="662">
        <v>3</v>
      </c>
      <c r="T73" s="646">
        <f t="shared" si="0"/>
        <v>40.089999999999996</v>
      </c>
      <c r="U73" s="646">
        <f t="shared" si="6"/>
        <v>40.089999999999996</v>
      </c>
      <c r="V73" s="729" t="s">
        <v>1098</v>
      </c>
      <c r="W73" s="472"/>
      <c r="X73" s="3"/>
      <c r="Y73" s="3"/>
      <c r="Z73" s="3"/>
      <c r="AA73" s="3"/>
    </row>
    <row r="74" spans="1:27" ht="90">
      <c r="A74" s="736"/>
      <c r="B74" s="736"/>
      <c r="C74" s="736"/>
      <c r="D74" s="644">
        <v>68</v>
      </c>
      <c r="E74" s="644" t="s">
        <v>141</v>
      </c>
      <c r="F74" s="662"/>
      <c r="G74" s="521"/>
      <c r="H74" s="521"/>
      <c r="I74" s="661"/>
      <c r="J74" s="521"/>
      <c r="K74" s="661"/>
      <c r="L74" s="521"/>
      <c r="M74" s="521"/>
      <c r="N74" s="661">
        <v>0.4</v>
      </c>
      <c r="O74" s="662"/>
      <c r="P74" s="662">
        <v>3.33</v>
      </c>
      <c r="Q74" s="661">
        <v>3.25</v>
      </c>
      <c r="R74" s="662">
        <v>2</v>
      </c>
      <c r="S74" s="662">
        <v>0.6</v>
      </c>
      <c r="T74" s="646">
        <f t="shared" si="0"/>
        <v>9.58</v>
      </c>
      <c r="U74" s="646">
        <f t="shared" si="6"/>
        <v>9.58</v>
      </c>
      <c r="V74" s="729" t="s">
        <v>1099</v>
      </c>
      <c r="W74" s="472"/>
      <c r="X74" s="3"/>
      <c r="Y74" s="3"/>
      <c r="Z74" s="3"/>
      <c r="AA74" s="3"/>
    </row>
    <row r="75" spans="1:27" ht="360">
      <c r="A75" s="736"/>
      <c r="B75" s="699" t="s">
        <v>143</v>
      </c>
      <c r="C75" s="699" t="s">
        <v>144</v>
      </c>
      <c r="D75" s="644">
        <v>69</v>
      </c>
      <c r="E75" s="644" t="s">
        <v>145</v>
      </c>
      <c r="F75" s="663"/>
      <c r="G75" s="663"/>
      <c r="H75" s="663"/>
      <c r="I75" s="663"/>
      <c r="J75" s="663"/>
      <c r="K75" s="663"/>
      <c r="L75" s="663"/>
      <c r="M75" s="664">
        <v>0.68</v>
      </c>
      <c r="N75" s="663"/>
      <c r="O75" s="664">
        <v>34.64</v>
      </c>
      <c r="P75" s="814">
        <v>0.6</v>
      </c>
      <c r="Q75" s="663"/>
      <c r="R75" s="663"/>
      <c r="S75" s="663"/>
      <c r="T75" s="646">
        <f t="shared" si="0"/>
        <v>35.92</v>
      </c>
      <c r="U75" s="658">
        <v>35.92</v>
      </c>
      <c r="V75" s="749" t="s">
        <v>1100</v>
      </c>
      <c r="W75" s="132"/>
      <c r="X75" s="3"/>
      <c r="Y75" s="3"/>
      <c r="Z75" s="3"/>
      <c r="AA75" s="3"/>
    </row>
    <row r="76" spans="1:27" ht="180">
      <c r="A76" s="736"/>
      <c r="B76" s="736"/>
      <c r="C76" s="736"/>
      <c r="D76" s="644">
        <v>70</v>
      </c>
      <c r="E76" s="644" t="s">
        <v>147</v>
      </c>
      <c r="F76" s="663"/>
      <c r="G76" s="663"/>
      <c r="H76" s="663"/>
      <c r="I76" s="664">
        <v>0.26</v>
      </c>
      <c r="J76" s="663"/>
      <c r="K76" s="663"/>
      <c r="L76" s="663"/>
      <c r="M76" s="663"/>
      <c r="N76" s="663"/>
      <c r="O76" s="663"/>
      <c r="P76" s="664">
        <v>1.1000000000000001</v>
      </c>
      <c r="Q76" s="663"/>
      <c r="R76" s="663"/>
      <c r="S76" s="663"/>
      <c r="T76" s="646">
        <f t="shared" si="0"/>
        <v>1.36</v>
      </c>
      <c r="U76" s="658">
        <v>1.36</v>
      </c>
      <c r="V76" s="749" t="s">
        <v>1101</v>
      </c>
      <c r="W76" s="132"/>
      <c r="X76" s="3"/>
      <c r="Y76" s="3"/>
      <c r="Z76" s="3"/>
      <c r="AA76" s="3"/>
    </row>
    <row r="77" spans="1:27">
      <c r="A77" s="736"/>
      <c r="B77" s="736"/>
      <c r="C77" s="736"/>
      <c r="D77" s="644">
        <v>71</v>
      </c>
      <c r="E77" s="644" t="s">
        <v>149</v>
      </c>
      <c r="F77" s="663"/>
      <c r="G77" s="663"/>
      <c r="H77" s="663"/>
      <c r="I77" s="663"/>
      <c r="J77" s="663"/>
      <c r="K77" s="663"/>
      <c r="L77" s="663"/>
      <c r="M77" s="663"/>
      <c r="N77" s="663"/>
      <c r="O77" s="663"/>
      <c r="P77" s="663"/>
      <c r="Q77" s="663"/>
      <c r="R77" s="663"/>
      <c r="S77" s="663"/>
      <c r="T77" s="646">
        <f t="shared" si="0"/>
        <v>0</v>
      </c>
      <c r="U77" s="666">
        <v>0</v>
      </c>
      <c r="V77" s="482"/>
      <c r="W77" s="132"/>
      <c r="X77" s="3"/>
      <c r="Y77" s="3"/>
      <c r="Z77" s="3"/>
      <c r="AA77" s="3"/>
    </row>
    <row r="78" spans="1:27" ht="330">
      <c r="A78" s="736"/>
      <c r="B78" s="736"/>
      <c r="C78" s="736"/>
      <c r="D78" s="644">
        <v>72</v>
      </c>
      <c r="E78" s="644" t="s">
        <v>150</v>
      </c>
      <c r="F78" s="663"/>
      <c r="G78" s="663"/>
      <c r="H78" s="663"/>
      <c r="I78" s="663"/>
      <c r="J78" s="663"/>
      <c r="K78" s="663"/>
      <c r="L78" s="663"/>
      <c r="M78" s="663"/>
      <c r="N78" s="664">
        <v>2.7170000000000001</v>
      </c>
      <c r="O78" s="663"/>
      <c r="P78" s="663"/>
      <c r="Q78" s="664">
        <v>1.8951</v>
      </c>
      <c r="R78" s="664">
        <v>2.6177000000000001</v>
      </c>
      <c r="S78" s="663"/>
      <c r="T78" s="646">
        <f t="shared" si="0"/>
        <v>7.2298</v>
      </c>
      <c r="U78" s="658">
        <v>7.2298</v>
      </c>
      <c r="V78" s="749" t="s">
        <v>1102</v>
      </c>
      <c r="W78" s="132"/>
      <c r="X78" s="3"/>
      <c r="Y78" s="3"/>
      <c r="Z78" s="3"/>
      <c r="AA78" s="3"/>
    </row>
    <row r="79" spans="1:27" ht="409.5">
      <c r="A79" s="736"/>
      <c r="B79" s="699" t="s">
        <v>152</v>
      </c>
      <c r="C79" s="699" t="s">
        <v>153</v>
      </c>
      <c r="D79" s="644">
        <v>73</v>
      </c>
      <c r="E79" s="644" t="s">
        <v>154</v>
      </c>
      <c r="F79" s="815">
        <v>1.66</v>
      </c>
      <c r="G79" s="815">
        <v>3</v>
      </c>
      <c r="H79" s="815"/>
      <c r="I79" s="815">
        <v>8.4</v>
      </c>
      <c r="J79" s="739"/>
      <c r="K79" s="815"/>
      <c r="L79" s="739">
        <v>3.5</v>
      </c>
      <c r="M79" s="815">
        <v>9</v>
      </c>
      <c r="N79" s="815">
        <v>5</v>
      </c>
      <c r="O79" s="815"/>
      <c r="P79" s="815">
        <v>3</v>
      </c>
      <c r="Q79" s="815"/>
      <c r="R79" s="739">
        <v>12.1</v>
      </c>
      <c r="S79" s="815">
        <v>0.5</v>
      </c>
      <c r="T79" s="646">
        <f t="shared" si="0"/>
        <v>46.160000000000004</v>
      </c>
      <c r="U79" s="646">
        <v>39.700000000000003</v>
      </c>
      <c r="V79" s="744" t="s">
        <v>1103</v>
      </c>
      <c r="W79" s="471"/>
      <c r="X79" s="3"/>
      <c r="Y79" s="3"/>
      <c r="Z79" s="3"/>
      <c r="AA79" s="3"/>
    </row>
    <row r="80" spans="1:27" ht="120">
      <c r="A80" s="736"/>
      <c r="B80" s="736"/>
      <c r="C80" s="736"/>
      <c r="D80" s="644">
        <v>74</v>
      </c>
      <c r="E80" s="644" t="s">
        <v>155</v>
      </c>
      <c r="F80" s="815">
        <v>39</v>
      </c>
      <c r="G80" s="815"/>
      <c r="H80" s="739"/>
      <c r="I80" s="739"/>
      <c r="J80" s="739"/>
      <c r="K80" s="739"/>
      <c r="L80" s="739"/>
      <c r="M80" s="739"/>
      <c r="N80" s="739"/>
      <c r="O80" s="739"/>
      <c r="P80" s="739"/>
      <c r="Q80" s="739"/>
      <c r="R80" s="739"/>
      <c r="S80" s="739"/>
      <c r="T80" s="646">
        <f t="shared" si="0"/>
        <v>39</v>
      </c>
      <c r="U80" s="646">
        <v>32.4</v>
      </c>
      <c r="V80" s="744" t="s">
        <v>1104</v>
      </c>
      <c r="W80" s="471"/>
      <c r="X80" s="3"/>
      <c r="Y80" s="3"/>
      <c r="Z80" s="3"/>
      <c r="AA80" s="3"/>
    </row>
    <row r="81" spans="1:27" ht="180">
      <c r="A81" s="736"/>
      <c r="B81" s="736"/>
      <c r="C81" s="736"/>
      <c r="D81" s="644">
        <v>75</v>
      </c>
      <c r="E81" s="644" t="s">
        <v>157</v>
      </c>
      <c r="F81" s="815">
        <v>0.92</v>
      </c>
      <c r="G81" s="815"/>
      <c r="H81" s="739"/>
      <c r="I81" s="739"/>
      <c r="J81" s="739"/>
      <c r="K81" s="739"/>
      <c r="L81" s="739"/>
      <c r="M81" s="739"/>
      <c r="N81" s="739"/>
      <c r="O81" s="739"/>
      <c r="P81" s="739">
        <v>2.5</v>
      </c>
      <c r="Q81" s="815"/>
      <c r="R81" s="739"/>
      <c r="S81" s="739"/>
      <c r="T81" s="646">
        <f t="shared" si="0"/>
        <v>3.42</v>
      </c>
      <c r="U81" s="646">
        <v>5.0999999999999996</v>
      </c>
      <c r="V81" s="744" t="s">
        <v>1105</v>
      </c>
      <c r="W81" s="471"/>
      <c r="X81" s="3"/>
      <c r="Y81" s="3"/>
      <c r="Z81" s="3"/>
      <c r="AA81" s="3"/>
    </row>
    <row r="82" spans="1:27" ht="90">
      <c r="A82" s="736"/>
      <c r="B82" s="736"/>
      <c r="C82" s="736"/>
      <c r="D82" s="644">
        <v>76</v>
      </c>
      <c r="E82" s="644" t="s">
        <v>159</v>
      </c>
      <c r="F82" s="739"/>
      <c r="G82" s="739"/>
      <c r="H82" s="739"/>
      <c r="I82" s="739"/>
      <c r="J82" s="739"/>
      <c r="K82" s="815"/>
      <c r="L82" s="739"/>
      <c r="M82" s="815">
        <v>4.5</v>
      </c>
      <c r="N82" s="739"/>
      <c r="O82" s="739"/>
      <c r="P82" s="739"/>
      <c r="Q82" s="739"/>
      <c r="R82" s="739"/>
      <c r="S82" s="739"/>
      <c r="T82" s="646">
        <f t="shared" si="0"/>
        <v>4.5</v>
      </c>
      <c r="U82" s="646">
        <v>1.7</v>
      </c>
      <c r="V82" s="744" t="s">
        <v>1106</v>
      </c>
      <c r="W82" s="471"/>
      <c r="X82" s="3"/>
      <c r="Y82" s="3"/>
      <c r="Z82" s="3"/>
      <c r="AA82" s="3"/>
    </row>
    <row r="83" spans="1:27" ht="409.5">
      <c r="A83" s="736"/>
      <c r="B83" s="736"/>
      <c r="C83" s="736"/>
      <c r="D83" s="644">
        <v>77</v>
      </c>
      <c r="E83" s="644" t="s">
        <v>161</v>
      </c>
      <c r="F83" s="815">
        <v>1.2</v>
      </c>
      <c r="G83" s="815">
        <v>1.5</v>
      </c>
      <c r="H83" s="815"/>
      <c r="I83" s="815">
        <v>2</v>
      </c>
      <c r="J83" s="739"/>
      <c r="K83" s="815"/>
      <c r="L83" s="739">
        <v>5</v>
      </c>
      <c r="M83" s="815"/>
      <c r="N83" s="815">
        <v>0.4</v>
      </c>
      <c r="O83" s="739"/>
      <c r="P83" s="739"/>
      <c r="Q83" s="739"/>
      <c r="R83" s="739"/>
      <c r="S83" s="739">
        <v>1</v>
      </c>
      <c r="T83" s="646">
        <f t="shared" si="0"/>
        <v>11.1</v>
      </c>
      <c r="U83" s="646">
        <v>8.4</v>
      </c>
      <c r="V83" s="744" t="s">
        <v>1107</v>
      </c>
      <c r="W83" s="471"/>
      <c r="X83" s="3"/>
      <c r="Y83" s="3"/>
      <c r="Z83" s="3"/>
      <c r="AA83" s="3"/>
    </row>
    <row r="84" spans="1:27" ht="165">
      <c r="A84" s="736"/>
      <c r="B84" s="736"/>
      <c r="C84" s="736"/>
      <c r="D84" s="644">
        <v>78</v>
      </c>
      <c r="E84" s="644" t="s">
        <v>163</v>
      </c>
      <c r="F84" s="739"/>
      <c r="G84" s="739"/>
      <c r="H84" s="739"/>
      <c r="I84" s="739"/>
      <c r="J84" s="739"/>
      <c r="K84" s="739"/>
      <c r="L84" s="739"/>
      <c r="M84" s="739"/>
      <c r="N84" s="739"/>
      <c r="O84" s="739"/>
      <c r="P84" s="739"/>
      <c r="Q84" s="739">
        <v>10</v>
      </c>
      <c r="R84" s="815"/>
      <c r="S84" s="739"/>
      <c r="T84" s="646">
        <f t="shared" si="0"/>
        <v>10</v>
      </c>
      <c r="U84" s="646">
        <v>10</v>
      </c>
      <c r="V84" s="744" t="s">
        <v>1108</v>
      </c>
      <c r="W84" s="471"/>
      <c r="X84" s="3"/>
      <c r="Y84" s="3"/>
      <c r="Z84" s="3"/>
      <c r="AA84" s="3"/>
    </row>
    <row r="85" spans="1:27" ht="30">
      <c r="A85" s="736"/>
      <c r="B85" s="736"/>
      <c r="C85" s="736"/>
      <c r="D85" s="644">
        <v>79</v>
      </c>
      <c r="E85" s="644" t="s">
        <v>53</v>
      </c>
      <c r="F85" s="739"/>
      <c r="G85" s="739"/>
      <c r="H85" s="739"/>
      <c r="I85" s="739"/>
      <c r="J85" s="739"/>
      <c r="K85" s="739"/>
      <c r="L85" s="739"/>
      <c r="M85" s="739"/>
      <c r="N85" s="739"/>
      <c r="O85" s="739"/>
      <c r="P85" s="739"/>
      <c r="Q85" s="739"/>
      <c r="R85" s="739"/>
      <c r="S85" s="739"/>
      <c r="T85" s="646">
        <f t="shared" si="0"/>
        <v>0</v>
      </c>
      <c r="U85" s="646"/>
      <c r="V85" s="768"/>
      <c r="W85" s="471"/>
      <c r="X85" s="3"/>
      <c r="Y85" s="3"/>
      <c r="Z85" s="3"/>
      <c r="AA85" s="3"/>
    </row>
    <row r="86" spans="1:27" ht="90">
      <c r="A86" s="736"/>
      <c r="B86" s="699" t="s">
        <v>165</v>
      </c>
      <c r="C86" s="699" t="s">
        <v>166</v>
      </c>
      <c r="D86" s="644">
        <v>80</v>
      </c>
      <c r="E86" s="644" t="s">
        <v>167</v>
      </c>
      <c r="F86" s="644"/>
      <c r="G86" s="644"/>
      <c r="H86" s="644"/>
      <c r="I86" s="644"/>
      <c r="J86" s="644"/>
      <c r="K86" s="652"/>
      <c r="L86" s="644"/>
      <c r="M86" s="646"/>
      <c r="N86" s="644"/>
      <c r="O86" s="644"/>
      <c r="P86" s="654">
        <v>1.2</v>
      </c>
      <c r="Q86" s="646">
        <v>1</v>
      </c>
      <c r="R86" s="654"/>
      <c r="S86" s="644"/>
      <c r="T86" s="646">
        <f t="shared" si="0"/>
        <v>2.2000000000000002</v>
      </c>
      <c r="U86" s="646">
        <v>2.2000000000000002</v>
      </c>
      <c r="V86" s="770" t="s">
        <v>1771</v>
      </c>
      <c r="W86" s="471"/>
      <c r="X86" s="3"/>
      <c r="Y86" s="3"/>
      <c r="Z86" s="3"/>
      <c r="AA86" s="3"/>
    </row>
    <row r="87" spans="1:27" ht="30">
      <c r="A87" s="736"/>
      <c r="B87" s="736"/>
      <c r="C87" s="736"/>
      <c r="D87" s="644">
        <v>81</v>
      </c>
      <c r="E87" s="644" t="s">
        <v>168</v>
      </c>
      <c r="F87" s="644"/>
      <c r="G87" s="644"/>
      <c r="H87" s="644"/>
      <c r="I87" s="644"/>
      <c r="J87" s="644"/>
      <c r="K87" s="644"/>
      <c r="L87" s="644"/>
      <c r="M87" s="646"/>
      <c r="N87" s="646">
        <v>0</v>
      </c>
      <c r="O87" s="644"/>
      <c r="P87" s="654">
        <v>0.1</v>
      </c>
      <c r="Q87" s="654"/>
      <c r="R87" s="644"/>
      <c r="S87" s="644"/>
      <c r="T87" s="646">
        <f t="shared" si="0"/>
        <v>0.1</v>
      </c>
      <c r="U87" s="646">
        <v>0.1</v>
      </c>
      <c r="V87" s="770" t="s">
        <v>169</v>
      </c>
      <c r="W87" s="471"/>
      <c r="X87" s="3"/>
      <c r="Y87" s="3"/>
      <c r="Z87" s="3"/>
      <c r="AA87" s="3"/>
    </row>
    <row r="88" spans="1:27" ht="30">
      <c r="A88" s="736"/>
      <c r="B88" s="736"/>
      <c r="C88" s="736"/>
      <c r="D88" s="644">
        <v>82</v>
      </c>
      <c r="E88" s="644" t="s">
        <v>170</v>
      </c>
      <c r="F88" s="644"/>
      <c r="G88" s="644"/>
      <c r="H88" s="644"/>
      <c r="I88" s="644"/>
      <c r="J88" s="644"/>
      <c r="K88" s="644"/>
      <c r="L88" s="644"/>
      <c r="M88" s="644"/>
      <c r="N88" s="644"/>
      <c r="O88" s="644"/>
      <c r="P88" s="654"/>
      <c r="Q88" s="644"/>
      <c r="R88" s="644"/>
      <c r="S88" s="644"/>
      <c r="T88" s="646">
        <f t="shared" si="0"/>
        <v>0</v>
      </c>
      <c r="U88" s="646"/>
      <c r="V88" s="770"/>
      <c r="W88" s="471"/>
      <c r="X88" s="3"/>
      <c r="Y88" s="3"/>
      <c r="Z88" s="3"/>
      <c r="AA88" s="3"/>
    </row>
    <row r="89" spans="1:27" ht="75">
      <c r="A89" s="736"/>
      <c r="B89" s="736"/>
      <c r="C89" s="736"/>
      <c r="D89" s="644">
        <v>83</v>
      </c>
      <c r="E89" s="644" t="s">
        <v>172</v>
      </c>
      <c r="F89" s="644"/>
      <c r="G89" s="644"/>
      <c r="H89" s="644"/>
      <c r="I89" s="644"/>
      <c r="J89" s="644"/>
      <c r="K89" s="646">
        <v>0.5</v>
      </c>
      <c r="L89" s="644"/>
      <c r="M89" s="654"/>
      <c r="N89" s="646"/>
      <c r="O89" s="644"/>
      <c r="P89" s="654">
        <v>0.5</v>
      </c>
      <c r="Q89" s="646"/>
      <c r="R89" s="654"/>
      <c r="S89" s="644"/>
      <c r="T89" s="646">
        <f t="shared" si="0"/>
        <v>1</v>
      </c>
      <c r="U89" s="646">
        <v>1</v>
      </c>
      <c r="V89" s="770" t="s">
        <v>1772</v>
      </c>
      <c r="W89" s="471"/>
      <c r="X89" s="3"/>
      <c r="Y89" s="3"/>
      <c r="Z89" s="3"/>
      <c r="AA89" s="3"/>
    </row>
    <row r="90" spans="1:27" ht="105">
      <c r="A90" s="736"/>
      <c r="B90" s="644" t="s">
        <v>173</v>
      </c>
      <c r="C90" s="644" t="s">
        <v>174</v>
      </c>
      <c r="D90" s="644">
        <v>84</v>
      </c>
      <c r="E90" s="644" t="s">
        <v>175</v>
      </c>
      <c r="F90" s="644"/>
      <c r="G90" s="644"/>
      <c r="H90" s="644"/>
      <c r="I90" s="646"/>
      <c r="J90" s="644"/>
      <c r="K90" s="646"/>
      <c r="L90" s="644"/>
      <c r="M90" s="644"/>
      <c r="N90" s="646">
        <v>1</v>
      </c>
      <c r="O90" s="644"/>
      <c r="P90" s="644"/>
      <c r="Q90" s="646">
        <v>1.5</v>
      </c>
      <c r="R90" s="654">
        <v>0.5</v>
      </c>
      <c r="S90" s="644"/>
      <c r="T90" s="646">
        <f t="shared" si="0"/>
        <v>3</v>
      </c>
      <c r="U90" s="646">
        <v>3</v>
      </c>
      <c r="V90" s="729" t="s">
        <v>1744</v>
      </c>
      <c r="W90" s="471"/>
      <c r="X90" s="3"/>
      <c r="Y90" s="3"/>
      <c r="Z90" s="3"/>
      <c r="AA90" s="3"/>
    </row>
    <row r="91" spans="1:27" ht="150">
      <c r="A91" s="736"/>
      <c r="B91" s="644" t="s">
        <v>176</v>
      </c>
      <c r="C91" s="644" t="s">
        <v>177</v>
      </c>
      <c r="D91" s="644">
        <v>85</v>
      </c>
      <c r="E91" s="644" t="s">
        <v>178</v>
      </c>
      <c r="F91" s="644"/>
      <c r="G91" s="644"/>
      <c r="H91" s="644"/>
      <c r="I91" s="644"/>
      <c r="J91" s="644"/>
      <c r="K91" s="646"/>
      <c r="L91" s="644"/>
      <c r="M91" s="644"/>
      <c r="N91" s="646">
        <v>0.5</v>
      </c>
      <c r="O91" s="644"/>
      <c r="P91" s="644"/>
      <c r="Q91" s="646">
        <v>1</v>
      </c>
      <c r="R91" s="654"/>
      <c r="S91" s="644"/>
      <c r="T91" s="646">
        <f t="shared" si="0"/>
        <v>1.5</v>
      </c>
      <c r="U91" s="646">
        <v>1.5</v>
      </c>
      <c r="V91" s="729" t="s">
        <v>424</v>
      </c>
      <c r="W91" s="471"/>
      <c r="X91" s="3"/>
      <c r="Y91" s="3"/>
      <c r="Z91" s="3"/>
      <c r="AA91" s="3"/>
    </row>
    <row r="92" spans="1:27" ht="90">
      <c r="A92" s="736"/>
      <c r="B92" s="644" t="s">
        <v>180</v>
      </c>
      <c r="C92" s="644" t="s">
        <v>53</v>
      </c>
      <c r="D92" s="644">
        <v>86</v>
      </c>
      <c r="E92" s="644" t="s">
        <v>181</v>
      </c>
      <c r="F92" s="644"/>
      <c r="G92" s="644"/>
      <c r="H92" s="644"/>
      <c r="I92" s="644"/>
      <c r="J92" s="644"/>
      <c r="K92" s="644"/>
      <c r="L92" s="644"/>
      <c r="M92" s="644"/>
      <c r="N92" s="644"/>
      <c r="O92" s="644"/>
      <c r="P92" s="644"/>
      <c r="Q92" s="644"/>
      <c r="R92" s="644"/>
      <c r="S92" s="644"/>
      <c r="T92" s="646">
        <f t="shared" si="0"/>
        <v>0</v>
      </c>
      <c r="U92" s="646"/>
      <c r="V92" s="729"/>
      <c r="W92" s="471"/>
      <c r="X92" s="3"/>
      <c r="Y92" s="3"/>
      <c r="Z92" s="3"/>
      <c r="AA92" s="3"/>
    </row>
    <row r="93" spans="1:27">
      <c r="A93" s="736"/>
      <c r="B93" s="701" t="s">
        <v>182</v>
      </c>
      <c r="C93" s="736"/>
      <c r="D93" s="736"/>
      <c r="E93" s="660"/>
      <c r="F93" s="660">
        <f t="shared" ref="F93:S93" si="7">SUM(F69:F92)</f>
        <v>42.78</v>
      </c>
      <c r="G93" s="660">
        <f t="shared" si="7"/>
        <v>4.5</v>
      </c>
      <c r="H93" s="660">
        <f t="shared" si="7"/>
        <v>0</v>
      </c>
      <c r="I93" s="660">
        <f t="shared" si="7"/>
        <v>16.25</v>
      </c>
      <c r="J93" s="660">
        <f t="shared" si="7"/>
        <v>0</v>
      </c>
      <c r="K93" s="660">
        <f t="shared" si="7"/>
        <v>0.5</v>
      </c>
      <c r="L93" s="660">
        <f t="shared" si="7"/>
        <v>8.5</v>
      </c>
      <c r="M93" s="667">
        <f t="shared" si="7"/>
        <v>14.18</v>
      </c>
      <c r="N93" s="668">
        <f t="shared" si="7"/>
        <v>18.167000000000002</v>
      </c>
      <c r="O93" s="660">
        <f t="shared" si="7"/>
        <v>35.520000000000003</v>
      </c>
      <c r="P93" s="668">
        <f t="shared" si="7"/>
        <v>46.56</v>
      </c>
      <c r="Q93" s="668">
        <f t="shared" si="7"/>
        <v>20.795100000000001</v>
      </c>
      <c r="R93" s="667">
        <f t="shared" si="7"/>
        <v>26.717700000000001</v>
      </c>
      <c r="S93" s="667">
        <f t="shared" si="7"/>
        <v>6.6</v>
      </c>
      <c r="T93" s="668">
        <f t="shared" si="0"/>
        <v>241.06980000000001</v>
      </c>
      <c r="U93" s="668">
        <f>SUM(U69:U92)</f>
        <v>224.18979999999999</v>
      </c>
      <c r="V93" s="729"/>
      <c r="W93" s="471"/>
      <c r="X93" s="3"/>
      <c r="Y93" s="3"/>
      <c r="Z93" s="3"/>
      <c r="AA93" s="3"/>
    </row>
    <row r="94" spans="1:27" ht="60">
      <c r="A94" s="700" t="s">
        <v>183</v>
      </c>
      <c r="B94" s="699" t="s">
        <v>184</v>
      </c>
      <c r="C94" s="699" t="s">
        <v>185</v>
      </c>
      <c r="D94" s="644">
        <v>87</v>
      </c>
      <c r="E94" s="644" t="s">
        <v>186</v>
      </c>
      <c r="F94" s="664">
        <v>0</v>
      </c>
      <c r="G94" s="663"/>
      <c r="H94" s="663"/>
      <c r="I94" s="663"/>
      <c r="J94" s="663"/>
      <c r="K94" s="669">
        <v>3</v>
      </c>
      <c r="L94" s="663"/>
      <c r="M94" s="663"/>
      <c r="N94" s="663"/>
      <c r="O94" s="663"/>
      <c r="P94" s="663"/>
      <c r="Q94" s="663"/>
      <c r="R94" s="663"/>
      <c r="S94" s="663"/>
      <c r="T94" s="646">
        <f t="shared" si="0"/>
        <v>3</v>
      </c>
      <c r="U94" s="669">
        <v>0</v>
      </c>
      <c r="V94" s="483" t="s">
        <v>1109</v>
      </c>
      <c r="W94" s="473"/>
      <c r="X94" s="3"/>
      <c r="Y94" s="3"/>
      <c r="Z94" s="3"/>
      <c r="AA94" s="3"/>
    </row>
    <row r="95" spans="1:27" ht="30">
      <c r="A95" s="736"/>
      <c r="B95" s="736"/>
      <c r="C95" s="736"/>
      <c r="D95" s="644">
        <v>88</v>
      </c>
      <c r="E95" s="644" t="s">
        <v>188</v>
      </c>
      <c r="F95" s="663"/>
      <c r="G95" s="663"/>
      <c r="H95" s="663"/>
      <c r="I95" s="663"/>
      <c r="J95" s="663"/>
      <c r="K95" s="663"/>
      <c r="L95" s="663"/>
      <c r="M95" s="663"/>
      <c r="N95" s="663"/>
      <c r="O95" s="663"/>
      <c r="P95" s="670">
        <v>3</v>
      </c>
      <c r="Q95" s="663"/>
      <c r="R95" s="663"/>
      <c r="S95" s="663"/>
      <c r="T95" s="646">
        <f t="shared" si="0"/>
        <v>3</v>
      </c>
      <c r="U95" s="669">
        <v>3</v>
      </c>
      <c r="V95" s="483" t="s">
        <v>621</v>
      </c>
      <c r="W95" s="474"/>
      <c r="X95" s="3"/>
      <c r="Y95" s="3"/>
      <c r="Z95" s="3"/>
      <c r="AA95" s="3"/>
    </row>
    <row r="96" spans="1:27" ht="45">
      <c r="A96" s="736"/>
      <c r="B96" s="736"/>
      <c r="C96" s="736"/>
      <c r="D96" s="644">
        <v>89</v>
      </c>
      <c r="E96" s="644" t="s">
        <v>190</v>
      </c>
      <c r="F96" s="663"/>
      <c r="G96" s="663"/>
      <c r="H96" s="663"/>
      <c r="I96" s="663"/>
      <c r="J96" s="663"/>
      <c r="K96" s="663"/>
      <c r="L96" s="663"/>
      <c r="M96" s="663"/>
      <c r="N96" s="663"/>
      <c r="O96" s="663"/>
      <c r="P96" s="663"/>
      <c r="Q96" s="663"/>
      <c r="R96" s="663"/>
      <c r="S96" s="663"/>
      <c r="T96" s="646">
        <f t="shared" si="0"/>
        <v>0</v>
      </c>
      <c r="U96" s="669">
        <v>0</v>
      </c>
      <c r="V96" s="483"/>
      <c r="W96" s="474"/>
      <c r="X96" s="3"/>
      <c r="Y96" s="3"/>
      <c r="Z96" s="3"/>
      <c r="AA96" s="3"/>
    </row>
    <row r="97" spans="1:27" ht="45">
      <c r="A97" s="736"/>
      <c r="B97" s="736"/>
      <c r="C97" s="736"/>
      <c r="D97" s="644">
        <v>90</v>
      </c>
      <c r="E97" s="644" t="s">
        <v>191</v>
      </c>
      <c r="F97" s="663"/>
      <c r="G97" s="663"/>
      <c r="H97" s="663"/>
      <c r="I97" s="663"/>
      <c r="J97" s="663"/>
      <c r="K97" s="663"/>
      <c r="L97" s="663"/>
      <c r="M97" s="663"/>
      <c r="N97" s="663"/>
      <c r="O97" s="663"/>
      <c r="P97" s="671"/>
      <c r="Q97" s="663"/>
      <c r="R97" s="663"/>
      <c r="S97" s="663"/>
      <c r="T97" s="646">
        <f t="shared" si="0"/>
        <v>0</v>
      </c>
      <c r="U97" s="669">
        <v>0</v>
      </c>
      <c r="V97" s="483"/>
      <c r="W97" s="474"/>
      <c r="X97" s="3"/>
      <c r="Y97" s="3"/>
      <c r="Z97" s="3"/>
      <c r="AA97" s="3"/>
    </row>
    <row r="98" spans="1:27" ht="30">
      <c r="A98" s="736"/>
      <c r="B98" s="736"/>
      <c r="C98" s="736"/>
      <c r="D98" s="644">
        <v>91</v>
      </c>
      <c r="E98" s="644" t="s">
        <v>192</v>
      </c>
      <c r="F98" s="663"/>
      <c r="G98" s="663"/>
      <c r="H98" s="663"/>
      <c r="I98" s="663"/>
      <c r="J98" s="663"/>
      <c r="K98" s="669">
        <v>0</v>
      </c>
      <c r="L98" s="663"/>
      <c r="M98" s="663"/>
      <c r="N98" s="663"/>
      <c r="O98" s="663"/>
      <c r="P98" s="670">
        <v>0</v>
      </c>
      <c r="Q98" s="663"/>
      <c r="R98" s="663"/>
      <c r="S98" s="663"/>
      <c r="T98" s="646">
        <f t="shared" si="0"/>
        <v>0</v>
      </c>
      <c r="U98" s="669">
        <v>0</v>
      </c>
      <c r="V98" s="484"/>
      <c r="W98" s="475"/>
      <c r="X98" s="3"/>
      <c r="Y98" s="3"/>
      <c r="Z98" s="3"/>
      <c r="AA98" s="3"/>
    </row>
    <row r="99" spans="1:27" ht="45">
      <c r="A99" s="736"/>
      <c r="B99" s="736"/>
      <c r="C99" s="736"/>
      <c r="D99" s="644">
        <v>92</v>
      </c>
      <c r="E99" s="644" t="s">
        <v>193</v>
      </c>
      <c r="F99" s="663"/>
      <c r="G99" s="663"/>
      <c r="H99" s="663"/>
      <c r="I99" s="663"/>
      <c r="J99" s="663"/>
      <c r="K99" s="663"/>
      <c r="L99" s="663"/>
      <c r="M99" s="663"/>
      <c r="N99" s="663"/>
      <c r="O99" s="663"/>
      <c r="P99" s="670">
        <v>0</v>
      </c>
      <c r="Q99" s="663"/>
      <c r="R99" s="663"/>
      <c r="S99" s="663"/>
      <c r="T99" s="646">
        <f t="shared" si="0"/>
        <v>0</v>
      </c>
      <c r="U99" s="669">
        <v>0</v>
      </c>
      <c r="V99" s="484"/>
      <c r="W99" s="476"/>
      <c r="X99" s="3"/>
      <c r="Y99" s="3"/>
      <c r="Z99" s="3"/>
      <c r="AA99" s="3"/>
    </row>
    <row r="100" spans="1:27" ht="30">
      <c r="A100" s="736"/>
      <c r="B100" s="736"/>
      <c r="C100" s="736"/>
      <c r="D100" s="644">
        <v>93</v>
      </c>
      <c r="E100" s="795" t="s">
        <v>195</v>
      </c>
      <c r="F100" s="663"/>
      <c r="G100" s="663"/>
      <c r="H100" s="663"/>
      <c r="I100" s="671"/>
      <c r="J100" s="663"/>
      <c r="K100" s="663"/>
      <c r="L100" s="663"/>
      <c r="M100" s="663"/>
      <c r="N100" s="663"/>
      <c r="O100" s="663"/>
      <c r="P100" s="663"/>
      <c r="Q100" s="663"/>
      <c r="R100" s="663"/>
      <c r="S100" s="663"/>
      <c r="T100" s="646">
        <f t="shared" si="0"/>
        <v>0</v>
      </c>
      <c r="U100" s="669">
        <v>0</v>
      </c>
      <c r="V100" s="484"/>
      <c r="W100" s="475"/>
      <c r="X100" s="3"/>
      <c r="Y100" s="3"/>
      <c r="Z100" s="3"/>
      <c r="AA100" s="3"/>
    </row>
    <row r="101" spans="1:27" ht="30">
      <c r="A101" s="736"/>
      <c r="B101" s="736"/>
      <c r="C101" s="736"/>
      <c r="D101" s="644">
        <v>94</v>
      </c>
      <c r="E101" s="795" t="s">
        <v>196</v>
      </c>
      <c r="F101" s="663"/>
      <c r="G101" s="663"/>
      <c r="H101" s="663"/>
      <c r="I101" s="671"/>
      <c r="J101" s="663"/>
      <c r="K101" s="663"/>
      <c r="L101" s="663"/>
      <c r="M101" s="663"/>
      <c r="N101" s="663"/>
      <c r="O101" s="663"/>
      <c r="P101" s="663"/>
      <c r="Q101" s="663"/>
      <c r="R101" s="663"/>
      <c r="S101" s="663"/>
      <c r="T101" s="646">
        <f t="shared" si="0"/>
        <v>0</v>
      </c>
      <c r="U101" s="669">
        <v>0</v>
      </c>
      <c r="V101" s="484"/>
      <c r="W101" s="476"/>
      <c r="X101" s="3"/>
      <c r="Y101" s="3"/>
      <c r="Z101" s="3"/>
      <c r="AA101" s="3"/>
    </row>
    <row r="102" spans="1:27" ht="60">
      <c r="A102" s="736"/>
      <c r="B102" s="736"/>
      <c r="C102" s="736"/>
      <c r="D102" s="644">
        <v>95</v>
      </c>
      <c r="E102" s="644" t="s">
        <v>197</v>
      </c>
      <c r="F102" s="663"/>
      <c r="G102" s="663"/>
      <c r="H102" s="671"/>
      <c r="I102" s="669">
        <v>6</v>
      </c>
      <c r="J102" s="663"/>
      <c r="K102" s="663"/>
      <c r="L102" s="663"/>
      <c r="M102" s="663"/>
      <c r="N102" s="663"/>
      <c r="O102" s="663"/>
      <c r="P102" s="663"/>
      <c r="Q102" s="663"/>
      <c r="R102" s="663"/>
      <c r="S102" s="663"/>
      <c r="T102" s="646">
        <f t="shared" si="0"/>
        <v>6</v>
      </c>
      <c r="U102" s="669">
        <v>5</v>
      </c>
      <c r="V102" s="738" t="s">
        <v>1110</v>
      </c>
      <c r="W102" s="474"/>
      <c r="X102" s="3"/>
      <c r="Y102" s="3"/>
      <c r="Z102" s="3"/>
      <c r="AA102" s="3"/>
    </row>
    <row r="103" spans="1:27" ht="165">
      <c r="A103" s="736"/>
      <c r="B103" s="736"/>
      <c r="C103" s="736"/>
      <c r="D103" s="644">
        <v>96</v>
      </c>
      <c r="E103" s="644" t="s">
        <v>199</v>
      </c>
      <c r="F103" s="663"/>
      <c r="G103" s="663"/>
      <c r="H103" s="663"/>
      <c r="I103" s="663"/>
      <c r="J103" s="663"/>
      <c r="K103" s="663"/>
      <c r="L103" s="663"/>
      <c r="M103" s="663"/>
      <c r="N103" s="669">
        <v>0</v>
      </c>
      <c r="O103" s="663"/>
      <c r="P103" s="664">
        <v>2</v>
      </c>
      <c r="Q103" s="669">
        <v>1</v>
      </c>
      <c r="R103" s="670">
        <v>1</v>
      </c>
      <c r="S103" s="663"/>
      <c r="T103" s="646">
        <f t="shared" si="0"/>
        <v>4</v>
      </c>
      <c r="U103" s="669">
        <v>4</v>
      </c>
      <c r="V103" s="738" t="s">
        <v>200</v>
      </c>
      <c r="W103" s="474"/>
      <c r="X103" s="3"/>
      <c r="Y103" s="3"/>
      <c r="Z103" s="3"/>
      <c r="AA103" s="3"/>
    </row>
    <row r="104" spans="1:27" ht="240">
      <c r="A104" s="736"/>
      <c r="B104" s="816" t="s">
        <v>201</v>
      </c>
      <c r="C104" s="816" t="s">
        <v>202</v>
      </c>
      <c r="D104" s="817">
        <v>97</v>
      </c>
      <c r="E104" s="817" t="s">
        <v>203</v>
      </c>
      <c r="F104" s="672"/>
      <c r="G104" s="672"/>
      <c r="H104" s="672"/>
      <c r="I104" s="666">
        <v>1</v>
      </c>
      <c r="J104" s="672"/>
      <c r="K104" s="666"/>
      <c r="L104" s="672"/>
      <c r="M104" s="666"/>
      <c r="N104" s="666">
        <v>3.75</v>
      </c>
      <c r="O104" s="672">
        <v>4.2</v>
      </c>
      <c r="P104" s="673">
        <v>13.95</v>
      </c>
      <c r="Q104" s="666">
        <v>2.5</v>
      </c>
      <c r="R104" s="673">
        <v>12</v>
      </c>
      <c r="S104" s="672"/>
      <c r="T104" s="674">
        <v>37.4</v>
      </c>
      <c r="U104" s="818">
        <v>37.4</v>
      </c>
      <c r="V104" s="749" t="s">
        <v>204</v>
      </c>
      <c r="W104" s="809"/>
      <c r="X104" s="819"/>
      <c r="Y104" s="819"/>
      <c r="Z104" s="819"/>
      <c r="AA104" s="819"/>
    </row>
    <row r="105" spans="1:27" ht="30">
      <c r="A105" s="736"/>
      <c r="B105" s="736"/>
      <c r="C105" s="736"/>
      <c r="D105" s="644">
        <v>98</v>
      </c>
      <c r="E105" s="644" t="s">
        <v>53</v>
      </c>
      <c r="F105" s="675"/>
      <c r="G105" s="675"/>
      <c r="H105" s="675"/>
      <c r="I105" s="675"/>
      <c r="J105" s="675"/>
      <c r="K105" s="675"/>
      <c r="L105" s="675"/>
      <c r="M105" s="675"/>
      <c r="N105" s="675"/>
      <c r="O105" s="675"/>
      <c r="P105" s="675"/>
      <c r="Q105" s="675"/>
      <c r="R105" s="675"/>
      <c r="S105" s="675"/>
      <c r="T105" s="674">
        <v>0</v>
      </c>
      <c r="U105" s="674"/>
      <c r="V105" s="744"/>
      <c r="W105" s="810"/>
      <c r="X105" s="3"/>
      <c r="Y105" s="3"/>
      <c r="Z105" s="3"/>
      <c r="AA105" s="3"/>
    </row>
    <row r="106" spans="1:27" ht="60">
      <c r="A106" s="736"/>
      <c r="B106" s="699" t="s">
        <v>205</v>
      </c>
      <c r="C106" s="699" t="s">
        <v>206</v>
      </c>
      <c r="D106" s="644">
        <v>99</v>
      </c>
      <c r="E106" s="644" t="s">
        <v>207</v>
      </c>
      <c r="F106" s="675"/>
      <c r="G106" s="675"/>
      <c r="H106" s="676"/>
      <c r="I106" s="674">
        <v>2</v>
      </c>
      <c r="J106" s="675"/>
      <c r="K106" s="674"/>
      <c r="L106" s="675"/>
      <c r="M106" s="675"/>
      <c r="N106" s="674">
        <v>1</v>
      </c>
      <c r="O106" s="675"/>
      <c r="P106" s="675"/>
      <c r="Q106" s="674">
        <v>1</v>
      </c>
      <c r="R106" s="675"/>
      <c r="S106" s="675"/>
      <c r="T106" s="674">
        <v>4</v>
      </c>
      <c r="U106" s="674">
        <v>3</v>
      </c>
      <c r="V106" s="749" t="s">
        <v>625</v>
      </c>
      <c r="W106" s="518"/>
      <c r="X106" s="3"/>
      <c r="Y106" s="3"/>
      <c r="Z106" s="3"/>
      <c r="AA106" s="3"/>
    </row>
    <row r="107" spans="1:27" ht="30">
      <c r="A107" s="736"/>
      <c r="B107" s="736"/>
      <c r="C107" s="736"/>
      <c r="D107" s="644">
        <v>100</v>
      </c>
      <c r="E107" s="644" t="s">
        <v>209</v>
      </c>
      <c r="F107" s="675"/>
      <c r="G107" s="675"/>
      <c r="H107" s="675"/>
      <c r="I107" s="674"/>
      <c r="J107" s="675"/>
      <c r="K107" s="674"/>
      <c r="L107" s="675"/>
      <c r="M107" s="675"/>
      <c r="N107" s="675"/>
      <c r="O107" s="675"/>
      <c r="P107" s="675"/>
      <c r="Q107" s="675"/>
      <c r="R107" s="675"/>
      <c r="S107" s="675"/>
      <c r="T107" s="674">
        <v>0</v>
      </c>
      <c r="U107" s="674">
        <v>0</v>
      </c>
      <c r="V107" s="749"/>
      <c r="W107" s="810"/>
      <c r="X107" s="3"/>
      <c r="Y107" s="3"/>
      <c r="Z107" s="3"/>
      <c r="AA107" s="3"/>
    </row>
    <row r="108" spans="1:27" ht="30">
      <c r="A108" s="736"/>
      <c r="B108" s="736"/>
      <c r="C108" s="736"/>
      <c r="D108" s="644">
        <v>101</v>
      </c>
      <c r="E108" s="644" t="s">
        <v>210</v>
      </c>
      <c r="F108" s="675"/>
      <c r="G108" s="675"/>
      <c r="H108" s="675"/>
      <c r="I108" s="675"/>
      <c r="J108" s="675"/>
      <c r="K108" s="675"/>
      <c r="L108" s="675"/>
      <c r="M108" s="675"/>
      <c r="N108" s="675"/>
      <c r="O108" s="675"/>
      <c r="P108" s="675"/>
      <c r="Q108" s="675"/>
      <c r="R108" s="675"/>
      <c r="S108" s="675"/>
      <c r="T108" s="674">
        <v>0</v>
      </c>
      <c r="U108" s="674"/>
      <c r="V108" s="744"/>
      <c r="W108" s="810"/>
      <c r="X108" s="3"/>
      <c r="Y108" s="3"/>
      <c r="Z108" s="3"/>
      <c r="AA108" s="3"/>
    </row>
    <row r="109" spans="1:27" ht="30">
      <c r="A109" s="736"/>
      <c r="B109" s="736"/>
      <c r="C109" s="736"/>
      <c r="D109" s="644">
        <v>102</v>
      </c>
      <c r="E109" s="644" t="s">
        <v>211</v>
      </c>
      <c r="F109" s="675"/>
      <c r="G109" s="675"/>
      <c r="H109" s="675"/>
      <c r="I109" s="675"/>
      <c r="J109" s="675"/>
      <c r="K109" s="675"/>
      <c r="L109" s="675"/>
      <c r="M109" s="675"/>
      <c r="N109" s="675"/>
      <c r="O109" s="675"/>
      <c r="P109" s="675"/>
      <c r="Q109" s="674"/>
      <c r="R109" s="675"/>
      <c r="S109" s="675"/>
      <c r="T109" s="674">
        <v>0</v>
      </c>
      <c r="U109" s="674"/>
      <c r="V109" s="744"/>
      <c r="W109" s="810"/>
      <c r="X109" s="3"/>
      <c r="Y109" s="3"/>
      <c r="Z109" s="3"/>
      <c r="AA109" s="3"/>
    </row>
    <row r="110" spans="1:27" ht="45">
      <c r="A110" s="736"/>
      <c r="B110" s="736"/>
      <c r="C110" s="736"/>
      <c r="D110" s="644">
        <v>103</v>
      </c>
      <c r="E110" s="644" t="s">
        <v>53</v>
      </c>
      <c r="F110" s="675"/>
      <c r="G110" s="675"/>
      <c r="H110" s="675"/>
      <c r="I110" s="675"/>
      <c r="J110" s="675"/>
      <c r="K110" s="675"/>
      <c r="L110" s="675"/>
      <c r="M110" s="675"/>
      <c r="N110" s="675"/>
      <c r="O110" s="675"/>
      <c r="P110" s="676">
        <v>2</v>
      </c>
      <c r="Q110" s="675"/>
      <c r="R110" s="676">
        <v>0</v>
      </c>
      <c r="S110" s="676"/>
      <c r="T110" s="674">
        <v>2</v>
      </c>
      <c r="U110" s="674">
        <v>2</v>
      </c>
      <c r="V110" s="749" t="s">
        <v>212</v>
      </c>
      <c r="W110" s="810"/>
      <c r="X110" s="3"/>
      <c r="Y110" s="3"/>
      <c r="Z110" s="3"/>
      <c r="AA110" s="3"/>
    </row>
    <row r="111" spans="1:27" ht="285">
      <c r="A111" s="736"/>
      <c r="B111" s="699" t="s">
        <v>213</v>
      </c>
      <c r="C111" s="699" t="s">
        <v>214</v>
      </c>
      <c r="D111" s="644">
        <v>104</v>
      </c>
      <c r="E111" s="644" t="s">
        <v>215</v>
      </c>
      <c r="F111" s="749"/>
      <c r="G111" s="749"/>
      <c r="H111" s="749"/>
      <c r="I111" s="749"/>
      <c r="J111" s="749"/>
      <c r="K111" s="749"/>
      <c r="L111" s="749"/>
      <c r="M111" s="749"/>
      <c r="N111" s="673">
        <v>0.8</v>
      </c>
      <c r="O111" s="749"/>
      <c r="P111" s="673"/>
      <c r="Q111" s="673">
        <v>1.5</v>
      </c>
      <c r="R111" s="774">
        <v>1.5</v>
      </c>
      <c r="S111" s="774"/>
      <c r="T111" s="674">
        <v>3.8</v>
      </c>
      <c r="U111" s="674">
        <v>3.8</v>
      </c>
      <c r="V111" s="749" t="s">
        <v>1639</v>
      </c>
      <c r="W111" s="810"/>
      <c r="X111" s="3"/>
      <c r="Y111" s="3"/>
      <c r="Z111" s="3"/>
      <c r="AA111" s="3"/>
    </row>
    <row r="112" spans="1:27" ht="75">
      <c r="A112" s="736"/>
      <c r="B112" s="736"/>
      <c r="C112" s="736"/>
      <c r="D112" s="644">
        <v>105</v>
      </c>
      <c r="E112" s="644" t="s">
        <v>216</v>
      </c>
      <c r="F112" s="749"/>
      <c r="G112" s="749"/>
      <c r="H112" s="749"/>
      <c r="I112" s="749"/>
      <c r="J112" s="749"/>
      <c r="K112" s="749"/>
      <c r="L112" s="749"/>
      <c r="M112" s="749"/>
      <c r="N112" s="749"/>
      <c r="O112" s="749"/>
      <c r="P112" s="776">
        <v>2</v>
      </c>
      <c r="Q112" s="749"/>
      <c r="R112" s="749"/>
      <c r="S112" s="749"/>
      <c r="T112" s="674">
        <v>2</v>
      </c>
      <c r="U112" s="674">
        <v>2</v>
      </c>
      <c r="V112" s="744" t="s">
        <v>217</v>
      </c>
      <c r="W112" s="810"/>
      <c r="X112" s="3"/>
      <c r="Y112" s="3"/>
      <c r="Z112" s="3"/>
      <c r="AA112" s="3"/>
    </row>
    <row r="113" spans="1:27" ht="60">
      <c r="A113" s="736"/>
      <c r="B113" s="736"/>
      <c r="C113" s="736"/>
      <c r="D113" s="644">
        <v>106</v>
      </c>
      <c r="E113" s="644" t="s">
        <v>218</v>
      </c>
      <c r="F113" s="749"/>
      <c r="G113" s="749"/>
      <c r="H113" s="749"/>
      <c r="I113" s="666"/>
      <c r="J113" s="749"/>
      <c r="K113" s="777"/>
      <c r="L113" s="749"/>
      <c r="M113" s="749"/>
      <c r="N113" s="778">
        <v>0.2</v>
      </c>
      <c r="O113" s="749"/>
      <c r="P113" s="774"/>
      <c r="Q113" s="777"/>
      <c r="R113" s="774"/>
      <c r="S113" s="774"/>
      <c r="T113" s="674">
        <v>0.2</v>
      </c>
      <c r="U113" s="674">
        <v>0.2</v>
      </c>
      <c r="V113" s="749" t="s">
        <v>219</v>
      </c>
      <c r="W113" s="810"/>
      <c r="X113" s="3"/>
      <c r="Y113" s="3"/>
      <c r="Z113" s="3"/>
      <c r="AA113" s="3"/>
    </row>
    <row r="114" spans="1:27" ht="90">
      <c r="A114" s="736"/>
      <c r="B114" s="699" t="s">
        <v>220</v>
      </c>
      <c r="C114" s="699" t="s">
        <v>221</v>
      </c>
      <c r="D114" s="644">
        <v>107</v>
      </c>
      <c r="E114" s="644" t="s">
        <v>222</v>
      </c>
      <c r="F114" s="675"/>
      <c r="G114" s="675"/>
      <c r="H114" s="675"/>
      <c r="I114" s="674"/>
      <c r="J114" s="675"/>
      <c r="K114" s="674"/>
      <c r="L114" s="675"/>
      <c r="M114" s="675"/>
      <c r="N114" s="674"/>
      <c r="O114" s="675"/>
      <c r="P114" s="673">
        <v>2.5</v>
      </c>
      <c r="Q114" s="672"/>
      <c r="R114" s="673">
        <v>1</v>
      </c>
      <c r="S114" s="675"/>
      <c r="T114" s="674">
        <v>3.5</v>
      </c>
      <c r="U114" s="674">
        <v>3.5</v>
      </c>
      <c r="V114" s="749" t="s">
        <v>223</v>
      </c>
      <c r="W114" s="810"/>
      <c r="X114" s="3"/>
      <c r="Y114" s="3"/>
      <c r="Z114" s="3"/>
      <c r="AA114" s="3"/>
    </row>
    <row r="115" spans="1:27" ht="30">
      <c r="A115" s="736"/>
      <c r="B115" s="736"/>
      <c r="C115" s="736"/>
      <c r="D115" s="644">
        <v>108</v>
      </c>
      <c r="E115" s="644" t="s">
        <v>224</v>
      </c>
      <c r="F115" s="675"/>
      <c r="G115" s="675"/>
      <c r="H115" s="675"/>
      <c r="I115" s="674"/>
      <c r="J115" s="675"/>
      <c r="K115" s="674"/>
      <c r="L115" s="675"/>
      <c r="M115" s="675"/>
      <c r="N115" s="675"/>
      <c r="O115" s="675"/>
      <c r="P115" s="676">
        <v>1.5</v>
      </c>
      <c r="Q115" s="675"/>
      <c r="R115" s="675"/>
      <c r="S115" s="675"/>
      <c r="T115" s="674">
        <v>1.5</v>
      </c>
      <c r="U115" s="674">
        <v>1.5</v>
      </c>
      <c r="V115" s="749" t="s">
        <v>225</v>
      </c>
      <c r="W115" s="810"/>
      <c r="X115" s="3"/>
      <c r="Y115" s="3"/>
      <c r="Z115" s="3"/>
      <c r="AA115" s="3"/>
    </row>
    <row r="116" spans="1:27" ht="45">
      <c r="A116" s="736"/>
      <c r="B116" s="736"/>
      <c r="C116" s="736"/>
      <c r="D116" s="644">
        <v>109</v>
      </c>
      <c r="E116" s="795" t="s">
        <v>226</v>
      </c>
      <c r="F116" s="675"/>
      <c r="G116" s="675"/>
      <c r="H116" s="676"/>
      <c r="I116" s="674"/>
      <c r="J116" s="675"/>
      <c r="K116" s="674"/>
      <c r="L116" s="675"/>
      <c r="M116" s="675"/>
      <c r="N116" s="675"/>
      <c r="O116" s="675"/>
      <c r="P116" s="675"/>
      <c r="Q116" s="675"/>
      <c r="R116" s="675"/>
      <c r="S116" s="675"/>
      <c r="T116" s="674">
        <v>0</v>
      </c>
      <c r="U116" s="674"/>
      <c r="V116" s="744"/>
      <c r="W116" s="810"/>
      <c r="X116" s="3"/>
      <c r="Y116" s="3"/>
      <c r="Z116" s="3"/>
      <c r="AA116" s="3"/>
    </row>
    <row r="117" spans="1:27" ht="150">
      <c r="A117" s="736"/>
      <c r="B117" s="736"/>
      <c r="C117" s="736"/>
      <c r="D117" s="644">
        <v>110</v>
      </c>
      <c r="E117" s="644" t="s">
        <v>227</v>
      </c>
      <c r="F117" s="675"/>
      <c r="G117" s="675"/>
      <c r="H117" s="675"/>
      <c r="I117" s="674"/>
      <c r="J117" s="675"/>
      <c r="K117" s="674"/>
      <c r="L117" s="675"/>
      <c r="M117" s="676"/>
      <c r="N117" s="674">
        <v>3</v>
      </c>
      <c r="O117" s="676">
        <v>31.43</v>
      </c>
      <c r="P117" s="674"/>
      <c r="Q117" s="676">
        <v>5</v>
      </c>
      <c r="R117" s="676">
        <v>3</v>
      </c>
      <c r="S117" s="675"/>
      <c r="T117" s="646">
        <f>SUM(F117:S117)</f>
        <v>42.43</v>
      </c>
      <c r="U117" s="674">
        <f>T117</f>
        <v>42.43</v>
      </c>
      <c r="V117" s="744" t="s">
        <v>1111</v>
      </c>
      <c r="W117" s="810"/>
      <c r="X117" s="3"/>
      <c r="Y117" s="3"/>
      <c r="Z117" s="3"/>
      <c r="AA117" s="3"/>
    </row>
    <row r="118" spans="1:27" ht="30">
      <c r="A118" s="736"/>
      <c r="B118" s="736"/>
      <c r="C118" s="736"/>
      <c r="D118" s="644">
        <v>111</v>
      </c>
      <c r="E118" s="644" t="s">
        <v>53</v>
      </c>
      <c r="F118" s="675"/>
      <c r="G118" s="675"/>
      <c r="H118" s="675"/>
      <c r="I118" s="676"/>
      <c r="J118" s="675"/>
      <c r="K118" s="676"/>
      <c r="L118" s="675"/>
      <c r="M118" s="675"/>
      <c r="N118" s="675"/>
      <c r="O118" s="675"/>
      <c r="P118" s="676"/>
      <c r="Q118" s="674"/>
      <c r="R118" s="675"/>
      <c r="S118" s="676"/>
      <c r="T118" s="674">
        <v>0</v>
      </c>
      <c r="U118" s="674"/>
      <c r="V118" s="749"/>
      <c r="W118" s="810"/>
      <c r="X118" s="3"/>
      <c r="Y118" s="3"/>
      <c r="Z118" s="3"/>
      <c r="AA118" s="3"/>
    </row>
    <row r="119" spans="1:27">
      <c r="A119" s="736"/>
      <c r="B119" s="699" t="s">
        <v>229</v>
      </c>
      <c r="C119" s="699" t="s">
        <v>230</v>
      </c>
      <c r="D119" s="644">
        <v>112</v>
      </c>
      <c r="E119" s="644" t="s">
        <v>231</v>
      </c>
      <c r="F119" s="675"/>
      <c r="G119" s="675"/>
      <c r="H119" s="675"/>
      <c r="I119" s="674"/>
      <c r="J119" s="675"/>
      <c r="K119" s="674"/>
      <c r="L119" s="675"/>
      <c r="M119" s="675"/>
      <c r="N119" s="675"/>
      <c r="O119" s="675"/>
      <c r="P119" s="675"/>
      <c r="Q119" s="674"/>
      <c r="R119" s="675"/>
      <c r="S119" s="675"/>
      <c r="T119" s="674">
        <v>0</v>
      </c>
      <c r="U119" s="674"/>
      <c r="V119" s="744"/>
      <c r="W119" s="810"/>
      <c r="X119" s="3"/>
      <c r="Y119" s="3"/>
      <c r="Z119" s="3"/>
      <c r="AA119" s="3"/>
    </row>
    <row r="120" spans="1:27" ht="30">
      <c r="A120" s="736"/>
      <c r="B120" s="736"/>
      <c r="C120" s="736"/>
      <c r="D120" s="644">
        <v>113</v>
      </c>
      <c r="E120" s="644" t="s">
        <v>232</v>
      </c>
      <c r="F120" s="672"/>
      <c r="G120" s="672"/>
      <c r="H120" s="672"/>
      <c r="I120" s="666"/>
      <c r="J120" s="672"/>
      <c r="K120" s="666"/>
      <c r="L120" s="672"/>
      <c r="M120" s="666"/>
      <c r="N120" s="666">
        <v>0.5</v>
      </c>
      <c r="O120" s="672"/>
      <c r="P120" s="672"/>
      <c r="Q120" s="666">
        <v>0.3</v>
      </c>
      <c r="R120" s="672"/>
      <c r="S120" s="672"/>
      <c r="T120" s="674">
        <v>0.8</v>
      </c>
      <c r="U120" s="674">
        <v>0.8</v>
      </c>
      <c r="V120" s="749" t="s">
        <v>676</v>
      </c>
      <c r="W120" s="810"/>
      <c r="X120" s="3"/>
      <c r="Y120" s="3"/>
      <c r="Z120" s="3"/>
      <c r="AA120" s="3"/>
    </row>
    <row r="121" spans="1:27" ht="81" customHeight="1">
      <c r="A121" s="736"/>
      <c r="B121" s="644" t="s">
        <v>234</v>
      </c>
      <c r="C121" s="644" t="s">
        <v>235</v>
      </c>
      <c r="D121" s="644">
        <v>114</v>
      </c>
      <c r="E121" s="644" t="s">
        <v>236</v>
      </c>
      <c r="F121" s="675"/>
      <c r="G121" s="675"/>
      <c r="H121" s="676"/>
      <c r="I121" s="675">
        <v>0.14000000000000001</v>
      </c>
      <c r="J121" s="675"/>
      <c r="K121" s="675"/>
      <c r="L121" s="675"/>
      <c r="M121" s="675"/>
      <c r="N121" s="676">
        <v>0.5</v>
      </c>
      <c r="O121" s="675"/>
      <c r="P121" s="676">
        <v>14.9</v>
      </c>
      <c r="Q121" s="674">
        <v>0.5</v>
      </c>
      <c r="R121" s="676">
        <v>0.5</v>
      </c>
      <c r="S121" s="676"/>
      <c r="T121" s="674">
        <v>16.54</v>
      </c>
      <c r="U121" s="674">
        <v>39.54</v>
      </c>
      <c r="V121" s="749" t="s">
        <v>497</v>
      </c>
      <c r="W121" s="810"/>
      <c r="X121" s="3"/>
      <c r="Y121" s="3"/>
      <c r="Z121" s="3"/>
      <c r="AA121" s="3"/>
    </row>
    <row r="122" spans="1:27" ht="83.45" customHeight="1">
      <c r="A122" s="736"/>
      <c r="B122" s="699" t="s">
        <v>238</v>
      </c>
      <c r="C122" s="699" t="s">
        <v>239</v>
      </c>
      <c r="D122" s="644">
        <v>115</v>
      </c>
      <c r="E122" s="644" t="s">
        <v>240</v>
      </c>
      <c r="F122" s="675"/>
      <c r="G122" s="675"/>
      <c r="H122" s="675"/>
      <c r="I122" s="675"/>
      <c r="J122" s="675"/>
      <c r="K122" s="675"/>
      <c r="L122" s="675"/>
      <c r="M122" s="674"/>
      <c r="N122" s="675"/>
      <c r="O122" s="675"/>
      <c r="P122" s="675"/>
      <c r="Q122" s="675">
        <v>6.9</v>
      </c>
      <c r="R122" s="675"/>
      <c r="S122" s="675"/>
      <c r="T122" s="674">
        <v>6.9</v>
      </c>
      <c r="U122" s="674">
        <v>6.9</v>
      </c>
      <c r="V122" s="779" t="s">
        <v>498</v>
      </c>
      <c r="W122" s="810"/>
      <c r="X122" s="3"/>
      <c r="Y122" s="3"/>
      <c r="Z122" s="3"/>
      <c r="AA122" s="3"/>
    </row>
    <row r="123" spans="1:27" ht="45">
      <c r="A123" s="736"/>
      <c r="B123" s="736"/>
      <c r="C123" s="736"/>
      <c r="D123" s="644">
        <v>116</v>
      </c>
      <c r="E123" s="644" t="s">
        <v>242</v>
      </c>
      <c r="F123" s="675"/>
      <c r="G123" s="675"/>
      <c r="H123" s="675"/>
      <c r="I123" s="675"/>
      <c r="J123" s="675"/>
      <c r="K123" s="675"/>
      <c r="L123" s="675"/>
      <c r="M123" s="674">
        <v>4.5999999999999996</v>
      </c>
      <c r="N123" s="675"/>
      <c r="O123" s="675"/>
      <c r="P123" s="675"/>
      <c r="Q123" s="674"/>
      <c r="R123" s="675"/>
      <c r="S123" s="675"/>
      <c r="T123" s="674">
        <v>4.5999999999999996</v>
      </c>
      <c r="U123" s="674">
        <v>4.5999999999999996</v>
      </c>
      <c r="V123" s="749" t="s">
        <v>243</v>
      </c>
      <c r="W123" s="810"/>
      <c r="X123" s="3"/>
      <c r="Y123" s="3"/>
      <c r="Z123" s="3"/>
      <c r="AA123" s="3"/>
    </row>
    <row r="124" spans="1:27" ht="30">
      <c r="A124" s="736"/>
      <c r="B124" s="736"/>
      <c r="C124" s="736"/>
      <c r="D124" s="644">
        <v>117</v>
      </c>
      <c r="E124" s="741" t="s">
        <v>244</v>
      </c>
      <c r="F124" s="675"/>
      <c r="G124" s="675"/>
      <c r="H124" s="675"/>
      <c r="I124" s="675"/>
      <c r="J124" s="675"/>
      <c r="K124" s="675"/>
      <c r="L124" s="675"/>
      <c r="M124" s="675"/>
      <c r="N124" s="675"/>
      <c r="O124" s="675"/>
      <c r="P124" s="675"/>
      <c r="Q124" s="675"/>
      <c r="R124" s="675"/>
      <c r="S124" s="675"/>
      <c r="T124" s="674">
        <v>0</v>
      </c>
      <c r="U124" s="674"/>
      <c r="V124" s="744"/>
      <c r="W124" s="810"/>
      <c r="X124" s="3"/>
      <c r="Y124" s="3"/>
      <c r="Z124" s="3"/>
      <c r="AA124" s="3"/>
    </row>
    <row r="125" spans="1:27" ht="30">
      <c r="A125" s="736"/>
      <c r="B125" s="736"/>
      <c r="C125" s="736"/>
      <c r="D125" s="644">
        <v>118</v>
      </c>
      <c r="E125" s="644" t="s">
        <v>53</v>
      </c>
      <c r="F125" s="675"/>
      <c r="G125" s="675"/>
      <c r="H125" s="675"/>
      <c r="I125" s="675"/>
      <c r="J125" s="675"/>
      <c r="K125" s="675"/>
      <c r="L125" s="675"/>
      <c r="M125" s="675"/>
      <c r="N125" s="675"/>
      <c r="O125" s="675"/>
      <c r="P125" s="675"/>
      <c r="Q125" s="674"/>
      <c r="R125" s="675"/>
      <c r="S125" s="675"/>
      <c r="T125" s="674">
        <v>0</v>
      </c>
      <c r="U125" s="674"/>
      <c r="V125" s="744"/>
      <c r="W125" s="810"/>
      <c r="X125" s="3"/>
      <c r="Y125" s="3"/>
      <c r="Z125" s="3"/>
      <c r="AA125" s="3"/>
    </row>
    <row r="126" spans="1:27" ht="120">
      <c r="A126" s="736"/>
      <c r="B126" s="644" t="s">
        <v>245</v>
      </c>
      <c r="C126" s="644" t="s">
        <v>246</v>
      </c>
      <c r="D126" s="644">
        <v>119</v>
      </c>
      <c r="E126" s="644" t="s">
        <v>247</v>
      </c>
      <c r="F126" s="672"/>
      <c r="G126" s="672"/>
      <c r="H126" s="673"/>
      <c r="I126" s="666"/>
      <c r="J126" s="672"/>
      <c r="K126" s="672"/>
      <c r="L126" s="672"/>
      <c r="M126" s="672"/>
      <c r="N126" s="666">
        <v>2</v>
      </c>
      <c r="O126" s="672"/>
      <c r="P126" s="673">
        <v>8</v>
      </c>
      <c r="Q126" s="666"/>
      <c r="R126" s="672"/>
      <c r="S126" s="672"/>
      <c r="T126" s="674">
        <v>10</v>
      </c>
      <c r="U126" s="674">
        <v>10</v>
      </c>
      <c r="V126" s="749" t="s">
        <v>248</v>
      </c>
      <c r="W126" s="810"/>
      <c r="X126" s="3"/>
      <c r="Y126" s="3"/>
      <c r="Z126" s="3"/>
      <c r="AA126" s="3"/>
    </row>
    <row r="127" spans="1:27" ht="49.9" customHeight="1">
      <c r="A127" s="736"/>
      <c r="B127" s="644" t="s">
        <v>249</v>
      </c>
      <c r="C127" s="644" t="s">
        <v>250</v>
      </c>
      <c r="D127" s="644">
        <v>120</v>
      </c>
      <c r="E127" s="644" t="s">
        <v>251</v>
      </c>
      <c r="F127" s="675"/>
      <c r="G127" s="675"/>
      <c r="H127" s="675"/>
      <c r="I127" s="675"/>
      <c r="J127" s="675"/>
      <c r="K127" s="676"/>
      <c r="L127" s="675"/>
      <c r="M127" s="676"/>
      <c r="N127" s="674"/>
      <c r="O127" s="675"/>
      <c r="P127" s="676"/>
      <c r="Q127" s="674"/>
      <c r="R127" s="676"/>
      <c r="S127" s="675"/>
      <c r="T127" s="674">
        <v>0</v>
      </c>
      <c r="U127" s="674"/>
      <c r="V127" s="744"/>
      <c r="W127" s="810"/>
      <c r="X127" s="3"/>
      <c r="Y127" s="3"/>
      <c r="Z127" s="3"/>
      <c r="AA127" s="3"/>
    </row>
    <row r="128" spans="1:27" ht="75">
      <c r="A128" s="736"/>
      <c r="B128" s="699" t="s">
        <v>252</v>
      </c>
      <c r="C128" s="699" t="s">
        <v>253</v>
      </c>
      <c r="D128" s="644">
        <v>121</v>
      </c>
      <c r="E128" s="644" t="s">
        <v>254</v>
      </c>
      <c r="F128" s="664">
        <v>0</v>
      </c>
      <c r="G128" s="664">
        <v>0</v>
      </c>
      <c r="H128" s="664">
        <v>0</v>
      </c>
      <c r="I128" s="669">
        <v>0</v>
      </c>
      <c r="J128" s="664">
        <v>0</v>
      </c>
      <c r="K128" s="664">
        <v>0</v>
      </c>
      <c r="L128" s="664">
        <v>0</v>
      </c>
      <c r="M128" s="664">
        <v>0</v>
      </c>
      <c r="N128" s="664">
        <v>0.48</v>
      </c>
      <c r="O128" s="664">
        <v>0</v>
      </c>
      <c r="P128" s="664">
        <v>0</v>
      </c>
      <c r="Q128" s="664">
        <v>0</v>
      </c>
      <c r="R128" s="664">
        <v>0</v>
      </c>
      <c r="S128" s="664">
        <v>0</v>
      </c>
      <c r="T128" s="646">
        <f t="shared" ref="T128:T130" si="8">SUM(F128:S128)</f>
        <v>0.48</v>
      </c>
      <c r="U128" s="669">
        <v>0.96</v>
      </c>
      <c r="V128" s="749" t="s">
        <v>499</v>
      </c>
      <c r="W128" s="132"/>
      <c r="X128" s="3"/>
      <c r="Y128" s="3"/>
      <c r="Z128" s="3"/>
      <c r="AA128" s="3"/>
    </row>
    <row r="129" spans="1:27" ht="30">
      <c r="A129" s="736"/>
      <c r="B129" s="736"/>
      <c r="C129" s="736"/>
      <c r="D129" s="644">
        <v>122</v>
      </c>
      <c r="E129" s="644" t="s">
        <v>256</v>
      </c>
      <c r="F129" s="664">
        <v>0</v>
      </c>
      <c r="G129" s="664">
        <v>0</v>
      </c>
      <c r="H129" s="664">
        <v>0</v>
      </c>
      <c r="I129" s="664">
        <v>0</v>
      </c>
      <c r="J129" s="664">
        <v>0</v>
      </c>
      <c r="K129" s="664">
        <v>0</v>
      </c>
      <c r="L129" s="664">
        <v>0</v>
      </c>
      <c r="M129" s="664">
        <v>0</v>
      </c>
      <c r="N129" s="664">
        <v>0</v>
      </c>
      <c r="O129" s="664">
        <v>0</v>
      </c>
      <c r="P129" s="664">
        <v>0</v>
      </c>
      <c r="Q129" s="664">
        <v>0</v>
      </c>
      <c r="R129" s="664">
        <v>0</v>
      </c>
      <c r="S129" s="664">
        <v>0</v>
      </c>
      <c r="T129" s="646">
        <f t="shared" si="8"/>
        <v>0</v>
      </c>
      <c r="U129" s="669">
        <v>0</v>
      </c>
      <c r="V129" s="482"/>
      <c r="W129" s="133"/>
      <c r="X129" s="3"/>
      <c r="Y129" s="3"/>
      <c r="Z129" s="3"/>
      <c r="AA129" s="3"/>
    </row>
    <row r="130" spans="1:27" ht="90">
      <c r="A130" s="736"/>
      <c r="B130" s="736"/>
      <c r="C130" s="736"/>
      <c r="D130" s="644">
        <v>123</v>
      </c>
      <c r="E130" s="644" t="s">
        <v>257</v>
      </c>
      <c r="F130" s="664">
        <v>0</v>
      </c>
      <c r="G130" s="664">
        <v>0</v>
      </c>
      <c r="H130" s="664">
        <v>0</v>
      </c>
      <c r="I130" s="664">
        <v>0</v>
      </c>
      <c r="J130" s="664">
        <v>0</v>
      </c>
      <c r="K130" s="664">
        <v>0</v>
      </c>
      <c r="L130" s="664">
        <v>0</v>
      </c>
      <c r="M130" s="664">
        <v>0</v>
      </c>
      <c r="N130" s="664">
        <v>0</v>
      </c>
      <c r="O130" s="664">
        <v>0</v>
      </c>
      <c r="P130" s="664">
        <v>0</v>
      </c>
      <c r="Q130" s="677">
        <v>1.5</v>
      </c>
      <c r="R130" s="664">
        <v>0</v>
      </c>
      <c r="S130" s="664">
        <v>0</v>
      </c>
      <c r="T130" s="646">
        <f t="shared" si="8"/>
        <v>1.5</v>
      </c>
      <c r="U130" s="669">
        <v>1.5</v>
      </c>
      <c r="V130" s="749" t="s">
        <v>258</v>
      </c>
      <c r="W130" s="133"/>
      <c r="X130" s="3"/>
      <c r="Y130" s="3"/>
      <c r="Z130" s="3"/>
      <c r="AA130" s="3"/>
    </row>
    <row r="131" spans="1:27" ht="30">
      <c r="A131" s="736"/>
      <c r="B131" s="699" t="s">
        <v>259</v>
      </c>
      <c r="C131" s="699" t="s">
        <v>260</v>
      </c>
      <c r="D131" s="644">
        <v>124</v>
      </c>
      <c r="E131" s="644" t="s">
        <v>261</v>
      </c>
      <c r="F131" s="664"/>
      <c r="G131" s="664"/>
      <c r="H131" s="677"/>
      <c r="I131" s="664"/>
      <c r="J131" s="664"/>
      <c r="K131" s="664"/>
      <c r="L131" s="664"/>
      <c r="M131" s="664"/>
      <c r="N131" s="664">
        <v>1</v>
      </c>
      <c r="O131" s="664"/>
      <c r="P131" s="664"/>
      <c r="Q131" s="677">
        <v>0.5</v>
      </c>
      <c r="R131" s="664"/>
      <c r="S131" s="664"/>
      <c r="T131" s="647">
        <v>1.5</v>
      </c>
      <c r="U131" s="647">
        <v>1.5</v>
      </c>
      <c r="V131" s="749" t="s">
        <v>628</v>
      </c>
      <c r="W131" s="471"/>
      <c r="X131" s="3"/>
      <c r="Y131" s="3"/>
      <c r="Z131" s="3"/>
      <c r="AA131" s="3"/>
    </row>
    <row r="132" spans="1:27" ht="30">
      <c r="A132" s="736"/>
      <c r="B132" s="736"/>
      <c r="C132" s="736"/>
      <c r="D132" s="644">
        <v>125</v>
      </c>
      <c r="E132" s="644" t="s">
        <v>263</v>
      </c>
      <c r="F132" s="664"/>
      <c r="G132" s="664"/>
      <c r="H132" s="677"/>
      <c r="I132" s="664"/>
      <c r="J132" s="664"/>
      <c r="K132" s="664"/>
      <c r="L132" s="664"/>
      <c r="M132" s="664"/>
      <c r="N132" s="664">
        <v>1</v>
      </c>
      <c r="O132" s="664"/>
      <c r="P132" s="664"/>
      <c r="Q132" s="677">
        <v>0.5</v>
      </c>
      <c r="R132" s="664"/>
      <c r="S132" s="664"/>
      <c r="T132" s="647">
        <v>1.5</v>
      </c>
      <c r="U132" s="647">
        <v>1.5</v>
      </c>
      <c r="V132" s="749" t="s">
        <v>628</v>
      </c>
      <c r="W132" s="471"/>
      <c r="X132" s="3"/>
      <c r="Y132" s="3"/>
      <c r="Z132" s="3"/>
      <c r="AA132" s="3"/>
    </row>
    <row r="133" spans="1:27" ht="90">
      <c r="A133" s="736"/>
      <c r="B133" s="644" t="s">
        <v>264</v>
      </c>
      <c r="C133" s="644" t="s">
        <v>265</v>
      </c>
      <c r="D133" s="644">
        <v>126</v>
      </c>
      <c r="E133" s="644" t="s">
        <v>181</v>
      </c>
      <c r="F133" s="644"/>
      <c r="G133" s="644"/>
      <c r="H133" s="644"/>
      <c r="I133" s="644"/>
      <c r="J133" s="644"/>
      <c r="K133" s="644"/>
      <c r="L133" s="644"/>
      <c r="M133" s="644"/>
      <c r="N133" s="644"/>
      <c r="O133" s="644"/>
      <c r="P133" s="644"/>
      <c r="Q133" s="644"/>
      <c r="R133" s="644"/>
      <c r="S133" s="644"/>
      <c r="T133" s="646">
        <f t="shared" ref="T133:T211" si="9">SUM(F133:S133)</f>
        <v>0</v>
      </c>
      <c r="U133" s="646"/>
      <c r="V133" s="729"/>
      <c r="W133" s="471"/>
      <c r="X133" s="3"/>
      <c r="Y133" s="3"/>
      <c r="Z133" s="3"/>
      <c r="AA133" s="3"/>
    </row>
    <row r="134" spans="1:27">
      <c r="A134" s="736"/>
      <c r="B134" s="701" t="s">
        <v>266</v>
      </c>
      <c r="C134" s="736"/>
      <c r="D134" s="736"/>
      <c r="E134" s="660"/>
      <c r="F134" s="660">
        <f t="shared" ref="F134:S134" si="10">SUM(F94:F133)</f>
        <v>0</v>
      </c>
      <c r="G134" s="660">
        <f t="shared" si="10"/>
        <v>0</v>
      </c>
      <c r="H134" s="660">
        <f t="shared" si="10"/>
        <v>0</v>
      </c>
      <c r="I134" s="660">
        <f t="shared" si="10"/>
        <v>9.14</v>
      </c>
      <c r="J134" s="660">
        <f t="shared" si="10"/>
        <v>0</v>
      </c>
      <c r="K134" s="668">
        <f t="shared" si="10"/>
        <v>3</v>
      </c>
      <c r="L134" s="660">
        <f t="shared" si="10"/>
        <v>0</v>
      </c>
      <c r="M134" s="660">
        <f t="shared" si="10"/>
        <v>4.5999999999999996</v>
      </c>
      <c r="N134" s="660">
        <f t="shared" si="10"/>
        <v>14.23</v>
      </c>
      <c r="O134" s="660">
        <f t="shared" si="10"/>
        <v>35.630000000000003</v>
      </c>
      <c r="P134" s="660">
        <f t="shared" si="10"/>
        <v>49.85</v>
      </c>
      <c r="Q134" s="660">
        <f t="shared" si="10"/>
        <v>21.200000000000003</v>
      </c>
      <c r="R134" s="660">
        <f t="shared" si="10"/>
        <v>19</v>
      </c>
      <c r="S134" s="660">
        <f t="shared" si="10"/>
        <v>0</v>
      </c>
      <c r="T134" s="660">
        <f t="shared" si="9"/>
        <v>156.65000000000003</v>
      </c>
      <c r="U134" s="668">
        <f>SUM(U94:U133)</f>
        <v>175.13000000000002</v>
      </c>
      <c r="V134" s="729"/>
      <c r="W134" s="471"/>
      <c r="X134" s="3"/>
      <c r="Y134" s="3"/>
      <c r="Z134" s="3"/>
      <c r="AA134" s="3"/>
    </row>
    <row r="135" spans="1:27" ht="60">
      <c r="A135" s="700" t="s">
        <v>267</v>
      </c>
      <c r="B135" s="699" t="s">
        <v>268</v>
      </c>
      <c r="C135" s="699" t="s">
        <v>269</v>
      </c>
      <c r="D135" s="644">
        <v>127</v>
      </c>
      <c r="E135" s="644" t="s">
        <v>270</v>
      </c>
      <c r="F135" s="644"/>
      <c r="G135" s="644"/>
      <c r="H135" s="644"/>
      <c r="I135" s="644"/>
      <c r="J135" s="644"/>
      <c r="K135" s="644"/>
      <c r="L135" s="644"/>
      <c r="M135" s="644"/>
      <c r="N135" s="644"/>
      <c r="O135" s="644"/>
      <c r="P135" s="644"/>
      <c r="Q135" s="644"/>
      <c r="R135" s="644"/>
      <c r="S135" s="644"/>
      <c r="T135" s="646">
        <f t="shared" si="9"/>
        <v>0</v>
      </c>
      <c r="U135" s="646"/>
      <c r="V135" s="520"/>
      <c r="W135" s="471"/>
      <c r="X135" s="3"/>
      <c r="Y135" s="3"/>
      <c r="Z135" s="3"/>
      <c r="AA135" s="3"/>
    </row>
    <row r="136" spans="1:27" ht="30">
      <c r="A136" s="736"/>
      <c r="B136" s="736"/>
      <c r="C136" s="736"/>
      <c r="D136" s="644">
        <v>128</v>
      </c>
      <c r="E136" s="644" t="s">
        <v>271</v>
      </c>
      <c r="F136" s="644"/>
      <c r="G136" s="644"/>
      <c r="H136" s="644"/>
      <c r="I136" s="644"/>
      <c r="J136" s="644"/>
      <c r="K136" s="646"/>
      <c r="L136" s="644"/>
      <c r="M136" s="644"/>
      <c r="N136" s="646"/>
      <c r="O136" s="644"/>
      <c r="P136" s="646"/>
      <c r="Q136" s="686">
        <f>(0.75*3)</f>
        <v>2.25</v>
      </c>
      <c r="R136" s="682"/>
      <c r="S136" s="682"/>
      <c r="T136" s="646">
        <f t="shared" si="9"/>
        <v>2.25</v>
      </c>
      <c r="U136" s="686">
        <f>T136</f>
        <v>2.25</v>
      </c>
      <c r="V136" s="779" t="s">
        <v>272</v>
      </c>
      <c r="W136" s="471"/>
      <c r="X136" s="3"/>
      <c r="Y136" s="3"/>
      <c r="Z136" s="3"/>
      <c r="AA136" s="3"/>
    </row>
    <row r="137" spans="1:27" ht="30">
      <c r="A137" s="736"/>
      <c r="B137" s="644"/>
      <c r="C137" s="644"/>
      <c r="D137" s="644">
        <v>129</v>
      </c>
      <c r="E137" s="644" t="s">
        <v>273</v>
      </c>
      <c r="F137" s="644"/>
      <c r="G137" s="644"/>
      <c r="H137" s="644"/>
      <c r="I137" s="644"/>
      <c r="J137" s="644"/>
      <c r="K137" s="644"/>
      <c r="L137" s="644"/>
      <c r="M137" s="644"/>
      <c r="N137" s="644"/>
      <c r="O137" s="644"/>
      <c r="P137" s="644"/>
      <c r="Q137" s="644"/>
      <c r="R137" s="644"/>
      <c r="S137" s="644"/>
      <c r="T137" s="646">
        <f t="shared" si="9"/>
        <v>0</v>
      </c>
      <c r="U137" s="646"/>
      <c r="V137" s="520"/>
      <c r="W137" s="471"/>
      <c r="X137" s="3"/>
      <c r="Y137" s="3"/>
      <c r="Z137" s="3"/>
      <c r="AA137" s="3"/>
    </row>
    <row r="138" spans="1:27" ht="45">
      <c r="A138" s="736"/>
      <c r="B138" s="699" t="s">
        <v>274</v>
      </c>
      <c r="C138" s="699" t="s">
        <v>275</v>
      </c>
      <c r="D138" s="644">
        <v>130</v>
      </c>
      <c r="E138" s="644" t="s">
        <v>276</v>
      </c>
      <c r="F138" s="644"/>
      <c r="G138" s="644"/>
      <c r="H138" s="644"/>
      <c r="I138" s="644"/>
      <c r="J138" s="644"/>
      <c r="K138" s="644"/>
      <c r="L138" s="644"/>
      <c r="M138" s="644"/>
      <c r="N138" s="644"/>
      <c r="O138" s="644"/>
      <c r="P138" s="644"/>
      <c r="Q138" s="644"/>
      <c r="R138" s="644"/>
      <c r="S138" s="644"/>
      <c r="T138" s="646">
        <f t="shared" si="9"/>
        <v>0</v>
      </c>
      <c r="U138" s="646"/>
      <c r="V138" s="520"/>
      <c r="W138" s="471"/>
      <c r="X138" s="3"/>
      <c r="Y138" s="3"/>
      <c r="Z138" s="3"/>
      <c r="AA138" s="3"/>
    </row>
    <row r="139" spans="1:27">
      <c r="A139" s="736"/>
      <c r="B139" s="736"/>
      <c r="C139" s="736"/>
      <c r="D139" s="644">
        <v>131</v>
      </c>
      <c r="E139" s="644" t="s">
        <v>277</v>
      </c>
      <c r="F139" s="644"/>
      <c r="G139" s="644"/>
      <c r="H139" s="644"/>
      <c r="I139" s="644"/>
      <c r="J139" s="644"/>
      <c r="K139" s="644"/>
      <c r="L139" s="644"/>
      <c r="M139" s="644"/>
      <c r="N139" s="646">
        <v>0.46</v>
      </c>
      <c r="O139" s="644"/>
      <c r="P139" s="644"/>
      <c r="Q139" s="644"/>
      <c r="R139" s="644"/>
      <c r="S139" s="644"/>
      <c r="T139" s="646">
        <f t="shared" si="9"/>
        <v>0.46</v>
      </c>
      <c r="U139" s="646">
        <v>0.49</v>
      </c>
      <c r="V139" s="521" t="s">
        <v>629</v>
      </c>
      <c r="W139" s="471"/>
      <c r="X139" s="3"/>
      <c r="Y139" s="3"/>
      <c r="Z139" s="3"/>
      <c r="AA139" s="3"/>
    </row>
    <row r="140" spans="1:27">
      <c r="A140" s="736"/>
      <c r="B140" s="736"/>
      <c r="C140" s="736"/>
      <c r="D140" s="644">
        <v>132</v>
      </c>
      <c r="E140" s="644" t="s">
        <v>279</v>
      </c>
      <c r="F140" s="644"/>
      <c r="G140" s="644"/>
      <c r="H140" s="644"/>
      <c r="I140" s="644"/>
      <c r="J140" s="644"/>
      <c r="K140" s="644"/>
      <c r="L140" s="644"/>
      <c r="M140" s="644"/>
      <c r="N140" s="644"/>
      <c r="O140" s="644"/>
      <c r="P140" s="644"/>
      <c r="Q140" s="644"/>
      <c r="R140" s="644"/>
      <c r="S140" s="644"/>
      <c r="T140" s="646">
        <f t="shared" si="9"/>
        <v>0</v>
      </c>
      <c r="U140" s="646"/>
      <c r="V140" s="520"/>
      <c r="W140" s="471"/>
      <c r="X140" s="3"/>
      <c r="Y140" s="3"/>
      <c r="Z140" s="3"/>
      <c r="AA140" s="3"/>
    </row>
    <row r="141" spans="1:27">
      <c r="A141" s="736"/>
      <c r="B141" s="736"/>
      <c r="C141" s="736"/>
      <c r="D141" s="644">
        <v>133</v>
      </c>
      <c r="E141" s="644" t="s">
        <v>280</v>
      </c>
      <c r="F141" s="644"/>
      <c r="G141" s="644"/>
      <c r="H141" s="644"/>
      <c r="I141" s="644"/>
      <c r="J141" s="644"/>
      <c r="K141" s="644"/>
      <c r="L141" s="644"/>
      <c r="M141" s="644"/>
      <c r="N141" s="644"/>
      <c r="O141" s="644"/>
      <c r="P141" s="644"/>
      <c r="Q141" s="644"/>
      <c r="R141" s="644"/>
      <c r="S141" s="644"/>
      <c r="T141" s="646">
        <f t="shared" si="9"/>
        <v>0</v>
      </c>
      <c r="U141" s="646"/>
      <c r="V141" s="520"/>
      <c r="W141" s="471"/>
      <c r="X141" s="3"/>
      <c r="Y141" s="3"/>
      <c r="Z141" s="3"/>
      <c r="AA141" s="3"/>
    </row>
    <row r="142" spans="1:27" ht="60">
      <c r="A142" s="736"/>
      <c r="B142" s="736"/>
      <c r="C142" s="736"/>
      <c r="D142" s="644">
        <v>134</v>
      </c>
      <c r="E142" s="644" t="s">
        <v>281</v>
      </c>
      <c r="F142" s="644"/>
      <c r="G142" s="644"/>
      <c r="H142" s="644"/>
      <c r="I142" s="644"/>
      <c r="J142" s="644"/>
      <c r="K142" s="644"/>
      <c r="L142" s="644"/>
      <c r="M142" s="644"/>
      <c r="N142" s="644"/>
      <c r="O142" s="644"/>
      <c r="P142" s="782">
        <f>(15*0.005*12)+(15*0.0025*12)</f>
        <v>1.3499999999999999</v>
      </c>
      <c r="Q142" s="644"/>
      <c r="R142" s="644"/>
      <c r="S142" s="644"/>
      <c r="T142" s="646">
        <f t="shared" si="9"/>
        <v>1.3499999999999999</v>
      </c>
      <c r="U142" s="646">
        <f>T142</f>
        <v>1.3499999999999999</v>
      </c>
      <c r="V142" s="520" t="s">
        <v>842</v>
      </c>
      <c r="W142" s="471"/>
      <c r="X142" s="3"/>
      <c r="Y142" s="3"/>
      <c r="Z142" s="3"/>
      <c r="AA142" s="3"/>
    </row>
    <row r="143" spans="1:27" ht="30">
      <c r="A143" s="736"/>
      <c r="B143" s="736"/>
      <c r="C143" s="736"/>
      <c r="D143" s="644">
        <v>135</v>
      </c>
      <c r="E143" s="644" t="s">
        <v>283</v>
      </c>
      <c r="F143" s="644"/>
      <c r="G143" s="644"/>
      <c r="H143" s="644"/>
      <c r="I143" s="644"/>
      <c r="J143" s="644"/>
      <c r="K143" s="644"/>
      <c r="L143" s="644"/>
      <c r="M143" s="644"/>
      <c r="N143" s="644"/>
      <c r="O143" s="644"/>
      <c r="P143" s="644"/>
      <c r="Q143" s="644"/>
      <c r="R143" s="644"/>
      <c r="S143" s="644"/>
      <c r="T143" s="646">
        <f t="shared" si="9"/>
        <v>0</v>
      </c>
      <c r="U143" s="646"/>
      <c r="V143" s="520"/>
      <c r="W143" s="471"/>
      <c r="X143" s="3"/>
      <c r="Y143" s="3"/>
      <c r="Z143" s="3"/>
      <c r="AA143" s="3"/>
    </row>
    <row r="144" spans="1:27" ht="45">
      <c r="A144" s="736"/>
      <c r="B144" s="736"/>
      <c r="C144" s="736"/>
      <c r="D144" s="644">
        <v>136</v>
      </c>
      <c r="E144" s="644" t="s">
        <v>284</v>
      </c>
      <c r="F144" s="644"/>
      <c r="G144" s="644"/>
      <c r="H144" s="644"/>
      <c r="I144" s="644"/>
      <c r="J144" s="644"/>
      <c r="K144" s="644"/>
      <c r="L144" s="644"/>
      <c r="M144" s="644"/>
      <c r="N144" s="644"/>
      <c r="O144" s="644"/>
      <c r="P144" s="646"/>
      <c r="Q144" s="644"/>
      <c r="R144" s="644"/>
      <c r="S144" s="644"/>
      <c r="T144" s="646">
        <f t="shared" si="9"/>
        <v>0</v>
      </c>
      <c r="U144" s="646"/>
      <c r="V144" s="779"/>
      <c r="W144" s="471"/>
      <c r="X144" s="3"/>
      <c r="Y144" s="3"/>
      <c r="Z144" s="3"/>
      <c r="AA144" s="3"/>
    </row>
    <row r="145" spans="1:27">
      <c r="A145" s="736"/>
      <c r="B145" s="699" t="s">
        <v>285</v>
      </c>
      <c r="C145" s="699" t="s">
        <v>286</v>
      </c>
      <c r="D145" s="644">
        <v>137</v>
      </c>
      <c r="E145" s="644" t="s">
        <v>287</v>
      </c>
      <c r="F145" s="644"/>
      <c r="G145" s="644"/>
      <c r="H145" s="644"/>
      <c r="I145" s="644"/>
      <c r="J145" s="644"/>
      <c r="K145" s="644"/>
      <c r="L145" s="644"/>
      <c r="M145" s="646"/>
      <c r="N145" s="644"/>
      <c r="O145" s="644"/>
      <c r="P145" s="686"/>
      <c r="Q145" s="644"/>
      <c r="R145" s="644"/>
      <c r="S145" s="644"/>
      <c r="T145" s="646">
        <f t="shared" si="9"/>
        <v>0</v>
      </c>
      <c r="U145" s="646"/>
      <c r="V145" s="779"/>
      <c r="W145" s="471"/>
      <c r="X145" s="3"/>
      <c r="Y145" s="3"/>
      <c r="Z145" s="3"/>
      <c r="AA145" s="3"/>
    </row>
    <row r="146" spans="1:27" ht="30">
      <c r="A146" s="736"/>
      <c r="B146" s="736"/>
      <c r="C146" s="736"/>
      <c r="D146" s="644">
        <v>138</v>
      </c>
      <c r="E146" s="644" t="s">
        <v>288</v>
      </c>
      <c r="F146" s="644"/>
      <c r="G146" s="644"/>
      <c r="H146" s="646"/>
      <c r="I146" s="646"/>
      <c r="J146" s="644"/>
      <c r="K146" s="646"/>
      <c r="L146" s="644"/>
      <c r="M146" s="646"/>
      <c r="N146" s="644"/>
      <c r="O146" s="644"/>
      <c r="P146" s="644"/>
      <c r="Q146" s="644"/>
      <c r="R146" s="644"/>
      <c r="S146" s="644"/>
      <c r="T146" s="646">
        <f t="shared" si="9"/>
        <v>0</v>
      </c>
      <c r="U146" s="646"/>
      <c r="V146" s="779"/>
      <c r="W146" s="471"/>
      <c r="X146" s="3"/>
      <c r="Y146" s="3"/>
      <c r="Z146" s="3"/>
      <c r="AA146" s="3"/>
    </row>
    <row r="147" spans="1:27" ht="45">
      <c r="A147" s="736"/>
      <c r="B147" s="699" t="s">
        <v>289</v>
      </c>
      <c r="C147" s="699" t="s">
        <v>290</v>
      </c>
      <c r="D147" s="644">
        <v>139</v>
      </c>
      <c r="E147" s="644" t="s">
        <v>291</v>
      </c>
      <c r="F147" s="644"/>
      <c r="G147" s="644"/>
      <c r="H147" s="644"/>
      <c r="I147" s="644"/>
      <c r="J147" s="644"/>
      <c r="K147" s="644"/>
      <c r="L147" s="644"/>
      <c r="M147" s="644"/>
      <c r="N147" s="646"/>
      <c r="O147" s="644"/>
      <c r="P147" s="646">
        <v>3</v>
      </c>
      <c r="Q147" s="644"/>
      <c r="R147" s="646"/>
      <c r="S147" s="644"/>
      <c r="T147" s="646">
        <f t="shared" si="9"/>
        <v>3</v>
      </c>
      <c r="U147" s="646">
        <f t="shared" ref="U147:U148" si="11">T147</f>
        <v>3</v>
      </c>
      <c r="V147" s="779" t="s">
        <v>786</v>
      </c>
      <c r="W147" s="471"/>
      <c r="X147" s="3"/>
      <c r="Y147" s="3"/>
      <c r="Z147" s="3"/>
      <c r="AA147" s="3"/>
    </row>
    <row r="148" spans="1:27" ht="60">
      <c r="A148" s="736"/>
      <c r="B148" s="736"/>
      <c r="C148" s="736"/>
      <c r="D148" s="644">
        <v>140</v>
      </c>
      <c r="E148" s="644" t="s">
        <v>293</v>
      </c>
      <c r="F148" s="644"/>
      <c r="G148" s="644"/>
      <c r="H148" s="644"/>
      <c r="I148" s="644"/>
      <c r="J148" s="644"/>
      <c r="K148" s="644"/>
      <c r="L148" s="644"/>
      <c r="M148" s="644"/>
      <c r="N148" s="644"/>
      <c r="O148" s="644"/>
      <c r="P148" s="686">
        <f>3+( 3* 0.235)</f>
        <v>3.7050000000000001</v>
      </c>
      <c r="Q148" s="682"/>
      <c r="R148" s="682"/>
      <c r="S148" s="682"/>
      <c r="T148" s="646">
        <f t="shared" si="9"/>
        <v>3.7050000000000001</v>
      </c>
      <c r="U148" s="658">
        <f t="shared" si="11"/>
        <v>3.7050000000000001</v>
      </c>
      <c r="V148" s="779" t="s">
        <v>294</v>
      </c>
      <c r="W148" s="471"/>
      <c r="X148" s="3"/>
      <c r="Y148" s="3"/>
      <c r="Z148" s="3"/>
      <c r="AA148" s="3"/>
    </row>
    <row r="149" spans="1:27">
      <c r="A149" s="736"/>
      <c r="B149" s="736"/>
      <c r="C149" s="736"/>
      <c r="D149" s="644">
        <v>141</v>
      </c>
      <c r="E149" s="644" t="s">
        <v>295</v>
      </c>
      <c r="F149" s="644"/>
      <c r="G149" s="644"/>
      <c r="H149" s="644"/>
      <c r="I149" s="644"/>
      <c r="J149" s="644"/>
      <c r="K149" s="644"/>
      <c r="L149" s="644"/>
      <c r="M149" s="644"/>
      <c r="N149" s="644"/>
      <c r="O149" s="644"/>
      <c r="P149" s="644"/>
      <c r="Q149" s="644"/>
      <c r="R149" s="644"/>
      <c r="S149" s="644"/>
      <c r="T149" s="646">
        <f t="shared" si="9"/>
        <v>0</v>
      </c>
      <c r="U149" s="646"/>
      <c r="V149" s="520"/>
      <c r="W149" s="471"/>
      <c r="X149" s="3"/>
      <c r="Y149" s="3"/>
      <c r="Z149" s="3"/>
      <c r="AA149" s="3"/>
    </row>
    <row r="150" spans="1:27" ht="30">
      <c r="A150" s="736"/>
      <c r="B150" s="699" t="s">
        <v>296</v>
      </c>
      <c r="C150" s="699" t="s">
        <v>297</v>
      </c>
      <c r="D150" s="644">
        <v>142</v>
      </c>
      <c r="E150" s="644" t="s">
        <v>298</v>
      </c>
      <c r="F150" s="644"/>
      <c r="G150" s="644"/>
      <c r="H150" s="644"/>
      <c r="I150" s="644"/>
      <c r="J150" s="644"/>
      <c r="K150" s="644"/>
      <c r="L150" s="644"/>
      <c r="M150" s="644"/>
      <c r="N150" s="644"/>
      <c r="O150" s="644"/>
      <c r="P150" s="726">
        <v>463.49728000000005</v>
      </c>
      <c r="Q150" s="644"/>
      <c r="R150" s="644"/>
      <c r="S150" s="644"/>
      <c r="T150" s="646">
        <f t="shared" si="9"/>
        <v>463.49728000000005</v>
      </c>
      <c r="U150" s="727">
        <v>493.48555401600004</v>
      </c>
      <c r="V150" s="1206" t="s">
        <v>1732</v>
      </c>
      <c r="W150" s="471"/>
      <c r="X150" s="3"/>
      <c r="Y150" s="3"/>
      <c r="Z150" s="3"/>
      <c r="AA150" s="3"/>
    </row>
    <row r="151" spans="1:27" ht="45">
      <c r="A151" s="736"/>
      <c r="B151" s="736"/>
      <c r="C151" s="736"/>
      <c r="D151" s="644">
        <v>143</v>
      </c>
      <c r="E151" s="644" t="s">
        <v>299</v>
      </c>
      <c r="F151" s="644"/>
      <c r="G151" s="644"/>
      <c r="H151" s="644"/>
      <c r="I151" s="644"/>
      <c r="J151" s="644"/>
      <c r="K151" s="644"/>
      <c r="L151" s="644"/>
      <c r="M151" s="644"/>
      <c r="N151" s="644"/>
      <c r="O151" s="644"/>
      <c r="P151" s="644"/>
      <c r="Q151" s="644"/>
      <c r="R151" s="644"/>
      <c r="S151" s="644"/>
      <c r="T151" s="646">
        <f t="shared" si="9"/>
        <v>0</v>
      </c>
      <c r="U151" s="646"/>
      <c r="V151" s="520"/>
      <c r="W151" s="471"/>
      <c r="X151" s="3"/>
      <c r="Y151" s="3"/>
      <c r="Z151" s="3"/>
      <c r="AA151" s="3"/>
    </row>
    <row r="152" spans="1:27">
      <c r="A152" s="736"/>
      <c r="B152" s="736"/>
      <c r="C152" s="736"/>
      <c r="D152" s="644">
        <v>144</v>
      </c>
      <c r="E152" s="644" t="s">
        <v>300</v>
      </c>
      <c r="F152" s="644"/>
      <c r="G152" s="644"/>
      <c r="H152" s="644"/>
      <c r="I152" s="644"/>
      <c r="J152" s="644"/>
      <c r="K152" s="644"/>
      <c r="L152" s="644"/>
      <c r="M152" s="644"/>
      <c r="N152" s="644"/>
      <c r="O152" s="644"/>
      <c r="P152" s="644"/>
      <c r="Q152" s="644"/>
      <c r="R152" s="644"/>
      <c r="S152" s="644"/>
      <c r="T152" s="646">
        <f t="shared" si="9"/>
        <v>0</v>
      </c>
      <c r="U152" s="646"/>
      <c r="V152" s="520"/>
      <c r="W152" s="471"/>
      <c r="X152" s="3"/>
      <c r="Y152" s="3"/>
      <c r="Z152" s="3"/>
      <c r="AA152" s="3"/>
    </row>
    <row r="153" spans="1:27" ht="45">
      <c r="A153" s="736"/>
      <c r="B153" s="736"/>
      <c r="C153" s="736"/>
      <c r="D153" s="644">
        <v>145</v>
      </c>
      <c r="E153" s="644" t="s">
        <v>301</v>
      </c>
      <c r="F153" s="644"/>
      <c r="G153" s="644"/>
      <c r="H153" s="644"/>
      <c r="I153" s="644"/>
      <c r="J153" s="644"/>
      <c r="K153" s="644"/>
      <c r="L153" s="644"/>
      <c r="M153" s="644"/>
      <c r="N153" s="644"/>
      <c r="O153" s="644"/>
      <c r="P153" s="644"/>
      <c r="Q153" s="644"/>
      <c r="R153" s="644"/>
      <c r="S153" s="644"/>
      <c r="T153" s="646">
        <f t="shared" si="9"/>
        <v>0</v>
      </c>
      <c r="U153" s="646"/>
      <c r="V153" s="520"/>
      <c r="W153" s="471"/>
      <c r="X153" s="3"/>
      <c r="Y153" s="3"/>
      <c r="Z153" s="3"/>
      <c r="AA153" s="3"/>
    </row>
    <row r="154" spans="1:27" ht="77.45" customHeight="1">
      <c r="A154" s="736"/>
      <c r="B154" s="644" t="s">
        <v>302</v>
      </c>
      <c r="C154" s="644" t="s">
        <v>303</v>
      </c>
      <c r="D154" s="644">
        <v>146</v>
      </c>
      <c r="E154" s="644" t="s">
        <v>304</v>
      </c>
      <c r="F154" s="644"/>
      <c r="G154" s="644"/>
      <c r="H154" s="644"/>
      <c r="I154" s="644"/>
      <c r="J154" s="644"/>
      <c r="K154" s="644"/>
      <c r="L154" s="644"/>
      <c r="M154" s="644"/>
      <c r="N154" s="644"/>
      <c r="O154" s="644"/>
      <c r="P154" s="644"/>
      <c r="Q154" s="644"/>
      <c r="R154" s="686">
        <f>(0.4*12)+(12*0.1)</f>
        <v>6.0000000000000009</v>
      </c>
      <c r="S154" s="682"/>
      <c r="T154" s="646">
        <f t="shared" si="9"/>
        <v>6.0000000000000009</v>
      </c>
      <c r="U154" s="686">
        <f>T154</f>
        <v>6.0000000000000009</v>
      </c>
      <c r="V154" s="779" t="s">
        <v>571</v>
      </c>
      <c r="W154" s="471"/>
      <c r="X154" s="3"/>
      <c r="Y154" s="3"/>
      <c r="Z154" s="3"/>
      <c r="AA154" s="3"/>
    </row>
    <row r="155" spans="1:27" ht="30">
      <c r="A155" s="736"/>
      <c r="B155" s="644" t="s">
        <v>306</v>
      </c>
      <c r="C155" s="644" t="s">
        <v>307</v>
      </c>
      <c r="D155" s="644">
        <v>147</v>
      </c>
      <c r="E155" s="644" t="s">
        <v>157</v>
      </c>
      <c r="F155" s="644"/>
      <c r="G155" s="644"/>
      <c r="H155" s="644"/>
      <c r="I155" s="644"/>
      <c r="J155" s="644"/>
      <c r="K155" s="644"/>
      <c r="L155" s="644"/>
      <c r="M155" s="644"/>
      <c r="N155" s="644"/>
      <c r="O155" s="644"/>
      <c r="P155" s="644"/>
      <c r="Q155" s="644"/>
      <c r="R155" s="644"/>
      <c r="S155" s="644"/>
      <c r="T155" s="646">
        <f t="shared" si="9"/>
        <v>0</v>
      </c>
      <c r="U155" s="646"/>
      <c r="V155" s="520"/>
      <c r="W155" s="471"/>
      <c r="X155" s="3"/>
      <c r="Y155" s="3"/>
      <c r="Z155" s="3"/>
      <c r="AA155" s="3"/>
    </row>
    <row r="156" spans="1:27" ht="45">
      <c r="A156" s="736"/>
      <c r="B156" s="644" t="s">
        <v>308</v>
      </c>
      <c r="C156" s="644" t="s">
        <v>309</v>
      </c>
      <c r="D156" s="644">
        <v>148</v>
      </c>
      <c r="E156" s="644" t="s">
        <v>310</v>
      </c>
      <c r="F156" s="644"/>
      <c r="G156" s="644"/>
      <c r="H156" s="644"/>
      <c r="I156" s="644"/>
      <c r="J156" s="644"/>
      <c r="K156" s="644"/>
      <c r="L156" s="644"/>
      <c r="M156" s="644"/>
      <c r="N156" s="646"/>
      <c r="O156" s="644"/>
      <c r="P156" s="646"/>
      <c r="Q156" s="644"/>
      <c r="R156" s="644"/>
      <c r="S156" s="644"/>
      <c r="T156" s="646">
        <f t="shared" si="9"/>
        <v>0</v>
      </c>
      <c r="U156" s="646"/>
      <c r="V156" s="779"/>
      <c r="W156" s="471"/>
      <c r="X156" s="3"/>
      <c r="Y156" s="3"/>
      <c r="Z156" s="3"/>
      <c r="AA156" s="3"/>
    </row>
    <row r="157" spans="1:27" ht="45">
      <c r="A157" s="736"/>
      <c r="B157" s="644" t="s">
        <v>311</v>
      </c>
      <c r="C157" s="644" t="s">
        <v>312</v>
      </c>
      <c r="D157" s="644">
        <v>149</v>
      </c>
      <c r="E157" s="644" t="s">
        <v>313</v>
      </c>
      <c r="F157" s="768"/>
      <c r="G157" s="768"/>
      <c r="H157" s="768"/>
      <c r="I157" s="768"/>
      <c r="J157" s="768"/>
      <c r="K157" s="768"/>
      <c r="L157" s="768"/>
      <c r="M157" s="768"/>
      <c r="N157" s="768"/>
      <c r="O157" s="768"/>
      <c r="P157" s="785">
        <f>(3*1.75)+(46*0.05)</f>
        <v>7.5500000000000007</v>
      </c>
      <c r="Q157" s="768"/>
      <c r="R157" s="768"/>
      <c r="S157" s="768"/>
      <c r="T157" s="646">
        <f t="shared" si="9"/>
        <v>7.5500000000000007</v>
      </c>
      <c r="U157" s="820">
        <f>(3*1.75)+(49*0.05)</f>
        <v>7.7</v>
      </c>
      <c r="V157" s="779" t="s">
        <v>1660</v>
      </c>
      <c r="W157" s="471"/>
      <c r="X157" s="3"/>
      <c r="Y157" s="3"/>
      <c r="Z157" s="3"/>
      <c r="AA157" s="3"/>
    </row>
    <row r="158" spans="1:27">
      <c r="A158" s="736"/>
      <c r="B158" s="701" t="s">
        <v>315</v>
      </c>
      <c r="C158" s="736"/>
      <c r="D158" s="736"/>
      <c r="E158" s="660"/>
      <c r="F158" s="660">
        <f t="shared" ref="F158:S158" si="12">SUM(F135:F157)</f>
        <v>0</v>
      </c>
      <c r="G158" s="660">
        <f t="shared" si="12"/>
        <v>0</v>
      </c>
      <c r="H158" s="660">
        <f t="shared" si="12"/>
        <v>0</v>
      </c>
      <c r="I158" s="660">
        <f t="shared" si="12"/>
        <v>0</v>
      </c>
      <c r="J158" s="660">
        <f t="shared" si="12"/>
        <v>0</v>
      </c>
      <c r="K158" s="660">
        <f t="shared" si="12"/>
        <v>0</v>
      </c>
      <c r="L158" s="660">
        <f t="shared" si="12"/>
        <v>0</v>
      </c>
      <c r="M158" s="660">
        <f t="shared" si="12"/>
        <v>0</v>
      </c>
      <c r="N158" s="660">
        <f t="shared" si="12"/>
        <v>0.46</v>
      </c>
      <c r="O158" s="660">
        <f t="shared" si="12"/>
        <v>0</v>
      </c>
      <c r="P158" s="660">
        <f t="shared" si="12"/>
        <v>479.10228000000006</v>
      </c>
      <c r="Q158" s="660">
        <f t="shared" si="12"/>
        <v>2.25</v>
      </c>
      <c r="R158" s="660">
        <f t="shared" si="12"/>
        <v>6.0000000000000009</v>
      </c>
      <c r="S158" s="660">
        <f t="shared" si="12"/>
        <v>0</v>
      </c>
      <c r="T158" s="660">
        <f t="shared" si="9"/>
        <v>487.81228000000004</v>
      </c>
      <c r="U158" s="668">
        <f>SUM(U135:U157)</f>
        <v>517.98055401600004</v>
      </c>
      <c r="V158" s="729"/>
      <c r="W158" s="470"/>
      <c r="X158" s="54"/>
      <c r="Y158" s="54"/>
      <c r="Z158" s="54"/>
      <c r="AA158" s="54"/>
    </row>
    <row r="159" spans="1:27" ht="195">
      <c r="A159" s="700" t="s">
        <v>316</v>
      </c>
      <c r="B159" s="699" t="s">
        <v>317</v>
      </c>
      <c r="C159" s="699" t="s">
        <v>269</v>
      </c>
      <c r="D159" s="644">
        <v>150</v>
      </c>
      <c r="E159" s="644" t="s">
        <v>318</v>
      </c>
      <c r="F159" s="682"/>
      <c r="G159" s="683"/>
      <c r="H159" s="683"/>
      <c r="I159" s="682"/>
      <c r="J159" s="682"/>
      <c r="K159" s="682"/>
      <c r="L159" s="682"/>
      <c r="M159" s="682"/>
      <c r="N159" s="686">
        <v>6.8</v>
      </c>
      <c r="O159" s="682">
        <v>111.235</v>
      </c>
      <c r="P159" s="683"/>
      <c r="Q159" s="682">
        <v>1</v>
      </c>
      <c r="R159" s="682"/>
      <c r="S159" s="682"/>
      <c r="T159" s="646">
        <f t="shared" si="9"/>
        <v>119.035</v>
      </c>
      <c r="U159" s="646">
        <f t="shared" ref="U159:U160" si="13">T159</f>
        <v>119.035</v>
      </c>
      <c r="V159" s="786" t="s">
        <v>1773</v>
      </c>
      <c r="W159" s="471"/>
      <c r="X159" s="3"/>
      <c r="Y159" s="3"/>
      <c r="Z159" s="3"/>
      <c r="AA159" s="3"/>
    </row>
    <row r="160" spans="1:27" ht="165">
      <c r="A160" s="736"/>
      <c r="B160" s="736"/>
      <c r="C160" s="736"/>
      <c r="D160" s="644">
        <v>151</v>
      </c>
      <c r="E160" s="644" t="s">
        <v>319</v>
      </c>
      <c r="F160" s="682"/>
      <c r="G160" s="683"/>
      <c r="H160" s="683"/>
      <c r="I160" s="686"/>
      <c r="J160" s="682"/>
      <c r="K160" s="682"/>
      <c r="L160" s="682"/>
      <c r="M160" s="682"/>
      <c r="N160" s="686"/>
      <c r="O160" s="683"/>
      <c r="P160" s="683">
        <v>8.61</v>
      </c>
      <c r="Q160" s="686"/>
      <c r="R160" s="683">
        <v>1.25</v>
      </c>
      <c r="S160" s="682"/>
      <c r="T160" s="646">
        <f t="shared" si="9"/>
        <v>9.86</v>
      </c>
      <c r="U160" s="646">
        <f t="shared" si="13"/>
        <v>9.86</v>
      </c>
      <c r="V160" s="729" t="s">
        <v>1112</v>
      </c>
      <c r="W160" s="471"/>
      <c r="X160" s="3"/>
      <c r="Y160" s="3"/>
      <c r="Z160" s="3"/>
      <c r="AA160" s="3"/>
    </row>
    <row r="161" spans="1:27" ht="30">
      <c r="A161" s="736"/>
      <c r="B161" s="736"/>
      <c r="C161" s="736"/>
      <c r="D161" s="644">
        <v>152</v>
      </c>
      <c r="E161" s="644" t="s">
        <v>321</v>
      </c>
      <c r="F161" s="682"/>
      <c r="G161" s="682"/>
      <c r="H161" s="682"/>
      <c r="I161" s="682"/>
      <c r="J161" s="682"/>
      <c r="K161" s="682"/>
      <c r="L161" s="682"/>
      <c r="M161" s="682"/>
      <c r="N161" s="682"/>
      <c r="O161" s="682"/>
      <c r="P161" s="683"/>
      <c r="Q161" s="682"/>
      <c r="R161" s="682"/>
      <c r="S161" s="682"/>
      <c r="T161" s="646">
        <f t="shared" si="9"/>
        <v>0</v>
      </c>
      <c r="U161" s="646"/>
      <c r="V161" s="729"/>
      <c r="W161" s="471"/>
      <c r="X161" s="3"/>
      <c r="Y161" s="3"/>
      <c r="Z161" s="3"/>
      <c r="AA161" s="3"/>
    </row>
    <row r="162" spans="1:27">
      <c r="A162" s="736"/>
      <c r="B162" s="736"/>
      <c r="C162" s="736"/>
      <c r="D162" s="644">
        <v>153</v>
      </c>
      <c r="E162" s="644" t="s">
        <v>322</v>
      </c>
      <c r="F162" s="787"/>
      <c r="G162" s="787"/>
      <c r="H162" s="787"/>
      <c r="I162" s="787"/>
      <c r="J162" s="787"/>
      <c r="K162" s="787"/>
      <c r="L162" s="787"/>
      <c r="M162" s="787"/>
      <c r="N162" s="686"/>
      <c r="O162" s="787"/>
      <c r="P162" s="787"/>
      <c r="Q162" s="787"/>
      <c r="R162" s="787"/>
      <c r="S162" s="787"/>
      <c r="T162" s="646">
        <f t="shared" si="9"/>
        <v>0</v>
      </c>
      <c r="U162" s="646"/>
      <c r="V162" s="729"/>
      <c r="W162" s="471"/>
      <c r="X162" s="3"/>
      <c r="Y162" s="3"/>
      <c r="Z162" s="3"/>
      <c r="AA162" s="3"/>
    </row>
    <row r="163" spans="1:27" ht="60">
      <c r="A163" s="736"/>
      <c r="B163" s="699" t="s">
        <v>324</v>
      </c>
      <c r="C163" s="699" t="s">
        <v>325</v>
      </c>
      <c r="D163" s="644">
        <v>154</v>
      </c>
      <c r="E163" s="644" t="s">
        <v>326</v>
      </c>
      <c r="F163" s="644"/>
      <c r="G163" s="644"/>
      <c r="H163" s="644"/>
      <c r="I163" s="644"/>
      <c r="J163" s="644"/>
      <c r="K163" s="646"/>
      <c r="L163" s="644"/>
      <c r="M163" s="646"/>
      <c r="N163" s="644"/>
      <c r="O163" s="644"/>
      <c r="P163" s="644"/>
      <c r="Q163" s="654">
        <v>0.125</v>
      </c>
      <c r="R163" s="644"/>
      <c r="S163" s="644"/>
      <c r="T163" s="646">
        <f t="shared" si="9"/>
        <v>0.125</v>
      </c>
      <c r="U163" s="646">
        <f t="shared" ref="U163:U165" si="14">T163</f>
        <v>0.125</v>
      </c>
      <c r="V163" s="729" t="s">
        <v>1113</v>
      </c>
      <c r="W163" s="471"/>
      <c r="X163" s="3"/>
      <c r="Y163" s="3"/>
      <c r="Z163" s="3"/>
      <c r="AA163" s="3"/>
    </row>
    <row r="164" spans="1:27" ht="30">
      <c r="A164" s="736"/>
      <c r="B164" s="736"/>
      <c r="C164" s="736"/>
      <c r="D164" s="644">
        <v>155</v>
      </c>
      <c r="E164" s="644" t="s">
        <v>328</v>
      </c>
      <c r="F164" s="644"/>
      <c r="G164" s="644"/>
      <c r="H164" s="644"/>
      <c r="I164" s="644"/>
      <c r="J164" s="644"/>
      <c r="K164" s="644"/>
      <c r="L164" s="644"/>
      <c r="M164" s="644"/>
      <c r="N164" s="682"/>
      <c r="O164" s="644"/>
      <c r="P164" s="654"/>
      <c r="Q164" s="644"/>
      <c r="R164" s="644"/>
      <c r="S164" s="644"/>
      <c r="T164" s="646">
        <f t="shared" si="9"/>
        <v>0</v>
      </c>
      <c r="U164" s="646">
        <f t="shared" si="14"/>
        <v>0</v>
      </c>
      <c r="V164" s="740"/>
      <c r="W164" s="471"/>
      <c r="X164" s="3"/>
      <c r="Y164" s="3"/>
      <c r="Z164" s="3"/>
      <c r="AA164" s="3"/>
    </row>
    <row r="165" spans="1:27" ht="45">
      <c r="A165" s="736"/>
      <c r="B165" s="736"/>
      <c r="C165" s="736"/>
      <c r="D165" s="644">
        <v>156</v>
      </c>
      <c r="E165" s="644" t="s">
        <v>329</v>
      </c>
      <c r="F165" s="644"/>
      <c r="G165" s="644"/>
      <c r="H165" s="654"/>
      <c r="I165" s="646"/>
      <c r="J165" s="644"/>
      <c r="K165" s="644"/>
      <c r="L165" s="644"/>
      <c r="M165" s="644"/>
      <c r="N165" s="644"/>
      <c r="O165" s="644"/>
      <c r="P165" s="654">
        <v>1</v>
      </c>
      <c r="Q165" s="644"/>
      <c r="R165" s="644"/>
      <c r="S165" s="644"/>
      <c r="T165" s="646">
        <f t="shared" si="9"/>
        <v>1</v>
      </c>
      <c r="U165" s="646">
        <f t="shared" si="14"/>
        <v>1</v>
      </c>
      <c r="V165" s="729" t="s">
        <v>846</v>
      </c>
      <c r="W165" s="471"/>
      <c r="X165" s="3"/>
      <c r="Y165" s="3"/>
      <c r="Z165" s="3"/>
      <c r="AA165" s="3"/>
    </row>
    <row r="166" spans="1:27" ht="30">
      <c r="A166" s="736"/>
      <c r="B166" s="736"/>
      <c r="C166" s="736"/>
      <c r="D166" s="644">
        <v>157</v>
      </c>
      <c r="E166" s="644" t="s">
        <v>331</v>
      </c>
      <c r="F166" s="644"/>
      <c r="G166" s="644"/>
      <c r="H166" s="644"/>
      <c r="I166" s="644"/>
      <c r="J166" s="644"/>
      <c r="K166" s="644"/>
      <c r="L166" s="644"/>
      <c r="M166" s="644"/>
      <c r="N166" s="644"/>
      <c r="O166" s="644"/>
      <c r="P166" s="644"/>
      <c r="Q166" s="644"/>
      <c r="R166" s="644"/>
      <c r="S166" s="644"/>
      <c r="T166" s="646">
        <f t="shared" si="9"/>
        <v>0</v>
      </c>
      <c r="U166" s="646"/>
      <c r="V166" s="729"/>
      <c r="W166" s="471"/>
      <c r="X166" s="3"/>
      <c r="Y166" s="3"/>
      <c r="Z166" s="3"/>
      <c r="AA166" s="3"/>
    </row>
    <row r="167" spans="1:27" ht="30">
      <c r="A167" s="736"/>
      <c r="B167" s="736"/>
      <c r="C167" s="736"/>
      <c r="D167" s="644">
        <v>158</v>
      </c>
      <c r="E167" s="644" t="s">
        <v>332</v>
      </c>
      <c r="F167" s="644"/>
      <c r="G167" s="644"/>
      <c r="H167" s="644"/>
      <c r="I167" s="644"/>
      <c r="J167" s="644"/>
      <c r="K167" s="644"/>
      <c r="L167" s="644"/>
      <c r="M167" s="644"/>
      <c r="N167" s="644"/>
      <c r="O167" s="644"/>
      <c r="P167" s="644"/>
      <c r="Q167" s="646"/>
      <c r="R167" s="644"/>
      <c r="S167" s="644"/>
      <c r="T167" s="646">
        <f t="shared" si="9"/>
        <v>0</v>
      </c>
      <c r="U167" s="646"/>
      <c r="V167" s="729"/>
      <c r="W167" s="471"/>
      <c r="X167" s="3"/>
      <c r="Y167" s="3"/>
      <c r="Z167" s="3"/>
      <c r="AA167" s="3"/>
    </row>
    <row r="168" spans="1:27" ht="390">
      <c r="A168" s="736"/>
      <c r="B168" s="699" t="s">
        <v>333</v>
      </c>
      <c r="C168" s="699" t="s">
        <v>275</v>
      </c>
      <c r="D168" s="644">
        <v>159</v>
      </c>
      <c r="E168" s="644" t="s">
        <v>276</v>
      </c>
      <c r="F168" s="644"/>
      <c r="G168" s="644"/>
      <c r="H168" s="644"/>
      <c r="I168" s="644"/>
      <c r="J168" s="644"/>
      <c r="K168" s="646"/>
      <c r="L168" s="644"/>
      <c r="M168" s="644"/>
      <c r="N168" s="796">
        <v>16.965</v>
      </c>
      <c r="O168" s="796">
        <v>240.51</v>
      </c>
      <c r="P168" s="796">
        <v>23.27</v>
      </c>
      <c r="Q168" s="795">
        <v>2.927</v>
      </c>
      <c r="R168" s="644"/>
      <c r="S168" s="644"/>
      <c r="T168" s="646">
        <f t="shared" si="9"/>
        <v>283.67199999999997</v>
      </c>
      <c r="U168" s="658">
        <f>T168+2</f>
        <v>285.67199999999997</v>
      </c>
      <c r="V168" s="729" t="s">
        <v>1114</v>
      </c>
      <c r="W168" s="471"/>
      <c r="X168" s="3"/>
      <c r="Y168" s="3"/>
      <c r="Z168" s="3"/>
      <c r="AA168" s="3"/>
    </row>
    <row r="169" spans="1:27">
      <c r="A169" s="736"/>
      <c r="B169" s="736"/>
      <c r="C169" s="736"/>
      <c r="D169" s="644">
        <v>160</v>
      </c>
      <c r="E169" s="644" t="s">
        <v>334</v>
      </c>
      <c r="F169" s="644"/>
      <c r="G169" s="644"/>
      <c r="H169" s="644"/>
      <c r="I169" s="644"/>
      <c r="J169" s="644"/>
      <c r="K169" s="644"/>
      <c r="L169" s="644"/>
      <c r="M169" s="644"/>
      <c r="N169" s="644"/>
      <c r="O169" s="644"/>
      <c r="P169" s="644"/>
      <c r="Q169" s="644"/>
      <c r="R169" s="644"/>
      <c r="S169" s="644"/>
      <c r="T169" s="646">
        <f t="shared" si="9"/>
        <v>0</v>
      </c>
      <c r="U169" s="646"/>
      <c r="V169" s="729"/>
      <c r="W169" s="471"/>
      <c r="X169" s="3"/>
      <c r="Y169" s="3"/>
      <c r="Z169" s="3"/>
      <c r="AA169" s="3"/>
    </row>
    <row r="170" spans="1:27">
      <c r="A170" s="736"/>
      <c r="B170" s="736"/>
      <c r="C170" s="736"/>
      <c r="D170" s="644">
        <v>161</v>
      </c>
      <c r="E170" s="644" t="s">
        <v>279</v>
      </c>
      <c r="F170" s="644"/>
      <c r="G170" s="644"/>
      <c r="H170" s="644"/>
      <c r="I170" s="644"/>
      <c r="J170" s="644"/>
      <c r="K170" s="644"/>
      <c r="L170" s="644"/>
      <c r="M170" s="644"/>
      <c r="N170" s="644"/>
      <c r="O170" s="644"/>
      <c r="P170" s="644"/>
      <c r="Q170" s="644"/>
      <c r="R170" s="644"/>
      <c r="S170" s="644"/>
      <c r="T170" s="646">
        <f t="shared" si="9"/>
        <v>0</v>
      </c>
      <c r="U170" s="646"/>
      <c r="V170" s="729"/>
      <c r="W170" s="471"/>
      <c r="X170" s="3"/>
      <c r="Y170" s="3"/>
      <c r="Z170" s="3"/>
      <c r="AA170" s="3"/>
    </row>
    <row r="171" spans="1:27">
      <c r="A171" s="736"/>
      <c r="B171" s="736"/>
      <c r="C171" s="736"/>
      <c r="D171" s="644">
        <v>162</v>
      </c>
      <c r="E171" s="644" t="s">
        <v>280</v>
      </c>
      <c r="F171" s="644"/>
      <c r="G171" s="644"/>
      <c r="H171" s="644"/>
      <c r="I171" s="644"/>
      <c r="J171" s="644"/>
      <c r="K171" s="644"/>
      <c r="L171" s="644"/>
      <c r="M171" s="644"/>
      <c r="N171" s="644"/>
      <c r="O171" s="644"/>
      <c r="P171" s="644"/>
      <c r="Q171" s="644"/>
      <c r="R171" s="644"/>
      <c r="S171" s="644"/>
      <c r="T171" s="646">
        <f t="shared" si="9"/>
        <v>0</v>
      </c>
      <c r="U171" s="646"/>
      <c r="V171" s="729"/>
      <c r="W171" s="471"/>
      <c r="X171" s="3"/>
      <c r="Y171" s="3"/>
      <c r="Z171" s="3"/>
      <c r="AA171" s="3"/>
    </row>
    <row r="172" spans="1:27" ht="75">
      <c r="A172" s="736"/>
      <c r="B172" s="736"/>
      <c r="C172" s="736"/>
      <c r="D172" s="644">
        <v>163</v>
      </c>
      <c r="E172" s="644" t="s">
        <v>335</v>
      </c>
      <c r="F172" s="644"/>
      <c r="G172" s="644"/>
      <c r="H172" s="644"/>
      <c r="I172" s="644"/>
      <c r="J172" s="644"/>
      <c r="K172" s="644"/>
      <c r="L172" s="644"/>
      <c r="M172" s="644"/>
      <c r="N172" s="644"/>
      <c r="O172" s="654">
        <v>4.63</v>
      </c>
      <c r="P172" s="654"/>
      <c r="Q172" s="821">
        <v>1.55</v>
      </c>
      <c r="R172" s="644"/>
      <c r="S172" s="644"/>
      <c r="T172" s="646">
        <f t="shared" si="9"/>
        <v>6.18</v>
      </c>
      <c r="U172" s="646">
        <v>6.18</v>
      </c>
      <c r="V172" s="738" t="s">
        <v>1115</v>
      </c>
      <c r="W172" s="471"/>
      <c r="X172" s="3"/>
      <c r="Y172" s="3"/>
      <c r="Z172" s="3"/>
      <c r="AA172" s="3"/>
    </row>
    <row r="173" spans="1:27">
      <c r="A173" s="736"/>
      <c r="B173" s="699" t="s">
        <v>336</v>
      </c>
      <c r="C173" s="699" t="s">
        <v>337</v>
      </c>
      <c r="D173" s="644">
        <v>164</v>
      </c>
      <c r="E173" s="644" t="s">
        <v>338</v>
      </c>
      <c r="F173" s="644"/>
      <c r="G173" s="654"/>
      <c r="H173" s="654"/>
      <c r="I173" s="644"/>
      <c r="J173" s="644"/>
      <c r="K173" s="644"/>
      <c r="L173" s="644"/>
      <c r="M173" s="644"/>
      <c r="N173" s="644"/>
      <c r="O173" s="644"/>
      <c r="P173" s="644"/>
      <c r="Q173" s="644"/>
      <c r="R173" s="644"/>
      <c r="S173" s="644"/>
      <c r="T173" s="646">
        <f t="shared" si="9"/>
        <v>0</v>
      </c>
      <c r="U173" s="646"/>
      <c r="V173" s="729"/>
      <c r="W173" s="471"/>
      <c r="X173" s="3"/>
      <c r="Y173" s="3"/>
      <c r="Z173" s="3"/>
      <c r="AA173" s="3"/>
    </row>
    <row r="174" spans="1:27">
      <c r="A174" s="736"/>
      <c r="B174" s="736"/>
      <c r="C174" s="736"/>
      <c r="D174" s="644">
        <v>165</v>
      </c>
      <c r="E174" s="644" t="s">
        <v>339</v>
      </c>
      <c r="F174" s="644"/>
      <c r="G174" s="654"/>
      <c r="H174" s="654"/>
      <c r="I174" s="644"/>
      <c r="J174" s="644"/>
      <c r="K174" s="644"/>
      <c r="L174" s="644"/>
      <c r="M174" s="644"/>
      <c r="N174" s="644"/>
      <c r="O174" s="644"/>
      <c r="P174" s="644"/>
      <c r="Q174" s="644"/>
      <c r="R174" s="644"/>
      <c r="S174" s="644"/>
      <c r="T174" s="646">
        <f t="shared" si="9"/>
        <v>0</v>
      </c>
      <c r="U174" s="646"/>
      <c r="V174" s="729"/>
      <c r="W174" s="471"/>
      <c r="X174" s="3"/>
      <c r="Y174" s="3"/>
      <c r="Z174" s="3"/>
      <c r="AA174" s="3"/>
    </row>
    <row r="175" spans="1:27" ht="30">
      <c r="A175" s="736"/>
      <c r="B175" s="736"/>
      <c r="C175" s="736"/>
      <c r="D175" s="644">
        <v>166</v>
      </c>
      <c r="E175" s="644" t="s">
        <v>340</v>
      </c>
      <c r="F175" s="644"/>
      <c r="G175" s="654"/>
      <c r="H175" s="654"/>
      <c r="I175" s="644"/>
      <c r="J175" s="644"/>
      <c r="K175" s="644"/>
      <c r="L175" s="644"/>
      <c r="M175" s="644"/>
      <c r="N175" s="644"/>
      <c r="O175" s="644"/>
      <c r="P175" s="644"/>
      <c r="Q175" s="644"/>
      <c r="R175" s="644"/>
      <c r="S175" s="644"/>
      <c r="T175" s="646">
        <f t="shared" si="9"/>
        <v>0</v>
      </c>
      <c r="U175" s="646"/>
      <c r="V175" s="729"/>
      <c r="W175" s="471"/>
      <c r="X175" s="3"/>
      <c r="Y175" s="3"/>
      <c r="Z175" s="3"/>
      <c r="AA175" s="3"/>
    </row>
    <row r="176" spans="1:27">
      <c r="A176" s="736"/>
      <c r="B176" s="736"/>
      <c r="C176" s="736"/>
      <c r="D176" s="644">
        <v>167</v>
      </c>
      <c r="E176" s="644" t="s">
        <v>341</v>
      </c>
      <c r="F176" s="644"/>
      <c r="G176" s="654"/>
      <c r="H176" s="654"/>
      <c r="I176" s="644"/>
      <c r="J176" s="644"/>
      <c r="K176" s="644"/>
      <c r="L176" s="644"/>
      <c r="M176" s="644"/>
      <c r="N176" s="644"/>
      <c r="O176" s="644"/>
      <c r="P176" s="644"/>
      <c r="Q176" s="644"/>
      <c r="R176" s="644"/>
      <c r="S176" s="644"/>
      <c r="T176" s="646">
        <f t="shared" si="9"/>
        <v>0</v>
      </c>
      <c r="U176" s="646"/>
      <c r="V176" s="729"/>
      <c r="W176" s="471"/>
      <c r="X176" s="3"/>
      <c r="Y176" s="3"/>
      <c r="Z176" s="3"/>
      <c r="AA176" s="3"/>
    </row>
    <row r="177" spans="1:27">
      <c r="A177" s="736"/>
      <c r="B177" s="736"/>
      <c r="C177" s="736"/>
      <c r="D177" s="644">
        <v>168</v>
      </c>
      <c r="E177" s="644" t="s">
        <v>342</v>
      </c>
      <c r="F177" s="644"/>
      <c r="G177" s="654"/>
      <c r="H177" s="654"/>
      <c r="I177" s="644"/>
      <c r="J177" s="644"/>
      <c r="K177" s="644"/>
      <c r="L177" s="644"/>
      <c r="M177" s="644"/>
      <c r="N177" s="644"/>
      <c r="O177" s="644"/>
      <c r="P177" s="644"/>
      <c r="Q177" s="644"/>
      <c r="R177" s="644"/>
      <c r="S177" s="644"/>
      <c r="T177" s="646">
        <f t="shared" si="9"/>
        <v>0</v>
      </c>
      <c r="U177" s="646"/>
      <c r="V177" s="729"/>
      <c r="W177" s="471"/>
      <c r="X177" s="3"/>
      <c r="Y177" s="3"/>
      <c r="Z177" s="3"/>
      <c r="AA177" s="3"/>
    </row>
    <row r="178" spans="1:27" ht="45">
      <c r="A178" s="736"/>
      <c r="B178" s="736"/>
      <c r="C178" s="736"/>
      <c r="D178" s="644">
        <v>169</v>
      </c>
      <c r="E178" s="644" t="s">
        <v>343</v>
      </c>
      <c r="F178" s="644"/>
      <c r="G178" s="654"/>
      <c r="H178" s="654"/>
      <c r="I178" s="646"/>
      <c r="J178" s="644"/>
      <c r="K178" s="644"/>
      <c r="L178" s="644"/>
      <c r="M178" s="644"/>
      <c r="N178" s="644"/>
      <c r="O178" s="644"/>
      <c r="P178" s="644"/>
      <c r="Q178" s="644"/>
      <c r="R178" s="644"/>
      <c r="S178" s="644"/>
      <c r="T178" s="646">
        <f t="shared" si="9"/>
        <v>0</v>
      </c>
      <c r="U178" s="646"/>
      <c r="V178" s="729"/>
      <c r="W178" s="471"/>
      <c r="X178" s="3"/>
      <c r="Y178" s="3"/>
      <c r="Z178" s="3"/>
      <c r="AA178" s="3"/>
    </row>
    <row r="179" spans="1:27" ht="60">
      <c r="A179" s="736"/>
      <c r="B179" s="736"/>
      <c r="C179" s="736"/>
      <c r="D179" s="644">
        <v>170</v>
      </c>
      <c r="E179" s="644" t="s">
        <v>344</v>
      </c>
      <c r="F179" s="644"/>
      <c r="G179" s="644"/>
      <c r="H179" s="644"/>
      <c r="I179" s="644"/>
      <c r="J179" s="644"/>
      <c r="K179" s="644"/>
      <c r="L179" s="644"/>
      <c r="M179" s="644"/>
      <c r="N179" s="644"/>
      <c r="O179" s="644"/>
      <c r="P179" s="644"/>
      <c r="Q179" s="644"/>
      <c r="R179" s="644"/>
      <c r="S179" s="644"/>
      <c r="T179" s="646">
        <f t="shared" si="9"/>
        <v>0</v>
      </c>
      <c r="U179" s="646"/>
      <c r="V179" s="729"/>
      <c r="W179" s="471"/>
      <c r="X179" s="3"/>
      <c r="Y179" s="3"/>
      <c r="Z179" s="3"/>
      <c r="AA179" s="3"/>
    </row>
    <row r="180" spans="1:27" ht="30">
      <c r="A180" s="736"/>
      <c r="B180" s="699" t="s">
        <v>345</v>
      </c>
      <c r="C180" s="699" t="s">
        <v>346</v>
      </c>
      <c r="D180" s="644">
        <v>171</v>
      </c>
      <c r="E180" s="644" t="s">
        <v>347</v>
      </c>
      <c r="F180" s="644"/>
      <c r="G180" s="644"/>
      <c r="H180" s="644"/>
      <c r="I180" s="644"/>
      <c r="J180" s="644"/>
      <c r="K180" s="644"/>
      <c r="L180" s="644"/>
      <c r="M180" s="644"/>
      <c r="N180" s="644"/>
      <c r="O180" s="644"/>
      <c r="P180" s="644"/>
      <c r="Q180" s="644"/>
      <c r="R180" s="644"/>
      <c r="S180" s="644"/>
      <c r="T180" s="646">
        <f t="shared" si="9"/>
        <v>0</v>
      </c>
      <c r="U180" s="646"/>
      <c r="V180" s="729"/>
      <c r="W180" s="471"/>
      <c r="X180" s="3"/>
      <c r="Y180" s="3"/>
      <c r="Z180" s="3"/>
      <c r="AA180" s="3"/>
    </row>
    <row r="181" spans="1:27" ht="30">
      <c r="A181" s="736"/>
      <c r="B181" s="736"/>
      <c r="C181" s="736"/>
      <c r="D181" s="644">
        <v>172</v>
      </c>
      <c r="E181" s="644" t="s">
        <v>348</v>
      </c>
      <c r="F181" s="644"/>
      <c r="G181" s="644"/>
      <c r="H181" s="644"/>
      <c r="I181" s="644"/>
      <c r="J181" s="644"/>
      <c r="K181" s="644"/>
      <c r="L181" s="644"/>
      <c r="M181" s="644"/>
      <c r="N181" s="644"/>
      <c r="O181" s="644"/>
      <c r="P181" s="646"/>
      <c r="Q181" s="644"/>
      <c r="R181" s="644"/>
      <c r="S181" s="644"/>
      <c r="T181" s="646">
        <f t="shared" si="9"/>
        <v>0</v>
      </c>
      <c r="U181" s="646"/>
      <c r="V181" s="729"/>
      <c r="W181" s="471"/>
      <c r="X181" s="3"/>
      <c r="Y181" s="3"/>
      <c r="Z181" s="3"/>
      <c r="AA181" s="3"/>
    </row>
    <row r="182" spans="1:27" ht="30">
      <c r="A182" s="736"/>
      <c r="B182" s="736"/>
      <c r="C182" s="736"/>
      <c r="D182" s="644">
        <v>173</v>
      </c>
      <c r="E182" s="644" t="s">
        <v>349</v>
      </c>
      <c r="F182" s="644"/>
      <c r="G182" s="644"/>
      <c r="H182" s="644"/>
      <c r="I182" s="644"/>
      <c r="J182" s="644"/>
      <c r="K182" s="644"/>
      <c r="L182" s="644"/>
      <c r="M182" s="644"/>
      <c r="N182" s="644"/>
      <c r="O182" s="644"/>
      <c r="P182" s="644"/>
      <c r="Q182" s="644"/>
      <c r="R182" s="644"/>
      <c r="S182" s="644"/>
      <c r="T182" s="646">
        <f t="shared" si="9"/>
        <v>0</v>
      </c>
      <c r="U182" s="646"/>
      <c r="V182" s="729"/>
      <c r="W182" s="471"/>
      <c r="X182" s="3"/>
      <c r="Y182" s="3"/>
      <c r="Z182" s="3"/>
      <c r="AA182" s="3"/>
    </row>
    <row r="183" spans="1:27">
      <c r="A183" s="736"/>
      <c r="B183" s="736"/>
      <c r="C183" s="736"/>
      <c r="D183" s="644">
        <v>174</v>
      </c>
      <c r="E183" s="644" t="s">
        <v>350</v>
      </c>
      <c r="F183" s="644"/>
      <c r="G183" s="644"/>
      <c r="H183" s="644"/>
      <c r="I183" s="644"/>
      <c r="J183" s="644"/>
      <c r="K183" s="644"/>
      <c r="L183" s="644"/>
      <c r="M183" s="644"/>
      <c r="N183" s="644"/>
      <c r="O183" s="644"/>
      <c r="P183" s="646"/>
      <c r="Q183" s="644"/>
      <c r="R183" s="644"/>
      <c r="S183" s="644"/>
      <c r="T183" s="646">
        <f t="shared" si="9"/>
        <v>0</v>
      </c>
      <c r="U183" s="646"/>
      <c r="V183" s="729"/>
      <c r="W183" s="471"/>
      <c r="X183" s="3"/>
      <c r="Y183" s="3"/>
      <c r="Z183" s="3"/>
      <c r="AA183" s="3"/>
    </row>
    <row r="184" spans="1:27" ht="409.5">
      <c r="A184" s="736"/>
      <c r="B184" s="699" t="s">
        <v>351</v>
      </c>
      <c r="C184" s="699" t="s">
        <v>290</v>
      </c>
      <c r="D184" s="644">
        <v>175</v>
      </c>
      <c r="E184" s="644" t="s">
        <v>291</v>
      </c>
      <c r="F184" s="795"/>
      <c r="G184" s="795"/>
      <c r="H184" s="795"/>
      <c r="I184" s="822">
        <v>6.2</v>
      </c>
      <c r="J184" s="817"/>
      <c r="K184" s="817"/>
      <c r="L184" s="817"/>
      <c r="M184" s="817"/>
      <c r="N184" s="821">
        <v>8.09</v>
      </c>
      <c r="O184" s="817"/>
      <c r="P184" s="678">
        <f>5+27.08</f>
        <v>32.08</v>
      </c>
      <c r="Q184" s="821">
        <v>1</v>
      </c>
      <c r="R184" s="822">
        <v>0.79</v>
      </c>
      <c r="S184" s="822"/>
      <c r="T184" s="646">
        <f t="shared" si="9"/>
        <v>48.16</v>
      </c>
      <c r="U184" s="646">
        <f t="shared" ref="U184:U186" si="15">T184</f>
        <v>48.16</v>
      </c>
      <c r="V184" s="788" t="s">
        <v>1116</v>
      </c>
      <c r="W184" s="471"/>
      <c r="X184" s="3"/>
      <c r="Y184" s="3"/>
      <c r="Z184" s="3"/>
      <c r="AA184" s="3"/>
    </row>
    <row r="185" spans="1:27" ht="409.5">
      <c r="A185" s="736"/>
      <c r="B185" s="736"/>
      <c r="C185" s="736"/>
      <c r="D185" s="644">
        <v>176</v>
      </c>
      <c r="E185" s="644" t="s">
        <v>293</v>
      </c>
      <c r="F185" s="795"/>
      <c r="G185" s="795"/>
      <c r="H185" s="795"/>
      <c r="I185" s="795"/>
      <c r="J185" s="795"/>
      <c r="K185" s="795"/>
      <c r="L185" s="795"/>
      <c r="M185" s="796">
        <v>14.4</v>
      </c>
      <c r="N185" s="795"/>
      <c r="O185" s="795"/>
      <c r="P185" s="796">
        <v>45.23</v>
      </c>
      <c r="Q185" s="796">
        <v>4.9000000000000004</v>
      </c>
      <c r="R185" s="795"/>
      <c r="S185" s="795"/>
      <c r="T185" s="646">
        <f t="shared" si="9"/>
        <v>64.53</v>
      </c>
      <c r="U185" s="646">
        <f t="shared" si="15"/>
        <v>64.53</v>
      </c>
      <c r="V185" s="788" t="s">
        <v>1117</v>
      </c>
      <c r="W185" s="471"/>
      <c r="X185" s="3"/>
      <c r="Y185" s="3"/>
      <c r="Z185" s="3"/>
      <c r="AA185" s="3"/>
    </row>
    <row r="186" spans="1:27" ht="75">
      <c r="A186" s="736"/>
      <c r="B186" s="736"/>
      <c r="C186" s="736"/>
      <c r="D186" s="644">
        <v>177</v>
      </c>
      <c r="E186" s="644" t="s">
        <v>295</v>
      </c>
      <c r="F186" s="795"/>
      <c r="G186" s="795"/>
      <c r="H186" s="795"/>
      <c r="I186" s="795"/>
      <c r="J186" s="795"/>
      <c r="K186" s="795"/>
      <c r="L186" s="795"/>
      <c r="M186" s="795"/>
      <c r="N186" s="797">
        <v>1</v>
      </c>
      <c r="O186" s="795"/>
      <c r="P186" s="795"/>
      <c r="Q186" s="795"/>
      <c r="R186" s="795"/>
      <c r="S186" s="795"/>
      <c r="T186" s="646">
        <f t="shared" si="9"/>
        <v>1</v>
      </c>
      <c r="U186" s="646">
        <f t="shared" si="15"/>
        <v>1</v>
      </c>
      <c r="V186" s="738" t="s">
        <v>352</v>
      </c>
      <c r="W186" s="471"/>
      <c r="X186" s="3"/>
      <c r="Y186" s="3"/>
      <c r="Z186" s="3"/>
      <c r="AA186" s="3"/>
    </row>
    <row r="187" spans="1:27" ht="60">
      <c r="A187" s="736"/>
      <c r="B187" s="699" t="s">
        <v>353</v>
      </c>
      <c r="C187" s="699" t="s">
        <v>354</v>
      </c>
      <c r="D187" s="644">
        <v>178</v>
      </c>
      <c r="E187" s="644" t="s">
        <v>355</v>
      </c>
      <c r="F187" s="644"/>
      <c r="G187" s="644"/>
      <c r="H187" s="644"/>
      <c r="I187" s="644"/>
      <c r="J187" s="644"/>
      <c r="K187" s="644"/>
      <c r="L187" s="644"/>
      <c r="M187" s="644"/>
      <c r="N187" s="644"/>
      <c r="O187" s="644"/>
      <c r="P187" s="847">
        <v>1.5</v>
      </c>
      <c r="Q187" s="829"/>
      <c r="R187" s="829"/>
      <c r="S187" s="829"/>
      <c r="T187" s="847">
        <f t="shared" ref="T187" si="16">SUM(F187:S187)</f>
        <v>1.5</v>
      </c>
      <c r="U187" s="847">
        <f>T187</f>
        <v>1.5</v>
      </c>
      <c r="V187" s="744" t="s">
        <v>1857</v>
      </c>
      <c r="W187" s="471"/>
      <c r="X187" s="3"/>
      <c r="Y187" s="3"/>
      <c r="Z187" s="3"/>
      <c r="AA187" s="3"/>
    </row>
    <row r="188" spans="1:27">
      <c r="A188" s="736"/>
      <c r="B188" s="736"/>
      <c r="C188" s="736"/>
      <c r="D188" s="644">
        <v>179</v>
      </c>
      <c r="E188" s="644" t="s">
        <v>157</v>
      </c>
      <c r="F188" s="644"/>
      <c r="G188" s="644"/>
      <c r="H188" s="644"/>
      <c r="I188" s="644"/>
      <c r="J188" s="644"/>
      <c r="K188" s="644"/>
      <c r="L188" s="644"/>
      <c r="M188" s="644"/>
      <c r="N188" s="644"/>
      <c r="O188" s="644"/>
      <c r="P188" s="644"/>
      <c r="Q188" s="644"/>
      <c r="R188" s="644"/>
      <c r="S188" s="644"/>
      <c r="T188" s="646">
        <f t="shared" si="9"/>
        <v>0</v>
      </c>
      <c r="U188" s="646"/>
      <c r="V188" s="729"/>
      <c r="W188" s="471"/>
      <c r="X188" s="3"/>
      <c r="Y188" s="3"/>
      <c r="Z188" s="3"/>
      <c r="AA188" s="3"/>
    </row>
    <row r="189" spans="1:27" ht="30">
      <c r="A189" s="736"/>
      <c r="B189" s="736"/>
      <c r="C189" s="736"/>
      <c r="D189" s="644">
        <v>180</v>
      </c>
      <c r="E189" s="644" t="s">
        <v>356</v>
      </c>
      <c r="F189" s="644"/>
      <c r="G189" s="644"/>
      <c r="H189" s="644"/>
      <c r="I189" s="644"/>
      <c r="J189" s="644"/>
      <c r="K189" s="646"/>
      <c r="L189" s="644"/>
      <c r="M189" s="644"/>
      <c r="N189" s="644"/>
      <c r="O189" s="644"/>
      <c r="P189" s="654"/>
      <c r="Q189" s="644"/>
      <c r="R189" s="644"/>
      <c r="S189" s="644"/>
      <c r="T189" s="646">
        <f t="shared" si="9"/>
        <v>0</v>
      </c>
      <c r="U189" s="646"/>
      <c r="V189" s="729"/>
      <c r="W189" s="471"/>
      <c r="X189" s="3"/>
      <c r="Y189" s="3"/>
      <c r="Z189" s="3"/>
      <c r="AA189" s="3"/>
    </row>
    <row r="190" spans="1:27" ht="30">
      <c r="A190" s="736"/>
      <c r="B190" s="736"/>
      <c r="C190" s="736"/>
      <c r="D190" s="644">
        <v>181</v>
      </c>
      <c r="E190" s="644" t="s">
        <v>357</v>
      </c>
      <c r="F190" s="644"/>
      <c r="G190" s="644"/>
      <c r="H190" s="644"/>
      <c r="I190" s="644"/>
      <c r="J190" s="644"/>
      <c r="K190" s="644"/>
      <c r="L190" s="644"/>
      <c r="M190" s="644"/>
      <c r="N190" s="644"/>
      <c r="O190" s="644"/>
      <c r="P190" s="644"/>
      <c r="Q190" s="644"/>
      <c r="R190" s="644"/>
      <c r="S190" s="644"/>
      <c r="T190" s="646">
        <f t="shared" si="9"/>
        <v>0</v>
      </c>
      <c r="U190" s="646"/>
      <c r="V190" s="729"/>
      <c r="W190" s="471"/>
      <c r="X190" s="3"/>
      <c r="Y190" s="3"/>
      <c r="Z190" s="3"/>
      <c r="AA190" s="3"/>
    </row>
    <row r="191" spans="1:27">
      <c r="A191" s="736"/>
      <c r="B191" s="736"/>
      <c r="C191" s="736"/>
      <c r="D191" s="644">
        <v>182</v>
      </c>
      <c r="E191" s="644" t="s">
        <v>358</v>
      </c>
      <c r="F191" s="644"/>
      <c r="G191" s="644"/>
      <c r="H191" s="644"/>
      <c r="I191" s="644"/>
      <c r="J191" s="644"/>
      <c r="K191" s="644"/>
      <c r="L191" s="644"/>
      <c r="M191" s="644"/>
      <c r="N191" s="644"/>
      <c r="O191" s="644"/>
      <c r="P191" s="646"/>
      <c r="Q191" s="644"/>
      <c r="R191" s="644"/>
      <c r="S191" s="644"/>
      <c r="T191" s="646">
        <f t="shared" si="9"/>
        <v>0</v>
      </c>
      <c r="U191" s="658">
        <f>T191*1.05</f>
        <v>0</v>
      </c>
      <c r="V191" s="729"/>
      <c r="W191" s="471"/>
      <c r="X191" s="3"/>
      <c r="Y191" s="3"/>
      <c r="Z191" s="3"/>
      <c r="AA191" s="3"/>
    </row>
    <row r="192" spans="1:27" ht="60">
      <c r="A192" s="736"/>
      <c r="B192" s="736"/>
      <c r="C192" s="736"/>
      <c r="D192" s="644">
        <v>183</v>
      </c>
      <c r="E192" s="644" t="s">
        <v>360</v>
      </c>
      <c r="F192" s="644"/>
      <c r="G192" s="644"/>
      <c r="H192" s="644"/>
      <c r="I192" s="644"/>
      <c r="J192" s="644"/>
      <c r="K192" s="644"/>
      <c r="L192" s="644"/>
      <c r="M192" s="644"/>
      <c r="N192" s="644"/>
      <c r="O192" s="644"/>
      <c r="P192" s="654"/>
      <c r="Q192" s="644"/>
      <c r="R192" s="644"/>
      <c r="S192" s="644"/>
      <c r="T192" s="646">
        <f t="shared" si="9"/>
        <v>0</v>
      </c>
      <c r="U192" s="646">
        <f>SUM(G192:T192)</f>
        <v>0</v>
      </c>
      <c r="V192" s="729"/>
      <c r="W192" s="471"/>
      <c r="X192" s="3"/>
      <c r="Y192" s="3"/>
      <c r="Z192" s="3"/>
      <c r="AA192" s="3"/>
    </row>
    <row r="193" spans="1:27" ht="60">
      <c r="A193" s="736"/>
      <c r="B193" s="644" t="s">
        <v>361</v>
      </c>
      <c r="C193" s="644" t="s">
        <v>362</v>
      </c>
      <c r="D193" s="644">
        <v>184</v>
      </c>
      <c r="E193" s="644" t="s">
        <v>363</v>
      </c>
      <c r="F193" s="644"/>
      <c r="G193" s="644"/>
      <c r="H193" s="644"/>
      <c r="I193" s="644"/>
      <c r="J193" s="644"/>
      <c r="K193" s="644"/>
      <c r="L193" s="644"/>
      <c r="M193" s="644"/>
      <c r="N193" s="644"/>
      <c r="O193" s="644"/>
      <c r="P193" s="646"/>
      <c r="Q193" s="644"/>
      <c r="R193" s="644"/>
      <c r="S193" s="644"/>
      <c r="T193" s="646">
        <f t="shared" si="9"/>
        <v>0</v>
      </c>
      <c r="U193" s="646"/>
      <c r="V193" s="729"/>
      <c r="W193" s="471"/>
      <c r="X193" s="3"/>
      <c r="Y193" s="3"/>
      <c r="Z193" s="3"/>
      <c r="AA193" s="3"/>
    </row>
    <row r="194" spans="1:27" ht="30">
      <c r="A194" s="736"/>
      <c r="B194" s="699" t="s">
        <v>364</v>
      </c>
      <c r="C194" s="699" t="s">
        <v>297</v>
      </c>
      <c r="D194" s="644">
        <v>185</v>
      </c>
      <c r="E194" s="644" t="s">
        <v>298</v>
      </c>
      <c r="F194" s="644"/>
      <c r="G194" s="644"/>
      <c r="H194" s="644"/>
      <c r="I194" s="644"/>
      <c r="J194" s="644"/>
      <c r="K194" s="644"/>
      <c r="L194" s="644"/>
      <c r="M194" s="644"/>
      <c r="N194" s="644"/>
      <c r="O194" s="644"/>
      <c r="P194" s="726">
        <v>1842.0485999999989</v>
      </c>
      <c r="Q194" s="644"/>
      <c r="R194" s="644"/>
      <c r="S194" s="644"/>
      <c r="T194" s="646">
        <f t="shared" si="9"/>
        <v>1842.0485999999989</v>
      </c>
      <c r="U194" s="727">
        <v>1979.0970158399989</v>
      </c>
      <c r="V194" s="1206" t="s">
        <v>1732</v>
      </c>
      <c r="W194" s="471"/>
      <c r="X194" s="3"/>
      <c r="Y194" s="3"/>
      <c r="Z194" s="3"/>
      <c r="AA194" s="3"/>
    </row>
    <row r="195" spans="1:27" ht="105">
      <c r="A195" s="736"/>
      <c r="B195" s="736"/>
      <c r="C195" s="736"/>
      <c r="D195" s="644">
        <v>186</v>
      </c>
      <c r="E195" s="644" t="s">
        <v>299</v>
      </c>
      <c r="F195" s="644"/>
      <c r="G195" s="644"/>
      <c r="H195" s="644"/>
      <c r="I195" s="644"/>
      <c r="J195" s="644"/>
      <c r="K195" s="644"/>
      <c r="L195" s="644"/>
      <c r="M195" s="644"/>
      <c r="N195" s="644"/>
      <c r="O195" s="644"/>
      <c r="P195" s="654">
        <f>5.055+4.0263</f>
        <v>9.0812999999999988</v>
      </c>
      <c r="Q195" s="646"/>
      <c r="R195" s="644"/>
      <c r="S195" s="644"/>
      <c r="T195" s="646">
        <f t="shared" si="9"/>
        <v>9.0812999999999988</v>
      </c>
      <c r="U195" s="646">
        <f>T195</f>
        <v>9.0812999999999988</v>
      </c>
      <c r="V195" s="729" t="s">
        <v>1118</v>
      </c>
      <c r="W195" s="471"/>
      <c r="X195" s="3"/>
      <c r="Y195" s="3"/>
      <c r="Z195" s="3"/>
      <c r="AA195" s="3"/>
    </row>
    <row r="196" spans="1:27">
      <c r="A196" s="736"/>
      <c r="B196" s="736"/>
      <c r="C196" s="736"/>
      <c r="D196" s="644">
        <v>187</v>
      </c>
      <c r="E196" s="644" t="s">
        <v>367</v>
      </c>
      <c r="F196" s="644"/>
      <c r="G196" s="644"/>
      <c r="H196" s="644"/>
      <c r="I196" s="644"/>
      <c r="J196" s="644"/>
      <c r="K196" s="644"/>
      <c r="L196" s="644"/>
      <c r="M196" s="644"/>
      <c r="N196" s="644"/>
      <c r="O196" s="644"/>
      <c r="P196" s="726">
        <v>678.6</v>
      </c>
      <c r="Q196" s="644"/>
      <c r="R196" s="644"/>
      <c r="S196" s="644"/>
      <c r="T196" s="646">
        <f t="shared" si="9"/>
        <v>678.6</v>
      </c>
      <c r="U196" s="726">
        <v>735.05952000000002</v>
      </c>
      <c r="V196" s="1206" t="s">
        <v>1732</v>
      </c>
      <c r="W196" s="471"/>
      <c r="X196" s="3"/>
      <c r="Y196" s="3"/>
      <c r="Z196" s="3"/>
      <c r="AA196" s="3"/>
    </row>
    <row r="197" spans="1:27">
      <c r="A197" s="736"/>
      <c r="B197" s="736"/>
      <c r="C197" s="736"/>
      <c r="D197" s="644">
        <v>188</v>
      </c>
      <c r="E197" s="644" t="s">
        <v>300</v>
      </c>
      <c r="F197" s="644"/>
      <c r="G197" s="644"/>
      <c r="H197" s="644"/>
      <c r="I197" s="644"/>
      <c r="J197" s="644"/>
      <c r="K197" s="644"/>
      <c r="L197" s="644"/>
      <c r="M197" s="644"/>
      <c r="N197" s="644"/>
      <c r="O197" s="644"/>
      <c r="P197" s="644"/>
      <c r="Q197" s="644"/>
      <c r="R197" s="644"/>
      <c r="S197" s="644"/>
      <c r="T197" s="646">
        <f t="shared" si="9"/>
        <v>0</v>
      </c>
      <c r="U197" s="646"/>
      <c r="V197" s="729"/>
      <c r="W197" s="471"/>
      <c r="X197" s="3"/>
      <c r="Y197" s="3"/>
      <c r="Z197" s="3"/>
      <c r="AA197" s="3"/>
    </row>
    <row r="198" spans="1:27" ht="45">
      <c r="A198" s="736"/>
      <c r="B198" s="736"/>
      <c r="C198" s="736"/>
      <c r="D198" s="644">
        <v>189</v>
      </c>
      <c r="E198" s="644" t="s">
        <v>301</v>
      </c>
      <c r="F198" s="644"/>
      <c r="G198" s="644"/>
      <c r="H198" s="644"/>
      <c r="I198" s="644"/>
      <c r="J198" s="644"/>
      <c r="K198" s="644"/>
      <c r="L198" s="644"/>
      <c r="M198" s="644"/>
      <c r="N198" s="644"/>
      <c r="O198" s="644"/>
      <c r="P198" s="644"/>
      <c r="Q198" s="644"/>
      <c r="R198" s="644"/>
      <c r="S198" s="644"/>
      <c r="T198" s="646">
        <f t="shared" si="9"/>
        <v>0</v>
      </c>
      <c r="U198" s="646"/>
      <c r="V198" s="729"/>
      <c r="W198" s="471"/>
      <c r="X198" s="3"/>
      <c r="Y198" s="3"/>
      <c r="Z198" s="3"/>
      <c r="AA198" s="3"/>
    </row>
    <row r="199" spans="1:27" ht="45">
      <c r="A199" s="736"/>
      <c r="B199" s="736"/>
      <c r="C199" s="736"/>
      <c r="D199" s="644">
        <v>190</v>
      </c>
      <c r="E199" s="644" t="s">
        <v>368</v>
      </c>
      <c r="F199" s="644"/>
      <c r="G199" s="644"/>
      <c r="H199" s="644"/>
      <c r="I199" s="644"/>
      <c r="J199" s="644"/>
      <c r="K199" s="644"/>
      <c r="L199" s="644"/>
      <c r="M199" s="644"/>
      <c r="N199" s="644"/>
      <c r="O199" s="644"/>
      <c r="P199" s="654"/>
      <c r="Q199" s="644"/>
      <c r="R199" s="644"/>
      <c r="S199" s="644"/>
      <c r="T199" s="646">
        <f t="shared" si="9"/>
        <v>0</v>
      </c>
      <c r="U199" s="646"/>
      <c r="V199" s="729"/>
      <c r="W199" s="471"/>
      <c r="X199" s="3"/>
      <c r="Y199" s="3"/>
      <c r="Z199" s="3"/>
      <c r="AA199" s="3"/>
    </row>
    <row r="200" spans="1:27" ht="30">
      <c r="A200" s="736"/>
      <c r="B200" s="699" t="s">
        <v>370</v>
      </c>
      <c r="C200" s="699" t="s">
        <v>371</v>
      </c>
      <c r="D200" s="644">
        <v>191</v>
      </c>
      <c r="E200" s="644" t="s">
        <v>372</v>
      </c>
      <c r="F200" s="644"/>
      <c r="G200" s="644"/>
      <c r="H200" s="644"/>
      <c r="I200" s="644"/>
      <c r="J200" s="644"/>
      <c r="K200" s="644"/>
      <c r="L200" s="644"/>
      <c r="M200" s="644"/>
      <c r="N200" s="646"/>
      <c r="O200" s="644"/>
      <c r="P200" s="644"/>
      <c r="Q200" s="644"/>
      <c r="R200" s="644"/>
      <c r="S200" s="644"/>
      <c r="T200" s="646">
        <f t="shared" si="9"/>
        <v>0</v>
      </c>
      <c r="U200" s="646">
        <f t="shared" ref="U200:U201" si="17">SUM(G200:T200)</f>
        <v>0</v>
      </c>
      <c r="V200" s="729"/>
      <c r="W200" s="471"/>
      <c r="X200" s="3"/>
      <c r="Y200" s="3"/>
      <c r="Z200" s="3"/>
      <c r="AA200" s="3"/>
    </row>
    <row r="201" spans="1:27" ht="30">
      <c r="A201" s="736"/>
      <c r="B201" s="736"/>
      <c r="C201" s="736"/>
      <c r="D201" s="644">
        <v>192</v>
      </c>
      <c r="E201" s="644" t="s">
        <v>373</v>
      </c>
      <c r="F201" s="644"/>
      <c r="G201" s="644"/>
      <c r="H201" s="654"/>
      <c r="I201" s="644"/>
      <c r="J201" s="644"/>
      <c r="K201" s="644"/>
      <c r="L201" s="644"/>
      <c r="M201" s="644"/>
      <c r="N201" s="646">
        <v>0</v>
      </c>
      <c r="O201" s="644"/>
      <c r="P201" s="646"/>
      <c r="Q201" s="654"/>
      <c r="R201" s="644"/>
      <c r="S201" s="644"/>
      <c r="T201" s="646">
        <f t="shared" si="9"/>
        <v>0</v>
      </c>
      <c r="U201" s="646">
        <f t="shared" si="17"/>
        <v>0</v>
      </c>
      <c r="V201" s="749"/>
      <c r="W201" s="471"/>
      <c r="X201" s="3"/>
      <c r="Y201" s="3"/>
      <c r="Z201" s="3"/>
      <c r="AA201" s="3"/>
    </row>
    <row r="202" spans="1:27" ht="30">
      <c r="A202" s="736"/>
      <c r="B202" s="699" t="s">
        <v>374</v>
      </c>
      <c r="C202" s="699" t="s">
        <v>303</v>
      </c>
      <c r="D202" s="644">
        <v>193</v>
      </c>
      <c r="E202" s="644" t="s">
        <v>375</v>
      </c>
      <c r="F202" s="644"/>
      <c r="G202" s="644"/>
      <c r="H202" s="644"/>
      <c r="I202" s="644"/>
      <c r="J202" s="644"/>
      <c r="K202" s="644"/>
      <c r="L202" s="644"/>
      <c r="M202" s="644"/>
      <c r="N202" s="644"/>
      <c r="O202" s="644"/>
      <c r="P202" s="646"/>
      <c r="Q202" s="644"/>
      <c r="R202" s="644"/>
      <c r="S202" s="654"/>
      <c r="T202" s="646">
        <f t="shared" si="9"/>
        <v>0</v>
      </c>
      <c r="U202" s="646"/>
      <c r="V202" s="729"/>
      <c r="W202" s="471"/>
      <c r="X202" s="3"/>
      <c r="Y202" s="3"/>
      <c r="Z202" s="3"/>
      <c r="AA202" s="3"/>
    </row>
    <row r="203" spans="1:27" ht="240">
      <c r="A203" s="736"/>
      <c r="B203" s="736"/>
      <c r="C203" s="736"/>
      <c r="D203" s="644">
        <v>194</v>
      </c>
      <c r="E203" s="644" t="s">
        <v>304</v>
      </c>
      <c r="F203" s="644"/>
      <c r="G203" s="644"/>
      <c r="H203" s="644"/>
      <c r="I203" s="644"/>
      <c r="J203" s="644"/>
      <c r="K203" s="644"/>
      <c r="L203" s="644"/>
      <c r="M203" s="644"/>
      <c r="N203" s="646">
        <v>1.2</v>
      </c>
      <c r="O203" s="644"/>
      <c r="P203" s="644"/>
      <c r="Q203" s="646"/>
      <c r="R203" s="646">
        <v>35</v>
      </c>
      <c r="S203" s="644"/>
      <c r="T203" s="646">
        <f t="shared" si="9"/>
        <v>36.200000000000003</v>
      </c>
      <c r="U203" s="658">
        <f>R203*1.05+N203</f>
        <v>37.950000000000003</v>
      </c>
      <c r="V203" s="729" t="s">
        <v>1774</v>
      </c>
      <c r="W203" s="471"/>
      <c r="X203" s="3"/>
      <c r="Y203" s="3"/>
      <c r="Z203" s="3"/>
      <c r="AA203" s="3"/>
    </row>
    <row r="204" spans="1:27" ht="135">
      <c r="A204" s="736"/>
      <c r="B204" s="699" t="s">
        <v>376</v>
      </c>
      <c r="C204" s="699" t="s">
        <v>377</v>
      </c>
      <c r="D204" s="644">
        <v>195</v>
      </c>
      <c r="E204" s="644" t="s">
        <v>378</v>
      </c>
      <c r="F204" s="644"/>
      <c r="G204" s="644"/>
      <c r="H204" s="644"/>
      <c r="I204" s="644"/>
      <c r="J204" s="644"/>
      <c r="K204" s="644"/>
      <c r="L204" s="644"/>
      <c r="M204" s="644"/>
      <c r="N204" s="644"/>
      <c r="O204" s="644"/>
      <c r="P204" s="646"/>
      <c r="Q204" s="654">
        <v>1.02</v>
      </c>
      <c r="R204" s="646">
        <v>1.7</v>
      </c>
      <c r="S204" s="644">
        <v>0.7</v>
      </c>
      <c r="T204" s="646">
        <f t="shared" si="9"/>
        <v>3.42</v>
      </c>
      <c r="U204" s="646">
        <f>T204</f>
        <v>3.42</v>
      </c>
      <c r="V204" s="749" t="s">
        <v>1119</v>
      </c>
      <c r="W204" s="471"/>
      <c r="X204" s="3"/>
      <c r="Y204" s="3"/>
      <c r="Z204" s="3"/>
      <c r="AA204" s="3"/>
    </row>
    <row r="205" spans="1:27" ht="30">
      <c r="A205" s="736"/>
      <c r="B205" s="736"/>
      <c r="C205" s="736"/>
      <c r="D205" s="644">
        <v>196</v>
      </c>
      <c r="E205" s="644" t="s">
        <v>379</v>
      </c>
      <c r="F205" s="644"/>
      <c r="G205" s="644"/>
      <c r="H205" s="644"/>
      <c r="I205" s="644"/>
      <c r="J205" s="644"/>
      <c r="K205" s="644"/>
      <c r="L205" s="644"/>
      <c r="M205" s="644"/>
      <c r="N205" s="644"/>
      <c r="O205" s="644"/>
      <c r="P205" s="644"/>
      <c r="Q205" s="644"/>
      <c r="R205" s="644"/>
      <c r="S205" s="644"/>
      <c r="T205" s="646">
        <f t="shared" si="9"/>
        <v>0</v>
      </c>
      <c r="U205" s="646"/>
      <c r="V205" s="729"/>
      <c r="W205" s="471"/>
      <c r="X205" s="3"/>
      <c r="Y205" s="3"/>
      <c r="Z205" s="3"/>
      <c r="AA205" s="3"/>
    </row>
    <row r="206" spans="1:27" ht="409.5">
      <c r="A206" s="736"/>
      <c r="B206" s="736"/>
      <c r="C206" s="736"/>
      <c r="D206" s="655">
        <v>197</v>
      </c>
      <c r="E206" s="655" t="s">
        <v>380</v>
      </c>
      <c r="F206" s="781"/>
      <c r="G206" s="781"/>
      <c r="H206" s="781"/>
      <c r="I206" s="781"/>
      <c r="J206" s="781"/>
      <c r="K206" s="781"/>
      <c r="L206" s="781"/>
      <c r="M206" s="781"/>
      <c r="N206" s="767">
        <v>0.25</v>
      </c>
      <c r="O206" s="781"/>
      <c r="P206" s="789">
        <v>22.28</v>
      </c>
      <c r="Q206" s="767"/>
      <c r="R206" s="767">
        <v>0.05</v>
      </c>
      <c r="S206" s="767"/>
      <c r="T206" s="646">
        <f t="shared" si="9"/>
        <v>22.580000000000002</v>
      </c>
      <c r="U206" s="789">
        <v>22.33</v>
      </c>
      <c r="V206" s="744" t="s">
        <v>1120</v>
      </c>
      <c r="W206" s="823"/>
      <c r="X206" s="824"/>
      <c r="Y206" s="824"/>
      <c r="Z206" s="824"/>
      <c r="AA206" s="824"/>
    </row>
    <row r="207" spans="1:27" ht="45">
      <c r="A207" s="736"/>
      <c r="B207" s="644" t="s">
        <v>381</v>
      </c>
      <c r="C207" s="644" t="s">
        <v>309</v>
      </c>
      <c r="D207" s="644">
        <v>198</v>
      </c>
      <c r="E207" s="644" t="s">
        <v>310</v>
      </c>
      <c r="F207" s="644"/>
      <c r="G207" s="644"/>
      <c r="H207" s="644"/>
      <c r="I207" s="644"/>
      <c r="J207" s="644"/>
      <c r="K207" s="644"/>
      <c r="L207" s="644"/>
      <c r="M207" s="644"/>
      <c r="N207" s="644"/>
      <c r="O207" s="644"/>
      <c r="P207" s="644"/>
      <c r="Q207" s="644"/>
      <c r="R207" s="644"/>
      <c r="S207" s="644"/>
      <c r="T207" s="646">
        <f t="shared" si="9"/>
        <v>0</v>
      </c>
      <c r="U207" s="646"/>
      <c r="V207" s="729"/>
      <c r="W207" s="471"/>
      <c r="X207" s="3"/>
      <c r="Y207" s="3"/>
      <c r="Z207" s="3"/>
      <c r="AA207" s="3"/>
    </row>
    <row r="208" spans="1:27" ht="105">
      <c r="A208" s="736"/>
      <c r="B208" s="644" t="s">
        <v>382</v>
      </c>
      <c r="C208" s="644" t="s">
        <v>312</v>
      </c>
      <c r="D208" s="644">
        <v>199</v>
      </c>
      <c r="E208" s="644" t="s">
        <v>313</v>
      </c>
      <c r="F208" s="768"/>
      <c r="G208" s="768"/>
      <c r="H208" s="768"/>
      <c r="I208" s="768"/>
      <c r="J208" s="768"/>
      <c r="K208" s="768"/>
      <c r="L208" s="768"/>
      <c r="M208" s="768"/>
      <c r="N208" s="768"/>
      <c r="O208" s="768"/>
      <c r="Q208" s="768"/>
      <c r="R208" s="768">
        <v>136.9</v>
      </c>
      <c r="S208" s="768"/>
      <c r="T208" s="646">
        <f t="shared" si="9"/>
        <v>136.9</v>
      </c>
      <c r="U208" s="646">
        <f>T208</f>
        <v>136.9</v>
      </c>
      <c r="V208" s="729" t="s">
        <v>1775</v>
      </c>
      <c r="W208" s="471"/>
      <c r="X208" s="3"/>
      <c r="Y208" s="3"/>
      <c r="Z208" s="3"/>
      <c r="AA208" s="3"/>
    </row>
    <row r="209" spans="1:27" ht="75">
      <c r="A209" s="736"/>
      <c r="B209" s="644" t="s">
        <v>383</v>
      </c>
      <c r="C209" s="644"/>
      <c r="D209" s="644">
        <v>200</v>
      </c>
      <c r="E209" s="644" t="s">
        <v>384</v>
      </c>
      <c r="F209" s="768"/>
      <c r="G209" s="768"/>
      <c r="H209" s="768"/>
      <c r="I209" s="768"/>
      <c r="J209" s="768"/>
      <c r="K209" s="768"/>
      <c r="L209" s="768"/>
      <c r="M209" s="768"/>
      <c r="N209" s="790">
        <v>0.1956</v>
      </c>
      <c r="O209" s="790"/>
      <c r="P209" s="790"/>
      <c r="Q209" s="790"/>
      <c r="R209" s="790">
        <v>1</v>
      </c>
      <c r="S209" s="790"/>
      <c r="T209" s="646">
        <f t="shared" si="9"/>
        <v>1.1956</v>
      </c>
      <c r="U209" s="658">
        <v>1.1956</v>
      </c>
      <c r="V209" s="749" t="s">
        <v>385</v>
      </c>
      <c r="W209" s="132"/>
      <c r="X209" s="3"/>
      <c r="Y209" s="3"/>
      <c r="Z209" s="3"/>
      <c r="AA209" s="3"/>
    </row>
    <row r="210" spans="1:27">
      <c r="A210" s="736"/>
      <c r="B210" s="701" t="s">
        <v>386</v>
      </c>
      <c r="C210" s="736"/>
      <c r="D210" s="736"/>
      <c r="E210" s="660"/>
      <c r="F210" s="660">
        <f t="shared" ref="F210:S210" si="18">SUM(F159:F209)</f>
        <v>0</v>
      </c>
      <c r="G210" s="667">
        <f t="shared" si="18"/>
        <v>0</v>
      </c>
      <c r="H210" s="667">
        <f t="shared" si="18"/>
        <v>0</v>
      </c>
      <c r="I210" s="660">
        <f t="shared" si="18"/>
        <v>6.2</v>
      </c>
      <c r="J210" s="660">
        <f t="shared" si="18"/>
        <v>0</v>
      </c>
      <c r="K210" s="660">
        <f t="shared" si="18"/>
        <v>0</v>
      </c>
      <c r="L210" s="660">
        <f t="shared" si="18"/>
        <v>0</v>
      </c>
      <c r="M210" s="660">
        <f t="shared" si="18"/>
        <v>14.4</v>
      </c>
      <c r="N210" s="668">
        <f t="shared" si="18"/>
        <v>34.500600000000006</v>
      </c>
      <c r="O210" s="660">
        <f t="shared" si="18"/>
        <v>356.375</v>
      </c>
      <c r="P210" s="667">
        <f t="shared" si="18"/>
        <v>2663.6998999999992</v>
      </c>
      <c r="Q210" s="660">
        <f t="shared" si="18"/>
        <v>12.521999999999998</v>
      </c>
      <c r="R210" s="660">
        <f t="shared" si="18"/>
        <v>176.69</v>
      </c>
      <c r="S210" s="660">
        <f t="shared" si="18"/>
        <v>0.7</v>
      </c>
      <c r="T210" s="660">
        <f t="shared" si="9"/>
        <v>3265.0874999999992</v>
      </c>
      <c r="U210" s="668">
        <f>SUM(U159:U209)</f>
        <v>3462.0954358399981</v>
      </c>
      <c r="V210" s="813"/>
      <c r="W210" s="471"/>
      <c r="X210" s="3"/>
      <c r="Y210" s="3"/>
      <c r="Z210" s="3"/>
      <c r="AA210" s="3"/>
    </row>
    <row r="211" spans="1:27">
      <c r="A211" s="702" t="s">
        <v>387</v>
      </c>
      <c r="B211" s="736"/>
      <c r="C211" s="736"/>
      <c r="D211" s="736"/>
      <c r="E211" s="791"/>
      <c r="F211" s="679">
        <f t="shared" ref="F211:S211" si="19">F210+F158+F134+F93+F68</f>
        <v>74.426199999999994</v>
      </c>
      <c r="G211" s="680">
        <f t="shared" si="19"/>
        <v>4.5</v>
      </c>
      <c r="H211" s="680">
        <f t="shared" si="19"/>
        <v>0</v>
      </c>
      <c r="I211" s="679">
        <f t="shared" si="19"/>
        <v>37.380490000000002</v>
      </c>
      <c r="J211" s="679">
        <f t="shared" si="19"/>
        <v>0</v>
      </c>
      <c r="K211" s="681">
        <f t="shared" si="19"/>
        <v>35.594000000000001</v>
      </c>
      <c r="L211" s="679">
        <f t="shared" si="19"/>
        <v>8.5</v>
      </c>
      <c r="M211" s="680">
        <f t="shared" si="19"/>
        <v>45.503999999999998</v>
      </c>
      <c r="N211" s="681">
        <f t="shared" si="19"/>
        <v>104.57880000000002</v>
      </c>
      <c r="O211" s="679">
        <f t="shared" si="19"/>
        <v>557.83594999999991</v>
      </c>
      <c r="P211" s="680">
        <f t="shared" si="19"/>
        <v>3378.5926999999992</v>
      </c>
      <c r="Q211" s="825">
        <f t="shared" si="19"/>
        <v>86.814599999999999</v>
      </c>
      <c r="R211" s="680">
        <f t="shared" si="19"/>
        <v>237.39770000000001</v>
      </c>
      <c r="S211" s="680">
        <f t="shared" si="19"/>
        <v>9.8000000000000007</v>
      </c>
      <c r="T211" s="679">
        <f t="shared" si="9"/>
        <v>4580.9244399999998</v>
      </c>
      <c r="U211" s="681">
        <f>U210+U158+U134+U93+U68</f>
        <v>4806.6329598559987</v>
      </c>
      <c r="V211" s="826"/>
      <c r="W211" s="471"/>
      <c r="X211" s="3"/>
      <c r="Y211" s="3"/>
      <c r="Z211" s="3"/>
      <c r="AA211" s="3"/>
    </row>
    <row r="212" spans="1:27">
      <c r="A212" s="3"/>
      <c r="B212" s="3"/>
      <c r="C212" s="3"/>
      <c r="D212" s="3"/>
      <c r="E212" s="3"/>
      <c r="F212" s="3"/>
      <c r="G212" s="3"/>
      <c r="H212" s="3"/>
      <c r="I212" s="3"/>
      <c r="J212" s="3"/>
      <c r="K212" s="3"/>
      <c r="L212" s="3"/>
      <c r="M212" s="3"/>
      <c r="N212" s="3"/>
      <c r="O212" s="3"/>
      <c r="P212" s="3"/>
      <c r="Q212" s="3"/>
      <c r="R212" s="3"/>
      <c r="S212" s="3"/>
      <c r="T212" s="57"/>
      <c r="U212" s="57"/>
      <c r="V212" s="18"/>
      <c r="W212" s="3"/>
      <c r="X212" s="3"/>
      <c r="Y212" s="3"/>
      <c r="Z212" s="3"/>
      <c r="AA212" s="3"/>
    </row>
    <row r="213" spans="1:27">
      <c r="A213" s="3"/>
      <c r="B213" s="3"/>
      <c r="C213" s="3"/>
      <c r="D213" s="3"/>
      <c r="E213" s="3"/>
      <c r="F213" s="3"/>
      <c r="G213" s="3"/>
      <c r="H213" s="3"/>
      <c r="I213" s="3"/>
      <c r="J213" s="3"/>
      <c r="K213" s="3"/>
      <c r="L213" s="3"/>
      <c r="M213" s="3"/>
      <c r="N213" s="3"/>
      <c r="O213" s="3"/>
      <c r="P213" s="3"/>
      <c r="Q213" s="3"/>
      <c r="R213" s="3"/>
      <c r="S213" s="3"/>
      <c r="T213" s="3"/>
      <c r="U213" s="3"/>
      <c r="V213" s="18"/>
      <c r="W213" s="3"/>
      <c r="X213" s="3"/>
      <c r="Y213" s="3"/>
      <c r="Z213" s="3"/>
      <c r="AA213" s="3"/>
    </row>
    <row r="214" spans="1:27">
      <c r="A214" s="3"/>
      <c r="B214" s="3"/>
      <c r="C214" s="3"/>
      <c r="D214" s="3"/>
      <c r="E214" s="3"/>
      <c r="F214" s="3"/>
      <c r="G214" s="3"/>
      <c r="H214" s="3"/>
      <c r="I214" s="3"/>
      <c r="J214" s="3"/>
      <c r="K214" s="3"/>
      <c r="L214" s="3"/>
      <c r="M214" s="3"/>
      <c r="N214" s="3"/>
      <c r="O214" s="3"/>
      <c r="P214" s="3"/>
      <c r="Q214" s="3"/>
      <c r="R214" s="3"/>
      <c r="S214" s="3"/>
      <c r="T214" s="3"/>
      <c r="U214" s="3"/>
      <c r="V214" s="18"/>
      <c r="W214" s="3"/>
      <c r="X214" s="3"/>
      <c r="Y214" s="3"/>
      <c r="Z214" s="3"/>
      <c r="AA214" s="3"/>
    </row>
    <row r="215" spans="1:27">
      <c r="A215" s="3"/>
      <c r="B215" s="3"/>
      <c r="C215" s="3"/>
      <c r="D215" s="3"/>
      <c r="E215" s="3"/>
      <c r="F215" s="3"/>
      <c r="G215" s="3"/>
      <c r="H215" s="3"/>
      <c r="I215" s="3"/>
      <c r="J215" s="3"/>
      <c r="K215" s="3"/>
      <c r="L215" s="3"/>
      <c r="M215" s="3"/>
      <c r="N215" s="3"/>
      <c r="O215" s="3"/>
      <c r="P215" s="3"/>
      <c r="Q215" s="3"/>
      <c r="R215" s="3"/>
      <c r="S215" s="3"/>
      <c r="T215" s="3"/>
      <c r="U215" s="3"/>
      <c r="V215" s="18"/>
      <c r="W215" s="3"/>
      <c r="X215" s="3"/>
      <c r="Y215" s="3"/>
      <c r="Z215" s="3"/>
      <c r="AA215" s="3"/>
    </row>
    <row r="216" spans="1:27">
      <c r="A216" s="3"/>
      <c r="B216" s="3"/>
      <c r="C216" s="3"/>
      <c r="D216" s="3"/>
      <c r="E216" s="3"/>
      <c r="F216" s="3"/>
      <c r="G216" s="3"/>
      <c r="H216" s="3"/>
      <c r="I216" s="3"/>
      <c r="J216" s="3"/>
      <c r="K216" s="3"/>
      <c r="L216" s="3"/>
      <c r="M216" s="3"/>
      <c r="N216" s="3"/>
      <c r="O216" s="3"/>
      <c r="P216" s="3"/>
      <c r="Q216" s="3"/>
      <c r="R216" s="3"/>
      <c r="S216" s="3"/>
      <c r="T216" s="3"/>
      <c r="U216" s="3"/>
      <c r="V216" s="18"/>
      <c r="W216" s="3"/>
      <c r="X216" s="3"/>
      <c r="Y216" s="3"/>
      <c r="Z216" s="3"/>
      <c r="AA216" s="3"/>
    </row>
    <row r="217" spans="1:27">
      <c r="A217" s="3"/>
      <c r="B217" s="3"/>
      <c r="C217" s="3"/>
      <c r="D217" s="3"/>
      <c r="E217" s="3"/>
      <c r="F217" s="3"/>
      <c r="G217" s="3"/>
      <c r="H217" s="3"/>
      <c r="I217" s="3"/>
      <c r="J217" s="3"/>
      <c r="K217" s="3"/>
      <c r="L217" s="3"/>
      <c r="M217" s="3"/>
      <c r="N217" s="3"/>
      <c r="O217" s="3"/>
      <c r="P217" s="3"/>
      <c r="Q217" s="3"/>
      <c r="R217" s="3"/>
      <c r="S217" s="3"/>
      <c r="T217" s="3"/>
      <c r="U217" s="3"/>
      <c r="V217" s="18"/>
      <c r="W217" s="3"/>
      <c r="X217" s="3"/>
      <c r="Y217" s="3"/>
      <c r="Z217" s="3"/>
      <c r="AA217" s="3"/>
    </row>
    <row r="218" spans="1:27">
      <c r="A218" s="3"/>
      <c r="B218" s="3"/>
      <c r="C218" s="3"/>
      <c r="D218" s="3"/>
      <c r="E218" s="3"/>
      <c r="F218" s="3"/>
      <c r="G218" s="3"/>
      <c r="H218" s="3"/>
      <c r="I218" s="3"/>
      <c r="J218" s="3"/>
      <c r="K218" s="3"/>
      <c r="L218" s="3"/>
      <c r="M218" s="3"/>
      <c r="N218" s="3"/>
      <c r="O218" s="3"/>
      <c r="P218" s="3"/>
      <c r="Q218" s="3"/>
      <c r="R218" s="3"/>
      <c r="S218" s="3"/>
      <c r="T218" s="3"/>
      <c r="U218" s="3"/>
      <c r="V218" s="18"/>
      <c r="W218" s="3"/>
      <c r="X218" s="3"/>
      <c r="Y218" s="3"/>
      <c r="Z218" s="3"/>
      <c r="AA218" s="3"/>
    </row>
    <row r="219" spans="1:27">
      <c r="A219" s="3"/>
      <c r="B219" s="3"/>
      <c r="C219" s="3"/>
      <c r="D219" s="3"/>
      <c r="E219" s="3"/>
      <c r="F219" s="3"/>
      <c r="G219" s="3"/>
      <c r="H219" s="3"/>
      <c r="I219" s="3"/>
      <c r="J219" s="3"/>
      <c r="K219" s="3"/>
      <c r="L219" s="3"/>
      <c r="M219" s="3"/>
      <c r="N219" s="3"/>
      <c r="O219" s="3"/>
      <c r="P219" s="3"/>
      <c r="Q219" s="3"/>
      <c r="R219" s="3"/>
      <c r="S219" s="3"/>
      <c r="T219" s="3"/>
      <c r="U219" s="3"/>
      <c r="V219" s="18"/>
      <c r="W219" s="3"/>
      <c r="X219" s="3"/>
      <c r="Y219" s="3"/>
      <c r="Z219" s="3"/>
      <c r="AA219" s="3"/>
    </row>
    <row r="220" spans="1:27">
      <c r="A220" s="3"/>
      <c r="B220" s="3"/>
      <c r="C220" s="3"/>
      <c r="D220" s="3"/>
      <c r="E220" s="3"/>
      <c r="F220" s="3"/>
      <c r="G220" s="3"/>
      <c r="H220" s="3"/>
      <c r="I220" s="3"/>
      <c r="J220" s="3"/>
      <c r="K220" s="3"/>
      <c r="L220" s="3"/>
      <c r="M220" s="3"/>
      <c r="N220" s="3"/>
      <c r="O220" s="3"/>
      <c r="P220" s="3"/>
      <c r="Q220" s="3"/>
      <c r="R220" s="3"/>
      <c r="S220" s="3"/>
      <c r="T220" s="3"/>
      <c r="U220" s="3"/>
      <c r="V220" s="18"/>
      <c r="W220" s="3"/>
      <c r="X220" s="3"/>
      <c r="Y220" s="3"/>
      <c r="Z220" s="3"/>
      <c r="AA220" s="3"/>
    </row>
    <row r="221" spans="1:27">
      <c r="A221" s="3"/>
      <c r="B221" s="3"/>
      <c r="C221" s="3"/>
      <c r="D221" s="3"/>
      <c r="E221" s="3"/>
      <c r="F221" s="3"/>
      <c r="G221" s="3"/>
      <c r="H221" s="3"/>
      <c r="I221" s="3"/>
      <c r="J221" s="3"/>
      <c r="K221" s="3"/>
      <c r="L221" s="3"/>
      <c r="M221" s="3"/>
      <c r="N221" s="3"/>
      <c r="O221" s="3"/>
      <c r="P221" s="3"/>
      <c r="Q221" s="3"/>
      <c r="R221" s="3"/>
      <c r="S221" s="3"/>
      <c r="T221" s="3"/>
      <c r="U221" s="3"/>
      <c r="V221" s="18"/>
      <c r="W221" s="3"/>
      <c r="X221" s="3"/>
      <c r="Y221" s="3"/>
      <c r="Z221" s="3"/>
      <c r="AA221" s="3"/>
    </row>
    <row r="222" spans="1:27">
      <c r="A222" s="3"/>
      <c r="B222" s="3"/>
      <c r="C222" s="3"/>
      <c r="D222" s="3"/>
      <c r="E222" s="3"/>
      <c r="F222" s="3"/>
      <c r="G222" s="3"/>
      <c r="H222" s="3"/>
      <c r="I222" s="3"/>
      <c r="J222" s="3"/>
      <c r="K222" s="3"/>
      <c r="L222" s="3"/>
      <c r="M222" s="3"/>
      <c r="N222" s="3"/>
      <c r="O222" s="3"/>
      <c r="P222" s="3"/>
      <c r="Q222" s="3"/>
      <c r="R222" s="3"/>
      <c r="S222" s="3"/>
      <c r="T222" s="3"/>
      <c r="U222" s="3"/>
      <c r="V222" s="18"/>
      <c r="W222" s="3"/>
      <c r="X222" s="3"/>
      <c r="Y222" s="3"/>
      <c r="Z222" s="3"/>
      <c r="AA222" s="3"/>
    </row>
    <row r="223" spans="1:27">
      <c r="A223" s="3"/>
      <c r="B223" s="3"/>
      <c r="C223" s="3"/>
      <c r="D223" s="3"/>
      <c r="E223" s="3"/>
      <c r="F223" s="3"/>
      <c r="G223" s="3"/>
      <c r="H223" s="3"/>
      <c r="I223" s="3"/>
      <c r="J223" s="3"/>
      <c r="K223" s="3"/>
      <c r="L223" s="3"/>
      <c r="M223" s="3"/>
      <c r="N223" s="3"/>
      <c r="O223" s="3"/>
      <c r="P223" s="3"/>
      <c r="Q223" s="3"/>
      <c r="R223" s="3"/>
      <c r="S223" s="3"/>
      <c r="T223" s="3"/>
      <c r="U223" s="3"/>
      <c r="V223" s="18"/>
      <c r="W223" s="3"/>
      <c r="X223" s="3"/>
      <c r="Y223" s="3"/>
      <c r="Z223" s="3"/>
      <c r="AA223" s="3"/>
    </row>
    <row r="224" spans="1:27">
      <c r="A224" s="3"/>
      <c r="B224" s="3"/>
      <c r="C224" s="3"/>
      <c r="D224" s="3"/>
      <c r="E224" s="3"/>
      <c r="F224" s="3"/>
      <c r="G224" s="3"/>
      <c r="H224" s="3"/>
      <c r="I224" s="3"/>
      <c r="J224" s="3"/>
      <c r="K224" s="3"/>
      <c r="L224" s="3"/>
      <c r="M224" s="3"/>
      <c r="N224" s="3"/>
      <c r="O224" s="3"/>
      <c r="P224" s="3"/>
      <c r="Q224" s="3"/>
      <c r="R224" s="3"/>
      <c r="S224" s="3"/>
      <c r="T224" s="3"/>
      <c r="U224" s="3"/>
      <c r="V224" s="18"/>
      <c r="W224" s="3"/>
      <c r="X224" s="3"/>
      <c r="Y224" s="3"/>
      <c r="Z224" s="3"/>
      <c r="AA224" s="3"/>
    </row>
    <row r="225" spans="1:27">
      <c r="A225" s="3"/>
      <c r="B225" s="3"/>
      <c r="C225" s="3"/>
      <c r="D225" s="3"/>
      <c r="E225" s="3"/>
      <c r="F225" s="3"/>
      <c r="G225" s="3"/>
      <c r="H225" s="3"/>
      <c r="I225" s="3"/>
      <c r="J225" s="3"/>
      <c r="K225" s="3"/>
      <c r="L225" s="3"/>
      <c r="M225" s="3"/>
      <c r="N225" s="3"/>
      <c r="O225" s="3"/>
      <c r="P225" s="3"/>
      <c r="Q225" s="3"/>
      <c r="R225" s="3"/>
      <c r="S225" s="3"/>
      <c r="T225" s="3"/>
      <c r="U225" s="3"/>
      <c r="V225" s="18"/>
      <c r="W225" s="3"/>
      <c r="X225" s="3"/>
      <c r="Y225" s="3"/>
      <c r="Z225" s="3"/>
      <c r="AA225" s="3"/>
    </row>
    <row r="226" spans="1:27">
      <c r="A226" s="3"/>
      <c r="B226" s="3"/>
      <c r="C226" s="3"/>
      <c r="D226" s="3"/>
      <c r="E226" s="3"/>
      <c r="F226" s="3"/>
      <c r="G226" s="3"/>
      <c r="H226" s="3"/>
      <c r="I226" s="3"/>
      <c r="J226" s="3"/>
      <c r="K226" s="3"/>
      <c r="L226" s="3"/>
      <c r="M226" s="3"/>
      <c r="N226" s="3"/>
      <c r="O226" s="3"/>
      <c r="P226" s="3"/>
      <c r="Q226" s="3"/>
      <c r="R226" s="3"/>
      <c r="S226" s="3"/>
      <c r="T226" s="3"/>
      <c r="U226" s="3"/>
      <c r="V226" s="18"/>
      <c r="W226" s="3"/>
      <c r="X226" s="3"/>
      <c r="Y226" s="3"/>
      <c r="Z226" s="3"/>
      <c r="AA226" s="3"/>
    </row>
    <row r="227" spans="1:27">
      <c r="A227" s="3"/>
      <c r="B227" s="3"/>
      <c r="C227" s="3"/>
      <c r="D227" s="3"/>
      <c r="E227" s="3"/>
      <c r="F227" s="3"/>
      <c r="G227" s="3"/>
      <c r="H227" s="3"/>
      <c r="I227" s="3"/>
      <c r="J227" s="3"/>
      <c r="K227" s="3"/>
      <c r="L227" s="3"/>
      <c r="M227" s="3"/>
      <c r="N227" s="3"/>
      <c r="O227" s="3"/>
      <c r="P227" s="3"/>
      <c r="Q227" s="3"/>
      <c r="R227" s="3"/>
      <c r="S227" s="3"/>
      <c r="T227" s="3"/>
      <c r="U227" s="3"/>
      <c r="V227" s="18"/>
      <c r="W227" s="3"/>
      <c r="X227" s="3"/>
      <c r="Y227" s="3"/>
      <c r="Z227" s="3"/>
      <c r="AA227" s="3"/>
    </row>
    <row r="228" spans="1:27">
      <c r="A228" s="3"/>
      <c r="B228" s="3"/>
      <c r="C228" s="3"/>
      <c r="D228" s="3"/>
      <c r="E228" s="3"/>
      <c r="F228" s="3"/>
      <c r="G228" s="3"/>
      <c r="H228" s="3"/>
      <c r="I228" s="3"/>
      <c r="J228" s="3"/>
      <c r="K228" s="3"/>
      <c r="L228" s="3"/>
      <c r="M228" s="3"/>
      <c r="N228" s="3"/>
      <c r="O228" s="3"/>
      <c r="P228" s="3"/>
      <c r="Q228" s="3"/>
      <c r="R228" s="3"/>
      <c r="S228" s="3"/>
      <c r="T228" s="3"/>
      <c r="U228" s="3"/>
      <c r="V228" s="18"/>
      <c r="W228" s="3"/>
      <c r="X228" s="3"/>
      <c r="Y228" s="3"/>
      <c r="Z228" s="3"/>
      <c r="AA228" s="3"/>
    </row>
    <row r="229" spans="1:27">
      <c r="A229" s="3"/>
      <c r="B229" s="3"/>
      <c r="C229" s="3"/>
      <c r="D229" s="3"/>
      <c r="E229" s="3"/>
      <c r="F229" s="3"/>
      <c r="G229" s="3"/>
      <c r="H229" s="3"/>
      <c r="I229" s="3"/>
      <c r="J229" s="3"/>
      <c r="K229" s="3"/>
      <c r="L229" s="3"/>
      <c r="M229" s="3"/>
      <c r="N229" s="3"/>
      <c r="O229" s="3"/>
      <c r="P229" s="3"/>
      <c r="Q229" s="3"/>
      <c r="R229" s="3"/>
      <c r="S229" s="3"/>
      <c r="T229" s="3"/>
      <c r="U229" s="3"/>
      <c r="V229" s="18"/>
      <c r="W229" s="3"/>
      <c r="X229" s="3"/>
      <c r="Y229" s="3"/>
      <c r="Z229" s="3"/>
      <c r="AA229" s="3"/>
    </row>
    <row r="230" spans="1:27">
      <c r="A230" s="3"/>
      <c r="B230" s="3"/>
      <c r="C230" s="3"/>
      <c r="D230" s="3"/>
      <c r="E230" s="3"/>
      <c r="F230" s="3"/>
      <c r="G230" s="3"/>
      <c r="H230" s="3"/>
      <c r="I230" s="3"/>
      <c r="J230" s="3"/>
      <c r="K230" s="3"/>
      <c r="L230" s="3"/>
      <c r="M230" s="3"/>
      <c r="N230" s="3"/>
      <c r="O230" s="3"/>
      <c r="P230" s="3"/>
      <c r="Q230" s="3"/>
      <c r="R230" s="3"/>
      <c r="S230" s="3"/>
      <c r="T230" s="3"/>
      <c r="U230" s="3"/>
      <c r="V230" s="18"/>
      <c r="W230" s="3"/>
      <c r="X230" s="3"/>
      <c r="Y230" s="3"/>
      <c r="Z230" s="3"/>
      <c r="AA230" s="3"/>
    </row>
    <row r="231" spans="1:27">
      <c r="A231" s="3"/>
      <c r="B231" s="3"/>
      <c r="C231" s="3"/>
      <c r="D231" s="3"/>
      <c r="E231" s="3"/>
      <c r="F231" s="3"/>
      <c r="G231" s="3"/>
      <c r="H231" s="3"/>
      <c r="I231" s="3"/>
      <c r="J231" s="3"/>
      <c r="K231" s="3"/>
      <c r="L231" s="3"/>
      <c r="M231" s="3"/>
      <c r="N231" s="3"/>
      <c r="O231" s="3"/>
      <c r="P231" s="3"/>
      <c r="Q231" s="3"/>
      <c r="R231" s="3"/>
      <c r="S231" s="3"/>
      <c r="T231" s="3"/>
      <c r="U231" s="3"/>
      <c r="V231" s="18"/>
      <c r="W231" s="3"/>
      <c r="X231" s="3"/>
      <c r="Y231" s="3"/>
      <c r="Z231" s="3"/>
      <c r="AA231" s="3"/>
    </row>
    <row r="232" spans="1:27">
      <c r="A232" s="3"/>
      <c r="B232" s="3"/>
      <c r="C232" s="3"/>
      <c r="D232" s="3"/>
      <c r="E232" s="3"/>
      <c r="F232" s="3"/>
      <c r="G232" s="3"/>
      <c r="H232" s="3"/>
      <c r="I232" s="3"/>
      <c r="J232" s="3"/>
      <c r="K232" s="3"/>
      <c r="L232" s="3"/>
      <c r="M232" s="3"/>
      <c r="N232" s="3"/>
      <c r="O232" s="3"/>
      <c r="P232" s="3"/>
      <c r="Q232" s="3"/>
      <c r="R232" s="3"/>
      <c r="S232" s="3"/>
      <c r="T232" s="3"/>
      <c r="U232" s="3"/>
      <c r="V232" s="18"/>
      <c r="W232" s="3"/>
      <c r="X232" s="3"/>
      <c r="Y232" s="3"/>
      <c r="Z232" s="3"/>
      <c r="AA232" s="3"/>
    </row>
    <row r="233" spans="1:27">
      <c r="A233" s="3"/>
      <c r="B233" s="3"/>
      <c r="C233" s="3"/>
      <c r="D233" s="3"/>
      <c r="E233" s="3"/>
      <c r="F233" s="3"/>
      <c r="G233" s="3"/>
      <c r="H233" s="3"/>
      <c r="I233" s="3"/>
      <c r="J233" s="3"/>
      <c r="K233" s="3"/>
      <c r="L233" s="3"/>
      <c r="M233" s="3"/>
      <c r="N233" s="3"/>
      <c r="O233" s="3"/>
      <c r="P233" s="3"/>
      <c r="Q233" s="3"/>
      <c r="R233" s="3"/>
      <c r="S233" s="3"/>
      <c r="T233" s="3"/>
      <c r="U233" s="3"/>
      <c r="V233" s="18"/>
      <c r="W233" s="3"/>
      <c r="X233" s="3"/>
      <c r="Y233" s="3"/>
      <c r="Z233" s="3"/>
      <c r="AA233" s="3"/>
    </row>
    <row r="234" spans="1:27">
      <c r="A234" s="3"/>
      <c r="B234" s="3"/>
      <c r="C234" s="3"/>
      <c r="D234" s="3"/>
      <c r="E234" s="3"/>
      <c r="F234" s="3"/>
      <c r="G234" s="3"/>
      <c r="H234" s="3"/>
      <c r="I234" s="3"/>
      <c r="J234" s="3"/>
      <c r="K234" s="3"/>
      <c r="L234" s="3"/>
      <c r="M234" s="3"/>
      <c r="N234" s="3"/>
      <c r="O234" s="3"/>
      <c r="P234" s="3"/>
      <c r="Q234" s="3"/>
      <c r="R234" s="3"/>
      <c r="S234" s="3"/>
      <c r="T234" s="3"/>
      <c r="U234" s="3"/>
      <c r="V234" s="18"/>
      <c r="W234" s="3"/>
      <c r="X234" s="3"/>
      <c r="Y234" s="3"/>
      <c r="Z234" s="3"/>
      <c r="AA234" s="3"/>
    </row>
    <row r="235" spans="1:27">
      <c r="A235" s="3"/>
      <c r="B235" s="3"/>
      <c r="C235" s="3"/>
      <c r="D235" s="3"/>
      <c r="E235" s="3"/>
      <c r="F235" s="3"/>
      <c r="G235" s="3"/>
      <c r="H235" s="3"/>
      <c r="I235" s="3"/>
      <c r="J235" s="3"/>
      <c r="K235" s="3"/>
      <c r="L235" s="3"/>
      <c r="M235" s="3"/>
      <c r="N235" s="3"/>
      <c r="O235" s="3"/>
      <c r="P235" s="3"/>
      <c r="Q235" s="3"/>
      <c r="R235" s="3"/>
      <c r="S235" s="3"/>
      <c r="T235" s="3"/>
      <c r="U235" s="3"/>
      <c r="V235" s="18"/>
      <c r="W235" s="3"/>
      <c r="X235" s="3"/>
      <c r="Y235" s="3"/>
      <c r="Z235" s="3"/>
      <c r="AA235" s="3"/>
    </row>
    <row r="236" spans="1:27">
      <c r="A236" s="3"/>
      <c r="B236" s="3"/>
      <c r="C236" s="3"/>
      <c r="D236" s="3"/>
      <c r="E236" s="3"/>
      <c r="F236" s="3"/>
      <c r="G236" s="3"/>
      <c r="H236" s="3"/>
      <c r="I236" s="3"/>
      <c r="J236" s="3"/>
      <c r="K236" s="3"/>
      <c r="L236" s="3"/>
      <c r="M236" s="3"/>
      <c r="N236" s="3"/>
      <c r="O236" s="3"/>
      <c r="P236" s="3"/>
      <c r="Q236" s="3"/>
      <c r="R236" s="3"/>
      <c r="S236" s="3"/>
      <c r="T236" s="3"/>
      <c r="U236" s="3"/>
      <c r="V236" s="18"/>
      <c r="W236" s="3"/>
      <c r="X236" s="3"/>
      <c r="Y236" s="3"/>
      <c r="Z236" s="3"/>
      <c r="AA236" s="3"/>
    </row>
    <row r="237" spans="1:27">
      <c r="A237" s="3"/>
      <c r="B237" s="3"/>
      <c r="C237" s="3"/>
      <c r="D237" s="3"/>
      <c r="E237" s="3"/>
      <c r="F237" s="3"/>
      <c r="G237" s="3"/>
      <c r="H237" s="3"/>
      <c r="I237" s="3"/>
      <c r="J237" s="3"/>
      <c r="K237" s="3"/>
      <c r="L237" s="3"/>
      <c r="M237" s="3"/>
      <c r="N237" s="3"/>
      <c r="O237" s="3"/>
      <c r="P237" s="3"/>
      <c r="Q237" s="3"/>
      <c r="R237" s="3"/>
      <c r="S237" s="3"/>
      <c r="T237" s="3"/>
      <c r="U237" s="3"/>
      <c r="V237" s="18"/>
      <c r="W237" s="3"/>
      <c r="X237" s="3"/>
      <c r="Y237" s="3"/>
      <c r="Z237" s="3"/>
      <c r="AA237" s="3"/>
    </row>
    <row r="238" spans="1:27">
      <c r="A238" s="3"/>
      <c r="B238" s="3"/>
      <c r="C238" s="3"/>
      <c r="D238" s="3"/>
      <c r="E238" s="3"/>
      <c r="F238" s="3"/>
      <c r="G238" s="3"/>
      <c r="H238" s="3"/>
      <c r="I238" s="3"/>
      <c r="J238" s="3"/>
      <c r="K238" s="3"/>
      <c r="L238" s="3"/>
      <c r="M238" s="3"/>
      <c r="N238" s="3"/>
      <c r="O238" s="3"/>
      <c r="P238" s="3"/>
      <c r="Q238" s="3"/>
      <c r="R238" s="3"/>
      <c r="S238" s="3"/>
      <c r="T238" s="3"/>
      <c r="U238" s="3"/>
      <c r="V238" s="18"/>
      <c r="W238" s="3"/>
      <c r="X238" s="3"/>
      <c r="Y238" s="3"/>
      <c r="Z238" s="3"/>
      <c r="AA238" s="3"/>
    </row>
    <row r="239" spans="1:27">
      <c r="A239" s="3"/>
      <c r="B239" s="3"/>
      <c r="C239" s="3"/>
      <c r="D239" s="3"/>
      <c r="E239" s="3"/>
      <c r="F239" s="3"/>
      <c r="G239" s="3"/>
      <c r="H239" s="3"/>
      <c r="I239" s="3"/>
      <c r="J239" s="3"/>
      <c r="K239" s="3"/>
      <c r="L239" s="3"/>
      <c r="M239" s="3"/>
      <c r="N239" s="3"/>
      <c r="O239" s="3"/>
      <c r="P239" s="3"/>
      <c r="Q239" s="3"/>
      <c r="R239" s="3"/>
      <c r="S239" s="3"/>
      <c r="T239" s="3"/>
      <c r="U239" s="3"/>
      <c r="V239" s="18"/>
      <c r="W239" s="3"/>
      <c r="X239" s="3"/>
      <c r="Y239" s="3"/>
      <c r="Z239" s="3"/>
      <c r="AA239" s="3"/>
    </row>
    <row r="240" spans="1:27">
      <c r="A240" s="3"/>
      <c r="B240" s="3"/>
      <c r="C240" s="3"/>
      <c r="D240" s="3"/>
      <c r="E240" s="3"/>
      <c r="F240" s="3"/>
      <c r="G240" s="3"/>
      <c r="H240" s="3"/>
      <c r="I240" s="3"/>
      <c r="J240" s="3"/>
      <c r="K240" s="3"/>
      <c r="L240" s="3"/>
      <c r="M240" s="3"/>
      <c r="N240" s="3"/>
      <c r="O240" s="3"/>
      <c r="P240" s="3"/>
      <c r="Q240" s="3"/>
      <c r="R240" s="3"/>
      <c r="S240" s="3"/>
      <c r="T240" s="3"/>
      <c r="U240" s="3"/>
      <c r="V240" s="18"/>
      <c r="W240" s="3"/>
      <c r="X240" s="3"/>
      <c r="Y240" s="3"/>
      <c r="Z240" s="3"/>
      <c r="AA240" s="3"/>
    </row>
    <row r="241" spans="1:27">
      <c r="A241" s="3"/>
      <c r="B241" s="3"/>
      <c r="C241" s="3"/>
      <c r="D241" s="3"/>
      <c r="E241" s="3"/>
      <c r="F241" s="3"/>
      <c r="G241" s="3"/>
      <c r="H241" s="3"/>
      <c r="I241" s="3"/>
      <c r="J241" s="3"/>
      <c r="K241" s="3"/>
      <c r="L241" s="3"/>
      <c r="M241" s="3"/>
      <c r="N241" s="3"/>
      <c r="O241" s="3"/>
      <c r="P241" s="3"/>
      <c r="Q241" s="3"/>
      <c r="R241" s="3"/>
      <c r="S241" s="3"/>
      <c r="T241" s="3"/>
      <c r="U241" s="3"/>
      <c r="V241" s="18"/>
      <c r="W241" s="3"/>
      <c r="X241" s="3"/>
      <c r="Y241" s="3"/>
      <c r="Z241" s="3"/>
      <c r="AA241" s="3"/>
    </row>
    <row r="242" spans="1:27">
      <c r="A242" s="3"/>
      <c r="B242" s="3"/>
      <c r="C242" s="3"/>
      <c r="D242" s="3"/>
      <c r="E242" s="3"/>
      <c r="F242" s="3"/>
      <c r="G242" s="3"/>
      <c r="H242" s="3"/>
      <c r="I242" s="3"/>
      <c r="J242" s="3"/>
      <c r="K242" s="3"/>
      <c r="L242" s="3"/>
      <c r="M242" s="3"/>
      <c r="N242" s="3"/>
      <c r="O242" s="3"/>
      <c r="P242" s="3"/>
      <c r="Q242" s="3"/>
      <c r="R242" s="3"/>
      <c r="S242" s="3"/>
      <c r="T242" s="3"/>
      <c r="U242" s="3"/>
      <c r="V242" s="18"/>
      <c r="W242" s="3"/>
      <c r="X242" s="3"/>
      <c r="Y242" s="3"/>
      <c r="Z242" s="3"/>
      <c r="AA242" s="3"/>
    </row>
    <row r="243" spans="1:27">
      <c r="A243" s="3"/>
      <c r="B243" s="3"/>
      <c r="C243" s="3"/>
      <c r="D243" s="3"/>
      <c r="E243" s="3"/>
      <c r="F243" s="3"/>
      <c r="G243" s="3"/>
      <c r="H243" s="3"/>
      <c r="I243" s="3"/>
      <c r="J243" s="3"/>
      <c r="K243" s="3"/>
      <c r="L243" s="3"/>
      <c r="M243" s="3"/>
      <c r="N243" s="3"/>
      <c r="O243" s="3"/>
      <c r="P243" s="3"/>
      <c r="Q243" s="3"/>
      <c r="R243" s="3"/>
      <c r="S243" s="3"/>
      <c r="T243" s="3"/>
      <c r="U243" s="3"/>
      <c r="V243" s="18"/>
      <c r="W243" s="3"/>
      <c r="X243" s="3"/>
      <c r="Y243" s="3"/>
      <c r="Z243" s="3"/>
      <c r="AA243" s="3"/>
    </row>
    <row r="244" spans="1:27">
      <c r="A244" s="3"/>
      <c r="B244" s="3"/>
      <c r="C244" s="3"/>
      <c r="D244" s="3"/>
      <c r="E244" s="3"/>
      <c r="F244" s="3"/>
      <c r="G244" s="3"/>
      <c r="H244" s="3"/>
      <c r="I244" s="3"/>
      <c r="J244" s="3"/>
      <c r="K244" s="3"/>
      <c r="L244" s="3"/>
      <c r="M244" s="3"/>
      <c r="N244" s="3"/>
      <c r="O244" s="3"/>
      <c r="P244" s="3"/>
      <c r="Q244" s="3"/>
      <c r="R244" s="3"/>
      <c r="S244" s="3"/>
      <c r="T244" s="3"/>
      <c r="U244" s="3"/>
      <c r="V244" s="18"/>
      <c r="W244" s="3"/>
      <c r="X244" s="3"/>
      <c r="Y244" s="3"/>
      <c r="Z244" s="3"/>
      <c r="AA244" s="3"/>
    </row>
    <row r="245" spans="1:27">
      <c r="A245" s="3"/>
      <c r="B245" s="3"/>
      <c r="C245" s="3"/>
      <c r="D245" s="3"/>
      <c r="E245" s="3"/>
      <c r="F245" s="3"/>
      <c r="G245" s="3"/>
      <c r="H245" s="3"/>
      <c r="I245" s="3"/>
      <c r="J245" s="3"/>
      <c r="K245" s="3"/>
      <c r="L245" s="3"/>
      <c r="M245" s="3"/>
      <c r="N245" s="3"/>
      <c r="O245" s="3"/>
      <c r="P245" s="3"/>
      <c r="Q245" s="3"/>
      <c r="R245" s="3"/>
      <c r="S245" s="3"/>
      <c r="T245" s="3"/>
      <c r="U245" s="3"/>
      <c r="V245" s="18"/>
      <c r="W245" s="3"/>
      <c r="X245" s="3"/>
      <c r="Y245" s="3"/>
      <c r="Z245" s="3"/>
      <c r="AA245" s="3"/>
    </row>
    <row r="246" spans="1:27">
      <c r="A246" s="3"/>
      <c r="B246" s="3"/>
      <c r="C246" s="3"/>
      <c r="D246" s="3"/>
      <c r="E246" s="3"/>
      <c r="F246" s="3"/>
      <c r="G246" s="3"/>
      <c r="H246" s="3"/>
      <c r="I246" s="3"/>
      <c r="J246" s="3"/>
      <c r="K246" s="3"/>
      <c r="L246" s="3"/>
      <c r="M246" s="3"/>
      <c r="N246" s="3"/>
      <c r="O246" s="3"/>
      <c r="P246" s="3"/>
      <c r="Q246" s="3"/>
      <c r="R246" s="3"/>
      <c r="S246" s="3"/>
      <c r="T246" s="3"/>
      <c r="U246" s="3"/>
      <c r="V246" s="18"/>
      <c r="W246" s="3"/>
      <c r="X246" s="3"/>
      <c r="Y246" s="3"/>
      <c r="Z246" s="3"/>
      <c r="AA246" s="3"/>
    </row>
    <row r="247" spans="1:27">
      <c r="A247" s="3"/>
      <c r="B247" s="3"/>
      <c r="C247" s="3"/>
      <c r="D247" s="3"/>
      <c r="E247" s="3"/>
      <c r="F247" s="3"/>
      <c r="G247" s="3"/>
      <c r="H247" s="3"/>
      <c r="I247" s="3"/>
      <c r="J247" s="3"/>
      <c r="K247" s="3"/>
      <c r="L247" s="3"/>
      <c r="M247" s="3"/>
      <c r="N247" s="3"/>
      <c r="O247" s="3"/>
      <c r="P247" s="3"/>
      <c r="Q247" s="3"/>
      <c r="R247" s="3"/>
      <c r="S247" s="3"/>
      <c r="T247" s="3"/>
      <c r="U247" s="3"/>
      <c r="V247" s="18"/>
      <c r="W247" s="3"/>
      <c r="X247" s="3"/>
      <c r="Y247" s="3"/>
      <c r="Z247" s="3"/>
      <c r="AA247" s="3"/>
    </row>
    <row r="248" spans="1:27">
      <c r="A248" s="3"/>
      <c r="B248" s="3"/>
      <c r="C248" s="3"/>
      <c r="D248" s="3"/>
      <c r="E248" s="3"/>
      <c r="F248" s="3"/>
      <c r="G248" s="3"/>
      <c r="H248" s="3"/>
      <c r="I248" s="3"/>
      <c r="J248" s="3"/>
      <c r="K248" s="3"/>
      <c r="L248" s="3"/>
      <c r="M248" s="3"/>
      <c r="N248" s="3"/>
      <c r="O248" s="3"/>
      <c r="P248" s="3"/>
      <c r="Q248" s="3"/>
      <c r="R248" s="3"/>
      <c r="S248" s="3"/>
      <c r="T248" s="3"/>
      <c r="U248" s="3"/>
      <c r="V248" s="18"/>
      <c r="W248" s="3"/>
      <c r="X248" s="3"/>
      <c r="Y248" s="3"/>
      <c r="Z248" s="3"/>
      <c r="AA248" s="3"/>
    </row>
    <row r="249" spans="1:27">
      <c r="A249" s="3"/>
      <c r="B249" s="3"/>
      <c r="C249" s="3"/>
      <c r="D249" s="3"/>
      <c r="E249" s="3"/>
      <c r="F249" s="3"/>
      <c r="G249" s="3"/>
      <c r="H249" s="3"/>
      <c r="I249" s="3"/>
      <c r="J249" s="3"/>
      <c r="K249" s="3"/>
      <c r="L249" s="3"/>
      <c r="M249" s="3"/>
      <c r="N249" s="3"/>
      <c r="O249" s="3"/>
      <c r="P249" s="3"/>
      <c r="Q249" s="3"/>
      <c r="R249" s="3"/>
      <c r="S249" s="3"/>
      <c r="T249" s="3"/>
      <c r="U249" s="3"/>
      <c r="V249" s="18"/>
      <c r="W249" s="3"/>
      <c r="X249" s="3"/>
      <c r="Y249" s="3"/>
      <c r="Z249" s="3"/>
      <c r="AA249" s="3"/>
    </row>
    <row r="250" spans="1:27">
      <c r="A250" s="3"/>
      <c r="B250" s="3"/>
      <c r="C250" s="3"/>
      <c r="D250" s="3"/>
      <c r="E250" s="3"/>
      <c r="F250" s="3"/>
      <c r="G250" s="3"/>
      <c r="H250" s="3"/>
      <c r="I250" s="3"/>
      <c r="J250" s="3"/>
      <c r="K250" s="3"/>
      <c r="L250" s="3"/>
      <c r="M250" s="3"/>
      <c r="N250" s="3"/>
      <c r="O250" s="3"/>
      <c r="P250" s="3"/>
      <c r="Q250" s="3"/>
      <c r="R250" s="3"/>
      <c r="S250" s="3"/>
      <c r="T250" s="3"/>
      <c r="U250" s="3"/>
      <c r="V250" s="18"/>
      <c r="W250" s="3"/>
      <c r="X250" s="3"/>
      <c r="Y250" s="3"/>
      <c r="Z250" s="3"/>
      <c r="AA250" s="3"/>
    </row>
    <row r="251" spans="1:27">
      <c r="A251" s="3"/>
      <c r="B251" s="3"/>
      <c r="C251" s="3"/>
      <c r="D251" s="3"/>
      <c r="E251" s="3"/>
      <c r="F251" s="3"/>
      <c r="G251" s="3"/>
      <c r="H251" s="3"/>
      <c r="I251" s="3"/>
      <c r="J251" s="3"/>
      <c r="K251" s="3"/>
      <c r="L251" s="3"/>
      <c r="M251" s="3"/>
      <c r="N251" s="3"/>
      <c r="O251" s="3"/>
      <c r="P251" s="3"/>
      <c r="Q251" s="3"/>
      <c r="R251" s="3"/>
      <c r="S251" s="3"/>
      <c r="T251" s="3"/>
      <c r="U251" s="3"/>
      <c r="V251" s="18"/>
      <c r="W251" s="3"/>
      <c r="X251" s="3"/>
      <c r="Y251" s="3"/>
      <c r="Z251" s="3"/>
      <c r="AA251" s="3"/>
    </row>
    <row r="252" spans="1:27">
      <c r="A252" s="3"/>
      <c r="B252" s="3"/>
      <c r="C252" s="3"/>
      <c r="D252" s="3"/>
      <c r="E252" s="3"/>
      <c r="F252" s="3"/>
      <c r="G252" s="3"/>
      <c r="H252" s="3"/>
      <c r="I252" s="3"/>
      <c r="J252" s="3"/>
      <c r="K252" s="3"/>
      <c r="L252" s="3"/>
      <c r="M252" s="3"/>
      <c r="N252" s="3"/>
      <c r="O252" s="3"/>
      <c r="P252" s="3"/>
      <c r="Q252" s="3"/>
      <c r="R252" s="3"/>
      <c r="S252" s="3"/>
      <c r="T252" s="3"/>
      <c r="U252" s="3"/>
      <c r="V252" s="18"/>
      <c r="W252" s="3"/>
      <c r="X252" s="3"/>
      <c r="Y252" s="3"/>
      <c r="Z252" s="3"/>
      <c r="AA252" s="3"/>
    </row>
    <row r="253" spans="1:27">
      <c r="A253" s="3"/>
      <c r="B253" s="3"/>
      <c r="C253" s="3"/>
      <c r="D253" s="3"/>
      <c r="E253" s="3"/>
      <c r="F253" s="3"/>
      <c r="G253" s="3"/>
      <c r="H253" s="3"/>
      <c r="I253" s="3"/>
      <c r="J253" s="3"/>
      <c r="K253" s="3"/>
      <c r="L253" s="3"/>
      <c r="M253" s="3"/>
      <c r="N253" s="3"/>
      <c r="O253" s="3"/>
      <c r="P253" s="3"/>
      <c r="Q253" s="3"/>
      <c r="R253" s="3"/>
      <c r="S253" s="3"/>
      <c r="T253" s="3"/>
      <c r="U253" s="3"/>
      <c r="V253" s="18"/>
      <c r="W253" s="3"/>
      <c r="X253" s="3"/>
      <c r="Y253" s="3"/>
      <c r="Z253" s="3"/>
      <c r="AA253" s="3"/>
    </row>
    <row r="254" spans="1:27">
      <c r="A254" s="3"/>
      <c r="B254" s="3"/>
      <c r="C254" s="3"/>
      <c r="D254" s="3"/>
      <c r="E254" s="3"/>
      <c r="F254" s="3"/>
      <c r="G254" s="3"/>
      <c r="H254" s="3"/>
      <c r="I254" s="3"/>
      <c r="J254" s="3"/>
      <c r="K254" s="3"/>
      <c r="L254" s="3"/>
      <c r="M254" s="3"/>
      <c r="N254" s="3"/>
      <c r="O254" s="3"/>
      <c r="P254" s="3"/>
      <c r="Q254" s="3"/>
      <c r="R254" s="3"/>
      <c r="S254" s="3"/>
      <c r="T254" s="3"/>
      <c r="U254" s="3"/>
      <c r="V254" s="18"/>
      <c r="W254" s="3"/>
      <c r="X254" s="3"/>
      <c r="Y254" s="3"/>
      <c r="Z254" s="3"/>
      <c r="AA254" s="3"/>
    </row>
    <row r="255" spans="1:27">
      <c r="A255" s="3"/>
      <c r="B255" s="3"/>
      <c r="C255" s="3"/>
      <c r="D255" s="3"/>
      <c r="E255" s="3"/>
      <c r="F255" s="3"/>
      <c r="G255" s="3"/>
      <c r="H255" s="3"/>
      <c r="I255" s="3"/>
      <c r="J255" s="3"/>
      <c r="K255" s="3"/>
      <c r="L255" s="3"/>
      <c r="M255" s="3"/>
      <c r="N255" s="3"/>
      <c r="O255" s="3"/>
      <c r="P255" s="3"/>
      <c r="Q255" s="3"/>
      <c r="R255" s="3"/>
      <c r="S255" s="3"/>
      <c r="T255" s="3"/>
      <c r="U255" s="3"/>
      <c r="V255" s="18"/>
      <c r="W255" s="3"/>
      <c r="X255" s="3"/>
      <c r="Y255" s="3"/>
      <c r="Z255" s="3"/>
      <c r="AA255" s="3"/>
    </row>
    <row r="256" spans="1:27">
      <c r="A256" s="3"/>
      <c r="B256" s="3"/>
      <c r="C256" s="3"/>
      <c r="D256" s="3"/>
      <c r="E256" s="3"/>
      <c r="F256" s="3"/>
      <c r="G256" s="3"/>
      <c r="H256" s="3"/>
      <c r="I256" s="3"/>
      <c r="J256" s="3"/>
      <c r="K256" s="3"/>
      <c r="L256" s="3"/>
      <c r="M256" s="3"/>
      <c r="N256" s="3"/>
      <c r="O256" s="3"/>
      <c r="P256" s="3"/>
      <c r="Q256" s="3"/>
      <c r="R256" s="3"/>
      <c r="S256" s="3"/>
      <c r="T256" s="3"/>
      <c r="U256" s="3"/>
      <c r="V256" s="18"/>
      <c r="W256" s="3"/>
      <c r="X256" s="3"/>
      <c r="Y256" s="3"/>
      <c r="Z256" s="3"/>
      <c r="AA256" s="3"/>
    </row>
    <row r="257" spans="1:27">
      <c r="A257" s="3"/>
      <c r="B257" s="3"/>
      <c r="C257" s="3"/>
      <c r="D257" s="3"/>
      <c r="E257" s="3"/>
      <c r="F257" s="3"/>
      <c r="G257" s="3"/>
      <c r="H257" s="3"/>
      <c r="I257" s="3"/>
      <c r="J257" s="3"/>
      <c r="K257" s="3"/>
      <c r="L257" s="3"/>
      <c r="M257" s="3"/>
      <c r="N257" s="3"/>
      <c r="O257" s="3"/>
      <c r="P257" s="3"/>
      <c r="Q257" s="3"/>
      <c r="R257" s="3"/>
      <c r="S257" s="3"/>
      <c r="T257" s="3"/>
      <c r="U257" s="3"/>
      <c r="V257" s="18"/>
      <c r="W257" s="3"/>
      <c r="X257" s="3"/>
      <c r="Y257" s="3"/>
      <c r="Z257" s="3"/>
      <c r="AA257" s="3"/>
    </row>
    <row r="258" spans="1:27">
      <c r="A258" s="3"/>
      <c r="B258" s="3"/>
      <c r="C258" s="3"/>
      <c r="D258" s="3"/>
      <c r="E258" s="3"/>
      <c r="F258" s="3"/>
      <c r="G258" s="3"/>
      <c r="H258" s="3"/>
      <c r="I258" s="3"/>
      <c r="J258" s="3"/>
      <c r="K258" s="3"/>
      <c r="L258" s="3"/>
      <c r="M258" s="3"/>
      <c r="N258" s="3"/>
      <c r="O258" s="3"/>
      <c r="P258" s="3"/>
      <c r="Q258" s="3"/>
      <c r="R258" s="3"/>
      <c r="S258" s="3"/>
      <c r="T258" s="3"/>
      <c r="U258" s="3"/>
      <c r="V258" s="18"/>
      <c r="W258" s="3"/>
      <c r="X258" s="3"/>
      <c r="Y258" s="3"/>
      <c r="Z258" s="3"/>
      <c r="AA258" s="3"/>
    </row>
    <row r="259" spans="1:27">
      <c r="A259" s="3"/>
      <c r="B259" s="3"/>
      <c r="C259" s="3"/>
      <c r="D259" s="3"/>
      <c r="E259" s="3"/>
      <c r="F259" s="3"/>
      <c r="G259" s="3"/>
      <c r="H259" s="3"/>
      <c r="I259" s="3"/>
      <c r="J259" s="3"/>
      <c r="K259" s="3"/>
      <c r="L259" s="3"/>
      <c r="M259" s="3"/>
      <c r="N259" s="3"/>
      <c r="O259" s="3"/>
      <c r="P259" s="3"/>
      <c r="Q259" s="3"/>
      <c r="R259" s="3"/>
      <c r="S259" s="3"/>
      <c r="T259" s="3"/>
      <c r="U259" s="3"/>
      <c r="V259" s="18"/>
      <c r="W259" s="3"/>
      <c r="X259" s="3"/>
      <c r="Y259" s="3"/>
      <c r="Z259" s="3"/>
      <c r="AA259" s="3"/>
    </row>
    <row r="260" spans="1:27">
      <c r="A260" s="3"/>
      <c r="B260" s="3"/>
      <c r="C260" s="3"/>
      <c r="D260" s="3"/>
      <c r="E260" s="3"/>
      <c r="F260" s="3"/>
      <c r="G260" s="3"/>
      <c r="H260" s="3"/>
      <c r="I260" s="3"/>
      <c r="J260" s="3"/>
      <c r="K260" s="3"/>
      <c r="L260" s="3"/>
      <c r="M260" s="3"/>
      <c r="N260" s="3"/>
      <c r="O260" s="3"/>
      <c r="P260" s="3"/>
      <c r="Q260" s="3"/>
      <c r="R260" s="3"/>
      <c r="S260" s="3"/>
      <c r="T260" s="3"/>
      <c r="U260" s="3"/>
      <c r="V260" s="18"/>
      <c r="W260" s="3"/>
      <c r="X260" s="3"/>
      <c r="Y260" s="3"/>
      <c r="Z260" s="3"/>
      <c r="AA260" s="3"/>
    </row>
    <row r="261" spans="1:27">
      <c r="A261" s="3"/>
      <c r="B261" s="3"/>
      <c r="C261" s="3"/>
      <c r="D261" s="3"/>
      <c r="E261" s="3"/>
      <c r="F261" s="3"/>
      <c r="G261" s="3"/>
      <c r="H261" s="3"/>
      <c r="I261" s="3"/>
      <c r="J261" s="3"/>
      <c r="K261" s="3"/>
      <c r="L261" s="3"/>
      <c r="M261" s="3"/>
      <c r="N261" s="3"/>
      <c r="O261" s="3"/>
      <c r="P261" s="3"/>
      <c r="Q261" s="3"/>
      <c r="R261" s="3"/>
      <c r="S261" s="3"/>
      <c r="T261" s="3"/>
      <c r="U261" s="3"/>
      <c r="V261" s="18"/>
      <c r="W261" s="3"/>
      <c r="X261" s="3"/>
      <c r="Y261" s="3"/>
      <c r="Z261" s="3"/>
      <c r="AA261" s="3"/>
    </row>
    <row r="262" spans="1:27">
      <c r="A262" s="3"/>
      <c r="B262" s="3"/>
      <c r="C262" s="3"/>
      <c r="D262" s="3"/>
      <c r="E262" s="3"/>
      <c r="F262" s="3"/>
      <c r="G262" s="3"/>
      <c r="H262" s="3"/>
      <c r="I262" s="3"/>
      <c r="J262" s="3"/>
      <c r="K262" s="3"/>
      <c r="L262" s="3"/>
      <c r="M262" s="3"/>
      <c r="N262" s="3"/>
      <c r="O262" s="3"/>
      <c r="P262" s="3"/>
      <c r="Q262" s="3"/>
      <c r="R262" s="3"/>
      <c r="S262" s="3"/>
      <c r="T262" s="3"/>
      <c r="U262" s="3"/>
      <c r="V262" s="18"/>
      <c r="W262" s="3"/>
      <c r="X262" s="3"/>
      <c r="Y262" s="3"/>
      <c r="Z262" s="3"/>
      <c r="AA262" s="3"/>
    </row>
    <row r="263" spans="1:27">
      <c r="A263" s="3"/>
      <c r="B263" s="3"/>
      <c r="C263" s="3"/>
      <c r="D263" s="3"/>
      <c r="E263" s="3"/>
      <c r="F263" s="3"/>
      <c r="G263" s="3"/>
      <c r="H263" s="3"/>
      <c r="I263" s="3"/>
      <c r="J263" s="3"/>
      <c r="K263" s="3"/>
      <c r="L263" s="3"/>
      <c r="M263" s="3"/>
      <c r="N263" s="3"/>
      <c r="O263" s="3"/>
      <c r="P263" s="3"/>
      <c r="Q263" s="3"/>
      <c r="R263" s="3"/>
      <c r="S263" s="3"/>
      <c r="T263" s="3"/>
      <c r="U263" s="3"/>
      <c r="V263" s="18"/>
      <c r="W263" s="3"/>
      <c r="X263" s="3"/>
      <c r="Y263" s="3"/>
      <c r="Z263" s="3"/>
      <c r="AA263" s="3"/>
    </row>
    <row r="264" spans="1:27">
      <c r="A264" s="3"/>
      <c r="B264" s="3"/>
      <c r="C264" s="3"/>
      <c r="D264" s="3"/>
      <c r="E264" s="3"/>
      <c r="F264" s="3"/>
      <c r="G264" s="3"/>
      <c r="H264" s="3"/>
      <c r="I264" s="3"/>
      <c r="J264" s="3"/>
      <c r="K264" s="3"/>
      <c r="L264" s="3"/>
      <c r="M264" s="3"/>
      <c r="N264" s="3"/>
      <c r="O264" s="3"/>
      <c r="P264" s="3"/>
      <c r="Q264" s="3"/>
      <c r="R264" s="3"/>
      <c r="S264" s="3"/>
      <c r="T264" s="3"/>
      <c r="U264" s="3"/>
      <c r="V264" s="18"/>
      <c r="W264" s="3"/>
      <c r="X264" s="3"/>
      <c r="Y264" s="3"/>
      <c r="Z264" s="3"/>
      <c r="AA264" s="3"/>
    </row>
    <row r="265" spans="1:27">
      <c r="A265" s="3"/>
      <c r="B265" s="3"/>
      <c r="C265" s="3"/>
      <c r="D265" s="3"/>
      <c r="E265" s="3"/>
      <c r="F265" s="3"/>
      <c r="G265" s="3"/>
      <c r="H265" s="3"/>
      <c r="I265" s="3"/>
      <c r="J265" s="3"/>
      <c r="K265" s="3"/>
      <c r="L265" s="3"/>
      <c r="M265" s="3"/>
      <c r="N265" s="3"/>
      <c r="O265" s="3"/>
      <c r="P265" s="3"/>
      <c r="Q265" s="3"/>
      <c r="R265" s="3"/>
      <c r="S265" s="3"/>
      <c r="T265" s="3"/>
      <c r="U265" s="3"/>
      <c r="V265" s="18"/>
      <c r="W265" s="3"/>
      <c r="X265" s="3"/>
      <c r="Y265" s="3"/>
      <c r="Z265" s="3"/>
      <c r="AA265" s="3"/>
    </row>
    <row r="266" spans="1:27">
      <c r="A266" s="3"/>
      <c r="B266" s="3"/>
      <c r="C266" s="3"/>
      <c r="D266" s="3"/>
      <c r="E266" s="3"/>
      <c r="F266" s="3"/>
      <c r="G266" s="3"/>
      <c r="H266" s="3"/>
      <c r="I266" s="3"/>
      <c r="J266" s="3"/>
      <c r="K266" s="3"/>
      <c r="L266" s="3"/>
      <c r="M266" s="3"/>
      <c r="N266" s="3"/>
      <c r="O266" s="3"/>
      <c r="P266" s="3"/>
      <c r="Q266" s="3"/>
      <c r="R266" s="3"/>
      <c r="S266" s="3"/>
      <c r="T266" s="3"/>
      <c r="U266" s="3"/>
      <c r="V266" s="18"/>
      <c r="W266" s="3"/>
      <c r="X266" s="3"/>
      <c r="Y266" s="3"/>
      <c r="Z266" s="3"/>
      <c r="AA266" s="3"/>
    </row>
    <row r="267" spans="1:27">
      <c r="A267" s="3"/>
      <c r="B267" s="3"/>
      <c r="C267" s="3"/>
      <c r="D267" s="3"/>
      <c r="E267" s="3"/>
      <c r="F267" s="3"/>
      <c r="G267" s="3"/>
      <c r="H267" s="3"/>
      <c r="I267" s="3"/>
      <c r="J267" s="3"/>
      <c r="K267" s="3"/>
      <c r="L267" s="3"/>
      <c r="M267" s="3"/>
      <c r="N267" s="3"/>
      <c r="O267" s="3"/>
      <c r="P267" s="3"/>
      <c r="Q267" s="3"/>
      <c r="R267" s="3"/>
      <c r="S267" s="3"/>
      <c r="T267" s="3"/>
      <c r="U267" s="3"/>
      <c r="V267" s="18"/>
      <c r="W267" s="3"/>
      <c r="X267" s="3"/>
      <c r="Y267" s="3"/>
      <c r="Z267" s="3"/>
      <c r="AA267" s="3"/>
    </row>
    <row r="268" spans="1:27">
      <c r="A268" s="3"/>
      <c r="B268" s="3"/>
      <c r="C268" s="3"/>
      <c r="D268" s="3"/>
      <c r="E268" s="3"/>
      <c r="F268" s="3"/>
      <c r="G268" s="3"/>
      <c r="H268" s="3"/>
      <c r="I268" s="3"/>
      <c r="J268" s="3"/>
      <c r="K268" s="3"/>
      <c r="L268" s="3"/>
      <c r="M268" s="3"/>
      <c r="N268" s="3"/>
      <c r="O268" s="3"/>
      <c r="P268" s="3"/>
      <c r="Q268" s="3"/>
      <c r="R268" s="3"/>
      <c r="S268" s="3"/>
      <c r="T268" s="3"/>
      <c r="U268" s="3"/>
      <c r="V268" s="18"/>
      <c r="W268" s="3"/>
      <c r="X268" s="3"/>
      <c r="Y268" s="3"/>
      <c r="Z268" s="3"/>
      <c r="AA268" s="3"/>
    </row>
    <row r="269" spans="1:27">
      <c r="A269" s="3"/>
      <c r="B269" s="3"/>
      <c r="C269" s="3"/>
      <c r="D269" s="3"/>
      <c r="E269" s="3"/>
      <c r="F269" s="3"/>
      <c r="G269" s="3"/>
      <c r="H269" s="3"/>
      <c r="I269" s="3"/>
      <c r="J269" s="3"/>
      <c r="K269" s="3"/>
      <c r="L269" s="3"/>
      <c r="M269" s="3"/>
      <c r="N269" s="3"/>
      <c r="O269" s="3"/>
      <c r="P269" s="3"/>
      <c r="Q269" s="3"/>
      <c r="R269" s="3"/>
      <c r="S269" s="3"/>
      <c r="T269" s="3"/>
      <c r="U269" s="3"/>
      <c r="V269" s="18"/>
      <c r="W269" s="3"/>
      <c r="X269" s="3"/>
      <c r="Y269" s="3"/>
      <c r="Z269" s="3"/>
      <c r="AA269" s="3"/>
    </row>
    <row r="270" spans="1:27">
      <c r="A270" s="3"/>
      <c r="B270" s="3"/>
      <c r="C270" s="3"/>
      <c r="D270" s="3"/>
      <c r="E270" s="3"/>
      <c r="F270" s="3"/>
      <c r="G270" s="3"/>
      <c r="H270" s="3"/>
      <c r="I270" s="3"/>
      <c r="J270" s="3"/>
      <c r="K270" s="3"/>
      <c r="L270" s="3"/>
      <c r="M270" s="3"/>
      <c r="N270" s="3"/>
      <c r="O270" s="3"/>
      <c r="P270" s="3"/>
      <c r="Q270" s="3"/>
      <c r="R270" s="3"/>
      <c r="S270" s="3"/>
      <c r="T270" s="3"/>
      <c r="U270" s="3"/>
      <c r="V270" s="18"/>
      <c r="W270" s="3"/>
      <c r="X270" s="3"/>
      <c r="Y270" s="3"/>
      <c r="Z270" s="3"/>
      <c r="AA270" s="3"/>
    </row>
    <row r="271" spans="1:27">
      <c r="A271" s="3"/>
      <c r="B271" s="3"/>
      <c r="C271" s="3"/>
      <c r="D271" s="3"/>
      <c r="E271" s="3"/>
      <c r="F271" s="3"/>
      <c r="G271" s="3"/>
      <c r="H271" s="3"/>
      <c r="I271" s="3"/>
      <c r="J271" s="3"/>
      <c r="K271" s="3"/>
      <c r="L271" s="3"/>
      <c r="M271" s="3"/>
      <c r="N271" s="3"/>
      <c r="O271" s="3"/>
      <c r="P271" s="3"/>
      <c r="Q271" s="3"/>
      <c r="R271" s="3"/>
      <c r="S271" s="3"/>
      <c r="T271" s="3"/>
      <c r="U271" s="3"/>
      <c r="V271" s="18"/>
      <c r="W271" s="3"/>
      <c r="X271" s="3"/>
      <c r="Y271" s="3"/>
      <c r="Z271" s="3"/>
      <c r="AA271" s="3"/>
    </row>
    <row r="272" spans="1:27">
      <c r="A272" s="3"/>
      <c r="B272" s="3"/>
      <c r="C272" s="3"/>
      <c r="D272" s="3"/>
      <c r="E272" s="3"/>
      <c r="F272" s="3"/>
      <c r="G272" s="3"/>
      <c r="H272" s="3"/>
      <c r="I272" s="3"/>
      <c r="J272" s="3"/>
      <c r="K272" s="3"/>
      <c r="L272" s="3"/>
      <c r="M272" s="3"/>
      <c r="N272" s="3"/>
      <c r="O272" s="3"/>
      <c r="P272" s="3"/>
      <c r="Q272" s="3"/>
      <c r="R272" s="3"/>
      <c r="S272" s="3"/>
      <c r="T272" s="3"/>
      <c r="U272" s="3"/>
      <c r="V272" s="18"/>
      <c r="W272" s="3"/>
      <c r="X272" s="3"/>
      <c r="Y272" s="3"/>
      <c r="Z272" s="3"/>
      <c r="AA272" s="3"/>
    </row>
    <row r="273" spans="1:27">
      <c r="A273" s="3"/>
      <c r="B273" s="3"/>
      <c r="C273" s="3"/>
      <c r="D273" s="3"/>
      <c r="E273" s="3"/>
      <c r="F273" s="3"/>
      <c r="G273" s="3"/>
      <c r="H273" s="3"/>
      <c r="I273" s="3"/>
      <c r="J273" s="3"/>
      <c r="K273" s="3"/>
      <c r="L273" s="3"/>
      <c r="M273" s="3"/>
      <c r="N273" s="3"/>
      <c r="O273" s="3"/>
      <c r="P273" s="3"/>
      <c r="Q273" s="3"/>
      <c r="R273" s="3"/>
      <c r="S273" s="3"/>
      <c r="T273" s="3"/>
      <c r="U273" s="3"/>
      <c r="V273" s="18"/>
      <c r="W273" s="3"/>
      <c r="X273" s="3"/>
      <c r="Y273" s="3"/>
      <c r="Z273" s="3"/>
      <c r="AA273" s="3"/>
    </row>
    <row r="274" spans="1:27">
      <c r="A274" s="3"/>
      <c r="B274" s="3"/>
      <c r="C274" s="3"/>
      <c r="D274" s="3"/>
      <c r="E274" s="3"/>
      <c r="F274" s="3"/>
      <c r="G274" s="3"/>
      <c r="H274" s="3"/>
      <c r="I274" s="3"/>
      <c r="J274" s="3"/>
      <c r="K274" s="3"/>
      <c r="L274" s="3"/>
      <c r="M274" s="3"/>
      <c r="N274" s="3"/>
      <c r="O274" s="3"/>
      <c r="P274" s="3"/>
      <c r="Q274" s="3"/>
      <c r="R274" s="3"/>
      <c r="S274" s="3"/>
      <c r="T274" s="3"/>
      <c r="U274" s="3"/>
      <c r="V274" s="18"/>
      <c r="W274" s="3"/>
      <c r="X274" s="3"/>
      <c r="Y274" s="3"/>
      <c r="Z274" s="3"/>
      <c r="AA274" s="3"/>
    </row>
    <row r="275" spans="1:27">
      <c r="A275" s="3"/>
      <c r="B275" s="3"/>
      <c r="C275" s="3"/>
      <c r="D275" s="3"/>
      <c r="E275" s="3"/>
      <c r="F275" s="3"/>
      <c r="G275" s="3"/>
      <c r="H275" s="3"/>
      <c r="I275" s="3"/>
      <c r="J275" s="3"/>
      <c r="K275" s="3"/>
      <c r="L275" s="3"/>
      <c r="M275" s="3"/>
      <c r="N275" s="3"/>
      <c r="O275" s="3"/>
      <c r="P275" s="3"/>
      <c r="Q275" s="3"/>
      <c r="R275" s="3"/>
      <c r="S275" s="3"/>
      <c r="T275" s="3"/>
      <c r="U275" s="3"/>
      <c r="V275" s="18"/>
      <c r="W275" s="3"/>
      <c r="X275" s="3"/>
      <c r="Y275" s="3"/>
      <c r="Z275" s="3"/>
      <c r="AA275" s="3"/>
    </row>
    <row r="276" spans="1:27">
      <c r="A276" s="3"/>
      <c r="B276" s="3"/>
      <c r="C276" s="3"/>
      <c r="D276" s="3"/>
      <c r="E276" s="3"/>
      <c r="F276" s="3"/>
      <c r="G276" s="3"/>
      <c r="H276" s="3"/>
      <c r="I276" s="3"/>
      <c r="J276" s="3"/>
      <c r="K276" s="3"/>
      <c r="L276" s="3"/>
      <c r="M276" s="3"/>
      <c r="N276" s="3"/>
      <c r="O276" s="3"/>
      <c r="P276" s="3"/>
      <c r="Q276" s="3"/>
      <c r="R276" s="3"/>
      <c r="S276" s="3"/>
      <c r="T276" s="3"/>
      <c r="U276" s="3"/>
      <c r="V276" s="18"/>
      <c r="W276" s="3"/>
      <c r="X276" s="3"/>
      <c r="Y276" s="3"/>
      <c r="Z276" s="3"/>
      <c r="AA276" s="3"/>
    </row>
    <row r="277" spans="1:27">
      <c r="A277" s="3"/>
      <c r="B277" s="3"/>
      <c r="C277" s="3"/>
      <c r="D277" s="3"/>
      <c r="E277" s="3"/>
      <c r="F277" s="3"/>
      <c r="G277" s="3"/>
      <c r="H277" s="3"/>
      <c r="I277" s="3"/>
      <c r="J277" s="3"/>
      <c r="K277" s="3"/>
      <c r="L277" s="3"/>
      <c r="M277" s="3"/>
      <c r="N277" s="3"/>
      <c r="O277" s="3"/>
      <c r="P277" s="3"/>
      <c r="Q277" s="3"/>
      <c r="R277" s="3"/>
      <c r="S277" s="3"/>
      <c r="T277" s="3"/>
      <c r="U277" s="3"/>
      <c r="V277" s="18"/>
      <c r="W277" s="3"/>
      <c r="X277" s="3"/>
      <c r="Y277" s="3"/>
      <c r="Z277" s="3"/>
      <c r="AA277" s="3"/>
    </row>
    <row r="278" spans="1:27">
      <c r="A278" s="3"/>
      <c r="B278" s="3"/>
      <c r="C278" s="3"/>
      <c r="D278" s="3"/>
      <c r="E278" s="3"/>
      <c r="F278" s="3"/>
      <c r="G278" s="3"/>
      <c r="H278" s="3"/>
      <c r="I278" s="3"/>
      <c r="J278" s="3"/>
      <c r="K278" s="3"/>
      <c r="L278" s="3"/>
      <c r="M278" s="3"/>
      <c r="N278" s="3"/>
      <c r="O278" s="3"/>
      <c r="P278" s="3"/>
      <c r="Q278" s="3"/>
      <c r="R278" s="3"/>
      <c r="S278" s="3"/>
      <c r="T278" s="3"/>
      <c r="U278" s="3"/>
      <c r="V278" s="18"/>
      <c r="W278" s="3"/>
      <c r="X278" s="3"/>
      <c r="Y278" s="3"/>
      <c r="Z278" s="3"/>
      <c r="AA278" s="3"/>
    </row>
    <row r="279" spans="1:27">
      <c r="A279" s="3"/>
      <c r="B279" s="3"/>
      <c r="C279" s="3"/>
      <c r="D279" s="3"/>
      <c r="E279" s="3"/>
      <c r="F279" s="3"/>
      <c r="G279" s="3"/>
      <c r="H279" s="3"/>
      <c r="I279" s="3"/>
      <c r="J279" s="3"/>
      <c r="K279" s="3"/>
      <c r="L279" s="3"/>
      <c r="M279" s="3"/>
      <c r="N279" s="3"/>
      <c r="O279" s="3"/>
      <c r="P279" s="3"/>
      <c r="Q279" s="3"/>
      <c r="R279" s="3"/>
      <c r="S279" s="3"/>
      <c r="T279" s="3"/>
      <c r="U279" s="3"/>
      <c r="V279" s="18"/>
      <c r="W279" s="3"/>
      <c r="X279" s="3"/>
      <c r="Y279" s="3"/>
      <c r="Z279" s="3"/>
      <c r="AA279" s="3"/>
    </row>
    <row r="280" spans="1:27">
      <c r="A280" s="3"/>
      <c r="B280" s="3"/>
      <c r="C280" s="3"/>
      <c r="D280" s="3"/>
      <c r="E280" s="3"/>
      <c r="F280" s="3"/>
      <c r="G280" s="3"/>
      <c r="H280" s="3"/>
      <c r="I280" s="3"/>
      <c r="J280" s="3"/>
      <c r="K280" s="3"/>
      <c r="L280" s="3"/>
      <c r="M280" s="3"/>
      <c r="N280" s="3"/>
      <c r="O280" s="3"/>
      <c r="P280" s="3"/>
      <c r="Q280" s="3"/>
      <c r="R280" s="3"/>
      <c r="S280" s="3"/>
      <c r="T280" s="3"/>
      <c r="U280" s="3"/>
      <c r="V280" s="18"/>
      <c r="W280" s="3"/>
      <c r="X280" s="3"/>
      <c r="Y280" s="3"/>
      <c r="Z280" s="3"/>
      <c r="AA280" s="3"/>
    </row>
    <row r="281" spans="1:27">
      <c r="A281" s="3"/>
      <c r="B281" s="3"/>
      <c r="C281" s="3"/>
      <c r="D281" s="3"/>
      <c r="E281" s="3"/>
      <c r="F281" s="3"/>
      <c r="G281" s="3"/>
      <c r="H281" s="3"/>
      <c r="I281" s="3"/>
      <c r="J281" s="3"/>
      <c r="K281" s="3"/>
      <c r="L281" s="3"/>
      <c r="M281" s="3"/>
      <c r="N281" s="3"/>
      <c r="O281" s="3"/>
      <c r="P281" s="3"/>
      <c r="Q281" s="3"/>
      <c r="R281" s="3"/>
      <c r="S281" s="3"/>
      <c r="T281" s="3"/>
      <c r="U281" s="3"/>
      <c r="V281" s="18"/>
      <c r="W281" s="3"/>
      <c r="X281" s="3"/>
      <c r="Y281" s="3"/>
      <c r="Z281" s="3"/>
      <c r="AA281" s="3"/>
    </row>
    <row r="282" spans="1:27">
      <c r="A282" s="3"/>
      <c r="B282" s="3"/>
      <c r="C282" s="3"/>
      <c r="D282" s="3"/>
      <c r="E282" s="3"/>
      <c r="F282" s="3"/>
      <c r="G282" s="3"/>
      <c r="H282" s="3"/>
      <c r="I282" s="3"/>
      <c r="J282" s="3"/>
      <c r="K282" s="3"/>
      <c r="L282" s="3"/>
      <c r="M282" s="3"/>
      <c r="N282" s="3"/>
      <c r="O282" s="3"/>
      <c r="P282" s="3"/>
      <c r="Q282" s="3"/>
      <c r="R282" s="3"/>
      <c r="S282" s="3"/>
      <c r="T282" s="3"/>
      <c r="U282" s="3"/>
      <c r="V282" s="18"/>
      <c r="W282" s="3"/>
      <c r="X282" s="3"/>
      <c r="Y282" s="3"/>
      <c r="Z282" s="3"/>
      <c r="AA282" s="3"/>
    </row>
    <row r="283" spans="1:27">
      <c r="A283" s="3"/>
      <c r="B283" s="3"/>
      <c r="C283" s="3"/>
      <c r="D283" s="3"/>
      <c r="E283" s="3"/>
      <c r="F283" s="3"/>
      <c r="G283" s="3"/>
      <c r="H283" s="3"/>
      <c r="I283" s="3"/>
      <c r="J283" s="3"/>
      <c r="K283" s="3"/>
      <c r="L283" s="3"/>
      <c r="M283" s="3"/>
      <c r="N283" s="3"/>
      <c r="O283" s="3"/>
      <c r="P283" s="3"/>
      <c r="Q283" s="3"/>
      <c r="R283" s="3"/>
      <c r="S283" s="3"/>
      <c r="T283" s="3"/>
      <c r="U283" s="3"/>
      <c r="V283" s="18"/>
      <c r="W283" s="3"/>
      <c r="X283" s="3"/>
      <c r="Y283" s="3"/>
      <c r="Z283" s="3"/>
      <c r="AA283" s="3"/>
    </row>
    <row r="284" spans="1:27">
      <c r="A284" s="3"/>
      <c r="B284" s="3"/>
      <c r="C284" s="3"/>
      <c r="D284" s="3"/>
      <c r="E284" s="3"/>
      <c r="F284" s="3"/>
      <c r="G284" s="3"/>
      <c r="H284" s="3"/>
      <c r="I284" s="3"/>
      <c r="J284" s="3"/>
      <c r="K284" s="3"/>
      <c r="L284" s="3"/>
      <c r="M284" s="3"/>
      <c r="N284" s="3"/>
      <c r="O284" s="3"/>
      <c r="P284" s="3"/>
      <c r="Q284" s="3"/>
      <c r="R284" s="3"/>
      <c r="S284" s="3"/>
      <c r="T284" s="3"/>
      <c r="U284" s="3"/>
      <c r="V284" s="18"/>
      <c r="W284" s="3"/>
      <c r="X284" s="3"/>
      <c r="Y284" s="3"/>
      <c r="Z284" s="3"/>
      <c r="AA284" s="3"/>
    </row>
    <row r="285" spans="1:27">
      <c r="A285" s="3"/>
      <c r="B285" s="3"/>
      <c r="C285" s="3"/>
      <c r="D285" s="3"/>
      <c r="E285" s="3"/>
      <c r="F285" s="3"/>
      <c r="G285" s="3"/>
      <c r="H285" s="3"/>
      <c r="I285" s="3"/>
      <c r="J285" s="3"/>
      <c r="K285" s="3"/>
      <c r="L285" s="3"/>
      <c r="M285" s="3"/>
      <c r="N285" s="3"/>
      <c r="O285" s="3"/>
      <c r="P285" s="3"/>
      <c r="Q285" s="3"/>
      <c r="R285" s="3"/>
      <c r="S285" s="3"/>
      <c r="T285" s="3"/>
      <c r="U285" s="3"/>
      <c r="V285" s="18"/>
      <c r="W285" s="3"/>
      <c r="X285" s="3"/>
      <c r="Y285" s="3"/>
      <c r="Z285" s="3"/>
      <c r="AA285" s="3"/>
    </row>
    <row r="286" spans="1:27">
      <c r="A286" s="3"/>
      <c r="B286" s="3"/>
      <c r="C286" s="3"/>
      <c r="D286" s="3"/>
      <c r="E286" s="3"/>
      <c r="F286" s="3"/>
      <c r="G286" s="3"/>
      <c r="H286" s="3"/>
      <c r="I286" s="3"/>
      <c r="J286" s="3"/>
      <c r="K286" s="3"/>
      <c r="L286" s="3"/>
      <c r="M286" s="3"/>
      <c r="N286" s="3"/>
      <c r="O286" s="3"/>
      <c r="P286" s="3"/>
      <c r="Q286" s="3"/>
      <c r="R286" s="3"/>
      <c r="S286" s="3"/>
      <c r="T286" s="3"/>
      <c r="U286" s="3"/>
      <c r="V286" s="18"/>
      <c r="W286" s="3"/>
      <c r="X286" s="3"/>
      <c r="Y286" s="3"/>
      <c r="Z286" s="3"/>
      <c r="AA286" s="3"/>
    </row>
    <row r="287" spans="1:27">
      <c r="A287" s="3"/>
      <c r="B287" s="3"/>
      <c r="C287" s="3"/>
      <c r="D287" s="3"/>
      <c r="E287" s="3"/>
      <c r="F287" s="3"/>
      <c r="G287" s="3"/>
      <c r="H287" s="3"/>
      <c r="I287" s="3"/>
      <c r="J287" s="3"/>
      <c r="K287" s="3"/>
      <c r="L287" s="3"/>
      <c r="M287" s="3"/>
      <c r="N287" s="3"/>
      <c r="O287" s="3"/>
      <c r="P287" s="3"/>
      <c r="Q287" s="3"/>
      <c r="R287" s="3"/>
      <c r="S287" s="3"/>
      <c r="T287" s="3"/>
      <c r="U287" s="3"/>
      <c r="V287" s="18"/>
      <c r="W287" s="3"/>
      <c r="X287" s="3"/>
      <c r="Y287" s="3"/>
      <c r="Z287" s="3"/>
      <c r="AA287" s="3"/>
    </row>
    <row r="288" spans="1:27">
      <c r="A288" s="3"/>
      <c r="B288" s="3"/>
      <c r="C288" s="3"/>
      <c r="D288" s="3"/>
      <c r="E288" s="3"/>
      <c r="F288" s="3"/>
      <c r="G288" s="3"/>
      <c r="H288" s="3"/>
      <c r="I288" s="3"/>
      <c r="J288" s="3"/>
      <c r="K288" s="3"/>
      <c r="L288" s="3"/>
      <c r="M288" s="3"/>
      <c r="N288" s="3"/>
      <c r="O288" s="3"/>
      <c r="P288" s="3"/>
      <c r="Q288" s="3"/>
      <c r="R288" s="3"/>
      <c r="S288" s="3"/>
      <c r="T288" s="3"/>
      <c r="U288" s="3"/>
      <c r="V288" s="18"/>
      <c r="W288" s="3"/>
      <c r="X288" s="3"/>
      <c r="Y288" s="3"/>
      <c r="Z288" s="3"/>
      <c r="AA288" s="3"/>
    </row>
    <row r="289" spans="1:27">
      <c r="A289" s="3"/>
      <c r="B289" s="3"/>
      <c r="C289" s="3"/>
      <c r="D289" s="3"/>
      <c r="E289" s="3"/>
      <c r="F289" s="3"/>
      <c r="G289" s="3"/>
      <c r="H289" s="3"/>
      <c r="I289" s="3"/>
      <c r="J289" s="3"/>
      <c r="K289" s="3"/>
      <c r="L289" s="3"/>
      <c r="M289" s="3"/>
      <c r="N289" s="3"/>
      <c r="O289" s="3"/>
      <c r="P289" s="3"/>
      <c r="Q289" s="3"/>
      <c r="R289" s="3"/>
      <c r="S289" s="3"/>
      <c r="T289" s="3"/>
      <c r="U289" s="3"/>
      <c r="V289" s="18"/>
      <c r="W289" s="3"/>
      <c r="X289" s="3"/>
      <c r="Y289" s="3"/>
      <c r="Z289" s="3"/>
      <c r="AA289" s="3"/>
    </row>
    <row r="290" spans="1:27">
      <c r="A290" s="3"/>
      <c r="B290" s="3"/>
      <c r="C290" s="3"/>
      <c r="D290" s="3"/>
      <c r="E290" s="3"/>
      <c r="F290" s="3"/>
      <c r="G290" s="3"/>
      <c r="H290" s="3"/>
      <c r="I290" s="3"/>
      <c r="J290" s="3"/>
      <c r="K290" s="3"/>
      <c r="L290" s="3"/>
      <c r="M290" s="3"/>
      <c r="N290" s="3"/>
      <c r="O290" s="3"/>
      <c r="P290" s="3"/>
      <c r="Q290" s="3"/>
      <c r="R290" s="3"/>
      <c r="S290" s="3"/>
      <c r="T290" s="3"/>
      <c r="U290" s="3"/>
      <c r="V290" s="18"/>
      <c r="W290" s="3"/>
      <c r="X290" s="3"/>
      <c r="Y290" s="3"/>
      <c r="Z290" s="3"/>
      <c r="AA290" s="3"/>
    </row>
    <row r="291" spans="1:27">
      <c r="A291" s="3"/>
      <c r="B291" s="3"/>
      <c r="C291" s="3"/>
      <c r="D291" s="3"/>
      <c r="E291" s="3"/>
      <c r="F291" s="3"/>
      <c r="G291" s="3"/>
      <c r="H291" s="3"/>
      <c r="I291" s="3"/>
      <c r="J291" s="3"/>
      <c r="K291" s="3"/>
      <c r="L291" s="3"/>
      <c r="M291" s="3"/>
      <c r="N291" s="3"/>
      <c r="O291" s="3"/>
      <c r="P291" s="3"/>
      <c r="Q291" s="3"/>
      <c r="R291" s="3"/>
      <c r="S291" s="3"/>
      <c r="T291" s="3"/>
      <c r="U291" s="3"/>
      <c r="V291" s="18"/>
      <c r="W291" s="3"/>
      <c r="X291" s="3"/>
      <c r="Y291" s="3"/>
      <c r="Z291" s="3"/>
      <c r="AA291" s="3"/>
    </row>
    <row r="292" spans="1:27">
      <c r="A292" s="3"/>
      <c r="B292" s="3"/>
      <c r="C292" s="3"/>
      <c r="D292" s="3"/>
      <c r="E292" s="3"/>
      <c r="F292" s="3"/>
      <c r="G292" s="3"/>
      <c r="H292" s="3"/>
      <c r="I292" s="3"/>
      <c r="J292" s="3"/>
      <c r="K292" s="3"/>
      <c r="L292" s="3"/>
      <c r="M292" s="3"/>
      <c r="N292" s="3"/>
      <c r="O292" s="3"/>
      <c r="P292" s="3"/>
      <c r="Q292" s="3"/>
      <c r="R292" s="3"/>
      <c r="S292" s="3"/>
      <c r="T292" s="3"/>
      <c r="U292" s="3"/>
      <c r="V292" s="18"/>
      <c r="W292" s="3"/>
      <c r="X292" s="3"/>
      <c r="Y292" s="3"/>
      <c r="Z292" s="3"/>
      <c r="AA292" s="3"/>
    </row>
    <row r="293" spans="1:27">
      <c r="A293" s="3"/>
      <c r="B293" s="3"/>
      <c r="C293" s="3"/>
      <c r="D293" s="3"/>
      <c r="E293" s="3"/>
      <c r="F293" s="3"/>
      <c r="G293" s="3"/>
      <c r="H293" s="3"/>
      <c r="I293" s="3"/>
      <c r="J293" s="3"/>
      <c r="K293" s="3"/>
      <c r="L293" s="3"/>
      <c r="M293" s="3"/>
      <c r="N293" s="3"/>
      <c r="O293" s="3"/>
      <c r="P293" s="3"/>
      <c r="Q293" s="3"/>
      <c r="R293" s="3"/>
      <c r="S293" s="3"/>
      <c r="T293" s="3"/>
      <c r="U293" s="3"/>
      <c r="V293" s="18"/>
      <c r="W293" s="3"/>
      <c r="X293" s="3"/>
      <c r="Y293" s="3"/>
      <c r="Z293" s="3"/>
      <c r="AA293" s="3"/>
    </row>
    <row r="294" spans="1:27">
      <c r="A294" s="3"/>
      <c r="B294" s="3"/>
      <c r="C294" s="3"/>
      <c r="D294" s="3"/>
      <c r="E294" s="3"/>
      <c r="F294" s="3"/>
      <c r="G294" s="3"/>
      <c r="H294" s="3"/>
      <c r="I294" s="3"/>
      <c r="J294" s="3"/>
      <c r="K294" s="3"/>
      <c r="L294" s="3"/>
      <c r="M294" s="3"/>
      <c r="N294" s="3"/>
      <c r="O294" s="3"/>
      <c r="P294" s="3"/>
      <c r="Q294" s="3"/>
      <c r="R294" s="3"/>
      <c r="S294" s="3"/>
      <c r="T294" s="3"/>
      <c r="U294" s="3"/>
      <c r="V294" s="18"/>
      <c r="W294" s="3"/>
      <c r="X294" s="3"/>
      <c r="Y294" s="3"/>
      <c r="Z294" s="3"/>
      <c r="AA294" s="3"/>
    </row>
    <row r="295" spans="1:27">
      <c r="A295" s="3"/>
      <c r="B295" s="3"/>
      <c r="C295" s="3"/>
      <c r="D295" s="3"/>
      <c r="E295" s="3"/>
      <c r="F295" s="3"/>
      <c r="G295" s="3"/>
      <c r="H295" s="3"/>
      <c r="I295" s="3"/>
      <c r="J295" s="3"/>
      <c r="K295" s="3"/>
      <c r="L295" s="3"/>
      <c r="M295" s="3"/>
      <c r="N295" s="3"/>
      <c r="O295" s="3"/>
      <c r="P295" s="3"/>
      <c r="Q295" s="3"/>
      <c r="R295" s="3"/>
      <c r="S295" s="3"/>
      <c r="T295" s="3"/>
      <c r="U295" s="3"/>
      <c r="V295" s="18"/>
      <c r="W295" s="3"/>
      <c r="X295" s="3"/>
      <c r="Y295" s="3"/>
      <c r="Z295" s="3"/>
      <c r="AA295" s="3"/>
    </row>
    <row r="296" spans="1:27">
      <c r="A296" s="3"/>
      <c r="B296" s="3"/>
      <c r="C296" s="3"/>
      <c r="D296" s="3"/>
      <c r="E296" s="3"/>
      <c r="F296" s="3"/>
      <c r="G296" s="3"/>
      <c r="H296" s="3"/>
      <c r="I296" s="3"/>
      <c r="J296" s="3"/>
      <c r="K296" s="3"/>
      <c r="L296" s="3"/>
      <c r="M296" s="3"/>
      <c r="N296" s="3"/>
      <c r="O296" s="3"/>
      <c r="P296" s="3"/>
      <c r="Q296" s="3"/>
      <c r="R296" s="3"/>
      <c r="S296" s="3"/>
      <c r="T296" s="3"/>
      <c r="U296" s="3"/>
      <c r="V296" s="18"/>
      <c r="W296" s="3"/>
      <c r="X296" s="3"/>
      <c r="Y296" s="3"/>
      <c r="Z296" s="3"/>
      <c r="AA296" s="3"/>
    </row>
    <row r="297" spans="1:27">
      <c r="A297" s="3"/>
      <c r="B297" s="3"/>
      <c r="C297" s="3"/>
      <c r="D297" s="3"/>
      <c r="E297" s="3"/>
      <c r="F297" s="3"/>
      <c r="G297" s="3"/>
      <c r="H297" s="3"/>
      <c r="I297" s="3"/>
      <c r="J297" s="3"/>
      <c r="K297" s="3"/>
      <c r="L297" s="3"/>
      <c r="M297" s="3"/>
      <c r="N297" s="3"/>
      <c r="O297" s="3"/>
      <c r="P297" s="3"/>
      <c r="Q297" s="3"/>
      <c r="R297" s="3"/>
      <c r="S297" s="3"/>
      <c r="T297" s="3"/>
      <c r="U297" s="3"/>
      <c r="V297" s="18"/>
      <c r="W297" s="3"/>
      <c r="X297" s="3"/>
      <c r="Y297" s="3"/>
      <c r="Z297" s="3"/>
      <c r="AA297" s="3"/>
    </row>
    <row r="298" spans="1:27">
      <c r="A298" s="3"/>
      <c r="B298" s="3"/>
      <c r="C298" s="3"/>
      <c r="D298" s="3"/>
      <c r="E298" s="3"/>
      <c r="F298" s="3"/>
      <c r="G298" s="3"/>
      <c r="H298" s="3"/>
      <c r="I298" s="3"/>
      <c r="J298" s="3"/>
      <c r="K298" s="3"/>
      <c r="L298" s="3"/>
      <c r="M298" s="3"/>
      <c r="N298" s="3"/>
      <c r="O298" s="3"/>
      <c r="P298" s="3"/>
      <c r="Q298" s="3"/>
      <c r="R298" s="3"/>
      <c r="S298" s="3"/>
      <c r="T298" s="3"/>
      <c r="U298" s="3"/>
      <c r="V298" s="18"/>
      <c r="W298" s="3"/>
      <c r="X298" s="3"/>
      <c r="Y298" s="3"/>
      <c r="Z298" s="3"/>
      <c r="AA298" s="3"/>
    </row>
    <row r="299" spans="1:27">
      <c r="A299" s="3"/>
      <c r="B299" s="3"/>
      <c r="C299" s="3"/>
      <c r="D299" s="3"/>
      <c r="E299" s="3"/>
      <c r="F299" s="3"/>
      <c r="G299" s="3"/>
      <c r="H299" s="3"/>
      <c r="I299" s="3"/>
      <c r="J299" s="3"/>
      <c r="K299" s="3"/>
      <c r="L299" s="3"/>
      <c r="M299" s="3"/>
      <c r="N299" s="3"/>
      <c r="O299" s="3"/>
      <c r="P299" s="3"/>
      <c r="Q299" s="3"/>
      <c r="R299" s="3"/>
      <c r="S299" s="3"/>
      <c r="T299" s="3"/>
      <c r="U299" s="3"/>
      <c r="V299" s="18"/>
      <c r="W299" s="3"/>
      <c r="X299" s="3"/>
      <c r="Y299" s="3"/>
      <c r="Z299" s="3"/>
      <c r="AA299" s="3"/>
    </row>
    <row r="300" spans="1:27">
      <c r="A300" s="3"/>
      <c r="B300" s="3"/>
      <c r="C300" s="3"/>
      <c r="D300" s="3"/>
      <c r="E300" s="3"/>
      <c r="F300" s="3"/>
      <c r="G300" s="3"/>
      <c r="H300" s="3"/>
      <c r="I300" s="3"/>
      <c r="J300" s="3"/>
      <c r="K300" s="3"/>
      <c r="L300" s="3"/>
      <c r="M300" s="3"/>
      <c r="N300" s="3"/>
      <c r="O300" s="3"/>
      <c r="P300" s="3"/>
      <c r="Q300" s="3"/>
      <c r="R300" s="3"/>
      <c r="S300" s="3"/>
      <c r="T300" s="3"/>
      <c r="U300" s="3"/>
      <c r="V300" s="18"/>
      <c r="W300" s="3"/>
      <c r="X300" s="3"/>
      <c r="Y300" s="3"/>
      <c r="Z300" s="3"/>
      <c r="AA300" s="3"/>
    </row>
    <row r="301" spans="1:27">
      <c r="A301" s="3"/>
      <c r="B301" s="3"/>
      <c r="C301" s="3"/>
      <c r="D301" s="3"/>
      <c r="E301" s="3"/>
      <c r="F301" s="3"/>
      <c r="G301" s="3"/>
      <c r="H301" s="3"/>
      <c r="I301" s="3"/>
      <c r="J301" s="3"/>
      <c r="K301" s="3"/>
      <c r="L301" s="3"/>
      <c r="M301" s="3"/>
      <c r="N301" s="3"/>
      <c r="O301" s="3"/>
      <c r="P301" s="3"/>
      <c r="Q301" s="3"/>
      <c r="R301" s="3"/>
      <c r="S301" s="3"/>
      <c r="T301" s="3"/>
      <c r="U301" s="3"/>
      <c r="V301" s="18"/>
      <c r="W301" s="3"/>
      <c r="X301" s="3"/>
      <c r="Y301" s="3"/>
      <c r="Z301" s="3"/>
      <c r="AA301" s="3"/>
    </row>
    <row r="302" spans="1:27">
      <c r="A302" s="3"/>
      <c r="B302" s="3"/>
      <c r="C302" s="3"/>
      <c r="D302" s="3"/>
      <c r="E302" s="3"/>
      <c r="F302" s="3"/>
      <c r="G302" s="3"/>
      <c r="H302" s="3"/>
      <c r="I302" s="3"/>
      <c r="J302" s="3"/>
      <c r="K302" s="3"/>
      <c r="L302" s="3"/>
      <c r="M302" s="3"/>
      <c r="N302" s="3"/>
      <c r="O302" s="3"/>
      <c r="P302" s="3"/>
      <c r="Q302" s="3"/>
      <c r="R302" s="3"/>
      <c r="S302" s="3"/>
      <c r="T302" s="3"/>
      <c r="U302" s="3"/>
      <c r="V302" s="18"/>
      <c r="W302" s="3"/>
      <c r="X302" s="3"/>
      <c r="Y302" s="3"/>
      <c r="Z302" s="3"/>
      <c r="AA302" s="3"/>
    </row>
    <row r="303" spans="1:27">
      <c r="A303" s="3"/>
      <c r="B303" s="3"/>
      <c r="C303" s="3"/>
      <c r="D303" s="3"/>
      <c r="E303" s="3"/>
      <c r="F303" s="3"/>
      <c r="G303" s="3"/>
      <c r="H303" s="3"/>
      <c r="I303" s="3"/>
      <c r="J303" s="3"/>
      <c r="K303" s="3"/>
      <c r="L303" s="3"/>
      <c r="M303" s="3"/>
      <c r="N303" s="3"/>
      <c r="O303" s="3"/>
      <c r="P303" s="3"/>
      <c r="Q303" s="3"/>
      <c r="R303" s="3"/>
      <c r="S303" s="3"/>
      <c r="T303" s="3"/>
      <c r="U303" s="3"/>
      <c r="V303" s="18"/>
      <c r="W303" s="3"/>
      <c r="X303" s="3"/>
      <c r="Y303" s="3"/>
      <c r="Z303" s="3"/>
      <c r="AA303" s="3"/>
    </row>
    <row r="304" spans="1:27">
      <c r="A304" s="3"/>
      <c r="B304" s="3"/>
      <c r="C304" s="3"/>
      <c r="D304" s="3"/>
      <c r="E304" s="3"/>
      <c r="F304" s="3"/>
      <c r="G304" s="3"/>
      <c r="H304" s="3"/>
      <c r="I304" s="3"/>
      <c r="J304" s="3"/>
      <c r="K304" s="3"/>
      <c r="L304" s="3"/>
      <c r="M304" s="3"/>
      <c r="N304" s="3"/>
      <c r="O304" s="3"/>
      <c r="P304" s="3"/>
      <c r="Q304" s="3"/>
      <c r="R304" s="3"/>
      <c r="S304" s="3"/>
      <c r="T304" s="3"/>
      <c r="U304" s="3"/>
      <c r="V304" s="18"/>
      <c r="W304" s="3"/>
      <c r="X304" s="3"/>
      <c r="Y304" s="3"/>
      <c r="Z304" s="3"/>
      <c r="AA304" s="3"/>
    </row>
    <row r="305" spans="1:27">
      <c r="A305" s="3"/>
      <c r="B305" s="3"/>
      <c r="C305" s="3"/>
      <c r="D305" s="3"/>
      <c r="E305" s="3"/>
      <c r="F305" s="3"/>
      <c r="G305" s="3"/>
      <c r="H305" s="3"/>
      <c r="I305" s="3"/>
      <c r="J305" s="3"/>
      <c r="K305" s="3"/>
      <c r="L305" s="3"/>
      <c r="M305" s="3"/>
      <c r="N305" s="3"/>
      <c r="O305" s="3"/>
      <c r="P305" s="3"/>
      <c r="Q305" s="3"/>
      <c r="R305" s="3"/>
      <c r="S305" s="3"/>
      <c r="T305" s="3"/>
      <c r="U305" s="3"/>
      <c r="V305" s="18"/>
      <c r="W305" s="3"/>
      <c r="X305" s="3"/>
      <c r="Y305" s="3"/>
      <c r="Z305" s="3"/>
      <c r="AA305" s="3"/>
    </row>
    <row r="306" spans="1:27">
      <c r="A306" s="3"/>
      <c r="B306" s="3"/>
      <c r="C306" s="3"/>
      <c r="D306" s="3"/>
      <c r="E306" s="3"/>
      <c r="F306" s="3"/>
      <c r="G306" s="3"/>
      <c r="H306" s="3"/>
      <c r="I306" s="3"/>
      <c r="J306" s="3"/>
      <c r="K306" s="3"/>
      <c r="L306" s="3"/>
      <c r="M306" s="3"/>
      <c r="N306" s="3"/>
      <c r="O306" s="3"/>
      <c r="P306" s="3"/>
      <c r="Q306" s="3"/>
      <c r="R306" s="3"/>
      <c r="S306" s="3"/>
      <c r="T306" s="3"/>
      <c r="U306" s="3"/>
      <c r="V306" s="18"/>
      <c r="W306" s="3"/>
      <c r="X306" s="3"/>
      <c r="Y306" s="3"/>
      <c r="Z306" s="3"/>
      <c r="AA306" s="3"/>
    </row>
    <row r="307" spans="1:27">
      <c r="A307" s="3"/>
      <c r="B307" s="3"/>
      <c r="C307" s="3"/>
      <c r="D307" s="3"/>
      <c r="E307" s="3"/>
      <c r="F307" s="3"/>
      <c r="G307" s="3"/>
      <c r="H307" s="3"/>
      <c r="I307" s="3"/>
      <c r="J307" s="3"/>
      <c r="K307" s="3"/>
      <c r="L307" s="3"/>
      <c r="M307" s="3"/>
      <c r="N307" s="3"/>
      <c r="O307" s="3"/>
      <c r="P307" s="3"/>
      <c r="Q307" s="3"/>
      <c r="R307" s="3"/>
      <c r="S307" s="3"/>
      <c r="T307" s="3"/>
      <c r="U307" s="3"/>
      <c r="V307" s="18"/>
      <c r="W307" s="3"/>
      <c r="X307" s="3"/>
      <c r="Y307" s="3"/>
      <c r="Z307" s="3"/>
      <c r="AA307" s="3"/>
    </row>
    <row r="308" spans="1:27">
      <c r="A308" s="3"/>
      <c r="B308" s="3"/>
      <c r="C308" s="3"/>
      <c r="D308" s="3"/>
      <c r="E308" s="3"/>
      <c r="F308" s="3"/>
      <c r="G308" s="3"/>
      <c r="H308" s="3"/>
      <c r="I308" s="3"/>
      <c r="J308" s="3"/>
      <c r="K308" s="3"/>
      <c r="L308" s="3"/>
      <c r="M308" s="3"/>
      <c r="N308" s="3"/>
      <c r="O308" s="3"/>
      <c r="P308" s="3"/>
      <c r="Q308" s="3"/>
      <c r="R308" s="3"/>
      <c r="S308" s="3"/>
      <c r="T308" s="3"/>
      <c r="U308" s="3"/>
      <c r="V308" s="18"/>
      <c r="W308" s="3"/>
      <c r="X308" s="3"/>
      <c r="Y308" s="3"/>
      <c r="Z308" s="3"/>
      <c r="AA308" s="3"/>
    </row>
    <row r="309" spans="1:27">
      <c r="A309" s="3"/>
      <c r="B309" s="3"/>
      <c r="C309" s="3"/>
      <c r="D309" s="3"/>
      <c r="E309" s="3"/>
      <c r="F309" s="3"/>
      <c r="G309" s="3"/>
      <c r="H309" s="3"/>
      <c r="I309" s="3"/>
      <c r="J309" s="3"/>
      <c r="K309" s="3"/>
      <c r="L309" s="3"/>
      <c r="M309" s="3"/>
      <c r="N309" s="3"/>
      <c r="O309" s="3"/>
      <c r="P309" s="3"/>
      <c r="Q309" s="3"/>
      <c r="R309" s="3"/>
      <c r="S309" s="3"/>
      <c r="T309" s="3"/>
      <c r="U309" s="3"/>
      <c r="V309" s="18"/>
      <c r="W309" s="3"/>
      <c r="X309" s="3"/>
      <c r="Y309" s="3"/>
      <c r="Z309" s="3"/>
      <c r="AA309" s="3"/>
    </row>
    <row r="310" spans="1:27">
      <c r="A310" s="3"/>
      <c r="B310" s="3"/>
      <c r="C310" s="3"/>
      <c r="D310" s="3"/>
      <c r="E310" s="3"/>
      <c r="F310" s="3"/>
      <c r="G310" s="3"/>
      <c r="H310" s="3"/>
      <c r="I310" s="3"/>
      <c r="J310" s="3"/>
      <c r="K310" s="3"/>
      <c r="L310" s="3"/>
      <c r="M310" s="3"/>
      <c r="N310" s="3"/>
      <c r="O310" s="3"/>
      <c r="P310" s="3"/>
      <c r="Q310" s="3"/>
      <c r="R310" s="3"/>
      <c r="S310" s="3"/>
      <c r="T310" s="3"/>
      <c r="U310" s="3"/>
      <c r="V310" s="18"/>
      <c r="W310" s="3"/>
      <c r="X310" s="3"/>
      <c r="Y310" s="3"/>
      <c r="Z310" s="3"/>
      <c r="AA310" s="3"/>
    </row>
    <row r="311" spans="1:27">
      <c r="A311" s="3"/>
      <c r="B311" s="3"/>
      <c r="C311" s="3"/>
      <c r="D311" s="3"/>
      <c r="E311" s="3"/>
      <c r="F311" s="3"/>
      <c r="G311" s="3"/>
      <c r="H311" s="3"/>
      <c r="I311" s="3"/>
      <c r="J311" s="3"/>
      <c r="K311" s="3"/>
      <c r="L311" s="3"/>
      <c r="M311" s="3"/>
      <c r="N311" s="3"/>
      <c r="O311" s="3"/>
      <c r="P311" s="3"/>
      <c r="Q311" s="3"/>
      <c r="R311" s="3"/>
      <c r="S311" s="3"/>
      <c r="T311" s="3"/>
      <c r="U311" s="3"/>
      <c r="V311" s="18"/>
      <c r="W311" s="3"/>
      <c r="X311" s="3"/>
      <c r="Y311" s="3"/>
      <c r="Z311" s="3"/>
      <c r="AA311" s="3"/>
    </row>
    <row r="312" spans="1:27">
      <c r="A312" s="3"/>
      <c r="B312" s="3"/>
      <c r="C312" s="3"/>
      <c r="D312" s="3"/>
      <c r="E312" s="3"/>
      <c r="F312" s="3"/>
      <c r="G312" s="3"/>
      <c r="H312" s="3"/>
      <c r="I312" s="3"/>
      <c r="J312" s="3"/>
      <c r="K312" s="3"/>
      <c r="L312" s="3"/>
      <c r="M312" s="3"/>
      <c r="N312" s="3"/>
      <c r="O312" s="3"/>
      <c r="P312" s="3"/>
      <c r="Q312" s="3"/>
      <c r="R312" s="3"/>
      <c r="S312" s="3"/>
      <c r="T312" s="3"/>
      <c r="U312" s="3"/>
      <c r="V312" s="18"/>
      <c r="W312" s="3"/>
      <c r="X312" s="3"/>
      <c r="Y312" s="3"/>
      <c r="Z312" s="3"/>
      <c r="AA312" s="3"/>
    </row>
    <row r="313" spans="1:27">
      <c r="A313" s="3"/>
      <c r="B313" s="3"/>
      <c r="C313" s="3"/>
      <c r="D313" s="3"/>
      <c r="E313" s="3"/>
      <c r="F313" s="3"/>
      <c r="G313" s="3"/>
      <c r="H313" s="3"/>
      <c r="I313" s="3"/>
      <c r="J313" s="3"/>
      <c r="K313" s="3"/>
      <c r="L313" s="3"/>
      <c r="M313" s="3"/>
      <c r="N313" s="3"/>
      <c r="O313" s="3"/>
      <c r="P313" s="3"/>
      <c r="Q313" s="3"/>
      <c r="R313" s="3"/>
      <c r="S313" s="3"/>
      <c r="T313" s="3"/>
      <c r="U313" s="3"/>
      <c r="V313" s="18"/>
      <c r="W313" s="3"/>
      <c r="X313" s="3"/>
      <c r="Y313" s="3"/>
      <c r="Z313" s="3"/>
      <c r="AA313" s="3"/>
    </row>
    <row r="314" spans="1:27">
      <c r="A314" s="3"/>
      <c r="B314" s="3"/>
      <c r="C314" s="3"/>
      <c r="D314" s="3"/>
      <c r="E314" s="3"/>
      <c r="F314" s="3"/>
      <c r="G314" s="3"/>
      <c r="H314" s="3"/>
      <c r="I314" s="3"/>
      <c r="J314" s="3"/>
      <c r="K314" s="3"/>
      <c r="L314" s="3"/>
      <c r="M314" s="3"/>
      <c r="N314" s="3"/>
      <c r="O314" s="3"/>
      <c r="P314" s="3"/>
      <c r="Q314" s="3"/>
      <c r="R314" s="3"/>
      <c r="S314" s="3"/>
      <c r="T314" s="3"/>
      <c r="U314" s="3"/>
      <c r="V314" s="18"/>
      <c r="W314" s="3"/>
      <c r="X314" s="3"/>
      <c r="Y314" s="3"/>
      <c r="Z314" s="3"/>
      <c r="AA314" s="3"/>
    </row>
    <row r="315" spans="1:27">
      <c r="A315" s="3"/>
      <c r="B315" s="3"/>
      <c r="C315" s="3"/>
      <c r="D315" s="3"/>
      <c r="E315" s="3"/>
      <c r="F315" s="3"/>
      <c r="G315" s="3"/>
      <c r="H315" s="3"/>
      <c r="I315" s="3"/>
      <c r="J315" s="3"/>
      <c r="K315" s="3"/>
      <c r="L315" s="3"/>
      <c r="M315" s="3"/>
      <c r="N315" s="3"/>
      <c r="O315" s="3"/>
      <c r="P315" s="3"/>
      <c r="Q315" s="3"/>
      <c r="R315" s="3"/>
      <c r="S315" s="3"/>
      <c r="T315" s="3"/>
      <c r="U315" s="3"/>
      <c r="V315" s="18"/>
      <c r="W315" s="3"/>
      <c r="X315" s="3"/>
      <c r="Y315" s="3"/>
      <c r="Z315" s="3"/>
      <c r="AA315" s="3"/>
    </row>
    <row r="316" spans="1:27">
      <c r="A316" s="3"/>
      <c r="B316" s="3"/>
      <c r="C316" s="3"/>
      <c r="D316" s="3"/>
      <c r="E316" s="3"/>
      <c r="F316" s="3"/>
      <c r="G316" s="3"/>
      <c r="H316" s="3"/>
      <c r="I316" s="3"/>
      <c r="J316" s="3"/>
      <c r="K316" s="3"/>
      <c r="L316" s="3"/>
      <c r="M316" s="3"/>
      <c r="N316" s="3"/>
      <c r="O316" s="3"/>
      <c r="P316" s="3"/>
      <c r="Q316" s="3"/>
      <c r="R316" s="3"/>
      <c r="S316" s="3"/>
      <c r="T316" s="3"/>
      <c r="U316" s="3"/>
      <c r="V316" s="18"/>
      <c r="W316" s="3"/>
      <c r="X316" s="3"/>
      <c r="Y316" s="3"/>
      <c r="Z316" s="3"/>
      <c r="AA316" s="3"/>
    </row>
    <row r="317" spans="1:27">
      <c r="A317" s="3"/>
      <c r="B317" s="3"/>
      <c r="C317" s="3"/>
      <c r="D317" s="3"/>
      <c r="E317" s="3"/>
      <c r="F317" s="3"/>
      <c r="G317" s="3"/>
      <c r="H317" s="3"/>
      <c r="I317" s="3"/>
      <c r="J317" s="3"/>
      <c r="K317" s="3"/>
      <c r="L317" s="3"/>
      <c r="M317" s="3"/>
      <c r="N317" s="3"/>
      <c r="O317" s="3"/>
      <c r="P317" s="3"/>
      <c r="Q317" s="3"/>
      <c r="R317" s="3"/>
      <c r="S317" s="3"/>
      <c r="T317" s="3"/>
      <c r="U317" s="3"/>
      <c r="V317" s="18"/>
      <c r="W317" s="3"/>
      <c r="X317" s="3"/>
      <c r="Y317" s="3"/>
      <c r="Z317" s="3"/>
      <c r="AA317" s="3"/>
    </row>
    <row r="318" spans="1:27">
      <c r="A318" s="3"/>
      <c r="B318" s="3"/>
      <c r="C318" s="3"/>
      <c r="D318" s="3"/>
      <c r="E318" s="3"/>
      <c r="F318" s="3"/>
      <c r="G318" s="3"/>
      <c r="H318" s="3"/>
      <c r="I318" s="3"/>
      <c r="J318" s="3"/>
      <c r="K318" s="3"/>
      <c r="L318" s="3"/>
      <c r="M318" s="3"/>
      <c r="N318" s="3"/>
      <c r="O318" s="3"/>
      <c r="P318" s="3"/>
      <c r="Q318" s="3"/>
      <c r="R318" s="3"/>
      <c r="S318" s="3"/>
      <c r="T318" s="3"/>
      <c r="U318" s="3"/>
      <c r="V318" s="18"/>
      <c r="W318" s="3"/>
      <c r="X318" s="3"/>
      <c r="Y318" s="3"/>
      <c r="Z318" s="3"/>
      <c r="AA318" s="3"/>
    </row>
    <row r="319" spans="1:27">
      <c r="A319" s="3"/>
      <c r="B319" s="3"/>
      <c r="C319" s="3"/>
      <c r="D319" s="3"/>
      <c r="E319" s="3"/>
      <c r="F319" s="3"/>
      <c r="G319" s="3"/>
      <c r="H319" s="3"/>
      <c r="I319" s="3"/>
      <c r="J319" s="3"/>
      <c r="K319" s="3"/>
      <c r="L319" s="3"/>
      <c r="M319" s="3"/>
      <c r="N319" s="3"/>
      <c r="O319" s="3"/>
      <c r="P319" s="3"/>
      <c r="Q319" s="3"/>
      <c r="R319" s="3"/>
      <c r="S319" s="3"/>
      <c r="T319" s="3"/>
      <c r="U319" s="3"/>
      <c r="V319" s="18"/>
      <c r="W319" s="3"/>
      <c r="X319" s="3"/>
      <c r="Y319" s="3"/>
      <c r="Z319" s="3"/>
      <c r="AA319" s="3"/>
    </row>
    <row r="320" spans="1:27">
      <c r="A320" s="3"/>
      <c r="B320" s="3"/>
      <c r="C320" s="3"/>
      <c r="D320" s="3"/>
      <c r="E320" s="3"/>
      <c r="F320" s="3"/>
      <c r="G320" s="3"/>
      <c r="H320" s="3"/>
      <c r="I320" s="3"/>
      <c r="J320" s="3"/>
      <c r="K320" s="3"/>
      <c r="L320" s="3"/>
      <c r="M320" s="3"/>
      <c r="N320" s="3"/>
      <c r="O320" s="3"/>
      <c r="P320" s="3"/>
      <c r="Q320" s="3"/>
      <c r="R320" s="3"/>
      <c r="S320" s="3"/>
      <c r="T320" s="3"/>
      <c r="U320" s="3"/>
      <c r="V320" s="18"/>
      <c r="W320" s="3"/>
      <c r="X320" s="3"/>
      <c r="Y320" s="3"/>
      <c r="Z320" s="3"/>
      <c r="AA320" s="3"/>
    </row>
    <row r="321" spans="1:27">
      <c r="A321" s="3"/>
      <c r="B321" s="3"/>
      <c r="C321" s="3"/>
      <c r="D321" s="3"/>
      <c r="E321" s="3"/>
      <c r="F321" s="3"/>
      <c r="G321" s="3"/>
      <c r="H321" s="3"/>
      <c r="I321" s="3"/>
      <c r="J321" s="3"/>
      <c r="K321" s="3"/>
      <c r="L321" s="3"/>
      <c r="M321" s="3"/>
      <c r="N321" s="3"/>
      <c r="O321" s="3"/>
      <c r="P321" s="3"/>
      <c r="Q321" s="3"/>
      <c r="R321" s="3"/>
      <c r="S321" s="3"/>
      <c r="T321" s="3"/>
      <c r="U321" s="3"/>
      <c r="V321" s="18"/>
      <c r="W321" s="3"/>
      <c r="X321" s="3"/>
      <c r="Y321" s="3"/>
      <c r="Z321" s="3"/>
      <c r="AA321" s="3"/>
    </row>
    <row r="322" spans="1:27">
      <c r="A322" s="3"/>
      <c r="B322" s="3"/>
      <c r="C322" s="3"/>
      <c r="D322" s="3"/>
      <c r="E322" s="3"/>
      <c r="F322" s="3"/>
      <c r="G322" s="3"/>
      <c r="H322" s="3"/>
      <c r="I322" s="3"/>
      <c r="J322" s="3"/>
      <c r="K322" s="3"/>
      <c r="L322" s="3"/>
      <c r="M322" s="3"/>
      <c r="N322" s="3"/>
      <c r="O322" s="3"/>
      <c r="P322" s="3"/>
      <c r="Q322" s="3"/>
      <c r="R322" s="3"/>
      <c r="S322" s="3"/>
      <c r="T322" s="3"/>
      <c r="U322" s="3"/>
      <c r="V322" s="18"/>
      <c r="W322" s="3"/>
      <c r="X322" s="3"/>
      <c r="Y322" s="3"/>
      <c r="Z322" s="3"/>
      <c r="AA322" s="3"/>
    </row>
    <row r="323" spans="1:27">
      <c r="A323" s="3"/>
      <c r="B323" s="3"/>
      <c r="C323" s="3"/>
      <c r="D323" s="3"/>
      <c r="E323" s="3"/>
      <c r="F323" s="3"/>
      <c r="G323" s="3"/>
      <c r="H323" s="3"/>
      <c r="I323" s="3"/>
      <c r="J323" s="3"/>
      <c r="K323" s="3"/>
      <c r="L323" s="3"/>
      <c r="M323" s="3"/>
      <c r="N323" s="3"/>
      <c r="O323" s="3"/>
      <c r="P323" s="3"/>
      <c r="Q323" s="3"/>
      <c r="R323" s="3"/>
      <c r="S323" s="3"/>
      <c r="T323" s="3"/>
      <c r="U323" s="3"/>
      <c r="V323" s="18"/>
      <c r="W323" s="3"/>
      <c r="X323" s="3"/>
      <c r="Y323" s="3"/>
      <c r="Z323" s="3"/>
      <c r="AA323" s="3"/>
    </row>
    <row r="324" spans="1:27">
      <c r="A324" s="3"/>
      <c r="B324" s="3"/>
      <c r="C324" s="3"/>
      <c r="D324" s="3"/>
      <c r="E324" s="3"/>
      <c r="F324" s="3"/>
      <c r="G324" s="3"/>
      <c r="H324" s="3"/>
      <c r="I324" s="3"/>
      <c r="J324" s="3"/>
      <c r="K324" s="3"/>
      <c r="L324" s="3"/>
      <c r="M324" s="3"/>
      <c r="N324" s="3"/>
      <c r="O324" s="3"/>
      <c r="P324" s="3"/>
      <c r="Q324" s="3"/>
      <c r="R324" s="3"/>
      <c r="S324" s="3"/>
      <c r="T324" s="3"/>
      <c r="U324" s="3"/>
      <c r="V324" s="18"/>
      <c r="W324" s="3"/>
      <c r="X324" s="3"/>
      <c r="Y324" s="3"/>
      <c r="Z324" s="3"/>
      <c r="AA324" s="3"/>
    </row>
    <row r="325" spans="1:27">
      <c r="A325" s="3"/>
      <c r="B325" s="3"/>
      <c r="C325" s="3"/>
      <c r="D325" s="3"/>
      <c r="E325" s="3"/>
      <c r="F325" s="3"/>
      <c r="G325" s="3"/>
      <c r="H325" s="3"/>
      <c r="I325" s="3"/>
      <c r="J325" s="3"/>
      <c r="K325" s="3"/>
      <c r="L325" s="3"/>
      <c r="M325" s="3"/>
      <c r="N325" s="3"/>
      <c r="O325" s="3"/>
      <c r="P325" s="3"/>
      <c r="Q325" s="3"/>
      <c r="R325" s="3"/>
      <c r="S325" s="3"/>
      <c r="T325" s="3"/>
      <c r="U325" s="3"/>
      <c r="V325" s="18"/>
      <c r="W325" s="3"/>
      <c r="X325" s="3"/>
      <c r="Y325" s="3"/>
      <c r="Z325" s="3"/>
      <c r="AA325" s="3"/>
    </row>
    <row r="326" spans="1:27">
      <c r="A326" s="3"/>
      <c r="B326" s="3"/>
      <c r="C326" s="3"/>
      <c r="D326" s="3"/>
      <c r="E326" s="3"/>
      <c r="F326" s="3"/>
      <c r="G326" s="3"/>
      <c r="H326" s="3"/>
      <c r="I326" s="3"/>
      <c r="J326" s="3"/>
      <c r="K326" s="3"/>
      <c r="L326" s="3"/>
      <c r="M326" s="3"/>
      <c r="N326" s="3"/>
      <c r="O326" s="3"/>
      <c r="P326" s="3"/>
      <c r="Q326" s="3"/>
      <c r="R326" s="3"/>
      <c r="S326" s="3"/>
      <c r="T326" s="3"/>
      <c r="U326" s="3"/>
      <c r="V326" s="18"/>
      <c r="W326" s="3"/>
      <c r="X326" s="3"/>
      <c r="Y326" s="3"/>
      <c r="Z326" s="3"/>
      <c r="AA326" s="3"/>
    </row>
    <row r="327" spans="1:27">
      <c r="A327" s="3"/>
      <c r="B327" s="3"/>
      <c r="C327" s="3"/>
      <c r="D327" s="3"/>
      <c r="E327" s="3"/>
      <c r="F327" s="3"/>
      <c r="G327" s="3"/>
      <c r="H327" s="3"/>
      <c r="I327" s="3"/>
      <c r="J327" s="3"/>
      <c r="K327" s="3"/>
      <c r="L327" s="3"/>
      <c r="M327" s="3"/>
      <c r="N327" s="3"/>
      <c r="O327" s="3"/>
      <c r="P327" s="3"/>
      <c r="Q327" s="3"/>
      <c r="R327" s="3"/>
      <c r="S327" s="3"/>
      <c r="T327" s="3"/>
      <c r="U327" s="3"/>
      <c r="V327" s="18"/>
      <c r="W327" s="3"/>
      <c r="X327" s="3"/>
      <c r="Y327" s="3"/>
      <c r="Z327" s="3"/>
      <c r="AA327" s="3"/>
    </row>
    <row r="328" spans="1:27">
      <c r="A328" s="3"/>
      <c r="B328" s="3"/>
      <c r="C328" s="3"/>
      <c r="D328" s="3"/>
      <c r="E328" s="3"/>
      <c r="F328" s="3"/>
      <c r="G328" s="3"/>
      <c r="H328" s="3"/>
      <c r="I328" s="3"/>
      <c r="J328" s="3"/>
      <c r="K328" s="3"/>
      <c r="L328" s="3"/>
      <c r="M328" s="3"/>
      <c r="N328" s="3"/>
      <c r="O328" s="3"/>
      <c r="P328" s="3"/>
      <c r="Q328" s="3"/>
      <c r="R328" s="3"/>
      <c r="S328" s="3"/>
      <c r="T328" s="3"/>
      <c r="U328" s="3"/>
      <c r="V328" s="18"/>
      <c r="W328" s="3"/>
      <c r="X328" s="3"/>
      <c r="Y328" s="3"/>
      <c r="Z328" s="3"/>
      <c r="AA328" s="3"/>
    </row>
    <row r="329" spans="1:27">
      <c r="A329" s="3"/>
      <c r="B329" s="3"/>
      <c r="C329" s="3"/>
      <c r="D329" s="3"/>
      <c r="E329" s="3"/>
      <c r="F329" s="3"/>
      <c r="G329" s="3"/>
      <c r="H329" s="3"/>
      <c r="I329" s="3"/>
      <c r="J329" s="3"/>
      <c r="K329" s="3"/>
      <c r="L329" s="3"/>
      <c r="M329" s="3"/>
      <c r="N329" s="3"/>
      <c r="O329" s="3"/>
      <c r="P329" s="3"/>
      <c r="Q329" s="3"/>
      <c r="R329" s="3"/>
      <c r="S329" s="3"/>
      <c r="T329" s="3"/>
      <c r="U329" s="3"/>
      <c r="V329" s="18"/>
      <c r="W329" s="3"/>
      <c r="X329" s="3"/>
      <c r="Y329" s="3"/>
      <c r="Z329" s="3"/>
      <c r="AA329" s="3"/>
    </row>
    <row r="330" spans="1:27">
      <c r="A330" s="3"/>
      <c r="B330" s="3"/>
      <c r="C330" s="3"/>
      <c r="D330" s="3"/>
      <c r="E330" s="3"/>
      <c r="F330" s="3"/>
      <c r="G330" s="3"/>
      <c r="H330" s="3"/>
      <c r="I330" s="3"/>
      <c r="J330" s="3"/>
      <c r="K330" s="3"/>
      <c r="L330" s="3"/>
      <c r="M330" s="3"/>
      <c r="N330" s="3"/>
      <c r="O330" s="3"/>
      <c r="P330" s="3"/>
      <c r="Q330" s="3"/>
      <c r="R330" s="3"/>
      <c r="S330" s="3"/>
      <c r="T330" s="3"/>
      <c r="U330" s="3"/>
      <c r="V330" s="18"/>
      <c r="W330" s="3"/>
      <c r="X330" s="3"/>
      <c r="Y330" s="3"/>
      <c r="Z330" s="3"/>
      <c r="AA330" s="3"/>
    </row>
    <row r="331" spans="1:27">
      <c r="A331" s="3"/>
      <c r="B331" s="3"/>
      <c r="C331" s="3"/>
      <c r="D331" s="3"/>
      <c r="E331" s="3"/>
      <c r="F331" s="3"/>
      <c r="G331" s="3"/>
      <c r="H331" s="3"/>
      <c r="I331" s="3"/>
      <c r="J331" s="3"/>
      <c r="K331" s="3"/>
      <c r="L331" s="3"/>
      <c r="M331" s="3"/>
      <c r="N331" s="3"/>
      <c r="O331" s="3"/>
      <c r="P331" s="3"/>
      <c r="Q331" s="3"/>
      <c r="R331" s="3"/>
      <c r="S331" s="3"/>
      <c r="T331" s="3"/>
      <c r="U331" s="3"/>
      <c r="V331" s="18"/>
      <c r="W331" s="3"/>
      <c r="X331" s="3"/>
      <c r="Y331" s="3"/>
      <c r="Z331" s="3"/>
      <c r="AA331" s="3"/>
    </row>
    <row r="332" spans="1:27">
      <c r="A332" s="3"/>
      <c r="B332" s="3"/>
      <c r="C332" s="3"/>
      <c r="D332" s="3"/>
      <c r="E332" s="3"/>
      <c r="F332" s="3"/>
      <c r="G332" s="3"/>
      <c r="H332" s="3"/>
      <c r="I332" s="3"/>
      <c r="J332" s="3"/>
      <c r="K332" s="3"/>
      <c r="L332" s="3"/>
      <c r="M332" s="3"/>
      <c r="N332" s="3"/>
      <c r="O332" s="3"/>
      <c r="P332" s="3"/>
      <c r="Q332" s="3"/>
      <c r="R332" s="3"/>
      <c r="S332" s="3"/>
      <c r="T332" s="3"/>
      <c r="U332" s="3"/>
      <c r="V332" s="18"/>
      <c r="W332" s="3"/>
      <c r="X332" s="3"/>
      <c r="Y332" s="3"/>
      <c r="Z332" s="3"/>
      <c r="AA332" s="3"/>
    </row>
    <row r="333" spans="1:27">
      <c r="A333" s="3"/>
      <c r="B333" s="3"/>
      <c r="C333" s="3"/>
      <c r="D333" s="3"/>
      <c r="E333" s="3"/>
      <c r="F333" s="3"/>
      <c r="G333" s="3"/>
      <c r="H333" s="3"/>
      <c r="I333" s="3"/>
      <c r="J333" s="3"/>
      <c r="K333" s="3"/>
      <c r="L333" s="3"/>
      <c r="M333" s="3"/>
      <c r="N333" s="3"/>
      <c r="O333" s="3"/>
      <c r="P333" s="3"/>
      <c r="Q333" s="3"/>
      <c r="R333" s="3"/>
      <c r="S333" s="3"/>
      <c r="T333" s="3"/>
      <c r="U333" s="3"/>
      <c r="V333" s="18"/>
      <c r="W333" s="3"/>
      <c r="X333" s="3"/>
      <c r="Y333" s="3"/>
      <c r="Z333" s="3"/>
      <c r="AA333" s="3"/>
    </row>
    <row r="334" spans="1:27">
      <c r="A334" s="3"/>
      <c r="B334" s="3"/>
      <c r="C334" s="3"/>
      <c r="D334" s="3"/>
      <c r="E334" s="3"/>
      <c r="F334" s="3"/>
      <c r="G334" s="3"/>
      <c r="H334" s="3"/>
      <c r="I334" s="3"/>
      <c r="J334" s="3"/>
      <c r="K334" s="3"/>
      <c r="L334" s="3"/>
      <c r="M334" s="3"/>
      <c r="N334" s="3"/>
      <c r="O334" s="3"/>
      <c r="P334" s="3"/>
      <c r="Q334" s="3"/>
      <c r="R334" s="3"/>
      <c r="S334" s="3"/>
      <c r="T334" s="3"/>
      <c r="U334" s="3"/>
      <c r="V334" s="18"/>
      <c r="W334" s="3"/>
      <c r="X334" s="3"/>
      <c r="Y334" s="3"/>
      <c r="Z334" s="3"/>
      <c r="AA334" s="3"/>
    </row>
    <row r="335" spans="1:27">
      <c r="A335" s="3"/>
      <c r="B335" s="3"/>
      <c r="C335" s="3"/>
      <c r="D335" s="3"/>
      <c r="E335" s="3"/>
      <c r="F335" s="3"/>
      <c r="G335" s="3"/>
      <c r="H335" s="3"/>
      <c r="I335" s="3"/>
      <c r="J335" s="3"/>
      <c r="K335" s="3"/>
      <c r="L335" s="3"/>
      <c r="M335" s="3"/>
      <c r="N335" s="3"/>
      <c r="O335" s="3"/>
      <c r="P335" s="3"/>
      <c r="Q335" s="3"/>
      <c r="R335" s="3"/>
      <c r="S335" s="3"/>
      <c r="T335" s="3"/>
      <c r="U335" s="3"/>
      <c r="V335" s="18"/>
      <c r="W335" s="3"/>
      <c r="X335" s="3"/>
      <c r="Y335" s="3"/>
      <c r="Z335" s="3"/>
      <c r="AA335" s="3"/>
    </row>
    <row r="336" spans="1:27">
      <c r="A336" s="3"/>
      <c r="B336" s="3"/>
      <c r="C336" s="3"/>
      <c r="D336" s="3"/>
      <c r="E336" s="3"/>
      <c r="F336" s="3"/>
      <c r="G336" s="3"/>
      <c r="H336" s="3"/>
      <c r="I336" s="3"/>
      <c r="J336" s="3"/>
      <c r="K336" s="3"/>
      <c r="L336" s="3"/>
      <c r="M336" s="3"/>
      <c r="N336" s="3"/>
      <c r="O336" s="3"/>
      <c r="P336" s="3"/>
      <c r="Q336" s="3"/>
      <c r="R336" s="3"/>
      <c r="S336" s="3"/>
      <c r="T336" s="3"/>
      <c r="U336" s="3"/>
      <c r="V336" s="18"/>
      <c r="W336" s="3"/>
      <c r="X336" s="3"/>
      <c r="Y336" s="3"/>
      <c r="Z336" s="3"/>
      <c r="AA336" s="3"/>
    </row>
    <row r="337" spans="1:27">
      <c r="A337" s="3"/>
      <c r="B337" s="3"/>
      <c r="C337" s="3"/>
      <c r="D337" s="3"/>
      <c r="E337" s="3"/>
      <c r="F337" s="3"/>
      <c r="G337" s="3"/>
      <c r="H337" s="3"/>
      <c r="I337" s="3"/>
      <c r="J337" s="3"/>
      <c r="K337" s="3"/>
      <c r="L337" s="3"/>
      <c r="M337" s="3"/>
      <c r="N337" s="3"/>
      <c r="O337" s="3"/>
      <c r="P337" s="3"/>
      <c r="Q337" s="3"/>
      <c r="R337" s="3"/>
      <c r="S337" s="3"/>
      <c r="T337" s="3"/>
      <c r="U337" s="3"/>
      <c r="V337" s="18"/>
      <c r="W337" s="3"/>
      <c r="X337" s="3"/>
      <c r="Y337" s="3"/>
      <c r="Z337" s="3"/>
      <c r="AA337" s="3"/>
    </row>
    <row r="338" spans="1:27">
      <c r="A338" s="3"/>
      <c r="B338" s="3"/>
      <c r="C338" s="3"/>
      <c r="D338" s="3"/>
      <c r="E338" s="3"/>
      <c r="F338" s="3"/>
      <c r="G338" s="3"/>
      <c r="H338" s="3"/>
      <c r="I338" s="3"/>
      <c r="J338" s="3"/>
      <c r="K338" s="3"/>
      <c r="L338" s="3"/>
      <c r="M338" s="3"/>
      <c r="N338" s="3"/>
      <c r="O338" s="3"/>
      <c r="P338" s="3"/>
      <c r="Q338" s="3"/>
      <c r="R338" s="3"/>
      <c r="S338" s="3"/>
      <c r="T338" s="3"/>
      <c r="U338" s="3"/>
      <c r="V338" s="18"/>
      <c r="W338" s="3"/>
      <c r="X338" s="3"/>
      <c r="Y338" s="3"/>
      <c r="Z338" s="3"/>
      <c r="AA338" s="3"/>
    </row>
    <row r="339" spans="1:27">
      <c r="A339" s="3"/>
      <c r="B339" s="3"/>
      <c r="C339" s="3"/>
      <c r="D339" s="3"/>
      <c r="E339" s="3"/>
      <c r="F339" s="3"/>
      <c r="G339" s="3"/>
      <c r="H339" s="3"/>
      <c r="I339" s="3"/>
      <c r="J339" s="3"/>
      <c r="K339" s="3"/>
      <c r="L339" s="3"/>
      <c r="M339" s="3"/>
      <c r="N339" s="3"/>
      <c r="O339" s="3"/>
      <c r="P339" s="3"/>
      <c r="Q339" s="3"/>
      <c r="R339" s="3"/>
      <c r="S339" s="3"/>
      <c r="T339" s="3"/>
      <c r="U339" s="3"/>
      <c r="V339" s="18"/>
      <c r="W339" s="3"/>
      <c r="X339" s="3"/>
      <c r="Y339" s="3"/>
      <c r="Z339" s="3"/>
      <c r="AA339" s="3"/>
    </row>
    <row r="340" spans="1:27">
      <c r="A340" s="3"/>
      <c r="B340" s="3"/>
      <c r="C340" s="3"/>
      <c r="D340" s="3"/>
      <c r="E340" s="3"/>
      <c r="F340" s="3"/>
      <c r="G340" s="3"/>
      <c r="H340" s="3"/>
      <c r="I340" s="3"/>
      <c r="J340" s="3"/>
      <c r="K340" s="3"/>
      <c r="L340" s="3"/>
      <c r="M340" s="3"/>
      <c r="N340" s="3"/>
      <c r="O340" s="3"/>
      <c r="P340" s="3"/>
      <c r="Q340" s="3"/>
      <c r="R340" s="3"/>
      <c r="S340" s="3"/>
      <c r="T340" s="3"/>
      <c r="U340" s="3"/>
      <c r="V340" s="18"/>
      <c r="W340" s="3"/>
      <c r="X340" s="3"/>
      <c r="Y340" s="3"/>
      <c r="Z340" s="3"/>
      <c r="AA340" s="3"/>
    </row>
    <row r="341" spans="1:27">
      <c r="A341" s="3"/>
      <c r="B341" s="3"/>
      <c r="C341" s="3"/>
      <c r="D341" s="3"/>
      <c r="E341" s="3"/>
      <c r="F341" s="3"/>
      <c r="G341" s="3"/>
      <c r="H341" s="3"/>
      <c r="I341" s="3"/>
      <c r="J341" s="3"/>
      <c r="K341" s="3"/>
      <c r="L341" s="3"/>
      <c r="M341" s="3"/>
      <c r="N341" s="3"/>
      <c r="O341" s="3"/>
      <c r="P341" s="3"/>
      <c r="Q341" s="3"/>
      <c r="R341" s="3"/>
      <c r="S341" s="3"/>
      <c r="T341" s="3"/>
      <c r="U341" s="3"/>
      <c r="V341" s="18"/>
      <c r="W341" s="3"/>
      <c r="X341" s="3"/>
      <c r="Y341" s="3"/>
      <c r="Z341" s="3"/>
      <c r="AA341" s="3"/>
    </row>
    <row r="342" spans="1:27">
      <c r="A342" s="3"/>
      <c r="B342" s="3"/>
      <c r="C342" s="3"/>
      <c r="D342" s="3"/>
      <c r="E342" s="3"/>
      <c r="F342" s="3"/>
      <c r="G342" s="3"/>
      <c r="H342" s="3"/>
      <c r="I342" s="3"/>
      <c r="J342" s="3"/>
      <c r="K342" s="3"/>
      <c r="L342" s="3"/>
      <c r="M342" s="3"/>
      <c r="N342" s="3"/>
      <c r="O342" s="3"/>
      <c r="P342" s="3"/>
      <c r="Q342" s="3"/>
      <c r="R342" s="3"/>
      <c r="S342" s="3"/>
      <c r="T342" s="3"/>
      <c r="U342" s="3"/>
      <c r="V342" s="18"/>
      <c r="W342" s="3"/>
      <c r="X342" s="3"/>
      <c r="Y342" s="3"/>
      <c r="Z342" s="3"/>
      <c r="AA342" s="3"/>
    </row>
    <row r="343" spans="1:27">
      <c r="A343" s="3"/>
      <c r="B343" s="3"/>
      <c r="C343" s="3"/>
      <c r="D343" s="3"/>
      <c r="E343" s="3"/>
      <c r="F343" s="3"/>
      <c r="G343" s="3"/>
      <c r="H343" s="3"/>
      <c r="I343" s="3"/>
      <c r="J343" s="3"/>
      <c r="K343" s="3"/>
      <c r="L343" s="3"/>
      <c r="M343" s="3"/>
      <c r="N343" s="3"/>
      <c r="O343" s="3"/>
      <c r="P343" s="3"/>
      <c r="Q343" s="3"/>
      <c r="R343" s="3"/>
      <c r="S343" s="3"/>
      <c r="T343" s="3"/>
      <c r="U343" s="3"/>
      <c r="V343" s="18"/>
      <c r="W343" s="3"/>
      <c r="X343" s="3"/>
      <c r="Y343" s="3"/>
      <c r="Z343" s="3"/>
      <c r="AA343" s="3"/>
    </row>
    <row r="344" spans="1:27">
      <c r="A344" s="3"/>
      <c r="B344" s="3"/>
      <c r="C344" s="3"/>
      <c r="D344" s="3"/>
      <c r="E344" s="3"/>
      <c r="F344" s="3"/>
      <c r="G344" s="3"/>
      <c r="H344" s="3"/>
      <c r="I344" s="3"/>
      <c r="J344" s="3"/>
      <c r="K344" s="3"/>
      <c r="L344" s="3"/>
      <c r="M344" s="3"/>
      <c r="N344" s="3"/>
      <c r="O344" s="3"/>
      <c r="P344" s="3"/>
      <c r="Q344" s="3"/>
      <c r="R344" s="3"/>
      <c r="S344" s="3"/>
      <c r="T344" s="3"/>
      <c r="U344" s="3"/>
      <c r="V344" s="18"/>
      <c r="W344" s="3"/>
      <c r="X344" s="3"/>
      <c r="Y344" s="3"/>
      <c r="Z344" s="3"/>
      <c r="AA344" s="3"/>
    </row>
    <row r="345" spans="1:27">
      <c r="A345" s="3"/>
      <c r="B345" s="3"/>
      <c r="C345" s="3"/>
      <c r="D345" s="3"/>
      <c r="E345" s="3"/>
      <c r="F345" s="3"/>
      <c r="G345" s="3"/>
      <c r="H345" s="3"/>
      <c r="I345" s="3"/>
      <c r="J345" s="3"/>
      <c r="K345" s="3"/>
      <c r="L345" s="3"/>
      <c r="M345" s="3"/>
      <c r="N345" s="3"/>
      <c r="O345" s="3"/>
      <c r="P345" s="3"/>
      <c r="Q345" s="3"/>
      <c r="R345" s="3"/>
      <c r="S345" s="3"/>
      <c r="T345" s="3"/>
      <c r="U345" s="3"/>
      <c r="V345" s="18"/>
      <c r="W345" s="3"/>
      <c r="X345" s="3"/>
      <c r="Y345" s="3"/>
      <c r="Z345" s="3"/>
      <c r="AA345" s="3"/>
    </row>
    <row r="346" spans="1:27">
      <c r="A346" s="3"/>
      <c r="B346" s="3"/>
      <c r="C346" s="3"/>
      <c r="D346" s="3"/>
      <c r="E346" s="3"/>
      <c r="F346" s="3"/>
      <c r="G346" s="3"/>
      <c r="H346" s="3"/>
      <c r="I346" s="3"/>
      <c r="J346" s="3"/>
      <c r="K346" s="3"/>
      <c r="L346" s="3"/>
      <c r="M346" s="3"/>
      <c r="N346" s="3"/>
      <c r="O346" s="3"/>
      <c r="P346" s="3"/>
      <c r="Q346" s="3"/>
      <c r="R346" s="3"/>
      <c r="S346" s="3"/>
      <c r="T346" s="3"/>
      <c r="U346" s="3"/>
      <c r="V346" s="18"/>
      <c r="W346" s="3"/>
      <c r="X346" s="3"/>
      <c r="Y346" s="3"/>
      <c r="Z346" s="3"/>
      <c r="AA346" s="3"/>
    </row>
    <row r="347" spans="1:27">
      <c r="A347" s="3"/>
      <c r="B347" s="3"/>
      <c r="C347" s="3"/>
      <c r="D347" s="3"/>
      <c r="E347" s="3"/>
      <c r="F347" s="3"/>
      <c r="G347" s="3"/>
      <c r="H347" s="3"/>
      <c r="I347" s="3"/>
      <c r="J347" s="3"/>
      <c r="K347" s="3"/>
      <c r="L347" s="3"/>
      <c r="M347" s="3"/>
      <c r="N347" s="3"/>
      <c r="O347" s="3"/>
      <c r="P347" s="3"/>
      <c r="Q347" s="3"/>
      <c r="R347" s="3"/>
      <c r="S347" s="3"/>
      <c r="T347" s="3"/>
      <c r="U347" s="3"/>
      <c r="V347" s="18"/>
      <c r="W347" s="3"/>
      <c r="X347" s="3"/>
      <c r="Y347" s="3"/>
      <c r="Z347" s="3"/>
      <c r="AA347" s="3"/>
    </row>
    <row r="348" spans="1:27">
      <c r="A348" s="3"/>
      <c r="B348" s="3"/>
      <c r="C348" s="3"/>
      <c r="D348" s="3"/>
      <c r="E348" s="3"/>
      <c r="F348" s="3"/>
      <c r="G348" s="3"/>
      <c r="H348" s="3"/>
      <c r="I348" s="3"/>
      <c r="J348" s="3"/>
      <c r="K348" s="3"/>
      <c r="L348" s="3"/>
      <c r="M348" s="3"/>
      <c r="N348" s="3"/>
      <c r="O348" s="3"/>
      <c r="P348" s="3"/>
      <c r="Q348" s="3"/>
      <c r="R348" s="3"/>
      <c r="S348" s="3"/>
      <c r="T348" s="3"/>
      <c r="U348" s="3"/>
      <c r="V348" s="18"/>
      <c r="W348" s="3"/>
      <c r="X348" s="3"/>
      <c r="Y348" s="3"/>
      <c r="Z348" s="3"/>
      <c r="AA348" s="3"/>
    </row>
    <row r="349" spans="1:27">
      <c r="A349" s="3"/>
      <c r="B349" s="3"/>
      <c r="C349" s="3"/>
      <c r="D349" s="3"/>
      <c r="E349" s="3"/>
      <c r="F349" s="3"/>
      <c r="G349" s="3"/>
      <c r="H349" s="3"/>
      <c r="I349" s="3"/>
      <c r="J349" s="3"/>
      <c r="K349" s="3"/>
      <c r="L349" s="3"/>
      <c r="M349" s="3"/>
      <c r="N349" s="3"/>
      <c r="O349" s="3"/>
      <c r="P349" s="3"/>
      <c r="Q349" s="3"/>
      <c r="R349" s="3"/>
      <c r="S349" s="3"/>
      <c r="T349" s="3"/>
      <c r="U349" s="3"/>
      <c r="V349" s="18"/>
      <c r="W349" s="3"/>
      <c r="X349" s="3"/>
      <c r="Y349" s="3"/>
      <c r="Z349" s="3"/>
      <c r="AA349" s="3"/>
    </row>
    <row r="350" spans="1:27">
      <c r="A350" s="3"/>
      <c r="B350" s="3"/>
      <c r="C350" s="3"/>
      <c r="D350" s="3"/>
      <c r="E350" s="3"/>
      <c r="F350" s="3"/>
      <c r="G350" s="3"/>
      <c r="H350" s="3"/>
      <c r="I350" s="3"/>
      <c r="J350" s="3"/>
      <c r="K350" s="3"/>
      <c r="L350" s="3"/>
      <c r="M350" s="3"/>
      <c r="N350" s="3"/>
      <c r="O350" s="3"/>
      <c r="P350" s="3"/>
      <c r="Q350" s="3"/>
      <c r="R350" s="3"/>
      <c r="S350" s="3"/>
      <c r="T350" s="3"/>
      <c r="U350" s="3"/>
      <c r="V350" s="18"/>
      <c r="W350" s="3"/>
      <c r="X350" s="3"/>
      <c r="Y350" s="3"/>
      <c r="Z350" s="3"/>
      <c r="AA350" s="3"/>
    </row>
    <row r="351" spans="1:27">
      <c r="A351" s="3"/>
      <c r="B351" s="3"/>
      <c r="C351" s="3"/>
      <c r="D351" s="3"/>
      <c r="E351" s="3"/>
      <c r="F351" s="3"/>
      <c r="G351" s="3"/>
      <c r="H351" s="3"/>
      <c r="I351" s="3"/>
      <c r="J351" s="3"/>
      <c r="K351" s="3"/>
      <c r="L351" s="3"/>
      <c r="M351" s="3"/>
      <c r="N351" s="3"/>
      <c r="O351" s="3"/>
      <c r="P351" s="3"/>
      <c r="Q351" s="3"/>
      <c r="R351" s="3"/>
      <c r="S351" s="3"/>
      <c r="T351" s="3"/>
      <c r="U351" s="3"/>
      <c r="V351" s="18"/>
      <c r="W351" s="3"/>
      <c r="X351" s="3"/>
      <c r="Y351" s="3"/>
      <c r="Z351" s="3"/>
      <c r="AA351" s="3"/>
    </row>
    <row r="352" spans="1:27">
      <c r="A352" s="3"/>
      <c r="B352" s="3"/>
      <c r="C352" s="3"/>
      <c r="D352" s="3"/>
      <c r="E352" s="3"/>
      <c r="F352" s="3"/>
      <c r="G352" s="3"/>
      <c r="H352" s="3"/>
      <c r="I352" s="3"/>
      <c r="J352" s="3"/>
      <c r="K352" s="3"/>
      <c r="L352" s="3"/>
      <c r="M352" s="3"/>
      <c r="N352" s="3"/>
      <c r="O352" s="3"/>
      <c r="P352" s="3"/>
      <c r="Q352" s="3"/>
      <c r="R352" s="3"/>
      <c r="S352" s="3"/>
      <c r="T352" s="3"/>
      <c r="U352" s="3"/>
      <c r="V352" s="18"/>
      <c r="W352" s="3"/>
      <c r="X352" s="3"/>
      <c r="Y352" s="3"/>
      <c r="Z352" s="3"/>
      <c r="AA352" s="3"/>
    </row>
    <row r="353" spans="1:27">
      <c r="A353" s="3"/>
      <c r="B353" s="3"/>
      <c r="C353" s="3"/>
      <c r="D353" s="3"/>
      <c r="E353" s="3"/>
      <c r="F353" s="3"/>
      <c r="G353" s="3"/>
      <c r="H353" s="3"/>
      <c r="I353" s="3"/>
      <c r="J353" s="3"/>
      <c r="K353" s="3"/>
      <c r="L353" s="3"/>
      <c r="M353" s="3"/>
      <c r="N353" s="3"/>
      <c r="O353" s="3"/>
      <c r="P353" s="3"/>
      <c r="Q353" s="3"/>
      <c r="R353" s="3"/>
      <c r="S353" s="3"/>
      <c r="T353" s="3"/>
      <c r="U353" s="3"/>
      <c r="V353" s="18"/>
      <c r="W353" s="3"/>
      <c r="X353" s="3"/>
      <c r="Y353" s="3"/>
      <c r="Z353" s="3"/>
      <c r="AA353" s="3"/>
    </row>
    <row r="354" spans="1:27">
      <c r="A354" s="3"/>
      <c r="B354" s="3"/>
      <c r="C354" s="3"/>
      <c r="D354" s="3"/>
      <c r="E354" s="3"/>
      <c r="F354" s="3"/>
      <c r="G354" s="3"/>
      <c r="H354" s="3"/>
      <c r="I354" s="3"/>
      <c r="J354" s="3"/>
      <c r="K354" s="3"/>
      <c r="L354" s="3"/>
      <c r="M354" s="3"/>
      <c r="N354" s="3"/>
      <c r="O354" s="3"/>
      <c r="P354" s="3"/>
      <c r="Q354" s="3"/>
      <c r="R354" s="3"/>
      <c r="S354" s="3"/>
      <c r="T354" s="3"/>
      <c r="U354" s="3"/>
      <c r="V354" s="18"/>
      <c r="W354" s="3"/>
      <c r="X354" s="3"/>
      <c r="Y354" s="3"/>
      <c r="Z354" s="3"/>
      <c r="AA354" s="3"/>
    </row>
    <row r="355" spans="1:27">
      <c r="A355" s="3"/>
      <c r="B355" s="3"/>
      <c r="C355" s="3"/>
      <c r="D355" s="3"/>
      <c r="E355" s="3"/>
      <c r="F355" s="3"/>
      <c r="G355" s="3"/>
      <c r="H355" s="3"/>
      <c r="I355" s="3"/>
      <c r="J355" s="3"/>
      <c r="K355" s="3"/>
      <c r="L355" s="3"/>
      <c r="M355" s="3"/>
      <c r="N355" s="3"/>
      <c r="O355" s="3"/>
      <c r="P355" s="3"/>
      <c r="Q355" s="3"/>
      <c r="R355" s="3"/>
      <c r="S355" s="3"/>
      <c r="T355" s="3"/>
      <c r="U355" s="3"/>
      <c r="V355" s="18"/>
      <c r="W355" s="3"/>
      <c r="X355" s="3"/>
      <c r="Y355" s="3"/>
      <c r="Z355" s="3"/>
      <c r="AA355" s="3"/>
    </row>
    <row r="356" spans="1:27">
      <c r="A356" s="3"/>
      <c r="B356" s="3"/>
      <c r="C356" s="3"/>
      <c r="D356" s="3"/>
      <c r="E356" s="3"/>
      <c r="F356" s="3"/>
      <c r="G356" s="3"/>
      <c r="H356" s="3"/>
      <c r="I356" s="3"/>
      <c r="J356" s="3"/>
      <c r="K356" s="3"/>
      <c r="L356" s="3"/>
      <c r="M356" s="3"/>
      <c r="N356" s="3"/>
      <c r="O356" s="3"/>
      <c r="P356" s="3"/>
      <c r="Q356" s="3"/>
      <c r="R356" s="3"/>
      <c r="S356" s="3"/>
      <c r="T356" s="3"/>
      <c r="U356" s="3"/>
      <c r="V356" s="18"/>
      <c r="W356" s="3"/>
      <c r="X356" s="3"/>
      <c r="Y356" s="3"/>
      <c r="Z356" s="3"/>
      <c r="AA356" s="3"/>
    </row>
    <row r="357" spans="1:27">
      <c r="A357" s="3"/>
      <c r="B357" s="3"/>
      <c r="C357" s="3"/>
      <c r="D357" s="3"/>
      <c r="E357" s="3"/>
      <c r="F357" s="3"/>
      <c r="G357" s="3"/>
      <c r="H357" s="3"/>
      <c r="I357" s="3"/>
      <c r="J357" s="3"/>
      <c r="K357" s="3"/>
      <c r="L357" s="3"/>
      <c r="M357" s="3"/>
      <c r="N357" s="3"/>
      <c r="O357" s="3"/>
      <c r="P357" s="3"/>
      <c r="Q357" s="3"/>
      <c r="R357" s="3"/>
      <c r="S357" s="3"/>
      <c r="T357" s="3"/>
      <c r="U357" s="3"/>
      <c r="V357" s="18"/>
      <c r="W357" s="3"/>
      <c r="X357" s="3"/>
      <c r="Y357" s="3"/>
      <c r="Z357" s="3"/>
      <c r="AA357" s="3"/>
    </row>
    <row r="358" spans="1:27">
      <c r="A358" s="3"/>
      <c r="B358" s="3"/>
      <c r="C358" s="3"/>
      <c r="D358" s="3"/>
      <c r="E358" s="3"/>
      <c r="F358" s="3"/>
      <c r="G358" s="3"/>
      <c r="H358" s="3"/>
      <c r="I358" s="3"/>
      <c r="J358" s="3"/>
      <c r="K358" s="3"/>
      <c r="L358" s="3"/>
      <c r="M358" s="3"/>
      <c r="N358" s="3"/>
      <c r="O358" s="3"/>
      <c r="P358" s="3"/>
      <c r="Q358" s="3"/>
      <c r="R358" s="3"/>
      <c r="S358" s="3"/>
      <c r="T358" s="3"/>
      <c r="U358" s="3"/>
      <c r="V358" s="18"/>
      <c r="W358" s="3"/>
      <c r="X358" s="3"/>
      <c r="Y358" s="3"/>
      <c r="Z358" s="3"/>
      <c r="AA358" s="3"/>
    </row>
    <row r="359" spans="1:27">
      <c r="A359" s="3"/>
      <c r="B359" s="3"/>
      <c r="C359" s="3"/>
      <c r="D359" s="3"/>
      <c r="E359" s="3"/>
      <c r="F359" s="3"/>
      <c r="G359" s="3"/>
      <c r="H359" s="3"/>
      <c r="I359" s="3"/>
      <c r="J359" s="3"/>
      <c r="K359" s="3"/>
      <c r="L359" s="3"/>
      <c r="M359" s="3"/>
      <c r="N359" s="3"/>
      <c r="O359" s="3"/>
      <c r="P359" s="3"/>
      <c r="Q359" s="3"/>
      <c r="R359" s="3"/>
      <c r="S359" s="3"/>
      <c r="T359" s="3"/>
      <c r="U359" s="3"/>
      <c r="V359" s="18"/>
      <c r="W359" s="3"/>
      <c r="X359" s="3"/>
      <c r="Y359" s="3"/>
      <c r="Z359" s="3"/>
      <c r="AA359" s="3"/>
    </row>
    <row r="360" spans="1:27">
      <c r="A360" s="3"/>
      <c r="B360" s="3"/>
      <c r="C360" s="3"/>
      <c r="D360" s="3"/>
      <c r="E360" s="3"/>
      <c r="F360" s="3"/>
      <c r="G360" s="3"/>
      <c r="H360" s="3"/>
      <c r="I360" s="3"/>
      <c r="J360" s="3"/>
      <c r="K360" s="3"/>
      <c r="L360" s="3"/>
      <c r="M360" s="3"/>
      <c r="N360" s="3"/>
      <c r="O360" s="3"/>
      <c r="P360" s="3"/>
      <c r="Q360" s="3"/>
      <c r="R360" s="3"/>
      <c r="S360" s="3"/>
      <c r="T360" s="3"/>
      <c r="U360" s="3"/>
      <c r="V360" s="18"/>
      <c r="W360" s="3"/>
      <c r="X360" s="3"/>
      <c r="Y360" s="3"/>
      <c r="Z360" s="3"/>
      <c r="AA360" s="3"/>
    </row>
    <row r="361" spans="1:27">
      <c r="A361" s="3"/>
      <c r="B361" s="3"/>
      <c r="C361" s="3"/>
      <c r="D361" s="3"/>
      <c r="E361" s="3"/>
      <c r="F361" s="3"/>
      <c r="G361" s="3"/>
      <c r="H361" s="3"/>
      <c r="I361" s="3"/>
      <c r="J361" s="3"/>
      <c r="K361" s="3"/>
      <c r="L361" s="3"/>
      <c r="M361" s="3"/>
      <c r="N361" s="3"/>
      <c r="O361" s="3"/>
      <c r="P361" s="3"/>
      <c r="Q361" s="3"/>
      <c r="R361" s="3"/>
      <c r="S361" s="3"/>
      <c r="T361" s="3"/>
      <c r="U361" s="3"/>
      <c r="V361" s="18"/>
      <c r="W361" s="3"/>
      <c r="X361" s="3"/>
      <c r="Y361" s="3"/>
      <c r="Z361" s="3"/>
      <c r="AA361" s="3"/>
    </row>
    <row r="362" spans="1:27">
      <c r="A362" s="3"/>
      <c r="B362" s="3"/>
      <c r="C362" s="3"/>
      <c r="D362" s="3"/>
      <c r="E362" s="3"/>
      <c r="F362" s="3"/>
      <c r="G362" s="3"/>
      <c r="H362" s="3"/>
      <c r="I362" s="3"/>
      <c r="J362" s="3"/>
      <c r="K362" s="3"/>
      <c r="L362" s="3"/>
      <c r="M362" s="3"/>
      <c r="N362" s="3"/>
      <c r="O362" s="3"/>
      <c r="P362" s="3"/>
      <c r="Q362" s="3"/>
      <c r="R362" s="3"/>
      <c r="S362" s="3"/>
      <c r="T362" s="3"/>
      <c r="U362" s="3"/>
      <c r="V362" s="18"/>
      <c r="W362" s="3"/>
      <c r="X362" s="3"/>
      <c r="Y362" s="3"/>
      <c r="Z362" s="3"/>
      <c r="AA362" s="3"/>
    </row>
    <row r="363" spans="1:27">
      <c r="A363" s="3"/>
      <c r="B363" s="3"/>
      <c r="C363" s="3"/>
      <c r="D363" s="3"/>
      <c r="E363" s="3"/>
      <c r="F363" s="3"/>
      <c r="G363" s="3"/>
      <c r="H363" s="3"/>
      <c r="I363" s="3"/>
      <c r="J363" s="3"/>
      <c r="K363" s="3"/>
      <c r="L363" s="3"/>
      <c r="M363" s="3"/>
      <c r="N363" s="3"/>
      <c r="O363" s="3"/>
      <c r="P363" s="3"/>
      <c r="Q363" s="3"/>
      <c r="R363" s="3"/>
      <c r="S363" s="3"/>
      <c r="T363" s="3"/>
      <c r="U363" s="3"/>
      <c r="V363" s="18"/>
      <c r="W363" s="3"/>
      <c r="X363" s="3"/>
      <c r="Y363" s="3"/>
      <c r="Z363" s="3"/>
      <c r="AA363" s="3"/>
    </row>
    <row r="364" spans="1:27">
      <c r="A364" s="3"/>
      <c r="B364" s="3"/>
      <c r="C364" s="3"/>
      <c r="D364" s="3"/>
      <c r="E364" s="3"/>
      <c r="F364" s="3"/>
      <c r="G364" s="3"/>
      <c r="H364" s="3"/>
      <c r="I364" s="3"/>
      <c r="J364" s="3"/>
      <c r="K364" s="3"/>
      <c r="L364" s="3"/>
      <c r="M364" s="3"/>
      <c r="N364" s="3"/>
      <c r="O364" s="3"/>
      <c r="P364" s="3"/>
      <c r="Q364" s="3"/>
      <c r="R364" s="3"/>
      <c r="S364" s="3"/>
      <c r="T364" s="3"/>
      <c r="U364" s="3"/>
      <c r="V364" s="18"/>
      <c r="W364" s="3"/>
      <c r="X364" s="3"/>
      <c r="Y364" s="3"/>
      <c r="Z364" s="3"/>
      <c r="AA364" s="3"/>
    </row>
    <row r="365" spans="1:27">
      <c r="A365" s="3"/>
      <c r="B365" s="3"/>
      <c r="C365" s="3"/>
      <c r="D365" s="3"/>
      <c r="E365" s="3"/>
      <c r="F365" s="3"/>
      <c r="G365" s="3"/>
      <c r="H365" s="3"/>
      <c r="I365" s="3"/>
      <c r="J365" s="3"/>
      <c r="K365" s="3"/>
      <c r="L365" s="3"/>
      <c r="M365" s="3"/>
      <c r="N365" s="3"/>
      <c r="O365" s="3"/>
      <c r="P365" s="3"/>
      <c r="Q365" s="3"/>
      <c r="R365" s="3"/>
      <c r="S365" s="3"/>
      <c r="T365" s="3"/>
      <c r="U365" s="3"/>
      <c r="V365" s="18"/>
      <c r="W365" s="3"/>
      <c r="X365" s="3"/>
      <c r="Y365" s="3"/>
      <c r="Z365" s="3"/>
      <c r="AA365" s="3"/>
    </row>
    <row r="366" spans="1:27">
      <c r="A366" s="3"/>
      <c r="B366" s="3"/>
      <c r="C366" s="3"/>
      <c r="D366" s="3"/>
      <c r="E366" s="3"/>
      <c r="F366" s="3"/>
      <c r="G366" s="3"/>
      <c r="H366" s="3"/>
      <c r="I366" s="3"/>
      <c r="J366" s="3"/>
      <c r="K366" s="3"/>
      <c r="L366" s="3"/>
      <c r="M366" s="3"/>
      <c r="N366" s="3"/>
      <c r="O366" s="3"/>
      <c r="P366" s="3"/>
      <c r="Q366" s="3"/>
      <c r="R366" s="3"/>
      <c r="S366" s="3"/>
      <c r="T366" s="3"/>
      <c r="U366" s="3"/>
      <c r="V366" s="18"/>
      <c r="W366" s="3"/>
      <c r="X366" s="3"/>
      <c r="Y366" s="3"/>
      <c r="Z366" s="3"/>
      <c r="AA366" s="3"/>
    </row>
    <row r="367" spans="1:27">
      <c r="A367" s="3"/>
      <c r="B367" s="3"/>
      <c r="C367" s="3"/>
      <c r="D367" s="3"/>
      <c r="E367" s="3"/>
      <c r="F367" s="3"/>
      <c r="G367" s="3"/>
      <c r="H367" s="3"/>
      <c r="I367" s="3"/>
      <c r="J367" s="3"/>
      <c r="K367" s="3"/>
      <c r="L367" s="3"/>
      <c r="M367" s="3"/>
      <c r="N367" s="3"/>
      <c r="O367" s="3"/>
      <c r="P367" s="3"/>
      <c r="Q367" s="3"/>
      <c r="R367" s="3"/>
      <c r="S367" s="3"/>
      <c r="T367" s="3"/>
      <c r="U367" s="3"/>
      <c r="V367" s="18"/>
      <c r="W367" s="3"/>
      <c r="X367" s="3"/>
      <c r="Y367" s="3"/>
      <c r="Z367" s="3"/>
      <c r="AA367" s="3"/>
    </row>
    <row r="368" spans="1:27">
      <c r="A368" s="3"/>
      <c r="B368" s="3"/>
      <c r="C368" s="3"/>
      <c r="D368" s="3"/>
      <c r="E368" s="3"/>
      <c r="F368" s="3"/>
      <c r="G368" s="3"/>
      <c r="H368" s="3"/>
      <c r="I368" s="3"/>
      <c r="J368" s="3"/>
      <c r="K368" s="3"/>
      <c r="L368" s="3"/>
      <c r="M368" s="3"/>
      <c r="N368" s="3"/>
      <c r="O368" s="3"/>
      <c r="P368" s="3"/>
      <c r="Q368" s="3"/>
      <c r="R368" s="3"/>
      <c r="S368" s="3"/>
      <c r="T368" s="3"/>
      <c r="U368" s="3"/>
      <c r="V368" s="18"/>
      <c r="W368" s="3"/>
      <c r="X368" s="3"/>
      <c r="Y368" s="3"/>
      <c r="Z368" s="3"/>
      <c r="AA368" s="3"/>
    </row>
    <row r="369" spans="1:27">
      <c r="A369" s="3"/>
      <c r="B369" s="3"/>
      <c r="C369" s="3"/>
      <c r="D369" s="3"/>
      <c r="E369" s="3"/>
      <c r="F369" s="3"/>
      <c r="G369" s="3"/>
      <c r="H369" s="3"/>
      <c r="I369" s="3"/>
      <c r="J369" s="3"/>
      <c r="K369" s="3"/>
      <c r="L369" s="3"/>
      <c r="M369" s="3"/>
      <c r="N369" s="3"/>
      <c r="O369" s="3"/>
      <c r="P369" s="3"/>
      <c r="Q369" s="3"/>
      <c r="R369" s="3"/>
      <c r="S369" s="3"/>
      <c r="T369" s="3"/>
      <c r="U369" s="3"/>
      <c r="V369" s="18"/>
      <c r="W369" s="3"/>
      <c r="X369" s="3"/>
      <c r="Y369" s="3"/>
      <c r="Z369" s="3"/>
      <c r="AA369" s="3"/>
    </row>
    <row r="370" spans="1:27">
      <c r="A370" s="3"/>
      <c r="B370" s="3"/>
      <c r="C370" s="3"/>
      <c r="D370" s="3"/>
      <c r="E370" s="3"/>
      <c r="F370" s="3"/>
      <c r="G370" s="3"/>
      <c r="H370" s="3"/>
      <c r="I370" s="3"/>
      <c r="J370" s="3"/>
      <c r="K370" s="3"/>
      <c r="L370" s="3"/>
      <c r="M370" s="3"/>
      <c r="N370" s="3"/>
      <c r="O370" s="3"/>
      <c r="P370" s="3"/>
      <c r="Q370" s="3"/>
      <c r="R370" s="3"/>
      <c r="S370" s="3"/>
      <c r="T370" s="3"/>
      <c r="U370" s="3"/>
      <c r="V370" s="18"/>
      <c r="W370" s="3"/>
      <c r="X370" s="3"/>
      <c r="Y370" s="3"/>
      <c r="Z370" s="3"/>
      <c r="AA370" s="3"/>
    </row>
    <row r="371" spans="1:27">
      <c r="A371" s="3"/>
      <c r="B371" s="3"/>
      <c r="C371" s="3"/>
      <c r="D371" s="3"/>
      <c r="E371" s="3"/>
      <c r="F371" s="3"/>
      <c r="G371" s="3"/>
      <c r="H371" s="3"/>
      <c r="I371" s="3"/>
      <c r="J371" s="3"/>
      <c r="K371" s="3"/>
      <c r="L371" s="3"/>
      <c r="M371" s="3"/>
      <c r="N371" s="3"/>
      <c r="O371" s="3"/>
      <c r="P371" s="3"/>
      <c r="Q371" s="3"/>
      <c r="R371" s="3"/>
      <c r="S371" s="3"/>
      <c r="T371" s="3"/>
      <c r="U371" s="3"/>
      <c r="V371" s="18"/>
      <c r="W371" s="3"/>
      <c r="X371" s="3"/>
      <c r="Y371" s="3"/>
      <c r="Z371" s="3"/>
      <c r="AA371" s="3"/>
    </row>
    <row r="372" spans="1:27">
      <c r="A372" s="3"/>
      <c r="B372" s="3"/>
      <c r="C372" s="3"/>
      <c r="D372" s="3"/>
      <c r="E372" s="3"/>
      <c r="F372" s="3"/>
      <c r="G372" s="3"/>
      <c r="H372" s="3"/>
      <c r="I372" s="3"/>
      <c r="J372" s="3"/>
      <c r="K372" s="3"/>
      <c r="L372" s="3"/>
      <c r="M372" s="3"/>
      <c r="N372" s="3"/>
      <c r="O372" s="3"/>
      <c r="P372" s="3"/>
      <c r="Q372" s="3"/>
      <c r="R372" s="3"/>
      <c r="S372" s="3"/>
      <c r="T372" s="3"/>
      <c r="U372" s="3"/>
      <c r="V372" s="18"/>
      <c r="W372" s="3"/>
      <c r="X372" s="3"/>
      <c r="Y372" s="3"/>
      <c r="Z372" s="3"/>
      <c r="AA372" s="3"/>
    </row>
    <row r="373" spans="1:27">
      <c r="A373" s="3"/>
      <c r="B373" s="3"/>
      <c r="C373" s="3"/>
      <c r="D373" s="3"/>
      <c r="E373" s="3"/>
      <c r="F373" s="3"/>
      <c r="G373" s="3"/>
      <c r="H373" s="3"/>
      <c r="I373" s="3"/>
      <c r="J373" s="3"/>
      <c r="K373" s="3"/>
      <c r="L373" s="3"/>
      <c r="M373" s="3"/>
      <c r="N373" s="3"/>
      <c r="O373" s="3"/>
      <c r="P373" s="3"/>
      <c r="Q373" s="3"/>
      <c r="R373" s="3"/>
      <c r="S373" s="3"/>
      <c r="T373" s="3"/>
      <c r="U373" s="3"/>
      <c r="V373" s="18"/>
      <c r="W373" s="3"/>
      <c r="X373" s="3"/>
      <c r="Y373" s="3"/>
      <c r="Z373" s="3"/>
      <c r="AA373" s="3"/>
    </row>
    <row r="374" spans="1:27">
      <c r="A374" s="3"/>
      <c r="B374" s="3"/>
      <c r="C374" s="3"/>
      <c r="D374" s="3"/>
      <c r="E374" s="3"/>
      <c r="F374" s="3"/>
      <c r="G374" s="3"/>
      <c r="H374" s="3"/>
      <c r="I374" s="3"/>
      <c r="J374" s="3"/>
      <c r="K374" s="3"/>
      <c r="L374" s="3"/>
      <c r="M374" s="3"/>
      <c r="N374" s="3"/>
      <c r="O374" s="3"/>
      <c r="P374" s="3"/>
      <c r="Q374" s="3"/>
      <c r="R374" s="3"/>
      <c r="S374" s="3"/>
      <c r="T374" s="3"/>
      <c r="U374" s="3"/>
      <c r="V374" s="18"/>
      <c r="W374" s="3"/>
      <c r="X374" s="3"/>
      <c r="Y374" s="3"/>
      <c r="Z374" s="3"/>
      <c r="AA374" s="3"/>
    </row>
    <row r="375" spans="1:27">
      <c r="A375" s="3"/>
      <c r="B375" s="3"/>
      <c r="C375" s="3"/>
      <c r="D375" s="3"/>
      <c r="E375" s="3"/>
      <c r="F375" s="3"/>
      <c r="G375" s="3"/>
      <c r="H375" s="3"/>
      <c r="I375" s="3"/>
      <c r="J375" s="3"/>
      <c r="K375" s="3"/>
      <c r="L375" s="3"/>
      <c r="M375" s="3"/>
      <c r="N375" s="3"/>
      <c r="O375" s="3"/>
      <c r="P375" s="3"/>
      <c r="Q375" s="3"/>
      <c r="R375" s="3"/>
      <c r="S375" s="3"/>
      <c r="T375" s="3"/>
      <c r="U375" s="3"/>
      <c r="V375" s="18"/>
      <c r="W375" s="3"/>
      <c r="X375" s="3"/>
      <c r="Y375" s="3"/>
      <c r="Z375" s="3"/>
      <c r="AA375" s="3"/>
    </row>
    <row r="376" spans="1:27">
      <c r="A376" s="3"/>
      <c r="B376" s="3"/>
      <c r="C376" s="3"/>
      <c r="D376" s="3"/>
      <c r="E376" s="3"/>
      <c r="F376" s="3"/>
      <c r="G376" s="3"/>
      <c r="H376" s="3"/>
      <c r="I376" s="3"/>
      <c r="J376" s="3"/>
      <c r="K376" s="3"/>
      <c r="L376" s="3"/>
      <c r="M376" s="3"/>
      <c r="N376" s="3"/>
      <c r="O376" s="3"/>
      <c r="P376" s="3"/>
      <c r="Q376" s="3"/>
      <c r="R376" s="3"/>
      <c r="S376" s="3"/>
      <c r="T376" s="3"/>
      <c r="U376" s="3"/>
      <c r="V376" s="18"/>
      <c r="W376" s="3"/>
      <c r="X376" s="3"/>
      <c r="Y376" s="3"/>
      <c r="Z376" s="3"/>
      <c r="AA376" s="3"/>
    </row>
    <row r="377" spans="1:27">
      <c r="A377" s="3"/>
      <c r="B377" s="3"/>
      <c r="C377" s="3"/>
      <c r="D377" s="3"/>
      <c r="E377" s="3"/>
      <c r="F377" s="3"/>
      <c r="G377" s="3"/>
      <c r="H377" s="3"/>
      <c r="I377" s="3"/>
      <c r="J377" s="3"/>
      <c r="K377" s="3"/>
      <c r="L377" s="3"/>
      <c r="M377" s="3"/>
      <c r="N377" s="3"/>
      <c r="O377" s="3"/>
      <c r="P377" s="3"/>
      <c r="Q377" s="3"/>
      <c r="R377" s="3"/>
      <c r="S377" s="3"/>
      <c r="T377" s="3"/>
      <c r="U377" s="3"/>
      <c r="V377" s="18"/>
      <c r="W377" s="3"/>
      <c r="X377" s="3"/>
      <c r="Y377" s="3"/>
      <c r="Z377" s="3"/>
      <c r="AA377" s="3"/>
    </row>
    <row r="378" spans="1:27">
      <c r="A378" s="3"/>
      <c r="B378" s="3"/>
      <c r="C378" s="3"/>
      <c r="D378" s="3"/>
      <c r="E378" s="3"/>
      <c r="F378" s="3"/>
      <c r="G378" s="3"/>
      <c r="H378" s="3"/>
      <c r="I378" s="3"/>
      <c r="J378" s="3"/>
      <c r="K378" s="3"/>
      <c r="L378" s="3"/>
      <c r="M378" s="3"/>
      <c r="N378" s="3"/>
      <c r="O378" s="3"/>
      <c r="P378" s="3"/>
      <c r="Q378" s="3"/>
      <c r="R378" s="3"/>
      <c r="S378" s="3"/>
      <c r="T378" s="3"/>
      <c r="U378" s="3"/>
      <c r="V378" s="18"/>
      <c r="W378" s="3"/>
      <c r="X378" s="3"/>
      <c r="Y378" s="3"/>
      <c r="Z378" s="3"/>
      <c r="AA378" s="3"/>
    </row>
    <row r="379" spans="1:27">
      <c r="A379" s="3"/>
      <c r="B379" s="3"/>
      <c r="C379" s="3"/>
      <c r="D379" s="3"/>
      <c r="E379" s="3"/>
      <c r="F379" s="3"/>
      <c r="G379" s="3"/>
      <c r="H379" s="3"/>
      <c r="I379" s="3"/>
      <c r="J379" s="3"/>
      <c r="K379" s="3"/>
      <c r="L379" s="3"/>
      <c r="M379" s="3"/>
      <c r="N379" s="3"/>
      <c r="O379" s="3"/>
      <c r="P379" s="3"/>
      <c r="Q379" s="3"/>
      <c r="R379" s="3"/>
      <c r="S379" s="3"/>
      <c r="T379" s="3"/>
      <c r="U379" s="3"/>
      <c r="V379" s="18"/>
      <c r="W379" s="3"/>
      <c r="X379" s="3"/>
      <c r="Y379" s="3"/>
      <c r="Z379" s="3"/>
      <c r="AA379" s="3"/>
    </row>
    <row r="380" spans="1:27">
      <c r="A380" s="3"/>
      <c r="B380" s="3"/>
      <c r="C380" s="3"/>
      <c r="D380" s="3"/>
      <c r="E380" s="3"/>
      <c r="F380" s="3"/>
      <c r="G380" s="3"/>
      <c r="H380" s="3"/>
      <c r="I380" s="3"/>
      <c r="J380" s="3"/>
      <c r="K380" s="3"/>
      <c r="L380" s="3"/>
      <c r="M380" s="3"/>
      <c r="N380" s="3"/>
      <c r="O380" s="3"/>
      <c r="P380" s="3"/>
      <c r="Q380" s="3"/>
      <c r="R380" s="3"/>
      <c r="S380" s="3"/>
      <c r="T380" s="3"/>
      <c r="U380" s="3"/>
      <c r="V380" s="18"/>
      <c r="W380" s="3"/>
      <c r="X380" s="3"/>
      <c r="Y380" s="3"/>
      <c r="Z380" s="3"/>
      <c r="AA380" s="3"/>
    </row>
    <row r="381" spans="1:27">
      <c r="A381" s="3"/>
      <c r="B381" s="3"/>
      <c r="C381" s="3"/>
      <c r="D381" s="3"/>
      <c r="E381" s="3"/>
      <c r="F381" s="3"/>
      <c r="G381" s="3"/>
      <c r="H381" s="3"/>
      <c r="I381" s="3"/>
      <c r="J381" s="3"/>
      <c r="K381" s="3"/>
      <c r="L381" s="3"/>
      <c r="M381" s="3"/>
      <c r="N381" s="3"/>
      <c r="O381" s="3"/>
      <c r="P381" s="3"/>
      <c r="Q381" s="3"/>
      <c r="R381" s="3"/>
      <c r="S381" s="3"/>
      <c r="T381" s="3"/>
      <c r="U381" s="3"/>
      <c r="V381" s="18"/>
      <c r="W381" s="3"/>
      <c r="X381" s="3"/>
      <c r="Y381" s="3"/>
      <c r="Z381" s="3"/>
      <c r="AA381" s="3"/>
    </row>
    <row r="382" spans="1:27">
      <c r="A382" s="3"/>
      <c r="B382" s="3"/>
      <c r="C382" s="3"/>
      <c r="D382" s="3"/>
      <c r="E382" s="3"/>
      <c r="F382" s="3"/>
      <c r="G382" s="3"/>
      <c r="H382" s="3"/>
      <c r="I382" s="3"/>
      <c r="J382" s="3"/>
      <c r="K382" s="3"/>
      <c r="L382" s="3"/>
      <c r="M382" s="3"/>
      <c r="N382" s="3"/>
      <c r="O382" s="3"/>
      <c r="P382" s="3"/>
      <c r="Q382" s="3"/>
      <c r="R382" s="3"/>
      <c r="S382" s="3"/>
      <c r="T382" s="3"/>
      <c r="U382" s="3"/>
      <c r="V382" s="18"/>
      <c r="W382" s="3"/>
      <c r="X382" s="3"/>
      <c r="Y382" s="3"/>
      <c r="Z382" s="3"/>
      <c r="AA382" s="3"/>
    </row>
    <row r="383" spans="1:27">
      <c r="A383" s="3"/>
      <c r="B383" s="3"/>
      <c r="C383" s="3"/>
      <c r="D383" s="3"/>
      <c r="E383" s="3"/>
      <c r="F383" s="3"/>
      <c r="G383" s="3"/>
      <c r="H383" s="3"/>
      <c r="I383" s="3"/>
      <c r="J383" s="3"/>
      <c r="K383" s="3"/>
      <c r="L383" s="3"/>
      <c r="M383" s="3"/>
      <c r="N383" s="3"/>
      <c r="O383" s="3"/>
      <c r="P383" s="3"/>
      <c r="Q383" s="3"/>
      <c r="R383" s="3"/>
      <c r="S383" s="3"/>
      <c r="T383" s="3"/>
      <c r="U383" s="3"/>
      <c r="V383" s="18"/>
      <c r="W383" s="3"/>
      <c r="X383" s="3"/>
      <c r="Y383" s="3"/>
      <c r="Z383" s="3"/>
      <c r="AA383" s="3"/>
    </row>
    <row r="384" spans="1:27">
      <c r="A384" s="3"/>
      <c r="B384" s="3"/>
      <c r="C384" s="3"/>
      <c r="D384" s="3"/>
      <c r="E384" s="3"/>
      <c r="F384" s="3"/>
      <c r="G384" s="3"/>
      <c r="H384" s="3"/>
      <c r="I384" s="3"/>
      <c r="J384" s="3"/>
      <c r="K384" s="3"/>
      <c r="L384" s="3"/>
      <c r="M384" s="3"/>
      <c r="N384" s="3"/>
      <c r="O384" s="3"/>
      <c r="P384" s="3"/>
      <c r="Q384" s="3"/>
      <c r="R384" s="3"/>
      <c r="S384" s="3"/>
      <c r="T384" s="3"/>
      <c r="U384" s="3"/>
      <c r="V384" s="18"/>
      <c r="W384" s="3"/>
      <c r="X384" s="3"/>
      <c r="Y384" s="3"/>
      <c r="Z384" s="3"/>
      <c r="AA384" s="3"/>
    </row>
    <row r="385" spans="1:27">
      <c r="A385" s="3"/>
      <c r="B385" s="3"/>
      <c r="C385" s="3"/>
      <c r="D385" s="3"/>
      <c r="E385" s="3"/>
      <c r="F385" s="3"/>
      <c r="G385" s="3"/>
      <c r="H385" s="3"/>
      <c r="I385" s="3"/>
      <c r="J385" s="3"/>
      <c r="K385" s="3"/>
      <c r="L385" s="3"/>
      <c r="M385" s="3"/>
      <c r="N385" s="3"/>
      <c r="O385" s="3"/>
      <c r="P385" s="3"/>
      <c r="Q385" s="3"/>
      <c r="R385" s="3"/>
      <c r="S385" s="3"/>
      <c r="T385" s="3"/>
      <c r="U385" s="3"/>
      <c r="V385" s="18"/>
      <c r="W385" s="3"/>
      <c r="X385" s="3"/>
      <c r="Y385" s="3"/>
      <c r="Z385" s="3"/>
      <c r="AA385" s="3"/>
    </row>
    <row r="386" spans="1:27">
      <c r="A386" s="3"/>
      <c r="B386" s="3"/>
      <c r="C386" s="3"/>
      <c r="D386" s="3"/>
      <c r="E386" s="3"/>
      <c r="F386" s="3"/>
      <c r="G386" s="3"/>
      <c r="H386" s="3"/>
      <c r="I386" s="3"/>
      <c r="J386" s="3"/>
      <c r="K386" s="3"/>
      <c r="L386" s="3"/>
      <c r="M386" s="3"/>
      <c r="N386" s="3"/>
      <c r="O386" s="3"/>
      <c r="P386" s="3"/>
      <c r="Q386" s="3"/>
      <c r="R386" s="3"/>
      <c r="S386" s="3"/>
      <c r="T386" s="3"/>
      <c r="U386" s="3"/>
      <c r="V386" s="18"/>
      <c r="W386" s="3"/>
      <c r="X386" s="3"/>
      <c r="Y386" s="3"/>
      <c r="Z386" s="3"/>
      <c r="AA386" s="3"/>
    </row>
    <row r="387" spans="1:27">
      <c r="A387" s="3"/>
      <c r="B387" s="3"/>
      <c r="C387" s="3"/>
      <c r="D387" s="3"/>
      <c r="E387" s="3"/>
      <c r="F387" s="3"/>
      <c r="G387" s="3"/>
      <c r="H387" s="3"/>
      <c r="I387" s="3"/>
      <c r="J387" s="3"/>
      <c r="K387" s="3"/>
      <c r="L387" s="3"/>
      <c r="M387" s="3"/>
      <c r="N387" s="3"/>
      <c r="O387" s="3"/>
      <c r="P387" s="3"/>
      <c r="Q387" s="3"/>
      <c r="R387" s="3"/>
      <c r="S387" s="3"/>
      <c r="T387" s="3"/>
      <c r="U387" s="3"/>
      <c r="V387" s="18"/>
      <c r="W387" s="3"/>
      <c r="X387" s="3"/>
      <c r="Y387" s="3"/>
      <c r="Z387" s="3"/>
      <c r="AA387" s="3"/>
    </row>
    <row r="388" spans="1:27">
      <c r="A388" s="3"/>
      <c r="B388" s="3"/>
      <c r="C388" s="3"/>
      <c r="D388" s="3"/>
      <c r="E388" s="3"/>
      <c r="F388" s="3"/>
      <c r="G388" s="3"/>
      <c r="H388" s="3"/>
      <c r="I388" s="3"/>
      <c r="J388" s="3"/>
      <c r="K388" s="3"/>
      <c r="L388" s="3"/>
      <c r="M388" s="3"/>
      <c r="N388" s="3"/>
      <c r="O388" s="3"/>
      <c r="P388" s="3"/>
      <c r="Q388" s="3"/>
      <c r="R388" s="3"/>
      <c r="S388" s="3"/>
      <c r="T388" s="3"/>
      <c r="U388" s="3"/>
      <c r="V388" s="18"/>
      <c r="W388" s="3"/>
      <c r="X388" s="3"/>
      <c r="Y388" s="3"/>
      <c r="Z388" s="3"/>
      <c r="AA388" s="3"/>
    </row>
    <row r="389" spans="1:27">
      <c r="A389" s="3"/>
      <c r="B389" s="3"/>
      <c r="C389" s="3"/>
      <c r="D389" s="3"/>
      <c r="E389" s="3"/>
      <c r="F389" s="3"/>
      <c r="G389" s="3"/>
      <c r="H389" s="3"/>
      <c r="I389" s="3"/>
      <c r="J389" s="3"/>
      <c r="K389" s="3"/>
      <c r="L389" s="3"/>
      <c r="M389" s="3"/>
      <c r="N389" s="3"/>
      <c r="O389" s="3"/>
      <c r="P389" s="3"/>
      <c r="Q389" s="3"/>
      <c r="R389" s="3"/>
      <c r="S389" s="3"/>
      <c r="T389" s="3"/>
      <c r="U389" s="3"/>
      <c r="V389" s="18"/>
      <c r="W389" s="3"/>
      <c r="X389" s="3"/>
      <c r="Y389" s="3"/>
      <c r="Z389" s="3"/>
      <c r="AA389" s="3"/>
    </row>
    <row r="390" spans="1:27">
      <c r="A390" s="3"/>
      <c r="B390" s="3"/>
      <c r="C390" s="3"/>
      <c r="D390" s="3"/>
      <c r="E390" s="3"/>
      <c r="F390" s="3"/>
      <c r="G390" s="3"/>
      <c r="H390" s="3"/>
      <c r="I390" s="3"/>
      <c r="J390" s="3"/>
      <c r="K390" s="3"/>
      <c r="L390" s="3"/>
      <c r="M390" s="3"/>
      <c r="N390" s="3"/>
      <c r="O390" s="3"/>
      <c r="P390" s="3"/>
      <c r="Q390" s="3"/>
      <c r="R390" s="3"/>
      <c r="S390" s="3"/>
      <c r="T390" s="3"/>
      <c r="U390" s="3"/>
      <c r="V390" s="18"/>
      <c r="W390" s="3"/>
      <c r="X390" s="3"/>
      <c r="Y390" s="3"/>
      <c r="Z390" s="3"/>
      <c r="AA390" s="3"/>
    </row>
    <row r="391" spans="1:27">
      <c r="A391" s="3"/>
      <c r="B391" s="3"/>
      <c r="C391" s="3"/>
      <c r="D391" s="3"/>
      <c r="E391" s="3"/>
      <c r="F391" s="3"/>
      <c r="G391" s="3"/>
      <c r="H391" s="3"/>
      <c r="I391" s="3"/>
      <c r="J391" s="3"/>
      <c r="K391" s="3"/>
      <c r="L391" s="3"/>
      <c r="M391" s="3"/>
      <c r="N391" s="3"/>
      <c r="O391" s="3"/>
      <c r="P391" s="3"/>
      <c r="Q391" s="3"/>
      <c r="R391" s="3"/>
      <c r="S391" s="3"/>
      <c r="T391" s="3"/>
      <c r="U391" s="3"/>
      <c r="V391" s="18"/>
      <c r="W391" s="3"/>
      <c r="X391" s="3"/>
      <c r="Y391" s="3"/>
      <c r="Z391" s="3"/>
      <c r="AA391" s="3"/>
    </row>
    <row r="392" spans="1:27">
      <c r="A392" s="3"/>
      <c r="B392" s="3"/>
      <c r="C392" s="3"/>
      <c r="D392" s="3"/>
      <c r="E392" s="3"/>
      <c r="F392" s="3"/>
      <c r="G392" s="3"/>
      <c r="H392" s="3"/>
      <c r="I392" s="3"/>
      <c r="J392" s="3"/>
      <c r="K392" s="3"/>
      <c r="L392" s="3"/>
      <c r="M392" s="3"/>
      <c r="N392" s="3"/>
      <c r="O392" s="3"/>
      <c r="P392" s="3"/>
      <c r="Q392" s="3"/>
      <c r="R392" s="3"/>
      <c r="S392" s="3"/>
      <c r="T392" s="3"/>
      <c r="U392" s="3"/>
      <c r="V392" s="18"/>
      <c r="W392" s="3"/>
      <c r="X392" s="3"/>
      <c r="Y392" s="3"/>
      <c r="Z392" s="3"/>
      <c r="AA392" s="3"/>
    </row>
    <row r="393" spans="1:27">
      <c r="A393" s="3"/>
      <c r="B393" s="3"/>
      <c r="C393" s="3"/>
      <c r="D393" s="3"/>
      <c r="E393" s="3"/>
      <c r="F393" s="3"/>
      <c r="G393" s="3"/>
      <c r="H393" s="3"/>
      <c r="I393" s="3"/>
      <c r="J393" s="3"/>
      <c r="K393" s="3"/>
      <c r="L393" s="3"/>
      <c r="M393" s="3"/>
      <c r="N393" s="3"/>
      <c r="O393" s="3"/>
      <c r="P393" s="3"/>
      <c r="Q393" s="3"/>
      <c r="R393" s="3"/>
      <c r="S393" s="3"/>
      <c r="T393" s="3"/>
      <c r="U393" s="3"/>
      <c r="V393" s="18"/>
      <c r="W393" s="3"/>
      <c r="X393" s="3"/>
      <c r="Y393" s="3"/>
      <c r="Z393" s="3"/>
      <c r="AA393" s="3"/>
    </row>
    <row r="394" spans="1:27">
      <c r="A394" s="3"/>
      <c r="B394" s="3"/>
      <c r="C394" s="3"/>
      <c r="D394" s="3"/>
      <c r="E394" s="3"/>
      <c r="F394" s="3"/>
      <c r="G394" s="3"/>
      <c r="H394" s="3"/>
      <c r="I394" s="3"/>
      <c r="J394" s="3"/>
      <c r="K394" s="3"/>
      <c r="L394" s="3"/>
      <c r="M394" s="3"/>
      <c r="N394" s="3"/>
      <c r="O394" s="3"/>
      <c r="P394" s="3"/>
      <c r="Q394" s="3"/>
      <c r="R394" s="3"/>
      <c r="S394" s="3"/>
      <c r="T394" s="3"/>
      <c r="U394" s="3"/>
      <c r="V394" s="18"/>
      <c r="W394" s="3"/>
      <c r="X394" s="3"/>
      <c r="Y394" s="3"/>
      <c r="Z394" s="3"/>
      <c r="AA394" s="3"/>
    </row>
    <row r="395" spans="1:27">
      <c r="A395" s="3"/>
      <c r="B395" s="3"/>
      <c r="C395" s="3"/>
      <c r="D395" s="3"/>
      <c r="E395" s="3"/>
      <c r="F395" s="3"/>
      <c r="G395" s="3"/>
      <c r="H395" s="3"/>
      <c r="I395" s="3"/>
      <c r="J395" s="3"/>
      <c r="K395" s="3"/>
      <c r="L395" s="3"/>
      <c r="M395" s="3"/>
      <c r="N395" s="3"/>
      <c r="O395" s="3"/>
      <c r="P395" s="3"/>
      <c r="Q395" s="3"/>
      <c r="R395" s="3"/>
      <c r="S395" s="3"/>
      <c r="T395" s="3"/>
      <c r="U395" s="3"/>
      <c r="V395" s="18"/>
      <c r="W395" s="3"/>
      <c r="X395" s="3"/>
      <c r="Y395" s="3"/>
      <c r="Z395" s="3"/>
      <c r="AA395" s="3"/>
    </row>
    <row r="396" spans="1:27">
      <c r="A396" s="3"/>
      <c r="B396" s="3"/>
      <c r="C396" s="3"/>
      <c r="D396" s="3"/>
      <c r="E396" s="3"/>
      <c r="F396" s="3"/>
      <c r="G396" s="3"/>
      <c r="H396" s="3"/>
      <c r="I396" s="3"/>
      <c r="J396" s="3"/>
      <c r="K396" s="3"/>
      <c r="L396" s="3"/>
      <c r="M396" s="3"/>
      <c r="N396" s="3"/>
      <c r="O396" s="3"/>
      <c r="P396" s="3"/>
      <c r="Q396" s="3"/>
      <c r="R396" s="3"/>
      <c r="S396" s="3"/>
      <c r="T396" s="3"/>
      <c r="U396" s="3"/>
      <c r="V396" s="18"/>
      <c r="W396" s="3"/>
      <c r="X396" s="3"/>
      <c r="Y396" s="3"/>
      <c r="Z396" s="3"/>
      <c r="AA396" s="3"/>
    </row>
    <row r="397" spans="1:27">
      <c r="A397" s="3"/>
      <c r="B397" s="3"/>
      <c r="C397" s="3"/>
      <c r="D397" s="3"/>
      <c r="E397" s="3"/>
      <c r="F397" s="3"/>
      <c r="G397" s="3"/>
      <c r="H397" s="3"/>
      <c r="I397" s="3"/>
      <c r="J397" s="3"/>
      <c r="K397" s="3"/>
      <c r="L397" s="3"/>
      <c r="M397" s="3"/>
      <c r="N397" s="3"/>
      <c r="O397" s="3"/>
      <c r="P397" s="3"/>
      <c r="Q397" s="3"/>
      <c r="R397" s="3"/>
      <c r="S397" s="3"/>
      <c r="T397" s="3"/>
      <c r="U397" s="3"/>
      <c r="V397" s="18"/>
      <c r="W397" s="3"/>
      <c r="X397" s="3"/>
      <c r="Y397" s="3"/>
      <c r="Z397" s="3"/>
      <c r="AA397" s="3"/>
    </row>
    <row r="398" spans="1:27">
      <c r="A398" s="3"/>
      <c r="B398" s="3"/>
      <c r="C398" s="3"/>
      <c r="D398" s="3"/>
      <c r="E398" s="3"/>
      <c r="F398" s="3"/>
      <c r="G398" s="3"/>
      <c r="H398" s="3"/>
      <c r="I398" s="3"/>
      <c r="J398" s="3"/>
      <c r="K398" s="3"/>
      <c r="L398" s="3"/>
      <c r="M398" s="3"/>
      <c r="N398" s="3"/>
      <c r="O398" s="3"/>
      <c r="P398" s="3"/>
      <c r="Q398" s="3"/>
      <c r="R398" s="3"/>
      <c r="S398" s="3"/>
      <c r="T398" s="3"/>
      <c r="U398" s="3"/>
      <c r="V398" s="18"/>
      <c r="W398" s="3"/>
      <c r="X398" s="3"/>
      <c r="Y398" s="3"/>
      <c r="Z398" s="3"/>
      <c r="AA398" s="3"/>
    </row>
    <row r="399" spans="1:27">
      <c r="A399" s="3"/>
      <c r="B399" s="3"/>
      <c r="C399" s="3"/>
      <c r="D399" s="3"/>
      <c r="E399" s="3"/>
      <c r="F399" s="3"/>
      <c r="G399" s="3"/>
      <c r="H399" s="3"/>
      <c r="I399" s="3"/>
      <c r="J399" s="3"/>
      <c r="K399" s="3"/>
      <c r="L399" s="3"/>
      <c r="M399" s="3"/>
      <c r="N399" s="3"/>
      <c r="O399" s="3"/>
      <c r="P399" s="3"/>
      <c r="Q399" s="3"/>
      <c r="R399" s="3"/>
      <c r="S399" s="3"/>
      <c r="T399" s="3"/>
      <c r="U399" s="3"/>
      <c r="V399" s="18"/>
      <c r="W399" s="3"/>
      <c r="X399" s="3"/>
      <c r="Y399" s="3"/>
      <c r="Z399" s="3"/>
      <c r="AA399" s="3"/>
    </row>
    <row r="400" spans="1:27">
      <c r="A400" s="3"/>
      <c r="B400" s="3"/>
      <c r="C400" s="3"/>
      <c r="D400" s="3"/>
      <c r="E400" s="3"/>
      <c r="F400" s="3"/>
      <c r="G400" s="3"/>
      <c r="H400" s="3"/>
      <c r="I400" s="3"/>
      <c r="J400" s="3"/>
      <c r="K400" s="3"/>
      <c r="L400" s="3"/>
      <c r="M400" s="3"/>
      <c r="N400" s="3"/>
      <c r="O400" s="3"/>
      <c r="P400" s="3"/>
      <c r="Q400" s="3"/>
      <c r="R400" s="3"/>
      <c r="S400" s="3"/>
      <c r="T400" s="3"/>
      <c r="U400" s="3"/>
      <c r="V400" s="18"/>
      <c r="W400" s="3"/>
      <c r="X400" s="3"/>
      <c r="Y400" s="3"/>
      <c r="Z400" s="3"/>
      <c r="AA400" s="3"/>
    </row>
    <row r="401" spans="1:27">
      <c r="A401" s="3"/>
      <c r="B401" s="3"/>
      <c r="C401" s="3"/>
      <c r="D401" s="3"/>
      <c r="E401" s="3"/>
      <c r="F401" s="3"/>
      <c r="G401" s="3"/>
      <c r="H401" s="3"/>
      <c r="I401" s="3"/>
      <c r="J401" s="3"/>
      <c r="K401" s="3"/>
      <c r="L401" s="3"/>
      <c r="M401" s="3"/>
      <c r="N401" s="3"/>
      <c r="O401" s="3"/>
      <c r="P401" s="3"/>
      <c r="Q401" s="3"/>
      <c r="R401" s="3"/>
      <c r="S401" s="3"/>
      <c r="T401" s="3"/>
      <c r="U401" s="3"/>
      <c r="V401" s="18"/>
      <c r="W401" s="3"/>
      <c r="X401" s="3"/>
      <c r="Y401" s="3"/>
      <c r="Z401" s="3"/>
      <c r="AA401" s="3"/>
    </row>
    <row r="402" spans="1:27">
      <c r="A402" s="3"/>
      <c r="B402" s="3"/>
      <c r="C402" s="3"/>
      <c r="D402" s="3"/>
      <c r="E402" s="3"/>
      <c r="F402" s="3"/>
      <c r="G402" s="3"/>
      <c r="H402" s="3"/>
      <c r="I402" s="3"/>
      <c r="J402" s="3"/>
      <c r="K402" s="3"/>
      <c r="L402" s="3"/>
      <c r="M402" s="3"/>
      <c r="N402" s="3"/>
      <c r="O402" s="3"/>
      <c r="P402" s="3"/>
      <c r="Q402" s="3"/>
      <c r="R402" s="3"/>
      <c r="S402" s="3"/>
      <c r="T402" s="3"/>
      <c r="U402" s="3"/>
      <c r="V402" s="18"/>
      <c r="W402" s="3"/>
      <c r="X402" s="3"/>
      <c r="Y402" s="3"/>
      <c r="Z402" s="3"/>
      <c r="AA402" s="3"/>
    </row>
    <row r="403" spans="1:27">
      <c r="A403" s="3"/>
      <c r="B403" s="3"/>
      <c r="C403" s="3"/>
      <c r="D403" s="3"/>
      <c r="E403" s="3"/>
      <c r="F403" s="3"/>
      <c r="G403" s="3"/>
      <c r="H403" s="3"/>
      <c r="I403" s="3"/>
      <c r="J403" s="3"/>
      <c r="K403" s="3"/>
      <c r="L403" s="3"/>
      <c r="M403" s="3"/>
      <c r="N403" s="3"/>
      <c r="O403" s="3"/>
      <c r="P403" s="3"/>
      <c r="Q403" s="3"/>
      <c r="R403" s="3"/>
      <c r="S403" s="3"/>
      <c r="T403" s="3"/>
      <c r="U403" s="3"/>
      <c r="V403" s="18"/>
      <c r="W403" s="3"/>
      <c r="X403" s="3"/>
      <c r="Y403" s="3"/>
      <c r="Z403" s="3"/>
      <c r="AA403" s="3"/>
    </row>
    <row r="404" spans="1:27">
      <c r="A404" s="3"/>
      <c r="B404" s="3"/>
      <c r="C404" s="3"/>
      <c r="D404" s="3"/>
      <c r="E404" s="3"/>
      <c r="F404" s="3"/>
      <c r="G404" s="3"/>
      <c r="H404" s="3"/>
      <c r="I404" s="3"/>
      <c r="J404" s="3"/>
      <c r="K404" s="3"/>
      <c r="L404" s="3"/>
      <c r="M404" s="3"/>
      <c r="N404" s="3"/>
      <c r="O404" s="3"/>
      <c r="P404" s="3"/>
      <c r="Q404" s="3"/>
      <c r="R404" s="3"/>
      <c r="S404" s="3"/>
      <c r="T404" s="3"/>
      <c r="U404" s="3"/>
      <c r="V404" s="18"/>
      <c r="W404" s="3"/>
      <c r="X404" s="3"/>
      <c r="Y404" s="3"/>
      <c r="Z404" s="3"/>
      <c r="AA404" s="3"/>
    </row>
    <row r="405" spans="1:27">
      <c r="A405" s="3"/>
      <c r="B405" s="3"/>
      <c r="C405" s="3"/>
      <c r="D405" s="3"/>
      <c r="E405" s="3"/>
      <c r="F405" s="3"/>
      <c r="G405" s="3"/>
      <c r="H405" s="3"/>
      <c r="I405" s="3"/>
      <c r="J405" s="3"/>
      <c r="K405" s="3"/>
      <c r="L405" s="3"/>
      <c r="M405" s="3"/>
      <c r="N405" s="3"/>
      <c r="O405" s="3"/>
      <c r="P405" s="3"/>
      <c r="Q405" s="3"/>
      <c r="R405" s="3"/>
      <c r="S405" s="3"/>
      <c r="T405" s="3"/>
      <c r="U405" s="3"/>
      <c r="V405" s="18"/>
      <c r="W405" s="3"/>
      <c r="X405" s="3"/>
      <c r="Y405" s="3"/>
      <c r="Z405" s="3"/>
      <c r="AA405" s="3"/>
    </row>
    <row r="406" spans="1:27">
      <c r="A406" s="3"/>
      <c r="B406" s="3"/>
      <c r="C406" s="3"/>
      <c r="D406" s="3"/>
      <c r="E406" s="3"/>
      <c r="F406" s="3"/>
      <c r="G406" s="3"/>
      <c r="H406" s="3"/>
      <c r="I406" s="3"/>
      <c r="J406" s="3"/>
      <c r="K406" s="3"/>
      <c r="L406" s="3"/>
      <c r="M406" s="3"/>
      <c r="N406" s="3"/>
      <c r="O406" s="3"/>
      <c r="P406" s="3"/>
      <c r="Q406" s="3"/>
      <c r="R406" s="3"/>
      <c r="S406" s="3"/>
      <c r="T406" s="3"/>
      <c r="U406" s="3"/>
      <c r="V406" s="18"/>
      <c r="W406" s="3"/>
      <c r="X406" s="3"/>
      <c r="Y406" s="3"/>
      <c r="Z406" s="3"/>
      <c r="AA406" s="3"/>
    </row>
    <row r="407" spans="1:27">
      <c r="A407" s="3"/>
      <c r="B407" s="3"/>
      <c r="C407" s="3"/>
      <c r="D407" s="3"/>
      <c r="E407" s="3"/>
      <c r="F407" s="3"/>
      <c r="G407" s="3"/>
      <c r="H407" s="3"/>
      <c r="I407" s="3"/>
      <c r="J407" s="3"/>
      <c r="K407" s="3"/>
      <c r="L407" s="3"/>
      <c r="M407" s="3"/>
      <c r="N407" s="3"/>
      <c r="O407" s="3"/>
      <c r="P407" s="3"/>
      <c r="Q407" s="3"/>
      <c r="R407" s="3"/>
      <c r="S407" s="3"/>
      <c r="T407" s="3"/>
      <c r="U407" s="3"/>
      <c r="V407" s="18"/>
      <c r="W407" s="3"/>
      <c r="X407" s="3"/>
      <c r="Y407" s="3"/>
      <c r="Z407" s="3"/>
      <c r="AA407" s="3"/>
    </row>
    <row r="408" spans="1:27">
      <c r="A408" s="3"/>
      <c r="B408" s="3"/>
      <c r="C408" s="3"/>
      <c r="D408" s="3"/>
      <c r="E408" s="3"/>
      <c r="F408" s="3"/>
      <c r="G408" s="3"/>
      <c r="H408" s="3"/>
      <c r="I408" s="3"/>
      <c r="J408" s="3"/>
      <c r="K408" s="3"/>
      <c r="L408" s="3"/>
      <c r="M408" s="3"/>
      <c r="N408" s="3"/>
      <c r="O408" s="3"/>
      <c r="P408" s="3"/>
      <c r="Q408" s="3"/>
      <c r="R408" s="3"/>
      <c r="S408" s="3"/>
      <c r="T408" s="3"/>
      <c r="U408" s="3"/>
      <c r="V408" s="18"/>
      <c r="W408" s="3"/>
      <c r="X408" s="3"/>
      <c r="Y408" s="3"/>
      <c r="Z408" s="3"/>
      <c r="AA408" s="3"/>
    </row>
    <row r="409" spans="1:27">
      <c r="A409" s="3"/>
      <c r="B409" s="3"/>
      <c r="C409" s="3"/>
      <c r="D409" s="3"/>
      <c r="E409" s="3"/>
      <c r="F409" s="3"/>
      <c r="G409" s="3"/>
      <c r="H409" s="3"/>
      <c r="I409" s="3"/>
      <c r="J409" s="3"/>
      <c r="K409" s="3"/>
      <c r="L409" s="3"/>
      <c r="M409" s="3"/>
      <c r="N409" s="3"/>
      <c r="O409" s="3"/>
      <c r="P409" s="3"/>
      <c r="Q409" s="3"/>
      <c r="R409" s="3"/>
      <c r="S409" s="3"/>
      <c r="T409" s="3"/>
      <c r="U409" s="3"/>
      <c r="V409" s="18"/>
      <c r="W409" s="3"/>
      <c r="X409" s="3"/>
      <c r="Y409" s="3"/>
      <c r="Z409" s="3"/>
      <c r="AA409" s="3"/>
    </row>
    <row r="410" spans="1:27">
      <c r="A410" s="3"/>
      <c r="B410" s="3"/>
      <c r="C410" s="3"/>
      <c r="D410" s="3"/>
      <c r="E410" s="3"/>
      <c r="F410" s="3"/>
      <c r="G410" s="3"/>
      <c r="H410" s="3"/>
      <c r="I410" s="3"/>
      <c r="J410" s="3"/>
      <c r="K410" s="3"/>
      <c r="L410" s="3"/>
      <c r="M410" s="3"/>
      <c r="N410" s="3"/>
      <c r="O410" s="3"/>
      <c r="P410" s="3"/>
      <c r="Q410" s="3"/>
      <c r="R410" s="3"/>
      <c r="S410" s="3"/>
      <c r="T410" s="3"/>
      <c r="U410" s="3"/>
      <c r="V410" s="18"/>
      <c r="W410" s="3"/>
      <c r="X410" s="3"/>
      <c r="Y410" s="3"/>
      <c r="Z410" s="3"/>
      <c r="AA410" s="3"/>
    </row>
    <row r="411" spans="1:27">
      <c r="A411" s="3"/>
      <c r="B411" s="3"/>
      <c r="C411" s="3"/>
      <c r="D411" s="3"/>
      <c r="E411" s="3"/>
      <c r="F411" s="3"/>
      <c r="G411" s="3"/>
      <c r="H411" s="3"/>
      <c r="I411" s="3"/>
      <c r="J411" s="3"/>
      <c r="K411" s="3"/>
      <c r="L411" s="3"/>
      <c r="M411" s="3"/>
      <c r="N411" s="3"/>
      <c r="O411" s="3"/>
      <c r="P411" s="3"/>
      <c r="Q411" s="3"/>
      <c r="R411" s="3"/>
      <c r="S411" s="3"/>
      <c r="T411" s="3"/>
      <c r="U411" s="3"/>
      <c r="V411" s="18"/>
      <c r="W411" s="3"/>
      <c r="X411" s="3"/>
      <c r="Y411" s="3"/>
      <c r="Z411" s="3"/>
      <c r="AA411" s="3"/>
    </row>
    <row r="412" spans="1:27">
      <c r="A412" s="12"/>
      <c r="B412" s="12"/>
      <c r="C412" s="12"/>
      <c r="D412" s="12"/>
      <c r="E412" s="12"/>
      <c r="F412" s="12"/>
      <c r="G412" s="12"/>
      <c r="H412" s="12"/>
      <c r="I412" s="12"/>
      <c r="J412" s="12"/>
      <c r="K412" s="12"/>
      <c r="L412" s="12"/>
      <c r="M412" s="12"/>
      <c r="N412" s="12"/>
      <c r="O412" s="12"/>
      <c r="P412" s="12"/>
      <c r="Q412" s="12"/>
      <c r="R412" s="12"/>
      <c r="S412" s="12"/>
      <c r="T412" s="12"/>
      <c r="U412" s="12"/>
      <c r="W412" s="12"/>
      <c r="X412" s="12"/>
      <c r="Y412" s="12"/>
      <c r="Z412" s="12"/>
      <c r="AA412" s="12"/>
    </row>
    <row r="413" spans="1:27">
      <c r="A413" s="12"/>
      <c r="B413" s="12"/>
      <c r="C413" s="12"/>
      <c r="D413" s="12"/>
      <c r="E413" s="12"/>
      <c r="F413" s="12"/>
      <c r="G413" s="12"/>
      <c r="H413" s="12"/>
      <c r="I413" s="12"/>
      <c r="J413" s="12"/>
      <c r="K413" s="12"/>
      <c r="L413" s="12"/>
      <c r="M413" s="12"/>
      <c r="N413" s="12"/>
      <c r="O413" s="12"/>
      <c r="P413" s="12"/>
      <c r="Q413" s="12"/>
      <c r="R413" s="12"/>
      <c r="S413" s="12"/>
      <c r="T413" s="12"/>
      <c r="U413" s="12"/>
      <c r="W413" s="12"/>
      <c r="X413" s="12"/>
      <c r="Y413" s="12"/>
      <c r="Z413" s="12"/>
      <c r="AA413" s="12"/>
    </row>
    <row r="414" spans="1:27">
      <c r="A414" s="12"/>
      <c r="B414" s="12"/>
      <c r="C414" s="12"/>
      <c r="D414" s="12"/>
      <c r="E414" s="12"/>
      <c r="F414" s="12"/>
      <c r="G414" s="12"/>
      <c r="H414" s="12"/>
      <c r="I414" s="12"/>
      <c r="J414" s="12"/>
      <c r="K414" s="12"/>
      <c r="L414" s="12"/>
      <c r="M414" s="12"/>
      <c r="N414" s="12"/>
      <c r="O414" s="12"/>
      <c r="P414" s="12"/>
      <c r="Q414" s="12"/>
      <c r="R414" s="12"/>
      <c r="S414" s="12"/>
      <c r="T414" s="12"/>
      <c r="U414" s="12"/>
      <c r="W414" s="12"/>
      <c r="X414" s="12"/>
      <c r="Y414" s="12"/>
      <c r="Z414" s="12"/>
      <c r="AA414" s="12"/>
    </row>
    <row r="415" spans="1:27">
      <c r="A415" s="12"/>
      <c r="B415" s="12"/>
      <c r="C415" s="12"/>
      <c r="D415" s="12"/>
      <c r="E415" s="12"/>
      <c r="F415" s="12"/>
      <c r="G415" s="12"/>
      <c r="H415" s="12"/>
      <c r="I415" s="12"/>
      <c r="J415" s="12"/>
      <c r="K415" s="12"/>
      <c r="L415" s="12"/>
      <c r="M415" s="12"/>
      <c r="N415" s="12"/>
      <c r="O415" s="12"/>
      <c r="P415" s="12"/>
      <c r="Q415" s="12"/>
      <c r="R415" s="12"/>
      <c r="S415" s="12"/>
      <c r="T415" s="12"/>
      <c r="U415" s="12"/>
      <c r="W415" s="12"/>
      <c r="X415" s="12"/>
      <c r="Y415" s="12"/>
      <c r="Z415" s="12"/>
      <c r="AA415" s="12"/>
    </row>
    <row r="416" spans="1:27">
      <c r="A416" s="12"/>
      <c r="B416" s="12"/>
      <c r="C416" s="12"/>
      <c r="D416" s="12"/>
      <c r="E416" s="12"/>
      <c r="F416" s="12"/>
      <c r="G416" s="12"/>
      <c r="H416" s="12"/>
      <c r="I416" s="12"/>
      <c r="J416" s="12"/>
      <c r="K416" s="12"/>
      <c r="L416" s="12"/>
      <c r="M416" s="12"/>
      <c r="N416" s="12"/>
      <c r="O416" s="12"/>
      <c r="P416" s="12"/>
      <c r="Q416" s="12"/>
      <c r="R416" s="12"/>
      <c r="S416" s="12"/>
      <c r="T416" s="12"/>
      <c r="U416" s="12"/>
      <c r="W416" s="12"/>
      <c r="X416" s="12"/>
      <c r="Y416" s="12"/>
      <c r="Z416" s="12"/>
      <c r="AA416" s="12"/>
    </row>
    <row r="417" spans="1:27">
      <c r="A417" s="12"/>
      <c r="B417" s="12"/>
      <c r="C417" s="12"/>
      <c r="D417" s="12"/>
      <c r="E417" s="12"/>
      <c r="F417" s="12"/>
      <c r="G417" s="12"/>
      <c r="H417" s="12"/>
      <c r="I417" s="12"/>
      <c r="J417" s="12"/>
      <c r="K417" s="12"/>
      <c r="L417" s="12"/>
      <c r="M417" s="12"/>
      <c r="N417" s="12"/>
      <c r="O417" s="12"/>
      <c r="P417" s="12"/>
      <c r="Q417" s="12"/>
      <c r="R417" s="12"/>
      <c r="S417" s="12"/>
      <c r="T417" s="12"/>
      <c r="U417" s="12"/>
      <c r="W417" s="12"/>
      <c r="X417" s="12"/>
      <c r="Y417" s="12"/>
      <c r="Z417" s="12"/>
      <c r="AA417" s="12"/>
    </row>
    <row r="418" spans="1:27">
      <c r="A418" s="12"/>
      <c r="B418" s="12"/>
      <c r="C418" s="12"/>
      <c r="D418" s="12"/>
      <c r="E418" s="12"/>
      <c r="F418" s="12"/>
      <c r="G418" s="12"/>
      <c r="H418" s="12"/>
      <c r="I418" s="12"/>
      <c r="J418" s="12"/>
      <c r="K418" s="12"/>
      <c r="L418" s="12"/>
      <c r="M418" s="12"/>
      <c r="N418" s="12"/>
      <c r="O418" s="12"/>
      <c r="P418" s="12"/>
      <c r="Q418" s="12"/>
      <c r="R418" s="12"/>
      <c r="S418" s="12"/>
      <c r="T418" s="12"/>
      <c r="U418" s="12"/>
      <c r="W418" s="12"/>
      <c r="X418" s="12"/>
      <c r="Y418" s="12"/>
      <c r="Z418" s="12"/>
      <c r="AA418" s="12"/>
    </row>
    <row r="419" spans="1:27">
      <c r="A419" s="12"/>
      <c r="B419" s="12"/>
      <c r="C419" s="12"/>
      <c r="D419" s="12"/>
      <c r="E419" s="12"/>
      <c r="F419" s="12"/>
      <c r="G419" s="12"/>
      <c r="H419" s="12"/>
      <c r="I419" s="12"/>
      <c r="J419" s="12"/>
      <c r="K419" s="12"/>
      <c r="L419" s="12"/>
      <c r="M419" s="12"/>
      <c r="N419" s="12"/>
      <c r="O419" s="12"/>
      <c r="P419" s="12"/>
      <c r="Q419" s="12"/>
      <c r="R419" s="12"/>
      <c r="S419" s="12"/>
      <c r="T419" s="12"/>
      <c r="U419" s="12"/>
      <c r="W419" s="12"/>
      <c r="X419" s="12"/>
      <c r="Y419" s="12"/>
      <c r="Z419" s="12"/>
      <c r="AA419" s="12"/>
    </row>
    <row r="420" spans="1:27">
      <c r="A420" s="12"/>
      <c r="B420" s="12"/>
      <c r="C420" s="12"/>
      <c r="D420" s="12"/>
      <c r="E420" s="12"/>
      <c r="F420" s="12"/>
      <c r="G420" s="12"/>
      <c r="H420" s="12"/>
      <c r="I420" s="12"/>
      <c r="J420" s="12"/>
      <c r="K420" s="12"/>
      <c r="L420" s="12"/>
      <c r="M420" s="12"/>
      <c r="N420" s="12"/>
      <c r="O420" s="12"/>
      <c r="P420" s="12"/>
      <c r="Q420" s="12"/>
      <c r="R420" s="12"/>
      <c r="S420" s="12"/>
      <c r="T420" s="12"/>
      <c r="U420" s="12"/>
      <c r="W420" s="12"/>
      <c r="X420" s="12"/>
      <c r="Y420" s="12"/>
      <c r="Z420" s="12"/>
      <c r="AA420" s="12"/>
    </row>
    <row r="421" spans="1:27">
      <c r="A421" s="12"/>
      <c r="B421" s="12"/>
      <c r="C421" s="12"/>
      <c r="D421" s="12"/>
      <c r="E421" s="12"/>
      <c r="F421" s="12"/>
      <c r="G421" s="12"/>
      <c r="H421" s="12"/>
      <c r="I421" s="12"/>
      <c r="J421" s="12"/>
      <c r="K421" s="12"/>
      <c r="L421" s="12"/>
      <c r="M421" s="12"/>
      <c r="N421" s="12"/>
      <c r="O421" s="12"/>
      <c r="P421" s="12"/>
      <c r="Q421" s="12"/>
      <c r="R421" s="12"/>
      <c r="S421" s="12"/>
      <c r="T421" s="12"/>
      <c r="U421" s="12"/>
      <c r="W421" s="12"/>
      <c r="X421" s="12"/>
      <c r="Y421" s="12"/>
      <c r="Z421" s="12"/>
      <c r="AA421" s="12"/>
    </row>
    <row r="422" spans="1:27">
      <c r="A422" s="12"/>
      <c r="B422" s="12"/>
      <c r="C422" s="12"/>
      <c r="D422" s="12"/>
      <c r="E422" s="12"/>
      <c r="F422" s="12"/>
      <c r="G422" s="12"/>
      <c r="H422" s="12"/>
      <c r="I422" s="12"/>
      <c r="J422" s="12"/>
      <c r="K422" s="12"/>
      <c r="L422" s="12"/>
      <c r="M422" s="12"/>
      <c r="N422" s="12"/>
      <c r="O422" s="12"/>
      <c r="P422" s="12"/>
      <c r="Q422" s="12"/>
      <c r="R422" s="12"/>
      <c r="S422" s="12"/>
      <c r="T422" s="12"/>
      <c r="U422" s="12"/>
      <c r="W422" s="12"/>
      <c r="X422" s="12"/>
      <c r="Y422" s="12"/>
      <c r="Z422" s="12"/>
      <c r="AA422" s="12"/>
    </row>
    <row r="423" spans="1:27">
      <c r="A423" s="12"/>
      <c r="B423" s="12"/>
      <c r="C423" s="12"/>
      <c r="D423" s="12"/>
      <c r="E423" s="12"/>
      <c r="F423" s="12"/>
      <c r="G423" s="12"/>
      <c r="H423" s="12"/>
      <c r="I423" s="12"/>
      <c r="J423" s="12"/>
      <c r="K423" s="12"/>
      <c r="L423" s="12"/>
      <c r="M423" s="12"/>
      <c r="N423" s="12"/>
      <c r="O423" s="12"/>
      <c r="P423" s="12"/>
      <c r="Q423" s="12"/>
      <c r="R423" s="12"/>
      <c r="S423" s="12"/>
      <c r="T423" s="12"/>
      <c r="U423" s="12"/>
      <c r="W423" s="12"/>
      <c r="X423" s="12"/>
      <c r="Y423" s="12"/>
      <c r="Z423" s="12"/>
      <c r="AA423" s="12"/>
    </row>
    <row r="424" spans="1:27">
      <c r="A424" s="12"/>
      <c r="B424" s="12"/>
      <c r="C424" s="12"/>
      <c r="D424" s="12"/>
      <c r="E424" s="12"/>
      <c r="F424" s="12"/>
      <c r="G424" s="12"/>
      <c r="H424" s="12"/>
      <c r="I424" s="12"/>
      <c r="J424" s="12"/>
      <c r="K424" s="12"/>
      <c r="L424" s="12"/>
      <c r="M424" s="12"/>
      <c r="N424" s="12"/>
      <c r="O424" s="12"/>
      <c r="P424" s="12"/>
      <c r="Q424" s="12"/>
      <c r="R424" s="12"/>
      <c r="S424" s="12"/>
      <c r="T424" s="12"/>
      <c r="U424" s="12"/>
      <c r="W424" s="12"/>
      <c r="X424" s="12"/>
      <c r="Y424" s="12"/>
      <c r="Z424" s="12"/>
      <c r="AA424" s="12"/>
    </row>
    <row r="425" spans="1:27">
      <c r="A425" s="12"/>
      <c r="B425" s="12"/>
      <c r="C425" s="12"/>
      <c r="D425" s="12"/>
      <c r="E425" s="12"/>
      <c r="F425" s="12"/>
      <c r="G425" s="12"/>
      <c r="H425" s="12"/>
      <c r="I425" s="12"/>
      <c r="J425" s="12"/>
      <c r="K425" s="12"/>
      <c r="L425" s="12"/>
      <c r="M425" s="12"/>
      <c r="N425" s="12"/>
      <c r="O425" s="12"/>
      <c r="P425" s="12"/>
      <c r="Q425" s="12"/>
      <c r="R425" s="12"/>
      <c r="S425" s="12"/>
      <c r="T425" s="12"/>
      <c r="U425" s="12"/>
      <c r="W425" s="12"/>
      <c r="X425" s="12"/>
      <c r="Y425" s="12"/>
      <c r="Z425" s="12"/>
      <c r="AA425" s="12"/>
    </row>
    <row r="426" spans="1:27">
      <c r="A426" s="12"/>
      <c r="B426" s="12"/>
      <c r="C426" s="12"/>
      <c r="D426" s="12"/>
      <c r="E426" s="12"/>
      <c r="F426" s="12"/>
      <c r="G426" s="12"/>
      <c r="H426" s="12"/>
      <c r="I426" s="12"/>
      <c r="J426" s="12"/>
      <c r="K426" s="12"/>
      <c r="L426" s="12"/>
      <c r="M426" s="12"/>
      <c r="N426" s="12"/>
      <c r="O426" s="12"/>
      <c r="P426" s="12"/>
      <c r="Q426" s="12"/>
      <c r="R426" s="12"/>
      <c r="S426" s="12"/>
      <c r="T426" s="12"/>
      <c r="U426" s="12"/>
      <c r="W426" s="12"/>
      <c r="X426" s="12"/>
      <c r="Y426" s="12"/>
      <c r="Z426" s="12"/>
      <c r="AA426" s="12"/>
    </row>
    <row r="427" spans="1:27">
      <c r="A427" s="12"/>
      <c r="B427" s="12"/>
      <c r="C427" s="12"/>
      <c r="D427" s="12"/>
      <c r="E427" s="12"/>
      <c r="F427" s="12"/>
      <c r="G427" s="12"/>
      <c r="H427" s="12"/>
      <c r="I427" s="12"/>
      <c r="J427" s="12"/>
      <c r="K427" s="12"/>
      <c r="L427" s="12"/>
      <c r="M427" s="12"/>
      <c r="N427" s="12"/>
      <c r="O427" s="12"/>
      <c r="P427" s="12"/>
      <c r="Q427" s="12"/>
      <c r="R427" s="12"/>
      <c r="S427" s="12"/>
      <c r="T427" s="12"/>
      <c r="U427" s="12"/>
      <c r="W427" s="12"/>
      <c r="X427" s="12"/>
      <c r="Y427" s="12"/>
      <c r="Z427" s="12"/>
      <c r="AA427" s="12"/>
    </row>
    <row r="428" spans="1:27">
      <c r="A428" s="12"/>
      <c r="B428" s="12"/>
      <c r="C428" s="12"/>
      <c r="D428" s="12"/>
      <c r="E428" s="12"/>
      <c r="F428" s="12"/>
      <c r="G428" s="12"/>
      <c r="H428" s="12"/>
      <c r="I428" s="12"/>
      <c r="J428" s="12"/>
      <c r="K428" s="12"/>
      <c r="L428" s="12"/>
      <c r="M428" s="12"/>
      <c r="N428" s="12"/>
      <c r="O428" s="12"/>
      <c r="P428" s="12"/>
      <c r="Q428" s="12"/>
      <c r="R428" s="12"/>
      <c r="S428" s="12"/>
      <c r="T428" s="12"/>
      <c r="U428" s="12"/>
      <c r="W428" s="12"/>
      <c r="X428" s="12"/>
      <c r="Y428" s="12"/>
      <c r="Z428" s="12"/>
      <c r="AA428" s="12"/>
    </row>
    <row r="429" spans="1:27">
      <c r="A429" s="12"/>
      <c r="B429" s="12"/>
      <c r="C429" s="12"/>
      <c r="D429" s="12"/>
      <c r="E429" s="12"/>
      <c r="F429" s="12"/>
      <c r="G429" s="12"/>
      <c r="H429" s="12"/>
      <c r="I429" s="12"/>
      <c r="J429" s="12"/>
      <c r="K429" s="12"/>
      <c r="L429" s="12"/>
      <c r="M429" s="12"/>
      <c r="N429" s="12"/>
      <c r="O429" s="12"/>
      <c r="P429" s="12"/>
      <c r="Q429" s="12"/>
      <c r="R429" s="12"/>
      <c r="S429" s="12"/>
      <c r="T429" s="12"/>
      <c r="U429" s="12"/>
      <c r="W429" s="12"/>
      <c r="X429" s="12"/>
      <c r="Y429" s="12"/>
      <c r="Z429" s="12"/>
      <c r="AA429" s="12"/>
    </row>
    <row r="430" spans="1:27">
      <c r="A430" s="12"/>
      <c r="B430" s="12"/>
      <c r="C430" s="12"/>
      <c r="D430" s="12"/>
      <c r="E430" s="12"/>
      <c r="F430" s="12"/>
      <c r="G430" s="12"/>
      <c r="H430" s="12"/>
      <c r="I430" s="12"/>
      <c r="J430" s="12"/>
      <c r="K430" s="12"/>
      <c r="L430" s="12"/>
      <c r="M430" s="12"/>
      <c r="N430" s="12"/>
      <c r="O430" s="12"/>
      <c r="P430" s="12"/>
      <c r="Q430" s="12"/>
      <c r="R430" s="12"/>
      <c r="S430" s="12"/>
      <c r="T430" s="12"/>
      <c r="U430" s="12"/>
      <c r="W430" s="12"/>
      <c r="X430" s="12"/>
      <c r="Y430" s="12"/>
      <c r="Z430" s="12"/>
      <c r="AA430" s="12"/>
    </row>
    <row r="431" spans="1:27">
      <c r="A431" s="12"/>
      <c r="B431" s="12"/>
      <c r="C431" s="12"/>
      <c r="D431" s="12"/>
      <c r="E431" s="12"/>
      <c r="F431" s="12"/>
      <c r="G431" s="12"/>
      <c r="H431" s="12"/>
      <c r="I431" s="12"/>
      <c r="J431" s="12"/>
      <c r="K431" s="12"/>
      <c r="L431" s="12"/>
      <c r="M431" s="12"/>
      <c r="N431" s="12"/>
      <c r="O431" s="12"/>
      <c r="P431" s="12"/>
      <c r="Q431" s="12"/>
      <c r="R431" s="12"/>
      <c r="S431" s="12"/>
      <c r="T431" s="12"/>
      <c r="U431" s="12"/>
      <c r="W431" s="12"/>
      <c r="X431" s="12"/>
      <c r="Y431" s="12"/>
      <c r="Z431" s="12"/>
      <c r="AA431" s="12"/>
    </row>
    <row r="432" spans="1:27">
      <c r="A432" s="12"/>
      <c r="B432" s="12"/>
      <c r="C432" s="12"/>
      <c r="D432" s="12"/>
      <c r="E432" s="12"/>
      <c r="F432" s="12"/>
      <c r="G432" s="12"/>
      <c r="H432" s="12"/>
      <c r="I432" s="12"/>
      <c r="J432" s="12"/>
      <c r="K432" s="12"/>
      <c r="L432" s="12"/>
      <c r="M432" s="12"/>
      <c r="N432" s="12"/>
      <c r="O432" s="12"/>
      <c r="P432" s="12"/>
      <c r="Q432" s="12"/>
      <c r="R432" s="12"/>
      <c r="S432" s="12"/>
      <c r="T432" s="12"/>
      <c r="U432" s="12"/>
      <c r="W432" s="12"/>
      <c r="X432" s="12"/>
      <c r="Y432" s="12"/>
      <c r="Z432" s="12"/>
      <c r="AA432" s="12"/>
    </row>
    <row r="433" spans="1:27">
      <c r="A433" s="12"/>
      <c r="B433" s="12"/>
      <c r="C433" s="12"/>
      <c r="D433" s="12"/>
      <c r="E433" s="12"/>
      <c r="F433" s="12"/>
      <c r="G433" s="12"/>
      <c r="H433" s="12"/>
      <c r="I433" s="12"/>
      <c r="J433" s="12"/>
      <c r="K433" s="12"/>
      <c r="L433" s="12"/>
      <c r="M433" s="12"/>
      <c r="N433" s="12"/>
      <c r="O433" s="12"/>
      <c r="P433" s="12"/>
      <c r="Q433" s="12"/>
      <c r="R433" s="12"/>
      <c r="S433" s="12"/>
      <c r="T433" s="12"/>
      <c r="U433" s="12"/>
      <c r="W433" s="12"/>
      <c r="X433" s="12"/>
      <c r="Y433" s="12"/>
      <c r="Z433" s="12"/>
      <c r="AA433" s="12"/>
    </row>
    <row r="434" spans="1:27">
      <c r="A434" s="12"/>
      <c r="B434" s="12"/>
      <c r="C434" s="12"/>
      <c r="D434" s="12"/>
      <c r="E434" s="12"/>
      <c r="F434" s="12"/>
      <c r="G434" s="12"/>
      <c r="H434" s="12"/>
      <c r="I434" s="12"/>
      <c r="J434" s="12"/>
      <c r="K434" s="12"/>
      <c r="L434" s="12"/>
      <c r="M434" s="12"/>
      <c r="N434" s="12"/>
      <c r="O434" s="12"/>
      <c r="P434" s="12"/>
      <c r="Q434" s="12"/>
      <c r="R434" s="12"/>
      <c r="S434" s="12"/>
      <c r="T434" s="12"/>
      <c r="U434" s="12"/>
      <c r="W434" s="12"/>
      <c r="X434" s="12"/>
      <c r="Y434" s="12"/>
      <c r="Z434" s="12"/>
      <c r="AA434" s="12"/>
    </row>
    <row r="435" spans="1:27">
      <c r="A435" s="12"/>
      <c r="B435" s="12"/>
      <c r="C435" s="12"/>
      <c r="D435" s="12"/>
      <c r="E435" s="12"/>
      <c r="F435" s="12"/>
      <c r="G435" s="12"/>
      <c r="H435" s="12"/>
      <c r="I435" s="12"/>
      <c r="J435" s="12"/>
      <c r="K435" s="12"/>
      <c r="L435" s="12"/>
      <c r="M435" s="12"/>
      <c r="N435" s="12"/>
      <c r="O435" s="12"/>
      <c r="P435" s="12"/>
      <c r="Q435" s="12"/>
      <c r="R435" s="12"/>
      <c r="S435" s="12"/>
      <c r="T435" s="12"/>
      <c r="U435" s="12"/>
      <c r="W435" s="12"/>
      <c r="X435" s="12"/>
      <c r="Y435" s="12"/>
      <c r="Z435" s="12"/>
      <c r="AA435" s="12"/>
    </row>
    <row r="436" spans="1:27">
      <c r="A436" s="12"/>
      <c r="B436" s="12"/>
      <c r="C436" s="12"/>
      <c r="D436" s="12"/>
      <c r="E436" s="12"/>
      <c r="F436" s="12"/>
      <c r="G436" s="12"/>
      <c r="H436" s="12"/>
      <c r="I436" s="12"/>
      <c r="J436" s="12"/>
      <c r="K436" s="12"/>
      <c r="L436" s="12"/>
      <c r="M436" s="12"/>
      <c r="N436" s="12"/>
      <c r="O436" s="12"/>
      <c r="P436" s="12"/>
      <c r="Q436" s="12"/>
      <c r="R436" s="12"/>
      <c r="S436" s="12"/>
      <c r="T436" s="12"/>
      <c r="U436" s="12"/>
      <c r="W436" s="12"/>
      <c r="X436" s="12"/>
      <c r="Y436" s="12"/>
      <c r="Z436" s="12"/>
      <c r="AA436" s="12"/>
    </row>
    <row r="437" spans="1:27">
      <c r="A437" s="12"/>
      <c r="B437" s="12"/>
      <c r="C437" s="12"/>
      <c r="D437" s="12"/>
      <c r="E437" s="12"/>
      <c r="F437" s="12"/>
      <c r="G437" s="12"/>
      <c r="H437" s="12"/>
      <c r="I437" s="12"/>
      <c r="J437" s="12"/>
      <c r="K437" s="12"/>
      <c r="L437" s="12"/>
      <c r="M437" s="12"/>
      <c r="N437" s="12"/>
      <c r="O437" s="12"/>
      <c r="P437" s="12"/>
      <c r="Q437" s="12"/>
      <c r="R437" s="12"/>
      <c r="S437" s="12"/>
      <c r="T437" s="12"/>
      <c r="U437" s="12"/>
      <c r="W437" s="12"/>
      <c r="X437" s="12"/>
      <c r="Y437" s="12"/>
      <c r="Z437" s="12"/>
      <c r="AA437" s="12"/>
    </row>
    <row r="438" spans="1:27">
      <c r="A438" s="12"/>
      <c r="B438" s="12"/>
      <c r="C438" s="12"/>
      <c r="D438" s="12"/>
      <c r="E438" s="12"/>
      <c r="F438" s="12"/>
      <c r="G438" s="12"/>
      <c r="H438" s="12"/>
      <c r="I438" s="12"/>
      <c r="J438" s="12"/>
      <c r="K438" s="12"/>
      <c r="L438" s="12"/>
      <c r="M438" s="12"/>
      <c r="N438" s="12"/>
      <c r="O438" s="12"/>
      <c r="P438" s="12"/>
      <c r="Q438" s="12"/>
      <c r="R438" s="12"/>
      <c r="S438" s="12"/>
      <c r="T438" s="12"/>
      <c r="U438" s="12"/>
      <c r="W438" s="12"/>
      <c r="X438" s="12"/>
      <c r="Y438" s="12"/>
      <c r="Z438" s="12"/>
      <c r="AA438" s="12"/>
    </row>
    <row r="439" spans="1:27">
      <c r="A439" s="12"/>
      <c r="B439" s="12"/>
      <c r="C439" s="12"/>
      <c r="D439" s="12"/>
      <c r="E439" s="12"/>
      <c r="F439" s="12"/>
      <c r="G439" s="12"/>
      <c r="H439" s="12"/>
      <c r="I439" s="12"/>
      <c r="J439" s="12"/>
      <c r="K439" s="12"/>
      <c r="L439" s="12"/>
      <c r="M439" s="12"/>
      <c r="N439" s="12"/>
      <c r="O439" s="12"/>
      <c r="P439" s="12"/>
      <c r="Q439" s="12"/>
      <c r="R439" s="12"/>
      <c r="S439" s="12"/>
      <c r="T439" s="12"/>
      <c r="U439" s="12"/>
      <c r="W439" s="12"/>
      <c r="X439" s="12"/>
      <c r="Y439" s="12"/>
      <c r="Z439" s="12"/>
      <c r="AA439" s="12"/>
    </row>
    <row r="440" spans="1:27">
      <c r="A440" s="12"/>
      <c r="B440" s="12"/>
      <c r="C440" s="12"/>
      <c r="D440" s="12"/>
      <c r="E440" s="12"/>
      <c r="F440" s="12"/>
      <c r="G440" s="12"/>
      <c r="H440" s="12"/>
      <c r="I440" s="12"/>
      <c r="J440" s="12"/>
      <c r="K440" s="12"/>
      <c r="L440" s="12"/>
      <c r="M440" s="12"/>
      <c r="N440" s="12"/>
      <c r="O440" s="12"/>
      <c r="P440" s="12"/>
      <c r="Q440" s="12"/>
      <c r="R440" s="12"/>
      <c r="S440" s="12"/>
      <c r="T440" s="12"/>
      <c r="U440" s="12"/>
      <c r="W440" s="12"/>
      <c r="X440" s="12"/>
      <c r="Y440" s="12"/>
      <c r="Z440" s="12"/>
      <c r="AA440" s="12"/>
    </row>
    <row r="441" spans="1:27">
      <c r="A441" s="12"/>
      <c r="B441" s="12"/>
      <c r="C441" s="12"/>
      <c r="D441" s="12"/>
      <c r="E441" s="12"/>
      <c r="F441" s="12"/>
      <c r="G441" s="12"/>
      <c r="H441" s="12"/>
      <c r="I441" s="12"/>
      <c r="J441" s="12"/>
      <c r="K441" s="12"/>
      <c r="L441" s="12"/>
      <c r="M441" s="12"/>
      <c r="N441" s="12"/>
      <c r="O441" s="12"/>
      <c r="P441" s="12"/>
      <c r="Q441" s="12"/>
      <c r="R441" s="12"/>
      <c r="S441" s="12"/>
      <c r="T441" s="12"/>
      <c r="U441" s="12"/>
      <c r="W441" s="12"/>
      <c r="X441" s="12"/>
      <c r="Y441" s="12"/>
      <c r="Z441" s="12"/>
      <c r="AA441" s="12"/>
    </row>
    <row r="442" spans="1:27">
      <c r="A442" s="12"/>
      <c r="B442" s="12"/>
      <c r="C442" s="12"/>
      <c r="D442" s="12"/>
      <c r="E442" s="12"/>
      <c r="F442" s="12"/>
      <c r="G442" s="12"/>
      <c r="H442" s="12"/>
      <c r="I442" s="12"/>
      <c r="J442" s="12"/>
      <c r="K442" s="12"/>
      <c r="L442" s="12"/>
      <c r="M442" s="12"/>
      <c r="N442" s="12"/>
      <c r="O442" s="12"/>
      <c r="P442" s="12"/>
      <c r="Q442" s="12"/>
      <c r="R442" s="12"/>
      <c r="S442" s="12"/>
      <c r="T442" s="12"/>
      <c r="U442" s="12"/>
      <c r="W442" s="12"/>
      <c r="X442" s="12"/>
      <c r="Y442" s="12"/>
      <c r="Z442" s="12"/>
      <c r="AA442" s="12"/>
    </row>
    <row r="443" spans="1:27">
      <c r="A443" s="12"/>
      <c r="B443" s="12"/>
      <c r="C443" s="12"/>
      <c r="D443" s="12"/>
      <c r="E443" s="12"/>
      <c r="F443" s="12"/>
      <c r="G443" s="12"/>
      <c r="H443" s="12"/>
      <c r="I443" s="12"/>
      <c r="J443" s="12"/>
      <c r="K443" s="12"/>
      <c r="L443" s="12"/>
      <c r="M443" s="12"/>
      <c r="N443" s="12"/>
      <c r="O443" s="12"/>
      <c r="P443" s="12"/>
      <c r="Q443" s="12"/>
      <c r="R443" s="12"/>
      <c r="S443" s="12"/>
      <c r="T443" s="12"/>
      <c r="U443" s="12"/>
      <c r="W443" s="12"/>
      <c r="X443" s="12"/>
      <c r="Y443" s="12"/>
      <c r="Z443" s="12"/>
      <c r="AA443" s="12"/>
    </row>
    <row r="444" spans="1:27">
      <c r="A444" s="12"/>
      <c r="B444" s="12"/>
      <c r="C444" s="12"/>
      <c r="D444" s="12"/>
      <c r="E444" s="12"/>
      <c r="F444" s="12"/>
      <c r="G444" s="12"/>
      <c r="H444" s="12"/>
      <c r="I444" s="12"/>
      <c r="J444" s="12"/>
      <c r="K444" s="12"/>
      <c r="L444" s="12"/>
      <c r="M444" s="12"/>
      <c r="N444" s="12"/>
      <c r="O444" s="12"/>
      <c r="P444" s="12"/>
      <c r="Q444" s="12"/>
      <c r="R444" s="12"/>
      <c r="S444" s="12"/>
      <c r="T444" s="12"/>
      <c r="U444" s="12"/>
      <c r="W444" s="12"/>
      <c r="X444" s="12"/>
      <c r="Y444" s="12"/>
      <c r="Z444" s="12"/>
      <c r="AA444" s="12"/>
    </row>
    <row r="445" spans="1:27">
      <c r="A445" s="12"/>
      <c r="B445" s="12"/>
      <c r="C445" s="12"/>
      <c r="D445" s="12"/>
      <c r="E445" s="12"/>
      <c r="F445" s="12"/>
      <c r="G445" s="12"/>
      <c r="H445" s="12"/>
      <c r="I445" s="12"/>
      <c r="J445" s="12"/>
      <c r="K445" s="12"/>
      <c r="L445" s="12"/>
      <c r="M445" s="12"/>
      <c r="N445" s="12"/>
      <c r="O445" s="12"/>
      <c r="P445" s="12"/>
      <c r="Q445" s="12"/>
      <c r="R445" s="12"/>
      <c r="S445" s="12"/>
      <c r="T445" s="12"/>
      <c r="U445" s="12"/>
      <c r="W445" s="12"/>
      <c r="X445" s="12"/>
      <c r="Y445" s="12"/>
      <c r="Z445" s="12"/>
      <c r="AA445" s="12"/>
    </row>
    <row r="446" spans="1:27">
      <c r="A446" s="12"/>
      <c r="B446" s="12"/>
      <c r="C446" s="12"/>
      <c r="D446" s="12"/>
      <c r="E446" s="12"/>
      <c r="F446" s="12"/>
      <c r="G446" s="12"/>
      <c r="H446" s="12"/>
      <c r="I446" s="12"/>
      <c r="J446" s="12"/>
      <c r="K446" s="12"/>
      <c r="L446" s="12"/>
      <c r="M446" s="12"/>
      <c r="N446" s="12"/>
      <c r="O446" s="12"/>
      <c r="P446" s="12"/>
      <c r="Q446" s="12"/>
      <c r="R446" s="12"/>
      <c r="S446" s="12"/>
      <c r="T446" s="12"/>
      <c r="U446" s="12"/>
      <c r="W446" s="12"/>
      <c r="X446" s="12"/>
      <c r="Y446" s="12"/>
      <c r="Z446" s="12"/>
      <c r="AA446" s="12"/>
    </row>
    <row r="447" spans="1:27">
      <c r="A447" s="12"/>
      <c r="B447" s="12"/>
      <c r="C447" s="12"/>
      <c r="D447" s="12"/>
      <c r="E447" s="12"/>
      <c r="F447" s="12"/>
      <c r="G447" s="12"/>
      <c r="H447" s="12"/>
      <c r="I447" s="12"/>
      <c r="J447" s="12"/>
      <c r="K447" s="12"/>
      <c r="L447" s="12"/>
      <c r="M447" s="12"/>
      <c r="N447" s="12"/>
      <c r="O447" s="12"/>
      <c r="P447" s="12"/>
      <c r="Q447" s="12"/>
      <c r="R447" s="12"/>
      <c r="S447" s="12"/>
      <c r="T447" s="12"/>
      <c r="U447" s="12"/>
      <c r="W447" s="12"/>
      <c r="X447" s="12"/>
      <c r="Y447" s="12"/>
      <c r="Z447" s="12"/>
      <c r="AA447" s="12"/>
    </row>
    <row r="448" spans="1:27">
      <c r="A448" s="12"/>
      <c r="B448" s="12"/>
      <c r="C448" s="12"/>
      <c r="D448" s="12"/>
      <c r="E448" s="12"/>
      <c r="F448" s="12"/>
      <c r="G448" s="12"/>
      <c r="H448" s="12"/>
      <c r="I448" s="12"/>
      <c r="J448" s="12"/>
      <c r="K448" s="12"/>
      <c r="L448" s="12"/>
      <c r="M448" s="12"/>
      <c r="N448" s="12"/>
      <c r="O448" s="12"/>
      <c r="P448" s="12"/>
      <c r="Q448" s="12"/>
      <c r="R448" s="12"/>
      <c r="S448" s="12"/>
      <c r="T448" s="12"/>
      <c r="U448" s="12"/>
      <c r="W448" s="12"/>
      <c r="X448" s="12"/>
      <c r="Y448" s="12"/>
      <c r="Z448" s="12"/>
      <c r="AA448" s="12"/>
    </row>
    <row r="449" spans="1:27">
      <c r="A449" s="12"/>
      <c r="B449" s="12"/>
      <c r="C449" s="12"/>
      <c r="D449" s="12"/>
      <c r="E449" s="12"/>
      <c r="F449" s="12"/>
      <c r="G449" s="12"/>
      <c r="H449" s="12"/>
      <c r="I449" s="12"/>
      <c r="J449" s="12"/>
      <c r="K449" s="12"/>
      <c r="L449" s="12"/>
      <c r="M449" s="12"/>
      <c r="N449" s="12"/>
      <c r="O449" s="12"/>
      <c r="P449" s="12"/>
      <c r="Q449" s="12"/>
      <c r="R449" s="12"/>
      <c r="S449" s="12"/>
      <c r="T449" s="12"/>
      <c r="U449" s="12"/>
      <c r="W449" s="12"/>
      <c r="X449" s="12"/>
      <c r="Y449" s="12"/>
      <c r="Z449" s="12"/>
      <c r="AA449" s="12"/>
    </row>
    <row r="450" spans="1:27">
      <c r="A450" s="12"/>
      <c r="B450" s="12"/>
      <c r="C450" s="12"/>
      <c r="D450" s="12"/>
      <c r="E450" s="12"/>
      <c r="F450" s="12"/>
      <c r="G450" s="12"/>
      <c r="H450" s="12"/>
      <c r="I450" s="12"/>
      <c r="J450" s="12"/>
      <c r="K450" s="12"/>
      <c r="L450" s="12"/>
      <c r="M450" s="12"/>
      <c r="N450" s="12"/>
      <c r="O450" s="12"/>
      <c r="P450" s="12"/>
      <c r="Q450" s="12"/>
      <c r="R450" s="12"/>
      <c r="S450" s="12"/>
      <c r="T450" s="12"/>
      <c r="U450" s="12"/>
      <c r="W450" s="12"/>
      <c r="X450" s="12"/>
      <c r="Y450" s="12"/>
      <c r="Z450" s="12"/>
      <c r="AA450" s="12"/>
    </row>
    <row r="451" spans="1:27">
      <c r="A451" s="12"/>
      <c r="B451" s="12"/>
      <c r="C451" s="12"/>
      <c r="D451" s="12"/>
      <c r="E451" s="12"/>
      <c r="F451" s="12"/>
      <c r="G451" s="12"/>
      <c r="H451" s="12"/>
      <c r="I451" s="12"/>
      <c r="J451" s="12"/>
      <c r="K451" s="12"/>
      <c r="L451" s="12"/>
      <c r="M451" s="12"/>
      <c r="N451" s="12"/>
      <c r="O451" s="12"/>
      <c r="P451" s="12"/>
      <c r="Q451" s="12"/>
      <c r="R451" s="12"/>
      <c r="S451" s="12"/>
      <c r="T451" s="12"/>
      <c r="U451" s="12"/>
      <c r="W451" s="12"/>
      <c r="X451" s="12"/>
      <c r="Y451" s="12"/>
      <c r="Z451" s="12"/>
      <c r="AA451" s="12"/>
    </row>
    <row r="452" spans="1:27">
      <c r="A452" s="12"/>
      <c r="B452" s="12"/>
      <c r="C452" s="12"/>
      <c r="D452" s="12"/>
      <c r="E452" s="12"/>
      <c r="F452" s="12"/>
      <c r="G452" s="12"/>
      <c r="H452" s="12"/>
      <c r="I452" s="12"/>
      <c r="J452" s="12"/>
      <c r="K452" s="12"/>
      <c r="L452" s="12"/>
      <c r="M452" s="12"/>
      <c r="N452" s="12"/>
      <c r="O452" s="12"/>
      <c r="P452" s="12"/>
      <c r="Q452" s="12"/>
      <c r="R452" s="12"/>
      <c r="S452" s="12"/>
      <c r="T452" s="12"/>
      <c r="U452" s="12"/>
      <c r="W452" s="12"/>
      <c r="X452" s="12"/>
      <c r="Y452" s="12"/>
      <c r="Z452" s="12"/>
      <c r="AA452" s="12"/>
    </row>
    <row r="453" spans="1:27">
      <c r="A453" s="12"/>
      <c r="B453" s="12"/>
      <c r="C453" s="12"/>
      <c r="D453" s="12"/>
      <c r="E453" s="12"/>
      <c r="F453" s="12"/>
      <c r="G453" s="12"/>
      <c r="H453" s="12"/>
      <c r="I453" s="12"/>
      <c r="J453" s="12"/>
      <c r="K453" s="12"/>
      <c r="L453" s="12"/>
      <c r="M453" s="12"/>
      <c r="N453" s="12"/>
      <c r="O453" s="12"/>
      <c r="P453" s="12"/>
      <c r="Q453" s="12"/>
      <c r="R453" s="12"/>
      <c r="S453" s="12"/>
      <c r="T453" s="12"/>
      <c r="U453" s="12"/>
      <c r="W453" s="12"/>
      <c r="X453" s="12"/>
      <c r="Y453" s="12"/>
      <c r="Z453" s="12"/>
      <c r="AA453" s="12"/>
    </row>
    <row r="454" spans="1:27">
      <c r="A454" s="12"/>
      <c r="B454" s="12"/>
      <c r="C454" s="12"/>
      <c r="D454" s="12"/>
      <c r="E454" s="12"/>
      <c r="F454" s="12"/>
      <c r="G454" s="12"/>
      <c r="H454" s="12"/>
      <c r="I454" s="12"/>
      <c r="J454" s="12"/>
      <c r="K454" s="12"/>
      <c r="L454" s="12"/>
      <c r="M454" s="12"/>
      <c r="N454" s="12"/>
      <c r="O454" s="12"/>
      <c r="P454" s="12"/>
      <c r="Q454" s="12"/>
      <c r="R454" s="12"/>
      <c r="S454" s="12"/>
      <c r="T454" s="12"/>
      <c r="U454" s="12"/>
      <c r="W454" s="12"/>
      <c r="X454" s="12"/>
      <c r="Y454" s="12"/>
      <c r="Z454" s="12"/>
      <c r="AA454" s="12"/>
    </row>
    <row r="455" spans="1:27">
      <c r="A455" s="12"/>
      <c r="B455" s="12"/>
      <c r="C455" s="12"/>
      <c r="D455" s="12"/>
      <c r="E455" s="12"/>
      <c r="F455" s="12"/>
      <c r="G455" s="12"/>
      <c r="H455" s="12"/>
      <c r="I455" s="12"/>
      <c r="J455" s="12"/>
      <c r="K455" s="12"/>
      <c r="L455" s="12"/>
      <c r="M455" s="12"/>
      <c r="N455" s="12"/>
      <c r="O455" s="12"/>
      <c r="P455" s="12"/>
      <c r="Q455" s="12"/>
      <c r="R455" s="12"/>
      <c r="S455" s="12"/>
      <c r="T455" s="12"/>
      <c r="U455" s="12"/>
      <c r="W455" s="12"/>
      <c r="X455" s="12"/>
      <c r="Y455" s="12"/>
      <c r="Z455" s="12"/>
      <c r="AA455" s="12"/>
    </row>
    <row r="456" spans="1:27">
      <c r="A456" s="12"/>
      <c r="B456" s="12"/>
      <c r="C456" s="12"/>
      <c r="D456" s="12"/>
      <c r="E456" s="12"/>
      <c r="F456" s="12"/>
      <c r="G456" s="12"/>
      <c r="H456" s="12"/>
      <c r="I456" s="12"/>
      <c r="J456" s="12"/>
      <c r="K456" s="12"/>
      <c r="L456" s="12"/>
      <c r="M456" s="12"/>
      <c r="N456" s="12"/>
      <c r="O456" s="12"/>
      <c r="P456" s="12"/>
      <c r="Q456" s="12"/>
      <c r="R456" s="12"/>
      <c r="S456" s="12"/>
      <c r="T456" s="12"/>
      <c r="U456" s="12"/>
      <c r="W456" s="12"/>
      <c r="X456" s="12"/>
      <c r="Y456" s="12"/>
      <c r="Z456" s="12"/>
      <c r="AA456" s="12"/>
    </row>
    <row r="457" spans="1:27">
      <c r="A457" s="12"/>
      <c r="B457" s="12"/>
      <c r="C457" s="12"/>
      <c r="D457" s="12"/>
      <c r="E457" s="12"/>
      <c r="F457" s="12"/>
      <c r="G457" s="12"/>
      <c r="H457" s="12"/>
      <c r="I457" s="12"/>
      <c r="J457" s="12"/>
      <c r="K457" s="12"/>
      <c r="L457" s="12"/>
      <c r="M457" s="12"/>
      <c r="N457" s="12"/>
      <c r="O457" s="12"/>
      <c r="P457" s="12"/>
      <c r="Q457" s="12"/>
      <c r="R457" s="12"/>
      <c r="S457" s="12"/>
      <c r="T457" s="12"/>
      <c r="U457" s="12"/>
      <c r="W457" s="12"/>
      <c r="X457" s="12"/>
      <c r="Y457" s="12"/>
      <c r="Z457" s="12"/>
      <c r="AA457" s="12"/>
    </row>
    <row r="458" spans="1:27">
      <c r="A458" s="12"/>
      <c r="B458" s="12"/>
      <c r="C458" s="12"/>
      <c r="D458" s="12"/>
      <c r="E458" s="12"/>
      <c r="F458" s="12"/>
      <c r="G458" s="12"/>
      <c r="H458" s="12"/>
      <c r="I458" s="12"/>
      <c r="J458" s="12"/>
      <c r="K458" s="12"/>
      <c r="L458" s="12"/>
      <c r="M458" s="12"/>
      <c r="N458" s="12"/>
      <c r="O458" s="12"/>
      <c r="P458" s="12"/>
      <c r="Q458" s="12"/>
      <c r="R458" s="12"/>
      <c r="S458" s="12"/>
      <c r="T458" s="12"/>
      <c r="U458" s="12"/>
      <c r="W458" s="12"/>
      <c r="X458" s="12"/>
      <c r="Y458" s="12"/>
      <c r="Z458" s="12"/>
      <c r="AA458" s="12"/>
    </row>
    <row r="459" spans="1:27">
      <c r="A459" s="12"/>
      <c r="B459" s="12"/>
      <c r="C459" s="12"/>
      <c r="D459" s="12"/>
      <c r="E459" s="12"/>
      <c r="F459" s="12"/>
      <c r="G459" s="12"/>
      <c r="H459" s="12"/>
      <c r="I459" s="12"/>
      <c r="J459" s="12"/>
      <c r="K459" s="12"/>
      <c r="L459" s="12"/>
      <c r="M459" s="12"/>
      <c r="N459" s="12"/>
      <c r="O459" s="12"/>
      <c r="P459" s="12"/>
      <c r="Q459" s="12"/>
      <c r="R459" s="12"/>
      <c r="S459" s="12"/>
      <c r="T459" s="12"/>
      <c r="U459" s="12"/>
      <c r="W459" s="12"/>
      <c r="X459" s="12"/>
      <c r="Y459" s="12"/>
      <c r="Z459" s="12"/>
      <c r="AA459" s="12"/>
    </row>
    <row r="460" spans="1:27">
      <c r="A460" s="12"/>
      <c r="B460" s="12"/>
      <c r="C460" s="12"/>
      <c r="D460" s="12"/>
      <c r="E460" s="12"/>
      <c r="F460" s="12"/>
      <c r="G460" s="12"/>
      <c r="H460" s="12"/>
      <c r="I460" s="12"/>
      <c r="J460" s="12"/>
      <c r="K460" s="12"/>
      <c r="L460" s="12"/>
      <c r="M460" s="12"/>
      <c r="N460" s="12"/>
      <c r="O460" s="12"/>
      <c r="P460" s="12"/>
      <c r="Q460" s="12"/>
      <c r="R460" s="12"/>
      <c r="S460" s="12"/>
      <c r="T460" s="12"/>
      <c r="U460" s="12"/>
      <c r="W460" s="12"/>
      <c r="X460" s="12"/>
      <c r="Y460" s="12"/>
      <c r="Z460" s="12"/>
      <c r="AA460" s="12"/>
    </row>
    <row r="461" spans="1:27">
      <c r="A461" s="12"/>
      <c r="B461" s="12"/>
      <c r="C461" s="12"/>
      <c r="D461" s="12"/>
      <c r="E461" s="12"/>
      <c r="F461" s="12"/>
      <c r="G461" s="12"/>
      <c r="H461" s="12"/>
      <c r="I461" s="12"/>
      <c r="J461" s="12"/>
      <c r="K461" s="12"/>
      <c r="L461" s="12"/>
      <c r="M461" s="12"/>
      <c r="N461" s="12"/>
      <c r="O461" s="12"/>
      <c r="P461" s="12"/>
      <c r="Q461" s="12"/>
      <c r="R461" s="12"/>
      <c r="S461" s="12"/>
      <c r="T461" s="12"/>
      <c r="U461" s="12"/>
      <c r="W461" s="12"/>
      <c r="X461" s="12"/>
      <c r="Y461" s="12"/>
      <c r="Z461" s="12"/>
      <c r="AA461" s="12"/>
    </row>
    <row r="462" spans="1:27">
      <c r="A462" s="12"/>
      <c r="B462" s="12"/>
      <c r="C462" s="12"/>
      <c r="D462" s="12"/>
      <c r="E462" s="12"/>
      <c r="F462" s="12"/>
      <c r="G462" s="12"/>
      <c r="H462" s="12"/>
      <c r="I462" s="12"/>
      <c r="J462" s="12"/>
      <c r="K462" s="12"/>
      <c r="L462" s="12"/>
      <c r="M462" s="12"/>
      <c r="N462" s="12"/>
      <c r="O462" s="12"/>
      <c r="P462" s="12"/>
      <c r="Q462" s="12"/>
      <c r="R462" s="12"/>
      <c r="S462" s="12"/>
      <c r="T462" s="12"/>
      <c r="U462" s="12"/>
      <c r="W462" s="12"/>
      <c r="X462" s="12"/>
      <c r="Y462" s="12"/>
      <c r="Z462" s="12"/>
      <c r="AA462" s="12"/>
    </row>
    <row r="463" spans="1:27">
      <c r="A463" s="12"/>
      <c r="B463" s="12"/>
      <c r="C463" s="12"/>
      <c r="D463" s="12"/>
      <c r="E463" s="12"/>
      <c r="F463" s="12"/>
      <c r="G463" s="12"/>
      <c r="H463" s="12"/>
      <c r="I463" s="12"/>
      <c r="J463" s="12"/>
      <c r="K463" s="12"/>
      <c r="L463" s="12"/>
      <c r="M463" s="12"/>
      <c r="N463" s="12"/>
      <c r="O463" s="12"/>
      <c r="P463" s="12"/>
      <c r="Q463" s="12"/>
      <c r="R463" s="12"/>
      <c r="S463" s="12"/>
      <c r="T463" s="12"/>
      <c r="U463" s="12"/>
      <c r="W463" s="12"/>
      <c r="X463" s="12"/>
      <c r="Y463" s="12"/>
      <c r="Z463" s="12"/>
      <c r="AA463" s="12"/>
    </row>
    <row r="464" spans="1:27">
      <c r="A464" s="12"/>
      <c r="B464" s="12"/>
      <c r="C464" s="12"/>
      <c r="D464" s="12"/>
      <c r="E464" s="12"/>
      <c r="F464" s="12"/>
      <c r="G464" s="12"/>
      <c r="H464" s="12"/>
      <c r="I464" s="12"/>
      <c r="J464" s="12"/>
      <c r="K464" s="12"/>
      <c r="L464" s="12"/>
      <c r="M464" s="12"/>
      <c r="N464" s="12"/>
      <c r="O464" s="12"/>
      <c r="P464" s="12"/>
      <c r="Q464" s="12"/>
      <c r="R464" s="12"/>
      <c r="S464" s="12"/>
      <c r="T464" s="12"/>
      <c r="U464" s="12"/>
      <c r="W464" s="12"/>
      <c r="X464" s="12"/>
      <c r="Y464" s="12"/>
      <c r="Z464" s="12"/>
      <c r="AA464" s="12"/>
    </row>
    <row r="465" spans="1:27">
      <c r="A465" s="12"/>
      <c r="B465" s="12"/>
      <c r="C465" s="12"/>
      <c r="D465" s="12"/>
      <c r="E465" s="12"/>
      <c r="F465" s="12"/>
      <c r="G465" s="12"/>
      <c r="H465" s="12"/>
      <c r="I465" s="12"/>
      <c r="J465" s="12"/>
      <c r="K465" s="12"/>
      <c r="L465" s="12"/>
      <c r="M465" s="12"/>
      <c r="N465" s="12"/>
      <c r="O465" s="12"/>
      <c r="P465" s="12"/>
      <c r="Q465" s="12"/>
      <c r="R465" s="12"/>
      <c r="S465" s="12"/>
      <c r="T465" s="12"/>
      <c r="U465" s="12"/>
      <c r="W465" s="12"/>
      <c r="X465" s="12"/>
      <c r="Y465" s="12"/>
      <c r="Z465" s="12"/>
      <c r="AA465" s="12"/>
    </row>
    <row r="466" spans="1:27">
      <c r="A466" s="12"/>
      <c r="B466" s="12"/>
      <c r="C466" s="12"/>
      <c r="D466" s="12"/>
      <c r="E466" s="12"/>
      <c r="F466" s="12"/>
      <c r="G466" s="12"/>
      <c r="H466" s="12"/>
      <c r="I466" s="12"/>
      <c r="J466" s="12"/>
      <c r="K466" s="12"/>
      <c r="L466" s="12"/>
      <c r="M466" s="12"/>
      <c r="N466" s="12"/>
      <c r="O466" s="12"/>
      <c r="P466" s="12"/>
      <c r="Q466" s="12"/>
      <c r="R466" s="12"/>
      <c r="S466" s="12"/>
      <c r="T466" s="12"/>
      <c r="U466" s="12"/>
      <c r="W466" s="12"/>
      <c r="X466" s="12"/>
      <c r="Y466" s="12"/>
      <c r="Z466" s="12"/>
      <c r="AA466" s="12"/>
    </row>
    <row r="467" spans="1:27">
      <c r="A467" s="12"/>
      <c r="B467" s="12"/>
      <c r="C467" s="12"/>
      <c r="D467" s="12"/>
      <c r="E467" s="12"/>
      <c r="F467" s="12"/>
      <c r="G467" s="12"/>
      <c r="H467" s="12"/>
      <c r="I467" s="12"/>
      <c r="J467" s="12"/>
      <c r="K467" s="12"/>
      <c r="L467" s="12"/>
      <c r="M467" s="12"/>
      <c r="N467" s="12"/>
      <c r="O467" s="12"/>
      <c r="P467" s="12"/>
      <c r="Q467" s="12"/>
      <c r="R467" s="12"/>
      <c r="S467" s="12"/>
      <c r="T467" s="12"/>
      <c r="U467" s="12"/>
      <c r="W467" s="12"/>
      <c r="X467" s="12"/>
      <c r="Y467" s="12"/>
      <c r="Z467" s="12"/>
      <c r="AA467" s="12"/>
    </row>
    <row r="468" spans="1:27">
      <c r="A468" s="12"/>
      <c r="B468" s="12"/>
      <c r="C468" s="12"/>
      <c r="D468" s="12"/>
      <c r="E468" s="12"/>
      <c r="F468" s="12"/>
      <c r="G468" s="12"/>
      <c r="H468" s="12"/>
      <c r="I468" s="12"/>
      <c r="J468" s="12"/>
      <c r="K468" s="12"/>
      <c r="L468" s="12"/>
      <c r="M468" s="12"/>
      <c r="N468" s="12"/>
      <c r="O468" s="12"/>
      <c r="P468" s="12"/>
      <c r="Q468" s="12"/>
      <c r="R468" s="12"/>
      <c r="S468" s="12"/>
      <c r="T468" s="12"/>
      <c r="U468" s="12"/>
      <c r="W468" s="12"/>
      <c r="X468" s="12"/>
      <c r="Y468" s="12"/>
      <c r="Z468" s="12"/>
      <c r="AA468" s="12"/>
    </row>
    <row r="469" spans="1:27">
      <c r="A469" s="12"/>
      <c r="B469" s="12"/>
      <c r="C469" s="12"/>
      <c r="D469" s="12"/>
      <c r="E469" s="12"/>
      <c r="F469" s="12"/>
      <c r="G469" s="12"/>
      <c r="H469" s="12"/>
      <c r="I469" s="12"/>
      <c r="J469" s="12"/>
      <c r="K469" s="12"/>
      <c r="L469" s="12"/>
      <c r="M469" s="12"/>
      <c r="N469" s="12"/>
      <c r="O469" s="12"/>
      <c r="P469" s="12"/>
      <c r="Q469" s="12"/>
      <c r="R469" s="12"/>
      <c r="S469" s="12"/>
      <c r="T469" s="12"/>
      <c r="U469" s="12"/>
      <c r="W469" s="12"/>
      <c r="X469" s="12"/>
      <c r="Y469" s="12"/>
      <c r="Z469" s="12"/>
      <c r="AA469" s="12"/>
    </row>
    <row r="470" spans="1:27">
      <c r="A470" s="12"/>
      <c r="B470" s="12"/>
      <c r="C470" s="12"/>
      <c r="D470" s="12"/>
      <c r="E470" s="12"/>
      <c r="F470" s="12"/>
      <c r="G470" s="12"/>
      <c r="H470" s="12"/>
      <c r="I470" s="12"/>
      <c r="J470" s="12"/>
      <c r="K470" s="12"/>
      <c r="L470" s="12"/>
      <c r="M470" s="12"/>
      <c r="N470" s="12"/>
      <c r="O470" s="12"/>
      <c r="P470" s="12"/>
      <c r="Q470" s="12"/>
      <c r="R470" s="12"/>
      <c r="S470" s="12"/>
      <c r="T470" s="12"/>
      <c r="U470" s="12"/>
      <c r="W470" s="12"/>
      <c r="X470" s="12"/>
      <c r="Y470" s="12"/>
      <c r="Z470" s="12"/>
      <c r="AA470" s="12"/>
    </row>
    <row r="471" spans="1:27">
      <c r="A471" s="12"/>
      <c r="B471" s="12"/>
      <c r="C471" s="12"/>
      <c r="D471" s="12"/>
      <c r="E471" s="12"/>
      <c r="F471" s="12"/>
      <c r="G471" s="12"/>
      <c r="H471" s="12"/>
      <c r="I471" s="12"/>
      <c r="J471" s="12"/>
      <c r="K471" s="12"/>
      <c r="L471" s="12"/>
      <c r="M471" s="12"/>
      <c r="N471" s="12"/>
      <c r="O471" s="12"/>
      <c r="P471" s="12"/>
      <c r="Q471" s="12"/>
      <c r="R471" s="12"/>
      <c r="S471" s="12"/>
      <c r="T471" s="12"/>
      <c r="U471" s="12"/>
      <c r="W471" s="12"/>
      <c r="X471" s="12"/>
      <c r="Y471" s="12"/>
      <c r="Z471" s="12"/>
      <c r="AA471" s="12"/>
    </row>
    <row r="472" spans="1:27">
      <c r="A472" s="12"/>
      <c r="B472" s="12"/>
      <c r="C472" s="12"/>
      <c r="D472" s="12"/>
      <c r="E472" s="12"/>
      <c r="F472" s="12"/>
      <c r="G472" s="12"/>
      <c r="H472" s="12"/>
      <c r="I472" s="12"/>
      <c r="J472" s="12"/>
      <c r="K472" s="12"/>
      <c r="L472" s="12"/>
      <c r="M472" s="12"/>
      <c r="N472" s="12"/>
      <c r="O472" s="12"/>
      <c r="P472" s="12"/>
      <c r="Q472" s="12"/>
      <c r="R472" s="12"/>
      <c r="S472" s="12"/>
      <c r="T472" s="12"/>
      <c r="U472" s="12"/>
      <c r="W472" s="12"/>
      <c r="X472" s="12"/>
      <c r="Y472" s="12"/>
      <c r="Z472" s="12"/>
      <c r="AA472" s="12"/>
    </row>
    <row r="473" spans="1:27">
      <c r="A473" s="12"/>
      <c r="B473" s="12"/>
      <c r="C473" s="12"/>
      <c r="D473" s="12"/>
      <c r="E473" s="12"/>
      <c r="F473" s="12"/>
      <c r="G473" s="12"/>
      <c r="H473" s="12"/>
      <c r="I473" s="12"/>
      <c r="J473" s="12"/>
      <c r="K473" s="12"/>
      <c r="L473" s="12"/>
      <c r="M473" s="12"/>
      <c r="N473" s="12"/>
      <c r="O473" s="12"/>
      <c r="P473" s="12"/>
      <c r="Q473" s="12"/>
      <c r="R473" s="12"/>
      <c r="S473" s="12"/>
      <c r="T473" s="12"/>
      <c r="U473" s="12"/>
      <c r="W473" s="12"/>
      <c r="X473" s="12"/>
      <c r="Y473" s="12"/>
      <c r="Z473" s="12"/>
      <c r="AA473" s="12"/>
    </row>
    <row r="474" spans="1:27">
      <c r="A474" s="12"/>
      <c r="B474" s="12"/>
      <c r="C474" s="12"/>
      <c r="D474" s="12"/>
      <c r="E474" s="12"/>
      <c r="F474" s="12"/>
      <c r="G474" s="12"/>
      <c r="H474" s="12"/>
      <c r="I474" s="12"/>
      <c r="J474" s="12"/>
      <c r="K474" s="12"/>
      <c r="L474" s="12"/>
      <c r="M474" s="12"/>
      <c r="N474" s="12"/>
      <c r="O474" s="12"/>
      <c r="P474" s="12"/>
      <c r="Q474" s="12"/>
      <c r="R474" s="12"/>
      <c r="S474" s="12"/>
      <c r="T474" s="12"/>
      <c r="U474" s="12"/>
      <c r="W474" s="12"/>
      <c r="X474" s="12"/>
      <c r="Y474" s="12"/>
      <c r="Z474" s="12"/>
      <c r="AA474" s="12"/>
    </row>
    <row r="475" spans="1:27">
      <c r="A475" s="12"/>
      <c r="B475" s="12"/>
      <c r="C475" s="12"/>
      <c r="D475" s="12"/>
      <c r="E475" s="12"/>
      <c r="F475" s="12"/>
      <c r="G475" s="12"/>
      <c r="H475" s="12"/>
      <c r="I475" s="12"/>
      <c r="J475" s="12"/>
      <c r="K475" s="12"/>
      <c r="L475" s="12"/>
      <c r="M475" s="12"/>
      <c r="N475" s="12"/>
      <c r="O475" s="12"/>
      <c r="P475" s="12"/>
      <c r="Q475" s="12"/>
      <c r="R475" s="12"/>
      <c r="S475" s="12"/>
      <c r="T475" s="12"/>
      <c r="U475" s="12"/>
      <c r="W475" s="12"/>
      <c r="X475" s="12"/>
      <c r="Y475" s="12"/>
      <c r="Z475" s="12"/>
      <c r="AA475" s="12"/>
    </row>
    <row r="476" spans="1:27">
      <c r="A476" s="12"/>
      <c r="B476" s="12"/>
      <c r="C476" s="12"/>
      <c r="D476" s="12"/>
      <c r="E476" s="12"/>
      <c r="F476" s="12"/>
      <c r="G476" s="12"/>
      <c r="H476" s="12"/>
      <c r="I476" s="12"/>
      <c r="J476" s="12"/>
      <c r="K476" s="12"/>
      <c r="L476" s="12"/>
      <c r="M476" s="12"/>
      <c r="N476" s="12"/>
      <c r="O476" s="12"/>
      <c r="P476" s="12"/>
      <c r="Q476" s="12"/>
      <c r="R476" s="12"/>
      <c r="S476" s="12"/>
      <c r="T476" s="12"/>
      <c r="U476" s="12"/>
      <c r="W476" s="12"/>
      <c r="X476" s="12"/>
      <c r="Y476" s="12"/>
      <c r="Z476" s="12"/>
      <c r="AA476" s="12"/>
    </row>
    <row r="477" spans="1:27">
      <c r="A477" s="12"/>
      <c r="B477" s="12"/>
      <c r="C477" s="12"/>
      <c r="D477" s="12"/>
      <c r="E477" s="12"/>
      <c r="F477" s="12"/>
      <c r="G477" s="12"/>
      <c r="H477" s="12"/>
      <c r="I477" s="12"/>
      <c r="J477" s="12"/>
      <c r="K477" s="12"/>
      <c r="L477" s="12"/>
      <c r="M477" s="12"/>
      <c r="N477" s="12"/>
      <c r="O477" s="12"/>
      <c r="P477" s="12"/>
      <c r="Q477" s="12"/>
      <c r="R477" s="12"/>
      <c r="S477" s="12"/>
      <c r="T477" s="12"/>
      <c r="U477" s="12"/>
      <c r="W477" s="12"/>
      <c r="X477" s="12"/>
      <c r="Y477" s="12"/>
      <c r="Z477" s="12"/>
      <c r="AA477" s="12"/>
    </row>
    <row r="478" spans="1:27">
      <c r="A478" s="12"/>
      <c r="B478" s="12"/>
      <c r="C478" s="12"/>
      <c r="D478" s="12"/>
      <c r="E478" s="12"/>
      <c r="F478" s="12"/>
      <c r="G478" s="12"/>
      <c r="H478" s="12"/>
      <c r="I478" s="12"/>
      <c r="J478" s="12"/>
      <c r="K478" s="12"/>
      <c r="L478" s="12"/>
      <c r="M478" s="12"/>
      <c r="N478" s="12"/>
      <c r="O478" s="12"/>
      <c r="P478" s="12"/>
      <c r="Q478" s="12"/>
      <c r="R478" s="12"/>
      <c r="S478" s="12"/>
      <c r="T478" s="12"/>
      <c r="U478" s="12"/>
      <c r="W478" s="12"/>
      <c r="X478" s="12"/>
      <c r="Y478" s="12"/>
      <c r="Z478" s="12"/>
      <c r="AA478" s="12"/>
    </row>
    <row r="479" spans="1:27">
      <c r="A479" s="12"/>
      <c r="B479" s="12"/>
      <c r="C479" s="12"/>
      <c r="D479" s="12"/>
      <c r="E479" s="12"/>
      <c r="F479" s="12"/>
      <c r="G479" s="12"/>
      <c r="H479" s="12"/>
      <c r="I479" s="12"/>
      <c r="J479" s="12"/>
      <c r="K479" s="12"/>
      <c r="L479" s="12"/>
      <c r="M479" s="12"/>
      <c r="N479" s="12"/>
      <c r="O479" s="12"/>
      <c r="P479" s="12"/>
      <c r="Q479" s="12"/>
      <c r="R479" s="12"/>
      <c r="S479" s="12"/>
      <c r="T479" s="12"/>
      <c r="U479" s="12"/>
      <c r="W479" s="12"/>
      <c r="X479" s="12"/>
      <c r="Y479" s="12"/>
      <c r="Z479" s="12"/>
      <c r="AA479" s="12"/>
    </row>
    <row r="480" spans="1:27">
      <c r="A480" s="12"/>
      <c r="B480" s="12"/>
      <c r="C480" s="12"/>
      <c r="D480" s="12"/>
      <c r="E480" s="12"/>
      <c r="F480" s="12"/>
      <c r="G480" s="12"/>
      <c r="H480" s="12"/>
      <c r="I480" s="12"/>
      <c r="J480" s="12"/>
      <c r="K480" s="12"/>
      <c r="L480" s="12"/>
      <c r="M480" s="12"/>
      <c r="N480" s="12"/>
      <c r="O480" s="12"/>
      <c r="P480" s="12"/>
      <c r="Q480" s="12"/>
      <c r="R480" s="12"/>
      <c r="S480" s="12"/>
      <c r="T480" s="12"/>
      <c r="U480" s="12"/>
      <c r="W480" s="12"/>
      <c r="X480" s="12"/>
      <c r="Y480" s="12"/>
      <c r="Z480" s="12"/>
      <c r="AA480" s="12"/>
    </row>
    <row r="481" spans="1:27">
      <c r="A481" s="12"/>
      <c r="B481" s="12"/>
      <c r="C481" s="12"/>
      <c r="D481" s="12"/>
      <c r="E481" s="12"/>
      <c r="F481" s="12"/>
      <c r="G481" s="12"/>
      <c r="H481" s="12"/>
      <c r="I481" s="12"/>
      <c r="J481" s="12"/>
      <c r="K481" s="12"/>
      <c r="L481" s="12"/>
      <c r="M481" s="12"/>
      <c r="N481" s="12"/>
      <c r="O481" s="12"/>
      <c r="P481" s="12"/>
      <c r="Q481" s="12"/>
      <c r="R481" s="12"/>
      <c r="S481" s="12"/>
      <c r="T481" s="12"/>
      <c r="U481" s="12"/>
      <c r="W481" s="12"/>
      <c r="X481" s="12"/>
      <c r="Y481" s="12"/>
      <c r="Z481" s="12"/>
      <c r="AA481" s="12"/>
    </row>
    <row r="482" spans="1:27">
      <c r="A482" s="12"/>
      <c r="B482" s="12"/>
      <c r="C482" s="12"/>
      <c r="D482" s="12"/>
      <c r="E482" s="12"/>
      <c r="F482" s="12"/>
      <c r="G482" s="12"/>
      <c r="H482" s="12"/>
      <c r="I482" s="12"/>
      <c r="J482" s="12"/>
      <c r="K482" s="12"/>
      <c r="L482" s="12"/>
      <c r="M482" s="12"/>
      <c r="N482" s="12"/>
      <c r="O482" s="12"/>
      <c r="P482" s="12"/>
      <c r="Q482" s="12"/>
      <c r="R482" s="12"/>
      <c r="S482" s="12"/>
      <c r="T482" s="12"/>
      <c r="U482" s="12"/>
      <c r="W482" s="12"/>
      <c r="X482" s="12"/>
      <c r="Y482" s="12"/>
      <c r="Z482" s="12"/>
      <c r="AA482" s="12"/>
    </row>
    <row r="483" spans="1:27">
      <c r="A483" s="12"/>
      <c r="B483" s="12"/>
      <c r="C483" s="12"/>
      <c r="D483" s="12"/>
      <c r="E483" s="12"/>
      <c r="F483" s="12"/>
      <c r="G483" s="12"/>
      <c r="H483" s="12"/>
      <c r="I483" s="12"/>
      <c r="J483" s="12"/>
      <c r="K483" s="12"/>
      <c r="L483" s="12"/>
      <c r="M483" s="12"/>
      <c r="N483" s="12"/>
      <c r="O483" s="12"/>
      <c r="P483" s="12"/>
      <c r="Q483" s="12"/>
      <c r="R483" s="12"/>
      <c r="S483" s="12"/>
      <c r="T483" s="12"/>
      <c r="U483" s="12"/>
      <c r="W483" s="12"/>
      <c r="X483" s="12"/>
      <c r="Y483" s="12"/>
      <c r="Z483" s="12"/>
      <c r="AA483" s="12"/>
    </row>
    <row r="484" spans="1:27">
      <c r="A484" s="12"/>
      <c r="B484" s="12"/>
      <c r="C484" s="12"/>
      <c r="D484" s="12"/>
      <c r="E484" s="12"/>
      <c r="F484" s="12"/>
      <c r="G484" s="12"/>
      <c r="H484" s="12"/>
      <c r="I484" s="12"/>
      <c r="J484" s="12"/>
      <c r="K484" s="12"/>
      <c r="L484" s="12"/>
      <c r="M484" s="12"/>
      <c r="N484" s="12"/>
      <c r="O484" s="12"/>
      <c r="P484" s="12"/>
      <c r="Q484" s="12"/>
      <c r="R484" s="12"/>
      <c r="S484" s="12"/>
      <c r="T484" s="12"/>
      <c r="U484" s="12"/>
      <c r="W484" s="12"/>
      <c r="X484" s="12"/>
      <c r="Y484" s="12"/>
      <c r="Z484" s="12"/>
      <c r="AA484" s="12"/>
    </row>
    <row r="485" spans="1:27">
      <c r="A485" s="12"/>
      <c r="B485" s="12"/>
      <c r="C485" s="12"/>
      <c r="D485" s="12"/>
      <c r="E485" s="12"/>
      <c r="F485" s="12"/>
      <c r="G485" s="12"/>
      <c r="H485" s="12"/>
      <c r="I485" s="12"/>
      <c r="J485" s="12"/>
      <c r="K485" s="12"/>
      <c r="L485" s="12"/>
      <c r="M485" s="12"/>
      <c r="N485" s="12"/>
      <c r="O485" s="12"/>
      <c r="P485" s="12"/>
      <c r="Q485" s="12"/>
      <c r="R485" s="12"/>
      <c r="S485" s="12"/>
      <c r="T485" s="12"/>
      <c r="U485" s="12"/>
      <c r="W485" s="12"/>
      <c r="X485" s="12"/>
      <c r="Y485" s="12"/>
      <c r="Z485" s="12"/>
      <c r="AA485" s="12"/>
    </row>
    <row r="486" spans="1:27">
      <c r="A486" s="12"/>
      <c r="B486" s="12"/>
      <c r="C486" s="12"/>
      <c r="D486" s="12"/>
      <c r="E486" s="12"/>
      <c r="F486" s="12"/>
      <c r="G486" s="12"/>
      <c r="H486" s="12"/>
      <c r="I486" s="12"/>
      <c r="J486" s="12"/>
      <c r="K486" s="12"/>
      <c r="L486" s="12"/>
      <c r="M486" s="12"/>
      <c r="N486" s="12"/>
      <c r="O486" s="12"/>
      <c r="P486" s="12"/>
      <c r="Q486" s="12"/>
      <c r="R486" s="12"/>
      <c r="S486" s="12"/>
      <c r="T486" s="12"/>
      <c r="U486" s="12"/>
      <c r="W486" s="12"/>
      <c r="X486" s="12"/>
      <c r="Y486" s="12"/>
      <c r="Z486" s="12"/>
      <c r="AA486" s="12"/>
    </row>
    <row r="487" spans="1:27">
      <c r="A487" s="12"/>
      <c r="B487" s="12"/>
      <c r="C487" s="12"/>
      <c r="D487" s="12"/>
      <c r="E487" s="12"/>
      <c r="F487" s="12"/>
      <c r="G487" s="12"/>
      <c r="H487" s="12"/>
      <c r="I487" s="12"/>
      <c r="J487" s="12"/>
      <c r="K487" s="12"/>
      <c r="L487" s="12"/>
      <c r="M487" s="12"/>
      <c r="N487" s="12"/>
      <c r="O487" s="12"/>
      <c r="P487" s="12"/>
      <c r="Q487" s="12"/>
      <c r="R487" s="12"/>
      <c r="S487" s="12"/>
      <c r="T487" s="12"/>
      <c r="U487" s="12"/>
      <c r="W487" s="12"/>
      <c r="X487" s="12"/>
      <c r="Y487" s="12"/>
      <c r="Z487" s="12"/>
      <c r="AA487" s="12"/>
    </row>
    <row r="488" spans="1:27">
      <c r="A488" s="12"/>
      <c r="B488" s="12"/>
      <c r="C488" s="12"/>
      <c r="D488" s="12"/>
      <c r="E488" s="12"/>
      <c r="F488" s="12"/>
      <c r="G488" s="12"/>
      <c r="H488" s="12"/>
      <c r="I488" s="12"/>
      <c r="J488" s="12"/>
      <c r="K488" s="12"/>
      <c r="L488" s="12"/>
      <c r="M488" s="12"/>
      <c r="N488" s="12"/>
      <c r="O488" s="12"/>
      <c r="P488" s="12"/>
      <c r="Q488" s="12"/>
      <c r="R488" s="12"/>
      <c r="S488" s="12"/>
      <c r="T488" s="12"/>
      <c r="U488" s="12"/>
      <c r="W488" s="12"/>
      <c r="X488" s="12"/>
      <c r="Y488" s="12"/>
      <c r="Z488" s="12"/>
      <c r="AA488" s="12"/>
    </row>
    <row r="489" spans="1:27">
      <c r="A489" s="12"/>
      <c r="B489" s="12"/>
      <c r="C489" s="12"/>
      <c r="D489" s="12"/>
      <c r="E489" s="12"/>
      <c r="F489" s="12"/>
      <c r="G489" s="12"/>
      <c r="H489" s="12"/>
      <c r="I489" s="12"/>
      <c r="J489" s="12"/>
      <c r="K489" s="12"/>
      <c r="L489" s="12"/>
      <c r="M489" s="12"/>
      <c r="N489" s="12"/>
      <c r="O489" s="12"/>
      <c r="P489" s="12"/>
      <c r="Q489" s="12"/>
      <c r="R489" s="12"/>
      <c r="S489" s="12"/>
      <c r="T489" s="12"/>
      <c r="U489" s="12"/>
      <c r="W489" s="12"/>
      <c r="X489" s="12"/>
      <c r="Y489" s="12"/>
      <c r="Z489" s="12"/>
      <c r="AA489" s="12"/>
    </row>
    <row r="490" spans="1:27">
      <c r="A490" s="12"/>
      <c r="B490" s="12"/>
      <c r="C490" s="12"/>
      <c r="D490" s="12"/>
      <c r="E490" s="12"/>
      <c r="F490" s="12"/>
      <c r="G490" s="12"/>
      <c r="H490" s="12"/>
      <c r="I490" s="12"/>
      <c r="J490" s="12"/>
      <c r="K490" s="12"/>
      <c r="L490" s="12"/>
      <c r="M490" s="12"/>
      <c r="N490" s="12"/>
      <c r="O490" s="12"/>
      <c r="P490" s="12"/>
      <c r="Q490" s="12"/>
      <c r="R490" s="12"/>
      <c r="S490" s="12"/>
      <c r="T490" s="12"/>
      <c r="U490" s="12"/>
      <c r="W490" s="12"/>
      <c r="X490" s="12"/>
      <c r="Y490" s="12"/>
      <c r="Z490" s="12"/>
      <c r="AA490" s="12"/>
    </row>
    <row r="491" spans="1:27">
      <c r="A491" s="12"/>
      <c r="B491" s="12"/>
      <c r="C491" s="12"/>
      <c r="D491" s="12"/>
      <c r="E491" s="12"/>
      <c r="F491" s="12"/>
      <c r="G491" s="12"/>
      <c r="H491" s="12"/>
      <c r="I491" s="12"/>
      <c r="J491" s="12"/>
      <c r="K491" s="12"/>
      <c r="L491" s="12"/>
      <c r="M491" s="12"/>
      <c r="N491" s="12"/>
      <c r="O491" s="12"/>
      <c r="P491" s="12"/>
      <c r="Q491" s="12"/>
      <c r="R491" s="12"/>
      <c r="S491" s="12"/>
      <c r="T491" s="12"/>
      <c r="U491" s="12"/>
      <c r="W491" s="12"/>
      <c r="X491" s="12"/>
      <c r="Y491" s="12"/>
      <c r="Z491" s="12"/>
      <c r="AA491" s="12"/>
    </row>
    <row r="492" spans="1:27">
      <c r="A492" s="12"/>
      <c r="B492" s="12"/>
      <c r="C492" s="12"/>
      <c r="D492" s="12"/>
      <c r="E492" s="12"/>
      <c r="F492" s="12"/>
      <c r="G492" s="12"/>
      <c r="H492" s="12"/>
      <c r="I492" s="12"/>
      <c r="J492" s="12"/>
      <c r="K492" s="12"/>
      <c r="L492" s="12"/>
      <c r="M492" s="12"/>
      <c r="N492" s="12"/>
      <c r="O492" s="12"/>
      <c r="P492" s="12"/>
      <c r="Q492" s="12"/>
      <c r="R492" s="12"/>
      <c r="S492" s="12"/>
      <c r="T492" s="12"/>
      <c r="U492" s="12"/>
      <c r="W492" s="12"/>
      <c r="X492" s="12"/>
      <c r="Y492" s="12"/>
      <c r="Z492" s="12"/>
      <c r="AA492" s="12"/>
    </row>
    <row r="493" spans="1:27">
      <c r="A493" s="12"/>
      <c r="B493" s="12"/>
      <c r="C493" s="12"/>
      <c r="D493" s="12"/>
      <c r="E493" s="12"/>
      <c r="F493" s="12"/>
      <c r="G493" s="12"/>
      <c r="H493" s="12"/>
      <c r="I493" s="12"/>
      <c r="J493" s="12"/>
      <c r="K493" s="12"/>
      <c r="L493" s="12"/>
      <c r="M493" s="12"/>
      <c r="N493" s="12"/>
      <c r="O493" s="12"/>
      <c r="P493" s="12"/>
      <c r="Q493" s="12"/>
      <c r="R493" s="12"/>
      <c r="S493" s="12"/>
      <c r="T493" s="12"/>
      <c r="U493" s="12"/>
      <c r="W493" s="12"/>
      <c r="X493" s="12"/>
      <c r="Y493" s="12"/>
      <c r="Z493" s="12"/>
      <c r="AA493" s="12"/>
    </row>
    <row r="494" spans="1:27">
      <c r="A494" s="12"/>
      <c r="B494" s="12"/>
      <c r="C494" s="12"/>
      <c r="D494" s="12"/>
      <c r="E494" s="12"/>
      <c r="F494" s="12"/>
      <c r="G494" s="12"/>
      <c r="H494" s="12"/>
      <c r="I494" s="12"/>
      <c r="J494" s="12"/>
      <c r="K494" s="12"/>
      <c r="L494" s="12"/>
      <c r="M494" s="12"/>
      <c r="N494" s="12"/>
      <c r="O494" s="12"/>
      <c r="P494" s="12"/>
      <c r="Q494" s="12"/>
      <c r="R494" s="12"/>
      <c r="S494" s="12"/>
      <c r="T494" s="12"/>
      <c r="U494" s="12"/>
      <c r="W494" s="12"/>
      <c r="X494" s="12"/>
      <c r="Y494" s="12"/>
      <c r="Z494" s="12"/>
      <c r="AA494" s="12"/>
    </row>
    <row r="495" spans="1:27">
      <c r="A495" s="12"/>
      <c r="B495" s="12"/>
      <c r="C495" s="12"/>
      <c r="D495" s="12"/>
      <c r="E495" s="12"/>
      <c r="F495" s="12"/>
      <c r="G495" s="12"/>
      <c r="H495" s="12"/>
      <c r="I495" s="12"/>
      <c r="J495" s="12"/>
      <c r="K495" s="12"/>
      <c r="L495" s="12"/>
      <c r="M495" s="12"/>
      <c r="N495" s="12"/>
      <c r="O495" s="12"/>
      <c r="P495" s="12"/>
      <c r="Q495" s="12"/>
      <c r="R495" s="12"/>
      <c r="S495" s="12"/>
      <c r="T495" s="12"/>
      <c r="U495" s="12"/>
      <c r="W495" s="12"/>
      <c r="X495" s="12"/>
      <c r="Y495" s="12"/>
      <c r="Z495" s="12"/>
      <c r="AA495" s="12"/>
    </row>
    <row r="496" spans="1:27">
      <c r="A496" s="12"/>
      <c r="B496" s="12"/>
      <c r="C496" s="12"/>
      <c r="D496" s="12"/>
      <c r="E496" s="12"/>
      <c r="F496" s="12"/>
      <c r="G496" s="12"/>
      <c r="H496" s="12"/>
      <c r="I496" s="12"/>
      <c r="J496" s="12"/>
      <c r="K496" s="12"/>
      <c r="L496" s="12"/>
      <c r="M496" s="12"/>
      <c r="N496" s="12"/>
      <c r="O496" s="12"/>
      <c r="P496" s="12"/>
      <c r="Q496" s="12"/>
      <c r="R496" s="12"/>
      <c r="S496" s="12"/>
      <c r="T496" s="12"/>
      <c r="U496" s="12"/>
      <c r="W496" s="12"/>
      <c r="X496" s="12"/>
      <c r="Y496" s="12"/>
      <c r="Z496" s="12"/>
      <c r="AA496" s="12"/>
    </row>
    <row r="497" spans="1:27">
      <c r="A497" s="12"/>
      <c r="B497" s="12"/>
      <c r="C497" s="12"/>
      <c r="D497" s="12"/>
      <c r="E497" s="12"/>
      <c r="F497" s="12"/>
      <c r="G497" s="12"/>
      <c r="H497" s="12"/>
      <c r="I497" s="12"/>
      <c r="J497" s="12"/>
      <c r="K497" s="12"/>
      <c r="L497" s="12"/>
      <c r="M497" s="12"/>
      <c r="N497" s="12"/>
      <c r="O497" s="12"/>
      <c r="P497" s="12"/>
      <c r="Q497" s="12"/>
      <c r="R497" s="12"/>
      <c r="S497" s="12"/>
      <c r="T497" s="12"/>
      <c r="U497" s="12"/>
      <c r="W497" s="12"/>
      <c r="X497" s="12"/>
      <c r="Y497" s="12"/>
      <c r="Z497" s="12"/>
      <c r="AA497" s="12"/>
    </row>
    <row r="498" spans="1:27">
      <c r="A498" s="12"/>
      <c r="B498" s="12"/>
      <c r="C498" s="12"/>
      <c r="D498" s="12"/>
      <c r="E498" s="12"/>
      <c r="F498" s="12"/>
      <c r="G498" s="12"/>
      <c r="H498" s="12"/>
      <c r="I498" s="12"/>
      <c r="J498" s="12"/>
      <c r="K498" s="12"/>
      <c r="L498" s="12"/>
      <c r="M498" s="12"/>
      <c r="N498" s="12"/>
      <c r="O498" s="12"/>
      <c r="P498" s="12"/>
      <c r="Q498" s="12"/>
      <c r="R498" s="12"/>
      <c r="S498" s="12"/>
      <c r="T498" s="12"/>
      <c r="U498" s="12"/>
      <c r="W498" s="12"/>
      <c r="X498" s="12"/>
      <c r="Y498" s="12"/>
      <c r="Z498" s="12"/>
      <c r="AA498" s="12"/>
    </row>
    <row r="499" spans="1:27">
      <c r="A499" s="12"/>
      <c r="B499" s="12"/>
      <c r="C499" s="12"/>
      <c r="D499" s="12"/>
      <c r="E499" s="12"/>
      <c r="F499" s="12"/>
      <c r="G499" s="12"/>
      <c r="H499" s="12"/>
      <c r="I499" s="12"/>
      <c r="J499" s="12"/>
      <c r="K499" s="12"/>
      <c r="L499" s="12"/>
      <c r="M499" s="12"/>
      <c r="N499" s="12"/>
      <c r="O499" s="12"/>
      <c r="P499" s="12"/>
      <c r="Q499" s="12"/>
      <c r="R499" s="12"/>
      <c r="S499" s="12"/>
      <c r="T499" s="12"/>
      <c r="U499" s="12"/>
      <c r="W499" s="12"/>
      <c r="X499" s="12"/>
      <c r="Y499" s="12"/>
      <c r="Z499" s="12"/>
      <c r="AA499" s="12"/>
    </row>
    <row r="500" spans="1:27">
      <c r="A500" s="12"/>
      <c r="B500" s="12"/>
      <c r="C500" s="12"/>
      <c r="D500" s="12"/>
      <c r="E500" s="12"/>
      <c r="F500" s="12"/>
      <c r="G500" s="12"/>
      <c r="H500" s="12"/>
      <c r="I500" s="12"/>
      <c r="J500" s="12"/>
      <c r="K500" s="12"/>
      <c r="L500" s="12"/>
      <c r="M500" s="12"/>
      <c r="N500" s="12"/>
      <c r="O500" s="12"/>
      <c r="P500" s="12"/>
      <c r="Q500" s="12"/>
      <c r="R500" s="12"/>
      <c r="S500" s="12"/>
      <c r="T500" s="12"/>
      <c r="U500" s="12"/>
      <c r="W500" s="12"/>
      <c r="X500" s="12"/>
      <c r="Y500" s="12"/>
      <c r="Z500" s="12"/>
      <c r="AA500" s="12"/>
    </row>
    <row r="501" spans="1:27">
      <c r="A501" s="12"/>
      <c r="B501" s="12"/>
      <c r="C501" s="12"/>
      <c r="D501" s="12"/>
      <c r="E501" s="12"/>
      <c r="F501" s="12"/>
      <c r="G501" s="12"/>
      <c r="H501" s="12"/>
      <c r="I501" s="12"/>
      <c r="J501" s="12"/>
      <c r="K501" s="12"/>
      <c r="L501" s="12"/>
      <c r="M501" s="12"/>
      <c r="N501" s="12"/>
      <c r="O501" s="12"/>
      <c r="P501" s="12"/>
      <c r="Q501" s="12"/>
      <c r="R501" s="12"/>
      <c r="S501" s="12"/>
      <c r="T501" s="12"/>
      <c r="U501" s="12"/>
      <c r="W501" s="12"/>
      <c r="X501" s="12"/>
      <c r="Y501" s="12"/>
      <c r="Z501" s="12"/>
      <c r="AA501" s="12"/>
    </row>
    <row r="502" spans="1:27">
      <c r="A502" s="12"/>
      <c r="B502" s="12"/>
      <c r="C502" s="12"/>
      <c r="D502" s="12"/>
      <c r="E502" s="12"/>
      <c r="F502" s="12"/>
      <c r="G502" s="12"/>
      <c r="H502" s="12"/>
      <c r="I502" s="12"/>
      <c r="J502" s="12"/>
      <c r="K502" s="12"/>
      <c r="L502" s="12"/>
      <c r="M502" s="12"/>
      <c r="N502" s="12"/>
      <c r="O502" s="12"/>
      <c r="P502" s="12"/>
      <c r="Q502" s="12"/>
      <c r="R502" s="12"/>
      <c r="S502" s="12"/>
      <c r="T502" s="12"/>
      <c r="U502" s="12"/>
      <c r="W502" s="12"/>
      <c r="X502" s="12"/>
      <c r="Y502" s="12"/>
      <c r="Z502" s="12"/>
      <c r="AA502" s="12"/>
    </row>
    <row r="503" spans="1:27">
      <c r="A503" s="12"/>
      <c r="B503" s="12"/>
      <c r="C503" s="12"/>
      <c r="D503" s="12"/>
      <c r="E503" s="12"/>
      <c r="F503" s="12"/>
      <c r="G503" s="12"/>
      <c r="H503" s="12"/>
      <c r="I503" s="12"/>
      <c r="J503" s="12"/>
      <c r="K503" s="12"/>
      <c r="L503" s="12"/>
      <c r="M503" s="12"/>
      <c r="N503" s="12"/>
      <c r="O503" s="12"/>
      <c r="P503" s="12"/>
      <c r="Q503" s="12"/>
      <c r="R503" s="12"/>
      <c r="S503" s="12"/>
      <c r="T503" s="12"/>
      <c r="U503" s="12"/>
      <c r="W503" s="12"/>
      <c r="X503" s="12"/>
      <c r="Y503" s="12"/>
      <c r="Z503" s="12"/>
      <c r="AA503" s="12"/>
    </row>
    <row r="504" spans="1:27">
      <c r="A504" s="12"/>
      <c r="B504" s="12"/>
      <c r="C504" s="12"/>
      <c r="D504" s="12"/>
      <c r="E504" s="12"/>
      <c r="F504" s="12"/>
      <c r="G504" s="12"/>
      <c r="H504" s="12"/>
      <c r="I504" s="12"/>
      <c r="J504" s="12"/>
      <c r="K504" s="12"/>
      <c r="L504" s="12"/>
      <c r="M504" s="12"/>
      <c r="N504" s="12"/>
      <c r="O504" s="12"/>
      <c r="P504" s="12"/>
      <c r="Q504" s="12"/>
      <c r="R504" s="12"/>
      <c r="S504" s="12"/>
      <c r="T504" s="12"/>
      <c r="U504" s="12"/>
      <c r="W504" s="12"/>
      <c r="X504" s="12"/>
      <c r="Y504" s="12"/>
      <c r="Z504" s="12"/>
      <c r="AA504" s="12"/>
    </row>
    <row r="505" spans="1:27">
      <c r="A505" s="12"/>
      <c r="B505" s="12"/>
      <c r="C505" s="12"/>
      <c r="D505" s="12"/>
      <c r="E505" s="12"/>
      <c r="F505" s="12"/>
      <c r="G505" s="12"/>
      <c r="H505" s="12"/>
      <c r="I505" s="12"/>
      <c r="J505" s="12"/>
      <c r="K505" s="12"/>
      <c r="L505" s="12"/>
      <c r="M505" s="12"/>
      <c r="N505" s="12"/>
      <c r="O505" s="12"/>
      <c r="P505" s="12"/>
      <c r="Q505" s="12"/>
      <c r="R505" s="12"/>
      <c r="S505" s="12"/>
      <c r="T505" s="12"/>
      <c r="U505" s="12"/>
      <c r="W505" s="12"/>
      <c r="X505" s="12"/>
      <c r="Y505" s="12"/>
      <c r="Z505" s="12"/>
      <c r="AA505" s="12"/>
    </row>
    <row r="506" spans="1:27">
      <c r="A506" s="12"/>
      <c r="B506" s="12"/>
      <c r="C506" s="12"/>
      <c r="D506" s="12"/>
      <c r="E506" s="12"/>
      <c r="F506" s="12"/>
      <c r="G506" s="12"/>
      <c r="H506" s="12"/>
      <c r="I506" s="12"/>
      <c r="J506" s="12"/>
      <c r="K506" s="12"/>
      <c r="L506" s="12"/>
      <c r="M506" s="12"/>
      <c r="N506" s="12"/>
      <c r="O506" s="12"/>
      <c r="P506" s="12"/>
      <c r="Q506" s="12"/>
      <c r="R506" s="12"/>
      <c r="S506" s="12"/>
      <c r="T506" s="12"/>
      <c r="U506" s="12"/>
      <c r="W506" s="12"/>
      <c r="X506" s="12"/>
      <c r="Y506" s="12"/>
      <c r="Z506" s="12"/>
      <c r="AA506" s="12"/>
    </row>
    <row r="507" spans="1:27">
      <c r="A507" s="12"/>
      <c r="B507" s="12"/>
      <c r="C507" s="12"/>
      <c r="D507" s="12"/>
      <c r="E507" s="12"/>
      <c r="F507" s="12"/>
      <c r="G507" s="12"/>
      <c r="H507" s="12"/>
      <c r="I507" s="12"/>
      <c r="J507" s="12"/>
      <c r="K507" s="12"/>
      <c r="L507" s="12"/>
      <c r="M507" s="12"/>
      <c r="N507" s="12"/>
      <c r="O507" s="12"/>
      <c r="P507" s="12"/>
      <c r="Q507" s="12"/>
      <c r="R507" s="12"/>
      <c r="S507" s="12"/>
      <c r="T507" s="12"/>
      <c r="U507" s="12"/>
      <c r="W507" s="12"/>
      <c r="X507" s="12"/>
      <c r="Y507" s="12"/>
      <c r="Z507" s="12"/>
      <c r="AA507" s="12"/>
    </row>
    <row r="508" spans="1:27">
      <c r="A508" s="12"/>
      <c r="B508" s="12"/>
      <c r="C508" s="12"/>
      <c r="D508" s="12"/>
      <c r="E508" s="12"/>
      <c r="F508" s="12"/>
      <c r="G508" s="12"/>
      <c r="H508" s="12"/>
      <c r="I508" s="12"/>
      <c r="J508" s="12"/>
      <c r="K508" s="12"/>
      <c r="L508" s="12"/>
      <c r="M508" s="12"/>
      <c r="N508" s="12"/>
      <c r="O508" s="12"/>
      <c r="P508" s="12"/>
      <c r="Q508" s="12"/>
      <c r="R508" s="12"/>
      <c r="S508" s="12"/>
      <c r="T508" s="12"/>
      <c r="U508" s="12"/>
      <c r="W508" s="12"/>
      <c r="X508" s="12"/>
      <c r="Y508" s="12"/>
      <c r="Z508" s="12"/>
      <c r="AA508" s="12"/>
    </row>
    <row r="509" spans="1:27">
      <c r="A509" s="12"/>
      <c r="B509" s="12"/>
      <c r="C509" s="12"/>
      <c r="D509" s="12"/>
      <c r="E509" s="12"/>
      <c r="F509" s="12"/>
      <c r="G509" s="12"/>
      <c r="H509" s="12"/>
      <c r="I509" s="12"/>
      <c r="J509" s="12"/>
      <c r="K509" s="12"/>
      <c r="L509" s="12"/>
      <c r="M509" s="12"/>
      <c r="N509" s="12"/>
      <c r="O509" s="12"/>
      <c r="P509" s="12"/>
      <c r="Q509" s="12"/>
      <c r="R509" s="12"/>
      <c r="S509" s="12"/>
      <c r="T509" s="12"/>
      <c r="U509" s="12"/>
      <c r="W509" s="12"/>
      <c r="X509" s="12"/>
      <c r="Y509" s="12"/>
      <c r="Z509" s="12"/>
      <c r="AA509" s="12"/>
    </row>
    <row r="510" spans="1:27">
      <c r="A510" s="12"/>
      <c r="B510" s="12"/>
      <c r="C510" s="12"/>
      <c r="D510" s="12"/>
      <c r="E510" s="12"/>
      <c r="F510" s="12"/>
      <c r="G510" s="12"/>
      <c r="H510" s="12"/>
      <c r="I510" s="12"/>
      <c r="J510" s="12"/>
      <c r="K510" s="12"/>
      <c r="L510" s="12"/>
      <c r="M510" s="12"/>
      <c r="N510" s="12"/>
      <c r="O510" s="12"/>
      <c r="P510" s="12"/>
      <c r="Q510" s="12"/>
      <c r="R510" s="12"/>
      <c r="S510" s="12"/>
      <c r="T510" s="12"/>
      <c r="U510" s="12"/>
      <c r="W510" s="12"/>
      <c r="X510" s="12"/>
      <c r="Y510" s="12"/>
      <c r="Z510" s="12"/>
      <c r="AA510" s="12"/>
    </row>
    <row r="511" spans="1:27">
      <c r="A511" s="12"/>
      <c r="B511" s="12"/>
      <c r="C511" s="12"/>
      <c r="D511" s="12"/>
      <c r="E511" s="12"/>
      <c r="F511" s="12"/>
      <c r="G511" s="12"/>
      <c r="H511" s="12"/>
      <c r="I511" s="12"/>
      <c r="J511" s="12"/>
      <c r="K511" s="12"/>
      <c r="L511" s="12"/>
      <c r="M511" s="12"/>
      <c r="N511" s="12"/>
      <c r="O511" s="12"/>
      <c r="P511" s="12"/>
      <c r="Q511" s="12"/>
      <c r="R511" s="12"/>
      <c r="S511" s="12"/>
      <c r="T511" s="12"/>
      <c r="U511" s="12"/>
      <c r="W511" s="12"/>
      <c r="X511" s="12"/>
      <c r="Y511" s="12"/>
      <c r="Z511" s="12"/>
      <c r="AA511" s="12"/>
    </row>
    <row r="512" spans="1:27">
      <c r="A512" s="12"/>
      <c r="B512" s="12"/>
      <c r="C512" s="12"/>
      <c r="D512" s="12"/>
      <c r="E512" s="12"/>
      <c r="F512" s="12"/>
      <c r="G512" s="12"/>
      <c r="H512" s="12"/>
      <c r="I512" s="12"/>
      <c r="J512" s="12"/>
      <c r="K512" s="12"/>
      <c r="L512" s="12"/>
      <c r="M512" s="12"/>
      <c r="N512" s="12"/>
      <c r="O512" s="12"/>
      <c r="P512" s="12"/>
      <c r="Q512" s="12"/>
      <c r="R512" s="12"/>
      <c r="S512" s="12"/>
      <c r="T512" s="12"/>
      <c r="U512" s="12"/>
      <c r="W512" s="12"/>
      <c r="X512" s="12"/>
      <c r="Y512" s="12"/>
      <c r="Z512" s="12"/>
      <c r="AA512" s="12"/>
    </row>
    <row r="513" spans="1:27">
      <c r="A513" s="12"/>
      <c r="B513" s="12"/>
      <c r="C513" s="12"/>
      <c r="D513" s="12"/>
      <c r="E513" s="12"/>
      <c r="F513" s="12"/>
      <c r="G513" s="12"/>
      <c r="H513" s="12"/>
      <c r="I513" s="12"/>
      <c r="J513" s="12"/>
      <c r="K513" s="12"/>
      <c r="L513" s="12"/>
      <c r="M513" s="12"/>
      <c r="N513" s="12"/>
      <c r="O513" s="12"/>
      <c r="P513" s="12"/>
      <c r="Q513" s="12"/>
      <c r="R513" s="12"/>
      <c r="S513" s="12"/>
      <c r="T513" s="12"/>
      <c r="U513" s="12"/>
      <c r="W513" s="12"/>
      <c r="X513" s="12"/>
      <c r="Y513" s="12"/>
      <c r="Z513" s="12"/>
      <c r="AA513" s="12"/>
    </row>
    <row r="514" spans="1:27">
      <c r="A514" s="12"/>
      <c r="B514" s="12"/>
      <c r="C514" s="12"/>
      <c r="D514" s="12"/>
      <c r="E514" s="12"/>
      <c r="F514" s="12"/>
      <c r="G514" s="12"/>
      <c r="H514" s="12"/>
      <c r="I514" s="12"/>
      <c r="J514" s="12"/>
      <c r="K514" s="12"/>
      <c r="L514" s="12"/>
      <c r="M514" s="12"/>
      <c r="N514" s="12"/>
      <c r="O514" s="12"/>
      <c r="P514" s="12"/>
      <c r="Q514" s="12"/>
      <c r="R514" s="12"/>
      <c r="S514" s="12"/>
      <c r="T514" s="12"/>
      <c r="U514" s="12"/>
      <c r="W514" s="12"/>
      <c r="X514" s="12"/>
      <c r="Y514" s="12"/>
      <c r="Z514" s="12"/>
      <c r="AA514" s="12"/>
    </row>
    <row r="515" spans="1:27">
      <c r="A515" s="12"/>
      <c r="B515" s="12"/>
      <c r="C515" s="12"/>
      <c r="D515" s="12"/>
      <c r="E515" s="12"/>
      <c r="F515" s="12"/>
      <c r="G515" s="12"/>
      <c r="H515" s="12"/>
      <c r="I515" s="12"/>
      <c r="J515" s="12"/>
      <c r="K515" s="12"/>
      <c r="L515" s="12"/>
      <c r="M515" s="12"/>
      <c r="N515" s="12"/>
      <c r="O515" s="12"/>
      <c r="P515" s="12"/>
      <c r="Q515" s="12"/>
      <c r="R515" s="12"/>
      <c r="S515" s="12"/>
      <c r="T515" s="12"/>
      <c r="U515" s="12"/>
      <c r="W515" s="12"/>
      <c r="X515" s="12"/>
      <c r="Y515" s="12"/>
      <c r="Z515" s="12"/>
      <c r="AA515" s="12"/>
    </row>
    <row r="516" spans="1:27">
      <c r="A516" s="12"/>
      <c r="B516" s="12"/>
      <c r="C516" s="12"/>
      <c r="D516" s="12"/>
      <c r="E516" s="12"/>
      <c r="F516" s="12"/>
      <c r="G516" s="12"/>
      <c r="H516" s="12"/>
      <c r="I516" s="12"/>
      <c r="J516" s="12"/>
      <c r="K516" s="12"/>
      <c r="L516" s="12"/>
      <c r="M516" s="12"/>
      <c r="N516" s="12"/>
      <c r="O516" s="12"/>
      <c r="P516" s="12"/>
      <c r="Q516" s="12"/>
      <c r="R516" s="12"/>
      <c r="S516" s="12"/>
      <c r="T516" s="12"/>
      <c r="U516" s="12"/>
      <c r="W516" s="12"/>
      <c r="X516" s="12"/>
      <c r="Y516" s="12"/>
      <c r="Z516" s="12"/>
      <c r="AA516" s="12"/>
    </row>
    <row r="517" spans="1:27">
      <c r="A517" s="12"/>
      <c r="B517" s="12"/>
      <c r="C517" s="12"/>
      <c r="D517" s="12"/>
      <c r="E517" s="12"/>
      <c r="F517" s="12"/>
      <c r="G517" s="12"/>
      <c r="H517" s="12"/>
      <c r="I517" s="12"/>
      <c r="J517" s="12"/>
      <c r="K517" s="12"/>
      <c r="L517" s="12"/>
      <c r="M517" s="12"/>
      <c r="N517" s="12"/>
      <c r="O517" s="12"/>
      <c r="P517" s="12"/>
      <c r="Q517" s="12"/>
      <c r="R517" s="12"/>
      <c r="S517" s="12"/>
      <c r="T517" s="12"/>
      <c r="U517" s="12"/>
      <c r="W517" s="12"/>
      <c r="X517" s="12"/>
      <c r="Y517" s="12"/>
      <c r="Z517" s="12"/>
      <c r="AA517" s="12"/>
    </row>
    <row r="518" spans="1:27">
      <c r="A518" s="12"/>
      <c r="B518" s="12"/>
      <c r="C518" s="12"/>
      <c r="D518" s="12"/>
      <c r="E518" s="12"/>
      <c r="F518" s="12"/>
      <c r="G518" s="12"/>
      <c r="H518" s="12"/>
      <c r="I518" s="12"/>
      <c r="J518" s="12"/>
      <c r="K518" s="12"/>
      <c r="L518" s="12"/>
      <c r="M518" s="12"/>
      <c r="N518" s="12"/>
      <c r="O518" s="12"/>
      <c r="P518" s="12"/>
      <c r="Q518" s="12"/>
      <c r="R518" s="12"/>
      <c r="S518" s="12"/>
      <c r="T518" s="12"/>
      <c r="U518" s="12"/>
      <c r="W518" s="12"/>
      <c r="X518" s="12"/>
      <c r="Y518" s="12"/>
      <c r="Z518" s="12"/>
      <c r="AA518" s="12"/>
    </row>
    <row r="519" spans="1:27">
      <c r="A519" s="12"/>
      <c r="B519" s="12"/>
      <c r="C519" s="12"/>
      <c r="D519" s="12"/>
      <c r="E519" s="12"/>
      <c r="F519" s="12"/>
      <c r="G519" s="12"/>
      <c r="H519" s="12"/>
      <c r="I519" s="12"/>
      <c r="J519" s="12"/>
      <c r="K519" s="12"/>
      <c r="L519" s="12"/>
      <c r="M519" s="12"/>
      <c r="N519" s="12"/>
      <c r="O519" s="12"/>
      <c r="P519" s="12"/>
      <c r="Q519" s="12"/>
      <c r="R519" s="12"/>
      <c r="S519" s="12"/>
      <c r="T519" s="12"/>
      <c r="U519" s="12"/>
      <c r="W519" s="12"/>
      <c r="X519" s="12"/>
      <c r="Y519" s="12"/>
      <c r="Z519" s="12"/>
      <c r="AA519" s="12"/>
    </row>
    <row r="520" spans="1:27">
      <c r="A520" s="12"/>
      <c r="B520" s="12"/>
      <c r="C520" s="12"/>
      <c r="D520" s="12"/>
      <c r="E520" s="12"/>
      <c r="F520" s="12"/>
      <c r="G520" s="12"/>
      <c r="H520" s="12"/>
      <c r="I520" s="12"/>
      <c r="J520" s="12"/>
      <c r="K520" s="12"/>
      <c r="L520" s="12"/>
      <c r="M520" s="12"/>
      <c r="N520" s="12"/>
      <c r="O520" s="12"/>
      <c r="P520" s="12"/>
      <c r="Q520" s="12"/>
      <c r="R520" s="12"/>
      <c r="S520" s="12"/>
      <c r="T520" s="12"/>
      <c r="U520" s="12"/>
      <c r="W520" s="12"/>
      <c r="X520" s="12"/>
      <c r="Y520" s="12"/>
      <c r="Z520" s="12"/>
      <c r="AA520" s="12"/>
    </row>
    <row r="521" spans="1:27">
      <c r="A521" s="12"/>
      <c r="B521" s="12"/>
      <c r="C521" s="12"/>
      <c r="D521" s="12"/>
      <c r="E521" s="12"/>
      <c r="F521" s="12"/>
      <c r="G521" s="12"/>
      <c r="H521" s="12"/>
      <c r="I521" s="12"/>
      <c r="J521" s="12"/>
      <c r="K521" s="12"/>
      <c r="L521" s="12"/>
      <c r="M521" s="12"/>
      <c r="N521" s="12"/>
      <c r="O521" s="12"/>
      <c r="P521" s="12"/>
      <c r="Q521" s="12"/>
      <c r="R521" s="12"/>
      <c r="S521" s="12"/>
      <c r="T521" s="12"/>
      <c r="U521" s="12"/>
      <c r="W521" s="12"/>
      <c r="X521" s="12"/>
      <c r="Y521" s="12"/>
      <c r="Z521" s="12"/>
      <c r="AA521" s="12"/>
    </row>
    <row r="522" spans="1:27">
      <c r="A522" s="12"/>
      <c r="B522" s="12"/>
      <c r="C522" s="12"/>
      <c r="D522" s="12"/>
      <c r="E522" s="12"/>
      <c r="F522" s="12"/>
      <c r="G522" s="12"/>
      <c r="H522" s="12"/>
      <c r="I522" s="12"/>
      <c r="J522" s="12"/>
      <c r="K522" s="12"/>
      <c r="L522" s="12"/>
      <c r="M522" s="12"/>
      <c r="N522" s="12"/>
      <c r="O522" s="12"/>
      <c r="P522" s="12"/>
      <c r="Q522" s="12"/>
      <c r="R522" s="12"/>
      <c r="S522" s="12"/>
      <c r="T522" s="12"/>
      <c r="U522" s="12"/>
      <c r="W522" s="12"/>
      <c r="X522" s="12"/>
      <c r="Y522" s="12"/>
      <c r="Z522" s="12"/>
      <c r="AA522" s="12"/>
    </row>
    <row r="523" spans="1:27">
      <c r="A523" s="12"/>
      <c r="B523" s="12"/>
      <c r="C523" s="12"/>
      <c r="D523" s="12"/>
      <c r="E523" s="12"/>
      <c r="F523" s="12"/>
      <c r="G523" s="12"/>
      <c r="H523" s="12"/>
      <c r="I523" s="12"/>
      <c r="J523" s="12"/>
      <c r="K523" s="12"/>
      <c r="L523" s="12"/>
      <c r="M523" s="12"/>
      <c r="N523" s="12"/>
      <c r="O523" s="12"/>
      <c r="P523" s="12"/>
      <c r="Q523" s="12"/>
      <c r="R523" s="12"/>
      <c r="S523" s="12"/>
      <c r="T523" s="12"/>
      <c r="U523" s="12"/>
      <c r="W523" s="12"/>
      <c r="X523" s="12"/>
      <c r="Y523" s="12"/>
      <c r="Z523" s="12"/>
      <c r="AA523" s="12"/>
    </row>
    <row r="524" spans="1:27">
      <c r="A524" s="12"/>
      <c r="B524" s="12"/>
      <c r="C524" s="12"/>
      <c r="D524" s="12"/>
      <c r="E524" s="12"/>
      <c r="F524" s="12"/>
      <c r="G524" s="12"/>
      <c r="H524" s="12"/>
      <c r="I524" s="12"/>
      <c r="J524" s="12"/>
      <c r="K524" s="12"/>
      <c r="L524" s="12"/>
      <c r="M524" s="12"/>
      <c r="N524" s="12"/>
      <c r="O524" s="12"/>
      <c r="P524" s="12"/>
      <c r="Q524" s="12"/>
      <c r="R524" s="12"/>
      <c r="S524" s="12"/>
      <c r="T524" s="12"/>
      <c r="U524" s="12"/>
      <c r="W524" s="12"/>
      <c r="X524" s="12"/>
      <c r="Y524" s="12"/>
      <c r="Z524" s="12"/>
      <c r="AA524" s="12"/>
    </row>
    <row r="525" spans="1:27">
      <c r="A525" s="12"/>
      <c r="B525" s="12"/>
      <c r="C525" s="12"/>
      <c r="D525" s="12"/>
      <c r="E525" s="12"/>
      <c r="F525" s="12"/>
      <c r="G525" s="12"/>
      <c r="H525" s="12"/>
      <c r="I525" s="12"/>
      <c r="J525" s="12"/>
      <c r="K525" s="12"/>
      <c r="L525" s="12"/>
      <c r="M525" s="12"/>
      <c r="N525" s="12"/>
      <c r="O525" s="12"/>
      <c r="P525" s="12"/>
      <c r="Q525" s="12"/>
      <c r="R525" s="12"/>
      <c r="S525" s="12"/>
      <c r="T525" s="12"/>
      <c r="U525" s="12"/>
      <c r="W525" s="12"/>
      <c r="X525" s="12"/>
      <c r="Y525" s="12"/>
      <c r="Z525" s="12"/>
      <c r="AA525" s="12"/>
    </row>
    <row r="526" spans="1:27">
      <c r="A526" s="12"/>
      <c r="B526" s="12"/>
      <c r="C526" s="12"/>
      <c r="D526" s="12"/>
      <c r="E526" s="12"/>
      <c r="F526" s="12"/>
      <c r="G526" s="12"/>
      <c r="H526" s="12"/>
      <c r="I526" s="12"/>
      <c r="J526" s="12"/>
      <c r="K526" s="12"/>
      <c r="L526" s="12"/>
      <c r="M526" s="12"/>
      <c r="N526" s="12"/>
      <c r="O526" s="12"/>
      <c r="P526" s="12"/>
      <c r="Q526" s="12"/>
      <c r="R526" s="12"/>
      <c r="S526" s="12"/>
      <c r="T526" s="12"/>
      <c r="U526" s="12"/>
      <c r="W526" s="12"/>
      <c r="X526" s="12"/>
      <c r="Y526" s="12"/>
      <c r="Z526" s="12"/>
      <c r="AA526" s="12"/>
    </row>
    <row r="527" spans="1:27">
      <c r="A527" s="12"/>
      <c r="B527" s="12"/>
      <c r="C527" s="12"/>
      <c r="D527" s="12"/>
      <c r="E527" s="12"/>
      <c r="F527" s="12"/>
      <c r="G527" s="12"/>
      <c r="H527" s="12"/>
      <c r="I527" s="12"/>
      <c r="J527" s="12"/>
      <c r="K527" s="12"/>
      <c r="L527" s="12"/>
      <c r="M527" s="12"/>
      <c r="N527" s="12"/>
      <c r="O527" s="12"/>
      <c r="P527" s="12"/>
      <c r="Q527" s="12"/>
      <c r="R527" s="12"/>
      <c r="S527" s="12"/>
      <c r="T527" s="12"/>
      <c r="U527" s="12"/>
      <c r="W527" s="12"/>
      <c r="X527" s="12"/>
      <c r="Y527" s="12"/>
      <c r="Z527" s="12"/>
      <c r="AA527" s="12"/>
    </row>
    <row r="528" spans="1:27">
      <c r="A528" s="12"/>
      <c r="B528" s="12"/>
      <c r="C528" s="12"/>
      <c r="D528" s="12"/>
      <c r="E528" s="12"/>
      <c r="F528" s="12"/>
      <c r="G528" s="12"/>
      <c r="H528" s="12"/>
      <c r="I528" s="12"/>
      <c r="J528" s="12"/>
      <c r="K528" s="12"/>
      <c r="L528" s="12"/>
      <c r="M528" s="12"/>
      <c r="N528" s="12"/>
      <c r="O528" s="12"/>
      <c r="P528" s="12"/>
      <c r="Q528" s="12"/>
      <c r="R528" s="12"/>
      <c r="S528" s="12"/>
      <c r="T528" s="12"/>
      <c r="U528" s="12"/>
      <c r="W528" s="12"/>
      <c r="X528" s="12"/>
      <c r="Y528" s="12"/>
      <c r="Z528" s="12"/>
      <c r="AA528" s="12"/>
    </row>
    <row r="529" spans="1:27">
      <c r="A529" s="12"/>
      <c r="B529" s="12"/>
      <c r="C529" s="12"/>
      <c r="D529" s="12"/>
      <c r="E529" s="12"/>
      <c r="F529" s="12"/>
      <c r="G529" s="12"/>
      <c r="H529" s="12"/>
      <c r="I529" s="12"/>
      <c r="J529" s="12"/>
      <c r="K529" s="12"/>
      <c r="L529" s="12"/>
      <c r="M529" s="12"/>
      <c r="N529" s="12"/>
      <c r="O529" s="12"/>
      <c r="P529" s="12"/>
      <c r="Q529" s="12"/>
      <c r="R529" s="12"/>
      <c r="S529" s="12"/>
      <c r="T529" s="12"/>
      <c r="U529" s="12"/>
      <c r="W529" s="12"/>
      <c r="X529" s="12"/>
      <c r="Y529" s="12"/>
      <c r="Z529" s="12"/>
      <c r="AA529" s="12"/>
    </row>
    <row r="530" spans="1:27">
      <c r="A530" s="12"/>
      <c r="B530" s="12"/>
      <c r="C530" s="12"/>
      <c r="D530" s="12"/>
      <c r="E530" s="12"/>
      <c r="F530" s="12"/>
      <c r="G530" s="12"/>
      <c r="H530" s="12"/>
      <c r="I530" s="12"/>
      <c r="J530" s="12"/>
      <c r="K530" s="12"/>
      <c r="L530" s="12"/>
      <c r="M530" s="12"/>
      <c r="N530" s="12"/>
      <c r="O530" s="12"/>
      <c r="P530" s="12"/>
      <c r="Q530" s="12"/>
      <c r="R530" s="12"/>
      <c r="S530" s="12"/>
      <c r="T530" s="12"/>
      <c r="U530" s="12"/>
      <c r="W530" s="12"/>
      <c r="X530" s="12"/>
      <c r="Y530" s="12"/>
      <c r="Z530" s="12"/>
      <c r="AA530" s="12"/>
    </row>
    <row r="531" spans="1:27">
      <c r="A531" s="12"/>
      <c r="B531" s="12"/>
      <c r="C531" s="12"/>
      <c r="D531" s="12"/>
      <c r="E531" s="12"/>
      <c r="F531" s="12"/>
      <c r="G531" s="12"/>
      <c r="H531" s="12"/>
      <c r="I531" s="12"/>
      <c r="J531" s="12"/>
      <c r="K531" s="12"/>
      <c r="L531" s="12"/>
      <c r="M531" s="12"/>
      <c r="N531" s="12"/>
      <c r="O531" s="12"/>
      <c r="P531" s="12"/>
      <c r="Q531" s="12"/>
      <c r="R531" s="12"/>
      <c r="S531" s="12"/>
      <c r="T531" s="12"/>
      <c r="U531" s="12"/>
      <c r="W531" s="12"/>
      <c r="X531" s="12"/>
      <c r="Y531" s="12"/>
      <c r="Z531" s="12"/>
      <c r="AA531" s="12"/>
    </row>
    <row r="532" spans="1:27">
      <c r="A532" s="12"/>
      <c r="B532" s="12"/>
      <c r="C532" s="12"/>
      <c r="D532" s="12"/>
      <c r="E532" s="12"/>
      <c r="F532" s="12"/>
      <c r="G532" s="12"/>
      <c r="H532" s="12"/>
      <c r="I532" s="12"/>
      <c r="J532" s="12"/>
      <c r="K532" s="12"/>
      <c r="L532" s="12"/>
      <c r="M532" s="12"/>
      <c r="N532" s="12"/>
      <c r="O532" s="12"/>
      <c r="P532" s="12"/>
      <c r="Q532" s="12"/>
      <c r="R532" s="12"/>
      <c r="S532" s="12"/>
      <c r="T532" s="12"/>
      <c r="U532" s="12"/>
      <c r="W532" s="12"/>
      <c r="X532" s="12"/>
      <c r="Y532" s="12"/>
      <c r="Z532" s="12"/>
      <c r="AA532" s="12"/>
    </row>
    <row r="533" spans="1:27">
      <c r="A533" s="12"/>
      <c r="B533" s="12"/>
      <c r="C533" s="12"/>
      <c r="D533" s="12"/>
      <c r="E533" s="12"/>
      <c r="F533" s="12"/>
      <c r="G533" s="12"/>
      <c r="H533" s="12"/>
      <c r="I533" s="12"/>
      <c r="J533" s="12"/>
      <c r="K533" s="12"/>
      <c r="L533" s="12"/>
      <c r="M533" s="12"/>
      <c r="N533" s="12"/>
      <c r="O533" s="12"/>
      <c r="P533" s="12"/>
      <c r="Q533" s="12"/>
      <c r="R533" s="12"/>
      <c r="S533" s="12"/>
      <c r="T533" s="12"/>
      <c r="U533" s="12"/>
      <c r="W533" s="12"/>
      <c r="X533" s="12"/>
      <c r="Y533" s="12"/>
      <c r="Z533" s="12"/>
      <c r="AA533" s="12"/>
    </row>
    <row r="534" spans="1:27">
      <c r="A534" s="12"/>
      <c r="B534" s="12"/>
      <c r="C534" s="12"/>
      <c r="D534" s="12"/>
      <c r="E534" s="12"/>
      <c r="F534" s="12"/>
      <c r="G534" s="12"/>
      <c r="H534" s="12"/>
      <c r="I534" s="12"/>
      <c r="J534" s="12"/>
      <c r="K534" s="12"/>
      <c r="L534" s="12"/>
      <c r="M534" s="12"/>
      <c r="N534" s="12"/>
      <c r="O534" s="12"/>
      <c r="P534" s="12"/>
      <c r="Q534" s="12"/>
      <c r="R534" s="12"/>
      <c r="S534" s="12"/>
      <c r="T534" s="12"/>
      <c r="U534" s="12"/>
      <c r="W534" s="12"/>
      <c r="X534" s="12"/>
      <c r="Y534" s="12"/>
      <c r="Z534" s="12"/>
      <c r="AA534" s="12"/>
    </row>
    <row r="535" spans="1:27">
      <c r="A535" s="12"/>
      <c r="B535" s="12"/>
      <c r="C535" s="12"/>
      <c r="D535" s="12"/>
      <c r="E535" s="12"/>
      <c r="F535" s="12"/>
      <c r="G535" s="12"/>
      <c r="H535" s="12"/>
      <c r="I535" s="12"/>
      <c r="J535" s="12"/>
      <c r="K535" s="12"/>
      <c r="L535" s="12"/>
      <c r="M535" s="12"/>
      <c r="N535" s="12"/>
      <c r="O535" s="12"/>
      <c r="P535" s="12"/>
      <c r="Q535" s="12"/>
      <c r="R535" s="12"/>
      <c r="S535" s="12"/>
      <c r="T535" s="12"/>
      <c r="U535" s="12"/>
      <c r="W535" s="12"/>
      <c r="X535" s="12"/>
      <c r="Y535" s="12"/>
      <c r="Z535" s="12"/>
      <c r="AA535" s="12"/>
    </row>
    <row r="536" spans="1:27">
      <c r="A536" s="12"/>
      <c r="B536" s="12"/>
      <c r="C536" s="12"/>
      <c r="D536" s="12"/>
      <c r="E536" s="12"/>
      <c r="F536" s="12"/>
      <c r="G536" s="12"/>
      <c r="H536" s="12"/>
      <c r="I536" s="12"/>
      <c r="J536" s="12"/>
      <c r="K536" s="12"/>
      <c r="L536" s="12"/>
      <c r="M536" s="12"/>
      <c r="N536" s="12"/>
      <c r="O536" s="12"/>
      <c r="P536" s="12"/>
      <c r="Q536" s="12"/>
      <c r="R536" s="12"/>
      <c r="S536" s="12"/>
      <c r="T536" s="12"/>
      <c r="U536" s="12"/>
      <c r="W536" s="12"/>
      <c r="X536" s="12"/>
      <c r="Y536" s="12"/>
      <c r="Z536" s="12"/>
      <c r="AA536" s="12"/>
    </row>
    <row r="537" spans="1:27">
      <c r="A537" s="12"/>
      <c r="B537" s="12"/>
      <c r="C537" s="12"/>
      <c r="D537" s="12"/>
      <c r="E537" s="12"/>
      <c r="F537" s="12"/>
      <c r="G537" s="12"/>
      <c r="H537" s="12"/>
      <c r="I537" s="12"/>
      <c r="J537" s="12"/>
      <c r="K537" s="12"/>
      <c r="L537" s="12"/>
      <c r="M537" s="12"/>
      <c r="N537" s="12"/>
      <c r="O537" s="12"/>
      <c r="P537" s="12"/>
      <c r="Q537" s="12"/>
      <c r="R537" s="12"/>
      <c r="S537" s="12"/>
      <c r="T537" s="12"/>
      <c r="U537" s="12"/>
      <c r="W537" s="12"/>
      <c r="X537" s="12"/>
      <c r="Y537" s="12"/>
      <c r="Z537" s="12"/>
      <c r="AA537" s="12"/>
    </row>
    <row r="538" spans="1:27">
      <c r="A538" s="12"/>
      <c r="B538" s="12"/>
      <c r="C538" s="12"/>
      <c r="D538" s="12"/>
      <c r="E538" s="12"/>
      <c r="F538" s="12"/>
      <c r="G538" s="12"/>
      <c r="H538" s="12"/>
      <c r="I538" s="12"/>
      <c r="J538" s="12"/>
      <c r="K538" s="12"/>
      <c r="L538" s="12"/>
      <c r="M538" s="12"/>
      <c r="N538" s="12"/>
      <c r="O538" s="12"/>
      <c r="P538" s="12"/>
      <c r="Q538" s="12"/>
      <c r="R538" s="12"/>
      <c r="S538" s="12"/>
      <c r="T538" s="12"/>
      <c r="U538" s="12"/>
      <c r="W538" s="12"/>
      <c r="X538" s="12"/>
      <c r="Y538" s="12"/>
      <c r="Z538" s="12"/>
      <c r="AA538" s="12"/>
    </row>
    <row r="539" spans="1:27">
      <c r="A539" s="12"/>
      <c r="B539" s="12"/>
      <c r="C539" s="12"/>
      <c r="D539" s="12"/>
      <c r="E539" s="12"/>
      <c r="F539" s="12"/>
      <c r="G539" s="12"/>
      <c r="H539" s="12"/>
      <c r="I539" s="12"/>
      <c r="J539" s="12"/>
      <c r="K539" s="12"/>
      <c r="L539" s="12"/>
      <c r="M539" s="12"/>
      <c r="N539" s="12"/>
      <c r="O539" s="12"/>
      <c r="P539" s="12"/>
      <c r="Q539" s="12"/>
      <c r="R539" s="12"/>
      <c r="S539" s="12"/>
      <c r="T539" s="12"/>
      <c r="U539" s="12"/>
      <c r="W539" s="12"/>
      <c r="X539" s="12"/>
      <c r="Y539" s="12"/>
      <c r="Z539" s="12"/>
      <c r="AA539" s="12"/>
    </row>
    <row r="540" spans="1:27">
      <c r="A540" s="12"/>
      <c r="B540" s="12"/>
      <c r="C540" s="12"/>
      <c r="D540" s="12"/>
      <c r="E540" s="12"/>
      <c r="F540" s="12"/>
      <c r="G540" s="12"/>
      <c r="H540" s="12"/>
      <c r="I540" s="12"/>
      <c r="J540" s="12"/>
      <c r="K540" s="12"/>
      <c r="L540" s="12"/>
      <c r="M540" s="12"/>
      <c r="N540" s="12"/>
      <c r="O540" s="12"/>
      <c r="P540" s="12"/>
      <c r="Q540" s="12"/>
      <c r="R540" s="12"/>
      <c r="S540" s="12"/>
      <c r="T540" s="12"/>
      <c r="U540" s="12"/>
      <c r="W540" s="12"/>
      <c r="X540" s="12"/>
      <c r="Y540" s="12"/>
      <c r="Z540" s="12"/>
      <c r="AA540" s="12"/>
    </row>
    <row r="541" spans="1:27">
      <c r="A541" s="12"/>
      <c r="B541" s="12"/>
      <c r="C541" s="12"/>
      <c r="D541" s="12"/>
      <c r="E541" s="12"/>
      <c r="F541" s="12"/>
      <c r="G541" s="12"/>
      <c r="H541" s="12"/>
      <c r="I541" s="12"/>
      <c r="J541" s="12"/>
      <c r="K541" s="12"/>
      <c r="L541" s="12"/>
      <c r="M541" s="12"/>
      <c r="N541" s="12"/>
      <c r="O541" s="12"/>
      <c r="P541" s="12"/>
      <c r="Q541" s="12"/>
      <c r="R541" s="12"/>
      <c r="S541" s="12"/>
      <c r="T541" s="12"/>
      <c r="U541" s="12"/>
      <c r="W541" s="12"/>
      <c r="X541" s="12"/>
      <c r="Y541" s="12"/>
      <c r="Z541" s="12"/>
      <c r="AA541" s="12"/>
    </row>
    <row r="542" spans="1:27">
      <c r="A542" s="12"/>
      <c r="B542" s="12"/>
      <c r="C542" s="12"/>
      <c r="D542" s="12"/>
      <c r="E542" s="12"/>
      <c r="F542" s="12"/>
      <c r="G542" s="12"/>
      <c r="H542" s="12"/>
      <c r="I542" s="12"/>
      <c r="J542" s="12"/>
      <c r="K542" s="12"/>
      <c r="L542" s="12"/>
      <c r="M542" s="12"/>
      <c r="N542" s="12"/>
      <c r="O542" s="12"/>
      <c r="P542" s="12"/>
      <c r="Q542" s="12"/>
      <c r="R542" s="12"/>
      <c r="S542" s="12"/>
      <c r="T542" s="12"/>
      <c r="U542" s="12"/>
      <c r="W542" s="12"/>
      <c r="X542" s="12"/>
      <c r="Y542" s="12"/>
      <c r="Z542" s="12"/>
      <c r="AA542" s="12"/>
    </row>
    <row r="543" spans="1:27">
      <c r="A543" s="12"/>
      <c r="B543" s="12"/>
      <c r="C543" s="12"/>
      <c r="D543" s="12"/>
      <c r="E543" s="12"/>
      <c r="F543" s="12"/>
      <c r="G543" s="12"/>
      <c r="H543" s="12"/>
      <c r="I543" s="12"/>
      <c r="J543" s="12"/>
      <c r="K543" s="12"/>
      <c r="L543" s="12"/>
      <c r="M543" s="12"/>
      <c r="N543" s="12"/>
      <c r="O543" s="12"/>
      <c r="P543" s="12"/>
      <c r="Q543" s="12"/>
      <c r="R543" s="12"/>
      <c r="S543" s="12"/>
      <c r="T543" s="12"/>
      <c r="U543" s="12"/>
      <c r="W543" s="12"/>
      <c r="X543" s="12"/>
      <c r="Y543" s="12"/>
      <c r="Z543" s="12"/>
      <c r="AA543" s="12"/>
    </row>
    <row r="544" spans="1:27">
      <c r="A544" s="12"/>
      <c r="B544" s="12"/>
      <c r="C544" s="12"/>
      <c r="D544" s="12"/>
      <c r="E544" s="12"/>
      <c r="F544" s="12"/>
      <c r="G544" s="12"/>
      <c r="H544" s="12"/>
      <c r="I544" s="12"/>
      <c r="J544" s="12"/>
      <c r="K544" s="12"/>
      <c r="L544" s="12"/>
      <c r="M544" s="12"/>
      <c r="N544" s="12"/>
      <c r="O544" s="12"/>
      <c r="P544" s="12"/>
      <c r="Q544" s="12"/>
      <c r="R544" s="12"/>
      <c r="S544" s="12"/>
      <c r="T544" s="12"/>
      <c r="U544" s="12"/>
      <c r="W544" s="12"/>
      <c r="X544" s="12"/>
      <c r="Y544" s="12"/>
      <c r="Z544" s="12"/>
      <c r="AA544" s="12"/>
    </row>
    <row r="545" spans="1:27">
      <c r="A545" s="12"/>
      <c r="B545" s="12"/>
      <c r="C545" s="12"/>
      <c r="D545" s="12"/>
      <c r="E545" s="12"/>
      <c r="F545" s="12"/>
      <c r="G545" s="12"/>
      <c r="H545" s="12"/>
      <c r="I545" s="12"/>
      <c r="J545" s="12"/>
      <c r="K545" s="12"/>
      <c r="L545" s="12"/>
      <c r="M545" s="12"/>
      <c r="N545" s="12"/>
      <c r="O545" s="12"/>
      <c r="P545" s="12"/>
      <c r="Q545" s="12"/>
      <c r="R545" s="12"/>
      <c r="S545" s="12"/>
      <c r="T545" s="12"/>
      <c r="U545" s="12"/>
      <c r="W545" s="12"/>
      <c r="X545" s="12"/>
      <c r="Y545" s="12"/>
      <c r="Z545" s="12"/>
      <c r="AA545" s="12"/>
    </row>
    <row r="546" spans="1:27">
      <c r="A546" s="12"/>
      <c r="B546" s="12"/>
      <c r="C546" s="12"/>
      <c r="D546" s="12"/>
      <c r="E546" s="12"/>
      <c r="F546" s="12"/>
      <c r="G546" s="12"/>
      <c r="H546" s="12"/>
      <c r="I546" s="12"/>
      <c r="J546" s="12"/>
      <c r="K546" s="12"/>
      <c r="L546" s="12"/>
      <c r="M546" s="12"/>
      <c r="N546" s="12"/>
      <c r="O546" s="12"/>
      <c r="P546" s="12"/>
      <c r="Q546" s="12"/>
      <c r="R546" s="12"/>
      <c r="S546" s="12"/>
      <c r="T546" s="12"/>
      <c r="U546" s="12"/>
      <c r="W546" s="12"/>
      <c r="X546" s="12"/>
      <c r="Y546" s="12"/>
      <c r="Z546" s="12"/>
      <c r="AA546" s="12"/>
    </row>
    <row r="547" spans="1:27">
      <c r="A547" s="12"/>
      <c r="B547" s="12"/>
      <c r="C547" s="12"/>
      <c r="D547" s="12"/>
      <c r="E547" s="12"/>
      <c r="F547" s="12"/>
      <c r="G547" s="12"/>
      <c r="H547" s="12"/>
      <c r="I547" s="12"/>
      <c r="J547" s="12"/>
      <c r="K547" s="12"/>
      <c r="L547" s="12"/>
      <c r="M547" s="12"/>
      <c r="N547" s="12"/>
      <c r="O547" s="12"/>
      <c r="P547" s="12"/>
      <c r="Q547" s="12"/>
      <c r="R547" s="12"/>
      <c r="S547" s="12"/>
      <c r="T547" s="12"/>
      <c r="U547" s="12"/>
      <c r="W547" s="12"/>
      <c r="X547" s="12"/>
      <c r="Y547" s="12"/>
      <c r="Z547" s="12"/>
      <c r="AA547" s="12"/>
    </row>
    <row r="548" spans="1:27">
      <c r="A548" s="12"/>
      <c r="B548" s="12"/>
      <c r="C548" s="12"/>
      <c r="D548" s="12"/>
      <c r="E548" s="12"/>
      <c r="F548" s="12"/>
      <c r="G548" s="12"/>
      <c r="H548" s="12"/>
      <c r="I548" s="12"/>
      <c r="J548" s="12"/>
      <c r="K548" s="12"/>
      <c r="L548" s="12"/>
      <c r="M548" s="12"/>
      <c r="N548" s="12"/>
      <c r="O548" s="12"/>
      <c r="P548" s="12"/>
      <c r="Q548" s="12"/>
      <c r="R548" s="12"/>
      <c r="S548" s="12"/>
      <c r="T548" s="12"/>
      <c r="U548" s="12"/>
      <c r="W548" s="12"/>
      <c r="X548" s="12"/>
      <c r="Y548" s="12"/>
      <c r="Z548" s="12"/>
      <c r="AA548" s="12"/>
    </row>
    <row r="549" spans="1:27">
      <c r="A549" s="12"/>
      <c r="B549" s="12"/>
      <c r="C549" s="12"/>
      <c r="D549" s="12"/>
      <c r="E549" s="12"/>
      <c r="F549" s="12"/>
      <c r="G549" s="12"/>
      <c r="H549" s="12"/>
      <c r="I549" s="12"/>
      <c r="J549" s="12"/>
      <c r="K549" s="12"/>
      <c r="L549" s="12"/>
      <c r="M549" s="12"/>
      <c r="N549" s="12"/>
      <c r="O549" s="12"/>
      <c r="P549" s="12"/>
      <c r="Q549" s="12"/>
      <c r="R549" s="12"/>
      <c r="S549" s="12"/>
      <c r="T549" s="12"/>
      <c r="U549" s="12"/>
      <c r="W549" s="12"/>
      <c r="X549" s="12"/>
      <c r="Y549" s="12"/>
      <c r="Z549" s="12"/>
      <c r="AA549" s="12"/>
    </row>
    <row r="550" spans="1:27">
      <c r="A550" s="12"/>
      <c r="B550" s="12"/>
      <c r="C550" s="12"/>
      <c r="D550" s="12"/>
      <c r="E550" s="12"/>
      <c r="F550" s="12"/>
      <c r="G550" s="12"/>
      <c r="H550" s="12"/>
      <c r="I550" s="12"/>
      <c r="J550" s="12"/>
      <c r="K550" s="12"/>
      <c r="L550" s="12"/>
      <c r="M550" s="12"/>
      <c r="N550" s="12"/>
      <c r="O550" s="12"/>
      <c r="P550" s="12"/>
      <c r="Q550" s="12"/>
      <c r="R550" s="12"/>
      <c r="S550" s="12"/>
      <c r="T550" s="12"/>
      <c r="U550" s="12"/>
      <c r="W550" s="12"/>
      <c r="X550" s="12"/>
      <c r="Y550" s="12"/>
      <c r="Z550" s="12"/>
      <c r="AA550" s="12"/>
    </row>
    <row r="551" spans="1:27">
      <c r="A551" s="12"/>
      <c r="B551" s="12"/>
      <c r="C551" s="12"/>
      <c r="D551" s="12"/>
      <c r="E551" s="12"/>
      <c r="F551" s="12"/>
      <c r="G551" s="12"/>
      <c r="H551" s="12"/>
      <c r="I551" s="12"/>
      <c r="J551" s="12"/>
      <c r="K551" s="12"/>
      <c r="L551" s="12"/>
      <c r="M551" s="12"/>
      <c r="N551" s="12"/>
      <c r="O551" s="12"/>
      <c r="P551" s="12"/>
      <c r="Q551" s="12"/>
      <c r="R551" s="12"/>
      <c r="S551" s="12"/>
      <c r="T551" s="12"/>
      <c r="U551" s="12"/>
      <c r="W551" s="12"/>
      <c r="X551" s="12"/>
      <c r="Y551" s="12"/>
      <c r="Z551" s="12"/>
      <c r="AA551" s="12"/>
    </row>
    <row r="552" spans="1:27">
      <c r="A552" s="12"/>
      <c r="B552" s="12"/>
      <c r="C552" s="12"/>
      <c r="D552" s="12"/>
      <c r="E552" s="12"/>
      <c r="F552" s="12"/>
      <c r="G552" s="12"/>
      <c r="H552" s="12"/>
      <c r="I552" s="12"/>
      <c r="J552" s="12"/>
      <c r="K552" s="12"/>
      <c r="L552" s="12"/>
      <c r="M552" s="12"/>
      <c r="N552" s="12"/>
      <c r="O552" s="12"/>
      <c r="P552" s="12"/>
      <c r="Q552" s="12"/>
      <c r="R552" s="12"/>
      <c r="S552" s="12"/>
      <c r="T552" s="12"/>
      <c r="U552" s="12"/>
      <c r="W552" s="12"/>
      <c r="X552" s="12"/>
      <c r="Y552" s="12"/>
      <c r="Z552" s="12"/>
      <c r="AA552" s="12"/>
    </row>
    <row r="553" spans="1:27">
      <c r="A553" s="12"/>
      <c r="B553" s="12"/>
      <c r="C553" s="12"/>
      <c r="D553" s="12"/>
      <c r="E553" s="12"/>
      <c r="F553" s="12"/>
      <c r="G553" s="12"/>
      <c r="H553" s="12"/>
      <c r="I553" s="12"/>
      <c r="J553" s="12"/>
      <c r="K553" s="12"/>
      <c r="L553" s="12"/>
      <c r="M553" s="12"/>
      <c r="N553" s="12"/>
      <c r="O553" s="12"/>
      <c r="P553" s="12"/>
      <c r="Q553" s="12"/>
      <c r="R553" s="12"/>
      <c r="S553" s="12"/>
      <c r="T553" s="12"/>
      <c r="U553" s="12"/>
      <c r="W553" s="12"/>
      <c r="X553" s="12"/>
      <c r="Y553" s="12"/>
      <c r="Z553" s="12"/>
      <c r="AA553" s="12"/>
    </row>
    <row r="554" spans="1:27">
      <c r="A554" s="12"/>
      <c r="B554" s="12"/>
      <c r="C554" s="12"/>
      <c r="D554" s="12"/>
      <c r="E554" s="12"/>
      <c r="F554" s="12"/>
      <c r="G554" s="12"/>
      <c r="H554" s="12"/>
      <c r="I554" s="12"/>
      <c r="J554" s="12"/>
      <c r="K554" s="12"/>
      <c r="L554" s="12"/>
      <c r="M554" s="12"/>
      <c r="N554" s="12"/>
      <c r="O554" s="12"/>
      <c r="P554" s="12"/>
      <c r="Q554" s="12"/>
      <c r="R554" s="12"/>
      <c r="S554" s="12"/>
      <c r="T554" s="12"/>
      <c r="U554" s="12"/>
      <c r="W554" s="12"/>
      <c r="X554" s="12"/>
      <c r="Y554" s="12"/>
      <c r="Z554" s="12"/>
      <c r="AA554" s="12"/>
    </row>
    <row r="555" spans="1:27">
      <c r="A555" s="12"/>
      <c r="B555" s="12"/>
      <c r="C555" s="12"/>
      <c r="D555" s="12"/>
      <c r="E555" s="12"/>
      <c r="F555" s="12"/>
      <c r="G555" s="12"/>
      <c r="H555" s="12"/>
      <c r="I555" s="12"/>
      <c r="J555" s="12"/>
      <c r="K555" s="12"/>
      <c r="L555" s="12"/>
      <c r="M555" s="12"/>
      <c r="N555" s="12"/>
      <c r="O555" s="12"/>
      <c r="P555" s="12"/>
      <c r="Q555" s="12"/>
      <c r="R555" s="12"/>
      <c r="S555" s="12"/>
      <c r="T555" s="12"/>
      <c r="U555" s="12"/>
      <c r="W555" s="12"/>
      <c r="X555" s="12"/>
      <c r="Y555" s="12"/>
      <c r="Z555" s="12"/>
      <c r="AA555" s="12"/>
    </row>
    <row r="556" spans="1:27">
      <c r="A556" s="12"/>
      <c r="B556" s="12"/>
      <c r="C556" s="12"/>
      <c r="D556" s="12"/>
      <c r="E556" s="12"/>
      <c r="F556" s="12"/>
      <c r="G556" s="12"/>
      <c r="H556" s="12"/>
      <c r="I556" s="12"/>
      <c r="J556" s="12"/>
      <c r="K556" s="12"/>
      <c r="L556" s="12"/>
      <c r="M556" s="12"/>
      <c r="N556" s="12"/>
      <c r="O556" s="12"/>
      <c r="P556" s="12"/>
      <c r="Q556" s="12"/>
      <c r="R556" s="12"/>
      <c r="S556" s="12"/>
      <c r="T556" s="12"/>
      <c r="U556" s="12"/>
      <c r="W556" s="12"/>
      <c r="X556" s="12"/>
      <c r="Y556" s="12"/>
      <c r="Z556" s="12"/>
      <c r="AA556" s="12"/>
    </row>
    <row r="557" spans="1:27">
      <c r="A557" s="12"/>
      <c r="B557" s="12"/>
      <c r="C557" s="12"/>
      <c r="D557" s="12"/>
      <c r="E557" s="12"/>
      <c r="F557" s="12"/>
      <c r="G557" s="12"/>
      <c r="H557" s="12"/>
      <c r="I557" s="12"/>
      <c r="J557" s="12"/>
      <c r="K557" s="12"/>
      <c r="L557" s="12"/>
      <c r="M557" s="12"/>
      <c r="N557" s="12"/>
      <c r="O557" s="12"/>
      <c r="P557" s="12"/>
      <c r="Q557" s="12"/>
      <c r="R557" s="12"/>
      <c r="S557" s="12"/>
      <c r="T557" s="12"/>
      <c r="U557" s="12"/>
      <c r="W557" s="12"/>
      <c r="X557" s="12"/>
      <c r="Y557" s="12"/>
      <c r="Z557" s="12"/>
      <c r="AA557" s="12"/>
    </row>
    <row r="558" spans="1:27">
      <c r="A558" s="12"/>
      <c r="B558" s="12"/>
      <c r="C558" s="12"/>
      <c r="D558" s="12"/>
      <c r="E558" s="12"/>
      <c r="F558" s="12"/>
      <c r="G558" s="12"/>
      <c r="H558" s="12"/>
      <c r="I558" s="12"/>
      <c r="J558" s="12"/>
      <c r="K558" s="12"/>
      <c r="L558" s="12"/>
      <c r="M558" s="12"/>
      <c r="N558" s="12"/>
      <c r="O558" s="12"/>
      <c r="P558" s="12"/>
      <c r="Q558" s="12"/>
      <c r="R558" s="12"/>
      <c r="S558" s="12"/>
      <c r="T558" s="12"/>
      <c r="U558" s="12"/>
      <c r="W558" s="12"/>
      <c r="X558" s="12"/>
      <c r="Y558" s="12"/>
      <c r="Z558" s="12"/>
      <c r="AA558" s="12"/>
    </row>
    <row r="559" spans="1:27">
      <c r="A559" s="12"/>
      <c r="B559" s="12"/>
      <c r="C559" s="12"/>
      <c r="D559" s="12"/>
      <c r="E559" s="12"/>
      <c r="F559" s="12"/>
      <c r="G559" s="12"/>
      <c r="H559" s="12"/>
      <c r="I559" s="12"/>
      <c r="J559" s="12"/>
      <c r="K559" s="12"/>
      <c r="L559" s="12"/>
      <c r="M559" s="12"/>
      <c r="N559" s="12"/>
      <c r="O559" s="12"/>
      <c r="P559" s="12"/>
      <c r="Q559" s="12"/>
      <c r="R559" s="12"/>
      <c r="S559" s="12"/>
      <c r="T559" s="12"/>
      <c r="U559" s="12"/>
      <c r="W559" s="12"/>
      <c r="X559" s="12"/>
      <c r="Y559" s="12"/>
      <c r="Z559" s="12"/>
      <c r="AA559" s="12"/>
    </row>
    <row r="560" spans="1:27">
      <c r="A560" s="12"/>
      <c r="B560" s="12"/>
      <c r="C560" s="12"/>
      <c r="D560" s="12"/>
      <c r="E560" s="12"/>
      <c r="F560" s="12"/>
      <c r="G560" s="12"/>
      <c r="H560" s="12"/>
      <c r="I560" s="12"/>
      <c r="J560" s="12"/>
      <c r="K560" s="12"/>
      <c r="L560" s="12"/>
      <c r="M560" s="12"/>
      <c r="N560" s="12"/>
      <c r="O560" s="12"/>
      <c r="P560" s="12"/>
      <c r="Q560" s="12"/>
      <c r="R560" s="12"/>
      <c r="S560" s="12"/>
      <c r="T560" s="12"/>
      <c r="U560" s="12"/>
      <c r="W560" s="12"/>
      <c r="X560" s="12"/>
      <c r="Y560" s="12"/>
      <c r="Z560" s="12"/>
      <c r="AA560" s="12"/>
    </row>
    <row r="561" spans="1:27">
      <c r="A561" s="12"/>
      <c r="B561" s="12"/>
      <c r="C561" s="12"/>
      <c r="D561" s="12"/>
      <c r="E561" s="12"/>
      <c r="F561" s="12"/>
      <c r="G561" s="12"/>
      <c r="H561" s="12"/>
      <c r="I561" s="12"/>
      <c r="J561" s="12"/>
      <c r="K561" s="12"/>
      <c r="L561" s="12"/>
      <c r="M561" s="12"/>
      <c r="N561" s="12"/>
      <c r="O561" s="12"/>
      <c r="P561" s="12"/>
      <c r="Q561" s="12"/>
      <c r="R561" s="12"/>
      <c r="S561" s="12"/>
      <c r="T561" s="12"/>
      <c r="U561" s="12"/>
      <c r="W561" s="12"/>
      <c r="X561" s="12"/>
      <c r="Y561" s="12"/>
      <c r="Z561" s="12"/>
      <c r="AA561" s="12"/>
    </row>
    <row r="562" spans="1:27">
      <c r="A562" s="12"/>
      <c r="B562" s="12"/>
      <c r="C562" s="12"/>
      <c r="D562" s="12"/>
      <c r="E562" s="12"/>
      <c r="F562" s="12"/>
      <c r="G562" s="12"/>
      <c r="H562" s="12"/>
      <c r="I562" s="12"/>
      <c r="J562" s="12"/>
      <c r="K562" s="12"/>
      <c r="L562" s="12"/>
      <c r="M562" s="12"/>
      <c r="N562" s="12"/>
      <c r="O562" s="12"/>
      <c r="P562" s="12"/>
      <c r="Q562" s="12"/>
      <c r="R562" s="12"/>
      <c r="S562" s="12"/>
      <c r="T562" s="12"/>
      <c r="U562" s="12"/>
      <c r="W562" s="12"/>
      <c r="X562" s="12"/>
      <c r="Y562" s="12"/>
      <c r="Z562" s="12"/>
      <c r="AA562" s="12"/>
    </row>
    <row r="563" spans="1:27">
      <c r="A563" s="12"/>
      <c r="B563" s="12"/>
      <c r="C563" s="12"/>
      <c r="D563" s="12"/>
      <c r="E563" s="12"/>
      <c r="F563" s="12"/>
      <c r="G563" s="12"/>
      <c r="H563" s="12"/>
      <c r="I563" s="12"/>
      <c r="J563" s="12"/>
      <c r="K563" s="12"/>
      <c r="L563" s="12"/>
      <c r="M563" s="12"/>
      <c r="N563" s="12"/>
      <c r="O563" s="12"/>
      <c r="P563" s="12"/>
      <c r="Q563" s="12"/>
      <c r="R563" s="12"/>
      <c r="S563" s="12"/>
      <c r="T563" s="12"/>
      <c r="U563" s="12"/>
      <c r="W563" s="12"/>
      <c r="X563" s="12"/>
      <c r="Y563" s="12"/>
      <c r="Z563" s="12"/>
      <c r="AA563" s="12"/>
    </row>
    <row r="564" spans="1:27">
      <c r="A564" s="12"/>
      <c r="B564" s="12"/>
      <c r="C564" s="12"/>
      <c r="D564" s="12"/>
      <c r="E564" s="12"/>
      <c r="F564" s="12"/>
      <c r="G564" s="12"/>
      <c r="H564" s="12"/>
      <c r="I564" s="12"/>
      <c r="J564" s="12"/>
      <c r="K564" s="12"/>
      <c r="L564" s="12"/>
      <c r="M564" s="12"/>
      <c r="N564" s="12"/>
      <c r="O564" s="12"/>
      <c r="P564" s="12"/>
      <c r="Q564" s="12"/>
      <c r="R564" s="12"/>
      <c r="S564" s="12"/>
      <c r="T564" s="12"/>
      <c r="U564" s="12"/>
      <c r="W564" s="12"/>
      <c r="X564" s="12"/>
      <c r="Y564" s="12"/>
      <c r="Z564" s="12"/>
      <c r="AA564" s="12"/>
    </row>
    <row r="565" spans="1:27">
      <c r="A565" s="12"/>
      <c r="B565" s="12"/>
      <c r="C565" s="12"/>
      <c r="D565" s="12"/>
      <c r="E565" s="12"/>
      <c r="F565" s="12"/>
      <c r="G565" s="12"/>
      <c r="H565" s="12"/>
      <c r="I565" s="12"/>
      <c r="J565" s="12"/>
      <c r="K565" s="12"/>
      <c r="L565" s="12"/>
      <c r="M565" s="12"/>
      <c r="N565" s="12"/>
      <c r="O565" s="12"/>
      <c r="P565" s="12"/>
      <c r="Q565" s="12"/>
      <c r="R565" s="12"/>
      <c r="S565" s="12"/>
      <c r="T565" s="12"/>
      <c r="U565" s="12"/>
      <c r="W565" s="12"/>
      <c r="X565" s="12"/>
      <c r="Y565" s="12"/>
      <c r="Z565" s="12"/>
      <c r="AA565" s="12"/>
    </row>
    <row r="566" spans="1:27">
      <c r="A566" s="12"/>
      <c r="B566" s="12"/>
      <c r="C566" s="12"/>
      <c r="D566" s="12"/>
      <c r="E566" s="12"/>
      <c r="F566" s="12"/>
      <c r="G566" s="12"/>
      <c r="H566" s="12"/>
      <c r="I566" s="12"/>
      <c r="J566" s="12"/>
      <c r="K566" s="12"/>
      <c r="L566" s="12"/>
      <c r="M566" s="12"/>
      <c r="N566" s="12"/>
      <c r="O566" s="12"/>
      <c r="P566" s="12"/>
      <c r="Q566" s="12"/>
      <c r="R566" s="12"/>
      <c r="S566" s="12"/>
      <c r="T566" s="12"/>
      <c r="U566" s="12"/>
      <c r="W566" s="12"/>
      <c r="X566" s="12"/>
      <c r="Y566" s="12"/>
      <c r="Z566" s="12"/>
      <c r="AA566" s="12"/>
    </row>
    <row r="567" spans="1:27">
      <c r="A567" s="12"/>
      <c r="B567" s="12"/>
      <c r="C567" s="12"/>
      <c r="D567" s="12"/>
      <c r="E567" s="12"/>
      <c r="F567" s="12"/>
      <c r="G567" s="12"/>
      <c r="H567" s="12"/>
      <c r="I567" s="12"/>
      <c r="J567" s="12"/>
      <c r="K567" s="12"/>
      <c r="L567" s="12"/>
      <c r="M567" s="12"/>
      <c r="N567" s="12"/>
      <c r="O567" s="12"/>
      <c r="P567" s="12"/>
      <c r="Q567" s="12"/>
      <c r="R567" s="12"/>
      <c r="S567" s="12"/>
      <c r="T567" s="12"/>
      <c r="U567" s="12"/>
      <c r="W567" s="12"/>
      <c r="X567" s="12"/>
      <c r="Y567" s="12"/>
      <c r="Z567" s="12"/>
      <c r="AA567" s="12"/>
    </row>
    <row r="568" spans="1:27">
      <c r="A568" s="12"/>
      <c r="B568" s="12"/>
      <c r="C568" s="12"/>
      <c r="D568" s="12"/>
      <c r="E568" s="12"/>
      <c r="F568" s="12"/>
      <c r="G568" s="12"/>
      <c r="H568" s="12"/>
      <c r="I568" s="12"/>
      <c r="J568" s="12"/>
      <c r="K568" s="12"/>
      <c r="L568" s="12"/>
      <c r="M568" s="12"/>
      <c r="N568" s="12"/>
      <c r="O568" s="12"/>
      <c r="P568" s="12"/>
      <c r="Q568" s="12"/>
      <c r="R568" s="12"/>
      <c r="S568" s="12"/>
      <c r="T568" s="12"/>
      <c r="U568" s="12"/>
      <c r="W568" s="12"/>
      <c r="X568" s="12"/>
      <c r="Y568" s="12"/>
      <c r="Z568" s="12"/>
      <c r="AA568" s="12"/>
    </row>
    <row r="569" spans="1:27">
      <c r="A569" s="12"/>
      <c r="B569" s="12"/>
      <c r="C569" s="12"/>
      <c r="D569" s="12"/>
      <c r="E569" s="12"/>
      <c r="F569" s="12"/>
      <c r="G569" s="12"/>
      <c r="H569" s="12"/>
      <c r="I569" s="12"/>
      <c r="J569" s="12"/>
      <c r="K569" s="12"/>
      <c r="L569" s="12"/>
      <c r="M569" s="12"/>
      <c r="N569" s="12"/>
      <c r="O569" s="12"/>
      <c r="P569" s="12"/>
      <c r="Q569" s="12"/>
      <c r="R569" s="12"/>
      <c r="S569" s="12"/>
      <c r="T569" s="12"/>
      <c r="U569" s="12"/>
      <c r="W569" s="12"/>
      <c r="X569" s="12"/>
      <c r="Y569" s="12"/>
      <c r="Z569" s="12"/>
      <c r="AA569" s="12"/>
    </row>
    <row r="570" spans="1:27">
      <c r="A570" s="12"/>
      <c r="B570" s="12"/>
      <c r="C570" s="12"/>
      <c r="D570" s="12"/>
      <c r="E570" s="12"/>
      <c r="F570" s="12"/>
      <c r="G570" s="12"/>
      <c r="H570" s="12"/>
      <c r="I570" s="12"/>
      <c r="J570" s="12"/>
      <c r="K570" s="12"/>
      <c r="L570" s="12"/>
      <c r="M570" s="12"/>
      <c r="N570" s="12"/>
      <c r="O570" s="12"/>
      <c r="P570" s="12"/>
      <c r="Q570" s="12"/>
      <c r="R570" s="12"/>
      <c r="S570" s="12"/>
      <c r="T570" s="12"/>
      <c r="U570" s="12"/>
      <c r="W570" s="12"/>
      <c r="X570" s="12"/>
      <c r="Y570" s="12"/>
      <c r="Z570" s="12"/>
      <c r="AA570" s="12"/>
    </row>
    <row r="571" spans="1:27">
      <c r="A571" s="12"/>
      <c r="B571" s="12"/>
      <c r="C571" s="12"/>
      <c r="D571" s="12"/>
      <c r="E571" s="12"/>
      <c r="F571" s="12"/>
      <c r="G571" s="12"/>
      <c r="H571" s="12"/>
      <c r="I571" s="12"/>
      <c r="J571" s="12"/>
      <c r="K571" s="12"/>
      <c r="L571" s="12"/>
      <c r="M571" s="12"/>
      <c r="N571" s="12"/>
      <c r="O571" s="12"/>
      <c r="P571" s="12"/>
      <c r="Q571" s="12"/>
      <c r="R571" s="12"/>
      <c r="S571" s="12"/>
      <c r="T571" s="12"/>
      <c r="U571" s="12"/>
      <c r="W571" s="12"/>
      <c r="X571" s="12"/>
      <c r="Y571" s="12"/>
      <c r="Z571" s="12"/>
      <c r="AA571" s="12"/>
    </row>
    <row r="572" spans="1:27">
      <c r="A572" s="12"/>
      <c r="B572" s="12"/>
      <c r="C572" s="12"/>
      <c r="D572" s="12"/>
      <c r="E572" s="12"/>
      <c r="F572" s="12"/>
      <c r="G572" s="12"/>
      <c r="H572" s="12"/>
      <c r="I572" s="12"/>
      <c r="J572" s="12"/>
      <c r="K572" s="12"/>
      <c r="L572" s="12"/>
      <c r="M572" s="12"/>
      <c r="N572" s="12"/>
      <c r="O572" s="12"/>
      <c r="P572" s="12"/>
      <c r="Q572" s="12"/>
      <c r="R572" s="12"/>
      <c r="S572" s="12"/>
      <c r="T572" s="12"/>
      <c r="U572" s="12"/>
      <c r="W572" s="12"/>
      <c r="X572" s="12"/>
      <c r="Y572" s="12"/>
      <c r="Z572" s="12"/>
      <c r="AA572" s="12"/>
    </row>
    <row r="573" spans="1:27">
      <c r="A573" s="12"/>
      <c r="B573" s="12"/>
      <c r="C573" s="12"/>
      <c r="D573" s="12"/>
      <c r="E573" s="12"/>
      <c r="F573" s="12"/>
      <c r="G573" s="12"/>
      <c r="H573" s="12"/>
      <c r="I573" s="12"/>
      <c r="J573" s="12"/>
      <c r="K573" s="12"/>
      <c r="L573" s="12"/>
      <c r="M573" s="12"/>
      <c r="N573" s="12"/>
      <c r="O573" s="12"/>
      <c r="P573" s="12"/>
      <c r="Q573" s="12"/>
      <c r="R573" s="12"/>
      <c r="S573" s="12"/>
      <c r="T573" s="12"/>
      <c r="U573" s="12"/>
      <c r="W573" s="12"/>
      <c r="X573" s="12"/>
      <c r="Y573" s="12"/>
      <c r="Z573" s="12"/>
      <c r="AA573" s="12"/>
    </row>
    <row r="574" spans="1:27">
      <c r="A574" s="12"/>
      <c r="B574" s="12"/>
      <c r="C574" s="12"/>
      <c r="D574" s="12"/>
      <c r="E574" s="12"/>
      <c r="F574" s="12"/>
      <c r="G574" s="12"/>
      <c r="H574" s="12"/>
      <c r="I574" s="12"/>
      <c r="J574" s="12"/>
      <c r="K574" s="12"/>
      <c r="L574" s="12"/>
      <c r="M574" s="12"/>
      <c r="N574" s="12"/>
      <c r="O574" s="12"/>
      <c r="P574" s="12"/>
      <c r="Q574" s="12"/>
      <c r="R574" s="12"/>
      <c r="S574" s="12"/>
      <c r="T574" s="12"/>
      <c r="U574" s="12"/>
      <c r="W574" s="12"/>
      <c r="X574" s="12"/>
      <c r="Y574" s="12"/>
      <c r="Z574" s="12"/>
      <c r="AA574" s="12"/>
    </row>
    <row r="575" spans="1:27">
      <c r="A575" s="12"/>
      <c r="B575" s="12"/>
      <c r="C575" s="12"/>
      <c r="D575" s="12"/>
      <c r="E575" s="12"/>
      <c r="F575" s="12"/>
      <c r="G575" s="12"/>
      <c r="H575" s="12"/>
      <c r="I575" s="12"/>
      <c r="J575" s="12"/>
      <c r="K575" s="12"/>
      <c r="L575" s="12"/>
      <c r="M575" s="12"/>
      <c r="N575" s="12"/>
      <c r="O575" s="12"/>
      <c r="P575" s="12"/>
      <c r="Q575" s="12"/>
      <c r="R575" s="12"/>
      <c r="S575" s="12"/>
      <c r="T575" s="12"/>
      <c r="U575" s="12"/>
      <c r="W575" s="12"/>
      <c r="X575" s="12"/>
      <c r="Y575" s="12"/>
      <c r="Z575" s="12"/>
      <c r="AA575" s="12"/>
    </row>
    <row r="576" spans="1:27">
      <c r="A576" s="12"/>
      <c r="B576" s="12"/>
      <c r="C576" s="12"/>
      <c r="D576" s="12"/>
      <c r="E576" s="12"/>
      <c r="F576" s="12"/>
      <c r="G576" s="12"/>
      <c r="H576" s="12"/>
      <c r="I576" s="12"/>
      <c r="J576" s="12"/>
      <c r="K576" s="12"/>
      <c r="L576" s="12"/>
      <c r="M576" s="12"/>
      <c r="N576" s="12"/>
      <c r="O576" s="12"/>
      <c r="P576" s="12"/>
      <c r="Q576" s="12"/>
      <c r="R576" s="12"/>
      <c r="S576" s="12"/>
      <c r="T576" s="12"/>
      <c r="U576" s="12"/>
      <c r="W576" s="12"/>
      <c r="X576" s="12"/>
      <c r="Y576" s="12"/>
      <c r="Z576" s="12"/>
      <c r="AA576" s="12"/>
    </row>
    <row r="577" spans="1:27">
      <c r="A577" s="12"/>
      <c r="B577" s="12"/>
      <c r="C577" s="12"/>
      <c r="D577" s="12"/>
      <c r="E577" s="12"/>
      <c r="F577" s="12"/>
      <c r="G577" s="12"/>
      <c r="H577" s="12"/>
      <c r="I577" s="12"/>
      <c r="J577" s="12"/>
      <c r="K577" s="12"/>
      <c r="L577" s="12"/>
      <c r="M577" s="12"/>
      <c r="N577" s="12"/>
      <c r="O577" s="12"/>
      <c r="P577" s="12"/>
      <c r="Q577" s="12"/>
      <c r="R577" s="12"/>
      <c r="S577" s="12"/>
      <c r="T577" s="12"/>
      <c r="U577" s="12"/>
      <c r="W577" s="12"/>
      <c r="X577" s="12"/>
      <c r="Y577" s="12"/>
      <c r="Z577" s="12"/>
      <c r="AA577" s="12"/>
    </row>
    <row r="578" spans="1:27">
      <c r="A578" s="12"/>
      <c r="B578" s="12"/>
      <c r="C578" s="12"/>
      <c r="D578" s="12"/>
      <c r="E578" s="12"/>
      <c r="F578" s="12"/>
      <c r="G578" s="12"/>
      <c r="H578" s="12"/>
      <c r="I578" s="12"/>
      <c r="J578" s="12"/>
      <c r="K578" s="12"/>
      <c r="L578" s="12"/>
      <c r="M578" s="12"/>
      <c r="N578" s="12"/>
      <c r="O578" s="12"/>
      <c r="P578" s="12"/>
      <c r="Q578" s="12"/>
      <c r="R578" s="12"/>
      <c r="S578" s="12"/>
      <c r="T578" s="12"/>
      <c r="U578" s="12"/>
      <c r="W578" s="12"/>
      <c r="X578" s="12"/>
      <c r="Y578" s="12"/>
      <c r="Z578" s="12"/>
      <c r="AA578" s="12"/>
    </row>
    <row r="579" spans="1:27">
      <c r="A579" s="12"/>
      <c r="B579" s="12"/>
      <c r="C579" s="12"/>
      <c r="D579" s="12"/>
      <c r="E579" s="12"/>
      <c r="F579" s="12"/>
      <c r="G579" s="12"/>
      <c r="H579" s="12"/>
      <c r="I579" s="12"/>
      <c r="J579" s="12"/>
      <c r="K579" s="12"/>
      <c r="L579" s="12"/>
      <c r="M579" s="12"/>
      <c r="N579" s="12"/>
      <c r="O579" s="12"/>
      <c r="P579" s="12"/>
      <c r="Q579" s="12"/>
      <c r="R579" s="12"/>
      <c r="S579" s="12"/>
      <c r="T579" s="12"/>
      <c r="U579" s="12"/>
      <c r="W579" s="12"/>
      <c r="X579" s="12"/>
      <c r="Y579" s="12"/>
      <c r="Z579" s="12"/>
      <c r="AA579" s="12"/>
    </row>
    <row r="580" spans="1:27">
      <c r="A580" s="12"/>
      <c r="B580" s="12"/>
      <c r="C580" s="12"/>
      <c r="D580" s="12"/>
      <c r="E580" s="12"/>
      <c r="F580" s="12"/>
      <c r="G580" s="12"/>
      <c r="H580" s="12"/>
      <c r="I580" s="12"/>
      <c r="J580" s="12"/>
      <c r="K580" s="12"/>
      <c r="L580" s="12"/>
      <c r="M580" s="12"/>
      <c r="N580" s="12"/>
      <c r="O580" s="12"/>
      <c r="P580" s="12"/>
      <c r="Q580" s="12"/>
      <c r="R580" s="12"/>
      <c r="S580" s="12"/>
      <c r="T580" s="12"/>
      <c r="U580" s="12"/>
      <c r="W580" s="12"/>
      <c r="X580" s="12"/>
      <c r="Y580" s="12"/>
      <c r="Z580" s="12"/>
      <c r="AA580" s="12"/>
    </row>
    <row r="581" spans="1:27">
      <c r="A581" s="12"/>
      <c r="B581" s="12"/>
      <c r="C581" s="12"/>
      <c r="D581" s="12"/>
      <c r="E581" s="12"/>
      <c r="F581" s="12"/>
      <c r="G581" s="12"/>
      <c r="H581" s="12"/>
      <c r="I581" s="12"/>
      <c r="J581" s="12"/>
      <c r="K581" s="12"/>
      <c r="L581" s="12"/>
      <c r="M581" s="12"/>
      <c r="N581" s="12"/>
      <c r="O581" s="12"/>
      <c r="P581" s="12"/>
      <c r="Q581" s="12"/>
      <c r="R581" s="12"/>
      <c r="S581" s="12"/>
      <c r="T581" s="12"/>
      <c r="U581" s="12"/>
      <c r="W581" s="12"/>
      <c r="X581" s="12"/>
      <c r="Y581" s="12"/>
      <c r="Z581" s="12"/>
      <c r="AA581" s="12"/>
    </row>
    <row r="582" spans="1:27">
      <c r="A582" s="12"/>
      <c r="B582" s="12"/>
      <c r="C582" s="12"/>
      <c r="D582" s="12"/>
      <c r="E582" s="12"/>
      <c r="F582" s="12"/>
      <c r="G582" s="12"/>
      <c r="H582" s="12"/>
      <c r="I582" s="12"/>
      <c r="J582" s="12"/>
      <c r="K582" s="12"/>
      <c r="L582" s="12"/>
      <c r="M582" s="12"/>
      <c r="N582" s="12"/>
      <c r="O582" s="12"/>
      <c r="P582" s="12"/>
      <c r="Q582" s="12"/>
      <c r="R582" s="12"/>
      <c r="S582" s="12"/>
      <c r="T582" s="12"/>
      <c r="U582" s="12"/>
      <c r="W582" s="12"/>
      <c r="X582" s="12"/>
      <c r="Y582" s="12"/>
      <c r="Z582" s="12"/>
      <c r="AA582" s="12"/>
    </row>
    <row r="583" spans="1:27">
      <c r="A583" s="12"/>
      <c r="B583" s="12"/>
      <c r="C583" s="12"/>
      <c r="D583" s="12"/>
      <c r="E583" s="12"/>
      <c r="F583" s="12"/>
      <c r="G583" s="12"/>
      <c r="H583" s="12"/>
      <c r="I583" s="12"/>
      <c r="J583" s="12"/>
      <c r="K583" s="12"/>
      <c r="L583" s="12"/>
      <c r="M583" s="12"/>
      <c r="N583" s="12"/>
      <c r="O583" s="12"/>
      <c r="P583" s="12"/>
      <c r="Q583" s="12"/>
      <c r="R583" s="12"/>
      <c r="S583" s="12"/>
      <c r="T583" s="12"/>
      <c r="U583" s="12"/>
      <c r="W583" s="12"/>
      <c r="X583" s="12"/>
      <c r="Y583" s="12"/>
      <c r="Z583" s="12"/>
      <c r="AA583" s="12"/>
    </row>
    <row r="584" spans="1:27">
      <c r="A584" s="12"/>
      <c r="B584" s="12"/>
      <c r="C584" s="12"/>
      <c r="D584" s="12"/>
      <c r="E584" s="12"/>
      <c r="F584" s="12"/>
      <c r="G584" s="12"/>
      <c r="H584" s="12"/>
      <c r="I584" s="12"/>
      <c r="J584" s="12"/>
      <c r="K584" s="12"/>
      <c r="L584" s="12"/>
      <c r="M584" s="12"/>
      <c r="N584" s="12"/>
      <c r="O584" s="12"/>
      <c r="P584" s="12"/>
      <c r="Q584" s="12"/>
      <c r="R584" s="12"/>
      <c r="S584" s="12"/>
      <c r="T584" s="12"/>
      <c r="U584" s="12"/>
      <c r="W584" s="12"/>
      <c r="X584" s="12"/>
      <c r="Y584" s="12"/>
      <c r="Z584" s="12"/>
      <c r="AA584" s="12"/>
    </row>
    <row r="585" spans="1:27">
      <c r="A585" s="12"/>
      <c r="B585" s="12"/>
      <c r="C585" s="12"/>
      <c r="D585" s="12"/>
      <c r="E585" s="12"/>
      <c r="F585" s="12"/>
      <c r="G585" s="12"/>
      <c r="H585" s="12"/>
      <c r="I585" s="12"/>
      <c r="J585" s="12"/>
      <c r="K585" s="12"/>
      <c r="L585" s="12"/>
      <c r="M585" s="12"/>
      <c r="N585" s="12"/>
      <c r="O585" s="12"/>
      <c r="P585" s="12"/>
      <c r="Q585" s="12"/>
      <c r="R585" s="12"/>
      <c r="S585" s="12"/>
      <c r="T585" s="12"/>
      <c r="U585" s="12"/>
      <c r="W585" s="12"/>
      <c r="X585" s="12"/>
      <c r="Y585" s="12"/>
      <c r="Z585" s="12"/>
      <c r="AA585" s="12"/>
    </row>
    <row r="586" spans="1:27">
      <c r="A586" s="12"/>
      <c r="B586" s="12"/>
      <c r="C586" s="12"/>
      <c r="D586" s="12"/>
      <c r="E586" s="12"/>
      <c r="F586" s="12"/>
      <c r="G586" s="12"/>
      <c r="H586" s="12"/>
      <c r="I586" s="12"/>
      <c r="J586" s="12"/>
      <c r="K586" s="12"/>
      <c r="L586" s="12"/>
      <c r="M586" s="12"/>
      <c r="N586" s="12"/>
      <c r="O586" s="12"/>
      <c r="P586" s="12"/>
      <c r="Q586" s="12"/>
      <c r="R586" s="12"/>
      <c r="S586" s="12"/>
      <c r="T586" s="12"/>
      <c r="U586" s="12"/>
      <c r="W586" s="12"/>
      <c r="X586" s="12"/>
      <c r="Y586" s="12"/>
      <c r="Z586" s="12"/>
      <c r="AA586" s="12"/>
    </row>
    <row r="587" spans="1:27">
      <c r="A587" s="12"/>
      <c r="B587" s="12"/>
      <c r="C587" s="12"/>
      <c r="D587" s="12"/>
      <c r="E587" s="12"/>
      <c r="F587" s="12"/>
      <c r="G587" s="12"/>
      <c r="H587" s="12"/>
      <c r="I587" s="12"/>
      <c r="J587" s="12"/>
      <c r="K587" s="12"/>
      <c r="L587" s="12"/>
      <c r="M587" s="12"/>
      <c r="N587" s="12"/>
      <c r="O587" s="12"/>
      <c r="P587" s="12"/>
      <c r="Q587" s="12"/>
      <c r="R587" s="12"/>
      <c r="S587" s="12"/>
      <c r="T587" s="12"/>
      <c r="U587" s="12"/>
      <c r="W587" s="12"/>
      <c r="X587" s="12"/>
      <c r="Y587" s="12"/>
      <c r="Z587" s="12"/>
      <c r="AA587" s="12"/>
    </row>
    <row r="588" spans="1:27">
      <c r="A588" s="12"/>
      <c r="B588" s="12"/>
      <c r="C588" s="12"/>
      <c r="D588" s="12"/>
      <c r="E588" s="12"/>
      <c r="F588" s="12"/>
      <c r="G588" s="12"/>
      <c r="H588" s="12"/>
      <c r="I588" s="12"/>
      <c r="J588" s="12"/>
      <c r="K588" s="12"/>
      <c r="L588" s="12"/>
      <c r="M588" s="12"/>
      <c r="N588" s="12"/>
      <c r="O588" s="12"/>
      <c r="P588" s="12"/>
      <c r="Q588" s="12"/>
      <c r="R588" s="12"/>
      <c r="S588" s="12"/>
      <c r="T588" s="12"/>
      <c r="U588" s="12"/>
      <c r="W588" s="12"/>
      <c r="X588" s="12"/>
      <c r="Y588" s="12"/>
      <c r="Z588" s="12"/>
      <c r="AA588" s="12"/>
    </row>
    <row r="589" spans="1:27">
      <c r="A589" s="12"/>
      <c r="B589" s="12"/>
      <c r="C589" s="12"/>
      <c r="D589" s="12"/>
      <c r="E589" s="12"/>
      <c r="F589" s="12"/>
      <c r="G589" s="12"/>
      <c r="H589" s="12"/>
      <c r="I589" s="12"/>
      <c r="J589" s="12"/>
      <c r="K589" s="12"/>
      <c r="L589" s="12"/>
      <c r="M589" s="12"/>
      <c r="N589" s="12"/>
      <c r="O589" s="12"/>
      <c r="P589" s="12"/>
      <c r="Q589" s="12"/>
      <c r="R589" s="12"/>
      <c r="S589" s="12"/>
      <c r="T589" s="12"/>
      <c r="U589" s="12"/>
      <c r="W589" s="12"/>
      <c r="X589" s="12"/>
      <c r="Y589" s="12"/>
      <c r="Z589" s="12"/>
      <c r="AA589" s="12"/>
    </row>
    <row r="590" spans="1:27">
      <c r="A590" s="12"/>
      <c r="B590" s="12"/>
      <c r="C590" s="12"/>
      <c r="D590" s="12"/>
      <c r="E590" s="12"/>
      <c r="F590" s="12"/>
      <c r="G590" s="12"/>
      <c r="H590" s="12"/>
      <c r="I590" s="12"/>
      <c r="J590" s="12"/>
      <c r="K590" s="12"/>
      <c r="L590" s="12"/>
      <c r="M590" s="12"/>
      <c r="N590" s="12"/>
      <c r="O590" s="12"/>
      <c r="P590" s="12"/>
      <c r="Q590" s="12"/>
      <c r="R590" s="12"/>
      <c r="S590" s="12"/>
      <c r="T590" s="12"/>
      <c r="U590" s="12"/>
      <c r="W590" s="12"/>
      <c r="X590" s="12"/>
      <c r="Y590" s="12"/>
      <c r="Z590" s="12"/>
      <c r="AA590" s="12"/>
    </row>
    <row r="591" spans="1:27">
      <c r="A591" s="12"/>
      <c r="B591" s="12"/>
      <c r="C591" s="12"/>
      <c r="D591" s="12"/>
      <c r="E591" s="12"/>
      <c r="F591" s="12"/>
      <c r="G591" s="12"/>
      <c r="H591" s="12"/>
      <c r="I591" s="12"/>
      <c r="J591" s="12"/>
      <c r="K591" s="12"/>
      <c r="L591" s="12"/>
      <c r="M591" s="12"/>
      <c r="N591" s="12"/>
      <c r="O591" s="12"/>
      <c r="P591" s="12"/>
      <c r="Q591" s="12"/>
      <c r="R591" s="12"/>
      <c r="S591" s="12"/>
      <c r="T591" s="12"/>
      <c r="U591" s="12"/>
      <c r="W591" s="12"/>
      <c r="X591" s="12"/>
      <c r="Y591" s="12"/>
      <c r="Z591" s="12"/>
      <c r="AA591" s="12"/>
    </row>
    <row r="592" spans="1:27">
      <c r="A592" s="12"/>
      <c r="B592" s="12"/>
      <c r="C592" s="12"/>
      <c r="D592" s="12"/>
      <c r="E592" s="12"/>
      <c r="F592" s="12"/>
      <c r="G592" s="12"/>
      <c r="H592" s="12"/>
      <c r="I592" s="12"/>
      <c r="J592" s="12"/>
      <c r="K592" s="12"/>
      <c r="L592" s="12"/>
      <c r="M592" s="12"/>
      <c r="N592" s="12"/>
      <c r="O592" s="12"/>
      <c r="P592" s="12"/>
      <c r="Q592" s="12"/>
      <c r="R592" s="12"/>
      <c r="S592" s="12"/>
      <c r="T592" s="12"/>
      <c r="U592" s="12"/>
      <c r="W592" s="12"/>
      <c r="X592" s="12"/>
      <c r="Y592" s="12"/>
      <c r="Z592" s="12"/>
      <c r="AA592" s="12"/>
    </row>
    <row r="593" spans="1:27">
      <c r="A593" s="12"/>
      <c r="B593" s="12"/>
      <c r="C593" s="12"/>
      <c r="D593" s="12"/>
      <c r="E593" s="12"/>
      <c r="F593" s="12"/>
      <c r="G593" s="12"/>
      <c r="H593" s="12"/>
      <c r="I593" s="12"/>
      <c r="J593" s="12"/>
      <c r="K593" s="12"/>
      <c r="L593" s="12"/>
      <c r="M593" s="12"/>
      <c r="N593" s="12"/>
      <c r="O593" s="12"/>
      <c r="P593" s="12"/>
      <c r="Q593" s="12"/>
      <c r="R593" s="12"/>
      <c r="S593" s="12"/>
      <c r="T593" s="12"/>
      <c r="U593" s="12"/>
      <c r="W593" s="12"/>
      <c r="X593" s="12"/>
      <c r="Y593" s="12"/>
      <c r="Z593" s="12"/>
      <c r="AA593" s="12"/>
    </row>
    <row r="594" spans="1:27">
      <c r="A594" s="12"/>
      <c r="B594" s="12"/>
      <c r="C594" s="12"/>
      <c r="D594" s="12"/>
      <c r="E594" s="12"/>
      <c r="F594" s="12"/>
      <c r="G594" s="12"/>
      <c r="H594" s="12"/>
      <c r="I594" s="12"/>
      <c r="J594" s="12"/>
      <c r="K594" s="12"/>
      <c r="L594" s="12"/>
      <c r="M594" s="12"/>
      <c r="N594" s="12"/>
      <c r="O594" s="12"/>
      <c r="P594" s="12"/>
      <c r="Q594" s="12"/>
      <c r="R594" s="12"/>
      <c r="S594" s="12"/>
      <c r="T594" s="12"/>
      <c r="U594" s="12"/>
      <c r="W594" s="12"/>
      <c r="X594" s="12"/>
      <c r="Y594" s="12"/>
      <c r="Z594" s="12"/>
      <c r="AA594" s="12"/>
    </row>
    <row r="595" spans="1:27">
      <c r="A595" s="12"/>
      <c r="B595" s="12"/>
      <c r="C595" s="12"/>
      <c r="D595" s="12"/>
      <c r="E595" s="12"/>
      <c r="F595" s="12"/>
      <c r="G595" s="12"/>
      <c r="H595" s="12"/>
      <c r="I595" s="12"/>
      <c r="J595" s="12"/>
      <c r="K595" s="12"/>
      <c r="L595" s="12"/>
      <c r="M595" s="12"/>
      <c r="N595" s="12"/>
      <c r="O595" s="12"/>
      <c r="P595" s="12"/>
      <c r="Q595" s="12"/>
      <c r="R595" s="12"/>
      <c r="S595" s="12"/>
      <c r="T595" s="12"/>
      <c r="U595" s="12"/>
      <c r="W595" s="12"/>
      <c r="X595" s="12"/>
      <c r="Y595" s="12"/>
      <c r="Z595" s="12"/>
      <c r="AA595" s="12"/>
    </row>
    <row r="596" spans="1:27">
      <c r="A596" s="12"/>
      <c r="B596" s="12"/>
      <c r="C596" s="12"/>
      <c r="D596" s="12"/>
      <c r="E596" s="12"/>
      <c r="F596" s="12"/>
      <c r="G596" s="12"/>
      <c r="H596" s="12"/>
      <c r="I596" s="12"/>
      <c r="J596" s="12"/>
      <c r="K596" s="12"/>
      <c r="L596" s="12"/>
      <c r="M596" s="12"/>
      <c r="N596" s="12"/>
      <c r="O596" s="12"/>
      <c r="P596" s="12"/>
      <c r="Q596" s="12"/>
      <c r="R596" s="12"/>
      <c r="S596" s="12"/>
      <c r="T596" s="12"/>
      <c r="U596" s="12"/>
      <c r="W596" s="12"/>
      <c r="X596" s="12"/>
      <c r="Y596" s="12"/>
      <c r="Z596" s="12"/>
      <c r="AA596" s="12"/>
    </row>
    <row r="597" spans="1:27">
      <c r="A597" s="12"/>
      <c r="B597" s="12"/>
      <c r="C597" s="12"/>
      <c r="D597" s="12"/>
      <c r="E597" s="12"/>
      <c r="F597" s="12"/>
      <c r="G597" s="12"/>
      <c r="H597" s="12"/>
      <c r="I597" s="12"/>
      <c r="J597" s="12"/>
      <c r="K597" s="12"/>
      <c r="L597" s="12"/>
      <c r="M597" s="12"/>
      <c r="N597" s="12"/>
      <c r="O597" s="12"/>
      <c r="P597" s="12"/>
      <c r="Q597" s="12"/>
      <c r="R597" s="12"/>
      <c r="S597" s="12"/>
      <c r="T597" s="12"/>
      <c r="U597" s="12"/>
      <c r="W597" s="12"/>
      <c r="X597" s="12"/>
      <c r="Y597" s="12"/>
      <c r="Z597" s="12"/>
      <c r="AA597" s="12"/>
    </row>
    <row r="598" spans="1:27">
      <c r="A598" s="12"/>
      <c r="B598" s="12"/>
      <c r="C598" s="12"/>
      <c r="D598" s="12"/>
      <c r="E598" s="12"/>
      <c r="F598" s="12"/>
      <c r="G598" s="12"/>
      <c r="H598" s="12"/>
      <c r="I598" s="12"/>
      <c r="J598" s="12"/>
      <c r="K598" s="12"/>
      <c r="L598" s="12"/>
      <c r="M598" s="12"/>
      <c r="N598" s="12"/>
      <c r="O598" s="12"/>
      <c r="P598" s="12"/>
      <c r="Q598" s="12"/>
      <c r="R598" s="12"/>
      <c r="S598" s="12"/>
      <c r="T598" s="12"/>
      <c r="U598" s="12"/>
      <c r="W598" s="12"/>
      <c r="X598" s="12"/>
      <c r="Y598" s="12"/>
      <c r="Z598" s="12"/>
      <c r="AA598" s="12"/>
    </row>
    <row r="599" spans="1:27">
      <c r="A599" s="12"/>
      <c r="B599" s="12"/>
      <c r="C599" s="12"/>
      <c r="D599" s="12"/>
      <c r="E599" s="12"/>
      <c r="F599" s="12"/>
      <c r="G599" s="12"/>
      <c r="H599" s="12"/>
      <c r="I599" s="12"/>
      <c r="J599" s="12"/>
      <c r="K599" s="12"/>
      <c r="L599" s="12"/>
      <c r="M599" s="12"/>
      <c r="N599" s="12"/>
      <c r="O599" s="12"/>
      <c r="P599" s="12"/>
      <c r="Q599" s="12"/>
      <c r="R599" s="12"/>
      <c r="S599" s="12"/>
      <c r="T599" s="12"/>
      <c r="U599" s="12"/>
      <c r="W599" s="12"/>
      <c r="X599" s="12"/>
      <c r="Y599" s="12"/>
      <c r="Z599" s="12"/>
      <c r="AA599" s="12"/>
    </row>
    <row r="600" spans="1:27">
      <c r="A600" s="12"/>
      <c r="B600" s="12"/>
      <c r="C600" s="12"/>
      <c r="D600" s="12"/>
      <c r="E600" s="12"/>
      <c r="F600" s="12"/>
      <c r="G600" s="12"/>
      <c r="H600" s="12"/>
      <c r="I600" s="12"/>
      <c r="J600" s="12"/>
      <c r="K600" s="12"/>
      <c r="L600" s="12"/>
      <c r="M600" s="12"/>
      <c r="N600" s="12"/>
      <c r="O600" s="12"/>
      <c r="P600" s="12"/>
      <c r="Q600" s="12"/>
      <c r="R600" s="12"/>
      <c r="S600" s="12"/>
      <c r="T600" s="12"/>
      <c r="U600" s="12"/>
      <c r="W600" s="12"/>
      <c r="X600" s="12"/>
      <c r="Y600" s="12"/>
      <c r="Z600" s="12"/>
      <c r="AA600" s="12"/>
    </row>
    <row r="601" spans="1:27">
      <c r="A601" s="12"/>
      <c r="B601" s="12"/>
      <c r="C601" s="12"/>
      <c r="D601" s="12"/>
      <c r="E601" s="12"/>
      <c r="F601" s="12"/>
      <c r="G601" s="12"/>
      <c r="H601" s="12"/>
      <c r="I601" s="12"/>
      <c r="J601" s="12"/>
      <c r="K601" s="12"/>
      <c r="L601" s="12"/>
      <c r="M601" s="12"/>
      <c r="N601" s="12"/>
      <c r="O601" s="12"/>
      <c r="P601" s="12"/>
      <c r="Q601" s="12"/>
      <c r="R601" s="12"/>
      <c r="S601" s="12"/>
      <c r="T601" s="12"/>
      <c r="U601" s="12"/>
      <c r="W601" s="12"/>
      <c r="X601" s="12"/>
      <c r="Y601" s="12"/>
      <c r="Z601" s="12"/>
      <c r="AA601" s="12"/>
    </row>
    <row r="602" spans="1:27">
      <c r="A602" s="12"/>
      <c r="B602" s="12"/>
      <c r="C602" s="12"/>
      <c r="D602" s="12"/>
      <c r="E602" s="12"/>
      <c r="F602" s="12"/>
      <c r="G602" s="12"/>
      <c r="H602" s="12"/>
      <c r="I602" s="12"/>
      <c r="J602" s="12"/>
      <c r="K602" s="12"/>
      <c r="L602" s="12"/>
      <c r="M602" s="12"/>
      <c r="N602" s="12"/>
      <c r="O602" s="12"/>
      <c r="P602" s="12"/>
      <c r="Q602" s="12"/>
      <c r="R602" s="12"/>
      <c r="S602" s="12"/>
      <c r="T602" s="12"/>
      <c r="U602" s="12"/>
      <c r="W602" s="12"/>
      <c r="X602" s="12"/>
      <c r="Y602" s="12"/>
      <c r="Z602" s="12"/>
      <c r="AA602" s="12"/>
    </row>
    <row r="603" spans="1:27">
      <c r="A603" s="12"/>
      <c r="B603" s="12"/>
      <c r="C603" s="12"/>
      <c r="D603" s="12"/>
      <c r="E603" s="12"/>
      <c r="F603" s="12"/>
      <c r="G603" s="12"/>
      <c r="H603" s="12"/>
      <c r="I603" s="12"/>
      <c r="J603" s="12"/>
      <c r="K603" s="12"/>
      <c r="L603" s="12"/>
      <c r="M603" s="12"/>
      <c r="N603" s="12"/>
      <c r="O603" s="12"/>
      <c r="P603" s="12"/>
      <c r="Q603" s="12"/>
      <c r="R603" s="12"/>
      <c r="S603" s="12"/>
      <c r="T603" s="12"/>
      <c r="U603" s="12"/>
      <c r="W603" s="12"/>
      <c r="X603" s="12"/>
      <c r="Y603" s="12"/>
      <c r="Z603" s="12"/>
      <c r="AA603" s="12"/>
    </row>
    <row r="604" spans="1:27">
      <c r="A604" s="12"/>
      <c r="B604" s="12"/>
      <c r="C604" s="12"/>
      <c r="D604" s="12"/>
      <c r="E604" s="12"/>
      <c r="F604" s="12"/>
      <c r="G604" s="12"/>
      <c r="H604" s="12"/>
      <c r="I604" s="12"/>
      <c r="J604" s="12"/>
      <c r="K604" s="12"/>
      <c r="L604" s="12"/>
      <c r="M604" s="12"/>
      <c r="N604" s="12"/>
      <c r="O604" s="12"/>
      <c r="P604" s="12"/>
      <c r="Q604" s="12"/>
      <c r="R604" s="12"/>
      <c r="S604" s="12"/>
      <c r="T604" s="12"/>
      <c r="U604" s="12"/>
      <c r="W604" s="12"/>
      <c r="X604" s="12"/>
      <c r="Y604" s="12"/>
      <c r="Z604" s="12"/>
      <c r="AA604" s="12"/>
    </row>
    <row r="605" spans="1:27">
      <c r="A605" s="12"/>
      <c r="B605" s="12"/>
      <c r="C605" s="12"/>
      <c r="D605" s="12"/>
      <c r="E605" s="12"/>
      <c r="F605" s="12"/>
      <c r="G605" s="12"/>
      <c r="H605" s="12"/>
      <c r="I605" s="12"/>
      <c r="J605" s="12"/>
      <c r="K605" s="12"/>
      <c r="L605" s="12"/>
      <c r="M605" s="12"/>
      <c r="N605" s="12"/>
      <c r="O605" s="12"/>
      <c r="P605" s="12"/>
      <c r="Q605" s="12"/>
      <c r="R605" s="12"/>
      <c r="S605" s="12"/>
      <c r="T605" s="12"/>
      <c r="U605" s="12"/>
      <c r="W605" s="12"/>
      <c r="X605" s="12"/>
      <c r="Y605" s="12"/>
      <c r="Z605" s="12"/>
      <c r="AA605" s="12"/>
    </row>
    <row r="606" spans="1:27">
      <c r="A606" s="12"/>
      <c r="B606" s="12"/>
      <c r="C606" s="12"/>
      <c r="D606" s="12"/>
      <c r="E606" s="12"/>
      <c r="F606" s="12"/>
      <c r="G606" s="12"/>
      <c r="H606" s="12"/>
      <c r="I606" s="12"/>
      <c r="J606" s="12"/>
      <c r="K606" s="12"/>
      <c r="L606" s="12"/>
      <c r="M606" s="12"/>
      <c r="N606" s="12"/>
      <c r="O606" s="12"/>
      <c r="P606" s="12"/>
      <c r="Q606" s="12"/>
      <c r="R606" s="12"/>
      <c r="S606" s="12"/>
      <c r="T606" s="12"/>
      <c r="U606" s="12"/>
      <c r="W606" s="12"/>
      <c r="X606" s="12"/>
      <c r="Y606" s="12"/>
      <c r="Z606" s="12"/>
      <c r="AA606" s="12"/>
    </row>
    <row r="607" spans="1:27">
      <c r="A607" s="12"/>
      <c r="B607" s="12"/>
      <c r="C607" s="12"/>
      <c r="D607" s="12"/>
      <c r="E607" s="12"/>
      <c r="F607" s="12"/>
      <c r="G607" s="12"/>
      <c r="H607" s="12"/>
      <c r="I607" s="12"/>
      <c r="J607" s="12"/>
      <c r="K607" s="12"/>
      <c r="L607" s="12"/>
      <c r="M607" s="12"/>
      <c r="N607" s="12"/>
      <c r="O607" s="12"/>
      <c r="P607" s="12"/>
      <c r="Q607" s="12"/>
      <c r="R607" s="12"/>
      <c r="S607" s="12"/>
      <c r="T607" s="12"/>
      <c r="U607" s="12"/>
      <c r="W607" s="12"/>
      <c r="X607" s="12"/>
      <c r="Y607" s="12"/>
      <c r="Z607" s="12"/>
      <c r="AA607" s="12"/>
    </row>
    <row r="608" spans="1:27">
      <c r="A608" s="12"/>
      <c r="B608" s="12"/>
      <c r="C608" s="12"/>
      <c r="D608" s="12"/>
      <c r="E608" s="12"/>
      <c r="F608" s="12"/>
      <c r="G608" s="12"/>
      <c r="H608" s="12"/>
      <c r="I608" s="12"/>
      <c r="J608" s="12"/>
      <c r="K608" s="12"/>
      <c r="L608" s="12"/>
      <c r="M608" s="12"/>
      <c r="N608" s="12"/>
      <c r="O608" s="12"/>
      <c r="P608" s="12"/>
      <c r="Q608" s="12"/>
      <c r="R608" s="12"/>
      <c r="S608" s="12"/>
      <c r="T608" s="12"/>
      <c r="U608" s="12"/>
      <c r="W608" s="12"/>
      <c r="X608" s="12"/>
      <c r="Y608" s="12"/>
      <c r="Z608" s="12"/>
      <c r="AA608" s="12"/>
    </row>
    <row r="609" spans="1:27">
      <c r="A609" s="12"/>
      <c r="B609" s="12"/>
      <c r="C609" s="12"/>
      <c r="D609" s="12"/>
      <c r="E609" s="12"/>
      <c r="F609" s="12"/>
      <c r="G609" s="12"/>
      <c r="H609" s="12"/>
      <c r="I609" s="12"/>
      <c r="J609" s="12"/>
      <c r="K609" s="12"/>
      <c r="L609" s="12"/>
      <c r="M609" s="12"/>
      <c r="N609" s="12"/>
      <c r="O609" s="12"/>
      <c r="P609" s="12"/>
      <c r="Q609" s="12"/>
      <c r="R609" s="12"/>
      <c r="S609" s="12"/>
      <c r="T609" s="12"/>
      <c r="U609" s="12"/>
      <c r="W609" s="12"/>
      <c r="X609" s="12"/>
      <c r="Y609" s="12"/>
      <c r="Z609" s="12"/>
      <c r="AA609" s="12"/>
    </row>
    <row r="610" spans="1:27">
      <c r="A610" s="12"/>
      <c r="B610" s="12"/>
      <c r="C610" s="12"/>
      <c r="D610" s="12"/>
      <c r="E610" s="12"/>
      <c r="F610" s="12"/>
      <c r="G610" s="12"/>
      <c r="H610" s="12"/>
      <c r="I610" s="12"/>
      <c r="J610" s="12"/>
      <c r="K610" s="12"/>
      <c r="L610" s="12"/>
      <c r="M610" s="12"/>
      <c r="N610" s="12"/>
      <c r="O610" s="12"/>
      <c r="P610" s="12"/>
      <c r="Q610" s="12"/>
      <c r="R610" s="12"/>
      <c r="S610" s="12"/>
      <c r="T610" s="12"/>
      <c r="U610" s="12"/>
      <c r="W610" s="12"/>
      <c r="X610" s="12"/>
      <c r="Y610" s="12"/>
      <c r="Z610" s="12"/>
      <c r="AA610" s="12"/>
    </row>
    <row r="611" spans="1:27">
      <c r="A611" s="12"/>
      <c r="B611" s="12"/>
      <c r="C611" s="12"/>
      <c r="D611" s="12"/>
      <c r="E611" s="12"/>
      <c r="F611" s="12"/>
      <c r="G611" s="12"/>
      <c r="H611" s="12"/>
      <c r="I611" s="12"/>
      <c r="J611" s="12"/>
      <c r="K611" s="12"/>
      <c r="L611" s="12"/>
      <c r="M611" s="12"/>
      <c r="N611" s="12"/>
      <c r="O611" s="12"/>
      <c r="P611" s="12"/>
      <c r="Q611" s="12"/>
      <c r="R611" s="12"/>
      <c r="S611" s="12"/>
      <c r="T611" s="12"/>
      <c r="U611" s="12"/>
      <c r="W611" s="12"/>
      <c r="X611" s="12"/>
      <c r="Y611" s="12"/>
      <c r="Z611" s="12"/>
      <c r="AA611" s="12"/>
    </row>
    <row r="612" spans="1:27">
      <c r="A612" s="12"/>
      <c r="B612" s="12"/>
      <c r="C612" s="12"/>
      <c r="D612" s="12"/>
      <c r="E612" s="12"/>
      <c r="F612" s="12"/>
      <c r="G612" s="12"/>
      <c r="H612" s="12"/>
      <c r="I612" s="12"/>
      <c r="J612" s="12"/>
      <c r="K612" s="12"/>
      <c r="L612" s="12"/>
      <c r="M612" s="12"/>
      <c r="N612" s="12"/>
      <c r="O612" s="12"/>
      <c r="P612" s="12"/>
      <c r="Q612" s="12"/>
      <c r="R612" s="12"/>
      <c r="S612" s="12"/>
      <c r="T612" s="12"/>
      <c r="U612" s="12"/>
      <c r="W612" s="12"/>
      <c r="X612" s="12"/>
      <c r="Y612" s="12"/>
      <c r="Z612" s="12"/>
      <c r="AA612" s="12"/>
    </row>
    <row r="613" spans="1:27">
      <c r="A613" s="12"/>
      <c r="B613" s="12"/>
      <c r="C613" s="12"/>
      <c r="D613" s="12"/>
      <c r="E613" s="12"/>
      <c r="F613" s="12"/>
      <c r="G613" s="12"/>
      <c r="H613" s="12"/>
      <c r="I613" s="12"/>
      <c r="J613" s="12"/>
      <c r="K613" s="12"/>
      <c r="L613" s="12"/>
      <c r="M613" s="12"/>
      <c r="N613" s="12"/>
      <c r="O613" s="12"/>
      <c r="P613" s="12"/>
      <c r="Q613" s="12"/>
      <c r="R613" s="12"/>
      <c r="S613" s="12"/>
      <c r="T613" s="12"/>
      <c r="U613" s="12"/>
      <c r="W613" s="12"/>
      <c r="X613" s="12"/>
      <c r="Y613" s="12"/>
      <c r="Z613" s="12"/>
      <c r="AA613" s="12"/>
    </row>
    <row r="614" spans="1:27">
      <c r="A614" s="12"/>
      <c r="B614" s="12"/>
      <c r="C614" s="12"/>
      <c r="D614" s="12"/>
      <c r="E614" s="12"/>
      <c r="F614" s="12"/>
      <c r="G614" s="12"/>
      <c r="H614" s="12"/>
      <c r="I614" s="12"/>
      <c r="J614" s="12"/>
      <c r="K614" s="12"/>
      <c r="L614" s="12"/>
      <c r="M614" s="12"/>
      <c r="N614" s="12"/>
      <c r="O614" s="12"/>
      <c r="P614" s="12"/>
      <c r="Q614" s="12"/>
      <c r="R614" s="12"/>
      <c r="S614" s="12"/>
      <c r="T614" s="12"/>
      <c r="U614" s="12"/>
      <c r="W614" s="12"/>
      <c r="X614" s="12"/>
      <c r="Y614" s="12"/>
      <c r="Z614" s="12"/>
      <c r="AA614" s="12"/>
    </row>
    <row r="615" spans="1:27">
      <c r="A615" s="12"/>
      <c r="B615" s="12"/>
      <c r="C615" s="12"/>
      <c r="D615" s="12"/>
      <c r="E615" s="12"/>
      <c r="F615" s="12"/>
      <c r="G615" s="12"/>
      <c r="H615" s="12"/>
      <c r="I615" s="12"/>
      <c r="J615" s="12"/>
      <c r="K615" s="12"/>
      <c r="L615" s="12"/>
      <c r="M615" s="12"/>
      <c r="N615" s="12"/>
      <c r="O615" s="12"/>
      <c r="P615" s="12"/>
      <c r="Q615" s="12"/>
      <c r="R615" s="12"/>
      <c r="S615" s="12"/>
      <c r="T615" s="12"/>
      <c r="U615" s="12"/>
      <c r="W615" s="12"/>
      <c r="X615" s="12"/>
      <c r="Y615" s="12"/>
      <c r="Z615" s="12"/>
      <c r="AA615" s="12"/>
    </row>
    <row r="616" spans="1:27">
      <c r="A616" s="12"/>
      <c r="B616" s="12"/>
      <c r="C616" s="12"/>
      <c r="D616" s="12"/>
      <c r="E616" s="12"/>
      <c r="F616" s="12"/>
      <c r="G616" s="12"/>
      <c r="H616" s="12"/>
      <c r="I616" s="12"/>
      <c r="J616" s="12"/>
      <c r="K616" s="12"/>
      <c r="L616" s="12"/>
      <c r="M616" s="12"/>
      <c r="N616" s="12"/>
      <c r="O616" s="12"/>
      <c r="P616" s="12"/>
      <c r="Q616" s="12"/>
      <c r="R616" s="12"/>
      <c r="S616" s="12"/>
      <c r="T616" s="12"/>
      <c r="U616" s="12"/>
      <c r="W616" s="12"/>
      <c r="X616" s="12"/>
      <c r="Y616" s="12"/>
      <c r="Z616" s="12"/>
      <c r="AA616" s="12"/>
    </row>
    <row r="617" spans="1:27">
      <c r="A617" s="12"/>
      <c r="B617" s="12"/>
      <c r="C617" s="12"/>
      <c r="D617" s="12"/>
      <c r="E617" s="12"/>
      <c r="F617" s="12"/>
      <c r="G617" s="12"/>
      <c r="H617" s="12"/>
      <c r="I617" s="12"/>
      <c r="J617" s="12"/>
      <c r="K617" s="12"/>
      <c r="L617" s="12"/>
      <c r="M617" s="12"/>
      <c r="N617" s="12"/>
      <c r="O617" s="12"/>
      <c r="P617" s="12"/>
      <c r="Q617" s="12"/>
      <c r="R617" s="12"/>
      <c r="S617" s="12"/>
      <c r="T617" s="12"/>
      <c r="U617" s="12"/>
      <c r="W617" s="12"/>
      <c r="X617" s="12"/>
      <c r="Y617" s="12"/>
      <c r="Z617" s="12"/>
      <c r="AA617" s="12"/>
    </row>
    <row r="618" spans="1:27">
      <c r="A618" s="12"/>
      <c r="B618" s="12"/>
      <c r="C618" s="12"/>
      <c r="D618" s="12"/>
      <c r="E618" s="12"/>
      <c r="F618" s="12"/>
      <c r="G618" s="12"/>
      <c r="H618" s="12"/>
      <c r="I618" s="12"/>
      <c r="J618" s="12"/>
      <c r="K618" s="12"/>
      <c r="L618" s="12"/>
      <c r="M618" s="12"/>
      <c r="N618" s="12"/>
      <c r="O618" s="12"/>
      <c r="P618" s="12"/>
      <c r="Q618" s="12"/>
      <c r="R618" s="12"/>
      <c r="S618" s="12"/>
      <c r="T618" s="12"/>
      <c r="U618" s="12"/>
      <c r="W618" s="12"/>
      <c r="X618" s="12"/>
      <c r="Y618" s="12"/>
      <c r="Z618" s="12"/>
      <c r="AA618" s="12"/>
    </row>
    <row r="619" spans="1:27">
      <c r="A619" s="12"/>
      <c r="B619" s="12"/>
      <c r="C619" s="12"/>
      <c r="D619" s="12"/>
      <c r="E619" s="12"/>
      <c r="F619" s="12"/>
      <c r="G619" s="12"/>
      <c r="H619" s="12"/>
      <c r="I619" s="12"/>
      <c r="J619" s="12"/>
      <c r="K619" s="12"/>
      <c r="L619" s="12"/>
      <c r="M619" s="12"/>
      <c r="N619" s="12"/>
      <c r="O619" s="12"/>
      <c r="P619" s="12"/>
      <c r="Q619" s="12"/>
      <c r="R619" s="12"/>
      <c r="S619" s="12"/>
      <c r="T619" s="12"/>
      <c r="U619" s="12"/>
      <c r="W619" s="12"/>
      <c r="X619" s="12"/>
      <c r="Y619" s="12"/>
      <c r="Z619" s="12"/>
      <c r="AA619" s="12"/>
    </row>
    <row r="620" spans="1:27">
      <c r="A620" s="12"/>
      <c r="B620" s="12"/>
      <c r="C620" s="12"/>
      <c r="D620" s="12"/>
      <c r="E620" s="12"/>
      <c r="F620" s="12"/>
      <c r="G620" s="12"/>
      <c r="H620" s="12"/>
      <c r="I620" s="12"/>
      <c r="J620" s="12"/>
      <c r="K620" s="12"/>
      <c r="L620" s="12"/>
      <c r="M620" s="12"/>
      <c r="N620" s="12"/>
      <c r="O620" s="12"/>
      <c r="P620" s="12"/>
      <c r="Q620" s="12"/>
      <c r="R620" s="12"/>
      <c r="S620" s="12"/>
      <c r="T620" s="12"/>
      <c r="U620" s="12"/>
      <c r="W620" s="12"/>
      <c r="X620" s="12"/>
      <c r="Y620" s="12"/>
      <c r="Z620" s="12"/>
      <c r="AA620" s="12"/>
    </row>
    <row r="621" spans="1:27">
      <c r="A621" s="12"/>
      <c r="B621" s="12"/>
      <c r="C621" s="12"/>
      <c r="D621" s="12"/>
      <c r="E621" s="12"/>
      <c r="F621" s="12"/>
      <c r="G621" s="12"/>
      <c r="H621" s="12"/>
      <c r="I621" s="12"/>
      <c r="J621" s="12"/>
      <c r="K621" s="12"/>
      <c r="L621" s="12"/>
      <c r="M621" s="12"/>
      <c r="N621" s="12"/>
      <c r="O621" s="12"/>
      <c r="P621" s="12"/>
      <c r="Q621" s="12"/>
      <c r="R621" s="12"/>
      <c r="S621" s="12"/>
      <c r="T621" s="12"/>
      <c r="U621" s="12"/>
      <c r="W621" s="12"/>
      <c r="X621" s="12"/>
      <c r="Y621" s="12"/>
      <c r="Z621" s="12"/>
      <c r="AA621" s="12"/>
    </row>
    <row r="622" spans="1:27">
      <c r="A622" s="12"/>
      <c r="B622" s="12"/>
      <c r="C622" s="12"/>
      <c r="D622" s="12"/>
      <c r="E622" s="12"/>
      <c r="F622" s="12"/>
      <c r="G622" s="12"/>
      <c r="H622" s="12"/>
      <c r="I622" s="12"/>
      <c r="J622" s="12"/>
      <c r="K622" s="12"/>
      <c r="L622" s="12"/>
      <c r="M622" s="12"/>
      <c r="N622" s="12"/>
      <c r="O622" s="12"/>
      <c r="P622" s="12"/>
      <c r="Q622" s="12"/>
      <c r="R622" s="12"/>
      <c r="S622" s="12"/>
      <c r="T622" s="12"/>
      <c r="U622" s="12"/>
      <c r="W622" s="12"/>
      <c r="X622" s="12"/>
      <c r="Y622" s="12"/>
      <c r="Z622" s="12"/>
      <c r="AA622" s="12"/>
    </row>
    <row r="623" spans="1:27">
      <c r="A623" s="12"/>
      <c r="B623" s="12"/>
      <c r="C623" s="12"/>
      <c r="D623" s="12"/>
      <c r="E623" s="12"/>
      <c r="F623" s="12"/>
      <c r="G623" s="12"/>
      <c r="H623" s="12"/>
      <c r="I623" s="12"/>
      <c r="J623" s="12"/>
      <c r="K623" s="12"/>
      <c r="L623" s="12"/>
      <c r="M623" s="12"/>
      <c r="N623" s="12"/>
      <c r="O623" s="12"/>
      <c r="P623" s="12"/>
      <c r="Q623" s="12"/>
      <c r="R623" s="12"/>
      <c r="S623" s="12"/>
      <c r="T623" s="12"/>
      <c r="U623" s="12"/>
      <c r="W623" s="12"/>
      <c r="X623" s="12"/>
      <c r="Y623" s="12"/>
      <c r="Z623" s="12"/>
      <c r="AA623" s="12"/>
    </row>
    <row r="624" spans="1:27">
      <c r="A624" s="12"/>
      <c r="B624" s="12"/>
      <c r="C624" s="12"/>
      <c r="D624" s="12"/>
      <c r="E624" s="12"/>
      <c r="F624" s="12"/>
      <c r="G624" s="12"/>
      <c r="H624" s="12"/>
      <c r="I624" s="12"/>
      <c r="J624" s="12"/>
      <c r="K624" s="12"/>
      <c r="L624" s="12"/>
      <c r="M624" s="12"/>
      <c r="N624" s="12"/>
      <c r="O624" s="12"/>
      <c r="P624" s="12"/>
      <c r="Q624" s="12"/>
      <c r="R624" s="12"/>
      <c r="S624" s="12"/>
      <c r="T624" s="12"/>
      <c r="U624" s="12"/>
      <c r="W624" s="12"/>
      <c r="X624" s="12"/>
      <c r="Y624" s="12"/>
      <c r="Z624" s="12"/>
      <c r="AA624" s="12"/>
    </row>
    <row r="625" spans="1:27">
      <c r="A625" s="12"/>
      <c r="B625" s="12"/>
      <c r="C625" s="12"/>
      <c r="D625" s="12"/>
      <c r="E625" s="12"/>
      <c r="F625" s="12"/>
      <c r="G625" s="12"/>
      <c r="H625" s="12"/>
      <c r="I625" s="12"/>
      <c r="J625" s="12"/>
      <c r="K625" s="12"/>
      <c r="L625" s="12"/>
      <c r="M625" s="12"/>
      <c r="N625" s="12"/>
      <c r="O625" s="12"/>
      <c r="P625" s="12"/>
      <c r="Q625" s="12"/>
      <c r="R625" s="12"/>
      <c r="S625" s="12"/>
      <c r="T625" s="12"/>
      <c r="U625" s="12"/>
      <c r="W625" s="12"/>
      <c r="X625" s="12"/>
      <c r="Y625" s="12"/>
      <c r="Z625" s="12"/>
      <c r="AA625" s="12"/>
    </row>
    <row r="626" spans="1:27">
      <c r="A626" s="12"/>
      <c r="B626" s="12"/>
      <c r="C626" s="12"/>
      <c r="D626" s="12"/>
      <c r="E626" s="12"/>
      <c r="F626" s="12"/>
      <c r="G626" s="12"/>
      <c r="H626" s="12"/>
      <c r="I626" s="12"/>
      <c r="J626" s="12"/>
      <c r="K626" s="12"/>
      <c r="L626" s="12"/>
      <c r="M626" s="12"/>
      <c r="N626" s="12"/>
      <c r="O626" s="12"/>
      <c r="P626" s="12"/>
      <c r="Q626" s="12"/>
      <c r="R626" s="12"/>
      <c r="S626" s="12"/>
      <c r="T626" s="12"/>
      <c r="U626" s="12"/>
      <c r="W626" s="12"/>
      <c r="X626" s="12"/>
      <c r="Y626" s="12"/>
      <c r="Z626" s="12"/>
      <c r="AA626" s="12"/>
    </row>
    <row r="627" spans="1:27">
      <c r="A627" s="12"/>
      <c r="B627" s="12"/>
      <c r="C627" s="12"/>
      <c r="D627" s="12"/>
      <c r="E627" s="12"/>
      <c r="F627" s="12"/>
      <c r="G627" s="12"/>
      <c r="H627" s="12"/>
      <c r="I627" s="12"/>
      <c r="J627" s="12"/>
      <c r="K627" s="12"/>
      <c r="L627" s="12"/>
      <c r="M627" s="12"/>
      <c r="N627" s="12"/>
      <c r="O627" s="12"/>
      <c r="P627" s="12"/>
      <c r="Q627" s="12"/>
      <c r="R627" s="12"/>
      <c r="S627" s="12"/>
      <c r="T627" s="12"/>
      <c r="U627" s="12"/>
      <c r="W627" s="12"/>
      <c r="X627" s="12"/>
      <c r="Y627" s="12"/>
      <c r="Z627" s="12"/>
      <c r="AA627" s="12"/>
    </row>
    <row r="628" spans="1:27">
      <c r="A628" s="12"/>
      <c r="B628" s="12"/>
      <c r="C628" s="12"/>
      <c r="D628" s="12"/>
      <c r="E628" s="12"/>
      <c r="F628" s="12"/>
      <c r="G628" s="12"/>
      <c r="H628" s="12"/>
      <c r="I628" s="12"/>
      <c r="J628" s="12"/>
      <c r="K628" s="12"/>
      <c r="L628" s="12"/>
      <c r="M628" s="12"/>
      <c r="N628" s="12"/>
      <c r="O628" s="12"/>
      <c r="P628" s="12"/>
      <c r="Q628" s="12"/>
      <c r="R628" s="12"/>
      <c r="S628" s="12"/>
      <c r="T628" s="12"/>
      <c r="U628" s="12"/>
      <c r="W628" s="12"/>
      <c r="X628" s="12"/>
      <c r="Y628" s="12"/>
      <c r="Z628" s="12"/>
      <c r="AA628" s="12"/>
    </row>
    <row r="629" spans="1:27">
      <c r="A629" s="12"/>
      <c r="B629" s="12"/>
      <c r="C629" s="12"/>
      <c r="D629" s="12"/>
      <c r="E629" s="12"/>
      <c r="F629" s="12"/>
      <c r="G629" s="12"/>
      <c r="H629" s="12"/>
      <c r="I629" s="12"/>
      <c r="J629" s="12"/>
      <c r="K629" s="12"/>
      <c r="L629" s="12"/>
      <c r="M629" s="12"/>
      <c r="N629" s="12"/>
      <c r="O629" s="12"/>
      <c r="P629" s="12"/>
      <c r="Q629" s="12"/>
      <c r="R629" s="12"/>
      <c r="S629" s="12"/>
      <c r="T629" s="12"/>
      <c r="U629" s="12"/>
      <c r="W629" s="12"/>
      <c r="X629" s="12"/>
      <c r="Y629" s="12"/>
      <c r="Z629" s="12"/>
      <c r="AA629" s="12"/>
    </row>
    <row r="630" spans="1:27">
      <c r="A630" s="12"/>
      <c r="B630" s="12"/>
      <c r="C630" s="12"/>
      <c r="D630" s="12"/>
      <c r="E630" s="12"/>
      <c r="F630" s="12"/>
      <c r="G630" s="12"/>
      <c r="H630" s="12"/>
      <c r="I630" s="12"/>
      <c r="J630" s="12"/>
      <c r="K630" s="12"/>
      <c r="L630" s="12"/>
      <c r="M630" s="12"/>
      <c r="N630" s="12"/>
      <c r="O630" s="12"/>
      <c r="P630" s="12"/>
      <c r="Q630" s="12"/>
      <c r="R630" s="12"/>
      <c r="S630" s="12"/>
      <c r="T630" s="12"/>
      <c r="U630" s="12"/>
      <c r="W630" s="12"/>
      <c r="X630" s="12"/>
      <c r="Y630" s="12"/>
      <c r="Z630" s="12"/>
      <c r="AA630" s="12"/>
    </row>
    <row r="631" spans="1:27">
      <c r="A631" s="12"/>
      <c r="B631" s="12"/>
      <c r="C631" s="12"/>
      <c r="D631" s="12"/>
      <c r="E631" s="12"/>
      <c r="F631" s="12"/>
      <c r="G631" s="12"/>
      <c r="H631" s="12"/>
      <c r="I631" s="12"/>
      <c r="J631" s="12"/>
      <c r="K631" s="12"/>
      <c r="L631" s="12"/>
      <c r="M631" s="12"/>
      <c r="N631" s="12"/>
      <c r="O631" s="12"/>
      <c r="P631" s="12"/>
      <c r="Q631" s="12"/>
      <c r="R631" s="12"/>
      <c r="S631" s="12"/>
      <c r="T631" s="12"/>
      <c r="U631" s="12"/>
      <c r="W631" s="12"/>
      <c r="X631" s="12"/>
      <c r="Y631" s="12"/>
      <c r="Z631" s="12"/>
      <c r="AA631" s="12"/>
    </row>
    <row r="632" spans="1:27">
      <c r="A632" s="12"/>
      <c r="B632" s="12"/>
      <c r="C632" s="12"/>
      <c r="D632" s="12"/>
      <c r="E632" s="12"/>
      <c r="F632" s="12"/>
      <c r="G632" s="12"/>
      <c r="H632" s="12"/>
      <c r="I632" s="12"/>
      <c r="J632" s="12"/>
      <c r="K632" s="12"/>
      <c r="L632" s="12"/>
      <c r="M632" s="12"/>
      <c r="N632" s="12"/>
      <c r="O632" s="12"/>
      <c r="P632" s="12"/>
      <c r="Q632" s="12"/>
      <c r="R632" s="12"/>
      <c r="S632" s="12"/>
      <c r="T632" s="12"/>
      <c r="U632" s="12"/>
      <c r="W632" s="12"/>
      <c r="X632" s="12"/>
      <c r="Y632" s="12"/>
      <c r="Z632" s="12"/>
      <c r="AA632" s="12"/>
    </row>
    <row r="633" spans="1:27">
      <c r="A633" s="12"/>
      <c r="B633" s="12"/>
      <c r="C633" s="12"/>
      <c r="D633" s="12"/>
      <c r="E633" s="12"/>
      <c r="F633" s="12"/>
      <c r="G633" s="12"/>
      <c r="H633" s="12"/>
      <c r="I633" s="12"/>
      <c r="J633" s="12"/>
      <c r="K633" s="12"/>
      <c r="L633" s="12"/>
      <c r="M633" s="12"/>
      <c r="N633" s="12"/>
      <c r="O633" s="12"/>
      <c r="P633" s="12"/>
      <c r="Q633" s="12"/>
      <c r="R633" s="12"/>
      <c r="S633" s="12"/>
      <c r="T633" s="12"/>
      <c r="U633" s="12"/>
      <c r="W633" s="12"/>
      <c r="X633" s="12"/>
      <c r="Y633" s="12"/>
      <c r="Z633" s="12"/>
      <c r="AA633" s="12"/>
    </row>
    <row r="634" spans="1:27">
      <c r="A634" s="12"/>
      <c r="B634" s="12"/>
      <c r="C634" s="12"/>
      <c r="D634" s="12"/>
      <c r="E634" s="12"/>
      <c r="F634" s="12"/>
      <c r="G634" s="12"/>
      <c r="H634" s="12"/>
      <c r="I634" s="12"/>
      <c r="J634" s="12"/>
      <c r="K634" s="12"/>
      <c r="L634" s="12"/>
      <c r="M634" s="12"/>
      <c r="N634" s="12"/>
      <c r="O634" s="12"/>
      <c r="P634" s="12"/>
      <c r="Q634" s="12"/>
      <c r="R634" s="12"/>
      <c r="S634" s="12"/>
      <c r="T634" s="12"/>
      <c r="U634" s="12"/>
      <c r="W634" s="12"/>
      <c r="X634" s="12"/>
      <c r="Y634" s="12"/>
      <c r="Z634" s="12"/>
      <c r="AA634" s="12"/>
    </row>
    <row r="635" spans="1:27">
      <c r="A635" s="12"/>
      <c r="B635" s="12"/>
      <c r="C635" s="12"/>
      <c r="D635" s="12"/>
      <c r="E635" s="12"/>
      <c r="F635" s="12"/>
      <c r="G635" s="12"/>
      <c r="H635" s="12"/>
      <c r="I635" s="12"/>
      <c r="J635" s="12"/>
      <c r="K635" s="12"/>
      <c r="L635" s="12"/>
      <c r="M635" s="12"/>
      <c r="N635" s="12"/>
      <c r="O635" s="12"/>
      <c r="P635" s="12"/>
      <c r="Q635" s="12"/>
      <c r="R635" s="12"/>
      <c r="S635" s="12"/>
      <c r="T635" s="12"/>
      <c r="U635" s="12"/>
      <c r="W635" s="12"/>
      <c r="X635" s="12"/>
      <c r="Y635" s="12"/>
      <c r="Z635" s="12"/>
      <c r="AA635" s="12"/>
    </row>
    <row r="636" spans="1:27">
      <c r="A636" s="12"/>
      <c r="B636" s="12"/>
      <c r="C636" s="12"/>
      <c r="D636" s="12"/>
      <c r="E636" s="12"/>
      <c r="F636" s="12"/>
      <c r="G636" s="12"/>
      <c r="H636" s="12"/>
      <c r="I636" s="12"/>
      <c r="J636" s="12"/>
      <c r="K636" s="12"/>
      <c r="L636" s="12"/>
      <c r="M636" s="12"/>
      <c r="N636" s="12"/>
      <c r="O636" s="12"/>
      <c r="P636" s="12"/>
      <c r="Q636" s="12"/>
      <c r="R636" s="12"/>
      <c r="S636" s="12"/>
      <c r="T636" s="12"/>
      <c r="U636" s="12"/>
      <c r="W636" s="12"/>
      <c r="X636" s="12"/>
      <c r="Y636" s="12"/>
      <c r="Z636" s="12"/>
      <c r="AA636" s="12"/>
    </row>
    <row r="637" spans="1:27">
      <c r="A637" s="12"/>
      <c r="B637" s="12"/>
      <c r="C637" s="12"/>
      <c r="D637" s="12"/>
      <c r="E637" s="12"/>
      <c r="F637" s="12"/>
      <c r="G637" s="12"/>
      <c r="H637" s="12"/>
      <c r="I637" s="12"/>
      <c r="J637" s="12"/>
      <c r="K637" s="12"/>
      <c r="L637" s="12"/>
      <c r="M637" s="12"/>
      <c r="N637" s="12"/>
      <c r="O637" s="12"/>
      <c r="P637" s="12"/>
      <c r="Q637" s="12"/>
      <c r="R637" s="12"/>
      <c r="S637" s="12"/>
      <c r="T637" s="12"/>
      <c r="U637" s="12"/>
      <c r="W637" s="12"/>
      <c r="X637" s="12"/>
      <c r="Y637" s="12"/>
      <c r="Z637" s="12"/>
      <c r="AA637" s="12"/>
    </row>
    <row r="638" spans="1:27">
      <c r="A638" s="12"/>
      <c r="B638" s="12"/>
      <c r="C638" s="12"/>
      <c r="D638" s="12"/>
      <c r="E638" s="12"/>
      <c r="F638" s="12"/>
      <c r="G638" s="12"/>
      <c r="H638" s="12"/>
      <c r="I638" s="12"/>
      <c r="J638" s="12"/>
      <c r="K638" s="12"/>
      <c r="L638" s="12"/>
      <c r="M638" s="12"/>
      <c r="N638" s="12"/>
      <c r="O638" s="12"/>
      <c r="P638" s="12"/>
      <c r="Q638" s="12"/>
      <c r="R638" s="12"/>
      <c r="S638" s="12"/>
      <c r="T638" s="12"/>
      <c r="U638" s="12"/>
      <c r="W638" s="12"/>
      <c r="X638" s="12"/>
      <c r="Y638" s="12"/>
      <c r="Z638" s="12"/>
      <c r="AA638" s="12"/>
    </row>
    <row r="639" spans="1:27">
      <c r="A639" s="12"/>
      <c r="B639" s="12"/>
      <c r="C639" s="12"/>
      <c r="D639" s="12"/>
      <c r="E639" s="12"/>
      <c r="F639" s="12"/>
      <c r="G639" s="12"/>
      <c r="H639" s="12"/>
      <c r="I639" s="12"/>
      <c r="J639" s="12"/>
      <c r="K639" s="12"/>
      <c r="L639" s="12"/>
      <c r="M639" s="12"/>
      <c r="N639" s="12"/>
      <c r="O639" s="12"/>
      <c r="P639" s="12"/>
      <c r="Q639" s="12"/>
      <c r="R639" s="12"/>
      <c r="S639" s="12"/>
      <c r="T639" s="12"/>
      <c r="U639" s="12"/>
      <c r="W639" s="12"/>
      <c r="X639" s="12"/>
      <c r="Y639" s="12"/>
      <c r="Z639" s="12"/>
      <c r="AA639" s="12"/>
    </row>
    <row r="640" spans="1:27">
      <c r="A640" s="12"/>
      <c r="B640" s="12"/>
      <c r="C640" s="12"/>
      <c r="D640" s="12"/>
      <c r="E640" s="12"/>
      <c r="F640" s="12"/>
      <c r="G640" s="12"/>
      <c r="H640" s="12"/>
      <c r="I640" s="12"/>
      <c r="J640" s="12"/>
      <c r="K640" s="12"/>
      <c r="L640" s="12"/>
      <c r="M640" s="12"/>
      <c r="N640" s="12"/>
      <c r="O640" s="12"/>
      <c r="P640" s="12"/>
      <c r="Q640" s="12"/>
      <c r="R640" s="12"/>
      <c r="S640" s="12"/>
      <c r="T640" s="12"/>
      <c r="U640" s="12"/>
      <c r="W640" s="12"/>
      <c r="X640" s="12"/>
      <c r="Y640" s="12"/>
      <c r="Z640" s="12"/>
      <c r="AA640" s="12"/>
    </row>
    <row r="641" spans="1:27">
      <c r="A641" s="12"/>
      <c r="B641" s="12"/>
      <c r="C641" s="12"/>
      <c r="D641" s="12"/>
      <c r="E641" s="12"/>
      <c r="F641" s="12"/>
      <c r="G641" s="12"/>
      <c r="H641" s="12"/>
      <c r="I641" s="12"/>
      <c r="J641" s="12"/>
      <c r="K641" s="12"/>
      <c r="L641" s="12"/>
      <c r="M641" s="12"/>
      <c r="N641" s="12"/>
      <c r="O641" s="12"/>
      <c r="P641" s="12"/>
      <c r="Q641" s="12"/>
      <c r="R641" s="12"/>
      <c r="S641" s="12"/>
      <c r="T641" s="12"/>
      <c r="U641" s="12"/>
      <c r="W641" s="12"/>
      <c r="X641" s="12"/>
      <c r="Y641" s="12"/>
      <c r="Z641" s="12"/>
      <c r="AA641" s="12"/>
    </row>
    <row r="642" spans="1:27">
      <c r="A642" s="12"/>
      <c r="B642" s="12"/>
      <c r="C642" s="12"/>
      <c r="D642" s="12"/>
      <c r="E642" s="12"/>
      <c r="F642" s="12"/>
      <c r="G642" s="12"/>
      <c r="H642" s="12"/>
      <c r="I642" s="12"/>
      <c r="J642" s="12"/>
      <c r="K642" s="12"/>
      <c r="L642" s="12"/>
      <c r="M642" s="12"/>
      <c r="N642" s="12"/>
      <c r="O642" s="12"/>
      <c r="P642" s="12"/>
      <c r="Q642" s="12"/>
      <c r="R642" s="12"/>
      <c r="S642" s="12"/>
      <c r="T642" s="12"/>
      <c r="U642" s="12"/>
      <c r="W642" s="12"/>
      <c r="X642" s="12"/>
      <c r="Y642" s="12"/>
      <c r="Z642" s="12"/>
      <c r="AA642" s="12"/>
    </row>
    <row r="643" spans="1:27">
      <c r="A643" s="12"/>
      <c r="B643" s="12"/>
      <c r="C643" s="12"/>
      <c r="D643" s="12"/>
      <c r="E643" s="12"/>
      <c r="F643" s="12"/>
      <c r="G643" s="12"/>
      <c r="H643" s="12"/>
      <c r="I643" s="12"/>
      <c r="J643" s="12"/>
      <c r="K643" s="12"/>
      <c r="L643" s="12"/>
      <c r="M643" s="12"/>
      <c r="N643" s="12"/>
      <c r="O643" s="12"/>
      <c r="P643" s="12"/>
      <c r="Q643" s="12"/>
      <c r="R643" s="12"/>
      <c r="S643" s="12"/>
      <c r="T643" s="12"/>
      <c r="U643" s="12"/>
      <c r="W643" s="12"/>
      <c r="X643" s="12"/>
      <c r="Y643" s="12"/>
      <c r="Z643" s="12"/>
      <c r="AA643" s="12"/>
    </row>
    <row r="644" spans="1:27">
      <c r="A644" s="12"/>
      <c r="B644" s="12"/>
      <c r="C644" s="12"/>
      <c r="D644" s="12"/>
      <c r="E644" s="12"/>
      <c r="F644" s="12"/>
      <c r="G644" s="12"/>
      <c r="H644" s="12"/>
      <c r="I644" s="12"/>
      <c r="J644" s="12"/>
      <c r="K644" s="12"/>
      <c r="L644" s="12"/>
      <c r="M644" s="12"/>
      <c r="N644" s="12"/>
      <c r="O644" s="12"/>
      <c r="P644" s="12"/>
      <c r="Q644" s="12"/>
      <c r="R644" s="12"/>
      <c r="S644" s="12"/>
      <c r="T644" s="12"/>
      <c r="U644" s="12"/>
      <c r="W644" s="12"/>
      <c r="X644" s="12"/>
      <c r="Y644" s="12"/>
      <c r="Z644" s="12"/>
      <c r="AA644" s="12"/>
    </row>
    <row r="645" spans="1:27">
      <c r="A645" s="12"/>
      <c r="B645" s="12"/>
      <c r="C645" s="12"/>
      <c r="D645" s="12"/>
      <c r="E645" s="12"/>
      <c r="F645" s="12"/>
      <c r="G645" s="12"/>
      <c r="H645" s="12"/>
      <c r="I645" s="12"/>
      <c r="J645" s="12"/>
      <c r="K645" s="12"/>
      <c r="L645" s="12"/>
      <c r="M645" s="12"/>
      <c r="N645" s="12"/>
      <c r="O645" s="12"/>
      <c r="P645" s="12"/>
      <c r="Q645" s="12"/>
      <c r="R645" s="12"/>
      <c r="S645" s="12"/>
      <c r="T645" s="12"/>
      <c r="U645" s="12"/>
      <c r="W645" s="12"/>
      <c r="X645" s="12"/>
      <c r="Y645" s="12"/>
      <c r="Z645" s="12"/>
      <c r="AA645" s="12"/>
    </row>
    <row r="646" spans="1:27">
      <c r="A646" s="12"/>
      <c r="B646" s="12"/>
      <c r="C646" s="12"/>
      <c r="D646" s="12"/>
      <c r="E646" s="12"/>
      <c r="F646" s="12"/>
      <c r="G646" s="12"/>
      <c r="H646" s="12"/>
      <c r="I646" s="12"/>
      <c r="J646" s="12"/>
      <c r="K646" s="12"/>
      <c r="L646" s="12"/>
      <c r="M646" s="12"/>
      <c r="N646" s="12"/>
      <c r="O646" s="12"/>
      <c r="P646" s="12"/>
      <c r="Q646" s="12"/>
      <c r="R646" s="12"/>
      <c r="S646" s="12"/>
      <c r="T646" s="12"/>
      <c r="U646" s="12"/>
      <c r="W646" s="12"/>
      <c r="X646" s="12"/>
      <c r="Y646" s="12"/>
      <c r="Z646" s="12"/>
      <c r="AA646" s="12"/>
    </row>
    <row r="647" spans="1:27">
      <c r="A647" s="12"/>
      <c r="B647" s="12"/>
      <c r="C647" s="12"/>
      <c r="D647" s="12"/>
      <c r="E647" s="12"/>
      <c r="F647" s="12"/>
      <c r="G647" s="12"/>
      <c r="H647" s="12"/>
      <c r="I647" s="12"/>
      <c r="J647" s="12"/>
      <c r="K647" s="12"/>
      <c r="L647" s="12"/>
      <c r="M647" s="12"/>
      <c r="N647" s="12"/>
      <c r="O647" s="12"/>
      <c r="P647" s="12"/>
      <c r="Q647" s="12"/>
      <c r="R647" s="12"/>
      <c r="S647" s="12"/>
      <c r="T647" s="12"/>
      <c r="U647" s="12"/>
      <c r="W647" s="12"/>
      <c r="X647" s="12"/>
      <c r="Y647" s="12"/>
      <c r="Z647" s="12"/>
      <c r="AA647" s="12"/>
    </row>
    <row r="648" spans="1:27">
      <c r="A648" s="12"/>
      <c r="B648" s="12"/>
      <c r="C648" s="12"/>
      <c r="D648" s="12"/>
      <c r="E648" s="12"/>
      <c r="F648" s="12"/>
      <c r="G648" s="12"/>
      <c r="H648" s="12"/>
      <c r="I648" s="12"/>
      <c r="J648" s="12"/>
      <c r="K648" s="12"/>
      <c r="L648" s="12"/>
      <c r="M648" s="12"/>
      <c r="N648" s="12"/>
      <c r="O648" s="12"/>
      <c r="P648" s="12"/>
      <c r="Q648" s="12"/>
      <c r="R648" s="12"/>
      <c r="S648" s="12"/>
      <c r="T648" s="12"/>
      <c r="U648" s="12"/>
      <c r="W648" s="12"/>
      <c r="X648" s="12"/>
      <c r="Y648" s="12"/>
      <c r="Z648" s="12"/>
      <c r="AA648" s="12"/>
    </row>
    <row r="649" spans="1:27">
      <c r="A649" s="12"/>
      <c r="B649" s="12"/>
      <c r="C649" s="12"/>
      <c r="D649" s="12"/>
      <c r="E649" s="12"/>
      <c r="F649" s="12"/>
      <c r="G649" s="12"/>
      <c r="H649" s="12"/>
      <c r="I649" s="12"/>
      <c r="J649" s="12"/>
      <c r="K649" s="12"/>
      <c r="L649" s="12"/>
      <c r="M649" s="12"/>
      <c r="N649" s="12"/>
      <c r="O649" s="12"/>
      <c r="P649" s="12"/>
      <c r="Q649" s="12"/>
      <c r="R649" s="12"/>
      <c r="S649" s="12"/>
      <c r="T649" s="12"/>
      <c r="U649" s="12"/>
      <c r="W649" s="12"/>
      <c r="X649" s="12"/>
      <c r="Y649" s="12"/>
      <c r="Z649" s="12"/>
      <c r="AA649" s="12"/>
    </row>
    <row r="650" spans="1:27">
      <c r="A650" s="12"/>
      <c r="B650" s="12"/>
      <c r="C650" s="12"/>
      <c r="D650" s="12"/>
      <c r="E650" s="12"/>
      <c r="F650" s="12"/>
      <c r="G650" s="12"/>
      <c r="H650" s="12"/>
      <c r="I650" s="12"/>
      <c r="J650" s="12"/>
      <c r="K650" s="12"/>
      <c r="L650" s="12"/>
      <c r="M650" s="12"/>
      <c r="N650" s="12"/>
      <c r="O650" s="12"/>
      <c r="P650" s="12"/>
      <c r="Q650" s="12"/>
      <c r="R650" s="12"/>
      <c r="S650" s="12"/>
      <c r="T650" s="12"/>
      <c r="U650" s="12"/>
      <c r="W650" s="12"/>
      <c r="X650" s="12"/>
      <c r="Y650" s="12"/>
      <c r="Z650" s="12"/>
      <c r="AA650" s="12"/>
    </row>
    <row r="651" spans="1:27">
      <c r="A651" s="12"/>
      <c r="B651" s="12"/>
      <c r="C651" s="12"/>
      <c r="D651" s="12"/>
      <c r="E651" s="12"/>
      <c r="F651" s="12"/>
      <c r="G651" s="12"/>
      <c r="H651" s="12"/>
      <c r="I651" s="12"/>
      <c r="J651" s="12"/>
      <c r="K651" s="12"/>
      <c r="L651" s="12"/>
      <c r="M651" s="12"/>
      <c r="N651" s="12"/>
      <c r="O651" s="12"/>
      <c r="P651" s="12"/>
      <c r="Q651" s="12"/>
      <c r="R651" s="12"/>
      <c r="S651" s="12"/>
      <c r="T651" s="12"/>
      <c r="U651" s="12"/>
      <c r="W651" s="12"/>
      <c r="X651" s="12"/>
      <c r="Y651" s="12"/>
      <c r="Z651" s="12"/>
      <c r="AA651" s="12"/>
    </row>
    <row r="652" spans="1:27">
      <c r="A652" s="12"/>
      <c r="B652" s="12"/>
      <c r="C652" s="12"/>
      <c r="D652" s="12"/>
      <c r="E652" s="12"/>
      <c r="F652" s="12"/>
      <c r="G652" s="12"/>
      <c r="H652" s="12"/>
      <c r="I652" s="12"/>
      <c r="J652" s="12"/>
      <c r="K652" s="12"/>
      <c r="L652" s="12"/>
      <c r="M652" s="12"/>
      <c r="N652" s="12"/>
      <c r="O652" s="12"/>
      <c r="P652" s="12"/>
      <c r="Q652" s="12"/>
      <c r="R652" s="12"/>
      <c r="S652" s="12"/>
      <c r="T652" s="12"/>
      <c r="U652" s="12"/>
      <c r="W652" s="12"/>
      <c r="X652" s="12"/>
      <c r="Y652" s="12"/>
      <c r="Z652" s="12"/>
      <c r="AA652" s="12"/>
    </row>
    <row r="653" spans="1:27">
      <c r="A653" s="12"/>
      <c r="B653" s="12"/>
      <c r="C653" s="12"/>
      <c r="D653" s="12"/>
      <c r="E653" s="12"/>
      <c r="F653" s="12"/>
      <c r="G653" s="12"/>
      <c r="H653" s="12"/>
      <c r="I653" s="12"/>
      <c r="J653" s="12"/>
      <c r="K653" s="12"/>
      <c r="L653" s="12"/>
      <c r="M653" s="12"/>
      <c r="N653" s="12"/>
      <c r="O653" s="12"/>
      <c r="P653" s="12"/>
      <c r="Q653" s="12"/>
      <c r="R653" s="12"/>
      <c r="S653" s="12"/>
      <c r="T653" s="12"/>
      <c r="U653" s="12"/>
      <c r="W653" s="12"/>
      <c r="X653" s="12"/>
      <c r="Y653" s="12"/>
      <c r="Z653" s="12"/>
      <c r="AA653" s="12"/>
    </row>
    <row r="654" spans="1:27">
      <c r="A654" s="12"/>
      <c r="B654" s="12"/>
      <c r="C654" s="12"/>
      <c r="D654" s="12"/>
      <c r="E654" s="12"/>
      <c r="F654" s="12"/>
      <c r="G654" s="12"/>
      <c r="H654" s="12"/>
      <c r="I654" s="12"/>
      <c r="J654" s="12"/>
      <c r="K654" s="12"/>
      <c r="L654" s="12"/>
      <c r="M654" s="12"/>
      <c r="N654" s="12"/>
      <c r="O654" s="12"/>
      <c r="P654" s="12"/>
      <c r="Q654" s="12"/>
      <c r="R654" s="12"/>
      <c r="S654" s="12"/>
      <c r="T654" s="12"/>
      <c r="U654" s="12"/>
      <c r="W654" s="12"/>
      <c r="X654" s="12"/>
      <c r="Y654" s="12"/>
      <c r="Z654" s="12"/>
      <c r="AA654" s="12"/>
    </row>
    <row r="655" spans="1:27">
      <c r="A655" s="12"/>
      <c r="B655" s="12"/>
      <c r="C655" s="12"/>
      <c r="D655" s="12"/>
      <c r="E655" s="12"/>
      <c r="F655" s="12"/>
      <c r="G655" s="12"/>
      <c r="H655" s="12"/>
      <c r="I655" s="12"/>
      <c r="J655" s="12"/>
      <c r="K655" s="12"/>
      <c r="L655" s="12"/>
      <c r="M655" s="12"/>
      <c r="N655" s="12"/>
      <c r="O655" s="12"/>
      <c r="P655" s="12"/>
      <c r="Q655" s="12"/>
      <c r="R655" s="12"/>
      <c r="S655" s="12"/>
      <c r="T655" s="12"/>
      <c r="U655" s="12"/>
      <c r="W655" s="12"/>
      <c r="X655" s="12"/>
      <c r="Y655" s="12"/>
      <c r="Z655" s="12"/>
      <c r="AA655" s="12"/>
    </row>
    <row r="656" spans="1:27">
      <c r="A656" s="12"/>
      <c r="B656" s="12"/>
      <c r="C656" s="12"/>
      <c r="D656" s="12"/>
      <c r="E656" s="12"/>
      <c r="F656" s="12"/>
      <c r="G656" s="12"/>
      <c r="H656" s="12"/>
      <c r="I656" s="12"/>
      <c r="J656" s="12"/>
      <c r="K656" s="12"/>
      <c r="L656" s="12"/>
      <c r="M656" s="12"/>
      <c r="N656" s="12"/>
      <c r="O656" s="12"/>
      <c r="P656" s="12"/>
      <c r="Q656" s="12"/>
      <c r="R656" s="12"/>
      <c r="S656" s="12"/>
      <c r="T656" s="12"/>
      <c r="U656" s="12"/>
      <c r="W656" s="12"/>
      <c r="X656" s="12"/>
      <c r="Y656" s="12"/>
      <c r="Z656" s="12"/>
      <c r="AA656" s="12"/>
    </row>
    <row r="657" spans="1:27">
      <c r="A657" s="12"/>
      <c r="B657" s="12"/>
      <c r="C657" s="12"/>
      <c r="D657" s="12"/>
      <c r="E657" s="12"/>
      <c r="F657" s="12"/>
      <c r="G657" s="12"/>
      <c r="H657" s="12"/>
      <c r="I657" s="12"/>
      <c r="J657" s="12"/>
      <c r="K657" s="12"/>
      <c r="L657" s="12"/>
      <c r="M657" s="12"/>
      <c r="N657" s="12"/>
      <c r="O657" s="12"/>
      <c r="P657" s="12"/>
      <c r="Q657" s="12"/>
      <c r="R657" s="12"/>
      <c r="S657" s="12"/>
      <c r="T657" s="12"/>
      <c r="U657" s="12"/>
      <c r="W657" s="12"/>
      <c r="X657" s="12"/>
      <c r="Y657" s="12"/>
      <c r="Z657" s="12"/>
      <c r="AA657" s="12"/>
    </row>
    <row r="658" spans="1:27">
      <c r="A658" s="12"/>
      <c r="B658" s="12"/>
      <c r="C658" s="12"/>
      <c r="D658" s="12"/>
      <c r="E658" s="12"/>
      <c r="F658" s="12"/>
      <c r="G658" s="12"/>
      <c r="H658" s="12"/>
      <c r="I658" s="12"/>
      <c r="J658" s="12"/>
      <c r="K658" s="12"/>
      <c r="L658" s="12"/>
      <c r="M658" s="12"/>
      <c r="N658" s="12"/>
      <c r="O658" s="12"/>
      <c r="P658" s="12"/>
      <c r="Q658" s="12"/>
      <c r="R658" s="12"/>
      <c r="S658" s="12"/>
      <c r="T658" s="12"/>
      <c r="U658" s="12"/>
      <c r="W658" s="12"/>
      <c r="X658" s="12"/>
      <c r="Y658" s="12"/>
      <c r="Z658" s="12"/>
      <c r="AA658" s="12"/>
    </row>
    <row r="659" spans="1:27">
      <c r="A659" s="12"/>
      <c r="B659" s="12"/>
      <c r="C659" s="12"/>
      <c r="D659" s="12"/>
      <c r="E659" s="12"/>
      <c r="F659" s="12"/>
      <c r="G659" s="12"/>
      <c r="H659" s="12"/>
      <c r="I659" s="12"/>
      <c r="J659" s="12"/>
      <c r="K659" s="12"/>
      <c r="L659" s="12"/>
      <c r="M659" s="12"/>
      <c r="N659" s="12"/>
      <c r="O659" s="12"/>
      <c r="P659" s="12"/>
      <c r="Q659" s="12"/>
      <c r="R659" s="12"/>
      <c r="S659" s="12"/>
      <c r="T659" s="12"/>
      <c r="U659" s="12"/>
      <c r="W659" s="12"/>
      <c r="X659" s="12"/>
      <c r="Y659" s="12"/>
      <c r="Z659" s="12"/>
      <c r="AA659" s="12"/>
    </row>
    <row r="660" spans="1:27">
      <c r="A660" s="12"/>
      <c r="B660" s="12"/>
      <c r="C660" s="12"/>
      <c r="D660" s="12"/>
      <c r="E660" s="12"/>
      <c r="F660" s="12"/>
      <c r="G660" s="12"/>
      <c r="H660" s="12"/>
      <c r="I660" s="12"/>
      <c r="J660" s="12"/>
      <c r="K660" s="12"/>
      <c r="L660" s="12"/>
      <c r="M660" s="12"/>
      <c r="N660" s="12"/>
      <c r="O660" s="12"/>
      <c r="P660" s="12"/>
      <c r="Q660" s="12"/>
      <c r="R660" s="12"/>
      <c r="S660" s="12"/>
      <c r="T660" s="12"/>
      <c r="U660" s="12"/>
      <c r="W660" s="12"/>
      <c r="X660" s="12"/>
      <c r="Y660" s="12"/>
      <c r="Z660" s="12"/>
      <c r="AA660" s="12"/>
    </row>
    <row r="661" spans="1:27">
      <c r="A661" s="12"/>
      <c r="B661" s="12"/>
      <c r="C661" s="12"/>
      <c r="D661" s="12"/>
      <c r="E661" s="12"/>
      <c r="F661" s="12"/>
      <c r="G661" s="12"/>
      <c r="H661" s="12"/>
      <c r="I661" s="12"/>
      <c r="J661" s="12"/>
      <c r="K661" s="12"/>
      <c r="L661" s="12"/>
      <c r="M661" s="12"/>
      <c r="N661" s="12"/>
      <c r="O661" s="12"/>
      <c r="P661" s="12"/>
      <c r="Q661" s="12"/>
      <c r="R661" s="12"/>
      <c r="S661" s="12"/>
      <c r="T661" s="12"/>
      <c r="U661" s="12"/>
      <c r="W661" s="12"/>
      <c r="X661" s="12"/>
      <c r="Y661" s="12"/>
      <c r="Z661" s="12"/>
      <c r="AA661" s="12"/>
    </row>
    <row r="662" spans="1:27">
      <c r="A662" s="12"/>
      <c r="B662" s="12"/>
      <c r="C662" s="12"/>
      <c r="D662" s="12"/>
      <c r="E662" s="12"/>
      <c r="F662" s="12"/>
      <c r="G662" s="12"/>
      <c r="H662" s="12"/>
      <c r="I662" s="12"/>
      <c r="J662" s="12"/>
      <c r="K662" s="12"/>
      <c r="L662" s="12"/>
      <c r="M662" s="12"/>
      <c r="N662" s="12"/>
      <c r="O662" s="12"/>
      <c r="P662" s="12"/>
      <c r="Q662" s="12"/>
      <c r="R662" s="12"/>
      <c r="S662" s="12"/>
      <c r="T662" s="12"/>
      <c r="U662" s="12"/>
      <c r="W662" s="12"/>
      <c r="X662" s="12"/>
      <c r="Y662" s="12"/>
      <c r="Z662" s="12"/>
      <c r="AA662" s="12"/>
    </row>
    <row r="663" spans="1:27">
      <c r="A663" s="12"/>
      <c r="B663" s="12"/>
      <c r="C663" s="12"/>
      <c r="D663" s="12"/>
      <c r="E663" s="12"/>
      <c r="F663" s="12"/>
      <c r="G663" s="12"/>
      <c r="H663" s="12"/>
      <c r="I663" s="12"/>
      <c r="J663" s="12"/>
      <c r="K663" s="12"/>
      <c r="L663" s="12"/>
      <c r="M663" s="12"/>
      <c r="N663" s="12"/>
      <c r="O663" s="12"/>
      <c r="P663" s="12"/>
      <c r="Q663" s="12"/>
      <c r="R663" s="12"/>
      <c r="S663" s="12"/>
      <c r="T663" s="12"/>
      <c r="U663" s="12"/>
      <c r="W663" s="12"/>
      <c r="X663" s="12"/>
      <c r="Y663" s="12"/>
      <c r="Z663" s="12"/>
      <c r="AA663" s="12"/>
    </row>
    <row r="664" spans="1:27">
      <c r="A664" s="12"/>
      <c r="B664" s="12"/>
      <c r="C664" s="12"/>
      <c r="D664" s="12"/>
      <c r="E664" s="12"/>
      <c r="F664" s="12"/>
      <c r="G664" s="12"/>
      <c r="H664" s="12"/>
      <c r="I664" s="12"/>
      <c r="J664" s="12"/>
      <c r="K664" s="12"/>
      <c r="L664" s="12"/>
      <c r="M664" s="12"/>
      <c r="N664" s="12"/>
      <c r="O664" s="12"/>
      <c r="P664" s="12"/>
      <c r="Q664" s="12"/>
      <c r="R664" s="12"/>
      <c r="S664" s="12"/>
      <c r="T664" s="12"/>
      <c r="U664" s="12"/>
      <c r="W664" s="12"/>
      <c r="X664" s="12"/>
      <c r="Y664" s="12"/>
      <c r="Z664" s="12"/>
      <c r="AA664" s="12"/>
    </row>
    <row r="665" spans="1:27">
      <c r="A665" s="12"/>
      <c r="B665" s="12"/>
      <c r="C665" s="12"/>
      <c r="D665" s="12"/>
      <c r="E665" s="12"/>
      <c r="F665" s="12"/>
      <c r="G665" s="12"/>
      <c r="H665" s="12"/>
      <c r="I665" s="12"/>
      <c r="J665" s="12"/>
      <c r="K665" s="12"/>
      <c r="L665" s="12"/>
      <c r="M665" s="12"/>
      <c r="N665" s="12"/>
      <c r="O665" s="12"/>
      <c r="P665" s="12"/>
      <c r="Q665" s="12"/>
      <c r="R665" s="12"/>
      <c r="S665" s="12"/>
      <c r="T665" s="12"/>
      <c r="U665" s="12"/>
      <c r="W665" s="12"/>
      <c r="X665" s="12"/>
      <c r="Y665" s="12"/>
      <c r="Z665" s="12"/>
      <c r="AA665" s="12"/>
    </row>
    <row r="666" spans="1:27">
      <c r="A666" s="12"/>
      <c r="B666" s="12"/>
      <c r="C666" s="12"/>
      <c r="D666" s="12"/>
      <c r="E666" s="12"/>
      <c r="F666" s="12"/>
      <c r="G666" s="12"/>
      <c r="H666" s="12"/>
      <c r="I666" s="12"/>
      <c r="J666" s="12"/>
      <c r="K666" s="12"/>
      <c r="L666" s="12"/>
      <c r="M666" s="12"/>
      <c r="N666" s="12"/>
      <c r="O666" s="12"/>
      <c r="P666" s="12"/>
      <c r="Q666" s="12"/>
      <c r="R666" s="12"/>
      <c r="S666" s="12"/>
      <c r="T666" s="12"/>
      <c r="U666" s="12"/>
      <c r="W666" s="12"/>
      <c r="X666" s="12"/>
      <c r="Y666" s="12"/>
      <c r="Z666" s="12"/>
      <c r="AA666" s="12"/>
    </row>
    <row r="667" spans="1:27">
      <c r="A667" s="12"/>
      <c r="B667" s="12"/>
      <c r="C667" s="12"/>
      <c r="D667" s="12"/>
      <c r="E667" s="12"/>
      <c r="F667" s="12"/>
      <c r="G667" s="12"/>
      <c r="H667" s="12"/>
      <c r="I667" s="12"/>
      <c r="J667" s="12"/>
      <c r="K667" s="12"/>
      <c r="L667" s="12"/>
      <c r="M667" s="12"/>
      <c r="N667" s="12"/>
      <c r="O667" s="12"/>
      <c r="P667" s="12"/>
      <c r="Q667" s="12"/>
      <c r="R667" s="12"/>
      <c r="S667" s="12"/>
      <c r="T667" s="12"/>
      <c r="U667" s="12"/>
      <c r="W667" s="12"/>
      <c r="X667" s="12"/>
      <c r="Y667" s="12"/>
      <c r="Z667" s="12"/>
      <c r="AA667" s="12"/>
    </row>
    <row r="668" spans="1:27">
      <c r="A668" s="12"/>
      <c r="B668" s="12"/>
      <c r="C668" s="12"/>
      <c r="D668" s="12"/>
      <c r="E668" s="12"/>
      <c r="F668" s="12"/>
      <c r="G668" s="12"/>
      <c r="H668" s="12"/>
      <c r="I668" s="12"/>
      <c r="J668" s="12"/>
      <c r="K668" s="12"/>
      <c r="L668" s="12"/>
      <c r="M668" s="12"/>
      <c r="N668" s="12"/>
      <c r="O668" s="12"/>
      <c r="P668" s="12"/>
      <c r="Q668" s="12"/>
      <c r="R668" s="12"/>
      <c r="S668" s="12"/>
      <c r="T668" s="12"/>
      <c r="U668" s="12"/>
      <c r="W668" s="12"/>
      <c r="X668" s="12"/>
      <c r="Y668" s="12"/>
      <c r="Z668" s="12"/>
      <c r="AA668" s="12"/>
    </row>
    <row r="669" spans="1:27">
      <c r="A669" s="12"/>
      <c r="B669" s="12"/>
      <c r="C669" s="12"/>
      <c r="D669" s="12"/>
      <c r="E669" s="12"/>
      <c r="F669" s="12"/>
      <c r="G669" s="12"/>
      <c r="H669" s="12"/>
      <c r="I669" s="12"/>
      <c r="J669" s="12"/>
      <c r="K669" s="12"/>
      <c r="L669" s="12"/>
      <c r="M669" s="12"/>
      <c r="N669" s="12"/>
      <c r="O669" s="12"/>
      <c r="P669" s="12"/>
      <c r="Q669" s="12"/>
      <c r="R669" s="12"/>
      <c r="S669" s="12"/>
      <c r="T669" s="12"/>
      <c r="U669" s="12"/>
      <c r="W669" s="12"/>
      <c r="X669" s="12"/>
      <c r="Y669" s="12"/>
      <c r="Z669" s="12"/>
      <c r="AA669" s="12"/>
    </row>
    <row r="670" spans="1:27">
      <c r="A670" s="12"/>
      <c r="B670" s="12"/>
      <c r="C670" s="12"/>
      <c r="D670" s="12"/>
      <c r="E670" s="12"/>
      <c r="F670" s="12"/>
      <c r="G670" s="12"/>
      <c r="H670" s="12"/>
      <c r="I670" s="12"/>
      <c r="J670" s="12"/>
      <c r="K670" s="12"/>
      <c r="L670" s="12"/>
      <c r="M670" s="12"/>
      <c r="N670" s="12"/>
      <c r="O670" s="12"/>
      <c r="P670" s="12"/>
      <c r="Q670" s="12"/>
      <c r="R670" s="12"/>
      <c r="S670" s="12"/>
      <c r="T670" s="12"/>
      <c r="U670" s="12"/>
      <c r="W670" s="12"/>
      <c r="X670" s="12"/>
      <c r="Y670" s="12"/>
      <c r="Z670" s="12"/>
      <c r="AA670" s="12"/>
    </row>
    <row r="671" spans="1:27">
      <c r="A671" s="12"/>
      <c r="B671" s="12"/>
      <c r="C671" s="12"/>
      <c r="D671" s="12"/>
      <c r="E671" s="12"/>
      <c r="F671" s="12"/>
      <c r="G671" s="12"/>
      <c r="H671" s="12"/>
      <c r="I671" s="12"/>
      <c r="J671" s="12"/>
      <c r="K671" s="12"/>
      <c r="L671" s="12"/>
      <c r="M671" s="12"/>
      <c r="N671" s="12"/>
      <c r="O671" s="12"/>
      <c r="P671" s="12"/>
      <c r="Q671" s="12"/>
      <c r="R671" s="12"/>
      <c r="S671" s="12"/>
      <c r="T671" s="12"/>
      <c r="U671" s="12"/>
      <c r="W671" s="12"/>
      <c r="X671" s="12"/>
      <c r="Y671" s="12"/>
      <c r="Z671" s="12"/>
      <c r="AA671" s="12"/>
    </row>
    <row r="672" spans="1:27">
      <c r="A672" s="12"/>
      <c r="B672" s="12"/>
      <c r="C672" s="12"/>
      <c r="D672" s="12"/>
      <c r="E672" s="12"/>
      <c r="F672" s="12"/>
      <c r="G672" s="12"/>
      <c r="H672" s="12"/>
      <c r="I672" s="12"/>
      <c r="J672" s="12"/>
      <c r="K672" s="12"/>
      <c r="L672" s="12"/>
      <c r="M672" s="12"/>
      <c r="N672" s="12"/>
      <c r="O672" s="12"/>
      <c r="P672" s="12"/>
      <c r="Q672" s="12"/>
      <c r="R672" s="12"/>
      <c r="S672" s="12"/>
      <c r="T672" s="12"/>
      <c r="U672" s="12"/>
      <c r="W672" s="12"/>
      <c r="X672" s="12"/>
      <c r="Y672" s="12"/>
      <c r="Z672" s="12"/>
      <c r="AA672" s="12"/>
    </row>
    <row r="673" spans="1:27">
      <c r="A673" s="12"/>
      <c r="B673" s="12"/>
      <c r="C673" s="12"/>
      <c r="D673" s="12"/>
      <c r="E673" s="12"/>
      <c r="F673" s="12"/>
      <c r="G673" s="12"/>
      <c r="H673" s="12"/>
      <c r="I673" s="12"/>
      <c r="J673" s="12"/>
      <c r="K673" s="12"/>
      <c r="L673" s="12"/>
      <c r="M673" s="12"/>
      <c r="N673" s="12"/>
      <c r="O673" s="12"/>
      <c r="P673" s="12"/>
      <c r="Q673" s="12"/>
      <c r="R673" s="12"/>
      <c r="S673" s="12"/>
      <c r="T673" s="12"/>
      <c r="U673" s="12"/>
      <c r="W673" s="12"/>
      <c r="X673" s="12"/>
      <c r="Y673" s="12"/>
      <c r="Z673" s="12"/>
      <c r="AA673" s="12"/>
    </row>
    <row r="674" spans="1:27">
      <c r="A674" s="12"/>
      <c r="B674" s="12"/>
      <c r="C674" s="12"/>
      <c r="D674" s="12"/>
      <c r="E674" s="12"/>
      <c r="F674" s="12"/>
      <c r="G674" s="12"/>
      <c r="H674" s="12"/>
      <c r="I674" s="12"/>
      <c r="J674" s="12"/>
      <c r="K674" s="12"/>
      <c r="L674" s="12"/>
      <c r="M674" s="12"/>
      <c r="N674" s="12"/>
      <c r="O674" s="12"/>
      <c r="P674" s="12"/>
      <c r="Q674" s="12"/>
      <c r="R674" s="12"/>
      <c r="S674" s="12"/>
      <c r="T674" s="12"/>
      <c r="U674" s="12"/>
      <c r="W674" s="12"/>
      <c r="X674" s="12"/>
      <c r="Y674" s="12"/>
      <c r="Z674" s="12"/>
      <c r="AA674" s="12"/>
    </row>
    <row r="675" spans="1:27">
      <c r="A675" s="12"/>
      <c r="B675" s="12"/>
      <c r="C675" s="12"/>
      <c r="D675" s="12"/>
      <c r="E675" s="12"/>
      <c r="F675" s="12"/>
      <c r="G675" s="12"/>
      <c r="H675" s="12"/>
      <c r="I675" s="12"/>
      <c r="J675" s="12"/>
      <c r="K675" s="12"/>
      <c r="L675" s="12"/>
      <c r="M675" s="12"/>
      <c r="N675" s="12"/>
      <c r="O675" s="12"/>
      <c r="P675" s="12"/>
      <c r="Q675" s="12"/>
      <c r="R675" s="12"/>
      <c r="S675" s="12"/>
      <c r="T675" s="12"/>
      <c r="U675" s="12"/>
      <c r="W675" s="12"/>
      <c r="X675" s="12"/>
      <c r="Y675" s="12"/>
      <c r="Z675" s="12"/>
      <c r="AA675" s="12"/>
    </row>
    <row r="676" spans="1:27">
      <c r="A676" s="12"/>
      <c r="B676" s="12"/>
      <c r="C676" s="12"/>
      <c r="D676" s="12"/>
      <c r="E676" s="12"/>
      <c r="F676" s="12"/>
      <c r="G676" s="12"/>
      <c r="H676" s="12"/>
      <c r="I676" s="12"/>
      <c r="J676" s="12"/>
      <c r="K676" s="12"/>
      <c r="L676" s="12"/>
      <c r="M676" s="12"/>
      <c r="N676" s="12"/>
      <c r="O676" s="12"/>
      <c r="P676" s="12"/>
      <c r="Q676" s="12"/>
      <c r="R676" s="12"/>
      <c r="S676" s="12"/>
      <c r="T676" s="12"/>
      <c r="U676" s="12"/>
      <c r="W676" s="12"/>
      <c r="X676" s="12"/>
      <c r="Y676" s="12"/>
      <c r="Z676" s="12"/>
      <c r="AA676" s="12"/>
    </row>
    <row r="677" spans="1:27">
      <c r="A677" s="12"/>
      <c r="B677" s="12"/>
      <c r="C677" s="12"/>
      <c r="D677" s="12"/>
      <c r="E677" s="12"/>
      <c r="F677" s="12"/>
      <c r="G677" s="12"/>
      <c r="H677" s="12"/>
      <c r="I677" s="12"/>
      <c r="J677" s="12"/>
      <c r="K677" s="12"/>
      <c r="L677" s="12"/>
      <c r="M677" s="12"/>
      <c r="N677" s="12"/>
      <c r="O677" s="12"/>
      <c r="P677" s="12"/>
      <c r="Q677" s="12"/>
      <c r="R677" s="12"/>
      <c r="S677" s="12"/>
      <c r="T677" s="12"/>
      <c r="U677" s="12"/>
      <c r="W677" s="12"/>
      <c r="X677" s="12"/>
      <c r="Y677" s="12"/>
      <c r="Z677" s="12"/>
      <c r="AA677" s="12"/>
    </row>
    <row r="678" spans="1:27">
      <c r="A678" s="12"/>
      <c r="B678" s="12"/>
      <c r="C678" s="12"/>
      <c r="D678" s="12"/>
      <c r="E678" s="12"/>
      <c r="F678" s="12"/>
      <c r="G678" s="12"/>
      <c r="H678" s="12"/>
      <c r="I678" s="12"/>
      <c r="J678" s="12"/>
      <c r="K678" s="12"/>
      <c r="L678" s="12"/>
      <c r="M678" s="12"/>
      <c r="N678" s="12"/>
      <c r="O678" s="12"/>
      <c r="P678" s="12"/>
      <c r="Q678" s="12"/>
      <c r="R678" s="12"/>
      <c r="S678" s="12"/>
      <c r="T678" s="12"/>
      <c r="U678" s="12"/>
      <c r="W678" s="12"/>
      <c r="X678" s="12"/>
      <c r="Y678" s="12"/>
      <c r="Z678" s="12"/>
      <c r="AA678" s="12"/>
    </row>
    <row r="679" spans="1:27">
      <c r="A679" s="12"/>
      <c r="B679" s="12"/>
      <c r="C679" s="12"/>
      <c r="D679" s="12"/>
      <c r="E679" s="12"/>
      <c r="F679" s="12"/>
      <c r="G679" s="12"/>
      <c r="H679" s="12"/>
      <c r="I679" s="12"/>
      <c r="J679" s="12"/>
      <c r="K679" s="12"/>
      <c r="L679" s="12"/>
      <c r="M679" s="12"/>
      <c r="N679" s="12"/>
      <c r="O679" s="12"/>
      <c r="P679" s="12"/>
      <c r="Q679" s="12"/>
      <c r="R679" s="12"/>
      <c r="S679" s="12"/>
      <c r="T679" s="12"/>
      <c r="U679" s="12"/>
      <c r="W679" s="12"/>
      <c r="X679" s="12"/>
      <c r="Y679" s="12"/>
      <c r="Z679" s="12"/>
      <c r="AA679" s="12"/>
    </row>
    <row r="680" spans="1:27">
      <c r="A680" s="12"/>
      <c r="B680" s="12"/>
      <c r="C680" s="12"/>
      <c r="D680" s="12"/>
      <c r="E680" s="12"/>
      <c r="F680" s="12"/>
      <c r="G680" s="12"/>
      <c r="H680" s="12"/>
      <c r="I680" s="12"/>
      <c r="J680" s="12"/>
      <c r="K680" s="12"/>
      <c r="L680" s="12"/>
      <c r="M680" s="12"/>
      <c r="N680" s="12"/>
      <c r="O680" s="12"/>
      <c r="P680" s="12"/>
      <c r="Q680" s="12"/>
      <c r="R680" s="12"/>
      <c r="S680" s="12"/>
      <c r="T680" s="12"/>
      <c r="U680" s="12"/>
      <c r="W680" s="12"/>
      <c r="X680" s="12"/>
      <c r="Y680" s="12"/>
      <c r="Z680" s="12"/>
      <c r="AA680" s="12"/>
    </row>
    <row r="681" spans="1:27">
      <c r="A681" s="12"/>
      <c r="B681" s="12"/>
      <c r="C681" s="12"/>
      <c r="D681" s="12"/>
      <c r="E681" s="12"/>
      <c r="F681" s="12"/>
      <c r="G681" s="12"/>
      <c r="H681" s="12"/>
      <c r="I681" s="12"/>
      <c r="J681" s="12"/>
      <c r="K681" s="12"/>
      <c r="L681" s="12"/>
      <c r="M681" s="12"/>
      <c r="N681" s="12"/>
      <c r="O681" s="12"/>
      <c r="P681" s="12"/>
      <c r="Q681" s="12"/>
      <c r="R681" s="12"/>
      <c r="S681" s="12"/>
      <c r="T681" s="12"/>
      <c r="U681" s="12"/>
      <c r="W681" s="12"/>
      <c r="X681" s="12"/>
      <c r="Y681" s="12"/>
      <c r="Z681" s="12"/>
      <c r="AA681" s="12"/>
    </row>
    <row r="682" spans="1:27">
      <c r="A682" s="12"/>
      <c r="B682" s="12"/>
      <c r="C682" s="12"/>
      <c r="D682" s="12"/>
      <c r="E682" s="12"/>
      <c r="F682" s="12"/>
      <c r="G682" s="12"/>
      <c r="H682" s="12"/>
      <c r="I682" s="12"/>
      <c r="J682" s="12"/>
      <c r="K682" s="12"/>
      <c r="L682" s="12"/>
      <c r="M682" s="12"/>
      <c r="N682" s="12"/>
      <c r="O682" s="12"/>
      <c r="P682" s="12"/>
      <c r="Q682" s="12"/>
      <c r="R682" s="12"/>
      <c r="S682" s="12"/>
      <c r="T682" s="12"/>
      <c r="U682" s="12"/>
      <c r="W682" s="12"/>
      <c r="X682" s="12"/>
      <c r="Y682" s="12"/>
      <c r="Z682" s="12"/>
      <c r="AA682" s="12"/>
    </row>
    <row r="683" spans="1:27">
      <c r="A683" s="12"/>
      <c r="B683" s="12"/>
      <c r="C683" s="12"/>
      <c r="D683" s="12"/>
      <c r="E683" s="12"/>
      <c r="F683" s="12"/>
      <c r="G683" s="12"/>
      <c r="H683" s="12"/>
      <c r="I683" s="12"/>
      <c r="J683" s="12"/>
      <c r="K683" s="12"/>
      <c r="L683" s="12"/>
      <c r="M683" s="12"/>
      <c r="N683" s="12"/>
      <c r="O683" s="12"/>
      <c r="P683" s="12"/>
      <c r="Q683" s="12"/>
      <c r="R683" s="12"/>
      <c r="S683" s="12"/>
      <c r="T683" s="12"/>
      <c r="U683" s="12"/>
      <c r="W683" s="12"/>
      <c r="X683" s="12"/>
      <c r="Y683" s="12"/>
      <c r="Z683" s="12"/>
      <c r="AA683" s="12"/>
    </row>
    <row r="684" spans="1:27">
      <c r="A684" s="12"/>
      <c r="B684" s="12"/>
      <c r="C684" s="12"/>
      <c r="D684" s="12"/>
      <c r="E684" s="12"/>
      <c r="F684" s="12"/>
      <c r="G684" s="12"/>
      <c r="H684" s="12"/>
      <c r="I684" s="12"/>
      <c r="J684" s="12"/>
      <c r="K684" s="12"/>
      <c r="L684" s="12"/>
      <c r="M684" s="12"/>
      <c r="N684" s="12"/>
      <c r="O684" s="12"/>
      <c r="P684" s="12"/>
      <c r="Q684" s="12"/>
      <c r="R684" s="12"/>
      <c r="S684" s="12"/>
      <c r="T684" s="12"/>
      <c r="U684" s="12"/>
      <c r="W684" s="12"/>
      <c r="X684" s="12"/>
      <c r="Y684" s="12"/>
      <c r="Z684" s="12"/>
      <c r="AA684" s="12"/>
    </row>
    <row r="685" spans="1:27">
      <c r="A685" s="12"/>
      <c r="B685" s="12"/>
      <c r="C685" s="12"/>
      <c r="D685" s="12"/>
      <c r="E685" s="12"/>
      <c r="F685" s="12"/>
      <c r="G685" s="12"/>
      <c r="H685" s="12"/>
      <c r="I685" s="12"/>
      <c r="J685" s="12"/>
      <c r="K685" s="12"/>
      <c r="L685" s="12"/>
      <c r="M685" s="12"/>
      <c r="N685" s="12"/>
      <c r="O685" s="12"/>
      <c r="P685" s="12"/>
      <c r="Q685" s="12"/>
      <c r="R685" s="12"/>
      <c r="S685" s="12"/>
      <c r="T685" s="12"/>
      <c r="U685" s="12"/>
      <c r="W685" s="12"/>
      <c r="X685" s="12"/>
      <c r="Y685" s="12"/>
      <c r="Z685" s="12"/>
      <c r="AA685" s="12"/>
    </row>
    <row r="686" spans="1:27">
      <c r="A686" s="12"/>
      <c r="B686" s="12"/>
      <c r="C686" s="12"/>
      <c r="D686" s="12"/>
      <c r="E686" s="12"/>
      <c r="F686" s="12"/>
      <c r="G686" s="12"/>
      <c r="H686" s="12"/>
      <c r="I686" s="12"/>
      <c r="J686" s="12"/>
      <c r="K686" s="12"/>
      <c r="L686" s="12"/>
      <c r="M686" s="12"/>
      <c r="N686" s="12"/>
      <c r="O686" s="12"/>
      <c r="P686" s="12"/>
      <c r="Q686" s="12"/>
      <c r="R686" s="12"/>
      <c r="S686" s="12"/>
      <c r="T686" s="12"/>
      <c r="U686" s="12"/>
      <c r="W686" s="12"/>
      <c r="X686" s="12"/>
      <c r="Y686" s="12"/>
      <c r="Z686" s="12"/>
      <c r="AA686" s="12"/>
    </row>
    <row r="687" spans="1:27">
      <c r="A687" s="12"/>
      <c r="B687" s="12"/>
      <c r="C687" s="12"/>
      <c r="D687" s="12"/>
      <c r="E687" s="12"/>
      <c r="F687" s="12"/>
      <c r="G687" s="12"/>
      <c r="H687" s="12"/>
      <c r="I687" s="12"/>
      <c r="J687" s="12"/>
      <c r="K687" s="12"/>
      <c r="L687" s="12"/>
      <c r="M687" s="12"/>
      <c r="N687" s="12"/>
      <c r="O687" s="12"/>
      <c r="P687" s="12"/>
      <c r="Q687" s="12"/>
      <c r="R687" s="12"/>
      <c r="S687" s="12"/>
      <c r="T687" s="12"/>
      <c r="U687" s="12"/>
      <c r="W687" s="12"/>
      <c r="X687" s="12"/>
      <c r="Y687" s="12"/>
      <c r="Z687" s="12"/>
      <c r="AA687" s="12"/>
    </row>
    <row r="688" spans="1:27">
      <c r="A688" s="12"/>
      <c r="B688" s="12"/>
      <c r="C688" s="12"/>
      <c r="D688" s="12"/>
      <c r="E688" s="12"/>
      <c r="F688" s="12"/>
      <c r="G688" s="12"/>
      <c r="H688" s="12"/>
      <c r="I688" s="12"/>
      <c r="J688" s="12"/>
      <c r="K688" s="12"/>
      <c r="L688" s="12"/>
      <c r="M688" s="12"/>
      <c r="N688" s="12"/>
      <c r="O688" s="12"/>
      <c r="P688" s="12"/>
      <c r="Q688" s="12"/>
      <c r="R688" s="12"/>
      <c r="S688" s="12"/>
      <c r="T688" s="12"/>
      <c r="U688" s="12"/>
      <c r="W688" s="12"/>
      <c r="X688" s="12"/>
      <c r="Y688" s="12"/>
      <c r="Z688" s="12"/>
      <c r="AA688" s="12"/>
    </row>
    <row r="689" spans="1:27">
      <c r="A689" s="12"/>
      <c r="B689" s="12"/>
      <c r="C689" s="12"/>
      <c r="D689" s="12"/>
      <c r="E689" s="12"/>
      <c r="F689" s="12"/>
      <c r="G689" s="12"/>
      <c r="H689" s="12"/>
      <c r="I689" s="12"/>
      <c r="J689" s="12"/>
      <c r="K689" s="12"/>
      <c r="L689" s="12"/>
      <c r="M689" s="12"/>
      <c r="N689" s="12"/>
      <c r="O689" s="12"/>
      <c r="P689" s="12"/>
      <c r="Q689" s="12"/>
      <c r="R689" s="12"/>
      <c r="S689" s="12"/>
      <c r="T689" s="12"/>
      <c r="U689" s="12"/>
      <c r="W689" s="12"/>
      <c r="X689" s="12"/>
      <c r="Y689" s="12"/>
      <c r="Z689" s="12"/>
      <c r="AA689" s="12"/>
    </row>
    <row r="690" spans="1:27">
      <c r="A690" s="12"/>
      <c r="B690" s="12"/>
      <c r="C690" s="12"/>
      <c r="D690" s="12"/>
      <c r="E690" s="12"/>
      <c r="F690" s="12"/>
      <c r="G690" s="12"/>
      <c r="H690" s="12"/>
      <c r="I690" s="12"/>
      <c r="J690" s="12"/>
      <c r="K690" s="12"/>
      <c r="L690" s="12"/>
      <c r="M690" s="12"/>
      <c r="N690" s="12"/>
      <c r="O690" s="12"/>
      <c r="P690" s="12"/>
      <c r="Q690" s="12"/>
      <c r="R690" s="12"/>
      <c r="S690" s="12"/>
      <c r="T690" s="12"/>
      <c r="U690" s="12"/>
      <c r="W690" s="12"/>
      <c r="X690" s="12"/>
      <c r="Y690" s="12"/>
      <c r="Z690" s="12"/>
      <c r="AA690" s="12"/>
    </row>
    <row r="691" spans="1:27">
      <c r="A691" s="12"/>
      <c r="B691" s="12"/>
      <c r="C691" s="12"/>
      <c r="D691" s="12"/>
      <c r="E691" s="12"/>
      <c r="F691" s="12"/>
      <c r="G691" s="12"/>
      <c r="H691" s="12"/>
      <c r="I691" s="12"/>
      <c r="J691" s="12"/>
      <c r="K691" s="12"/>
      <c r="L691" s="12"/>
      <c r="M691" s="12"/>
      <c r="N691" s="12"/>
      <c r="O691" s="12"/>
      <c r="P691" s="12"/>
      <c r="Q691" s="12"/>
      <c r="R691" s="12"/>
      <c r="S691" s="12"/>
      <c r="T691" s="12"/>
      <c r="U691" s="12"/>
      <c r="W691" s="12"/>
      <c r="X691" s="12"/>
      <c r="Y691" s="12"/>
      <c r="Z691" s="12"/>
      <c r="AA691" s="12"/>
    </row>
    <row r="692" spans="1:27">
      <c r="A692" s="12"/>
      <c r="B692" s="12"/>
      <c r="C692" s="12"/>
      <c r="D692" s="12"/>
      <c r="E692" s="12"/>
      <c r="F692" s="12"/>
      <c r="G692" s="12"/>
      <c r="H692" s="12"/>
      <c r="I692" s="12"/>
      <c r="J692" s="12"/>
      <c r="K692" s="12"/>
      <c r="L692" s="12"/>
      <c r="M692" s="12"/>
      <c r="N692" s="12"/>
      <c r="O692" s="12"/>
      <c r="P692" s="12"/>
      <c r="Q692" s="12"/>
      <c r="R692" s="12"/>
      <c r="S692" s="12"/>
      <c r="T692" s="12"/>
      <c r="U692" s="12"/>
      <c r="W692" s="12"/>
      <c r="X692" s="12"/>
      <c r="Y692" s="12"/>
      <c r="Z692" s="12"/>
      <c r="AA692" s="12"/>
    </row>
    <row r="693" spans="1:27">
      <c r="A693" s="12"/>
      <c r="B693" s="12"/>
      <c r="C693" s="12"/>
      <c r="D693" s="12"/>
      <c r="E693" s="12"/>
      <c r="F693" s="12"/>
      <c r="G693" s="12"/>
      <c r="H693" s="12"/>
      <c r="I693" s="12"/>
      <c r="J693" s="12"/>
      <c r="K693" s="12"/>
      <c r="L693" s="12"/>
      <c r="M693" s="12"/>
      <c r="N693" s="12"/>
      <c r="O693" s="12"/>
      <c r="P693" s="12"/>
      <c r="Q693" s="12"/>
      <c r="R693" s="12"/>
      <c r="S693" s="12"/>
      <c r="T693" s="12"/>
      <c r="U693" s="12"/>
      <c r="W693" s="12"/>
      <c r="X693" s="12"/>
      <c r="Y693" s="12"/>
      <c r="Z693" s="12"/>
      <c r="AA693" s="12"/>
    </row>
    <row r="694" spans="1:27">
      <c r="A694" s="12"/>
      <c r="B694" s="12"/>
      <c r="C694" s="12"/>
      <c r="D694" s="12"/>
      <c r="E694" s="12"/>
      <c r="F694" s="12"/>
      <c r="G694" s="12"/>
      <c r="H694" s="12"/>
      <c r="I694" s="12"/>
      <c r="J694" s="12"/>
      <c r="K694" s="12"/>
      <c r="L694" s="12"/>
      <c r="M694" s="12"/>
      <c r="N694" s="12"/>
      <c r="O694" s="12"/>
      <c r="P694" s="12"/>
      <c r="Q694" s="12"/>
      <c r="R694" s="12"/>
      <c r="S694" s="12"/>
      <c r="T694" s="12"/>
      <c r="U694" s="12"/>
      <c r="W694" s="12"/>
      <c r="X694" s="12"/>
      <c r="Y694" s="12"/>
      <c r="Z694" s="12"/>
      <c r="AA694" s="12"/>
    </row>
    <row r="695" spans="1:27">
      <c r="A695" s="12"/>
      <c r="B695" s="12"/>
      <c r="C695" s="12"/>
      <c r="D695" s="12"/>
      <c r="E695" s="12"/>
      <c r="F695" s="12"/>
      <c r="G695" s="12"/>
      <c r="H695" s="12"/>
      <c r="I695" s="12"/>
      <c r="J695" s="12"/>
      <c r="K695" s="12"/>
      <c r="L695" s="12"/>
      <c r="M695" s="12"/>
      <c r="N695" s="12"/>
      <c r="O695" s="12"/>
      <c r="P695" s="12"/>
      <c r="Q695" s="12"/>
      <c r="R695" s="12"/>
      <c r="S695" s="12"/>
      <c r="T695" s="12"/>
      <c r="U695" s="12"/>
      <c r="W695" s="12"/>
      <c r="X695" s="12"/>
      <c r="Y695" s="12"/>
      <c r="Z695" s="12"/>
      <c r="AA695" s="12"/>
    </row>
    <row r="696" spans="1:27">
      <c r="A696" s="12"/>
      <c r="B696" s="12"/>
      <c r="C696" s="12"/>
      <c r="D696" s="12"/>
      <c r="E696" s="12"/>
      <c r="F696" s="12"/>
      <c r="G696" s="12"/>
      <c r="H696" s="12"/>
      <c r="I696" s="12"/>
      <c r="J696" s="12"/>
      <c r="K696" s="12"/>
      <c r="L696" s="12"/>
      <c r="M696" s="12"/>
      <c r="N696" s="12"/>
      <c r="O696" s="12"/>
      <c r="P696" s="12"/>
      <c r="Q696" s="12"/>
      <c r="R696" s="12"/>
      <c r="S696" s="12"/>
      <c r="T696" s="12"/>
      <c r="U696" s="12"/>
      <c r="W696" s="12"/>
      <c r="X696" s="12"/>
      <c r="Y696" s="12"/>
      <c r="Z696" s="12"/>
      <c r="AA696" s="12"/>
    </row>
    <row r="697" spans="1:27">
      <c r="A697" s="12"/>
      <c r="B697" s="12"/>
      <c r="C697" s="12"/>
      <c r="D697" s="12"/>
      <c r="E697" s="12"/>
      <c r="F697" s="12"/>
      <c r="G697" s="12"/>
      <c r="H697" s="12"/>
      <c r="I697" s="12"/>
      <c r="J697" s="12"/>
      <c r="K697" s="12"/>
      <c r="L697" s="12"/>
      <c r="M697" s="12"/>
      <c r="N697" s="12"/>
      <c r="O697" s="12"/>
      <c r="P697" s="12"/>
      <c r="Q697" s="12"/>
      <c r="R697" s="12"/>
      <c r="S697" s="12"/>
      <c r="T697" s="12"/>
      <c r="U697" s="12"/>
      <c r="W697" s="12"/>
      <c r="X697" s="12"/>
      <c r="Y697" s="12"/>
      <c r="Z697" s="12"/>
      <c r="AA697" s="12"/>
    </row>
    <row r="698" spans="1:27">
      <c r="A698" s="12"/>
      <c r="B698" s="12"/>
      <c r="C698" s="12"/>
      <c r="D698" s="12"/>
      <c r="E698" s="12"/>
      <c r="F698" s="12"/>
      <c r="G698" s="12"/>
      <c r="H698" s="12"/>
      <c r="I698" s="12"/>
      <c r="J698" s="12"/>
      <c r="K698" s="12"/>
      <c r="L698" s="12"/>
      <c r="M698" s="12"/>
      <c r="N698" s="12"/>
      <c r="O698" s="12"/>
      <c r="P698" s="12"/>
      <c r="Q698" s="12"/>
      <c r="R698" s="12"/>
      <c r="S698" s="12"/>
      <c r="T698" s="12"/>
      <c r="U698" s="12"/>
      <c r="W698" s="12"/>
      <c r="X698" s="12"/>
      <c r="Y698" s="12"/>
      <c r="Z698" s="12"/>
      <c r="AA698" s="12"/>
    </row>
    <row r="699" spans="1:27">
      <c r="A699" s="12"/>
      <c r="B699" s="12"/>
      <c r="C699" s="12"/>
      <c r="D699" s="12"/>
      <c r="E699" s="12"/>
      <c r="F699" s="12"/>
      <c r="G699" s="12"/>
      <c r="H699" s="12"/>
      <c r="I699" s="12"/>
      <c r="J699" s="12"/>
      <c r="K699" s="12"/>
      <c r="L699" s="12"/>
      <c r="M699" s="12"/>
      <c r="N699" s="12"/>
      <c r="O699" s="12"/>
      <c r="P699" s="12"/>
      <c r="Q699" s="12"/>
      <c r="R699" s="12"/>
      <c r="S699" s="12"/>
      <c r="T699" s="12"/>
      <c r="U699" s="12"/>
      <c r="W699" s="12"/>
      <c r="X699" s="12"/>
      <c r="Y699" s="12"/>
      <c r="Z699" s="12"/>
      <c r="AA699" s="12"/>
    </row>
    <row r="700" spans="1:27">
      <c r="A700" s="12"/>
      <c r="B700" s="12"/>
      <c r="C700" s="12"/>
      <c r="D700" s="12"/>
      <c r="E700" s="12"/>
      <c r="F700" s="12"/>
      <c r="G700" s="12"/>
      <c r="H700" s="12"/>
      <c r="I700" s="12"/>
      <c r="J700" s="12"/>
      <c r="K700" s="12"/>
      <c r="L700" s="12"/>
      <c r="M700" s="12"/>
      <c r="N700" s="12"/>
      <c r="O700" s="12"/>
      <c r="P700" s="12"/>
      <c r="Q700" s="12"/>
      <c r="R700" s="12"/>
      <c r="S700" s="12"/>
      <c r="T700" s="12"/>
      <c r="U700" s="12"/>
      <c r="W700" s="12"/>
      <c r="X700" s="12"/>
      <c r="Y700" s="12"/>
      <c r="Z700" s="12"/>
      <c r="AA700" s="12"/>
    </row>
    <row r="701" spans="1:27">
      <c r="A701" s="12"/>
      <c r="B701" s="12"/>
      <c r="C701" s="12"/>
      <c r="D701" s="12"/>
      <c r="E701" s="12"/>
      <c r="F701" s="12"/>
      <c r="G701" s="12"/>
      <c r="H701" s="12"/>
      <c r="I701" s="12"/>
      <c r="J701" s="12"/>
      <c r="K701" s="12"/>
      <c r="L701" s="12"/>
      <c r="M701" s="12"/>
      <c r="N701" s="12"/>
      <c r="O701" s="12"/>
      <c r="P701" s="12"/>
      <c r="Q701" s="12"/>
      <c r="R701" s="12"/>
      <c r="S701" s="12"/>
      <c r="T701" s="12"/>
      <c r="U701" s="12"/>
      <c r="W701" s="12"/>
      <c r="X701" s="12"/>
      <c r="Y701" s="12"/>
      <c r="Z701" s="12"/>
      <c r="AA701" s="12"/>
    </row>
    <row r="702" spans="1:27">
      <c r="A702" s="12"/>
      <c r="B702" s="12"/>
      <c r="C702" s="12"/>
      <c r="D702" s="12"/>
      <c r="E702" s="12"/>
      <c r="F702" s="12"/>
      <c r="G702" s="12"/>
      <c r="H702" s="12"/>
      <c r="I702" s="12"/>
      <c r="J702" s="12"/>
      <c r="K702" s="12"/>
      <c r="L702" s="12"/>
      <c r="M702" s="12"/>
      <c r="N702" s="12"/>
      <c r="O702" s="12"/>
      <c r="P702" s="12"/>
      <c r="Q702" s="12"/>
      <c r="R702" s="12"/>
      <c r="S702" s="12"/>
      <c r="T702" s="12"/>
      <c r="U702" s="12"/>
      <c r="W702" s="12"/>
      <c r="X702" s="12"/>
      <c r="Y702" s="12"/>
      <c r="Z702" s="12"/>
      <c r="AA702" s="12"/>
    </row>
    <row r="703" spans="1:27">
      <c r="A703" s="12"/>
      <c r="B703" s="12"/>
      <c r="C703" s="12"/>
      <c r="D703" s="12"/>
      <c r="E703" s="12"/>
      <c r="F703" s="12"/>
      <c r="G703" s="12"/>
      <c r="H703" s="12"/>
      <c r="I703" s="12"/>
      <c r="J703" s="12"/>
      <c r="K703" s="12"/>
      <c r="L703" s="12"/>
      <c r="M703" s="12"/>
      <c r="N703" s="12"/>
      <c r="O703" s="12"/>
      <c r="P703" s="12"/>
      <c r="Q703" s="12"/>
      <c r="R703" s="12"/>
      <c r="S703" s="12"/>
      <c r="T703" s="12"/>
      <c r="U703" s="12"/>
      <c r="W703" s="12"/>
      <c r="X703" s="12"/>
      <c r="Y703" s="12"/>
      <c r="Z703" s="12"/>
      <c r="AA703" s="12"/>
    </row>
    <row r="704" spans="1:27">
      <c r="A704" s="12"/>
      <c r="B704" s="12"/>
      <c r="C704" s="12"/>
      <c r="D704" s="12"/>
      <c r="E704" s="12"/>
      <c r="F704" s="12"/>
      <c r="G704" s="12"/>
      <c r="H704" s="12"/>
      <c r="I704" s="12"/>
      <c r="J704" s="12"/>
      <c r="K704" s="12"/>
      <c r="L704" s="12"/>
      <c r="M704" s="12"/>
      <c r="N704" s="12"/>
      <c r="O704" s="12"/>
      <c r="P704" s="12"/>
      <c r="Q704" s="12"/>
      <c r="R704" s="12"/>
      <c r="S704" s="12"/>
      <c r="T704" s="12"/>
      <c r="U704" s="12"/>
      <c r="W704" s="12"/>
      <c r="X704" s="12"/>
      <c r="Y704" s="12"/>
      <c r="Z704" s="12"/>
      <c r="AA704" s="12"/>
    </row>
    <row r="705" spans="1:27">
      <c r="A705" s="12"/>
      <c r="B705" s="12"/>
      <c r="C705" s="12"/>
      <c r="D705" s="12"/>
      <c r="E705" s="12"/>
      <c r="F705" s="12"/>
      <c r="G705" s="12"/>
      <c r="H705" s="12"/>
      <c r="I705" s="12"/>
      <c r="J705" s="12"/>
      <c r="K705" s="12"/>
      <c r="L705" s="12"/>
      <c r="M705" s="12"/>
      <c r="N705" s="12"/>
      <c r="O705" s="12"/>
      <c r="P705" s="12"/>
      <c r="Q705" s="12"/>
      <c r="R705" s="12"/>
      <c r="S705" s="12"/>
      <c r="T705" s="12"/>
      <c r="U705" s="12"/>
      <c r="W705" s="12"/>
      <c r="X705" s="12"/>
      <c r="Y705" s="12"/>
      <c r="Z705" s="12"/>
      <c r="AA705" s="12"/>
    </row>
    <row r="706" spans="1:27">
      <c r="A706" s="12"/>
      <c r="B706" s="12"/>
      <c r="C706" s="12"/>
      <c r="D706" s="12"/>
      <c r="E706" s="12"/>
      <c r="F706" s="12"/>
      <c r="G706" s="12"/>
      <c r="H706" s="12"/>
      <c r="I706" s="12"/>
      <c r="J706" s="12"/>
      <c r="K706" s="12"/>
      <c r="L706" s="12"/>
      <c r="M706" s="12"/>
      <c r="N706" s="12"/>
      <c r="O706" s="12"/>
      <c r="P706" s="12"/>
      <c r="Q706" s="12"/>
      <c r="R706" s="12"/>
      <c r="S706" s="12"/>
      <c r="T706" s="12"/>
      <c r="U706" s="12"/>
      <c r="W706" s="12"/>
      <c r="X706" s="12"/>
      <c r="Y706" s="12"/>
      <c r="Z706" s="12"/>
      <c r="AA706" s="12"/>
    </row>
    <row r="707" spans="1:27">
      <c r="A707" s="12"/>
      <c r="B707" s="12"/>
      <c r="C707" s="12"/>
      <c r="D707" s="12"/>
      <c r="E707" s="12"/>
      <c r="F707" s="12"/>
      <c r="G707" s="12"/>
      <c r="H707" s="12"/>
      <c r="I707" s="12"/>
      <c r="J707" s="12"/>
      <c r="K707" s="12"/>
      <c r="L707" s="12"/>
      <c r="M707" s="12"/>
      <c r="N707" s="12"/>
      <c r="O707" s="12"/>
      <c r="P707" s="12"/>
      <c r="Q707" s="12"/>
      <c r="R707" s="12"/>
      <c r="S707" s="12"/>
      <c r="T707" s="12"/>
      <c r="U707" s="12"/>
      <c r="W707" s="12"/>
      <c r="X707" s="12"/>
      <c r="Y707" s="12"/>
      <c r="Z707" s="12"/>
      <c r="AA707" s="12"/>
    </row>
    <row r="708" spans="1:27">
      <c r="A708" s="12"/>
      <c r="B708" s="12"/>
      <c r="C708" s="12"/>
      <c r="D708" s="12"/>
      <c r="E708" s="12"/>
      <c r="F708" s="12"/>
      <c r="G708" s="12"/>
      <c r="H708" s="12"/>
      <c r="I708" s="12"/>
      <c r="J708" s="12"/>
      <c r="K708" s="12"/>
      <c r="L708" s="12"/>
      <c r="M708" s="12"/>
      <c r="N708" s="12"/>
      <c r="O708" s="12"/>
      <c r="P708" s="12"/>
      <c r="Q708" s="12"/>
      <c r="R708" s="12"/>
      <c r="S708" s="12"/>
      <c r="T708" s="12"/>
      <c r="U708" s="12"/>
      <c r="W708" s="12"/>
      <c r="X708" s="12"/>
      <c r="Y708" s="12"/>
      <c r="Z708" s="12"/>
      <c r="AA708" s="12"/>
    </row>
    <row r="709" spans="1:27">
      <c r="A709" s="12"/>
      <c r="B709" s="12"/>
      <c r="C709" s="12"/>
      <c r="D709" s="12"/>
      <c r="E709" s="12"/>
      <c r="F709" s="12"/>
      <c r="G709" s="12"/>
      <c r="H709" s="12"/>
      <c r="I709" s="12"/>
      <c r="J709" s="12"/>
      <c r="K709" s="12"/>
      <c r="L709" s="12"/>
      <c r="M709" s="12"/>
      <c r="N709" s="12"/>
      <c r="O709" s="12"/>
      <c r="P709" s="12"/>
      <c r="Q709" s="12"/>
      <c r="R709" s="12"/>
      <c r="S709" s="12"/>
      <c r="T709" s="12"/>
      <c r="U709" s="12"/>
      <c r="W709" s="12"/>
      <c r="X709" s="12"/>
      <c r="Y709" s="12"/>
      <c r="Z709" s="12"/>
      <c r="AA709" s="12"/>
    </row>
    <row r="710" spans="1:27">
      <c r="A710" s="12"/>
      <c r="B710" s="12"/>
      <c r="C710" s="12"/>
      <c r="D710" s="12"/>
      <c r="E710" s="12"/>
      <c r="F710" s="12"/>
      <c r="G710" s="12"/>
      <c r="H710" s="12"/>
      <c r="I710" s="12"/>
      <c r="J710" s="12"/>
      <c r="K710" s="12"/>
      <c r="L710" s="12"/>
      <c r="M710" s="12"/>
      <c r="N710" s="12"/>
      <c r="O710" s="12"/>
      <c r="P710" s="12"/>
      <c r="Q710" s="12"/>
      <c r="R710" s="12"/>
      <c r="S710" s="12"/>
      <c r="T710" s="12"/>
      <c r="U710" s="12"/>
      <c r="W710" s="12"/>
      <c r="X710" s="12"/>
      <c r="Y710" s="12"/>
      <c r="Z710" s="12"/>
      <c r="AA710" s="12"/>
    </row>
    <row r="711" spans="1:27">
      <c r="A711" s="12"/>
      <c r="B711" s="12"/>
      <c r="C711" s="12"/>
      <c r="D711" s="12"/>
      <c r="E711" s="12"/>
      <c r="F711" s="12"/>
      <c r="G711" s="12"/>
      <c r="H711" s="12"/>
      <c r="I711" s="12"/>
      <c r="J711" s="12"/>
      <c r="K711" s="12"/>
      <c r="L711" s="12"/>
      <c r="M711" s="12"/>
      <c r="N711" s="12"/>
      <c r="O711" s="12"/>
      <c r="P711" s="12"/>
      <c r="Q711" s="12"/>
      <c r="R711" s="12"/>
      <c r="S711" s="12"/>
      <c r="T711" s="12"/>
      <c r="U711" s="12"/>
      <c r="W711" s="12"/>
      <c r="X711" s="12"/>
      <c r="Y711" s="12"/>
      <c r="Z711" s="12"/>
      <c r="AA711" s="12"/>
    </row>
    <row r="712" spans="1:27">
      <c r="A712" s="12"/>
      <c r="B712" s="12"/>
      <c r="C712" s="12"/>
      <c r="D712" s="12"/>
      <c r="E712" s="12"/>
      <c r="F712" s="12"/>
      <c r="G712" s="12"/>
      <c r="H712" s="12"/>
      <c r="I712" s="12"/>
      <c r="J712" s="12"/>
      <c r="K712" s="12"/>
      <c r="L712" s="12"/>
      <c r="M712" s="12"/>
      <c r="N712" s="12"/>
      <c r="O712" s="12"/>
      <c r="P712" s="12"/>
      <c r="Q712" s="12"/>
      <c r="R712" s="12"/>
      <c r="S712" s="12"/>
      <c r="T712" s="12"/>
      <c r="U712" s="12"/>
      <c r="W712" s="12"/>
      <c r="X712" s="12"/>
      <c r="Y712" s="12"/>
      <c r="Z712" s="12"/>
      <c r="AA712" s="12"/>
    </row>
    <row r="713" spans="1:27">
      <c r="A713" s="12"/>
      <c r="B713" s="12"/>
      <c r="C713" s="12"/>
      <c r="D713" s="12"/>
      <c r="E713" s="12"/>
      <c r="F713" s="12"/>
      <c r="G713" s="12"/>
      <c r="H713" s="12"/>
      <c r="I713" s="12"/>
      <c r="J713" s="12"/>
      <c r="K713" s="12"/>
      <c r="L713" s="12"/>
      <c r="M713" s="12"/>
      <c r="N713" s="12"/>
      <c r="O713" s="12"/>
      <c r="P713" s="12"/>
      <c r="Q713" s="12"/>
      <c r="R713" s="12"/>
      <c r="S713" s="12"/>
      <c r="T713" s="12"/>
      <c r="U713" s="12"/>
      <c r="W713" s="12"/>
      <c r="X713" s="12"/>
      <c r="Y713" s="12"/>
      <c r="Z713" s="12"/>
      <c r="AA713" s="12"/>
    </row>
    <row r="714" spans="1:27">
      <c r="A714" s="12"/>
      <c r="B714" s="12"/>
      <c r="C714" s="12"/>
      <c r="D714" s="12"/>
      <c r="E714" s="12"/>
      <c r="F714" s="12"/>
      <c r="G714" s="12"/>
      <c r="H714" s="12"/>
      <c r="I714" s="12"/>
      <c r="J714" s="12"/>
      <c r="K714" s="12"/>
      <c r="L714" s="12"/>
      <c r="M714" s="12"/>
      <c r="N714" s="12"/>
      <c r="O714" s="12"/>
      <c r="P714" s="12"/>
      <c r="Q714" s="12"/>
      <c r="R714" s="12"/>
      <c r="S714" s="12"/>
      <c r="T714" s="12"/>
      <c r="U714" s="12"/>
      <c r="W714" s="12"/>
      <c r="X714" s="12"/>
      <c r="Y714" s="12"/>
      <c r="Z714" s="12"/>
      <c r="AA714" s="12"/>
    </row>
    <row r="715" spans="1:27">
      <c r="A715" s="12"/>
      <c r="B715" s="12"/>
      <c r="C715" s="12"/>
      <c r="D715" s="12"/>
      <c r="E715" s="12"/>
      <c r="F715" s="12"/>
      <c r="G715" s="12"/>
      <c r="H715" s="12"/>
      <c r="I715" s="12"/>
      <c r="J715" s="12"/>
      <c r="K715" s="12"/>
      <c r="L715" s="12"/>
      <c r="M715" s="12"/>
      <c r="N715" s="12"/>
      <c r="O715" s="12"/>
      <c r="P715" s="12"/>
      <c r="Q715" s="12"/>
      <c r="R715" s="12"/>
      <c r="S715" s="12"/>
      <c r="T715" s="12"/>
      <c r="U715" s="12"/>
      <c r="W715" s="12"/>
      <c r="X715" s="12"/>
      <c r="Y715" s="12"/>
      <c r="Z715" s="12"/>
      <c r="AA715" s="12"/>
    </row>
    <row r="716" spans="1:27">
      <c r="A716" s="12"/>
      <c r="B716" s="12"/>
      <c r="C716" s="12"/>
      <c r="D716" s="12"/>
      <c r="E716" s="12"/>
      <c r="F716" s="12"/>
      <c r="G716" s="12"/>
      <c r="H716" s="12"/>
      <c r="I716" s="12"/>
      <c r="J716" s="12"/>
      <c r="K716" s="12"/>
      <c r="L716" s="12"/>
      <c r="M716" s="12"/>
      <c r="N716" s="12"/>
      <c r="O716" s="12"/>
      <c r="P716" s="12"/>
      <c r="Q716" s="12"/>
      <c r="R716" s="12"/>
      <c r="S716" s="12"/>
      <c r="T716" s="12"/>
      <c r="U716" s="12"/>
      <c r="W716" s="12"/>
      <c r="X716" s="12"/>
      <c r="Y716" s="12"/>
      <c r="Z716" s="12"/>
      <c r="AA716" s="12"/>
    </row>
    <row r="717" spans="1:27">
      <c r="A717" s="12"/>
      <c r="B717" s="12"/>
      <c r="C717" s="12"/>
      <c r="D717" s="12"/>
      <c r="E717" s="12"/>
      <c r="F717" s="12"/>
      <c r="G717" s="12"/>
      <c r="H717" s="12"/>
      <c r="I717" s="12"/>
      <c r="J717" s="12"/>
      <c r="K717" s="12"/>
      <c r="L717" s="12"/>
      <c r="M717" s="12"/>
      <c r="N717" s="12"/>
      <c r="O717" s="12"/>
      <c r="P717" s="12"/>
      <c r="Q717" s="12"/>
      <c r="R717" s="12"/>
      <c r="S717" s="12"/>
      <c r="T717" s="12"/>
      <c r="U717" s="12"/>
      <c r="W717" s="12"/>
      <c r="X717" s="12"/>
      <c r="Y717" s="12"/>
      <c r="Z717" s="12"/>
      <c r="AA717" s="12"/>
    </row>
    <row r="718" spans="1:27">
      <c r="A718" s="12"/>
      <c r="B718" s="12"/>
      <c r="C718" s="12"/>
      <c r="D718" s="12"/>
      <c r="E718" s="12"/>
      <c r="F718" s="12"/>
      <c r="G718" s="12"/>
      <c r="H718" s="12"/>
      <c r="I718" s="12"/>
      <c r="J718" s="12"/>
      <c r="K718" s="12"/>
      <c r="L718" s="12"/>
      <c r="M718" s="12"/>
      <c r="N718" s="12"/>
      <c r="O718" s="12"/>
      <c r="P718" s="12"/>
      <c r="Q718" s="12"/>
      <c r="R718" s="12"/>
      <c r="S718" s="12"/>
      <c r="T718" s="12"/>
      <c r="U718" s="12"/>
      <c r="W718" s="12"/>
      <c r="X718" s="12"/>
      <c r="Y718" s="12"/>
      <c r="Z718" s="12"/>
      <c r="AA718" s="12"/>
    </row>
    <row r="719" spans="1:27">
      <c r="A719" s="12"/>
      <c r="B719" s="12"/>
      <c r="C719" s="12"/>
      <c r="D719" s="12"/>
      <c r="E719" s="12"/>
      <c r="F719" s="12"/>
      <c r="G719" s="12"/>
      <c r="H719" s="12"/>
      <c r="I719" s="12"/>
      <c r="J719" s="12"/>
      <c r="K719" s="12"/>
      <c r="L719" s="12"/>
      <c r="M719" s="12"/>
      <c r="N719" s="12"/>
      <c r="O719" s="12"/>
      <c r="P719" s="12"/>
      <c r="Q719" s="12"/>
      <c r="R719" s="12"/>
      <c r="S719" s="12"/>
      <c r="T719" s="12"/>
      <c r="U719" s="12"/>
      <c r="W719" s="12"/>
      <c r="X719" s="12"/>
      <c r="Y719" s="12"/>
      <c r="Z719" s="12"/>
      <c r="AA719" s="12"/>
    </row>
    <row r="720" spans="1:27">
      <c r="A720" s="12"/>
      <c r="B720" s="12"/>
      <c r="C720" s="12"/>
      <c r="D720" s="12"/>
      <c r="E720" s="12"/>
      <c r="F720" s="12"/>
      <c r="G720" s="12"/>
      <c r="H720" s="12"/>
      <c r="I720" s="12"/>
      <c r="J720" s="12"/>
      <c r="K720" s="12"/>
      <c r="L720" s="12"/>
      <c r="M720" s="12"/>
      <c r="N720" s="12"/>
      <c r="O720" s="12"/>
      <c r="P720" s="12"/>
      <c r="Q720" s="12"/>
      <c r="R720" s="12"/>
      <c r="S720" s="12"/>
      <c r="T720" s="12"/>
      <c r="U720" s="12"/>
      <c r="W720" s="12"/>
      <c r="X720" s="12"/>
      <c r="Y720" s="12"/>
      <c r="Z720" s="12"/>
      <c r="AA720" s="12"/>
    </row>
    <row r="721" spans="1:27">
      <c r="A721" s="12"/>
      <c r="B721" s="12"/>
      <c r="C721" s="12"/>
      <c r="D721" s="12"/>
      <c r="E721" s="12"/>
      <c r="F721" s="12"/>
      <c r="G721" s="12"/>
      <c r="H721" s="12"/>
      <c r="I721" s="12"/>
      <c r="J721" s="12"/>
      <c r="K721" s="12"/>
      <c r="L721" s="12"/>
      <c r="M721" s="12"/>
      <c r="N721" s="12"/>
      <c r="O721" s="12"/>
      <c r="P721" s="12"/>
      <c r="Q721" s="12"/>
      <c r="R721" s="12"/>
      <c r="S721" s="12"/>
      <c r="T721" s="12"/>
      <c r="U721" s="12"/>
      <c r="W721" s="12"/>
      <c r="X721" s="12"/>
      <c r="Y721" s="12"/>
      <c r="Z721" s="12"/>
      <c r="AA721" s="12"/>
    </row>
    <row r="722" spans="1:27">
      <c r="A722" s="12"/>
      <c r="B722" s="12"/>
      <c r="C722" s="12"/>
      <c r="D722" s="12"/>
      <c r="E722" s="12"/>
      <c r="F722" s="12"/>
      <c r="G722" s="12"/>
      <c r="H722" s="12"/>
      <c r="I722" s="12"/>
      <c r="J722" s="12"/>
      <c r="K722" s="12"/>
      <c r="L722" s="12"/>
      <c r="M722" s="12"/>
      <c r="N722" s="12"/>
      <c r="O722" s="12"/>
      <c r="P722" s="12"/>
      <c r="Q722" s="12"/>
      <c r="R722" s="12"/>
      <c r="S722" s="12"/>
      <c r="T722" s="12"/>
      <c r="U722" s="12"/>
      <c r="W722" s="12"/>
      <c r="X722" s="12"/>
      <c r="Y722" s="12"/>
      <c r="Z722" s="12"/>
      <c r="AA722" s="12"/>
    </row>
    <row r="723" spans="1:27">
      <c r="A723" s="12"/>
      <c r="B723" s="12"/>
      <c r="C723" s="12"/>
      <c r="D723" s="12"/>
      <c r="E723" s="12"/>
      <c r="F723" s="12"/>
      <c r="G723" s="12"/>
      <c r="H723" s="12"/>
      <c r="I723" s="12"/>
      <c r="J723" s="12"/>
      <c r="K723" s="12"/>
      <c r="L723" s="12"/>
      <c r="M723" s="12"/>
      <c r="N723" s="12"/>
      <c r="O723" s="12"/>
      <c r="P723" s="12"/>
      <c r="Q723" s="12"/>
      <c r="R723" s="12"/>
      <c r="S723" s="12"/>
      <c r="T723" s="12"/>
      <c r="U723" s="12"/>
      <c r="W723" s="12"/>
      <c r="X723" s="12"/>
      <c r="Y723" s="12"/>
      <c r="Z723" s="12"/>
      <c r="AA723" s="12"/>
    </row>
    <row r="724" spans="1:27">
      <c r="A724" s="12"/>
      <c r="B724" s="12"/>
      <c r="C724" s="12"/>
      <c r="D724" s="12"/>
      <c r="E724" s="12"/>
      <c r="F724" s="12"/>
      <c r="G724" s="12"/>
      <c r="H724" s="12"/>
      <c r="I724" s="12"/>
      <c r="J724" s="12"/>
      <c r="K724" s="12"/>
      <c r="L724" s="12"/>
      <c r="M724" s="12"/>
      <c r="N724" s="12"/>
      <c r="O724" s="12"/>
      <c r="P724" s="12"/>
      <c r="Q724" s="12"/>
      <c r="R724" s="12"/>
      <c r="S724" s="12"/>
      <c r="T724" s="12"/>
      <c r="U724" s="12"/>
      <c r="W724" s="12"/>
      <c r="X724" s="12"/>
      <c r="Y724" s="12"/>
      <c r="Z724" s="12"/>
      <c r="AA724" s="12"/>
    </row>
    <row r="725" spans="1:27">
      <c r="A725" s="12"/>
      <c r="B725" s="12"/>
      <c r="C725" s="12"/>
      <c r="D725" s="12"/>
      <c r="E725" s="12"/>
      <c r="F725" s="12"/>
      <c r="G725" s="12"/>
      <c r="H725" s="12"/>
      <c r="I725" s="12"/>
      <c r="J725" s="12"/>
      <c r="K725" s="12"/>
      <c r="L725" s="12"/>
      <c r="M725" s="12"/>
      <c r="N725" s="12"/>
      <c r="O725" s="12"/>
      <c r="P725" s="12"/>
      <c r="Q725" s="12"/>
      <c r="R725" s="12"/>
      <c r="S725" s="12"/>
      <c r="T725" s="12"/>
      <c r="U725" s="12"/>
      <c r="W725" s="12"/>
      <c r="X725" s="12"/>
      <c r="Y725" s="12"/>
      <c r="Z725" s="12"/>
      <c r="AA725" s="12"/>
    </row>
    <row r="726" spans="1:27">
      <c r="A726" s="12"/>
      <c r="B726" s="12"/>
      <c r="C726" s="12"/>
      <c r="D726" s="12"/>
      <c r="E726" s="12"/>
      <c r="F726" s="12"/>
      <c r="G726" s="12"/>
      <c r="H726" s="12"/>
      <c r="I726" s="12"/>
      <c r="J726" s="12"/>
      <c r="K726" s="12"/>
      <c r="L726" s="12"/>
      <c r="M726" s="12"/>
      <c r="N726" s="12"/>
      <c r="O726" s="12"/>
      <c r="P726" s="12"/>
      <c r="Q726" s="12"/>
      <c r="R726" s="12"/>
      <c r="S726" s="12"/>
      <c r="T726" s="12"/>
      <c r="U726" s="12"/>
      <c r="W726" s="12"/>
      <c r="X726" s="12"/>
      <c r="Y726" s="12"/>
      <c r="Z726" s="12"/>
      <c r="AA726" s="12"/>
    </row>
    <row r="727" spans="1:27">
      <c r="A727" s="12"/>
      <c r="B727" s="12"/>
      <c r="C727" s="12"/>
      <c r="D727" s="12"/>
      <c r="E727" s="12"/>
      <c r="F727" s="12"/>
      <c r="G727" s="12"/>
      <c r="H727" s="12"/>
      <c r="I727" s="12"/>
      <c r="J727" s="12"/>
      <c r="K727" s="12"/>
      <c r="L727" s="12"/>
      <c r="M727" s="12"/>
      <c r="N727" s="12"/>
      <c r="O727" s="12"/>
      <c r="P727" s="12"/>
      <c r="Q727" s="12"/>
      <c r="R727" s="12"/>
      <c r="S727" s="12"/>
      <c r="T727" s="12"/>
      <c r="U727" s="12"/>
      <c r="W727" s="12"/>
      <c r="X727" s="12"/>
      <c r="Y727" s="12"/>
      <c r="Z727" s="12"/>
      <c r="AA727" s="12"/>
    </row>
    <row r="728" spans="1:27">
      <c r="A728" s="12"/>
      <c r="B728" s="12"/>
      <c r="C728" s="12"/>
      <c r="D728" s="12"/>
      <c r="E728" s="12"/>
      <c r="F728" s="12"/>
      <c r="G728" s="12"/>
      <c r="H728" s="12"/>
      <c r="I728" s="12"/>
      <c r="J728" s="12"/>
      <c r="K728" s="12"/>
      <c r="L728" s="12"/>
      <c r="M728" s="12"/>
      <c r="N728" s="12"/>
      <c r="O728" s="12"/>
      <c r="P728" s="12"/>
      <c r="Q728" s="12"/>
      <c r="R728" s="12"/>
      <c r="S728" s="12"/>
      <c r="T728" s="12"/>
      <c r="U728" s="12"/>
      <c r="W728" s="12"/>
      <c r="X728" s="12"/>
      <c r="Y728" s="12"/>
      <c r="Z728" s="12"/>
      <c r="AA728" s="12"/>
    </row>
    <row r="729" spans="1:27">
      <c r="A729" s="12"/>
      <c r="B729" s="12"/>
      <c r="C729" s="12"/>
      <c r="D729" s="12"/>
      <c r="E729" s="12"/>
      <c r="F729" s="12"/>
      <c r="G729" s="12"/>
      <c r="H729" s="12"/>
      <c r="I729" s="12"/>
      <c r="J729" s="12"/>
      <c r="K729" s="12"/>
      <c r="L729" s="12"/>
      <c r="M729" s="12"/>
      <c r="N729" s="12"/>
      <c r="O729" s="12"/>
      <c r="P729" s="12"/>
      <c r="Q729" s="12"/>
      <c r="R729" s="12"/>
      <c r="S729" s="12"/>
      <c r="T729" s="12"/>
      <c r="U729" s="12"/>
      <c r="W729" s="12"/>
      <c r="X729" s="12"/>
      <c r="Y729" s="12"/>
      <c r="Z729" s="12"/>
      <c r="AA729" s="12"/>
    </row>
    <row r="730" spans="1:27">
      <c r="A730" s="12"/>
      <c r="B730" s="12"/>
      <c r="C730" s="12"/>
      <c r="D730" s="12"/>
      <c r="E730" s="12"/>
      <c r="F730" s="12"/>
      <c r="G730" s="12"/>
      <c r="H730" s="12"/>
      <c r="I730" s="12"/>
      <c r="J730" s="12"/>
      <c r="K730" s="12"/>
      <c r="L730" s="12"/>
      <c r="M730" s="12"/>
      <c r="N730" s="12"/>
      <c r="O730" s="12"/>
      <c r="P730" s="12"/>
      <c r="Q730" s="12"/>
      <c r="R730" s="12"/>
      <c r="S730" s="12"/>
      <c r="T730" s="12"/>
      <c r="U730" s="12"/>
      <c r="W730" s="12"/>
      <c r="X730" s="12"/>
      <c r="Y730" s="12"/>
      <c r="Z730" s="12"/>
      <c r="AA730" s="12"/>
    </row>
    <row r="731" spans="1:27">
      <c r="A731" s="12"/>
      <c r="B731" s="12"/>
      <c r="C731" s="12"/>
      <c r="D731" s="12"/>
      <c r="E731" s="12"/>
      <c r="F731" s="12"/>
      <c r="G731" s="12"/>
      <c r="H731" s="12"/>
      <c r="I731" s="12"/>
      <c r="J731" s="12"/>
      <c r="K731" s="12"/>
      <c r="L731" s="12"/>
      <c r="M731" s="12"/>
      <c r="N731" s="12"/>
      <c r="O731" s="12"/>
      <c r="P731" s="12"/>
      <c r="Q731" s="12"/>
      <c r="R731" s="12"/>
      <c r="S731" s="12"/>
      <c r="T731" s="12"/>
      <c r="U731" s="12"/>
      <c r="W731" s="12"/>
      <c r="X731" s="12"/>
      <c r="Y731" s="12"/>
      <c r="Z731" s="12"/>
      <c r="AA731" s="12"/>
    </row>
    <row r="732" spans="1:27">
      <c r="A732" s="12"/>
      <c r="B732" s="12"/>
      <c r="C732" s="12"/>
      <c r="D732" s="12"/>
      <c r="E732" s="12"/>
      <c r="F732" s="12"/>
      <c r="G732" s="12"/>
      <c r="H732" s="12"/>
      <c r="I732" s="12"/>
      <c r="J732" s="12"/>
      <c r="K732" s="12"/>
      <c r="L732" s="12"/>
      <c r="M732" s="12"/>
      <c r="N732" s="12"/>
      <c r="O732" s="12"/>
      <c r="P732" s="12"/>
      <c r="Q732" s="12"/>
      <c r="R732" s="12"/>
      <c r="S732" s="12"/>
      <c r="T732" s="12"/>
      <c r="U732" s="12"/>
      <c r="W732" s="12"/>
      <c r="X732" s="12"/>
      <c r="Y732" s="12"/>
      <c r="Z732" s="12"/>
      <c r="AA732" s="12"/>
    </row>
    <row r="733" spans="1:27">
      <c r="A733" s="12"/>
      <c r="B733" s="12"/>
      <c r="C733" s="12"/>
      <c r="D733" s="12"/>
      <c r="E733" s="12"/>
      <c r="F733" s="12"/>
      <c r="G733" s="12"/>
      <c r="H733" s="12"/>
      <c r="I733" s="12"/>
      <c r="J733" s="12"/>
      <c r="K733" s="12"/>
      <c r="L733" s="12"/>
      <c r="M733" s="12"/>
      <c r="N733" s="12"/>
      <c r="O733" s="12"/>
      <c r="P733" s="12"/>
      <c r="Q733" s="12"/>
      <c r="R733" s="12"/>
      <c r="S733" s="12"/>
      <c r="T733" s="12"/>
      <c r="U733" s="12"/>
      <c r="W733" s="12"/>
      <c r="X733" s="12"/>
      <c r="Y733" s="12"/>
      <c r="Z733" s="12"/>
      <c r="AA733" s="12"/>
    </row>
    <row r="734" spans="1:27">
      <c r="A734" s="12"/>
      <c r="B734" s="12"/>
      <c r="C734" s="12"/>
      <c r="D734" s="12"/>
      <c r="E734" s="12"/>
      <c r="F734" s="12"/>
      <c r="G734" s="12"/>
      <c r="H734" s="12"/>
      <c r="I734" s="12"/>
      <c r="J734" s="12"/>
      <c r="K734" s="12"/>
      <c r="L734" s="12"/>
      <c r="M734" s="12"/>
      <c r="N734" s="12"/>
      <c r="O734" s="12"/>
      <c r="P734" s="12"/>
      <c r="Q734" s="12"/>
      <c r="R734" s="12"/>
      <c r="S734" s="12"/>
      <c r="T734" s="12"/>
      <c r="U734" s="12"/>
      <c r="W734" s="12"/>
      <c r="X734" s="12"/>
      <c r="Y734" s="12"/>
      <c r="Z734" s="12"/>
      <c r="AA734" s="12"/>
    </row>
    <row r="735" spans="1:27">
      <c r="A735" s="12"/>
      <c r="B735" s="12"/>
      <c r="C735" s="12"/>
      <c r="D735" s="12"/>
      <c r="E735" s="12"/>
      <c r="F735" s="12"/>
      <c r="G735" s="12"/>
      <c r="H735" s="12"/>
      <c r="I735" s="12"/>
      <c r="J735" s="12"/>
      <c r="K735" s="12"/>
      <c r="L735" s="12"/>
      <c r="M735" s="12"/>
      <c r="N735" s="12"/>
      <c r="O735" s="12"/>
      <c r="P735" s="12"/>
      <c r="Q735" s="12"/>
      <c r="R735" s="12"/>
      <c r="S735" s="12"/>
      <c r="T735" s="12"/>
      <c r="U735" s="12"/>
      <c r="W735" s="12"/>
      <c r="X735" s="12"/>
      <c r="Y735" s="12"/>
      <c r="Z735" s="12"/>
      <c r="AA735" s="12"/>
    </row>
    <row r="736" spans="1:27">
      <c r="A736" s="12"/>
      <c r="B736" s="12"/>
      <c r="C736" s="12"/>
      <c r="D736" s="12"/>
      <c r="E736" s="12"/>
      <c r="F736" s="12"/>
      <c r="G736" s="12"/>
      <c r="H736" s="12"/>
      <c r="I736" s="12"/>
      <c r="J736" s="12"/>
      <c r="K736" s="12"/>
      <c r="L736" s="12"/>
      <c r="M736" s="12"/>
      <c r="N736" s="12"/>
      <c r="O736" s="12"/>
      <c r="P736" s="12"/>
      <c r="Q736" s="12"/>
      <c r="R736" s="12"/>
      <c r="S736" s="12"/>
      <c r="T736" s="12"/>
      <c r="U736" s="12"/>
      <c r="W736" s="12"/>
      <c r="X736" s="12"/>
      <c r="Y736" s="12"/>
      <c r="Z736" s="12"/>
      <c r="AA736" s="12"/>
    </row>
    <row r="737" spans="1:27">
      <c r="A737" s="12"/>
      <c r="B737" s="12"/>
      <c r="C737" s="12"/>
      <c r="D737" s="12"/>
      <c r="E737" s="12"/>
      <c r="F737" s="12"/>
      <c r="G737" s="12"/>
      <c r="H737" s="12"/>
      <c r="I737" s="12"/>
      <c r="J737" s="12"/>
      <c r="K737" s="12"/>
      <c r="L737" s="12"/>
      <c r="M737" s="12"/>
      <c r="N737" s="12"/>
      <c r="O737" s="12"/>
      <c r="P737" s="12"/>
      <c r="Q737" s="12"/>
      <c r="R737" s="12"/>
      <c r="S737" s="12"/>
      <c r="T737" s="12"/>
      <c r="U737" s="12"/>
      <c r="W737" s="12"/>
      <c r="X737" s="12"/>
      <c r="Y737" s="12"/>
      <c r="Z737" s="12"/>
      <c r="AA737" s="12"/>
    </row>
    <row r="738" spans="1:27">
      <c r="A738" s="12"/>
      <c r="B738" s="12"/>
      <c r="C738" s="12"/>
      <c r="D738" s="12"/>
      <c r="E738" s="12"/>
      <c r="F738" s="12"/>
      <c r="G738" s="12"/>
      <c r="H738" s="12"/>
      <c r="I738" s="12"/>
      <c r="J738" s="12"/>
      <c r="K738" s="12"/>
      <c r="L738" s="12"/>
      <c r="M738" s="12"/>
      <c r="N738" s="12"/>
      <c r="O738" s="12"/>
      <c r="P738" s="12"/>
      <c r="Q738" s="12"/>
      <c r="R738" s="12"/>
      <c r="S738" s="12"/>
      <c r="T738" s="12"/>
      <c r="U738" s="12"/>
      <c r="W738" s="12"/>
      <c r="X738" s="12"/>
      <c r="Y738" s="12"/>
      <c r="Z738" s="12"/>
      <c r="AA738" s="12"/>
    </row>
    <row r="739" spans="1:27">
      <c r="A739" s="12"/>
      <c r="B739" s="12"/>
      <c r="C739" s="12"/>
      <c r="D739" s="12"/>
      <c r="E739" s="12"/>
      <c r="F739" s="12"/>
      <c r="G739" s="12"/>
      <c r="H739" s="12"/>
      <c r="I739" s="12"/>
      <c r="J739" s="12"/>
      <c r="K739" s="12"/>
      <c r="L739" s="12"/>
      <c r="M739" s="12"/>
      <c r="N739" s="12"/>
      <c r="O739" s="12"/>
      <c r="P739" s="12"/>
      <c r="Q739" s="12"/>
      <c r="R739" s="12"/>
      <c r="S739" s="12"/>
      <c r="T739" s="12"/>
      <c r="U739" s="12"/>
      <c r="W739" s="12"/>
      <c r="X739" s="12"/>
      <c r="Y739" s="12"/>
      <c r="Z739" s="12"/>
      <c r="AA739" s="12"/>
    </row>
    <row r="740" spans="1:27">
      <c r="A740" s="12"/>
      <c r="B740" s="12"/>
      <c r="C740" s="12"/>
      <c r="D740" s="12"/>
      <c r="E740" s="12"/>
      <c r="F740" s="12"/>
      <c r="G740" s="12"/>
      <c r="H740" s="12"/>
      <c r="I740" s="12"/>
      <c r="J740" s="12"/>
      <c r="K740" s="12"/>
      <c r="L740" s="12"/>
      <c r="M740" s="12"/>
      <c r="N740" s="12"/>
      <c r="O740" s="12"/>
      <c r="P740" s="12"/>
      <c r="Q740" s="12"/>
      <c r="R740" s="12"/>
      <c r="S740" s="12"/>
      <c r="T740" s="12"/>
      <c r="U740" s="12"/>
      <c r="W740" s="12"/>
      <c r="X740" s="12"/>
      <c r="Y740" s="12"/>
      <c r="Z740" s="12"/>
      <c r="AA740" s="12"/>
    </row>
    <row r="741" spans="1:27">
      <c r="A741" s="12"/>
      <c r="B741" s="12"/>
      <c r="C741" s="12"/>
      <c r="D741" s="12"/>
      <c r="E741" s="12"/>
      <c r="F741" s="12"/>
      <c r="G741" s="12"/>
      <c r="H741" s="12"/>
      <c r="I741" s="12"/>
      <c r="J741" s="12"/>
      <c r="K741" s="12"/>
      <c r="L741" s="12"/>
      <c r="M741" s="12"/>
      <c r="N741" s="12"/>
      <c r="O741" s="12"/>
      <c r="P741" s="12"/>
      <c r="Q741" s="12"/>
      <c r="R741" s="12"/>
      <c r="S741" s="12"/>
      <c r="T741" s="12"/>
      <c r="U741" s="12"/>
      <c r="W741" s="12"/>
      <c r="X741" s="12"/>
      <c r="Y741" s="12"/>
      <c r="Z741" s="12"/>
      <c r="AA741" s="12"/>
    </row>
    <row r="742" spans="1:27">
      <c r="A742" s="12"/>
      <c r="B742" s="12"/>
      <c r="C742" s="12"/>
      <c r="D742" s="12"/>
      <c r="E742" s="12"/>
      <c r="F742" s="12"/>
      <c r="G742" s="12"/>
      <c r="H742" s="12"/>
      <c r="I742" s="12"/>
      <c r="J742" s="12"/>
      <c r="K742" s="12"/>
      <c r="L742" s="12"/>
      <c r="M742" s="12"/>
      <c r="N742" s="12"/>
      <c r="O742" s="12"/>
      <c r="P742" s="12"/>
      <c r="Q742" s="12"/>
      <c r="R742" s="12"/>
      <c r="S742" s="12"/>
      <c r="T742" s="12"/>
      <c r="U742" s="12"/>
      <c r="W742" s="12"/>
      <c r="X742" s="12"/>
      <c r="Y742" s="12"/>
      <c r="Z742" s="12"/>
      <c r="AA742" s="12"/>
    </row>
    <row r="743" spans="1:27">
      <c r="A743" s="12"/>
      <c r="B743" s="12"/>
      <c r="C743" s="12"/>
      <c r="D743" s="12"/>
      <c r="E743" s="12"/>
      <c r="F743" s="12"/>
      <c r="G743" s="12"/>
      <c r="H743" s="12"/>
      <c r="I743" s="12"/>
      <c r="J743" s="12"/>
      <c r="K743" s="12"/>
      <c r="L743" s="12"/>
      <c r="M743" s="12"/>
      <c r="N743" s="12"/>
      <c r="O743" s="12"/>
      <c r="P743" s="12"/>
      <c r="Q743" s="12"/>
      <c r="R743" s="12"/>
      <c r="S743" s="12"/>
      <c r="T743" s="12"/>
      <c r="U743" s="12"/>
      <c r="W743" s="12"/>
      <c r="X743" s="12"/>
      <c r="Y743" s="12"/>
      <c r="Z743" s="12"/>
      <c r="AA743" s="12"/>
    </row>
    <row r="744" spans="1:27">
      <c r="A744" s="12"/>
      <c r="B744" s="12"/>
      <c r="C744" s="12"/>
      <c r="D744" s="12"/>
      <c r="E744" s="12"/>
      <c r="F744" s="12"/>
      <c r="G744" s="12"/>
      <c r="H744" s="12"/>
      <c r="I744" s="12"/>
      <c r="J744" s="12"/>
      <c r="K744" s="12"/>
      <c r="L744" s="12"/>
      <c r="M744" s="12"/>
      <c r="N744" s="12"/>
      <c r="O744" s="12"/>
      <c r="P744" s="12"/>
      <c r="Q744" s="12"/>
      <c r="R744" s="12"/>
      <c r="S744" s="12"/>
      <c r="T744" s="12"/>
      <c r="U744" s="12"/>
      <c r="W744" s="12"/>
      <c r="X744" s="12"/>
      <c r="Y744" s="12"/>
      <c r="Z744" s="12"/>
      <c r="AA744" s="12"/>
    </row>
    <row r="745" spans="1:27">
      <c r="A745" s="12"/>
      <c r="B745" s="12"/>
      <c r="C745" s="12"/>
      <c r="D745" s="12"/>
      <c r="E745" s="12"/>
      <c r="F745" s="12"/>
      <c r="G745" s="12"/>
      <c r="H745" s="12"/>
      <c r="I745" s="12"/>
      <c r="J745" s="12"/>
      <c r="K745" s="12"/>
      <c r="L745" s="12"/>
      <c r="M745" s="12"/>
      <c r="N745" s="12"/>
      <c r="O745" s="12"/>
      <c r="P745" s="12"/>
      <c r="Q745" s="12"/>
      <c r="R745" s="12"/>
      <c r="S745" s="12"/>
      <c r="T745" s="12"/>
      <c r="U745" s="12"/>
      <c r="W745" s="12"/>
      <c r="X745" s="12"/>
      <c r="Y745" s="12"/>
      <c r="Z745" s="12"/>
      <c r="AA745" s="12"/>
    </row>
    <row r="746" spans="1:27">
      <c r="A746" s="12"/>
      <c r="B746" s="12"/>
      <c r="C746" s="12"/>
      <c r="D746" s="12"/>
      <c r="E746" s="12"/>
      <c r="F746" s="12"/>
      <c r="G746" s="12"/>
      <c r="H746" s="12"/>
      <c r="I746" s="12"/>
      <c r="J746" s="12"/>
      <c r="K746" s="12"/>
      <c r="L746" s="12"/>
      <c r="M746" s="12"/>
      <c r="N746" s="12"/>
      <c r="O746" s="12"/>
      <c r="P746" s="12"/>
      <c r="Q746" s="12"/>
      <c r="R746" s="12"/>
      <c r="S746" s="12"/>
      <c r="T746" s="12"/>
      <c r="U746" s="12"/>
      <c r="W746" s="12"/>
      <c r="X746" s="12"/>
      <c r="Y746" s="12"/>
      <c r="Z746" s="12"/>
      <c r="AA746" s="12"/>
    </row>
    <row r="747" spans="1:27">
      <c r="A747" s="12"/>
      <c r="B747" s="12"/>
      <c r="C747" s="12"/>
      <c r="D747" s="12"/>
      <c r="E747" s="12"/>
      <c r="F747" s="12"/>
      <c r="G747" s="12"/>
      <c r="H747" s="12"/>
      <c r="I747" s="12"/>
      <c r="J747" s="12"/>
      <c r="K747" s="12"/>
      <c r="L747" s="12"/>
      <c r="M747" s="12"/>
      <c r="N747" s="12"/>
      <c r="O747" s="12"/>
      <c r="P747" s="12"/>
      <c r="Q747" s="12"/>
      <c r="R747" s="12"/>
      <c r="S747" s="12"/>
      <c r="T747" s="12"/>
      <c r="U747" s="12"/>
      <c r="W747" s="12"/>
      <c r="X747" s="12"/>
      <c r="Y747" s="12"/>
      <c r="Z747" s="12"/>
      <c r="AA747" s="12"/>
    </row>
    <row r="748" spans="1:27">
      <c r="A748" s="12"/>
      <c r="B748" s="12"/>
      <c r="C748" s="12"/>
      <c r="D748" s="12"/>
      <c r="E748" s="12"/>
      <c r="F748" s="12"/>
      <c r="G748" s="12"/>
      <c r="H748" s="12"/>
      <c r="I748" s="12"/>
      <c r="J748" s="12"/>
      <c r="K748" s="12"/>
      <c r="L748" s="12"/>
      <c r="M748" s="12"/>
      <c r="N748" s="12"/>
      <c r="O748" s="12"/>
      <c r="P748" s="12"/>
      <c r="Q748" s="12"/>
      <c r="R748" s="12"/>
      <c r="S748" s="12"/>
      <c r="T748" s="12"/>
      <c r="U748" s="12"/>
      <c r="W748" s="12"/>
      <c r="X748" s="12"/>
      <c r="Y748" s="12"/>
      <c r="Z748" s="12"/>
      <c r="AA748" s="12"/>
    </row>
    <row r="749" spans="1:27">
      <c r="A749" s="12"/>
      <c r="B749" s="12"/>
      <c r="C749" s="12"/>
      <c r="D749" s="12"/>
      <c r="E749" s="12"/>
      <c r="F749" s="12"/>
      <c r="G749" s="12"/>
      <c r="H749" s="12"/>
      <c r="I749" s="12"/>
      <c r="J749" s="12"/>
      <c r="K749" s="12"/>
      <c r="L749" s="12"/>
      <c r="M749" s="12"/>
      <c r="N749" s="12"/>
      <c r="O749" s="12"/>
      <c r="P749" s="12"/>
      <c r="Q749" s="12"/>
      <c r="R749" s="12"/>
      <c r="S749" s="12"/>
      <c r="T749" s="12"/>
      <c r="U749" s="12"/>
      <c r="W749" s="12"/>
      <c r="X749" s="12"/>
      <c r="Y749" s="12"/>
      <c r="Z749" s="12"/>
      <c r="AA749" s="12"/>
    </row>
    <row r="750" spans="1:27">
      <c r="A750" s="12"/>
      <c r="B750" s="12"/>
      <c r="C750" s="12"/>
      <c r="D750" s="12"/>
      <c r="E750" s="12"/>
      <c r="F750" s="12"/>
      <c r="G750" s="12"/>
      <c r="H750" s="12"/>
      <c r="I750" s="12"/>
      <c r="J750" s="12"/>
      <c r="K750" s="12"/>
      <c r="L750" s="12"/>
      <c r="M750" s="12"/>
      <c r="N750" s="12"/>
      <c r="O750" s="12"/>
      <c r="P750" s="12"/>
      <c r="Q750" s="12"/>
      <c r="R750" s="12"/>
      <c r="S750" s="12"/>
      <c r="T750" s="12"/>
      <c r="U750" s="12"/>
      <c r="W750" s="12"/>
      <c r="X750" s="12"/>
      <c r="Y750" s="12"/>
      <c r="Z750" s="12"/>
      <c r="AA750" s="12"/>
    </row>
    <row r="751" spans="1:27">
      <c r="A751" s="12"/>
      <c r="B751" s="12"/>
      <c r="C751" s="12"/>
      <c r="D751" s="12"/>
      <c r="E751" s="12"/>
      <c r="F751" s="12"/>
      <c r="G751" s="12"/>
      <c r="H751" s="12"/>
      <c r="I751" s="12"/>
      <c r="J751" s="12"/>
      <c r="K751" s="12"/>
      <c r="L751" s="12"/>
      <c r="M751" s="12"/>
      <c r="N751" s="12"/>
      <c r="O751" s="12"/>
      <c r="P751" s="12"/>
      <c r="Q751" s="12"/>
      <c r="R751" s="12"/>
      <c r="S751" s="12"/>
      <c r="T751" s="12"/>
      <c r="U751" s="12"/>
      <c r="W751" s="12"/>
      <c r="X751" s="12"/>
      <c r="Y751" s="12"/>
      <c r="Z751" s="12"/>
      <c r="AA751" s="12"/>
    </row>
    <row r="752" spans="1:27">
      <c r="A752" s="12"/>
      <c r="B752" s="12"/>
      <c r="C752" s="12"/>
      <c r="D752" s="12"/>
      <c r="E752" s="12"/>
      <c r="F752" s="12"/>
      <c r="G752" s="12"/>
      <c r="H752" s="12"/>
      <c r="I752" s="12"/>
      <c r="J752" s="12"/>
      <c r="K752" s="12"/>
      <c r="L752" s="12"/>
      <c r="M752" s="12"/>
      <c r="N752" s="12"/>
      <c r="O752" s="12"/>
      <c r="P752" s="12"/>
      <c r="Q752" s="12"/>
      <c r="R752" s="12"/>
      <c r="S752" s="12"/>
      <c r="T752" s="12"/>
      <c r="U752" s="12"/>
      <c r="W752" s="12"/>
      <c r="X752" s="12"/>
      <c r="Y752" s="12"/>
      <c r="Z752" s="12"/>
      <c r="AA752" s="12"/>
    </row>
    <row r="753" spans="1:27">
      <c r="A753" s="12"/>
      <c r="B753" s="12"/>
      <c r="C753" s="12"/>
      <c r="D753" s="12"/>
      <c r="E753" s="12"/>
      <c r="F753" s="12"/>
      <c r="G753" s="12"/>
      <c r="H753" s="12"/>
      <c r="I753" s="12"/>
      <c r="J753" s="12"/>
      <c r="K753" s="12"/>
      <c r="L753" s="12"/>
      <c r="M753" s="12"/>
      <c r="N753" s="12"/>
      <c r="O753" s="12"/>
      <c r="P753" s="12"/>
      <c r="Q753" s="12"/>
      <c r="R753" s="12"/>
      <c r="S753" s="12"/>
      <c r="T753" s="12"/>
      <c r="U753" s="12"/>
      <c r="W753" s="12"/>
      <c r="X753" s="12"/>
      <c r="Y753" s="12"/>
      <c r="Z753" s="12"/>
      <c r="AA753" s="12"/>
    </row>
    <row r="754" spans="1:27">
      <c r="A754" s="12"/>
      <c r="B754" s="12"/>
      <c r="C754" s="12"/>
      <c r="D754" s="12"/>
      <c r="E754" s="12"/>
      <c r="F754" s="12"/>
      <c r="G754" s="12"/>
      <c r="H754" s="12"/>
      <c r="I754" s="12"/>
      <c r="J754" s="12"/>
      <c r="K754" s="12"/>
      <c r="L754" s="12"/>
      <c r="M754" s="12"/>
      <c r="N754" s="12"/>
      <c r="O754" s="12"/>
      <c r="P754" s="12"/>
      <c r="Q754" s="12"/>
      <c r="R754" s="12"/>
      <c r="S754" s="12"/>
      <c r="T754" s="12"/>
      <c r="U754" s="12"/>
      <c r="W754" s="12"/>
      <c r="X754" s="12"/>
      <c r="Y754" s="12"/>
      <c r="Z754" s="12"/>
      <c r="AA754" s="12"/>
    </row>
    <row r="755" spans="1:27">
      <c r="A755" s="12"/>
      <c r="B755" s="12"/>
      <c r="C755" s="12"/>
      <c r="D755" s="12"/>
      <c r="E755" s="12"/>
      <c r="F755" s="12"/>
      <c r="G755" s="12"/>
      <c r="H755" s="12"/>
      <c r="I755" s="12"/>
      <c r="J755" s="12"/>
      <c r="K755" s="12"/>
      <c r="L755" s="12"/>
      <c r="M755" s="12"/>
      <c r="N755" s="12"/>
      <c r="O755" s="12"/>
      <c r="P755" s="12"/>
      <c r="Q755" s="12"/>
      <c r="R755" s="12"/>
      <c r="S755" s="12"/>
      <c r="T755" s="12"/>
      <c r="U755" s="12"/>
      <c r="W755" s="12"/>
      <c r="X755" s="12"/>
      <c r="Y755" s="12"/>
      <c r="Z755" s="12"/>
      <c r="AA755" s="12"/>
    </row>
    <row r="756" spans="1:27">
      <c r="A756" s="12"/>
      <c r="B756" s="12"/>
      <c r="C756" s="12"/>
      <c r="D756" s="12"/>
      <c r="E756" s="12"/>
      <c r="F756" s="12"/>
      <c r="G756" s="12"/>
      <c r="H756" s="12"/>
      <c r="I756" s="12"/>
      <c r="J756" s="12"/>
      <c r="K756" s="12"/>
      <c r="L756" s="12"/>
      <c r="M756" s="12"/>
      <c r="N756" s="12"/>
      <c r="O756" s="12"/>
      <c r="P756" s="12"/>
      <c r="Q756" s="12"/>
      <c r="R756" s="12"/>
      <c r="S756" s="12"/>
      <c r="T756" s="12"/>
      <c r="U756" s="12"/>
      <c r="W756" s="12"/>
      <c r="X756" s="12"/>
      <c r="Y756" s="12"/>
      <c r="Z756" s="12"/>
      <c r="AA756" s="12"/>
    </row>
    <row r="757" spans="1:27">
      <c r="A757" s="12"/>
      <c r="B757" s="12"/>
      <c r="C757" s="12"/>
      <c r="D757" s="12"/>
      <c r="E757" s="12"/>
      <c r="F757" s="12"/>
      <c r="G757" s="12"/>
      <c r="H757" s="12"/>
      <c r="I757" s="12"/>
      <c r="J757" s="12"/>
      <c r="K757" s="12"/>
      <c r="L757" s="12"/>
      <c r="M757" s="12"/>
      <c r="N757" s="12"/>
      <c r="O757" s="12"/>
      <c r="P757" s="12"/>
      <c r="Q757" s="12"/>
      <c r="R757" s="12"/>
      <c r="S757" s="12"/>
      <c r="T757" s="12"/>
      <c r="U757" s="12"/>
      <c r="W757" s="12"/>
      <c r="X757" s="12"/>
      <c r="Y757" s="12"/>
      <c r="Z757" s="12"/>
      <c r="AA757" s="12"/>
    </row>
    <row r="758" spans="1:27">
      <c r="A758" s="12"/>
      <c r="B758" s="12"/>
      <c r="C758" s="12"/>
      <c r="D758" s="12"/>
      <c r="E758" s="12"/>
      <c r="F758" s="12"/>
      <c r="G758" s="12"/>
      <c r="H758" s="12"/>
      <c r="I758" s="12"/>
      <c r="J758" s="12"/>
      <c r="K758" s="12"/>
      <c r="L758" s="12"/>
      <c r="M758" s="12"/>
      <c r="N758" s="12"/>
      <c r="O758" s="12"/>
      <c r="P758" s="12"/>
      <c r="Q758" s="12"/>
      <c r="R758" s="12"/>
      <c r="S758" s="12"/>
      <c r="T758" s="12"/>
      <c r="U758" s="12"/>
      <c r="W758" s="12"/>
      <c r="X758" s="12"/>
      <c r="Y758" s="12"/>
      <c r="Z758" s="12"/>
      <c r="AA758" s="12"/>
    </row>
    <row r="759" spans="1:27">
      <c r="A759" s="12"/>
      <c r="B759" s="12"/>
      <c r="C759" s="12"/>
      <c r="D759" s="12"/>
      <c r="E759" s="12"/>
      <c r="F759" s="12"/>
      <c r="G759" s="12"/>
      <c r="H759" s="12"/>
      <c r="I759" s="12"/>
      <c r="J759" s="12"/>
      <c r="K759" s="12"/>
      <c r="L759" s="12"/>
      <c r="M759" s="12"/>
      <c r="N759" s="12"/>
      <c r="O759" s="12"/>
      <c r="P759" s="12"/>
      <c r="Q759" s="12"/>
      <c r="R759" s="12"/>
      <c r="S759" s="12"/>
      <c r="T759" s="12"/>
      <c r="U759" s="12"/>
      <c r="W759" s="12"/>
      <c r="X759" s="12"/>
      <c r="Y759" s="12"/>
      <c r="Z759" s="12"/>
      <c r="AA759" s="12"/>
    </row>
    <row r="760" spans="1:27">
      <c r="A760" s="12"/>
      <c r="B760" s="12"/>
      <c r="C760" s="12"/>
      <c r="D760" s="12"/>
      <c r="E760" s="12"/>
      <c r="F760" s="12"/>
      <c r="G760" s="12"/>
      <c r="H760" s="12"/>
      <c r="I760" s="12"/>
      <c r="J760" s="12"/>
      <c r="K760" s="12"/>
      <c r="L760" s="12"/>
      <c r="M760" s="12"/>
      <c r="N760" s="12"/>
      <c r="O760" s="12"/>
      <c r="P760" s="12"/>
      <c r="Q760" s="12"/>
      <c r="R760" s="12"/>
      <c r="S760" s="12"/>
      <c r="T760" s="12"/>
      <c r="U760" s="12"/>
      <c r="W760" s="12"/>
      <c r="X760" s="12"/>
      <c r="Y760" s="12"/>
      <c r="Z760" s="12"/>
      <c r="AA760" s="12"/>
    </row>
    <row r="761" spans="1:27">
      <c r="A761" s="12"/>
      <c r="B761" s="12"/>
      <c r="C761" s="12"/>
      <c r="D761" s="12"/>
      <c r="E761" s="12"/>
      <c r="F761" s="12"/>
      <c r="G761" s="12"/>
      <c r="H761" s="12"/>
      <c r="I761" s="12"/>
      <c r="J761" s="12"/>
      <c r="K761" s="12"/>
      <c r="L761" s="12"/>
      <c r="M761" s="12"/>
      <c r="N761" s="12"/>
      <c r="O761" s="12"/>
      <c r="P761" s="12"/>
      <c r="Q761" s="12"/>
      <c r="R761" s="12"/>
      <c r="S761" s="12"/>
      <c r="T761" s="12"/>
      <c r="U761" s="12"/>
      <c r="W761" s="12"/>
      <c r="X761" s="12"/>
      <c r="Y761" s="12"/>
      <c r="Z761" s="12"/>
      <c r="AA761" s="12"/>
    </row>
    <row r="762" spans="1:27">
      <c r="A762" s="12"/>
      <c r="B762" s="12"/>
      <c r="C762" s="12"/>
      <c r="D762" s="12"/>
      <c r="E762" s="12"/>
      <c r="F762" s="12"/>
      <c r="G762" s="12"/>
      <c r="H762" s="12"/>
      <c r="I762" s="12"/>
      <c r="J762" s="12"/>
      <c r="K762" s="12"/>
      <c r="L762" s="12"/>
      <c r="M762" s="12"/>
      <c r="N762" s="12"/>
      <c r="O762" s="12"/>
      <c r="P762" s="12"/>
      <c r="Q762" s="12"/>
      <c r="R762" s="12"/>
      <c r="S762" s="12"/>
      <c r="T762" s="12"/>
      <c r="U762" s="12"/>
      <c r="W762" s="12"/>
      <c r="X762" s="12"/>
      <c r="Y762" s="12"/>
      <c r="Z762" s="12"/>
      <c r="AA762" s="12"/>
    </row>
    <row r="763" spans="1:27">
      <c r="A763" s="12"/>
      <c r="B763" s="12"/>
      <c r="C763" s="12"/>
      <c r="D763" s="12"/>
      <c r="E763" s="12"/>
      <c r="F763" s="12"/>
      <c r="G763" s="12"/>
      <c r="H763" s="12"/>
      <c r="I763" s="12"/>
      <c r="J763" s="12"/>
      <c r="K763" s="12"/>
      <c r="L763" s="12"/>
      <c r="M763" s="12"/>
      <c r="N763" s="12"/>
      <c r="O763" s="12"/>
      <c r="P763" s="12"/>
      <c r="Q763" s="12"/>
      <c r="R763" s="12"/>
      <c r="S763" s="12"/>
      <c r="T763" s="12"/>
      <c r="U763" s="12"/>
      <c r="W763" s="12"/>
      <c r="X763" s="12"/>
      <c r="Y763" s="12"/>
      <c r="Z763" s="12"/>
      <c r="AA763" s="12"/>
    </row>
    <row r="764" spans="1:27">
      <c r="A764" s="12"/>
      <c r="B764" s="12"/>
      <c r="C764" s="12"/>
      <c r="D764" s="12"/>
      <c r="E764" s="12"/>
      <c r="F764" s="12"/>
      <c r="G764" s="12"/>
      <c r="H764" s="12"/>
      <c r="I764" s="12"/>
      <c r="J764" s="12"/>
      <c r="K764" s="12"/>
      <c r="L764" s="12"/>
      <c r="M764" s="12"/>
      <c r="N764" s="12"/>
      <c r="O764" s="12"/>
      <c r="P764" s="12"/>
      <c r="Q764" s="12"/>
      <c r="R764" s="12"/>
      <c r="S764" s="12"/>
      <c r="T764" s="12"/>
      <c r="U764" s="12"/>
      <c r="W764" s="12"/>
      <c r="X764" s="12"/>
      <c r="Y764" s="12"/>
      <c r="Z764" s="12"/>
      <c r="AA764" s="12"/>
    </row>
    <row r="765" spans="1:27">
      <c r="A765" s="12"/>
      <c r="B765" s="12"/>
      <c r="C765" s="12"/>
      <c r="D765" s="12"/>
      <c r="E765" s="12"/>
      <c r="F765" s="12"/>
      <c r="G765" s="12"/>
      <c r="H765" s="12"/>
      <c r="I765" s="12"/>
      <c r="J765" s="12"/>
      <c r="K765" s="12"/>
      <c r="L765" s="12"/>
      <c r="M765" s="12"/>
      <c r="N765" s="12"/>
      <c r="O765" s="12"/>
      <c r="P765" s="12"/>
      <c r="Q765" s="12"/>
      <c r="R765" s="12"/>
      <c r="S765" s="12"/>
      <c r="T765" s="12"/>
      <c r="U765" s="12"/>
      <c r="W765" s="12"/>
      <c r="X765" s="12"/>
      <c r="Y765" s="12"/>
      <c r="Z765" s="12"/>
      <c r="AA765" s="12"/>
    </row>
    <row r="766" spans="1:27">
      <c r="A766" s="12"/>
      <c r="B766" s="12"/>
      <c r="C766" s="12"/>
      <c r="D766" s="12"/>
      <c r="E766" s="12"/>
      <c r="F766" s="12"/>
      <c r="G766" s="12"/>
      <c r="H766" s="12"/>
      <c r="I766" s="12"/>
      <c r="J766" s="12"/>
      <c r="K766" s="12"/>
      <c r="L766" s="12"/>
      <c r="M766" s="12"/>
      <c r="N766" s="12"/>
      <c r="O766" s="12"/>
      <c r="P766" s="12"/>
      <c r="Q766" s="12"/>
      <c r="R766" s="12"/>
      <c r="S766" s="12"/>
      <c r="T766" s="12"/>
      <c r="U766" s="12"/>
      <c r="W766" s="12"/>
      <c r="X766" s="12"/>
      <c r="Y766" s="12"/>
      <c r="Z766" s="12"/>
      <c r="AA766" s="12"/>
    </row>
    <row r="767" spans="1:27">
      <c r="A767" s="12"/>
      <c r="B767" s="12"/>
      <c r="C767" s="12"/>
      <c r="D767" s="12"/>
      <c r="E767" s="12"/>
      <c r="F767" s="12"/>
      <c r="G767" s="12"/>
      <c r="H767" s="12"/>
      <c r="I767" s="12"/>
      <c r="J767" s="12"/>
      <c r="K767" s="12"/>
      <c r="L767" s="12"/>
      <c r="M767" s="12"/>
      <c r="N767" s="12"/>
      <c r="O767" s="12"/>
      <c r="P767" s="12"/>
      <c r="Q767" s="12"/>
      <c r="R767" s="12"/>
      <c r="S767" s="12"/>
      <c r="T767" s="12"/>
      <c r="U767" s="12"/>
      <c r="W767" s="12"/>
      <c r="X767" s="12"/>
      <c r="Y767" s="12"/>
      <c r="Z767" s="12"/>
      <c r="AA767" s="12"/>
    </row>
    <row r="768" spans="1:27">
      <c r="A768" s="12"/>
      <c r="B768" s="12"/>
      <c r="C768" s="12"/>
      <c r="D768" s="12"/>
      <c r="E768" s="12"/>
      <c r="F768" s="12"/>
      <c r="G768" s="12"/>
      <c r="H768" s="12"/>
      <c r="I768" s="12"/>
      <c r="J768" s="12"/>
      <c r="K768" s="12"/>
      <c r="L768" s="12"/>
      <c r="M768" s="12"/>
      <c r="N768" s="12"/>
      <c r="O768" s="12"/>
      <c r="P768" s="12"/>
      <c r="Q768" s="12"/>
      <c r="R768" s="12"/>
      <c r="S768" s="12"/>
      <c r="T768" s="12"/>
      <c r="U768" s="12"/>
      <c r="W768" s="12"/>
      <c r="X768" s="12"/>
      <c r="Y768" s="12"/>
      <c r="Z768" s="12"/>
      <c r="AA768" s="12"/>
    </row>
    <row r="769" spans="1:27">
      <c r="A769" s="12"/>
      <c r="B769" s="12"/>
      <c r="C769" s="12"/>
      <c r="D769" s="12"/>
      <c r="E769" s="12"/>
      <c r="F769" s="12"/>
      <c r="G769" s="12"/>
      <c r="H769" s="12"/>
      <c r="I769" s="12"/>
      <c r="J769" s="12"/>
      <c r="K769" s="12"/>
      <c r="L769" s="12"/>
      <c r="M769" s="12"/>
      <c r="N769" s="12"/>
      <c r="O769" s="12"/>
      <c r="P769" s="12"/>
      <c r="Q769" s="12"/>
      <c r="R769" s="12"/>
      <c r="S769" s="12"/>
      <c r="T769" s="12"/>
      <c r="U769" s="12"/>
      <c r="W769" s="12"/>
      <c r="X769" s="12"/>
      <c r="Y769" s="12"/>
      <c r="Z769" s="12"/>
      <c r="AA769" s="12"/>
    </row>
    <row r="770" spans="1:27">
      <c r="A770" s="12"/>
      <c r="B770" s="12"/>
      <c r="C770" s="12"/>
      <c r="D770" s="12"/>
      <c r="E770" s="12"/>
      <c r="F770" s="12"/>
      <c r="G770" s="12"/>
      <c r="H770" s="12"/>
      <c r="I770" s="12"/>
      <c r="J770" s="12"/>
      <c r="K770" s="12"/>
      <c r="L770" s="12"/>
      <c r="M770" s="12"/>
      <c r="N770" s="12"/>
      <c r="O770" s="12"/>
      <c r="P770" s="12"/>
      <c r="Q770" s="12"/>
      <c r="R770" s="12"/>
      <c r="S770" s="12"/>
      <c r="T770" s="12"/>
      <c r="U770" s="12"/>
      <c r="W770" s="12"/>
      <c r="X770" s="12"/>
      <c r="Y770" s="12"/>
      <c r="Z770" s="12"/>
      <c r="AA770" s="12"/>
    </row>
    <row r="771" spans="1:27">
      <c r="A771" s="12"/>
      <c r="B771" s="12"/>
      <c r="C771" s="12"/>
      <c r="D771" s="12"/>
      <c r="E771" s="12"/>
      <c r="F771" s="12"/>
      <c r="G771" s="12"/>
      <c r="H771" s="12"/>
      <c r="I771" s="12"/>
      <c r="J771" s="12"/>
      <c r="K771" s="12"/>
      <c r="L771" s="12"/>
      <c r="M771" s="12"/>
      <c r="N771" s="12"/>
      <c r="O771" s="12"/>
      <c r="P771" s="12"/>
      <c r="Q771" s="12"/>
      <c r="R771" s="12"/>
      <c r="S771" s="12"/>
      <c r="T771" s="12"/>
      <c r="U771" s="12"/>
      <c r="W771" s="12"/>
      <c r="X771" s="12"/>
      <c r="Y771" s="12"/>
      <c r="Z771" s="12"/>
      <c r="AA771" s="12"/>
    </row>
    <row r="772" spans="1:27">
      <c r="A772" s="12"/>
      <c r="B772" s="12"/>
      <c r="C772" s="12"/>
      <c r="D772" s="12"/>
      <c r="E772" s="12"/>
      <c r="F772" s="12"/>
      <c r="G772" s="12"/>
      <c r="H772" s="12"/>
      <c r="I772" s="12"/>
      <c r="J772" s="12"/>
      <c r="K772" s="12"/>
      <c r="L772" s="12"/>
      <c r="M772" s="12"/>
      <c r="N772" s="12"/>
      <c r="O772" s="12"/>
      <c r="P772" s="12"/>
      <c r="Q772" s="12"/>
      <c r="R772" s="12"/>
      <c r="S772" s="12"/>
      <c r="T772" s="12"/>
      <c r="U772" s="12"/>
      <c r="W772" s="12"/>
      <c r="X772" s="12"/>
      <c r="Y772" s="12"/>
      <c r="Z772" s="12"/>
      <c r="AA772" s="12"/>
    </row>
    <row r="773" spans="1:27">
      <c r="A773" s="12"/>
      <c r="B773" s="12"/>
      <c r="C773" s="12"/>
      <c r="D773" s="12"/>
      <c r="E773" s="12"/>
      <c r="F773" s="12"/>
      <c r="G773" s="12"/>
      <c r="H773" s="12"/>
      <c r="I773" s="12"/>
      <c r="J773" s="12"/>
      <c r="K773" s="12"/>
      <c r="L773" s="12"/>
      <c r="M773" s="12"/>
      <c r="N773" s="12"/>
      <c r="O773" s="12"/>
      <c r="P773" s="12"/>
      <c r="Q773" s="12"/>
      <c r="R773" s="12"/>
      <c r="S773" s="12"/>
      <c r="T773" s="12"/>
      <c r="U773" s="12"/>
      <c r="W773" s="12"/>
      <c r="X773" s="12"/>
      <c r="Y773" s="12"/>
      <c r="Z773" s="12"/>
      <c r="AA773" s="12"/>
    </row>
    <row r="774" spans="1:27">
      <c r="A774" s="12"/>
      <c r="B774" s="12"/>
      <c r="C774" s="12"/>
      <c r="D774" s="12"/>
      <c r="E774" s="12"/>
      <c r="F774" s="12"/>
      <c r="G774" s="12"/>
      <c r="H774" s="12"/>
      <c r="I774" s="12"/>
      <c r="J774" s="12"/>
      <c r="K774" s="12"/>
      <c r="L774" s="12"/>
      <c r="M774" s="12"/>
      <c r="N774" s="12"/>
      <c r="O774" s="12"/>
      <c r="P774" s="12"/>
      <c r="Q774" s="12"/>
      <c r="R774" s="12"/>
      <c r="S774" s="12"/>
      <c r="T774" s="12"/>
      <c r="U774" s="12"/>
      <c r="W774" s="12"/>
      <c r="X774" s="12"/>
      <c r="Y774" s="12"/>
      <c r="Z774" s="12"/>
      <c r="AA774" s="12"/>
    </row>
    <row r="775" spans="1:27">
      <c r="A775" s="12"/>
      <c r="B775" s="12"/>
      <c r="C775" s="12"/>
      <c r="D775" s="12"/>
      <c r="E775" s="12"/>
      <c r="F775" s="12"/>
      <c r="G775" s="12"/>
      <c r="H775" s="12"/>
      <c r="I775" s="12"/>
      <c r="J775" s="12"/>
      <c r="K775" s="12"/>
      <c r="L775" s="12"/>
      <c r="M775" s="12"/>
      <c r="N775" s="12"/>
      <c r="O775" s="12"/>
      <c r="P775" s="12"/>
      <c r="Q775" s="12"/>
      <c r="R775" s="12"/>
      <c r="S775" s="12"/>
      <c r="T775" s="12"/>
      <c r="U775" s="12"/>
      <c r="W775" s="12"/>
      <c r="X775" s="12"/>
      <c r="Y775" s="12"/>
      <c r="Z775" s="12"/>
      <c r="AA775" s="12"/>
    </row>
    <row r="776" spans="1:27">
      <c r="A776" s="12"/>
      <c r="B776" s="12"/>
      <c r="C776" s="12"/>
      <c r="D776" s="12"/>
      <c r="E776" s="12"/>
      <c r="F776" s="12"/>
      <c r="G776" s="12"/>
      <c r="H776" s="12"/>
      <c r="I776" s="12"/>
      <c r="J776" s="12"/>
      <c r="K776" s="12"/>
      <c r="L776" s="12"/>
      <c r="M776" s="12"/>
      <c r="N776" s="12"/>
      <c r="O776" s="12"/>
      <c r="P776" s="12"/>
      <c r="Q776" s="12"/>
      <c r="R776" s="12"/>
      <c r="S776" s="12"/>
      <c r="T776" s="12"/>
      <c r="U776" s="12"/>
      <c r="W776" s="12"/>
      <c r="X776" s="12"/>
      <c r="Y776" s="12"/>
      <c r="Z776" s="12"/>
      <c r="AA776" s="12"/>
    </row>
    <row r="777" spans="1:27">
      <c r="A777" s="12"/>
      <c r="B777" s="12"/>
      <c r="C777" s="12"/>
      <c r="D777" s="12"/>
      <c r="E777" s="12"/>
      <c r="F777" s="12"/>
      <c r="G777" s="12"/>
      <c r="H777" s="12"/>
      <c r="I777" s="12"/>
      <c r="J777" s="12"/>
      <c r="K777" s="12"/>
      <c r="L777" s="12"/>
      <c r="M777" s="12"/>
      <c r="N777" s="12"/>
      <c r="O777" s="12"/>
      <c r="P777" s="12"/>
      <c r="Q777" s="12"/>
      <c r="R777" s="12"/>
      <c r="S777" s="12"/>
      <c r="T777" s="12"/>
      <c r="U777" s="12"/>
      <c r="W777" s="12"/>
      <c r="X777" s="12"/>
      <c r="Y777" s="12"/>
      <c r="Z777" s="12"/>
      <c r="AA777" s="12"/>
    </row>
    <row r="778" spans="1:27">
      <c r="A778" s="12"/>
      <c r="B778" s="12"/>
      <c r="C778" s="12"/>
      <c r="D778" s="12"/>
      <c r="E778" s="12"/>
      <c r="F778" s="12"/>
      <c r="G778" s="12"/>
      <c r="H778" s="12"/>
      <c r="I778" s="12"/>
      <c r="J778" s="12"/>
      <c r="K778" s="12"/>
      <c r="L778" s="12"/>
      <c r="M778" s="12"/>
      <c r="N778" s="12"/>
      <c r="O778" s="12"/>
      <c r="P778" s="12"/>
      <c r="Q778" s="12"/>
      <c r="R778" s="12"/>
      <c r="S778" s="12"/>
      <c r="T778" s="12"/>
      <c r="U778" s="12"/>
      <c r="W778" s="12"/>
      <c r="X778" s="12"/>
      <c r="Y778" s="12"/>
      <c r="Z778" s="12"/>
      <c r="AA778" s="12"/>
    </row>
    <row r="779" spans="1:27">
      <c r="A779" s="12"/>
      <c r="B779" s="12"/>
      <c r="C779" s="12"/>
      <c r="D779" s="12"/>
      <c r="E779" s="12"/>
      <c r="F779" s="12"/>
      <c r="G779" s="12"/>
      <c r="H779" s="12"/>
      <c r="I779" s="12"/>
      <c r="J779" s="12"/>
      <c r="K779" s="12"/>
      <c r="L779" s="12"/>
      <c r="M779" s="12"/>
      <c r="N779" s="12"/>
      <c r="O779" s="12"/>
      <c r="P779" s="12"/>
      <c r="Q779" s="12"/>
      <c r="R779" s="12"/>
      <c r="S779" s="12"/>
      <c r="T779" s="12"/>
      <c r="U779" s="12"/>
      <c r="W779" s="12"/>
      <c r="X779" s="12"/>
      <c r="Y779" s="12"/>
      <c r="Z779" s="12"/>
      <c r="AA779" s="12"/>
    </row>
    <row r="780" spans="1:27">
      <c r="A780" s="12"/>
      <c r="B780" s="12"/>
      <c r="C780" s="12"/>
      <c r="D780" s="12"/>
      <c r="E780" s="12"/>
      <c r="F780" s="12"/>
      <c r="G780" s="12"/>
      <c r="H780" s="12"/>
      <c r="I780" s="12"/>
      <c r="J780" s="12"/>
      <c r="K780" s="12"/>
      <c r="L780" s="12"/>
      <c r="M780" s="12"/>
      <c r="N780" s="12"/>
      <c r="O780" s="12"/>
      <c r="P780" s="12"/>
      <c r="Q780" s="12"/>
      <c r="R780" s="12"/>
      <c r="S780" s="12"/>
      <c r="T780" s="12"/>
      <c r="U780" s="12"/>
      <c r="W780" s="12"/>
      <c r="X780" s="12"/>
      <c r="Y780" s="12"/>
      <c r="Z780" s="12"/>
      <c r="AA780" s="12"/>
    </row>
    <row r="781" spans="1:27">
      <c r="A781" s="12"/>
      <c r="B781" s="12"/>
      <c r="C781" s="12"/>
      <c r="D781" s="12"/>
      <c r="E781" s="12"/>
      <c r="F781" s="12"/>
      <c r="G781" s="12"/>
      <c r="H781" s="12"/>
      <c r="I781" s="12"/>
      <c r="J781" s="12"/>
      <c r="K781" s="12"/>
      <c r="L781" s="12"/>
      <c r="M781" s="12"/>
      <c r="N781" s="12"/>
      <c r="O781" s="12"/>
      <c r="P781" s="12"/>
      <c r="Q781" s="12"/>
      <c r="R781" s="12"/>
      <c r="S781" s="12"/>
      <c r="T781" s="12"/>
      <c r="U781" s="12"/>
      <c r="W781" s="12"/>
      <c r="X781" s="12"/>
      <c r="Y781" s="12"/>
      <c r="Z781" s="12"/>
      <c r="AA781" s="12"/>
    </row>
    <row r="782" spans="1:27">
      <c r="A782" s="12"/>
      <c r="B782" s="12"/>
      <c r="C782" s="12"/>
      <c r="D782" s="12"/>
      <c r="E782" s="12"/>
      <c r="F782" s="12"/>
      <c r="G782" s="12"/>
      <c r="H782" s="12"/>
      <c r="I782" s="12"/>
      <c r="J782" s="12"/>
      <c r="K782" s="12"/>
      <c r="L782" s="12"/>
      <c r="M782" s="12"/>
      <c r="N782" s="12"/>
      <c r="O782" s="12"/>
      <c r="P782" s="12"/>
      <c r="Q782" s="12"/>
      <c r="R782" s="12"/>
      <c r="S782" s="12"/>
      <c r="T782" s="12"/>
      <c r="U782" s="12"/>
      <c r="W782" s="12"/>
      <c r="X782" s="12"/>
      <c r="Y782" s="12"/>
      <c r="Z782" s="12"/>
      <c r="AA782" s="12"/>
    </row>
    <row r="783" spans="1:27">
      <c r="A783" s="12"/>
      <c r="B783" s="12"/>
      <c r="C783" s="12"/>
      <c r="D783" s="12"/>
      <c r="E783" s="12"/>
      <c r="F783" s="12"/>
      <c r="G783" s="12"/>
      <c r="H783" s="12"/>
      <c r="I783" s="12"/>
      <c r="J783" s="12"/>
      <c r="K783" s="12"/>
      <c r="L783" s="12"/>
      <c r="M783" s="12"/>
      <c r="N783" s="12"/>
      <c r="O783" s="12"/>
      <c r="P783" s="12"/>
      <c r="Q783" s="12"/>
      <c r="R783" s="12"/>
      <c r="S783" s="12"/>
      <c r="T783" s="12"/>
      <c r="U783" s="12"/>
      <c r="W783" s="12"/>
      <c r="X783" s="12"/>
      <c r="Y783" s="12"/>
      <c r="Z783" s="12"/>
      <c r="AA783" s="12"/>
    </row>
    <row r="784" spans="1:27">
      <c r="A784" s="12"/>
      <c r="B784" s="12"/>
      <c r="C784" s="12"/>
      <c r="D784" s="12"/>
      <c r="E784" s="12"/>
      <c r="F784" s="12"/>
      <c r="G784" s="12"/>
      <c r="H784" s="12"/>
      <c r="I784" s="12"/>
      <c r="J784" s="12"/>
      <c r="K784" s="12"/>
      <c r="L784" s="12"/>
      <c r="M784" s="12"/>
      <c r="N784" s="12"/>
      <c r="O784" s="12"/>
      <c r="P784" s="12"/>
      <c r="Q784" s="12"/>
      <c r="R784" s="12"/>
      <c r="S784" s="12"/>
      <c r="T784" s="12"/>
      <c r="U784" s="12"/>
      <c r="W784" s="12"/>
      <c r="X784" s="12"/>
      <c r="Y784" s="12"/>
      <c r="Z784" s="12"/>
      <c r="AA784" s="12"/>
    </row>
    <row r="785" spans="1:27">
      <c r="A785" s="12"/>
      <c r="B785" s="12"/>
      <c r="C785" s="12"/>
      <c r="D785" s="12"/>
      <c r="E785" s="12"/>
      <c r="F785" s="12"/>
      <c r="G785" s="12"/>
      <c r="H785" s="12"/>
      <c r="I785" s="12"/>
      <c r="J785" s="12"/>
      <c r="K785" s="12"/>
      <c r="L785" s="12"/>
      <c r="M785" s="12"/>
      <c r="N785" s="12"/>
      <c r="O785" s="12"/>
      <c r="P785" s="12"/>
      <c r="Q785" s="12"/>
      <c r="R785" s="12"/>
      <c r="S785" s="12"/>
      <c r="T785" s="12"/>
      <c r="U785" s="12"/>
      <c r="W785" s="12"/>
      <c r="X785" s="12"/>
      <c r="Y785" s="12"/>
      <c r="Z785" s="12"/>
      <c r="AA785" s="12"/>
    </row>
    <row r="786" spans="1:27">
      <c r="A786" s="12"/>
      <c r="B786" s="12"/>
      <c r="C786" s="12"/>
      <c r="D786" s="12"/>
      <c r="E786" s="12"/>
      <c r="F786" s="12"/>
      <c r="G786" s="12"/>
      <c r="H786" s="12"/>
      <c r="I786" s="12"/>
      <c r="J786" s="12"/>
      <c r="K786" s="12"/>
      <c r="L786" s="12"/>
      <c r="M786" s="12"/>
      <c r="N786" s="12"/>
      <c r="O786" s="12"/>
      <c r="P786" s="12"/>
      <c r="Q786" s="12"/>
      <c r="R786" s="12"/>
      <c r="S786" s="12"/>
      <c r="T786" s="12"/>
      <c r="U786" s="12"/>
      <c r="W786" s="12"/>
      <c r="X786" s="12"/>
      <c r="Y786" s="12"/>
      <c r="Z786" s="12"/>
      <c r="AA786" s="12"/>
    </row>
    <row r="787" spans="1:27">
      <c r="A787" s="12"/>
      <c r="B787" s="12"/>
      <c r="C787" s="12"/>
      <c r="D787" s="12"/>
      <c r="E787" s="12"/>
      <c r="F787" s="12"/>
      <c r="G787" s="12"/>
      <c r="H787" s="12"/>
      <c r="I787" s="12"/>
      <c r="J787" s="12"/>
      <c r="K787" s="12"/>
      <c r="L787" s="12"/>
      <c r="M787" s="12"/>
      <c r="N787" s="12"/>
      <c r="O787" s="12"/>
      <c r="P787" s="12"/>
      <c r="Q787" s="12"/>
      <c r="R787" s="12"/>
      <c r="S787" s="12"/>
      <c r="T787" s="12"/>
      <c r="U787" s="12"/>
      <c r="W787" s="12"/>
      <c r="X787" s="12"/>
      <c r="Y787" s="12"/>
      <c r="Z787" s="12"/>
      <c r="AA787" s="12"/>
    </row>
    <row r="788" spans="1:27">
      <c r="A788" s="12"/>
      <c r="B788" s="12"/>
      <c r="C788" s="12"/>
      <c r="D788" s="12"/>
      <c r="E788" s="12"/>
      <c r="F788" s="12"/>
      <c r="G788" s="12"/>
      <c r="H788" s="12"/>
      <c r="I788" s="12"/>
      <c r="J788" s="12"/>
      <c r="K788" s="12"/>
      <c r="L788" s="12"/>
      <c r="M788" s="12"/>
      <c r="N788" s="12"/>
      <c r="O788" s="12"/>
      <c r="P788" s="12"/>
      <c r="Q788" s="12"/>
      <c r="R788" s="12"/>
      <c r="S788" s="12"/>
      <c r="T788" s="12"/>
      <c r="U788" s="12"/>
      <c r="W788" s="12"/>
      <c r="X788" s="12"/>
      <c r="Y788" s="12"/>
      <c r="Z788" s="12"/>
      <c r="AA788" s="12"/>
    </row>
    <row r="789" spans="1:27">
      <c r="A789" s="12"/>
      <c r="B789" s="12"/>
      <c r="C789" s="12"/>
      <c r="D789" s="12"/>
      <c r="E789" s="12"/>
      <c r="F789" s="12"/>
      <c r="G789" s="12"/>
      <c r="H789" s="12"/>
      <c r="I789" s="12"/>
      <c r="J789" s="12"/>
      <c r="K789" s="12"/>
      <c r="L789" s="12"/>
      <c r="M789" s="12"/>
      <c r="N789" s="12"/>
      <c r="O789" s="12"/>
      <c r="P789" s="12"/>
      <c r="Q789" s="12"/>
      <c r="R789" s="12"/>
      <c r="S789" s="12"/>
      <c r="T789" s="12"/>
      <c r="U789" s="12"/>
      <c r="W789" s="12"/>
      <c r="X789" s="12"/>
      <c r="Y789" s="12"/>
      <c r="Z789" s="12"/>
      <c r="AA789" s="12"/>
    </row>
    <row r="790" spans="1:27">
      <c r="A790" s="12"/>
      <c r="B790" s="12"/>
      <c r="C790" s="12"/>
      <c r="D790" s="12"/>
      <c r="E790" s="12"/>
      <c r="F790" s="12"/>
      <c r="G790" s="12"/>
      <c r="H790" s="12"/>
      <c r="I790" s="12"/>
      <c r="J790" s="12"/>
      <c r="K790" s="12"/>
      <c r="L790" s="12"/>
      <c r="M790" s="12"/>
      <c r="N790" s="12"/>
      <c r="O790" s="12"/>
      <c r="P790" s="12"/>
      <c r="Q790" s="12"/>
      <c r="R790" s="12"/>
      <c r="S790" s="12"/>
      <c r="T790" s="12"/>
      <c r="U790" s="12"/>
      <c r="W790" s="12"/>
      <c r="X790" s="12"/>
      <c r="Y790" s="12"/>
      <c r="Z790" s="12"/>
      <c r="AA790" s="12"/>
    </row>
    <row r="791" spans="1:27">
      <c r="A791" s="12"/>
      <c r="B791" s="12"/>
      <c r="C791" s="12"/>
      <c r="D791" s="12"/>
      <c r="E791" s="12"/>
      <c r="F791" s="12"/>
      <c r="G791" s="12"/>
      <c r="H791" s="12"/>
      <c r="I791" s="12"/>
      <c r="J791" s="12"/>
      <c r="K791" s="12"/>
      <c r="L791" s="12"/>
      <c r="M791" s="12"/>
      <c r="N791" s="12"/>
      <c r="O791" s="12"/>
      <c r="P791" s="12"/>
      <c r="Q791" s="12"/>
      <c r="R791" s="12"/>
      <c r="S791" s="12"/>
      <c r="T791" s="12"/>
      <c r="U791" s="12"/>
      <c r="W791" s="12"/>
      <c r="X791" s="12"/>
      <c r="Y791" s="12"/>
      <c r="Z791" s="12"/>
      <c r="AA791" s="12"/>
    </row>
    <row r="792" spans="1:27">
      <c r="A792" s="12"/>
      <c r="B792" s="12"/>
      <c r="C792" s="12"/>
      <c r="D792" s="12"/>
      <c r="E792" s="12"/>
      <c r="F792" s="12"/>
      <c r="G792" s="12"/>
      <c r="H792" s="12"/>
      <c r="I792" s="12"/>
      <c r="J792" s="12"/>
      <c r="K792" s="12"/>
      <c r="L792" s="12"/>
      <c r="M792" s="12"/>
      <c r="N792" s="12"/>
      <c r="O792" s="12"/>
      <c r="P792" s="12"/>
      <c r="Q792" s="12"/>
      <c r="R792" s="12"/>
      <c r="S792" s="12"/>
      <c r="T792" s="12"/>
      <c r="U792" s="12"/>
      <c r="W792" s="12"/>
      <c r="X792" s="12"/>
      <c r="Y792" s="12"/>
      <c r="Z792" s="12"/>
      <c r="AA792" s="12"/>
    </row>
    <row r="793" spans="1:27">
      <c r="A793" s="12"/>
      <c r="B793" s="12"/>
      <c r="C793" s="12"/>
      <c r="D793" s="12"/>
      <c r="E793" s="12"/>
      <c r="F793" s="12"/>
      <c r="G793" s="12"/>
      <c r="H793" s="12"/>
      <c r="I793" s="12"/>
      <c r="J793" s="12"/>
      <c r="K793" s="12"/>
      <c r="L793" s="12"/>
      <c r="M793" s="12"/>
      <c r="N793" s="12"/>
      <c r="O793" s="12"/>
      <c r="P793" s="12"/>
      <c r="Q793" s="12"/>
      <c r="R793" s="12"/>
      <c r="S793" s="12"/>
      <c r="T793" s="12"/>
      <c r="U793" s="12"/>
      <c r="W793" s="12"/>
      <c r="X793" s="12"/>
      <c r="Y793" s="12"/>
      <c r="Z793" s="12"/>
      <c r="AA793" s="12"/>
    </row>
    <row r="794" spans="1:27">
      <c r="A794" s="12"/>
      <c r="B794" s="12"/>
      <c r="C794" s="12"/>
      <c r="D794" s="12"/>
      <c r="E794" s="12"/>
      <c r="F794" s="12"/>
      <c r="G794" s="12"/>
      <c r="H794" s="12"/>
      <c r="I794" s="12"/>
      <c r="J794" s="12"/>
      <c r="K794" s="12"/>
      <c r="L794" s="12"/>
      <c r="M794" s="12"/>
      <c r="N794" s="12"/>
      <c r="O794" s="12"/>
      <c r="P794" s="12"/>
      <c r="Q794" s="12"/>
      <c r="R794" s="12"/>
      <c r="S794" s="12"/>
      <c r="T794" s="12"/>
      <c r="U794" s="12"/>
      <c r="W794" s="12"/>
      <c r="X794" s="12"/>
      <c r="Y794" s="12"/>
      <c r="Z794" s="12"/>
      <c r="AA794" s="12"/>
    </row>
    <row r="795" spans="1:27">
      <c r="A795" s="12"/>
      <c r="B795" s="12"/>
      <c r="C795" s="12"/>
      <c r="D795" s="12"/>
      <c r="E795" s="12"/>
      <c r="F795" s="12"/>
      <c r="G795" s="12"/>
      <c r="H795" s="12"/>
      <c r="I795" s="12"/>
      <c r="J795" s="12"/>
      <c r="K795" s="12"/>
      <c r="L795" s="12"/>
      <c r="M795" s="12"/>
      <c r="N795" s="12"/>
      <c r="O795" s="12"/>
      <c r="P795" s="12"/>
      <c r="Q795" s="12"/>
      <c r="R795" s="12"/>
      <c r="S795" s="12"/>
      <c r="T795" s="12"/>
      <c r="U795" s="12"/>
      <c r="W795" s="12"/>
      <c r="X795" s="12"/>
      <c r="Y795" s="12"/>
      <c r="Z795" s="12"/>
      <c r="AA795" s="12"/>
    </row>
    <row r="796" spans="1:27">
      <c r="A796" s="12"/>
      <c r="B796" s="12"/>
      <c r="C796" s="12"/>
      <c r="D796" s="12"/>
      <c r="E796" s="12"/>
      <c r="F796" s="12"/>
      <c r="G796" s="12"/>
      <c r="H796" s="12"/>
      <c r="I796" s="12"/>
      <c r="J796" s="12"/>
      <c r="K796" s="12"/>
      <c r="L796" s="12"/>
      <c r="M796" s="12"/>
      <c r="N796" s="12"/>
      <c r="O796" s="12"/>
      <c r="P796" s="12"/>
      <c r="Q796" s="12"/>
      <c r="R796" s="12"/>
      <c r="S796" s="12"/>
      <c r="T796" s="12"/>
      <c r="U796" s="12"/>
      <c r="W796" s="12"/>
      <c r="X796" s="12"/>
      <c r="Y796" s="12"/>
      <c r="Z796" s="12"/>
      <c r="AA796" s="12"/>
    </row>
    <row r="797" spans="1:27">
      <c r="A797" s="12"/>
      <c r="B797" s="12"/>
      <c r="C797" s="12"/>
      <c r="D797" s="12"/>
      <c r="E797" s="12"/>
      <c r="F797" s="12"/>
      <c r="G797" s="12"/>
      <c r="H797" s="12"/>
      <c r="I797" s="12"/>
      <c r="J797" s="12"/>
      <c r="K797" s="12"/>
      <c r="L797" s="12"/>
      <c r="M797" s="12"/>
      <c r="N797" s="12"/>
      <c r="O797" s="12"/>
      <c r="P797" s="12"/>
      <c r="Q797" s="12"/>
      <c r="R797" s="12"/>
      <c r="S797" s="12"/>
      <c r="T797" s="12"/>
      <c r="U797" s="12"/>
      <c r="W797" s="12"/>
      <c r="X797" s="12"/>
      <c r="Y797" s="12"/>
      <c r="Z797" s="12"/>
      <c r="AA797" s="12"/>
    </row>
    <row r="798" spans="1:27">
      <c r="A798" s="12"/>
      <c r="B798" s="12"/>
      <c r="C798" s="12"/>
      <c r="D798" s="12"/>
      <c r="E798" s="12"/>
      <c r="F798" s="12"/>
      <c r="G798" s="12"/>
      <c r="H798" s="12"/>
      <c r="I798" s="12"/>
      <c r="J798" s="12"/>
      <c r="K798" s="12"/>
      <c r="L798" s="12"/>
      <c r="M798" s="12"/>
      <c r="N798" s="12"/>
      <c r="O798" s="12"/>
      <c r="P798" s="12"/>
      <c r="Q798" s="12"/>
      <c r="R798" s="12"/>
      <c r="S798" s="12"/>
      <c r="T798" s="12"/>
      <c r="U798" s="12"/>
      <c r="W798" s="12"/>
      <c r="X798" s="12"/>
      <c r="Y798" s="12"/>
      <c r="Z798" s="12"/>
      <c r="AA798" s="12"/>
    </row>
    <row r="799" spans="1:27">
      <c r="A799" s="12"/>
      <c r="B799" s="12"/>
      <c r="C799" s="12"/>
      <c r="D799" s="12"/>
      <c r="E799" s="12"/>
      <c r="F799" s="12"/>
      <c r="G799" s="12"/>
      <c r="H799" s="12"/>
      <c r="I799" s="12"/>
      <c r="J799" s="12"/>
      <c r="K799" s="12"/>
      <c r="L799" s="12"/>
      <c r="M799" s="12"/>
      <c r="N799" s="12"/>
      <c r="O799" s="12"/>
      <c r="P799" s="12"/>
      <c r="Q799" s="12"/>
      <c r="R799" s="12"/>
      <c r="S799" s="12"/>
      <c r="T799" s="12"/>
      <c r="U799" s="12"/>
      <c r="W799" s="12"/>
      <c r="X799" s="12"/>
      <c r="Y799" s="12"/>
      <c r="Z799" s="12"/>
      <c r="AA799" s="12"/>
    </row>
    <row r="800" spans="1:27">
      <c r="A800" s="12"/>
      <c r="B800" s="12"/>
      <c r="C800" s="12"/>
      <c r="D800" s="12"/>
      <c r="E800" s="12"/>
      <c r="F800" s="12"/>
      <c r="G800" s="12"/>
      <c r="H800" s="12"/>
      <c r="I800" s="12"/>
      <c r="J800" s="12"/>
      <c r="K800" s="12"/>
      <c r="L800" s="12"/>
      <c r="M800" s="12"/>
      <c r="N800" s="12"/>
      <c r="O800" s="12"/>
      <c r="P800" s="12"/>
      <c r="Q800" s="12"/>
      <c r="R800" s="12"/>
      <c r="S800" s="12"/>
      <c r="T800" s="12"/>
      <c r="U800" s="12"/>
      <c r="W800" s="12"/>
      <c r="X800" s="12"/>
      <c r="Y800" s="12"/>
      <c r="Z800" s="12"/>
      <c r="AA800" s="12"/>
    </row>
    <row r="801" spans="1:27">
      <c r="A801" s="12"/>
      <c r="B801" s="12"/>
      <c r="C801" s="12"/>
      <c r="D801" s="12"/>
      <c r="E801" s="12"/>
      <c r="F801" s="12"/>
      <c r="G801" s="12"/>
      <c r="H801" s="12"/>
      <c r="I801" s="12"/>
      <c r="J801" s="12"/>
      <c r="K801" s="12"/>
      <c r="L801" s="12"/>
      <c r="M801" s="12"/>
      <c r="N801" s="12"/>
      <c r="O801" s="12"/>
      <c r="P801" s="12"/>
      <c r="Q801" s="12"/>
      <c r="R801" s="12"/>
      <c r="S801" s="12"/>
      <c r="T801" s="12"/>
      <c r="U801" s="12"/>
      <c r="W801" s="12"/>
      <c r="X801" s="12"/>
      <c r="Y801" s="12"/>
      <c r="Z801" s="12"/>
      <c r="AA801" s="12"/>
    </row>
    <row r="802" spans="1:27">
      <c r="A802" s="12"/>
      <c r="B802" s="12"/>
      <c r="C802" s="12"/>
      <c r="D802" s="12"/>
      <c r="E802" s="12"/>
      <c r="F802" s="12"/>
      <c r="G802" s="12"/>
      <c r="H802" s="12"/>
      <c r="I802" s="12"/>
      <c r="J802" s="12"/>
      <c r="K802" s="12"/>
      <c r="L802" s="12"/>
      <c r="M802" s="12"/>
      <c r="N802" s="12"/>
      <c r="O802" s="12"/>
      <c r="P802" s="12"/>
      <c r="Q802" s="12"/>
      <c r="R802" s="12"/>
      <c r="S802" s="12"/>
      <c r="T802" s="12"/>
      <c r="U802" s="12"/>
      <c r="W802" s="12"/>
      <c r="X802" s="12"/>
      <c r="Y802" s="12"/>
      <c r="Z802" s="12"/>
      <c r="AA802" s="12"/>
    </row>
    <row r="803" spans="1:27">
      <c r="A803" s="12"/>
      <c r="B803" s="12"/>
      <c r="C803" s="12"/>
      <c r="D803" s="12"/>
      <c r="E803" s="12"/>
      <c r="F803" s="12"/>
      <c r="G803" s="12"/>
      <c r="H803" s="12"/>
      <c r="I803" s="12"/>
      <c r="J803" s="12"/>
      <c r="K803" s="12"/>
      <c r="L803" s="12"/>
      <c r="M803" s="12"/>
      <c r="N803" s="12"/>
      <c r="O803" s="12"/>
      <c r="P803" s="12"/>
      <c r="Q803" s="12"/>
      <c r="R803" s="12"/>
      <c r="S803" s="12"/>
      <c r="T803" s="12"/>
      <c r="U803" s="12"/>
      <c r="W803" s="12"/>
      <c r="X803" s="12"/>
      <c r="Y803" s="12"/>
      <c r="Z803" s="12"/>
      <c r="AA803" s="12"/>
    </row>
    <row r="804" spans="1:27">
      <c r="A804" s="12"/>
      <c r="B804" s="12"/>
      <c r="C804" s="12"/>
      <c r="D804" s="12"/>
      <c r="E804" s="12"/>
      <c r="F804" s="12"/>
      <c r="G804" s="12"/>
      <c r="H804" s="12"/>
      <c r="I804" s="12"/>
      <c r="J804" s="12"/>
      <c r="K804" s="12"/>
      <c r="L804" s="12"/>
      <c r="M804" s="12"/>
      <c r="N804" s="12"/>
      <c r="O804" s="12"/>
      <c r="P804" s="12"/>
      <c r="Q804" s="12"/>
      <c r="R804" s="12"/>
      <c r="S804" s="12"/>
      <c r="T804" s="12"/>
      <c r="U804" s="12"/>
      <c r="W804" s="12"/>
      <c r="X804" s="12"/>
      <c r="Y804" s="12"/>
      <c r="Z804" s="12"/>
      <c r="AA804" s="12"/>
    </row>
    <row r="805" spans="1:27">
      <c r="A805" s="12"/>
      <c r="B805" s="12"/>
      <c r="C805" s="12"/>
      <c r="D805" s="12"/>
      <c r="E805" s="12"/>
      <c r="F805" s="12"/>
      <c r="G805" s="12"/>
      <c r="H805" s="12"/>
      <c r="I805" s="12"/>
      <c r="J805" s="12"/>
      <c r="K805" s="12"/>
      <c r="L805" s="12"/>
      <c r="M805" s="12"/>
      <c r="N805" s="12"/>
      <c r="O805" s="12"/>
      <c r="P805" s="12"/>
      <c r="Q805" s="12"/>
      <c r="R805" s="12"/>
      <c r="S805" s="12"/>
      <c r="T805" s="12"/>
      <c r="U805" s="12"/>
      <c r="W805" s="12"/>
      <c r="X805" s="12"/>
      <c r="Y805" s="12"/>
      <c r="Z805" s="12"/>
      <c r="AA805" s="12"/>
    </row>
    <row r="806" spans="1:27">
      <c r="A806" s="12"/>
      <c r="B806" s="12"/>
      <c r="C806" s="12"/>
      <c r="D806" s="12"/>
      <c r="E806" s="12"/>
      <c r="F806" s="12"/>
      <c r="G806" s="12"/>
      <c r="H806" s="12"/>
      <c r="I806" s="12"/>
      <c r="J806" s="12"/>
      <c r="K806" s="12"/>
      <c r="L806" s="12"/>
      <c r="M806" s="12"/>
      <c r="N806" s="12"/>
      <c r="O806" s="12"/>
      <c r="P806" s="12"/>
      <c r="Q806" s="12"/>
      <c r="R806" s="12"/>
      <c r="S806" s="12"/>
      <c r="T806" s="12"/>
      <c r="U806" s="12"/>
      <c r="W806" s="12"/>
      <c r="X806" s="12"/>
      <c r="Y806" s="12"/>
      <c r="Z806" s="12"/>
      <c r="AA806" s="12"/>
    </row>
    <row r="807" spans="1:27">
      <c r="A807" s="12"/>
      <c r="B807" s="12"/>
      <c r="C807" s="12"/>
      <c r="D807" s="12"/>
      <c r="E807" s="12"/>
      <c r="F807" s="12"/>
      <c r="G807" s="12"/>
      <c r="H807" s="12"/>
      <c r="I807" s="12"/>
      <c r="J807" s="12"/>
      <c r="K807" s="12"/>
      <c r="L807" s="12"/>
      <c r="M807" s="12"/>
      <c r="N807" s="12"/>
      <c r="O807" s="12"/>
      <c r="P807" s="12"/>
      <c r="Q807" s="12"/>
      <c r="R807" s="12"/>
      <c r="S807" s="12"/>
      <c r="T807" s="12"/>
      <c r="U807" s="12"/>
      <c r="W807" s="12"/>
      <c r="X807" s="12"/>
      <c r="Y807" s="12"/>
      <c r="Z807" s="12"/>
      <c r="AA807" s="12"/>
    </row>
    <row r="808" spans="1:27">
      <c r="A808" s="12"/>
      <c r="B808" s="12"/>
      <c r="C808" s="12"/>
      <c r="D808" s="12"/>
      <c r="E808" s="12"/>
      <c r="F808" s="12"/>
      <c r="G808" s="12"/>
      <c r="H808" s="12"/>
      <c r="I808" s="12"/>
      <c r="J808" s="12"/>
      <c r="K808" s="12"/>
      <c r="L808" s="12"/>
      <c r="M808" s="12"/>
      <c r="N808" s="12"/>
      <c r="O808" s="12"/>
      <c r="P808" s="12"/>
      <c r="Q808" s="12"/>
      <c r="R808" s="12"/>
      <c r="S808" s="12"/>
      <c r="T808" s="12"/>
      <c r="U808" s="12"/>
      <c r="W808" s="12"/>
      <c r="X808" s="12"/>
      <c r="Y808" s="12"/>
      <c r="Z808" s="12"/>
      <c r="AA808" s="12"/>
    </row>
    <row r="809" spans="1:27">
      <c r="A809" s="12"/>
      <c r="B809" s="12"/>
      <c r="C809" s="12"/>
      <c r="D809" s="12"/>
      <c r="E809" s="12"/>
      <c r="F809" s="12"/>
      <c r="G809" s="12"/>
      <c r="H809" s="12"/>
      <c r="I809" s="12"/>
      <c r="J809" s="12"/>
      <c r="K809" s="12"/>
      <c r="L809" s="12"/>
      <c r="M809" s="12"/>
      <c r="N809" s="12"/>
      <c r="O809" s="12"/>
      <c r="P809" s="12"/>
      <c r="Q809" s="12"/>
      <c r="R809" s="12"/>
      <c r="S809" s="12"/>
      <c r="T809" s="12"/>
      <c r="U809" s="12"/>
      <c r="W809" s="12"/>
      <c r="X809" s="12"/>
      <c r="Y809" s="12"/>
      <c r="Z809" s="12"/>
      <c r="AA809" s="12"/>
    </row>
    <row r="810" spans="1:27">
      <c r="A810" s="12"/>
      <c r="B810" s="12"/>
      <c r="C810" s="12"/>
      <c r="D810" s="12"/>
      <c r="E810" s="12"/>
      <c r="F810" s="12"/>
      <c r="G810" s="12"/>
      <c r="H810" s="12"/>
      <c r="I810" s="12"/>
      <c r="J810" s="12"/>
      <c r="K810" s="12"/>
      <c r="L810" s="12"/>
      <c r="M810" s="12"/>
      <c r="N810" s="12"/>
      <c r="O810" s="12"/>
      <c r="P810" s="12"/>
      <c r="Q810" s="12"/>
      <c r="R810" s="12"/>
      <c r="S810" s="12"/>
      <c r="T810" s="12"/>
      <c r="U810" s="12"/>
      <c r="W810" s="12"/>
      <c r="X810" s="12"/>
      <c r="Y810" s="12"/>
      <c r="Z810" s="12"/>
      <c r="AA810" s="12"/>
    </row>
    <row r="811" spans="1:27">
      <c r="A811" s="12"/>
      <c r="B811" s="12"/>
      <c r="C811" s="12"/>
      <c r="D811" s="12"/>
      <c r="E811" s="12"/>
      <c r="F811" s="12"/>
      <c r="G811" s="12"/>
      <c r="H811" s="12"/>
      <c r="I811" s="12"/>
      <c r="J811" s="12"/>
      <c r="K811" s="12"/>
      <c r="L811" s="12"/>
      <c r="M811" s="12"/>
      <c r="N811" s="12"/>
      <c r="O811" s="12"/>
      <c r="P811" s="12"/>
      <c r="Q811" s="12"/>
      <c r="R811" s="12"/>
      <c r="S811" s="12"/>
      <c r="T811" s="12"/>
      <c r="U811" s="12"/>
      <c r="W811" s="12"/>
      <c r="X811" s="12"/>
      <c r="Y811" s="12"/>
      <c r="Z811" s="12"/>
      <c r="AA811" s="12"/>
    </row>
    <row r="812" spans="1:27">
      <c r="A812" s="12"/>
      <c r="B812" s="12"/>
      <c r="C812" s="12"/>
      <c r="D812" s="12"/>
      <c r="E812" s="12"/>
      <c r="F812" s="12"/>
      <c r="G812" s="12"/>
      <c r="H812" s="12"/>
      <c r="I812" s="12"/>
      <c r="J812" s="12"/>
      <c r="K812" s="12"/>
      <c r="L812" s="12"/>
      <c r="M812" s="12"/>
      <c r="N812" s="12"/>
      <c r="O812" s="12"/>
      <c r="P812" s="12"/>
      <c r="Q812" s="12"/>
      <c r="R812" s="12"/>
      <c r="S812" s="12"/>
      <c r="T812" s="12"/>
      <c r="U812" s="12"/>
      <c r="W812" s="12"/>
      <c r="X812" s="12"/>
      <c r="Y812" s="12"/>
      <c r="Z812" s="12"/>
      <c r="AA812" s="12"/>
    </row>
    <row r="813" spans="1:27">
      <c r="A813" s="12"/>
      <c r="B813" s="12"/>
      <c r="C813" s="12"/>
      <c r="D813" s="12"/>
      <c r="E813" s="12"/>
      <c r="F813" s="12"/>
      <c r="G813" s="12"/>
      <c r="H813" s="12"/>
      <c r="I813" s="12"/>
      <c r="J813" s="12"/>
      <c r="K813" s="12"/>
      <c r="L813" s="12"/>
      <c r="M813" s="12"/>
      <c r="N813" s="12"/>
      <c r="O813" s="12"/>
      <c r="P813" s="12"/>
      <c r="Q813" s="12"/>
      <c r="R813" s="12"/>
      <c r="S813" s="12"/>
      <c r="T813" s="12"/>
      <c r="U813" s="12"/>
      <c r="W813" s="12"/>
      <c r="X813" s="12"/>
      <c r="Y813" s="12"/>
      <c r="Z813" s="12"/>
      <c r="AA813" s="12"/>
    </row>
    <row r="814" spans="1:27">
      <c r="A814" s="12"/>
      <c r="B814" s="12"/>
      <c r="C814" s="12"/>
      <c r="D814" s="12"/>
      <c r="E814" s="12"/>
      <c r="F814" s="12"/>
      <c r="G814" s="12"/>
      <c r="H814" s="12"/>
      <c r="I814" s="12"/>
      <c r="J814" s="12"/>
      <c r="K814" s="12"/>
      <c r="L814" s="12"/>
      <c r="M814" s="12"/>
      <c r="N814" s="12"/>
      <c r="O814" s="12"/>
      <c r="P814" s="12"/>
      <c r="Q814" s="12"/>
      <c r="R814" s="12"/>
      <c r="S814" s="12"/>
      <c r="T814" s="12"/>
      <c r="U814" s="12"/>
      <c r="W814" s="12"/>
      <c r="X814" s="12"/>
      <c r="Y814" s="12"/>
      <c r="Z814" s="12"/>
      <c r="AA814" s="12"/>
    </row>
    <row r="815" spans="1:27">
      <c r="A815" s="12"/>
      <c r="B815" s="12"/>
      <c r="C815" s="12"/>
      <c r="D815" s="12"/>
      <c r="E815" s="12"/>
      <c r="F815" s="12"/>
      <c r="G815" s="12"/>
      <c r="H815" s="12"/>
      <c r="I815" s="12"/>
      <c r="J815" s="12"/>
      <c r="K815" s="12"/>
      <c r="L815" s="12"/>
      <c r="M815" s="12"/>
      <c r="N815" s="12"/>
      <c r="O815" s="12"/>
      <c r="P815" s="12"/>
      <c r="Q815" s="12"/>
      <c r="R815" s="12"/>
      <c r="S815" s="12"/>
      <c r="T815" s="12"/>
      <c r="U815" s="12"/>
      <c r="W815" s="12"/>
      <c r="X815" s="12"/>
      <c r="Y815" s="12"/>
      <c r="Z815" s="12"/>
      <c r="AA815" s="12"/>
    </row>
    <row r="816" spans="1:27">
      <c r="A816" s="12"/>
      <c r="B816" s="12"/>
      <c r="C816" s="12"/>
      <c r="D816" s="12"/>
      <c r="E816" s="12"/>
      <c r="F816" s="12"/>
      <c r="G816" s="12"/>
      <c r="H816" s="12"/>
      <c r="I816" s="12"/>
      <c r="J816" s="12"/>
      <c r="K816" s="12"/>
      <c r="L816" s="12"/>
      <c r="M816" s="12"/>
      <c r="N816" s="12"/>
      <c r="O816" s="12"/>
      <c r="P816" s="12"/>
      <c r="Q816" s="12"/>
      <c r="R816" s="12"/>
      <c r="S816" s="12"/>
      <c r="T816" s="12"/>
      <c r="U816" s="12"/>
      <c r="W816" s="12"/>
      <c r="X816" s="12"/>
      <c r="Y816" s="12"/>
      <c r="Z816" s="12"/>
      <c r="AA816" s="12"/>
    </row>
    <row r="817" spans="1:27">
      <c r="A817" s="12"/>
      <c r="B817" s="12"/>
      <c r="C817" s="12"/>
      <c r="D817" s="12"/>
      <c r="E817" s="12"/>
      <c r="F817" s="12"/>
      <c r="G817" s="12"/>
      <c r="H817" s="12"/>
      <c r="I817" s="12"/>
      <c r="J817" s="12"/>
      <c r="K817" s="12"/>
      <c r="L817" s="12"/>
      <c r="M817" s="12"/>
      <c r="N817" s="12"/>
      <c r="O817" s="12"/>
      <c r="P817" s="12"/>
      <c r="Q817" s="12"/>
      <c r="R817" s="12"/>
      <c r="S817" s="12"/>
      <c r="T817" s="12"/>
      <c r="U817" s="12"/>
      <c r="W817" s="12"/>
      <c r="X817" s="12"/>
      <c r="Y817" s="12"/>
      <c r="Z817" s="12"/>
      <c r="AA817" s="12"/>
    </row>
    <row r="818" spans="1:27">
      <c r="A818" s="12"/>
      <c r="B818" s="12"/>
      <c r="C818" s="12"/>
      <c r="D818" s="12"/>
      <c r="E818" s="12"/>
      <c r="F818" s="12"/>
      <c r="G818" s="12"/>
      <c r="H818" s="12"/>
      <c r="I818" s="12"/>
      <c r="J818" s="12"/>
      <c r="K818" s="12"/>
      <c r="L818" s="12"/>
      <c r="M818" s="12"/>
      <c r="N818" s="12"/>
      <c r="O818" s="12"/>
      <c r="P818" s="12"/>
      <c r="Q818" s="12"/>
      <c r="R818" s="12"/>
      <c r="S818" s="12"/>
      <c r="T818" s="12"/>
      <c r="U818" s="12"/>
      <c r="W818" s="12"/>
      <c r="X818" s="12"/>
      <c r="Y818" s="12"/>
      <c r="Z818" s="12"/>
      <c r="AA818" s="12"/>
    </row>
    <row r="819" spans="1:27">
      <c r="A819" s="12"/>
      <c r="B819" s="12"/>
      <c r="C819" s="12"/>
      <c r="D819" s="12"/>
      <c r="E819" s="12"/>
      <c r="F819" s="12"/>
      <c r="G819" s="12"/>
      <c r="H819" s="12"/>
      <c r="I819" s="12"/>
      <c r="J819" s="12"/>
      <c r="K819" s="12"/>
      <c r="L819" s="12"/>
      <c r="M819" s="12"/>
      <c r="N819" s="12"/>
      <c r="O819" s="12"/>
      <c r="P819" s="12"/>
      <c r="Q819" s="12"/>
      <c r="R819" s="12"/>
      <c r="S819" s="12"/>
      <c r="T819" s="12"/>
      <c r="U819" s="12"/>
      <c r="W819" s="12"/>
      <c r="X819" s="12"/>
      <c r="Y819" s="12"/>
      <c r="Z819" s="12"/>
      <c r="AA819" s="12"/>
    </row>
    <row r="820" spans="1:27">
      <c r="A820" s="12"/>
      <c r="B820" s="12"/>
      <c r="C820" s="12"/>
      <c r="D820" s="12"/>
      <c r="E820" s="12"/>
      <c r="F820" s="12"/>
      <c r="G820" s="12"/>
      <c r="H820" s="12"/>
      <c r="I820" s="12"/>
      <c r="J820" s="12"/>
      <c r="K820" s="12"/>
      <c r="L820" s="12"/>
      <c r="M820" s="12"/>
      <c r="N820" s="12"/>
      <c r="O820" s="12"/>
      <c r="P820" s="12"/>
      <c r="Q820" s="12"/>
      <c r="R820" s="12"/>
      <c r="S820" s="12"/>
      <c r="T820" s="12"/>
      <c r="U820" s="12"/>
      <c r="W820" s="12"/>
      <c r="X820" s="12"/>
      <c r="Y820" s="12"/>
      <c r="Z820" s="12"/>
      <c r="AA820" s="12"/>
    </row>
    <row r="821" spans="1:27">
      <c r="A821" s="12"/>
      <c r="B821" s="12"/>
      <c r="C821" s="12"/>
      <c r="D821" s="12"/>
      <c r="E821" s="12"/>
      <c r="F821" s="12"/>
      <c r="G821" s="12"/>
      <c r="H821" s="12"/>
      <c r="I821" s="12"/>
      <c r="J821" s="12"/>
      <c r="K821" s="12"/>
      <c r="L821" s="12"/>
      <c r="M821" s="12"/>
      <c r="N821" s="12"/>
      <c r="O821" s="12"/>
      <c r="P821" s="12"/>
      <c r="Q821" s="12"/>
      <c r="R821" s="12"/>
      <c r="S821" s="12"/>
      <c r="T821" s="12"/>
      <c r="U821" s="12"/>
      <c r="W821" s="12"/>
      <c r="X821" s="12"/>
      <c r="Y821" s="12"/>
      <c r="Z821" s="12"/>
      <c r="AA821" s="12"/>
    </row>
    <row r="822" spans="1:27">
      <c r="A822" s="12"/>
      <c r="B822" s="12"/>
      <c r="C822" s="12"/>
      <c r="D822" s="12"/>
      <c r="E822" s="12"/>
      <c r="F822" s="12"/>
      <c r="G822" s="12"/>
      <c r="H822" s="12"/>
      <c r="I822" s="12"/>
      <c r="J822" s="12"/>
      <c r="K822" s="12"/>
      <c r="L822" s="12"/>
      <c r="M822" s="12"/>
      <c r="N822" s="12"/>
      <c r="O822" s="12"/>
      <c r="P822" s="12"/>
      <c r="Q822" s="12"/>
      <c r="R822" s="12"/>
      <c r="S822" s="12"/>
      <c r="T822" s="12"/>
      <c r="U822" s="12"/>
      <c r="W822" s="12"/>
      <c r="X822" s="12"/>
      <c r="Y822" s="12"/>
      <c r="Z822" s="12"/>
      <c r="AA822" s="12"/>
    </row>
    <row r="823" spans="1:27">
      <c r="A823" s="12"/>
      <c r="B823" s="12"/>
      <c r="C823" s="12"/>
      <c r="D823" s="12"/>
      <c r="E823" s="12"/>
      <c r="F823" s="12"/>
      <c r="G823" s="12"/>
      <c r="H823" s="12"/>
      <c r="I823" s="12"/>
      <c r="J823" s="12"/>
      <c r="K823" s="12"/>
      <c r="L823" s="12"/>
      <c r="M823" s="12"/>
      <c r="N823" s="12"/>
      <c r="O823" s="12"/>
      <c r="P823" s="12"/>
      <c r="Q823" s="12"/>
      <c r="R823" s="12"/>
      <c r="S823" s="12"/>
      <c r="T823" s="12"/>
      <c r="U823" s="12"/>
      <c r="W823" s="12"/>
      <c r="X823" s="12"/>
      <c r="Y823" s="12"/>
      <c r="Z823" s="12"/>
      <c r="AA823" s="12"/>
    </row>
    <row r="824" spans="1:27">
      <c r="A824" s="12"/>
      <c r="B824" s="12"/>
      <c r="C824" s="12"/>
      <c r="D824" s="12"/>
      <c r="E824" s="12"/>
      <c r="F824" s="12"/>
      <c r="G824" s="12"/>
      <c r="H824" s="12"/>
      <c r="I824" s="12"/>
      <c r="J824" s="12"/>
      <c r="K824" s="12"/>
      <c r="L824" s="12"/>
      <c r="M824" s="12"/>
      <c r="N824" s="12"/>
      <c r="O824" s="12"/>
      <c r="P824" s="12"/>
      <c r="Q824" s="12"/>
      <c r="R824" s="12"/>
      <c r="S824" s="12"/>
      <c r="T824" s="12"/>
      <c r="U824" s="12"/>
      <c r="W824" s="12"/>
      <c r="X824" s="12"/>
      <c r="Y824" s="12"/>
      <c r="Z824" s="12"/>
      <c r="AA824" s="12"/>
    </row>
    <row r="825" spans="1:27">
      <c r="A825" s="12"/>
      <c r="B825" s="12"/>
      <c r="C825" s="12"/>
      <c r="D825" s="12"/>
      <c r="E825" s="12"/>
      <c r="F825" s="12"/>
      <c r="G825" s="12"/>
      <c r="H825" s="12"/>
      <c r="I825" s="12"/>
      <c r="J825" s="12"/>
      <c r="K825" s="12"/>
      <c r="L825" s="12"/>
      <c r="M825" s="12"/>
      <c r="N825" s="12"/>
      <c r="O825" s="12"/>
      <c r="P825" s="12"/>
      <c r="Q825" s="12"/>
      <c r="R825" s="12"/>
      <c r="S825" s="12"/>
      <c r="T825" s="12"/>
      <c r="U825" s="12"/>
      <c r="W825" s="12"/>
      <c r="X825" s="12"/>
      <c r="Y825" s="12"/>
      <c r="Z825" s="12"/>
      <c r="AA825" s="12"/>
    </row>
    <row r="826" spans="1:27">
      <c r="A826" s="12"/>
      <c r="B826" s="12"/>
      <c r="C826" s="12"/>
      <c r="D826" s="12"/>
      <c r="E826" s="12"/>
      <c r="F826" s="12"/>
      <c r="G826" s="12"/>
      <c r="H826" s="12"/>
      <c r="I826" s="12"/>
      <c r="J826" s="12"/>
      <c r="K826" s="12"/>
      <c r="L826" s="12"/>
      <c r="M826" s="12"/>
      <c r="N826" s="12"/>
      <c r="O826" s="12"/>
      <c r="P826" s="12"/>
      <c r="Q826" s="12"/>
      <c r="R826" s="12"/>
      <c r="S826" s="12"/>
      <c r="T826" s="12"/>
      <c r="U826" s="12"/>
      <c r="W826" s="12"/>
      <c r="X826" s="12"/>
      <c r="Y826" s="12"/>
      <c r="Z826" s="12"/>
      <c r="AA826" s="12"/>
    </row>
    <row r="827" spans="1:27">
      <c r="A827" s="12"/>
      <c r="B827" s="12"/>
      <c r="C827" s="12"/>
      <c r="D827" s="12"/>
      <c r="E827" s="12"/>
      <c r="F827" s="12"/>
      <c r="G827" s="12"/>
      <c r="H827" s="12"/>
      <c r="I827" s="12"/>
      <c r="J827" s="12"/>
      <c r="K827" s="12"/>
      <c r="L827" s="12"/>
      <c r="M827" s="12"/>
      <c r="N827" s="12"/>
      <c r="O827" s="12"/>
      <c r="P827" s="12"/>
      <c r="Q827" s="12"/>
      <c r="R827" s="12"/>
      <c r="S827" s="12"/>
      <c r="T827" s="12"/>
      <c r="U827" s="12"/>
      <c r="W827" s="12"/>
      <c r="X827" s="12"/>
      <c r="Y827" s="12"/>
      <c r="Z827" s="12"/>
      <c r="AA827" s="12"/>
    </row>
    <row r="828" spans="1:27">
      <c r="A828" s="12"/>
      <c r="B828" s="12"/>
      <c r="C828" s="12"/>
      <c r="D828" s="12"/>
      <c r="E828" s="12"/>
      <c r="F828" s="12"/>
      <c r="G828" s="12"/>
      <c r="H828" s="12"/>
      <c r="I828" s="12"/>
      <c r="J828" s="12"/>
      <c r="K828" s="12"/>
      <c r="L828" s="12"/>
      <c r="M828" s="12"/>
      <c r="N828" s="12"/>
      <c r="O828" s="12"/>
      <c r="P828" s="12"/>
      <c r="Q828" s="12"/>
      <c r="R828" s="12"/>
      <c r="S828" s="12"/>
      <c r="T828" s="12"/>
      <c r="U828" s="12"/>
      <c r="W828" s="12"/>
      <c r="X828" s="12"/>
      <c r="Y828" s="12"/>
      <c r="Z828" s="12"/>
      <c r="AA828" s="12"/>
    </row>
    <row r="829" spans="1:27">
      <c r="A829" s="12"/>
      <c r="B829" s="12"/>
      <c r="C829" s="12"/>
      <c r="D829" s="12"/>
      <c r="E829" s="12"/>
      <c r="F829" s="12"/>
      <c r="G829" s="12"/>
      <c r="H829" s="12"/>
      <c r="I829" s="12"/>
      <c r="J829" s="12"/>
      <c r="K829" s="12"/>
      <c r="L829" s="12"/>
      <c r="M829" s="12"/>
      <c r="N829" s="12"/>
      <c r="O829" s="12"/>
      <c r="P829" s="12"/>
      <c r="Q829" s="12"/>
      <c r="R829" s="12"/>
      <c r="S829" s="12"/>
      <c r="T829" s="12"/>
      <c r="U829" s="12"/>
      <c r="W829" s="12"/>
      <c r="X829" s="12"/>
      <c r="Y829" s="12"/>
      <c r="Z829" s="12"/>
      <c r="AA829" s="12"/>
    </row>
    <row r="830" spans="1:27">
      <c r="A830" s="12"/>
      <c r="B830" s="12"/>
      <c r="C830" s="12"/>
      <c r="D830" s="12"/>
      <c r="E830" s="12"/>
      <c r="F830" s="12"/>
      <c r="G830" s="12"/>
      <c r="H830" s="12"/>
      <c r="I830" s="12"/>
      <c r="J830" s="12"/>
      <c r="K830" s="12"/>
      <c r="L830" s="12"/>
      <c r="M830" s="12"/>
      <c r="N830" s="12"/>
      <c r="O830" s="12"/>
      <c r="P830" s="12"/>
      <c r="Q830" s="12"/>
      <c r="R830" s="12"/>
      <c r="S830" s="12"/>
      <c r="T830" s="12"/>
      <c r="U830" s="12"/>
      <c r="W830" s="12"/>
      <c r="X830" s="12"/>
      <c r="Y830" s="12"/>
      <c r="Z830" s="12"/>
      <c r="AA830" s="12"/>
    </row>
    <row r="831" spans="1:27">
      <c r="A831" s="12"/>
      <c r="B831" s="12"/>
      <c r="C831" s="12"/>
      <c r="D831" s="12"/>
      <c r="E831" s="12"/>
      <c r="F831" s="12"/>
      <c r="G831" s="12"/>
      <c r="H831" s="12"/>
      <c r="I831" s="12"/>
      <c r="J831" s="12"/>
      <c r="K831" s="12"/>
      <c r="L831" s="12"/>
      <c r="M831" s="12"/>
      <c r="N831" s="12"/>
      <c r="O831" s="12"/>
      <c r="P831" s="12"/>
      <c r="Q831" s="12"/>
      <c r="R831" s="12"/>
      <c r="S831" s="12"/>
      <c r="T831" s="12"/>
      <c r="U831" s="12"/>
      <c r="W831" s="12"/>
      <c r="X831" s="12"/>
      <c r="Y831" s="12"/>
      <c r="Z831" s="12"/>
      <c r="AA831" s="12"/>
    </row>
    <row r="832" spans="1:27">
      <c r="A832" s="12"/>
      <c r="B832" s="12"/>
      <c r="C832" s="12"/>
      <c r="D832" s="12"/>
      <c r="E832" s="12"/>
      <c r="F832" s="12"/>
      <c r="G832" s="12"/>
      <c r="H832" s="12"/>
      <c r="I832" s="12"/>
      <c r="J832" s="12"/>
      <c r="K832" s="12"/>
      <c r="L832" s="12"/>
      <c r="M832" s="12"/>
      <c r="N832" s="12"/>
      <c r="O832" s="12"/>
      <c r="P832" s="12"/>
      <c r="Q832" s="12"/>
      <c r="R832" s="12"/>
      <c r="S832" s="12"/>
      <c r="T832" s="12"/>
      <c r="U832" s="12"/>
      <c r="W832" s="12"/>
      <c r="X832" s="12"/>
      <c r="Y832" s="12"/>
      <c r="Z832" s="12"/>
      <c r="AA832" s="12"/>
    </row>
    <row r="833" spans="1:27">
      <c r="A833" s="12"/>
      <c r="B833" s="12"/>
      <c r="C833" s="12"/>
      <c r="D833" s="12"/>
      <c r="E833" s="12"/>
      <c r="F833" s="12"/>
      <c r="G833" s="12"/>
      <c r="H833" s="12"/>
      <c r="I833" s="12"/>
      <c r="J833" s="12"/>
      <c r="K833" s="12"/>
      <c r="L833" s="12"/>
      <c r="M833" s="12"/>
      <c r="N833" s="12"/>
      <c r="O833" s="12"/>
      <c r="P833" s="12"/>
      <c r="Q833" s="12"/>
      <c r="R833" s="12"/>
      <c r="S833" s="12"/>
      <c r="T833" s="12"/>
      <c r="U833" s="12"/>
      <c r="W833" s="12"/>
      <c r="X833" s="12"/>
      <c r="Y833" s="12"/>
      <c r="Z833" s="12"/>
      <c r="AA833" s="12"/>
    </row>
    <row r="834" spans="1:27">
      <c r="A834" s="12"/>
      <c r="B834" s="12"/>
      <c r="C834" s="12"/>
      <c r="D834" s="12"/>
      <c r="E834" s="12"/>
      <c r="F834" s="12"/>
      <c r="G834" s="12"/>
      <c r="H834" s="12"/>
      <c r="I834" s="12"/>
      <c r="J834" s="12"/>
      <c r="K834" s="12"/>
      <c r="L834" s="12"/>
      <c r="M834" s="12"/>
      <c r="N834" s="12"/>
      <c r="O834" s="12"/>
      <c r="P834" s="12"/>
      <c r="Q834" s="12"/>
      <c r="R834" s="12"/>
      <c r="S834" s="12"/>
      <c r="T834" s="12"/>
      <c r="U834" s="12"/>
      <c r="W834" s="12"/>
      <c r="X834" s="12"/>
      <c r="Y834" s="12"/>
      <c r="Z834" s="12"/>
      <c r="AA834" s="12"/>
    </row>
    <row r="835" spans="1:27">
      <c r="A835" s="12"/>
      <c r="B835" s="12"/>
      <c r="C835" s="12"/>
      <c r="D835" s="12"/>
      <c r="E835" s="12"/>
      <c r="F835" s="12"/>
      <c r="G835" s="12"/>
      <c r="H835" s="12"/>
      <c r="I835" s="12"/>
      <c r="J835" s="12"/>
      <c r="K835" s="12"/>
      <c r="L835" s="12"/>
      <c r="M835" s="12"/>
      <c r="N835" s="12"/>
      <c r="O835" s="12"/>
      <c r="P835" s="12"/>
      <c r="Q835" s="12"/>
      <c r="R835" s="12"/>
      <c r="S835" s="12"/>
      <c r="T835" s="12"/>
      <c r="U835" s="12"/>
      <c r="W835" s="12"/>
      <c r="X835" s="12"/>
      <c r="Y835" s="12"/>
      <c r="Z835" s="12"/>
      <c r="AA835" s="12"/>
    </row>
    <row r="836" spans="1:27">
      <c r="A836" s="12"/>
      <c r="B836" s="12"/>
      <c r="C836" s="12"/>
      <c r="D836" s="12"/>
      <c r="E836" s="12"/>
      <c r="F836" s="12"/>
      <c r="G836" s="12"/>
      <c r="H836" s="12"/>
      <c r="I836" s="12"/>
      <c r="J836" s="12"/>
      <c r="K836" s="12"/>
      <c r="L836" s="12"/>
      <c r="M836" s="12"/>
      <c r="N836" s="12"/>
      <c r="O836" s="12"/>
      <c r="P836" s="12"/>
      <c r="Q836" s="12"/>
      <c r="R836" s="12"/>
      <c r="S836" s="12"/>
      <c r="T836" s="12"/>
      <c r="U836" s="12"/>
      <c r="W836" s="12"/>
      <c r="X836" s="12"/>
      <c r="Y836" s="12"/>
      <c r="Z836" s="12"/>
      <c r="AA836" s="12"/>
    </row>
    <row r="837" spans="1:27">
      <c r="A837" s="12"/>
      <c r="B837" s="12"/>
      <c r="C837" s="12"/>
      <c r="D837" s="12"/>
      <c r="E837" s="12"/>
      <c r="F837" s="12"/>
      <c r="G837" s="12"/>
      <c r="H837" s="12"/>
      <c r="I837" s="12"/>
      <c r="J837" s="12"/>
      <c r="K837" s="12"/>
      <c r="L837" s="12"/>
      <c r="M837" s="12"/>
      <c r="N837" s="12"/>
      <c r="O837" s="12"/>
      <c r="P837" s="12"/>
      <c r="Q837" s="12"/>
      <c r="R837" s="12"/>
      <c r="S837" s="12"/>
      <c r="T837" s="12"/>
      <c r="U837" s="12"/>
      <c r="W837" s="12"/>
      <c r="X837" s="12"/>
      <c r="Y837" s="12"/>
      <c r="Z837" s="12"/>
      <c r="AA837" s="12"/>
    </row>
    <row r="838" spans="1:27">
      <c r="A838" s="12"/>
      <c r="B838" s="12"/>
      <c r="C838" s="12"/>
      <c r="D838" s="12"/>
      <c r="E838" s="12"/>
      <c r="F838" s="12"/>
      <c r="G838" s="12"/>
      <c r="H838" s="12"/>
      <c r="I838" s="12"/>
      <c r="J838" s="12"/>
      <c r="K838" s="12"/>
      <c r="L838" s="12"/>
      <c r="M838" s="12"/>
      <c r="N838" s="12"/>
      <c r="O838" s="12"/>
      <c r="P838" s="12"/>
      <c r="Q838" s="12"/>
      <c r="R838" s="12"/>
      <c r="S838" s="12"/>
      <c r="T838" s="12"/>
      <c r="U838" s="12"/>
      <c r="W838" s="12"/>
      <c r="X838" s="12"/>
      <c r="Y838" s="12"/>
      <c r="Z838" s="12"/>
      <c r="AA838" s="12"/>
    </row>
    <row r="839" spans="1:27">
      <c r="A839" s="12"/>
      <c r="B839" s="12"/>
      <c r="C839" s="12"/>
      <c r="D839" s="12"/>
      <c r="E839" s="12"/>
      <c r="F839" s="12"/>
      <c r="G839" s="12"/>
      <c r="H839" s="12"/>
      <c r="I839" s="12"/>
      <c r="J839" s="12"/>
      <c r="K839" s="12"/>
      <c r="L839" s="12"/>
      <c r="M839" s="12"/>
      <c r="N839" s="12"/>
      <c r="O839" s="12"/>
      <c r="P839" s="12"/>
      <c r="Q839" s="12"/>
      <c r="R839" s="12"/>
      <c r="S839" s="12"/>
      <c r="T839" s="12"/>
      <c r="U839" s="12"/>
      <c r="W839" s="12"/>
      <c r="X839" s="12"/>
      <c r="Y839" s="12"/>
      <c r="Z839" s="12"/>
      <c r="AA839" s="12"/>
    </row>
    <row r="840" spans="1:27">
      <c r="A840" s="12"/>
      <c r="B840" s="12"/>
      <c r="C840" s="12"/>
      <c r="D840" s="12"/>
      <c r="E840" s="12"/>
      <c r="F840" s="12"/>
      <c r="G840" s="12"/>
      <c r="H840" s="12"/>
      <c r="I840" s="12"/>
      <c r="J840" s="12"/>
      <c r="K840" s="12"/>
      <c r="L840" s="12"/>
      <c r="M840" s="12"/>
      <c r="N840" s="12"/>
      <c r="O840" s="12"/>
      <c r="P840" s="12"/>
      <c r="Q840" s="12"/>
      <c r="R840" s="12"/>
      <c r="S840" s="12"/>
      <c r="T840" s="12"/>
      <c r="U840" s="12"/>
      <c r="W840" s="12"/>
      <c r="X840" s="12"/>
      <c r="Y840" s="12"/>
      <c r="Z840" s="12"/>
      <c r="AA840" s="12"/>
    </row>
    <row r="841" spans="1:27">
      <c r="A841" s="12"/>
      <c r="B841" s="12"/>
      <c r="C841" s="12"/>
      <c r="D841" s="12"/>
      <c r="E841" s="12"/>
      <c r="F841" s="12"/>
      <c r="G841" s="12"/>
      <c r="H841" s="12"/>
      <c r="I841" s="12"/>
      <c r="J841" s="12"/>
      <c r="K841" s="12"/>
      <c r="L841" s="12"/>
      <c r="M841" s="12"/>
      <c r="N841" s="12"/>
      <c r="O841" s="12"/>
      <c r="P841" s="12"/>
      <c r="Q841" s="12"/>
      <c r="R841" s="12"/>
      <c r="S841" s="12"/>
      <c r="T841" s="12"/>
      <c r="U841" s="12"/>
      <c r="W841" s="12"/>
      <c r="X841" s="12"/>
      <c r="Y841" s="12"/>
      <c r="Z841" s="12"/>
      <c r="AA841" s="12"/>
    </row>
    <row r="842" spans="1:27">
      <c r="A842" s="12"/>
      <c r="B842" s="12"/>
      <c r="C842" s="12"/>
      <c r="D842" s="12"/>
      <c r="E842" s="12"/>
      <c r="F842" s="12"/>
      <c r="G842" s="12"/>
      <c r="H842" s="12"/>
      <c r="I842" s="12"/>
      <c r="J842" s="12"/>
      <c r="K842" s="12"/>
      <c r="L842" s="12"/>
      <c r="M842" s="12"/>
      <c r="N842" s="12"/>
      <c r="O842" s="12"/>
      <c r="P842" s="12"/>
      <c r="Q842" s="12"/>
      <c r="R842" s="12"/>
      <c r="S842" s="12"/>
      <c r="T842" s="12"/>
      <c r="U842" s="12"/>
      <c r="W842" s="12"/>
      <c r="X842" s="12"/>
      <c r="Y842" s="12"/>
      <c r="Z842" s="12"/>
      <c r="AA842" s="12"/>
    </row>
    <row r="843" spans="1:27">
      <c r="A843" s="12"/>
      <c r="B843" s="12"/>
      <c r="C843" s="12"/>
      <c r="D843" s="12"/>
      <c r="E843" s="12"/>
      <c r="F843" s="12"/>
      <c r="G843" s="12"/>
      <c r="H843" s="12"/>
      <c r="I843" s="12"/>
      <c r="J843" s="12"/>
      <c r="K843" s="12"/>
      <c r="L843" s="12"/>
      <c r="M843" s="12"/>
      <c r="N843" s="12"/>
      <c r="O843" s="12"/>
      <c r="P843" s="12"/>
      <c r="Q843" s="12"/>
      <c r="R843" s="12"/>
      <c r="S843" s="12"/>
      <c r="T843" s="12"/>
      <c r="U843" s="12"/>
      <c r="W843" s="12"/>
      <c r="X843" s="12"/>
      <c r="Y843" s="12"/>
      <c r="Z843" s="12"/>
      <c r="AA843" s="12"/>
    </row>
    <row r="844" spans="1:27">
      <c r="A844" s="12"/>
      <c r="B844" s="12"/>
      <c r="C844" s="12"/>
      <c r="D844" s="12"/>
      <c r="E844" s="12"/>
      <c r="F844" s="12"/>
      <c r="G844" s="12"/>
      <c r="H844" s="12"/>
      <c r="I844" s="12"/>
      <c r="J844" s="12"/>
      <c r="K844" s="12"/>
      <c r="L844" s="12"/>
      <c r="M844" s="12"/>
      <c r="N844" s="12"/>
      <c r="O844" s="12"/>
      <c r="P844" s="12"/>
      <c r="Q844" s="12"/>
      <c r="R844" s="12"/>
      <c r="S844" s="12"/>
      <c r="T844" s="12"/>
      <c r="U844" s="12"/>
      <c r="W844" s="12"/>
      <c r="X844" s="12"/>
      <c r="Y844" s="12"/>
      <c r="Z844" s="12"/>
      <c r="AA844" s="12"/>
    </row>
    <row r="845" spans="1:27">
      <c r="A845" s="12"/>
      <c r="B845" s="12"/>
      <c r="C845" s="12"/>
      <c r="D845" s="12"/>
      <c r="E845" s="12"/>
      <c r="F845" s="12"/>
      <c r="G845" s="12"/>
      <c r="H845" s="12"/>
      <c r="I845" s="12"/>
      <c r="J845" s="12"/>
      <c r="K845" s="12"/>
      <c r="L845" s="12"/>
      <c r="M845" s="12"/>
      <c r="N845" s="12"/>
      <c r="O845" s="12"/>
      <c r="P845" s="12"/>
      <c r="Q845" s="12"/>
      <c r="R845" s="12"/>
      <c r="S845" s="12"/>
      <c r="T845" s="12"/>
      <c r="U845" s="12"/>
      <c r="W845" s="12"/>
      <c r="X845" s="12"/>
      <c r="Y845" s="12"/>
      <c r="Z845" s="12"/>
      <c r="AA845" s="12"/>
    </row>
    <row r="846" spans="1:27">
      <c r="A846" s="12"/>
      <c r="B846" s="12"/>
      <c r="C846" s="12"/>
      <c r="D846" s="12"/>
      <c r="E846" s="12"/>
      <c r="F846" s="12"/>
      <c r="G846" s="12"/>
      <c r="H846" s="12"/>
      <c r="I846" s="12"/>
      <c r="J846" s="12"/>
      <c r="K846" s="12"/>
      <c r="L846" s="12"/>
      <c r="M846" s="12"/>
      <c r="N846" s="12"/>
      <c r="O846" s="12"/>
      <c r="P846" s="12"/>
      <c r="Q846" s="12"/>
      <c r="R846" s="12"/>
      <c r="S846" s="12"/>
      <c r="T846" s="12"/>
      <c r="U846" s="12"/>
      <c r="W846" s="12"/>
      <c r="X846" s="12"/>
      <c r="Y846" s="12"/>
      <c r="Z846" s="12"/>
      <c r="AA846" s="12"/>
    </row>
    <row r="847" spans="1:27">
      <c r="A847" s="12"/>
      <c r="B847" s="12"/>
      <c r="C847" s="12"/>
      <c r="D847" s="12"/>
      <c r="E847" s="12"/>
      <c r="F847" s="12"/>
      <c r="G847" s="12"/>
      <c r="H847" s="12"/>
      <c r="I847" s="12"/>
      <c r="J847" s="12"/>
      <c r="K847" s="12"/>
      <c r="L847" s="12"/>
      <c r="M847" s="12"/>
      <c r="N847" s="12"/>
      <c r="O847" s="12"/>
      <c r="P847" s="12"/>
      <c r="Q847" s="12"/>
      <c r="R847" s="12"/>
      <c r="S847" s="12"/>
      <c r="T847" s="12"/>
      <c r="U847" s="12"/>
      <c r="W847" s="12"/>
      <c r="X847" s="12"/>
      <c r="Y847" s="12"/>
      <c r="Z847" s="12"/>
      <c r="AA847" s="12"/>
    </row>
    <row r="848" spans="1:27">
      <c r="A848" s="12"/>
      <c r="B848" s="12"/>
      <c r="C848" s="12"/>
      <c r="D848" s="12"/>
      <c r="E848" s="12"/>
      <c r="F848" s="12"/>
      <c r="G848" s="12"/>
      <c r="H848" s="12"/>
      <c r="I848" s="12"/>
      <c r="J848" s="12"/>
      <c r="K848" s="12"/>
      <c r="L848" s="12"/>
      <c r="M848" s="12"/>
      <c r="N848" s="12"/>
      <c r="O848" s="12"/>
      <c r="P848" s="12"/>
      <c r="Q848" s="12"/>
      <c r="R848" s="12"/>
      <c r="S848" s="12"/>
      <c r="T848" s="12"/>
      <c r="U848" s="12"/>
      <c r="W848" s="12"/>
      <c r="X848" s="12"/>
      <c r="Y848" s="12"/>
      <c r="Z848" s="12"/>
      <c r="AA848" s="12"/>
    </row>
    <row r="849" spans="1:27">
      <c r="A849" s="12"/>
      <c r="B849" s="12"/>
      <c r="C849" s="12"/>
      <c r="D849" s="12"/>
      <c r="E849" s="12"/>
      <c r="F849" s="12"/>
      <c r="G849" s="12"/>
      <c r="H849" s="12"/>
      <c r="I849" s="12"/>
      <c r="J849" s="12"/>
      <c r="K849" s="12"/>
      <c r="L849" s="12"/>
      <c r="M849" s="12"/>
      <c r="N849" s="12"/>
      <c r="O849" s="12"/>
      <c r="P849" s="12"/>
      <c r="Q849" s="12"/>
      <c r="R849" s="12"/>
      <c r="S849" s="12"/>
      <c r="T849" s="12"/>
      <c r="U849" s="12"/>
      <c r="W849" s="12"/>
      <c r="X849" s="12"/>
      <c r="Y849" s="12"/>
      <c r="Z849" s="12"/>
      <c r="AA849" s="12"/>
    </row>
    <row r="850" spans="1:27">
      <c r="A850" s="12"/>
      <c r="B850" s="12"/>
      <c r="C850" s="12"/>
      <c r="D850" s="12"/>
      <c r="E850" s="12"/>
      <c r="F850" s="12"/>
      <c r="G850" s="12"/>
      <c r="H850" s="12"/>
      <c r="I850" s="12"/>
      <c r="J850" s="12"/>
      <c r="K850" s="12"/>
      <c r="L850" s="12"/>
      <c r="M850" s="12"/>
      <c r="N850" s="12"/>
      <c r="O850" s="12"/>
      <c r="P850" s="12"/>
      <c r="Q850" s="12"/>
      <c r="R850" s="12"/>
      <c r="S850" s="12"/>
      <c r="T850" s="12"/>
      <c r="U850" s="12"/>
      <c r="W850" s="12"/>
      <c r="X850" s="12"/>
      <c r="Y850" s="12"/>
      <c r="Z850" s="12"/>
      <c r="AA850" s="12"/>
    </row>
    <row r="851" spans="1:27">
      <c r="A851" s="12"/>
      <c r="B851" s="12"/>
      <c r="C851" s="12"/>
      <c r="D851" s="12"/>
      <c r="E851" s="12"/>
      <c r="F851" s="12"/>
      <c r="G851" s="12"/>
      <c r="H851" s="12"/>
      <c r="I851" s="12"/>
      <c r="J851" s="12"/>
      <c r="K851" s="12"/>
      <c r="L851" s="12"/>
      <c r="M851" s="12"/>
      <c r="N851" s="12"/>
      <c r="O851" s="12"/>
      <c r="P851" s="12"/>
      <c r="Q851" s="12"/>
      <c r="R851" s="12"/>
      <c r="S851" s="12"/>
      <c r="T851" s="12"/>
      <c r="U851" s="12"/>
      <c r="W851" s="12"/>
      <c r="X851" s="12"/>
      <c r="Y851" s="12"/>
      <c r="Z851" s="12"/>
      <c r="AA851" s="12"/>
    </row>
    <row r="852" spans="1:27">
      <c r="A852" s="12"/>
      <c r="B852" s="12"/>
      <c r="C852" s="12"/>
      <c r="D852" s="12"/>
      <c r="E852" s="12"/>
      <c r="F852" s="12"/>
      <c r="G852" s="12"/>
      <c r="H852" s="12"/>
      <c r="I852" s="12"/>
      <c r="J852" s="12"/>
      <c r="K852" s="12"/>
      <c r="L852" s="12"/>
      <c r="M852" s="12"/>
      <c r="N852" s="12"/>
      <c r="O852" s="12"/>
      <c r="P852" s="12"/>
      <c r="Q852" s="12"/>
      <c r="R852" s="12"/>
      <c r="S852" s="12"/>
      <c r="T852" s="12"/>
      <c r="U852" s="12"/>
      <c r="W852" s="12"/>
      <c r="X852" s="12"/>
      <c r="Y852" s="12"/>
      <c r="Z852" s="12"/>
      <c r="AA852" s="12"/>
    </row>
    <row r="853" spans="1:27">
      <c r="A853" s="12"/>
      <c r="B853" s="12"/>
      <c r="C853" s="12"/>
      <c r="D853" s="12"/>
      <c r="E853" s="12"/>
      <c r="F853" s="12"/>
      <c r="G853" s="12"/>
      <c r="H853" s="12"/>
      <c r="I853" s="12"/>
      <c r="J853" s="12"/>
      <c r="K853" s="12"/>
      <c r="L853" s="12"/>
      <c r="M853" s="12"/>
      <c r="N853" s="12"/>
      <c r="O853" s="12"/>
      <c r="P853" s="12"/>
      <c r="Q853" s="12"/>
      <c r="R853" s="12"/>
      <c r="S853" s="12"/>
      <c r="T853" s="12"/>
      <c r="U853" s="12"/>
      <c r="W853" s="12"/>
      <c r="X853" s="12"/>
      <c r="Y853" s="12"/>
      <c r="Z853" s="12"/>
      <c r="AA853" s="12"/>
    </row>
    <row r="854" spans="1:27">
      <c r="A854" s="12"/>
      <c r="B854" s="12"/>
      <c r="C854" s="12"/>
      <c r="D854" s="12"/>
      <c r="E854" s="12"/>
      <c r="F854" s="12"/>
      <c r="G854" s="12"/>
      <c r="H854" s="12"/>
      <c r="I854" s="12"/>
      <c r="J854" s="12"/>
      <c r="K854" s="12"/>
      <c r="L854" s="12"/>
      <c r="M854" s="12"/>
      <c r="N854" s="12"/>
      <c r="O854" s="12"/>
      <c r="P854" s="12"/>
      <c r="Q854" s="12"/>
      <c r="R854" s="12"/>
      <c r="S854" s="12"/>
      <c r="T854" s="12"/>
      <c r="U854" s="12"/>
      <c r="W854" s="12"/>
      <c r="X854" s="12"/>
      <c r="Y854" s="12"/>
      <c r="Z854" s="12"/>
      <c r="AA854" s="12"/>
    </row>
    <row r="855" spans="1:27">
      <c r="A855" s="12"/>
      <c r="B855" s="12"/>
      <c r="C855" s="12"/>
      <c r="D855" s="12"/>
      <c r="E855" s="12"/>
      <c r="F855" s="12"/>
      <c r="G855" s="12"/>
      <c r="H855" s="12"/>
      <c r="I855" s="12"/>
      <c r="J855" s="12"/>
      <c r="K855" s="12"/>
      <c r="L855" s="12"/>
      <c r="M855" s="12"/>
      <c r="N855" s="12"/>
      <c r="O855" s="12"/>
      <c r="P855" s="12"/>
      <c r="Q855" s="12"/>
      <c r="R855" s="12"/>
      <c r="S855" s="12"/>
      <c r="T855" s="12"/>
      <c r="U855" s="12"/>
      <c r="W855" s="12"/>
      <c r="X855" s="12"/>
      <c r="Y855" s="12"/>
      <c r="Z855" s="12"/>
      <c r="AA855" s="12"/>
    </row>
    <row r="856" spans="1:27">
      <c r="A856" s="12"/>
      <c r="B856" s="12"/>
      <c r="C856" s="12"/>
      <c r="D856" s="12"/>
      <c r="E856" s="12"/>
      <c r="F856" s="12"/>
      <c r="G856" s="12"/>
      <c r="H856" s="12"/>
      <c r="I856" s="12"/>
      <c r="J856" s="12"/>
      <c r="K856" s="12"/>
      <c r="L856" s="12"/>
      <c r="M856" s="12"/>
      <c r="N856" s="12"/>
      <c r="O856" s="12"/>
      <c r="P856" s="12"/>
      <c r="Q856" s="12"/>
      <c r="R856" s="12"/>
      <c r="S856" s="12"/>
      <c r="T856" s="12"/>
      <c r="U856" s="12"/>
      <c r="W856" s="12"/>
      <c r="X856" s="12"/>
      <c r="Y856" s="12"/>
      <c r="Z856" s="12"/>
      <c r="AA856" s="12"/>
    </row>
    <row r="857" spans="1:27">
      <c r="A857" s="12"/>
      <c r="B857" s="12"/>
      <c r="C857" s="12"/>
      <c r="D857" s="12"/>
      <c r="E857" s="12"/>
      <c r="F857" s="12"/>
      <c r="G857" s="12"/>
      <c r="H857" s="12"/>
      <c r="I857" s="12"/>
      <c r="J857" s="12"/>
      <c r="K857" s="12"/>
      <c r="L857" s="12"/>
      <c r="M857" s="12"/>
      <c r="N857" s="12"/>
      <c r="O857" s="12"/>
      <c r="P857" s="12"/>
      <c r="Q857" s="12"/>
      <c r="R857" s="12"/>
      <c r="S857" s="12"/>
      <c r="T857" s="12"/>
      <c r="U857" s="12"/>
      <c r="W857" s="12"/>
      <c r="X857" s="12"/>
      <c r="Y857" s="12"/>
      <c r="Z857" s="12"/>
      <c r="AA857" s="12"/>
    </row>
    <row r="858" spans="1:27">
      <c r="A858" s="12"/>
      <c r="B858" s="12"/>
      <c r="C858" s="12"/>
      <c r="D858" s="12"/>
      <c r="E858" s="12"/>
      <c r="F858" s="12"/>
      <c r="G858" s="12"/>
      <c r="H858" s="12"/>
      <c r="I858" s="12"/>
      <c r="J858" s="12"/>
      <c r="K858" s="12"/>
      <c r="L858" s="12"/>
      <c r="M858" s="12"/>
      <c r="N858" s="12"/>
      <c r="O858" s="12"/>
      <c r="P858" s="12"/>
      <c r="Q858" s="12"/>
      <c r="R858" s="12"/>
      <c r="S858" s="12"/>
      <c r="T858" s="12"/>
      <c r="U858" s="12"/>
      <c r="W858" s="12"/>
      <c r="X858" s="12"/>
      <c r="Y858" s="12"/>
      <c r="Z858" s="12"/>
      <c r="AA858" s="12"/>
    </row>
    <row r="859" spans="1:27">
      <c r="A859" s="12"/>
      <c r="B859" s="12"/>
      <c r="C859" s="12"/>
      <c r="D859" s="12"/>
      <c r="E859" s="12"/>
      <c r="F859" s="12"/>
      <c r="G859" s="12"/>
      <c r="H859" s="12"/>
      <c r="I859" s="12"/>
      <c r="J859" s="12"/>
      <c r="K859" s="12"/>
      <c r="L859" s="12"/>
      <c r="M859" s="12"/>
      <c r="N859" s="12"/>
      <c r="O859" s="12"/>
      <c r="P859" s="12"/>
      <c r="Q859" s="12"/>
      <c r="R859" s="12"/>
      <c r="S859" s="12"/>
      <c r="T859" s="12"/>
      <c r="U859" s="12"/>
      <c r="W859" s="12"/>
      <c r="X859" s="12"/>
      <c r="Y859" s="12"/>
      <c r="Z859" s="12"/>
      <c r="AA859" s="12"/>
    </row>
    <row r="860" spans="1:27">
      <c r="A860" s="12"/>
      <c r="B860" s="12"/>
      <c r="C860" s="12"/>
      <c r="D860" s="12"/>
      <c r="E860" s="12"/>
      <c r="F860" s="12"/>
      <c r="G860" s="12"/>
      <c r="H860" s="12"/>
      <c r="I860" s="12"/>
      <c r="J860" s="12"/>
      <c r="K860" s="12"/>
      <c r="L860" s="12"/>
      <c r="M860" s="12"/>
      <c r="N860" s="12"/>
      <c r="O860" s="12"/>
      <c r="P860" s="12"/>
      <c r="Q860" s="12"/>
      <c r="R860" s="12"/>
      <c r="S860" s="12"/>
      <c r="T860" s="12"/>
      <c r="U860" s="12"/>
      <c r="W860" s="12"/>
      <c r="X860" s="12"/>
      <c r="Y860" s="12"/>
      <c r="Z860" s="12"/>
      <c r="AA860" s="12"/>
    </row>
    <row r="861" spans="1:27">
      <c r="A861" s="12"/>
      <c r="B861" s="12"/>
      <c r="C861" s="12"/>
      <c r="D861" s="12"/>
      <c r="E861" s="12"/>
      <c r="F861" s="12"/>
      <c r="G861" s="12"/>
      <c r="H861" s="12"/>
      <c r="I861" s="12"/>
      <c r="J861" s="12"/>
      <c r="K861" s="12"/>
      <c r="L861" s="12"/>
      <c r="M861" s="12"/>
      <c r="N861" s="12"/>
      <c r="O861" s="12"/>
      <c r="P861" s="12"/>
      <c r="Q861" s="12"/>
      <c r="R861" s="12"/>
      <c r="S861" s="12"/>
      <c r="T861" s="12"/>
      <c r="U861" s="12"/>
      <c r="W861" s="12"/>
      <c r="X861" s="12"/>
      <c r="Y861" s="12"/>
      <c r="Z861" s="12"/>
      <c r="AA861" s="12"/>
    </row>
    <row r="862" spans="1:27">
      <c r="A862" s="12"/>
      <c r="B862" s="12"/>
      <c r="C862" s="12"/>
      <c r="D862" s="12"/>
      <c r="E862" s="12"/>
      <c r="F862" s="12"/>
      <c r="G862" s="12"/>
      <c r="H862" s="12"/>
      <c r="I862" s="12"/>
      <c r="J862" s="12"/>
      <c r="K862" s="12"/>
      <c r="L862" s="12"/>
      <c r="M862" s="12"/>
      <c r="N862" s="12"/>
      <c r="O862" s="12"/>
      <c r="P862" s="12"/>
      <c r="Q862" s="12"/>
      <c r="R862" s="12"/>
      <c r="S862" s="12"/>
      <c r="T862" s="12"/>
      <c r="U862" s="12"/>
      <c r="W862" s="12"/>
      <c r="X862" s="12"/>
      <c r="Y862" s="12"/>
      <c r="Z862" s="12"/>
      <c r="AA862" s="12"/>
    </row>
    <row r="863" spans="1:27">
      <c r="A863" s="12"/>
      <c r="B863" s="12"/>
      <c r="C863" s="12"/>
      <c r="D863" s="12"/>
      <c r="E863" s="12"/>
      <c r="F863" s="12"/>
      <c r="G863" s="12"/>
      <c r="H863" s="12"/>
      <c r="I863" s="12"/>
      <c r="J863" s="12"/>
      <c r="K863" s="12"/>
      <c r="L863" s="12"/>
      <c r="M863" s="12"/>
      <c r="N863" s="12"/>
      <c r="O863" s="12"/>
      <c r="P863" s="12"/>
      <c r="Q863" s="12"/>
      <c r="R863" s="12"/>
      <c r="S863" s="12"/>
      <c r="T863" s="12"/>
      <c r="U863" s="12"/>
      <c r="W863" s="12"/>
      <c r="X863" s="12"/>
      <c r="Y863" s="12"/>
      <c r="Z863" s="12"/>
      <c r="AA863" s="12"/>
    </row>
    <row r="864" spans="1:27">
      <c r="A864" s="12"/>
      <c r="B864" s="12"/>
      <c r="C864" s="12"/>
      <c r="D864" s="12"/>
      <c r="E864" s="12"/>
      <c r="F864" s="12"/>
      <c r="G864" s="12"/>
      <c r="H864" s="12"/>
      <c r="I864" s="12"/>
      <c r="J864" s="12"/>
      <c r="K864" s="12"/>
      <c r="L864" s="12"/>
      <c r="M864" s="12"/>
      <c r="N864" s="12"/>
      <c r="O864" s="12"/>
      <c r="P864" s="12"/>
      <c r="Q864" s="12"/>
      <c r="R864" s="12"/>
      <c r="S864" s="12"/>
      <c r="T864" s="12"/>
      <c r="U864" s="12"/>
      <c r="W864" s="12"/>
      <c r="X864" s="12"/>
      <c r="Y864" s="12"/>
      <c r="Z864" s="12"/>
      <c r="AA864" s="12"/>
    </row>
    <row r="865" spans="1:27">
      <c r="A865" s="12"/>
      <c r="B865" s="12"/>
      <c r="C865" s="12"/>
      <c r="D865" s="12"/>
      <c r="E865" s="12"/>
      <c r="F865" s="12"/>
      <c r="G865" s="12"/>
      <c r="H865" s="12"/>
      <c r="I865" s="12"/>
      <c r="J865" s="12"/>
      <c r="K865" s="12"/>
      <c r="L865" s="12"/>
      <c r="M865" s="12"/>
      <c r="N865" s="12"/>
      <c r="O865" s="12"/>
      <c r="P865" s="12"/>
      <c r="Q865" s="12"/>
      <c r="R865" s="12"/>
      <c r="S865" s="12"/>
      <c r="T865" s="12"/>
      <c r="U865" s="12"/>
      <c r="W865" s="12"/>
      <c r="X865" s="12"/>
      <c r="Y865" s="12"/>
      <c r="Z865" s="12"/>
      <c r="AA865" s="12"/>
    </row>
    <row r="866" spans="1:27">
      <c r="A866" s="12"/>
      <c r="B866" s="12"/>
      <c r="C866" s="12"/>
      <c r="D866" s="12"/>
      <c r="E866" s="12"/>
      <c r="F866" s="12"/>
      <c r="G866" s="12"/>
      <c r="H866" s="12"/>
      <c r="I866" s="12"/>
      <c r="J866" s="12"/>
      <c r="K866" s="12"/>
      <c r="L866" s="12"/>
      <c r="M866" s="12"/>
      <c r="N866" s="12"/>
      <c r="O866" s="12"/>
      <c r="P866" s="12"/>
      <c r="Q866" s="12"/>
      <c r="R866" s="12"/>
      <c r="S866" s="12"/>
      <c r="T866" s="12"/>
      <c r="U866" s="12"/>
      <c r="W866" s="12"/>
      <c r="X866" s="12"/>
      <c r="Y866" s="12"/>
      <c r="Z866" s="12"/>
      <c r="AA866" s="12"/>
    </row>
    <row r="867" spans="1:27">
      <c r="A867" s="12"/>
      <c r="B867" s="12"/>
      <c r="C867" s="12"/>
      <c r="D867" s="12"/>
      <c r="E867" s="12"/>
      <c r="F867" s="12"/>
      <c r="G867" s="12"/>
      <c r="H867" s="12"/>
      <c r="I867" s="12"/>
      <c r="J867" s="12"/>
      <c r="K867" s="12"/>
      <c r="L867" s="12"/>
      <c r="M867" s="12"/>
      <c r="N867" s="12"/>
      <c r="O867" s="12"/>
      <c r="P867" s="12"/>
      <c r="Q867" s="12"/>
      <c r="R867" s="12"/>
      <c r="S867" s="12"/>
      <c r="T867" s="12"/>
      <c r="U867" s="12"/>
      <c r="W867" s="12"/>
      <c r="X867" s="12"/>
      <c r="Y867" s="12"/>
      <c r="Z867" s="12"/>
      <c r="AA867" s="12"/>
    </row>
    <row r="868" spans="1:27">
      <c r="A868" s="12"/>
      <c r="B868" s="12"/>
      <c r="C868" s="12"/>
      <c r="D868" s="12"/>
      <c r="E868" s="12"/>
      <c r="F868" s="12"/>
      <c r="G868" s="12"/>
      <c r="H868" s="12"/>
      <c r="I868" s="12"/>
      <c r="J868" s="12"/>
      <c r="K868" s="12"/>
      <c r="L868" s="12"/>
      <c r="M868" s="12"/>
      <c r="N868" s="12"/>
      <c r="O868" s="12"/>
      <c r="P868" s="12"/>
      <c r="Q868" s="12"/>
      <c r="R868" s="12"/>
      <c r="S868" s="12"/>
      <c r="T868" s="12"/>
      <c r="U868" s="12"/>
      <c r="W868" s="12"/>
      <c r="X868" s="12"/>
      <c r="Y868" s="12"/>
      <c r="Z868" s="12"/>
      <c r="AA868" s="12"/>
    </row>
    <row r="869" spans="1:27">
      <c r="A869" s="12"/>
      <c r="B869" s="12"/>
      <c r="C869" s="12"/>
      <c r="D869" s="12"/>
      <c r="E869" s="12"/>
      <c r="F869" s="12"/>
      <c r="G869" s="12"/>
      <c r="H869" s="12"/>
      <c r="I869" s="12"/>
      <c r="J869" s="12"/>
      <c r="K869" s="12"/>
      <c r="L869" s="12"/>
      <c r="M869" s="12"/>
      <c r="N869" s="12"/>
      <c r="O869" s="12"/>
      <c r="P869" s="12"/>
      <c r="Q869" s="12"/>
      <c r="R869" s="12"/>
      <c r="S869" s="12"/>
      <c r="T869" s="12"/>
      <c r="U869" s="12"/>
      <c r="W869" s="12"/>
      <c r="X869" s="12"/>
      <c r="Y869" s="12"/>
      <c r="Z869" s="12"/>
      <c r="AA869" s="12"/>
    </row>
    <row r="870" spans="1:27">
      <c r="A870" s="12"/>
      <c r="B870" s="12"/>
      <c r="C870" s="12"/>
      <c r="D870" s="12"/>
      <c r="E870" s="12"/>
      <c r="F870" s="12"/>
      <c r="G870" s="12"/>
      <c r="H870" s="12"/>
      <c r="I870" s="12"/>
      <c r="J870" s="12"/>
      <c r="K870" s="12"/>
      <c r="L870" s="12"/>
      <c r="M870" s="12"/>
      <c r="N870" s="12"/>
      <c r="O870" s="12"/>
      <c r="P870" s="12"/>
      <c r="Q870" s="12"/>
      <c r="R870" s="12"/>
      <c r="S870" s="12"/>
      <c r="T870" s="12"/>
      <c r="U870" s="12"/>
      <c r="W870" s="12"/>
      <c r="X870" s="12"/>
      <c r="Y870" s="12"/>
      <c r="Z870" s="12"/>
      <c r="AA870" s="12"/>
    </row>
    <row r="871" spans="1:27">
      <c r="A871" s="12"/>
      <c r="B871" s="12"/>
      <c r="C871" s="12"/>
      <c r="D871" s="12"/>
      <c r="E871" s="12"/>
      <c r="F871" s="12"/>
      <c r="G871" s="12"/>
      <c r="H871" s="12"/>
      <c r="I871" s="12"/>
      <c r="J871" s="12"/>
      <c r="K871" s="12"/>
      <c r="L871" s="12"/>
      <c r="M871" s="12"/>
      <c r="N871" s="12"/>
      <c r="O871" s="12"/>
      <c r="P871" s="12"/>
      <c r="Q871" s="12"/>
      <c r="R871" s="12"/>
      <c r="S871" s="12"/>
      <c r="T871" s="12"/>
      <c r="U871" s="12"/>
      <c r="W871" s="12"/>
      <c r="X871" s="12"/>
      <c r="Y871" s="12"/>
      <c r="Z871" s="12"/>
      <c r="AA871" s="12"/>
    </row>
    <row r="872" spans="1:27">
      <c r="A872" s="12"/>
      <c r="B872" s="12"/>
      <c r="C872" s="12"/>
      <c r="D872" s="12"/>
      <c r="E872" s="12"/>
      <c r="F872" s="12"/>
      <c r="G872" s="12"/>
      <c r="H872" s="12"/>
      <c r="I872" s="12"/>
      <c r="J872" s="12"/>
      <c r="K872" s="12"/>
      <c r="L872" s="12"/>
      <c r="M872" s="12"/>
      <c r="N872" s="12"/>
      <c r="O872" s="12"/>
      <c r="P872" s="12"/>
      <c r="Q872" s="12"/>
      <c r="R872" s="12"/>
      <c r="S872" s="12"/>
      <c r="T872" s="12"/>
      <c r="U872" s="12"/>
      <c r="W872" s="12"/>
      <c r="X872" s="12"/>
      <c r="Y872" s="12"/>
      <c r="Z872" s="12"/>
      <c r="AA872" s="12"/>
    </row>
    <row r="873" spans="1:27">
      <c r="A873" s="12"/>
      <c r="B873" s="12"/>
      <c r="C873" s="12"/>
      <c r="D873" s="12"/>
      <c r="E873" s="12"/>
      <c r="F873" s="12"/>
      <c r="G873" s="12"/>
      <c r="H873" s="12"/>
      <c r="I873" s="12"/>
      <c r="J873" s="12"/>
      <c r="K873" s="12"/>
      <c r="L873" s="12"/>
      <c r="M873" s="12"/>
      <c r="N873" s="12"/>
      <c r="O873" s="12"/>
      <c r="P873" s="12"/>
      <c r="Q873" s="12"/>
      <c r="R873" s="12"/>
      <c r="S873" s="12"/>
      <c r="T873" s="12"/>
      <c r="U873" s="12"/>
      <c r="W873" s="12"/>
      <c r="X873" s="12"/>
      <c r="Y873" s="12"/>
      <c r="Z873" s="12"/>
      <c r="AA873" s="12"/>
    </row>
    <row r="874" spans="1:27">
      <c r="A874" s="12"/>
      <c r="B874" s="12"/>
      <c r="C874" s="12"/>
      <c r="D874" s="12"/>
      <c r="E874" s="12"/>
      <c r="F874" s="12"/>
      <c r="G874" s="12"/>
      <c r="H874" s="12"/>
      <c r="I874" s="12"/>
      <c r="J874" s="12"/>
      <c r="K874" s="12"/>
      <c r="L874" s="12"/>
      <c r="M874" s="12"/>
      <c r="N874" s="12"/>
      <c r="O874" s="12"/>
      <c r="P874" s="12"/>
      <c r="Q874" s="12"/>
      <c r="R874" s="12"/>
      <c r="S874" s="12"/>
      <c r="T874" s="12"/>
      <c r="U874" s="12"/>
      <c r="W874" s="12"/>
      <c r="X874" s="12"/>
      <c r="Y874" s="12"/>
      <c r="Z874" s="12"/>
      <c r="AA874" s="12"/>
    </row>
    <row r="875" spans="1:27">
      <c r="A875" s="12"/>
      <c r="B875" s="12"/>
      <c r="C875" s="12"/>
      <c r="D875" s="12"/>
      <c r="E875" s="12"/>
      <c r="F875" s="12"/>
      <c r="G875" s="12"/>
      <c r="H875" s="12"/>
      <c r="I875" s="12"/>
      <c r="J875" s="12"/>
      <c r="K875" s="12"/>
      <c r="L875" s="12"/>
      <c r="M875" s="12"/>
      <c r="N875" s="12"/>
      <c r="O875" s="12"/>
      <c r="P875" s="12"/>
      <c r="Q875" s="12"/>
      <c r="R875" s="12"/>
      <c r="S875" s="12"/>
      <c r="T875" s="12"/>
      <c r="U875" s="12"/>
      <c r="W875" s="12"/>
      <c r="X875" s="12"/>
      <c r="Y875" s="12"/>
      <c r="Z875" s="12"/>
      <c r="AA875" s="12"/>
    </row>
    <row r="876" spans="1:27">
      <c r="A876" s="12"/>
      <c r="B876" s="12"/>
      <c r="C876" s="12"/>
      <c r="D876" s="12"/>
      <c r="E876" s="12"/>
      <c r="F876" s="12"/>
      <c r="G876" s="12"/>
      <c r="H876" s="12"/>
      <c r="I876" s="12"/>
      <c r="J876" s="12"/>
      <c r="K876" s="12"/>
      <c r="L876" s="12"/>
      <c r="M876" s="12"/>
      <c r="N876" s="12"/>
      <c r="O876" s="12"/>
      <c r="P876" s="12"/>
      <c r="Q876" s="12"/>
      <c r="R876" s="12"/>
      <c r="S876" s="12"/>
      <c r="T876" s="12"/>
      <c r="U876" s="12"/>
      <c r="W876" s="12"/>
      <c r="X876" s="12"/>
      <c r="Y876" s="12"/>
      <c r="Z876" s="12"/>
      <c r="AA876" s="12"/>
    </row>
    <row r="877" spans="1:27">
      <c r="A877" s="12"/>
      <c r="B877" s="12"/>
      <c r="C877" s="12"/>
      <c r="D877" s="12"/>
      <c r="E877" s="12"/>
      <c r="F877" s="12"/>
      <c r="G877" s="12"/>
      <c r="H877" s="12"/>
      <c r="I877" s="12"/>
      <c r="J877" s="12"/>
      <c r="K877" s="12"/>
      <c r="L877" s="12"/>
      <c r="M877" s="12"/>
      <c r="N877" s="12"/>
      <c r="O877" s="12"/>
      <c r="P877" s="12"/>
      <c r="Q877" s="12"/>
      <c r="R877" s="12"/>
      <c r="S877" s="12"/>
      <c r="T877" s="12"/>
      <c r="U877" s="12"/>
      <c r="W877" s="12"/>
      <c r="X877" s="12"/>
      <c r="Y877" s="12"/>
      <c r="Z877" s="12"/>
      <c r="AA877" s="12"/>
    </row>
    <row r="878" spans="1:27">
      <c r="A878" s="12"/>
      <c r="B878" s="12"/>
      <c r="C878" s="12"/>
      <c r="D878" s="12"/>
      <c r="E878" s="12"/>
      <c r="F878" s="12"/>
      <c r="G878" s="12"/>
      <c r="H878" s="12"/>
      <c r="I878" s="12"/>
      <c r="J878" s="12"/>
      <c r="K878" s="12"/>
      <c r="L878" s="12"/>
      <c r="M878" s="12"/>
      <c r="N878" s="12"/>
      <c r="O878" s="12"/>
      <c r="P878" s="12"/>
      <c r="Q878" s="12"/>
      <c r="R878" s="12"/>
      <c r="S878" s="12"/>
      <c r="T878" s="12"/>
      <c r="U878" s="12"/>
      <c r="W878" s="12"/>
      <c r="X878" s="12"/>
      <c r="Y878" s="12"/>
      <c r="Z878" s="12"/>
      <c r="AA878" s="12"/>
    </row>
    <row r="879" spans="1:27">
      <c r="A879" s="12"/>
      <c r="B879" s="12"/>
      <c r="C879" s="12"/>
      <c r="D879" s="12"/>
      <c r="E879" s="12"/>
      <c r="F879" s="12"/>
      <c r="G879" s="12"/>
      <c r="H879" s="12"/>
      <c r="I879" s="12"/>
      <c r="J879" s="12"/>
      <c r="K879" s="12"/>
      <c r="L879" s="12"/>
      <c r="M879" s="12"/>
      <c r="N879" s="12"/>
      <c r="O879" s="12"/>
      <c r="P879" s="12"/>
      <c r="Q879" s="12"/>
      <c r="R879" s="12"/>
      <c r="S879" s="12"/>
      <c r="T879" s="12"/>
      <c r="U879" s="12"/>
      <c r="W879" s="12"/>
      <c r="X879" s="12"/>
      <c r="Y879" s="12"/>
      <c r="Z879" s="12"/>
      <c r="AA879" s="12"/>
    </row>
    <row r="880" spans="1:27">
      <c r="A880" s="12"/>
      <c r="B880" s="12"/>
      <c r="C880" s="12"/>
      <c r="D880" s="12"/>
      <c r="E880" s="12"/>
      <c r="F880" s="12"/>
      <c r="G880" s="12"/>
      <c r="H880" s="12"/>
      <c r="I880" s="12"/>
      <c r="J880" s="12"/>
      <c r="K880" s="12"/>
      <c r="L880" s="12"/>
      <c r="M880" s="12"/>
      <c r="N880" s="12"/>
      <c r="O880" s="12"/>
      <c r="P880" s="12"/>
      <c r="Q880" s="12"/>
      <c r="R880" s="12"/>
      <c r="S880" s="12"/>
      <c r="T880" s="12"/>
      <c r="U880" s="12"/>
      <c r="W880" s="12"/>
      <c r="X880" s="12"/>
      <c r="Y880" s="12"/>
      <c r="Z880" s="12"/>
      <c r="AA880" s="12"/>
    </row>
    <row r="881" spans="1:27">
      <c r="A881" s="12"/>
      <c r="B881" s="12"/>
      <c r="C881" s="12"/>
      <c r="D881" s="12"/>
      <c r="E881" s="12"/>
      <c r="F881" s="12"/>
      <c r="G881" s="12"/>
      <c r="H881" s="12"/>
      <c r="I881" s="12"/>
      <c r="J881" s="12"/>
      <c r="K881" s="12"/>
      <c r="L881" s="12"/>
      <c r="M881" s="12"/>
      <c r="N881" s="12"/>
      <c r="O881" s="12"/>
      <c r="P881" s="12"/>
      <c r="Q881" s="12"/>
      <c r="R881" s="12"/>
      <c r="S881" s="12"/>
      <c r="T881" s="12"/>
      <c r="U881" s="12"/>
      <c r="W881" s="12"/>
      <c r="X881" s="12"/>
      <c r="Y881" s="12"/>
      <c r="Z881" s="12"/>
      <c r="AA881" s="12"/>
    </row>
    <row r="882" spans="1:27">
      <c r="A882" s="12"/>
      <c r="B882" s="12"/>
      <c r="C882" s="12"/>
      <c r="D882" s="12"/>
      <c r="E882" s="12"/>
      <c r="F882" s="12"/>
      <c r="G882" s="12"/>
      <c r="H882" s="12"/>
      <c r="I882" s="12"/>
      <c r="J882" s="12"/>
      <c r="K882" s="12"/>
      <c r="L882" s="12"/>
      <c r="M882" s="12"/>
      <c r="N882" s="12"/>
      <c r="O882" s="12"/>
      <c r="P882" s="12"/>
      <c r="Q882" s="12"/>
      <c r="R882" s="12"/>
      <c r="S882" s="12"/>
      <c r="T882" s="12"/>
      <c r="U882" s="12"/>
      <c r="W882" s="12"/>
      <c r="X882" s="12"/>
      <c r="Y882" s="12"/>
      <c r="Z882" s="12"/>
      <c r="AA882" s="12"/>
    </row>
    <row r="883" spans="1:27">
      <c r="A883" s="12"/>
      <c r="B883" s="12"/>
      <c r="C883" s="12"/>
      <c r="D883" s="12"/>
      <c r="E883" s="12"/>
      <c r="F883" s="12"/>
      <c r="G883" s="12"/>
      <c r="H883" s="12"/>
      <c r="I883" s="12"/>
      <c r="J883" s="12"/>
      <c r="K883" s="12"/>
      <c r="L883" s="12"/>
      <c r="M883" s="12"/>
      <c r="N883" s="12"/>
      <c r="O883" s="12"/>
      <c r="P883" s="12"/>
      <c r="Q883" s="12"/>
      <c r="R883" s="12"/>
      <c r="S883" s="12"/>
      <c r="T883" s="12"/>
      <c r="U883" s="12"/>
      <c r="W883" s="12"/>
      <c r="X883" s="12"/>
      <c r="Y883" s="12"/>
      <c r="Z883" s="12"/>
      <c r="AA883" s="12"/>
    </row>
    <row r="884" spans="1:27">
      <c r="A884" s="12"/>
      <c r="B884" s="12"/>
      <c r="C884" s="12"/>
      <c r="D884" s="12"/>
      <c r="E884" s="12"/>
      <c r="F884" s="12"/>
      <c r="G884" s="12"/>
      <c r="H884" s="12"/>
      <c r="I884" s="12"/>
      <c r="J884" s="12"/>
      <c r="K884" s="12"/>
      <c r="L884" s="12"/>
      <c r="M884" s="12"/>
      <c r="N884" s="12"/>
      <c r="O884" s="12"/>
      <c r="P884" s="12"/>
      <c r="Q884" s="12"/>
      <c r="R884" s="12"/>
      <c r="S884" s="12"/>
      <c r="T884" s="12"/>
      <c r="U884" s="12"/>
      <c r="W884" s="12"/>
      <c r="X884" s="12"/>
      <c r="Y884" s="12"/>
      <c r="Z884" s="12"/>
      <c r="AA884" s="12"/>
    </row>
    <row r="885" spans="1:27">
      <c r="A885" s="12"/>
      <c r="B885" s="12"/>
      <c r="C885" s="12"/>
      <c r="D885" s="12"/>
      <c r="E885" s="12"/>
      <c r="F885" s="12"/>
      <c r="G885" s="12"/>
      <c r="H885" s="12"/>
      <c r="I885" s="12"/>
      <c r="J885" s="12"/>
      <c r="K885" s="12"/>
      <c r="L885" s="12"/>
      <c r="M885" s="12"/>
      <c r="N885" s="12"/>
      <c r="O885" s="12"/>
      <c r="P885" s="12"/>
      <c r="Q885" s="12"/>
      <c r="R885" s="12"/>
      <c r="S885" s="12"/>
      <c r="T885" s="12"/>
      <c r="U885" s="12"/>
      <c r="W885" s="12"/>
      <c r="X885" s="12"/>
      <c r="Y885" s="12"/>
      <c r="Z885" s="12"/>
      <c r="AA885" s="12"/>
    </row>
    <row r="886" spans="1:27">
      <c r="A886" s="12"/>
      <c r="B886" s="12"/>
      <c r="C886" s="12"/>
      <c r="D886" s="12"/>
      <c r="E886" s="12"/>
      <c r="F886" s="12"/>
      <c r="G886" s="12"/>
      <c r="H886" s="12"/>
      <c r="I886" s="12"/>
      <c r="J886" s="12"/>
      <c r="K886" s="12"/>
      <c r="L886" s="12"/>
      <c r="M886" s="12"/>
      <c r="N886" s="12"/>
      <c r="O886" s="12"/>
      <c r="P886" s="12"/>
      <c r="Q886" s="12"/>
      <c r="R886" s="12"/>
      <c r="S886" s="12"/>
      <c r="T886" s="12"/>
      <c r="U886" s="12"/>
      <c r="W886" s="12"/>
      <c r="X886" s="12"/>
      <c r="Y886" s="12"/>
      <c r="Z886" s="12"/>
      <c r="AA886" s="12"/>
    </row>
    <row r="887" spans="1:27">
      <c r="A887" s="12"/>
      <c r="B887" s="12"/>
      <c r="C887" s="12"/>
      <c r="D887" s="12"/>
      <c r="E887" s="12"/>
      <c r="F887" s="12"/>
      <c r="G887" s="12"/>
      <c r="H887" s="12"/>
      <c r="I887" s="12"/>
      <c r="J887" s="12"/>
      <c r="K887" s="12"/>
      <c r="L887" s="12"/>
      <c r="M887" s="12"/>
      <c r="N887" s="12"/>
      <c r="O887" s="12"/>
      <c r="P887" s="12"/>
      <c r="Q887" s="12"/>
      <c r="R887" s="12"/>
      <c r="S887" s="12"/>
      <c r="T887" s="12"/>
      <c r="U887" s="12"/>
      <c r="W887" s="12"/>
      <c r="X887" s="12"/>
      <c r="Y887" s="12"/>
      <c r="Z887" s="12"/>
      <c r="AA887" s="12"/>
    </row>
    <row r="888" spans="1:27">
      <c r="A888" s="12"/>
      <c r="B888" s="12"/>
      <c r="C888" s="12"/>
      <c r="D888" s="12"/>
      <c r="E888" s="12"/>
      <c r="F888" s="12"/>
      <c r="G888" s="12"/>
      <c r="H888" s="12"/>
      <c r="I888" s="12"/>
      <c r="J888" s="12"/>
      <c r="K888" s="12"/>
      <c r="L888" s="12"/>
      <c r="M888" s="12"/>
      <c r="N888" s="12"/>
      <c r="O888" s="12"/>
      <c r="P888" s="12"/>
      <c r="Q888" s="12"/>
      <c r="R888" s="12"/>
      <c r="S888" s="12"/>
      <c r="T888" s="12"/>
      <c r="U888" s="12"/>
      <c r="W888" s="12"/>
      <c r="X888" s="12"/>
      <c r="Y888" s="12"/>
      <c r="Z888" s="12"/>
      <c r="AA888" s="12"/>
    </row>
    <row r="889" spans="1:27">
      <c r="A889" s="12"/>
      <c r="B889" s="12"/>
      <c r="C889" s="12"/>
      <c r="D889" s="12"/>
      <c r="E889" s="12"/>
      <c r="F889" s="12"/>
      <c r="G889" s="12"/>
      <c r="H889" s="12"/>
      <c r="I889" s="12"/>
      <c r="J889" s="12"/>
      <c r="K889" s="12"/>
      <c r="L889" s="12"/>
      <c r="M889" s="12"/>
      <c r="N889" s="12"/>
      <c r="O889" s="12"/>
      <c r="P889" s="12"/>
      <c r="Q889" s="12"/>
      <c r="R889" s="12"/>
      <c r="S889" s="12"/>
      <c r="T889" s="12"/>
      <c r="U889" s="12"/>
      <c r="W889" s="12"/>
      <c r="X889" s="12"/>
      <c r="Y889" s="12"/>
      <c r="Z889" s="12"/>
      <c r="AA889" s="12"/>
    </row>
    <row r="890" spans="1:27">
      <c r="A890" s="12"/>
      <c r="B890" s="12"/>
      <c r="C890" s="12"/>
      <c r="D890" s="12"/>
      <c r="E890" s="12"/>
      <c r="F890" s="12"/>
      <c r="G890" s="12"/>
      <c r="H890" s="12"/>
      <c r="I890" s="12"/>
      <c r="J890" s="12"/>
      <c r="K890" s="12"/>
      <c r="L890" s="12"/>
      <c r="M890" s="12"/>
      <c r="N890" s="12"/>
      <c r="O890" s="12"/>
      <c r="P890" s="12"/>
      <c r="Q890" s="12"/>
      <c r="R890" s="12"/>
      <c r="S890" s="12"/>
      <c r="T890" s="12"/>
      <c r="U890" s="12"/>
      <c r="W890" s="12"/>
      <c r="X890" s="12"/>
      <c r="Y890" s="12"/>
      <c r="Z890" s="12"/>
      <c r="AA890" s="12"/>
    </row>
    <row r="891" spans="1:27">
      <c r="A891" s="12"/>
      <c r="B891" s="12"/>
      <c r="C891" s="12"/>
      <c r="D891" s="12"/>
      <c r="E891" s="12"/>
      <c r="F891" s="12"/>
      <c r="G891" s="12"/>
      <c r="H891" s="12"/>
      <c r="I891" s="12"/>
      <c r="J891" s="12"/>
      <c r="K891" s="12"/>
      <c r="L891" s="12"/>
      <c r="M891" s="12"/>
      <c r="N891" s="12"/>
      <c r="O891" s="12"/>
      <c r="P891" s="12"/>
      <c r="Q891" s="12"/>
      <c r="R891" s="12"/>
      <c r="S891" s="12"/>
      <c r="T891" s="12"/>
      <c r="U891" s="12"/>
      <c r="W891" s="12"/>
      <c r="X891" s="12"/>
      <c r="Y891" s="12"/>
      <c r="Z891" s="12"/>
      <c r="AA891" s="12"/>
    </row>
    <row r="892" spans="1:27">
      <c r="A892" s="12"/>
      <c r="B892" s="12"/>
      <c r="C892" s="12"/>
      <c r="D892" s="12"/>
      <c r="E892" s="12"/>
      <c r="F892" s="12"/>
      <c r="G892" s="12"/>
      <c r="H892" s="12"/>
      <c r="I892" s="12"/>
      <c r="J892" s="12"/>
      <c r="K892" s="12"/>
      <c r="L892" s="12"/>
      <c r="M892" s="12"/>
      <c r="N892" s="12"/>
      <c r="O892" s="12"/>
      <c r="P892" s="12"/>
      <c r="Q892" s="12"/>
      <c r="R892" s="12"/>
      <c r="S892" s="12"/>
      <c r="T892" s="12"/>
      <c r="U892" s="12"/>
      <c r="W892" s="12"/>
      <c r="X892" s="12"/>
      <c r="Y892" s="12"/>
      <c r="Z892" s="12"/>
      <c r="AA892" s="12"/>
    </row>
    <row r="893" spans="1:27">
      <c r="A893" s="12"/>
      <c r="B893" s="12"/>
      <c r="C893" s="12"/>
      <c r="D893" s="12"/>
      <c r="E893" s="12"/>
      <c r="F893" s="12"/>
      <c r="G893" s="12"/>
      <c r="H893" s="12"/>
      <c r="I893" s="12"/>
      <c r="J893" s="12"/>
      <c r="K893" s="12"/>
      <c r="L893" s="12"/>
      <c r="M893" s="12"/>
      <c r="N893" s="12"/>
      <c r="O893" s="12"/>
      <c r="P893" s="12"/>
      <c r="Q893" s="12"/>
      <c r="R893" s="12"/>
      <c r="S893" s="12"/>
      <c r="T893" s="12"/>
      <c r="U893" s="12"/>
      <c r="W893" s="12"/>
      <c r="X893" s="12"/>
      <c r="Y893" s="12"/>
      <c r="Z893" s="12"/>
      <c r="AA893" s="12"/>
    </row>
    <row r="894" spans="1:27">
      <c r="A894" s="12"/>
      <c r="B894" s="12"/>
      <c r="C894" s="12"/>
      <c r="D894" s="12"/>
      <c r="E894" s="12"/>
      <c r="F894" s="12"/>
      <c r="G894" s="12"/>
      <c r="H894" s="12"/>
      <c r="I894" s="12"/>
      <c r="J894" s="12"/>
      <c r="K894" s="12"/>
      <c r="L894" s="12"/>
      <c r="M894" s="12"/>
      <c r="N894" s="12"/>
      <c r="O894" s="12"/>
      <c r="P894" s="12"/>
      <c r="Q894" s="12"/>
      <c r="R894" s="12"/>
      <c r="S894" s="12"/>
      <c r="T894" s="12"/>
      <c r="U894" s="12"/>
      <c r="W894" s="12"/>
      <c r="X894" s="12"/>
      <c r="Y894" s="12"/>
      <c r="Z894" s="12"/>
      <c r="AA894" s="12"/>
    </row>
    <row r="895" spans="1:27">
      <c r="A895" s="12"/>
      <c r="B895" s="12"/>
      <c r="C895" s="12"/>
      <c r="D895" s="12"/>
      <c r="E895" s="12"/>
      <c r="F895" s="12"/>
      <c r="G895" s="12"/>
      <c r="H895" s="12"/>
      <c r="I895" s="12"/>
      <c r="J895" s="12"/>
      <c r="K895" s="12"/>
      <c r="L895" s="12"/>
      <c r="M895" s="12"/>
      <c r="N895" s="12"/>
      <c r="O895" s="12"/>
      <c r="P895" s="12"/>
      <c r="Q895" s="12"/>
      <c r="R895" s="12"/>
      <c r="S895" s="12"/>
      <c r="T895" s="12"/>
      <c r="U895" s="12"/>
      <c r="W895" s="12"/>
      <c r="X895" s="12"/>
      <c r="Y895" s="12"/>
      <c r="Z895" s="12"/>
      <c r="AA895" s="12"/>
    </row>
    <row r="896" spans="1:27">
      <c r="A896" s="12"/>
      <c r="B896" s="12"/>
      <c r="C896" s="12"/>
      <c r="D896" s="12"/>
      <c r="E896" s="12"/>
      <c r="F896" s="12"/>
      <c r="G896" s="12"/>
      <c r="H896" s="12"/>
      <c r="I896" s="12"/>
      <c r="J896" s="12"/>
      <c r="K896" s="12"/>
      <c r="L896" s="12"/>
      <c r="M896" s="12"/>
      <c r="N896" s="12"/>
      <c r="O896" s="12"/>
      <c r="P896" s="12"/>
      <c r="Q896" s="12"/>
      <c r="R896" s="12"/>
      <c r="S896" s="12"/>
      <c r="T896" s="12"/>
      <c r="U896" s="12"/>
      <c r="W896" s="12"/>
      <c r="X896" s="12"/>
      <c r="Y896" s="12"/>
      <c r="Z896" s="12"/>
      <c r="AA896" s="12"/>
    </row>
    <row r="897" spans="1:27">
      <c r="A897" s="12"/>
      <c r="B897" s="12"/>
      <c r="C897" s="12"/>
      <c r="D897" s="12"/>
      <c r="E897" s="12"/>
      <c r="F897" s="12"/>
      <c r="G897" s="12"/>
      <c r="H897" s="12"/>
      <c r="I897" s="12"/>
      <c r="J897" s="12"/>
      <c r="K897" s="12"/>
      <c r="L897" s="12"/>
      <c r="M897" s="12"/>
      <c r="N897" s="12"/>
      <c r="O897" s="12"/>
      <c r="P897" s="12"/>
      <c r="Q897" s="12"/>
      <c r="R897" s="12"/>
      <c r="S897" s="12"/>
      <c r="T897" s="12"/>
      <c r="U897" s="12"/>
      <c r="W897" s="12"/>
      <c r="X897" s="12"/>
      <c r="Y897" s="12"/>
      <c r="Z897" s="12"/>
      <c r="AA897" s="12"/>
    </row>
    <row r="898" spans="1:27">
      <c r="A898" s="12"/>
      <c r="B898" s="12"/>
      <c r="C898" s="12"/>
      <c r="D898" s="12"/>
      <c r="E898" s="12"/>
      <c r="F898" s="12"/>
      <c r="G898" s="12"/>
      <c r="H898" s="12"/>
      <c r="I898" s="12"/>
      <c r="J898" s="12"/>
      <c r="K898" s="12"/>
      <c r="L898" s="12"/>
      <c r="M898" s="12"/>
      <c r="N898" s="12"/>
      <c r="O898" s="12"/>
      <c r="P898" s="12"/>
      <c r="Q898" s="12"/>
      <c r="R898" s="12"/>
      <c r="S898" s="12"/>
      <c r="T898" s="12"/>
      <c r="U898" s="12"/>
      <c r="W898" s="12"/>
      <c r="X898" s="12"/>
      <c r="Y898" s="12"/>
      <c r="Z898" s="12"/>
      <c r="AA898" s="12"/>
    </row>
    <row r="899" spans="1:27">
      <c r="A899" s="12"/>
      <c r="B899" s="12"/>
      <c r="C899" s="12"/>
      <c r="D899" s="12"/>
      <c r="E899" s="12"/>
      <c r="F899" s="12"/>
      <c r="G899" s="12"/>
      <c r="H899" s="12"/>
      <c r="I899" s="12"/>
      <c r="J899" s="12"/>
      <c r="K899" s="12"/>
      <c r="L899" s="12"/>
      <c r="M899" s="12"/>
      <c r="N899" s="12"/>
      <c r="O899" s="12"/>
      <c r="P899" s="12"/>
      <c r="Q899" s="12"/>
      <c r="R899" s="12"/>
      <c r="S899" s="12"/>
      <c r="T899" s="12"/>
      <c r="U899" s="12"/>
      <c r="W899" s="12"/>
      <c r="X899" s="12"/>
      <c r="Y899" s="12"/>
      <c r="Z899" s="12"/>
      <c r="AA899" s="12"/>
    </row>
    <row r="900" spans="1:27">
      <c r="A900" s="12"/>
      <c r="B900" s="12"/>
      <c r="C900" s="12"/>
      <c r="D900" s="12"/>
      <c r="E900" s="12"/>
      <c r="F900" s="12"/>
      <c r="G900" s="12"/>
      <c r="H900" s="12"/>
      <c r="I900" s="12"/>
      <c r="J900" s="12"/>
      <c r="K900" s="12"/>
      <c r="L900" s="12"/>
      <c r="M900" s="12"/>
      <c r="N900" s="12"/>
      <c r="O900" s="12"/>
      <c r="P900" s="12"/>
      <c r="Q900" s="12"/>
      <c r="R900" s="12"/>
      <c r="S900" s="12"/>
      <c r="T900" s="12"/>
      <c r="U900" s="12"/>
      <c r="W900" s="12"/>
      <c r="X900" s="12"/>
      <c r="Y900" s="12"/>
      <c r="Z900" s="12"/>
      <c r="AA900" s="12"/>
    </row>
    <row r="901" spans="1:27">
      <c r="A901" s="12"/>
      <c r="B901" s="12"/>
      <c r="C901" s="12"/>
      <c r="D901" s="12"/>
      <c r="E901" s="12"/>
      <c r="F901" s="12"/>
      <c r="G901" s="12"/>
      <c r="H901" s="12"/>
      <c r="I901" s="12"/>
      <c r="J901" s="12"/>
      <c r="K901" s="12"/>
      <c r="L901" s="12"/>
      <c r="M901" s="12"/>
      <c r="N901" s="12"/>
      <c r="O901" s="12"/>
      <c r="P901" s="12"/>
      <c r="Q901" s="12"/>
      <c r="R901" s="12"/>
      <c r="S901" s="12"/>
      <c r="T901" s="12"/>
      <c r="U901" s="12"/>
      <c r="W901" s="12"/>
      <c r="X901" s="12"/>
      <c r="Y901" s="12"/>
      <c r="Z901" s="12"/>
      <c r="AA901" s="12"/>
    </row>
    <row r="902" spans="1:27">
      <c r="A902" s="12"/>
      <c r="B902" s="12"/>
      <c r="C902" s="12"/>
      <c r="D902" s="12"/>
      <c r="E902" s="12"/>
      <c r="F902" s="12"/>
      <c r="G902" s="12"/>
      <c r="H902" s="12"/>
      <c r="I902" s="12"/>
      <c r="J902" s="12"/>
      <c r="K902" s="12"/>
      <c r="L902" s="12"/>
      <c r="M902" s="12"/>
      <c r="N902" s="12"/>
      <c r="O902" s="12"/>
      <c r="P902" s="12"/>
      <c r="Q902" s="12"/>
      <c r="R902" s="12"/>
      <c r="S902" s="12"/>
      <c r="T902" s="12"/>
      <c r="U902" s="12"/>
      <c r="W902" s="12"/>
      <c r="X902" s="12"/>
      <c r="Y902" s="12"/>
      <c r="Z902" s="12"/>
      <c r="AA902" s="12"/>
    </row>
    <row r="903" spans="1:27">
      <c r="A903" s="12"/>
      <c r="B903" s="12"/>
      <c r="C903" s="12"/>
      <c r="D903" s="12"/>
      <c r="E903" s="12"/>
      <c r="F903" s="12"/>
      <c r="G903" s="12"/>
      <c r="H903" s="12"/>
      <c r="I903" s="12"/>
      <c r="J903" s="12"/>
      <c r="K903" s="12"/>
      <c r="L903" s="12"/>
      <c r="M903" s="12"/>
      <c r="N903" s="12"/>
      <c r="O903" s="12"/>
      <c r="P903" s="12"/>
      <c r="Q903" s="12"/>
      <c r="R903" s="12"/>
      <c r="S903" s="12"/>
      <c r="T903" s="12"/>
      <c r="U903" s="12"/>
      <c r="W903" s="12"/>
      <c r="X903" s="12"/>
      <c r="Y903" s="12"/>
      <c r="Z903" s="12"/>
      <c r="AA903" s="12"/>
    </row>
    <row r="904" spans="1:27">
      <c r="A904" s="12"/>
      <c r="B904" s="12"/>
      <c r="C904" s="12"/>
      <c r="D904" s="12"/>
      <c r="E904" s="12"/>
      <c r="F904" s="12"/>
      <c r="G904" s="12"/>
      <c r="H904" s="12"/>
      <c r="I904" s="12"/>
      <c r="J904" s="12"/>
      <c r="K904" s="12"/>
      <c r="L904" s="12"/>
      <c r="M904" s="12"/>
      <c r="N904" s="12"/>
      <c r="O904" s="12"/>
      <c r="P904" s="12"/>
      <c r="Q904" s="12"/>
      <c r="R904" s="12"/>
      <c r="S904" s="12"/>
      <c r="T904" s="12"/>
      <c r="U904" s="12"/>
      <c r="W904" s="12"/>
      <c r="X904" s="12"/>
      <c r="Y904" s="12"/>
      <c r="Z904" s="12"/>
      <c r="AA904" s="12"/>
    </row>
    <row r="905" spans="1:27">
      <c r="A905" s="12"/>
      <c r="B905" s="12"/>
      <c r="C905" s="12"/>
      <c r="D905" s="12"/>
      <c r="E905" s="12"/>
      <c r="F905" s="12"/>
      <c r="G905" s="12"/>
      <c r="H905" s="12"/>
      <c r="I905" s="12"/>
      <c r="J905" s="12"/>
      <c r="K905" s="12"/>
      <c r="L905" s="12"/>
      <c r="M905" s="12"/>
      <c r="N905" s="12"/>
      <c r="O905" s="12"/>
      <c r="P905" s="12"/>
      <c r="Q905" s="12"/>
      <c r="R905" s="12"/>
      <c r="S905" s="12"/>
      <c r="T905" s="12"/>
      <c r="U905" s="12"/>
      <c r="W905" s="12"/>
      <c r="X905" s="12"/>
      <c r="Y905" s="12"/>
      <c r="Z905" s="12"/>
      <c r="AA905" s="12"/>
    </row>
    <row r="906" spans="1:27">
      <c r="A906" s="12"/>
      <c r="B906" s="12"/>
      <c r="C906" s="12"/>
      <c r="D906" s="12"/>
      <c r="E906" s="12"/>
      <c r="F906" s="12"/>
      <c r="G906" s="12"/>
      <c r="H906" s="12"/>
      <c r="I906" s="12"/>
      <c r="J906" s="12"/>
      <c r="K906" s="12"/>
      <c r="L906" s="12"/>
      <c r="M906" s="12"/>
      <c r="N906" s="12"/>
      <c r="O906" s="12"/>
      <c r="P906" s="12"/>
      <c r="Q906" s="12"/>
      <c r="R906" s="12"/>
      <c r="S906" s="12"/>
      <c r="T906" s="12"/>
      <c r="U906" s="12"/>
      <c r="W906" s="12"/>
      <c r="X906" s="12"/>
      <c r="Y906" s="12"/>
      <c r="Z906" s="12"/>
      <c r="AA906" s="12"/>
    </row>
    <row r="907" spans="1:27">
      <c r="A907" s="12"/>
      <c r="B907" s="12"/>
      <c r="C907" s="12"/>
      <c r="D907" s="12"/>
      <c r="E907" s="12"/>
      <c r="F907" s="12"/>
      <c r="G907" s="12"/>
      <c r="H907" s="12"/>
      <c r="I907" s="12"/>
      <c r="J907" s="12"/>
      <c r="K907" s="12"/>
      <c r="L907" s="12"/>
      <c r="M907" s="12"/>
      <c r="N907" s="12"/>
      <c r="O907" s="12"/>
      <c r="P907" s="12"/>
      <c r="Q907" s="12"/>
      <c r="R907" s="12"/>
      <c r="S907" s="12"/>
      <c r="T907" s="12"/>
      <c r="U907" s="12"/>
      <c r="W907" s="12"/>
      <c r="X907" s="12"/>
      <c r="Y907" s="12"/>
      <c r="Z907" s="12"/>
      <c r="AA907" s="12"/>
    </row>
    <row r="908" spans="1:27">
      <c r="A908" s="12"/>
      <c r="B908" s="12"/>
      <c r="C908" s="12"/>
      <c r="D908" s="12"/>
      <c r="E908" s="12"/>
      <c r="F908" s="12"/>
      <c r="G908" s="12"/>
      <c r="H908" s="12"/>
      <c r="I908" s="12"/>
      <c r="J908" s="12"/>
      <c r="K908" s="12"/>
      <c r="L908" s="12"/>
      <c r="M908" s="12"/>
      <c r="N908" s="12"/>
      <c r="O908" s="12"/>
      <c r="P908" s="12"/>
      <c r="Q908" s="12"/>
      <c r="R908" s="12"/>
      <c r="S908" s="12"/>
      <c r="T908" s="12"/>
      <c r="U908" s="12"/>
      <c r="W908" s="12"/>
      <c r="X908" s="12"/>
      <c r="Y908" s="12"/>
      <c r="Z908" s="12"/>
      <c r="AA908" s="12"/>
    </row>
    <row r="909" spans="1:27">
      <c r="A909" s="12"/>
      <c r="B909" s="12"/>
      <c r="C909" s="12"/>
      <c r="D909" s="12"/>
      <c r="E909" s="12"/>
      <c r="F909" s="12"/>
      <c r="G909" s="12"/>
      <c r="H909" s="12"/>
      <c r="I909" s="12"/>
      <c r="J909" s="12"/>
      <c r="K909" s="12"/>
      <c r="L909" s="12"/>
      <c r="M909" s="12"/>
      <c r="N909" s="12"/>
      <c r="O909" s="12"/>
      <c r="P909" s="12"/>
      <c r="Q909" s="12"/>
      <c r="R909" s="12"/>
      <c r="S909" s="12"/>
      <c r="T909" s="12"/>
      <c r="U909" s="12"/>
      <c r="W909" s="12"/>
      <c r="X909" s="12"/>
      <c r="Y909" s="12"/>
      <c r="Z909" s="12"/>
      <c r="AA909" s="12"/>
    </row>
    <row r="910" spans="1:27">
      <c r="A910" s="12"/>
      <c r="B910" s="12"/>
      <c r="C910" s="12"/>
      <c r="D910" s="12"/>
      <c r="E910" s="12"/>
      <c r="F910" s="12"/>
      <c r="G910" s="12"/>
      <c r="H910" s="12"/>
      <c r="I910" s="12"/>
      <c r="J910" s="12"/>
      <c r="K910" s="12"/>
      <c r="L910" s="12"/>
      <c r="M910" s="12"/>
      <c r="N910" s="12"/>
      <c r="O910" s="12"/>
      <c r="P910" s="12"/>
      <c r="Q910" s="12"/>
      <c r="R910" s="12"/>
      <c r="S910" s="12"/>
      <c r="T910" s="12"/>
      <c r="U910" s="12"/>
      <c r="W910" s="12"/>
      <c r="X910" s="12"/>
      <c r="Y910" s="12"/>
      <c r="Z910" s="12"/>
      <c r="AA910" s="12"/>
    </row>
    <row r="911" spans="1:27">
      <c r="A911" s="12"/>
      <c r="B911" s="12"/>
      <c r="C911" s="12"/>
      <c r="D911" s="12"/>
      <c r="E911" s="12"/>
      <c r="F911" s="12"/>
      <c r="G911" s="12"/>
      <c r="H911" s="12"/>
      <c r="I911" s="12"/>
      <c r="J911" s="12"/>
      <c r="K911" s="12"/>
      <c r="L911" s="12"/>
      <c r="M911" s="12"/>
      <c r="N911" s="12"/>
      <c r="O911" s="12"/>
      <c r="P911" s="12"/>
      <c r="Q911" s="12"/>
      <c r="R911" s="12"/>
      <c r="S911" s="12"/>
      <c r="T911" s="12"/>
      <c r="U911" s="12"/>
      <c r="W911" s="12"/>
      <c r="X911" s="12"/>
      <c r="Y911" s="12"/>
      <c r="Z911" s="12"/>
      <c r="AA911" s="12"/>
    </row>
    <row r="912" spans="1:27">
      <c r="A912" s="12"/>
      <c r="B912" s="12"/>
      <c r="C912" s="12"/>
      <c r="D912" s="12"/>
      <c r="E912" s="12"/>
      <c r="F912" s="12"/>
      <c r="G912" s="12"/>
      <c r="H912" s="12"/>
      <c r="I912" s="12"/>
      <c r="J912" s="12"/>
      <c r="K912" s="12"/>
      <c r="L912" s="12"/>
      <c r="M912" s="12"/>
      <c r="N912" s="12"/>
      <c r="O912" s="12"/>
      <c r="P912" s="12"/>
      <c r="Q912" s="12"/>
      <c r="R912" s="12"/>
      <c r="S912" s="12"/>
      <c r="T912" s="12"/>
      <c r="U912" s="12"/>
      <c r="W912" s="12"/>
      <c r="X912" s="12"/>
      <c r="Y912" s="12"/>
      <c r="Z912" s="12"/>
      <c r="AA912" s="12"/>
    </row>
    <row r="913" spans="1:27">
      <c r="A913" s="12"/>
      <c r="B913" s="12"/>
      <c r="C913" s="12"/>
      <c r="D913" s="12"/>
      <c r="E913" s="12"/>
      <c r="F913" s="12"/>
      <c r="G913" s="12"/>
      <c r="H913" s="12"/>
      <c r="I913" s="12"/>
      <c r="J913" s="12"/>
      <c r="K913" s="12"/>
      <c r="L913" s="12"/>
      <c r="M913" s="12"/>
      <c r="N913" s="12"/>
      <c r="O913" s="12"/>
      <c r="P913" s="12"/>
      <c r="Q913" s="12"/>
      <c r="R913" s="12"/>
      <c r="S913" s="12"/>
      <c r="T913" s="12"/>
      <c r="U913" s="12"/>
      <c r="W913" s="12"/>
      <c r="X913" s="12"/>
      <c r="Y913" s="12"/>
      <c r="Z913" s="12"/>
      <c r="AA913" s="12"/>
    </row>
    <row r="914" spans="1:27">
      <c r="A914" s="12"/>
      <c r="B914" s="12"/>
      <c r="C914" s="12"/>
      <c r="D914" s="12"/>
      <c r="E914" s="12"/>
      <c r="F914" s="12"/>
      <c r="G914" s="12"/>
      <c r="H914" s="12"/>
      <c r="I914" s="12"/>
      <c r="J914" s="12"/>
      <c r="K914" s="12"/>
      <c r="L914" s="12"/>
      <c r="M914" s="12"/>
      <c r="N914" s="12"/>
      <c r="O914" s="12"/>
      <c r="P914" s="12"/>
      <c r="Q914" s="12"/>
      <c r="R914" s="12"/>
      <c r="S914" s="12"/>
      <c r="T914" s="12"/>
      <c r="U914" s="12"/>
      <c r="W914" s="12"/>
      <c r="X914" s="12"/>
      <c r="Y914" s="12"/>
      <c r="Z914" s="12"/>
      <c r="AA914" s="12"/>
    </row>
    <row r="915" spans="1:27">
      <c r="A915" s="12"/>
      <c r="B915" s="12"/>
      <c r="C915" s="12"/>
      <c r="D915" s="12"/>
      <c r="E915" s="12"/>
      <c r="F915" s="12"/>
      <c r="G915" s="12"/>
      <c r="H915" s="12"/>
      <c r="I915" s="12"/>
      <c r="J915" s="12"/>
      <c r="K915" s="12"/>
      <c r="L915" s="12"/>
      <c r="M915" s="12"/>
      <c r="N915" s="12"/>
      <c r="O915" s="12"/>
      <c r="P915" s="12"/>
      <c r="Q915" s="12"/>
      <c r="R915" s="12"/>
      <c r="S915" s="12"/>
      <c r="T915" s="12"/>
      <c r="U915" s="12"/>
      <c r="W915" s="12"/>
      <c r="X915" s="12"/>
      <c r="Y915" s="12"/>
      <c r="Z915" s="12"/>
      <c r="AA915" s="12"/>
    </row>
    <row r="916" spans="1:27">
      <c r="A916" s="12"/>
      <c r="B916" s="12"/>
      <c r="C916" s="12"/>
      <c r="D916" s="12"/>
      <c r="E916" s="12"/>
      <c r="F916" s="12"/>
      <c r="G916" s="12"/>
      <c r="H916" s="12"/>
      <c r="I916" s="12"/>
      <c r="J916" s="12"/>
      <c r="K916" s="12"/>
      <c r="L916" s="12"/>
      <c r="M916" s="12"/>
      <c r="N916" s="12"/>
      <c r="O916" s="12"/>
      <c r="P916" s="12"/>
      <c r="Q916" s="12"/>
      <c r="R916" s="12"/>
      <c r="S916" s="12"/>
      <c r="T916" s="12"/>
      <c r="U916" s="12"/>
      <c r="W916" s="12"/>
      <c r="X916" s="12"/>
      <c r="Y916" s="12"/>
      <c r="Z916" s="12"/>
      <c r="AA916" s="12"/>
    </row>
    <row r="917" spans="1:27">
      <c r="A917" s="12"/>
      <c r="B917" s="12"/>
      <c r="C917" s="12"/>
      <c r="D917" s="12"/>
      <c r="E917" s="12"/>
      <c r="F917" s="12"/>
      <c r="G917" s="12"/>
      <c r="H917" s="12"/>
      <c r="I917" s="12"/>
      <c r="J917" s="12"/>
      <c r="K917" s="12"/>
      <c r="L917" s="12"/>
      <c r="M917" s="12"/>
      <c r="N917" s="12"/>
      <c r="O917" s="12"/>
      <c r="P917" s="12"/>
      <c r="Q917" s="12"/>
      <c r="R917" s="12"/>
      <c r="S917" s="12"/>
      <c r="T917" s="12"/>
      <c r="U917" s="12"/>
      <c r="W917" s="12"/>
      <c r="X917" s="12"/>
      <c r="Y917" s="12"/>
      <c r="Z917" s="12"/>
      <c r="AA917" s="12"/>
    </row>
    <row r="918" spans="1:27">
      <c r="A918" s="12"/>
      <c r="B918" s="12"/>
      <c r="C918" s="12"/>
      <c r="D918" s="12"/>
      <c r="E918" s="12"/>
      <c r="F918" s="12"/>
      <c r="G918" s="12"/>
      <c r="H918" s="12"/>
      <c r="I918" s="12"/>
      <c r="J918" s="12"/>
      <c r="K918" s="12"/>
      <c r="L918" s="12"/>
      <c r="M918" s="12"/>
      <c r="N918" s="12"/>
      <c r="O918" s="12"/>
      <c r="P918" s="12"/>
      <c r="Q918" s="12"/>
      <c r="R918" s="12"/>
      <c r="S918" s="12"/>
      <c r="T918" s="12"/>
      <c r="U918" s="12"/>
      <c r="W918" s="12"/>
      <c r="X918" s="12"/>
      <c r="Y918" s="12"/>
      <c r="Z918" s="12"/>
      <c r="AA918" s="12"/>
    </row>
    <row r="919" spans="1:27">
      <c r="A919" s="12"/>
      <c r="B919" s="12"/>
      <c r="C919" s="12"/>
      <c r="D919" s="12"/>
      <c r="E919" s="12"/>
      <c r="F919" s="12"/>
      <c r="G919" s="12"/>
      <c r="H919" s="12"/>
      <c r="I919" s="12"/>
      <c r="J919" s="12"/>
      <c r="K919" s="12"/>
      <c r="L919" s="12"/>
      <c r="M919" s="12"/>
      <c r="N919" s="12"/>
      <c r="O919" s="12"/>
      <c r="P919" s="12"/>
      <c r="Q919" s="12"/>
      <c r="R919" s="12"/>
      <c r="S919" s="12"/>
      <c r="T919" s="12"/>
      <c r="U919" s="12"/>
      <c r="W919" s="12"/>
      <c r="X919" s="12"/>
      <c r="Y919" s="12"/>
      <c r="Z919" s="12"/>
      <c r="AA919" s="12"/>
    </row>
    <row r="920" spans="1:27">
      <c r="A920" s="12"/>
      <c r="B920" s="12"/>
      <c r="C920" s="12"/>
      <c r="D920" s="12"/>
      <c r="E920" s="12"/>
      <c r="F920" s="12"/>
      <c r="G920" s="12"/>
      <c r="H920" s="12"/>
      <c r="I920" s="12"/>
      <c r="J920" s="12"/>
      <c r="K920" s="12"/>
      <c r="L920" s="12"/>
      <c r="M920" s="12"/>
      <c r="N920" s="12"/>
      <c r="O920" s="12"/>
      <c r="P920" s="12"/>
      <c r="Q920" s="12"/>
      <c r="R920" s="12"/>
      <c r="S920" s="12"/>
      <c r="T920" s="12"/>
      <c r="U920" s="12"/>
      <c r="W920" s="12"/>
      <c r="X920" s="12"/>
      <c r="Y920" s="12"/>
      <c r="Z920" s="12"/>
      <c r="AA920" s="12"/>
    </row>
    <row r="921" spans="1:27">
      <c r="A921" s="12"/>
      <c r="B921" s="12"/>
      <c r="C921" s="12"/>
      <c r="D921" s="12"/>
      <c r="E921" s="12"/>
      <c r="F921" s="12"/>
      <c r="G921" s="12"/>
      <c r="H921" s="12"/>
      <c r="I921" s="12"/>
      <c r="J921" s="12"/>
      <c r="K921" s="12"/>
      <c r="L921" s="12"/>
      <c r="M921" s="12"/>
      <c r="N921" s="12"/>
      <c r="O921" s="12"/>
      <c r="P921" s="12"/>
      <c r="Q921" s="12"/>
      <c r="R921" s="12"/>
      <c r="S921" s="12"/>
      <c r="T921" s="12"/>
      <c r="U921" s="12"/>
      <c r="W921" s="12"/>
      <c r="X921" s="12"/>
      <c r="Y921" s="12"/>
      <c r="Z921" s="12"/>
      <c r="AA921" s="12"/>
    </row>
    <row r="922" spans="1:27">
      <c r="A922" s="12"/>
      <c r="B922" s="12"/>
      <c r="C922" s="12"/>
      <c r="D922" s="12"/>
      <c r="E922" s="12"/>
      <c r="F922" s="12"/>
      <c r="G922" s="12"/>
      <c r="H922" s="12"/>
      <c r="I922" s="12"/>
      <c r="J922" s="12"/>
      <c r="K922" s="12"/>
      <c r="L922" s="12"/>
      <c r="M922" s="12"/>
      <c r="N922" s="12"/>
      <c r="O922" s="12"/>
      <c r="P922" s="12"/>
      <c r="Q922" s="12"/>
      <c r="R922" s="12"/>
      <c r="S922" s="12"/>
      <c r="T922" s="12"/>
      <c r="U922" s="12"/>
      <c r="W922" s="12"/>
      <c r="X922" s="12"/>
      <c r="Y922" s="12"/>
      <c r="Z922" s="12"/>
      <c r="AA922" s="12"/>
    </row>
    <row r="923" spans="1:27">
      <c r="A923" s="12"/>
      <c r="B923" s="12"/>
      <c r="C923" s="12"/>
      <c r="D923" s="12"/>
      <c r="E923" s="12"/>
      <c r="F923" s="12"/>
      <c r="G923" s="12"/>
      <c r="H923" s="12"/>
      <c r="I923" s="12"/>
      <c r="J923" s="12"/>
      <c r="K923" s="12"/>
      <c r="L923" s="12"/>
      <c r="M923" s="12"/>
      <c r="N923" s="12"/>
      <c r="O923" s="12"/>
      <c r="P923" s="12"/>
      <c r="Q923" s="12"/>
      <c r="R923" s="12"/>
      <c r="S923" s="12"/>
      <c r="T923" s="12"/>
      <c r="U923" s="12"/>
      <c r="W923" s="12"/>
      <c r="X923" s="12"/>
      <c r="Y923" s="12"/>
      <c r="Z923" s="12"/>
      <c r="AA923" s="12"/>
    </row>
    <row r="924" spans="1:27">
      <c r="A924" s="12"/>
      <c r="B924" s="12"/>
      <c r="C924" s="12"/>
      <c r="D924" s="12"/>
      <c r="E924" s="12"/>
      <c r="F924" s="12"/>
      <c r="G924" s="12"/>
      <c r="H924" s="12"/>
      <c r="I924" s="12"/>
      <c r="J924" s="12"/>
      <c r="K924" s="12"/>
      <c r="L924" s="12"/>
      <c r="M924" s="12"/>
      <c r="N924" s="12"/>
      <c r="O924" s="12"/>
      <c r="P924" s="12"/>
      <c r="Q924" s="12"/>
      <c r="R924" s="12"/>
      <c r="S924" s="12"/>
      <c r="T924" s="12"/>
      <c r="U924" s="12"/>
      <c r="W924" s="12"/>
      <c r="X924" s="12"/>
      <c r="Y924" s="12"/>
      <c r="Z924" s="12"/>
      <c r="AA924" s="12"/>
    </row>
    <row r="925" spans="1:27">
      <c r="A925" s="12"/>
      <c r="B925" s="12"/>
      <c r="C925" s="12"/>
      <c r="D925" s="12"/>
      <c r="E925" s="12"/>
      <c r="F925" s="12"/>
      <c r="G925" s="12"/>
      <c r="H925" s="12"/>
      <c r="I925" s="12"/>
      <c r="J925" s="12"/>
      <c r="K925" s="12"/>
      <c r="L925" s="12"/>
      <c r="M925" s="12"/>
      <c r="N925" s="12"/>
      <c r="O925" s="12"/>
      <c r="P925" s="12"/>
      <c r="Q925" s="12"/>
      <c r="R925" s="12"/>
      <c r="S925" s="12"/>
      <c r="T925" s="12"/>
      <c r="U925" s="12"/>
      <c r="W925" s="12"/>
      <c r="X925" s="12"/>
      <c r="Y925" s="12"/>
      <c r="Z925" s="12"/>
      <c r="AA925" s="12"/>
    </row>
    <row r="926" spans="1:27">
      <c r="A926" s="12"/>
      <c r="B926" s="12"/>
      <c r="C926" s="12"/>
      <c r="D926" s="12"/>
      <c r="E926" s="12"/>
      <c r="F926" s="12"/>
      <c r="G926" s="12"/>
      <c r="H926" s="12"/>
      <c r="I926" s="12"/>
      <c r="J926" s="12"/>
      <c r="K926" s="12"/>
      <c r="L926" s="12"/>
      <c r="M926" s="12"/>
      <c r="N926" s="12"/>
      <c r="O926" s="12"/>
      <c r="P926" s="12"/>
      <c r="Q926" s="12"/>
      <c r="R926" s="12"/>
      <c r="S926" s="12"/>
      <c r="T926" s="12"/>
      <c r="U926" s="12"/>
      <c r="W926" s="12"/>
      <c r="X926" s="12"/>
      <c r="Y926" s="12"/>
      <c r="Z926" s="12"/>
      <c r="AA926" s="12"/>
    </row>
    <row r="927" spans="1:27">
      <c r="A927" s="12"/>
      <c r="B927" s="12"/>
      <c r="C927" s="12"/>
      <c r="D927" s="12"/>
      <c r="E927" s="12"/>
      <c r="F927" s="12"/>
      <c r="G927" s="12"/>
      <c r="H927" s="12"/>
      <c r="I927" s="12"/>
      <c r="J927" s="12"/>
      <c r="K927" s="12"/>
      <c r="L927" s="12"/>
      <c r="M927" s="12"/>
      <c r="N927" s="12"/>
      <c r="O927" s="12"/>
      <c r="P927" s="12"/>
      <c r="Q927" s="12"/>
      <c r="R927" s="12"/>
      <c r="S927" s="12"/>
      <c r="T927" s="12"/>
      <c r="U927" s="12"/>
      <c r="W927" s="12"/>
      <c r="X927" s="12"/>
      <c r="Y927" s="12"/>
      <c r="Z927" s="12"/>
      <c r="AA927" s="12"/>
    </row>
    <row r="928" spans="1:27">
      <c r="A928" s="12"/>
      <c r="B928" s="12"/>
      <c r="C928" s="12"/>
      <c r="D928" s="12"/>
      <c r="E928" s="12"/>
      <c r="F928" s="12"/>
      <c r="G928" s="12"/>
      <c r="H928" s="12"/>
      <c r="I928" s="12"/>
      <c r="J928" s="12"/>
      <c r="K928" s="12"/>
      <c r="L928" s="12"/>
      <c r="M928" s="12"/>
      <c r="N928" s="12"/>
      <c r="O928" s="12"/>
      <c r="P928" s="12"/>
      <c r="Q928" s="12"/>
      <c r="R928" s="12"/>
      <c r="S928" s="12"/>
      <c r="T928" s="12"/>
      <c r="U928" s="12"/>
      <c r="W928" s="12"/>
      <c r="X928" s="12"/>
      <c r="Y928" s="12"/>
      <c r="Z928" s="12"/>
      <c r="AA928" s="12"/>
    </row>
    <row r="929" spans="1:27">
      <c r="A929" s="12"/>
      <c r="B929" s="12"/>
      <c r="C929" s="12"/>
      <c r="D929" s="12"/>
      <c r="E929" s="12"/>
      <c r="F929" s="12"/>
      <c r="G929" s="12"/>
      <c r="H929" s="12"/>
      <c r="I929" s="12"/>
      <c r="J929" s="12"/>
      <c r="K929" s="12"/>
      <c r="L929" s="12"/>
      <c r="M929" s="12"/>
      <c r="N929" s="12"/>
      <c r="O929" s="12"/>
      <c r="P929" s="12"/>
      <c r="Q929" s="12"/>
      <c r="R929" s="12"/>
      <c r="S929" s="12"/>
      <c r="T929" s="12"/>
      <c r="U929" s="12"/>
      <c r="W929" s="12"/>
      <c r="X929" s="12"/>
      <c r="Y929" s="12"/>
      <c r="Z929" s="12"/>
      <c r="AA929" s="12"/>
    </row>
    <row r="930" spans="1:27">
      <c r="A930" s="12"/>
      <c r="B930" s="12"/>
      <c r="C930" s="12"/>
      <c r="D930" s="12"/>
      <c r="E930" s="12"/>
      <c r="F930" s="12"/>
      <c r="G930" s="12"/>
      <c r="H930" s="12"/>
      <c r="I930" s="12"/>
      <c r="J930" s="12"/>
      <c r="K930" s="12"/>
      <c r="L930" s="12"/>
      <c r="M930" s="12"/>
      <c r="N930" s="12"/>
      <c r="O930" s="12"/>
      <c r="P930" s="12"/>
      <c r="Q930" s="12"/>
      <c r="R930" s="12"/>
      <c r="S930" s="12"/>
      <c r="T930" s="12"/>
      <c r="U930" s="12"/>
      <c r="W930" s="12"/>
      <c r="X930" s="12"/>
      <c r="Y930" s="12"/>
      <c r="Z930" s="12"/>
      <c r="AA930" s="12"/>
    </row>
    <row r="931" spans="1:27">
      <c r="A931" s="12"/>
      <c r="B931" s="12"/>
      <c r="C931" s="12"/>
      <c r="D931" s="12"/>
      <c r="E931" s="12"/>
      <c r="F931" s="12"/>
      <c r="G931" s="12"/>
      <c r="H931" s="12"/>
      <c r="I931" s="12"/>
      <c r="J931" s="12"/>
      <c r="K931" s="12"/>
      <c r="L931" s="12"/>
      <c r="M931" s="12"/>
      <c r="N931" s="12"/>
      <c r="O931" s="12"/>
      <c r="P931" s="12"/>
      <c r="Q931" s="12"/>
      <c r="R931" s="12"/>
      <c r="S931" s="12"/>
      <c r="T931" s="12"/>
      <c r="U931" s="12"/>
      <c r="W931" s="12"/>
      <c r="X931" s="12"/>
      <c r="Y931" s="12"/>
      <c r="Z931" s="12"/>
      <c r="AA931" s="12"/>
    </row>
    <row r="932" spans="1:27">
      <c r="A932" s="12"/>
      <c r="B932" s="12"/>
      <c r="C932" s="12"/>
      <c r="D932" s="12"/>
      <c r="E932" s="12"/>
      <c r="F932" s="12"/>
      <c r="G932" s="12"/>
      <c r="H932" s="12"/>
      <c r="I932" s="12"/>
      <c r="J932" s="12"/>
      <c r="K932" s="12"/>
      <c r="L932" s="12"/>
      <c r="M932" s="12"/>
      <c r="N932" s="12"/>
      <c r="O932" s="12"/>
      <c r="P932" s="12"/>
      <c r="Q932" s="12"/>
      <c r="R932" s="12"/>
      <c r="S932" s="12"/>
      <c r="T932" s="12"/>
      <c r="U932" s="12"/>
      <c r="W932" s="12"/>
      <c r="X932" s="12"/>
      <c r="Y932" s="12"/>
      <c r="Z932" s="12"/>
      <c r="AA932" s="12"/>
    </row>
    <row r="933" spans="1:27">
      <c r="A933" s="12"/>
      <c r="B933" s="12"/>
      <c r="C933" s="12"/>
      <c r="D933" s="12"/>
      <c r="E933" s="12"/>
      <c r="F933" s="12"/>
      <c r="G933" s="12"/>
      <c r="H933" s="12"/>
      <c r="I933" s="12"/>
      <c r="J933" s="12"/>
      <c r="K933" s="12"/>
      <c r="L933" s="12"/>
      <c r="M933" s="12"/>
      <c r="N933" s="12"/>
      <c r="O933" s="12"/>
      <c r="P933" s="12"/>
      <c r="Q933" s="12"/>
      <c r="R933" s="12"/>
      <c r="S933" s="12"/>
      <c r="T933" s="12"/>
      <c r="U933" s="12"/>
      <c r="W933" s="12"/>
      <c r="X933" s="12"/>
      <c r="Y933" s="12"/>
      <c r="Z933" s="12"/>
      <c r="AA933" s="12"/>
    </row>
    <row r="934" spans="1:27">
      <c r="A934" s="12"/>
      <c r="B934" s="12"/>
      <c r="C934" s="12"/>
      <c r="D934" s="12"/>
      <c r="E934" s="12"/>
      <c r="F934" s="12"/>
      <c r="G934" s="12"/>
      <c r="H934" s="12"/>
      <c r="I934" s="12"/>
      <c r="J934" s="12"/>
      <c r="K934" s="12"/>
      <c r="L934" s="12"/>
      <c r="M934" s="12"/>
      <c r="N934" s="12"/>
      <c r="O934" s="12"/>
      <c r="P934" s="12"/>
      <c r="Q934" s="12"/>
      <c r="R934" s="12"/>
      <c r="S934" s="12"/>
      <c r="T934" s="12"/>
      <c r="U934" s="12"/>
      <c r="W934" s="12"/>
      <c r="X934" s="12"/>
      <c r="Y934" s="12"/>
      <c r="Z934" s="12"/>
      <c r="AA934" s="12"/>
    </row>
    <row r="935" spans="1:27">
      <c r="A935" s="12"/>
      <c r="B935" s="12"/>
      <c r="C935" s="12"/>
      <c r="D935" s="12"/>
      <c r="E935" s="12"/>
      <c r="F935" s="12"/>
      <c r="G935" s="12"/>
      <c r="H935" s="12"/>
      <c r="I935" s="12"/>
      <c r="J935" s="12"/>
      <c r="K935" s="12"/>
      <c r="L935" s="12"/>
      <c r="M935" s="12"/>
      <c r="N935" s="12"/>
      <c r="O935" s="12"/>
      <c r="P935" s="12"/>
      <c r="Q935" s="12"/>
      <c r="R935" s="12"/>
      <c r="S935" s="12"/>
      <c r="T935" s="12"/>
      <c r="U935" s="12"/>
      <c r="W935" s="12"/>
      <c r="X935" s="12"/>
      <c r="Y935" s="12"/>
      <c r="Z935" s="12"/>
      <c r="AA935" s="12"/>
    </row>
    <row r="936" spans="1:27">
      <c r="A936" s="12"/>
      <c r="B936" s="12"/>
      <c r="C936" s="12"/>
      <c r="D936" s="12"/>
      <c r="E936" s="12"/>
      <c r="F936" s="12"/>
      <c r="G936" s="12"/>
      <c r="H936" s="12"/>
      <c r="I936" s="12"/>
      <c r="J936" s="12"/>
      <c r="K936" s="12"/>
      <c r="L936" s="12"/>
      <c r="M936" s="12"/>
      <c r="N936" s="12"/>
      <c r="O936" s="12"/>
      <c r="P936" s="12"/>
      <c r="Q936" s="12"/>
      <c r="R936" s="12"/>
      <c r="S936" s="12"/>
      <c r="T936" s="12"/>
      <c r="U936" s="12"/>
      <c r="W936" s="12"/>
      <c r="X936" s="12"/>
      <c r="Y936" s="12"/>
      <c r="Z936" s="12"/>
      <c r="AA936" s="12"/>
    </row>
    <row r="937" spans="1:27">
      <c r="A937" s="12"/>
      <c r="B937" s="12"/>
      <c r="C937" s="12"/>
      <c r="D937" s="12"/>
      <c r="E937" s="12"/>
      <c r="F937" s="12"/>
      <c r="G937" s="12"/>
      <c r="H937" s="12"/>
      <c r="I937" s="12"/>
      <c r="J937" s="12"/>
      <c r="K937" s="12"/>
      <c r="L937" s="12"/>
      <c r="M937" s="12"/>
      <c r="N937" s="12"/>
      <c r="O937" s="12"/>
      <c r="P937" s="12"/>
      <c r="Q937" s="12"/>
      <c r="R937" s="12"/>
      <c r="S937" s="12"/>
      <c r="T937" s="12"/>
      <c r="U937" s="12"/>
      <c r="W937" s="12"/>
      <c r="X937" s="12"/>
      <c r="Y937" s="12"/>
      <c r="Z937" s="12"/>
      <c r="AA937" s="12"/>
    </row>
    <row r="938" spans="1:27">
      <c r="A938" s="12"/>
      <c r="B938" s="12"/>
      <c r="C938" s="12"/>
      <c r="D938" s="12"/>
      <c r="E938" s="12"/>
      <c r="F938" s="12"/>
      <c r="G938" s="12"/>
      <c r="H938" s="12"/>
      <c r="I938" s="12"/>
      <c r="J938" s="12"/>
      <c r="K938" s="12"/>
      <c r="L938" s="12"/>
      <c r="M938" s="12"/>
      <c r="N938" s="12"/>
      <c r="O938" s="12"/>
      <c r="P938" s="12"/>
      <c r="Q938" s="12"/>
      <c r="R938" s="12"/>
      <c r="S938" s="12"/>
      <c r="T938" s="12"/>
      <c r="U938" s="12"/>
      <c r="W938" s="12"/>
      <c r="X938" s="12"/>
      <c r="Y938" s="12"/>
      <c r="Z938" s="12"/>
      <c r="AA938" s="12"/>
    </row>
    <row r="939" spans="1:27">
      <c r="A939" s="12"/>
      <c r="B939" s="12"/>
      <c r="C939" s="12"/>
      <c r="D939" s="12"/>
      <c r="E939" s="12"/>
      <c r="F939" s="12"/>
      <c r="G939" s="12"/>
      <c r="H939" s="12"/>
      <c r="I939" s="12"/>
      <c r="J939" s="12"/>
      <c r="K939" s="12"/>
      <c r="L939" s="12"/>
      <c r="M939" s="12"/>
      <c r="N939" s="12"/>
      <c r="O939" s="12"/>
      <c r="P939" s="12"/>
      <c r="Q939" s="12"/>
      <c r="R939" s="12"/>
      <c r="S939" s="12"/>
      <c r="T939" s="12"/>
      <c r="U939" s="12"/>
      <c r="W939" s="12"/>
      <c r="X939" s="12"/>
      <c r="Y939" s="12"/>
      <c r="Z939" s="12"/>
      <c r="AA939" s="12"/>
    </row>
    <row r="940" spans="1:27">
      <c r="A940" s="12"/>
      <c r="B940" s="12"/>
      <c r="C940" s="12"/>
      <c r="D940" s="12"/>
      <c r="E940" s="12"/>
      <c r="F940" s="12"/>
      <c r="G940" s="12"/>
      <c r="H940" s="12"/>
      <c r="I940" s="12"/>
      <c r="J940" s="12"/>
      <c r="K940" s="12"/>
      <c r="L940" s="12"/>
      <c r="M940" s="12"/>
      <c r="N940" s="12"/>
      <c r="O940" s="12"/>
      <c r="P940" s="12"/>
      <c r="Q940" s="12"/>
      <c r="R940" s="12"/>
      <c r="S940" s="12"/>
      <c r="T940" s="12"/>
      <c r="U940" s="12"/>
      <c r="W940" s="12"/>
      <c r="X940" s="12"/>
      <c r="Y940" s="12"/>
      <c r="Z940" s="12"/>
      <c r="AA940" s="12"/>
    </row>
    <row r="941" spans="1:27">
      <c r="A941" s="12"/>
      <c r="B941" s="12"/>
      <c r="C941" s="12"/>
      <c r="D941" s="12"/>
      <c r="E941" s="12"/>
      <c r="F941" s="12"/>
      <c r="G941" s="12"/>
      <c r="H941" s="12"/>
      <c r="I941" s="12"/>
      <c r="J941" s="12"/>
      <c r="K941" s="12"/>
      <c r="L941" s="12"/>
      <c r="M941" s="12"/>
      <c r="N941" s="12"/>
      <c r="O941" s="12"/>
      <c r="P941" s="12"/>
      <c r="Q941" s="12"/>
      <c r="R941" s="12"/>
      <c r="S941" s="12"/>
      <c r="T941" s="12"/>
      <c r="U941" s="12"/>
      <c r="W941" s="12"/>
      <c r="X941" s="12"/>
      <c r="Y941" s="12"/>
      <c r="Z941" s="12"/>
      <c r="AA941" s="12"/>
    </row>
    <row r="942" spans="1:27">
      <c r="A942" s="12"/>
      <c r="B942" s="12"/>
      <c r="C942" s="12"/>
      <c r="D942" s="12"/>
      <c r="E942" s="12"/>
      <c r="F942" s="12"/>
      <c r="G942" s="12"/>
      <c r="H942" s="12"/>
      <c r="I942" s="12"/>
      <c r="J942" s="12"/>
      <c r="K942" s="12"/>
      <c r="L942" s="12"/>
      <c r="M942" s="12"/>
      <c r="N942" s="12"/>
      <c r="O942" s="12"/>
      <c r="P942" s="12"/>
      <c r="Q942" s="12"/>
      <c r="R942" s="12"/>
      <c r="S942" s="12"/>
      <c r="T942" s="12"/>
      <c r="U942" s="12"/>
      <c r="W942" s="12"/>
      <c r="X942" s="12"/>
      <c r="Y942" s="12"/>
      <c r="Z942" s="12"/>
      <c r="AA942" s="12"/>
    </row>
    <row r="943" spans="1:27">
      <c r="A943" s="12"/>
      <c r="B943" s="12"/>
      <c r="C943" s="12"/>
      <c r="D943" s="12"/>
      <c r="E943" s="12"/>
      <c r="F943" s="12"/>
      <c r="G943" s="12"/>
      <c r="H943" s="12"/>
      <c r="I943" s="12"/>
      <c r="J943" s="12"/>
      <c r="K943" s="12"/>
      <c r="L943" s="12"/>
      <c r="M943" s="12"/>
      <c r="N943" s="12"/>
      <c r="O943" s="12"/>
      <c r="P943" s="12"/>
      <c r="Q943" s="12"/>
      <c r="R943" s="12"/>
      <c r="S943" s="12"/>
      <c r="T943" s="12"/>
      <c r="U943" s="12"/>
      <c r="W943" s="12"/>
      <c r="X943" s="12"/>
      <c r="Y943" s="12"/>
      <c r="Z943" s="12"/>
      <c r="AA943" s="12"/>
    </row>
    <row r="944" spans="1:27">
      <c r="A944" s="12"/>
      <c r="B944" s="12"/>
      <c r="C944" s="12"/>
      <c r="D944" s="12"/>
      <c r="E944" s="12"/>
      <c r="F944" s="12"/>
      <c r="G944" s="12"/>
      <c r="H944" s="12"/>
      <c r="I944" s="12"/>
      <c r="J944" s="12"/>
      <c r="K944" s="12"/>
      <c r="L944" s="12"/>
      <c r="M944" s="12"/>
      <c r="N944" s="12"/>
      <c r="O944" s="12"/>
      <c r="P944" s="12"/>
      <c r="Q944" s="12"/>
      <c r="R944" s="12"/>
      <c r="S944" s="12"/>
      <c r="T944" s="12"/>
      <c r="U944" s="12"/>
      <c r="W944" s="12"/>
      <c r="X944" s="12"/>
      <c r="Y944" s="12"/>
      <c r="Z944" s="12"/>
      <c r="AA944" s="12"/>
    </row>
    <row r="945" spans="1:27">
      <c r="A945" s="12"/>
      <c r="B945" s="12"/>
      <c r="C945" s="12"/>
      <c r="D945" s="12"/>
      <c r="E945" s="12"/>
      <c r="F945" s="12"/>
      <c r="G945" s="12"/>
      <c r="H945" s="12"/>
      <c r="I945" s="12"/>
      <c r="J945" s="12"/>
      <c r="K945" s="12"/>
      <c r="L945" s="12"/>
      <c r="M945" s="12"/>
      <c r="N945" s="12"/>
      <c r="O945" s="12"/>
      <c r="P945" s="12"/>
      <c r="Q945" s="12"/>
      <c r="R945" s="12"/>
      <c r="S945" s="12"/>
      <c r="T945" s="12"/>
      <c r="U945" s="12"/>
      <c r="W945" s="12"/>
      <c r="X945" s="12"/>
      <c r="Y945" s="12"/>
      <c r="Z945" s="12"/>
      <c r="AA945" s="12"/>
    </row>
    <row r="946" spans="1:27">
      <c r="A946" s="12"/>
      <c r="B946" s="12"/>
      <c r="C946" s="12"/>
      <c r="D946" s="12"/>
      <c r="E946" s="12"/>
      <c r="F946" s="12"/>
      <c r="G946" s="12"/>
      <c r="H946" s="12"/>
      <c r="I946" s="12"/>
      <c r="J946" s="12"/>
      <c r="K946" s="12"/>
      <c r="L946" s="12"/>
      <c r="M946" s="12"/>
      <c r="N946" s="12"/>
      <c r="O946" s="12"/>
      <c r="P946" s="12"/>
      <c r="Q946" s="12"/>
      <c r="R946" s="12"/>
      <c r="S946" s="12"/>
      <c r="T946" s="12"/>
      <c r="U946" s="12"/>
      <c r="W946" s="12"/>
      <c r="X946" s="12"/>
      <c r="Y946" s="12"/>
      <c r="Z946" s="12"/>
      <c r="AA946" s="12"/>
    </row>
    <row r="947" spans="1:27">
      <c r="A947" s="12"/>
      <c r="B947" s="12"/>
      <c r="C947" s="12"/>
      <c r="D947" s="12"/>
      <c r="E947" s="12"/>
      <c r="F947" s="12"/>
      <c r="G947" s="12"/>
      <c r="H947" s="12"/>
      <c r="I947" s="12"/>
      <c r="J947" s="12"/>
      <c r="K947" s="12"/>
      <c r="L947" s="12"/>
      <c r="M947" s="12"/>
      <c r="N947" s="12"/>
      <c r="O947" s="12"/>
      <c r="P947" s="12"/>
      <c r="Q947" s="12"/>
      <c r="R947" s="12"/>
      <c r="S947" s="12"/>
      <c r="T947" s="12"/>
      <c r="U947" s="12"/>
      <c r="W947" s="12"/>
      <c r="X947" s="12"/>
      <c r="Y947" s="12"/>
      <c r="Z947" s="12"/>
      <c r="AA947" s="12"/>
    </row>
    <row r="948" spans="1:27">
      <c r="A948" s="12"/>
      <c r="B948" s="12"/>
      <c r="C948" s="12"/>
      <c r="D948" s="12"/>
      <c r="E948" s="12"/>
      <c r="F948" s="12"/>
      <c r="G948" s="12"/>
      <c r="H948" s="12"/>
      <c r="I948" s="12"/>
      <c r="J948" s="12"/>
      <c r="K948" s="12"/>
      <c r="L948" s="12"/>
      <c r="M948" s="12"/>
      <c r="N948" s="12"/>
      <c r="O948" s="12"/>
      <c r="P948" s="12"/>
      <c r="Q948" s="12"/>
      <c r="R948" s="12"/>
      <c r="S948" s="12"/>
      <c r="T948" s="12"/>
      <c r="U948" s="12"/>
      <c r="W948" s="12"/>
      <c r="X948" s="12"/>
      <c r="Y948" s="12"/>
      <c r="Z948" s="12"/>
      <c r="AA948" s="12"/>
    </row>
    <row r="949" spans="1:27">
      <c r="A949" s="12"/>
      <c r="B949" s="12"/>
      <c r="C949" s="12"/>
      <c r="D949" s="12"/>
      <c r="E949" s="12"/>
      <c r="F949" s="12"/>
      <c r="G949" s="12"/>
      <c r="H949" s="12"/>
      <c r="I949" s="12"/>
      <c r="J949" s="12"/>
      <c r="K949" s="12"/>
      <c r="L949" s="12"/>
      <c r="M949" s="12"/>
      <c r="N949" s="12"/>
      <c r="O949" s="12"/>
      <c r="P949" s="12"/>
      <c r="Q949" s="12"/>
      <c r="R949" s="12"/>
      <c r="S949" s="12"/>
      <c r="T949" s="12"/>
      <c r="U949" s="12"/>
      <c r="W949" s="12"/>
      <c r="X949" s="12"/>
      <c r="Y949" s="12"/>
      <c r="Z949" s="12"/>
      <c r="AA949" s="12"/>
    </row>
    <row r="950" spans="1:27">
      <c r="A950" s="12"/>
      <c r="B950" s="12"/>
      <c r="C950" s="12"/>
      <c r="D950" s="12"/>
      <c r="E950" s="12"/>
      <c r="F950" s="12"/>
      <c r="G950" s="12"/>
      <c r="H950" s="12"/>
      <c r="I950" s="12"/>
      <c r="J950" s="12"/>
      <c r="K950" s="12"/>
      <c r="L950" s="12"/>
      <c r="M950" s="12"/>
      <c r="N950" s="12"/>
      <c r="O950" s="12"/>
      <c r="P950" s="12"/>
      <c r="Q950" s="12"/>
      <c r="R950" s="12"/>
      <c r="S950" s="12"/>
      <c r="T950" s="12"/>
      <c r="U950" s="12"/>
      <c r="W950" s="12"/>
      <c r="X950" s="12"/>
      <c r="Y950" s="12"/>
      <c r="Z950" s="12"/>
      <c r="AA950" s="12"/>
    </row>
    <row r="951" spans="1:27">
      <c r="A951" s="12"/>
      <c r="B951" s="12"/>
      <c r="C951" s="12"/>
      <c r="D951" s="12"/>
      <c r="E951" s="12"/>
      <c r="F951" s="12"/>
      <c r="G951" s="12"/>
      <c r="H951" s="12"/>
      <c r="I951" s="12"/>
      <c r="J951" s="12"/>
      <c r="K951" s="12"/>
      <c r="L951" s="12"/>
      <c r="M951" s="12"/>
      <c r="N951" s="12"/>
      <c r="O951" s="12"/>
      <c r="P951" s="12"/>
      <c r="Q951" s="12"/>
      <c r="R951" s="12"/>
      <c r="S951" s="12"/>
      <c r="T951" s="12"/>
      <c r="U951" s="12"/>
      <c r="W951" s="12"/>
      <c r="X951" s="12"/>
      <c r="Y951" s="12"/>
      <c r="Z951" s="12"/>
      <c r="AA951" s="12"/>
    </row>
    <row r="952" spans="1:27">
      <c r="A952" s="12"/>
      <c r="B952" s="12"/>
      <c r="C952" s="12"/>
      <c r="D952" s="12"/>
      <c r="E952" s="12"/>
      <c r="F952" s="12"/>
      <c r="G952" s="12"/>
      <c r="H952" s="12"/>
      <c r="I952" s="12"/>
      <c r="J952" s="12"/>
      <c r="K952" s="12"/>
      <c r="L952" s="12"/>
      <c r="M952" s="12"/>
      <c r="N952" s="12"/>
      <c r="O952" s="12"/>
      <c r="P952" s="12"/>
      <c r="Q952" s="12"/>
      <c r="R952" s="12"/>
      <c r="S952" s="12"/>
      <c r="T952" s="12"/>
      <c r="U952" s="12"/>
      <c r="W952" s="12"/>
      <c r="X952" s="12"/>
      <c r="Y952" s="12"/>
      <c r="Z952" s="12"/>
      <c r="AA952" s="12"/>
    </row>
    <row r="953" spans="1:27">
      <c r="A953" s="12"/>
      <c r="B953" s="12"/>
      <c r="C953" s="12"/>
      <c r="D953" s="12"/>
      <c r="E953" s="12"/>
      <c r="F953" s="12"/>
      <c r="G953" s="12"/>
      <c r="H953" s="12"/>
      <c r="I953" s="12"/>
      <c r="J953" s="12"/>
      <c r="K953" s="12"/>
      <c r="L953" s="12"/>
      <c r="M953" s="12"/>
      <c r="N953" s="12"/>
      <c r="O953" s="12"/>
      <c r="P953" s="12"/>
      <c r="Q953" s="12"/>
      <c r="R953" s="12"/>
      <c r="S953" s="12"/>
      <c r="T953" s="12"/>
      <c r="U953" s="12"/>
      <c r="W953" s="12"/>
      <c r="X953" s="12"/>
      <c r="Y953" s="12"/>
      <c r="Z953" s="12"/>
      <c r="AA953" s="12"/>
    </row>
    <row r="954" spans="1:27">
      <c r="A954" s="12"/>
      <c r="B954" s="12"/>
      <c r="C954" s="12"/>
      <c r="D954" s="12"/>
      <c r="E954" s="12"/>
      <c r="F954" s="12"/>
      <c r="G954" s="12"/>
      <c r="H954" s="12"/>
      <c r="I954" s="12"/>
      <c r="J954" s="12"/>
      <c r="K954" s="12"/>
      <c r="L954" s="12"/>
      <c r="M954" s="12"/>
      <c r="N954" s="12"/>
      <c r="O954" s="12"/>
      <c r="P954" s="12"/>
      <c r="Q954" s="12"/>
      <c r="R954" s="12"/>
      <c r="S954" s="12"/>
      <c r="T954" s="12"/>
      <c r="U954" s="12"/>
      <c r="W954" s="12"/>
      <c r="X954" s="12"/>
      <c r="Y954" s="12"/>
      <c r="Z954" s="12"/>
      <c r="AA954" s="12"/>
    </row>
    <row r="955" spans="1:27">
      <c r="A955" s="12"/>
      <c r="B955" s="12"/>
      <c r="C955" s="12"/>
      <c r="D955" s="12"/>
      <c r="E955" s="12"/>
      <c r="F955" s="12"/>
      <c r="G955" s="12"/>
      <c r="H955" s="12"/>
      <c r="I955" s="12"/>
      <c r="J955" s="12"/>
      <c r="K955" s="12"/>
      <c r="L955" s="12"/>
      <c r="M955" s="12"/>
      <c r="N955" s="12"/>
      <c r="O955" s="12"/>
      <c r="P955" s="12"/>
      <c r="Q955" s="12"/>
      <c r="R955" s="12"/>
      <c r="S955" s="12"/>
      <c r="T955" s="12"/>
      <c r="U955" s="12"/>
      <c r="W955" s="12"/>
      <c r="X955" s="12"/>
      <c r="Y955" s="12"/>
      <c r="Z955" s="12"/>
      <c r="AA955" s="12"/>
    </row>
    <row r="956" spans="1:27">
      <c r="A956" s="12"/>
      <c r="B956" s="12"/>
      <c r="C956" s="12"/>
      <c r="D956" s="12"/>
      <c r="E956" s="12"/>
      <c r="F956" s="12"/>
      <c r="G956" s="12"/>
      <c r="H956" s="12"/>
      <c r="I956" s="12"/>
      <c r="J956" s="12"/>
      <c r="K956" s="12"/>
      <c r="L956" s="12"/>
      <c r="M956" s="12"/>
      <c r="N956" s="12"/>
      <c r="O956" s="12"/>
      <c r="P956" s="12"/>
      <c r="Q956" s="12"/>
      <c r="R956" s="12"/>
      <c r="S956" s="12"/>
      <c r="T956" s="12"/>
      <c r="U956" s="12"/>
      <c r="W956" s="12"/>
      <c r="X956" s="12"/>
      <c r="Y956" s="12"/>
      <c r="Z956" s="12"/>
      <c r="AA956" s="12"/>
    </row>
    <row r="957" spans="1:27">
      <c r="A957" s="12"/>
      <c r="B957" s="12"/>
      <c r="C957" s="12"/>
      <c r="D957" s="12"/>
      <c r="E957" s="12"/>
      <c r="F957" s="12"/>
      <c r="G957" s="12"/>
      <c r="H957" s="12"/>
      <c r="I957" s="12"/>
      <c r="J957" s="12"/>
      <c r="K957" s="12"/>
      <c r="L957" s="12"/>
      <c r="M957" s="12"/>
      <c r="N957" s="12"/>
      <c r="O957" s="12"/>
      <c r="P957" s="12"/>
      <c r="Q957" s="12"/>
      <c r="R957" s="12"/>
      <c r="S957" s="12"/>
      <c r="T957" s="12"/>
      <c r="U957" s="12"/>
      <c r="W957" s="12"/>
      <c r="X957" s="12"/>
      <c r="Y957" s="12"/>
      <c r="Z957" s="12"/>
      <c r="AA957" s="12"/>
    </row>
    <row r="958" spans="1:27">
      <c r="A958" s="12"/>
      <c r="B958" s="12"/>
      <c r="C958" s="12"/>
      <c r="D958" s="12"/>
      <c r="E958" s="12"/>
      <c r="F958" s="12"/>
      <c r="G958" s="12"/>
      <c r="H958" s="12"/>
      <c r="I958" s="12"/>
      <c r="J958" s="12"/>
      <c r="K958" s="12"/>
      <c r="L958" s="12"/>
      <c r="M958" s="12"/>
      <c r="N958" s="12"/>
      <c r="O958" s="12"/>
      <c r="P958" s="12"/>
      <c r="Q958" s="12"/>
      <c r="R958" s="12"/>
      <c r="S958" s="12"/>
      <c r="T958" s="12"/>
      <c r="U958" s="12"/>
      <c r="W958" s="12"/>
      <c r="X958" s="12"/>
      <c r="Y958" s="12"/>
      <c r="Z958" s="12"/>
      <c r="AA958" s="12"/>
    </row>
    <row r="959" spans="1:27">
      <c r="A959" s="12"/>
      <c r="B959" s="12"/>
      <c r="C959" s="12"/>
      <c r="D959" s="12"/>
      <c r="E959" s="12"/>
      <c r="F959" s="12"/>
      <c r="G959" s="12"/>
      <c r="H959" s="12"/>
      <c r="I959" s="12"/>
      <c r="J959" s="12"/>
      <c r="K959" s="12"/>
      <c r="L959" s="12"/>
      <c r="M959" s="12"/>
      <c r="N959" s="12"/>
      <c r="O959" s="12"/>
      <c r="P959" s="12"/>
      <c r="Q959" s="12"/>
      <c r="R959" s="12"/>
      <c r="S959" s="12"/>
      <c r="T959" s="12"/>
      <c r="U959" s="12"/>
      <c r="W959" s="12"/>
      <c r="X959" s="12"/>
      <c r="Y959" s="12"/>
      <c r="Z959" s="12"/>
      <c r="AA959" s="12"/>
    </row>
    <row r="960" spans="1:27">
      <c r="A960" s="12"/>
      <c r="B960" s="12"/>
      <c r="C960" s="12"/>
      <c r="D960" s="12"/>
      <c r="E960" s="12"/>
      <c r="F960" s="12"/>
      <c r="G960" s="12"/>
      <c r="H960" s="12"/>
      <c r="I960" s="12"/>
      <c r="J960" s="12"/>
      <c r="K960" s="12"/>
      <c r="L960" s="12"/>
      <c r="M960" s="12"/>
      <c r="N960" s="12"/>
      <c r="O960" s="12"/>
      <c r="P960" s="12"/>
      <c r="Q960" s="12"/>
      <c r="R960" s="12"/>
      <c r="S960" s="12"/>
      <c r="T960" s="12"/>
      <c r="U960" s="12"/>
      <c r="W960" s="12"/>
      <c r="X960" s="12"/>
      <c r="Y960" s="12"/>
      <c r="Z960" s="12"/>
      <c r="AA960" s="12"/>
    </row>
    <row r="961" spans="1:27">
      <c r="A961" s="12"/>
      <c r="B961" s="12"/>
      <c r="C961" s="12"/>
      <c r="D961" s="12"/>
      <c r="E961" s="12"/>
      <c r="F961" s="12"/>
      <c r="G961" s="12"/>
      <c r="H961" s="12"/>
      <c r="I961" s="12"/>
      <c r="J961" s="12"/>
      <c r="K961" s="12"/>
      <c r="L961" s="12"/>
      <c r="M961" s="12"/>
      <c r="N961" s="12"/>
      <c r="O961" s="12"/>
      <c r="P961" s="12"/>
      <c r="Q961" s="12"/>
      <c r="R961" s="12"/>
      <c r="S961" s="12"/>
      <c r="T961" s="12"/>
      <c r="U961" s="12"/>
      <c r="W961" s="12"/>
      <c r="X961" s="12"/>
      <c r="Y961" s="12"/>
      <c r="Z961" s="12"/>
      <c r="AA961" s="12"/>
    </row>
    <row r="962" spans="1:27">
      <c r="A962" s="12"/>
      <c r="B962" s="12"/>
      <c r="C962" s="12"/>
      <c r="D962" s="12"/>
      <c r="E962" s="12"/>
      <c r="F962" s="12"/>
      <c r="G962" s="12"/>
      <c r="H962" s="12"/>
      <c r="I962" s="12"/>
      <c r="J962" s="12"/>
      <c r="K962" s="12"/>
      <c r="L962" s="12"/>
      <c r="M962" s="12"/>
      <c r="N962" s="12"/>
      <c r="O962" s="12"/>
      <c r="P962" s="12"/>
      <c r="Q962" s="12"/>
      <c r="R962" s="12"/>
      <c r="S962" s="12"/>
      <c r="T962" s="12"/>
      <c r="U962" s="12"/>
      <c r="W962" s="12"/>
      <c r="X962" s="12"/>
      <c r="Y962" s="12"/>
      <c r="Z962" s="12"/>
      <c r="AA962" s="12"/>
    </row>
    <row r="963" spans="1:27">
      <c r="A963" s="12"/>
      <c r="B963" s="12"/>
      <c r="C963" s="12"/>
      <c r="D963" s="12"/>
      <c r="E963" s="12"/>
      <c r="F963" s="12"/>
      <c r="G963" s="12"/>
      <c r="H963" s="12"/>
      <c r="I963" s="12"/>
      <c r="J963" s="12"/>
      <c r="K963" s="12"/>
      <c r="L963" s="12"/>
      <c r="M963" s="12"/>
      <c r="N963" s="12"/>
      <c r="O963" s="12"/>
      <c r="P963" s="12"/>
      <c r="Q963" s="12"/>
      <c r="R963" s="12"/>
      <c r="S963" s="12"/>
      <c r="T963" s="12"/>
      <c r="U963" s="12"/>
      <c r="W963" s="12"/>
      <c r="X963" s="12"/>
      <c r="Y963" s="12"/>
      <c r="Z963" s="12"/>
      <c r="AA963" s="12"/>
    </row>
    <row r="964" spans="1:27">
      <c r="A964" s="12"/>
      <c r="B964" s="12"/>
      <c r="C964" s="12"/>
      <c r="D964" s="12"/>
      <c r="E964" s="12"/>
      <c r="F964" s="12"/>
      <c r="G964" s="12"/>
      <c r="H964" s="12"/>
      <c r="I964" s="12"/>
      <c r="J964" s="12"/>
      <c r="K964" s="12"/>
      <c r="L964" s="12"/>
      <c r="M964" s="12"/>
      <c r="N964" s="12"/>
      <c r="O964" s="12"/>
      <c r="P964" s="12"/>
      <c r="Q964" s="12"/>
      <c r="R964" s="12"/>
      <c r="S964" s="12"/>
      <c r="T964" s="12"/>
      <c r="U964" s="12"/>
      <c r="W964" s="12"/>
      <c r="X964" s="12"/>
      <c r="Y964" s="12"/>
      <c r="Z964" s="12"/>
      <c r="AA964" s="12"/>
    </row>
    <row r="965" spans="1:27">
      <c r="A965" s="12"/>
      <c r="B965" s="12"/>
      <c r="C965" s="12"/>
      <c r="D965" s="12"/>
      <c r="E965" s="12"/>
      <c r="F965" s="12"/>
      <c r="G965" s="12"/>
      <c r="H965" s="12"/>
      <c r="I965" s="12"/>
      <c r="J965" s="12"/>
      <c r="K965" s="12"/>
      <c r="L965" s="12"/>
      <c r="M965" s="12"/>
      <c r="N965" s="12"/>
      <c r="O965" s="12"/>
      <c r="P965" s="12"/>
      <c r="Q965" s="12"/>
      <c r="R965" s="12"/>
      <c r="S965" s="12"/>
      <c r="T965" s="12"/>
      <c r="U965" s="12"/>
      <c r="W965" s="12"/>
      <c r="X965" s="12"/>
      <c r="Y965" s="12"/>
      <c r="Z965" s="12"/>
      <c r="AA965" s="12"/>
    </row>
    <row r="966" spans="1:27">
      <c r="A966" s="12"/>
      <c r="B966" s="12"/>
      <c r="C966" s="12"/>
      <c r="D966" s="12"/>
      <c r="E966" s="12"/>
      <c r="F966" s="12"/>
      <c r="G966" s="12"/>
      <c r="H966" s="12"/>
      <c r="I966" s="12"/>
      <c r="J966" s="12"/>
      <c r="K966" s="12"/>
      <c r="L966" s="12"/>
      <c r="M966" s="12"/>
      <c r="N966" s="12"/>
      <c r="O966" s="12"/>
      <c r="P966" s="12"/>
      <c r="Q966" s="12"/>
      <c r="R966" s="12"/>
      <c r="S966" s="12"/>
      <c r="T966" s="12"/>
      <c r="U966" s="12"/>
      <c r="W966" s="12"/>
      <c r="X966" s="12"/>
      <c r="Y966" s="12"/>
      <c r="Z966" s="12"/>
      <c r="AA966" s="12"/>
    </row>
    <row r="967" spans="1:27">
      <c r="A967" s="12"/>
      <c r="B967" s="12"/>
      <c r="C967" s="12"/>
      <c r="D967" s="12"/>
      <c r="E967" s="12"/>
      <c r="F967" s="12"/>
      <c r="G967" s="12"/>
      <c r="H967" s="12"/>
      <c r="I967" s="12"/>
      <c r="J967" s="12"/>
      <c r="K967" s="12"/>
      <c r="L967" s="12"/>
      <c r="M967" s="12"/>
      <c r="N967" s="12"/>
      <c r="O967" s="12"/>
      <c r="P967" s="12"/>
      <c r="Q967" s="12"/>
      <c r="R967" s="12"/>
      <c r="S967" s="12"/>
      <c r="T967" s="12"/>
      <c r="U967" s="12"/>
      <c r="W967" s="12"/>
      <c r="X967" s="12"/>
      <c r="Y967" s="12"/>
      <c r="Z967" s="12"/>
      <c r="AA967" s="12"/>
    </row>
    <row r="968" spans="1:27">
      <c r="A968" s="12"/>
      <c r="B968" s="12"/>
      <c r="C968" s="12"/>
      <c r="D968" s="12"/>
      <c r="E968" s="12"/>
      <c r="F968" s="12"/>
      <c r="G968" s="12"/>
      <c r="H968" s="12"/>
      <c r="I968" s="12"/>
      <c r="J968" s="12"/>
      <c r="K968" s="12"/>
      <c r="L968" s="12"/>
      <c r="M968" s="12"/>
      <c r="N968" s="12"/>
      <c r="O968" s="12"/>
      <c r="P968" s="12"/>
      <c r="Q968" s="12"/>
      <c r="R968" s="12"/>
      <c r="S968" s="12"/>
      <c r="T968" s="12"/>
      <c r="U968" s="12"/>
      <c r="W968" s="12"/>
      <c r="X968" s="12"/>
      <c r="Y968" s="12"/>
      <c r="Z968" s="12"/>
      <c r="AA968" s="12"/>
    </row>
    <row r="969" spans="1:27">
      <c r="A969" s="12"/>
      <c r="B969" s="12"/>
      <c r="C969" s="12"/>
      <c r="D969" s="12"/>
      <c r="E969" s="12"/>
      <c r="F969" s="12"/>
      <c r="G969" s="12"/>
      <c r="H969" s="12"/>
      <c r="I969" s="12"/>
      <c r="J969" s="12"/>
      <c r="K969" s="12"/>
      <c r="L969" s="12"/>
      <c r="M969" s="12"/>
      <c r="N969" s="12"/>
      <c r="O969" s="12"/>
      <c r="P969" s="12"/>
      <c r="Q969" s="12"/>
      <c r="R969" s="12"/>
      <c r="S969" s="12"/>
      <c r="T969" s="12"/>
      <c r="U969" s="12"/>
      <c r="W969" s="12"/>
      <c r="X969" s="12"/>
      <c r="Y969" s="12"/>
      <c r="Z969" s="12"/>
      <c r="AA969" s="12"/>
    </row>
    <row r="970" spans="1:27">
      <c r="A970" s="12"/>
      <c r="B970" s="12"/>
      <c r="C970" s="12"/>
      <c r="D970" s="12"/>
      <c r="E970" s="12"/>
      <c r="F970" s="12"/>
      <c r="G970" s="12"/>
      <c r="H970" s="12"/>
      <c r="I970" s="12"/>
      <c r="J970" s="12"/>
      <c r="K970" s="12"/>
      <c r="L970" s="12"/>
      <c r="M970" s="12"/>
      <c r="N970" s="12"/>
      <c r="O970" s="12"/>
      <c r="P970" s="12"/>
      <c r="Q970" s="12"/>
      <c r="R970" s="12"/>
      <c r="S970" s="12"/>
      <c r="T970" s="12"/>
      <c r="U970" s="12"/>
      <c r="W970" s="12"/>
      <c r="X970" s="12"/>
      <c r="Y970" s="12"/>
      <c r="Z970" s="12"/>
      <c r="AA970" s="12"/>
    </row>
    <row r="971" spans="1:27">
      <c r="A971" s="12"/>
      <c r="B971" s="12"/>
      <c r="C971" s="12"/>
      <c r="D971" s="12"/>
      <c r="E971" s="12"/>
      <c r="F971" s="12"/>
      <c r="G971" s="12"/>
      <c r="H971" s="12"/>
      <c r="I971" s="12"/>
      <c r="J971" s="12"/>
      <c r="K971" s="12"/>
      <c r="L971" s="12"/>
      <c r="M971" s="12"/>
      <c r="N971" s="12"/>
      <c r="O971" s="12"/>
      <c r="P971" s="12"/>
      <c r="Q971" s="12"/>
      <c r="R971" s="12"/>
      <c r="S971" s="12"/>
      <c r="T971" s="12"/>
      <c r="U971" s="12"/>
      <c r="W971" s="12"/>
      <c r="X971" s="12"/>
      <c r="Y971" s="12"/>
      <c r="Z971" s="12"/>
      <c r="AA971" s="12"/>
    </row>
    <row r="972" spans="1:27">
      <c r="A972" s="12"/>
      <c r="B972" s="12"/>
      <c r="C972" s="12"/>
      <c r="D972" s="12"/>
      <c r="E972" s="12"/>
      <c r="F972" s="12"/>
      <c r="G972" s="12"/>
      <c r="H972" s="12"/>
      <c r="I972" s="12"/>
      <c r="J972" s="12"/>
      <c r="K972" s="12"/>
      <c r="L972" s="12"/>
      <c r="M972" s="12"/>
      <c r="N972" s="12"/>
      <c r="O972" s="12"/>
      <c r="P972" s="12"/>
      <c r="Q972" s="12"/>
      <c r="R972" s="12"/>
      <c r="S972" s="12"/>
      <c r="T972" s="12"/>
      <c r="U972" s="12"/>
      <c r="W972" s="12"/>
      <c r="X972" s="12"/>
      <c r="Y972" s="12"/>
      <c r="Z972" s="12"/>
      <c r="AA972" s="12"/>
    </row>
    <row r="973" spans="1:27">
      <c r="A973" s="12"/>
      <c r="B973" s="12"/>
      <c r="C973" s="12"/>
      <c r="D973" s="12"/>
      <c r="E973" s="12"/>
      <c r="F973" s="12"/>
      <c r="G973" s="12"/>
      <c r="H973" s="12"/>
      <c r="I973" s="12"/>
      <c r="J973" s="12"/>
      <c r="K973" s="12"/>
      <c r="L973" s="12"/>
      <c r="M973" s="12"/>
      <c r="N973" s="12"/>
      <c r="O973" s="12"/>
      <c r="P973" s="12"/>
      <c r="Q973" s="12"/>
      <c r="R973" s="12"/>
      <c r="S973" s="12"/>
      <c r="T973" s="12"/>
      <c r="U973" s="12"/>
      <c r="W973" s="12"/>
      <c r="X973" s="12"/>
      <c r="Y973" s="12"/>
      <c r="Z973" s="12"/>
      <c r="AA973" s="12"/>
    </row>
    <row r="974" spans="1:27">
      <c r="A974" s="12"/>
      <c r="B974" s="12"/>
      <c r="C974" s="12"/>
      <c r="D974" s="12"/>
      <c r="E974" s="12"/>
      <c r="F974" s="12"/>
      <c r="G974" s="12"/>
      <c r="H974" s="12"/>
      <c r="I974" s="12"/>
      <c r="J974" s="12"/>
      <c r="K974" s="12"/>
      <c r="L974" s="12"/>
      <c r="M974" s="12"/>
      <c r="N974" s="12"/>
      <c r="O974" s="12"/>
      <c r="P974" s="12"/>
      <c r="Q974" s="12"/>
      <c r="R974" s="12"/>
      <c r="S974" s="12"/>
      <c r="T974" s="12"/>
      <c r="U974" s="12"/>
      <c r="W974" s="12"/>
      <c r="X974" s="12"/>
      <c r="Y974" s="12"/>
      <c r="Z974" s="12"/>
      <c r="AA974" s="12"/>
    </row>
    <row r="975" spans="1:27">
      <c r="A975" s="12"/>
      <c r="B975" s="12"/>
      <c r="C975" s="12"/>
      <c r="D975" s="12"/>
      <c r="E975" s="12"/>
      <c r="F975" s="12"/>
      <c r="G975" s="12"/>
      <c r="H975" s="12"/>
      <c r="I975" s="12"/>
      <c r="J975" s="12"/>
      <c r="K975" s="12"/>
      <c r="L975" s="12"/>
      <c r="M975" s="12"/>
      <c r="N975" s="12"/>
      <c r="O975" s="12"/>
      <c r="P975" s="12"/>
      <c r="Q975" s="12"/>
      <c r="R975" s="12"/>
      <c r="S975" s="12"/>
      <c r="T975" s="12"/>
      <c r="U975" s="12"/>
      <c r="W975" s="12"/>
      <c r="X975" s="12"/>
      <c r="Y975" s="12"/>
      <c r="Z975" s="12"/>
      <c r="AA975" s="12"/>
    </row>
    <row r="976" spans="1:27">
      <c r="A976" s="12"/>
      <c r="B976" s="12"/>
      <c r="C976" s="12"/>
      <c r="D976" s="12"/>
      <c r="E976" s="12"/>
      <c r="F976" s="12"/>
      <c r="G976" s="12"/>
      <c r="H976" s="12"/>
      <c r="I976" s="12"/>
      <c r="J976" s="12"/>
      <c r="K976" s="12"/>
      <c r="L976" s="12"/>
      <c r="M976" s="12"/>
      <c r="N976" s="12"/>
      <c r="O976" s="12"/>
      <c r="P976" s="12"/>
      <c r="Q976" s="12"/>
      <c r="R976" s="12"/>
      <c r="S976" s="12"/>
      <c r="T976" s="12"/>
      <c r="U976" s="12"/>
      <c r="W976" s="12"/>
      <c r="X976" s="12"/>
      <c r="Y976" s="12"/>
      <c r="Z976" s="12"/>
      <c r="AA976" s="12"/>
    </row>
    <row r="977" spans="1:27">
      <c r="A977" s="12"/>
      <c r="B977" s="12"/>
      <c r="C977" s="12"/>
      <c r="D977" s="12"/>
      <c r="E977" s="12"/>
      <c r="F977" s="12"/>
      <c r="G977" s="12"/>
      <c r="H977" s="12"/>
      <c r="I977" s="12"/>
      <c r="J977" s="12"/>
      <c r="K977" s="12"/>
      <c r="L977" s="12"/>
      <c r="M977" s="12"/>
      <c r="N977" s="12"/>
      <c r="O977" s="12"/>
      <c r="P977" s="12"/>
      <c r="Q977" s="12"/>
      <c r="R977" s="12"/>
      <c r="S977" s="12"/>
      <c r="T977" s="12"/>
      <c r="U977" s="12"/>
      <c r="W977" s="12"/>
      <c r="X977" s="12"/>
      <c r="Y977" s="12"/>
      <c r="Z977" s="12"/>
      <c r="AA977" s="12"/>
    </row>
    <row r="978" spans="1:27">
      <c r="A978" s="12"/>
      <c r="B978" s="12"/>
      <c r="C978" s="12"/>
      <c r="D978" s="12"/>
      <c r="E978" s="12"/>
      <c r="F978" s="12"/>
      <c r="G978" s="12"/>
      <c r="H978" s="12"/>
      <c r="I978" s="12"/>
      <c r="J978" s="12"/>
      <c r="K978" s="12"/>
      <c r="L978" s="12"/>
      <c r="M978" s="12"/>
      <c r="N978" s="12"/>
      <c r="O978" s="12"/>
      <c r="P978" s="12"/>
      <c r="Q978" s="12"/>
      <c r="R978" s="12"/>
      <c r="S978" s="12"/>
      <c r="T978" s="12"/>
      <c r="U978" s="12"/>
      <c r="W978" s="12"/>
      <c r="X978" s="12"/>
      <c r="Y978" s="12"/>
      <c r="Z978" s="12"/>
      <c r="AA978" s="12"/>
    </row>
    <row r="979" spans="1:27">
      <c r="A979" s="12"/>
      <c r="B979" s="12"/>
      <c r="C979" s="12"/>
      <c r="D979" s="12"/>
      <c r="E979" s="12"/>
      <c r="F979" s="12"/>
      <c r="G979" s="12"/>
      <c r="H979" s="12"/>
      <c r="I979" s="12"/>
      <c r="J979" s="12"/>
      <c r="K979" s="12"/>
      <c r="L979" s="12"/>
      <c r="M979" s="12"/>
      <c r="N979" s="12"/>
      <c r="O979" s="12"/>
      <c r="P979" s="12"/>
      <c r="Q979" s="12"/>
      <c r="R979" s="12"/>
      <c r="S979" s="12"/>
      <c r="T979" s="12"/>
      <c r="U979" s="12"/>
      <c r="W979" s="12"/>
      <c r="X979" s="12"/>
      <c r="Y979" s="12"/>
      <c r="Z979" s="12"/>
      <c r="AA979" s="12"/>
    </row>
    <row r="980" spans="1:27">
      <c r="A980" s="12"/>
      <c r="B980" s="12"/>
      <c r="C980" s="12"/>
      <c r="D980" s="12"/>
      <c r="E980" s="12"/>
      <c r="F980" s="12"/>
      <c r="G980" s="12"/>
      <c r="H980" s="12"/>
      <c r="I980" s="12"/>
      <c r="J980" s="12"/>
      <c r="K980" s="12"/>
      <c r="L980" s="12"/>
      <c r="M980" s="12"/>
      <c r="N980" s="12"/>
      <c r="O980" s="12"/>
      <c r="P980" s="12"/>
      <c r="Q980" s="12"/>
      <c r="R980" s="12"/>
      <c r="S980" s="12"/>
      <c r="T980" s="12"/>
      <c r="U980" s="12"/>
      <c r="W980" s="12"/>
      <c r="X980" s="12"/>
      <c r="Y980" s="12"/>
      <c r="Z980" s="12"/>
      <c r="AA980" s="12"/>
    </row>
    <row r="981" spans="1:27">
      <c r="A981" s="12"/>
      <c r="B981" s="12"/>
      <c r="C981" s="12"/>
      <c r="D981" s="12"/>
      <c r="E981" s="12"/>
      <c r="F981" s="12"/>
      <c r="G981" s="12"/>
      <c r="H981" s="12"/>
      <c r="I981" s="12"/>
      <c r="J981" s="12"/>
      <c r="K981" s="12"/>
      <c r="L981" s="12"/>
      <c r="M981" s="12"/>
      <c r="N981" s="12"/>
      <c r="O981" s="12"/>
      <c r="P981" s="12"/>
      <c r="Q981" s="12"/>
      <c r="R981" s="12"/>
      <c r="S981" s="12"/>
      <c r="T981" s="12"/>
      <c r="U981" s="12"/>
      <c r="W981" s="12"/>
      <c r="X981" s="12"/>
      <c r="Y981" s="12"/>
      <c r="Z981" s="12"/>
      <c r="AA981" s="12"/>
    </row>
    <row r="982" spans="1:27">
      <c r="A982" s="12"/>
      <c r="B982" s="12"/>
      <c r="C982" s="12"/>
      <c r="D982" s="12"/>
      <c r="E982" s="12"/>
      <c r="F982" s="12"/>
      <c r="G982" s="12"/>
      <c r="H982" s="12"/>
      <c r="I982" s="12"/>
      <c r="J982" s="12"/>
      <c r="K982" s="12"/>
      <c r="L982" s="12"/>
      <c r="M982" s="12"/>
      <c r="N982" s="12"/>
      <c r="O982" s="12"/>
      <c r="P982" s="12"/>
      <c r="Q982" s="12"/>
      <c r="R982" s="12"/>
      <c r="S982" s="12"/>
      <c r="T982" s="12"/>
      <c r="U982" s="12"/>
      <c r="W982" s="12"/>
      <c r="X982" s="12"/>
      <c r="Y982" s="12"/>
      <c r="Z982" s="12"/>
      <c r="AA982" s="12"/>
    </row>
    <row r="983" spans="1:27">
      <c r="A983" s="12"/>
      <c r="B983" s="12"/>
      <c r="C983" s="12"/>
      <c r="D983" s="12"/>
      <c r="E983" s="12"/>
      <c r="F983" s="12"/>
      <c r="G983" s="12"/>
      <c r="H983" s="12"/>
      <c r="I983" s="12"/>
      <c r="J983" s="12"/>
      <c r="K983" s="12"/>
      <c r="L983" s="12"/>
      <c r="M983" s="12"/>
      <c r="N983" s="12"/>
      <c r="O983" s="12"/>
      <c r="P983" s="12"/>
      <c r="Q983" s="12"/>
      <c r="R983" s="12"/>
      <c r="S983" s="12"/>
      <c r="T983" s="12"/>
      <c r="U983" s="12"/>
      <c r="W983" s="12"/>
      <c r="X983" s="12"/>
      <c r="Y983" s="12"/>
      <c r="Z983" s="12"/>
      <c r="AA983" s="12"/>
    </row>
    <row r="984" spans="1:27">
      <c r="A984" s="12"/>
      <c r="B984" s="12"/>
      <c r="C984" s="12"/>
      <c r="D984" s="12"/>
      <c r="E984" s="12"/>
      <c r="F984" s="12"/>
      <c r="G984" s="12"/>
      <c r="H984" s="12"/>
      <c r="I984" s="12"/>
      <c r="J984" s="12"/>
      <c r="K984" s="12"/>
      <c r="L984" s="12"/>
      <c r="M984" s="12"/>
      <c r="N984" s="12"/>
      <c r="O984" s="12"/>
      <c r="P984" s="12"/>
      <c r="Q984" s="12"/>
      <c r="R984" s="12"/>
      <c r="S984" s="12"/>
      <c r="T984" s="12"/>
      <c r="U984" s="12"/>
      <c r="W984" s="12"/>
      <c r="X984" s="12"/>
      <c r="Y984" s="12"/>
      <c r="Z984" s="12"/>
      <c r="AA984" s="12"/>
    </row>
    <row r="985" spans="1:27">
      <c r="A985" s="12"/>
      <c r="B985" s="12"/>
      <c r="C985" s="12"/>
      <c r="D985" s="12"/>
      <c r="E985" s="12"/>
      <c r="F985" s="12"/>
      <c r="G985" s="12"/>
      <c r="H985" s="12"/>
      <c r="I985" s="12"/>
      <c r="J985" s="12"/>
      <c r="K985" s="12"/>
      <c r="L985" s="12"/>
      <c r="M985" s="12"/>
      <c r="N985" s="12"/>
      <c r="O985" s="12"/>
      <c r="P985" s="12"/>
      <c r="Q985" s="12"/>
      <c r="R985" s="12"/>
      <c r="S985" s="12"/>
      <c r="T985" s="12"/>
      <c r="U985" s="12"/>
      <c r="W985" s="12"/>
      <c r="X985" s="12"/>
      <c r="Y985" s="12"/>
      <c r="Z985" s="12"/>
      <c r="AA985" s="12"/>
    </row>
    <row r="986" spans="1:27">
      <c r="A986" s="12"/>
      <c r="B986" s="12"/>
      <c r="C986" s="12"/>
      <c r="D986" s="12"/>
      <c r="E986" s="12"/>
      <c r="F986" s="12"/>
      <c r="G986" s="12"/>
      <c r="H986" s="12"/>
      <c r="I986" s="12"/>
      <c r="J986" s="12"/>
      <c r="K986" s="12"/>
      <c r="L986" s="12"/>
      <c r="M986" s="12"/>
      <c r="N986" s="12"/>
      <c r="O986" s="12"/>
      <c r="P986" s="12"/>
      <c r="Q986" s="12"/>
      <c r="R986" s="12"/>
      <c r="S986" s="12"/>
      <c r="T986" s="12"/>
      <c r="U986" s="12"/>
      <c r="W986" s="12"/>
      <c r="X986" s="12"/>
      <c r="Y986" s="12"/>
      <c r="Z986" s="12"/>
      <c r="AA986" s="12"/>
    </row>
    <row r="987" spans="1:27">
      <c r="A987" s="12"/>
      <c r="B987" s="12"/>
      <c r="C987" s="12"/>
      <c r="D987" s="12"/>
      <c r="E987" s="12"/>
      <c r="F987" s="12"/>
      <c r="G987" s="12"/>
      <c r="H987" s="12"/>
      <c r="I987" s="12"/>
      <c r="J987" s="12"/>
      <c r="K987" s="12"/>
      <c r="L987" s="12"/>
      <c r="M987" s="12"/>
      <c r="N987" s="12"/>
      <c r="O987" s="12"/>
      <c r="P987" s="12"/>
      <c r="Q987" s="12"/>
      <c r="R987" s="12"/>
      <c r="S987" s="12"/>
      <c r="T987" s="12"/>
      <c r="U987" s="12"/>
      <c r="W987" s="12"/>
      <c r="X987" s="12"/>
      <c r="Y987" s="12"/>
      <c r="Z987" s="12"/>
      <c r="AA987" s="12"/>
    </row>
    <row r="988" spans="1:27">
      <c r="A988" s="12"/>
      <c r="B988" s="12"/>
      <c r="C988" s="12"/>
      <c r="D988" s="12"/>
      <c r="E988" s="12"/>
      <c r="F988" s="12"/>
      <c r="G988" s="12"/>
      <c r="H988" s="12"/>
      <c r="I988" s="12"/>
      <c r="J988" s="12"/>
      <c r="K988" s="12"/>
      <c r="L988" s="12"/>
      <c r="M988" s="12"/>
      <c r="N988" s="12"/>
      <c r="O988" s="12"/>
      <c r="P988" s="12"/>
      <c r="Q988" s="12"/>
      <c r="R988" s="12"/>
      <c r="S988" s="12"/>
      <c r="T988" s="12"/>
      <c r="U988" s="12"/>
      <c r="W988" s="12"/>
      <c r="X988" s="12"/>
      <c r="Y988" s="12"/>
      <c r="Z988" s="12"/>
      <c r="AA988" s="12"/>
    </row>
    <row r="989" spans="1:27">
      <c r="A989" s="12"/>
      <c r="B989" s="12"/>
      <c r="C989" s="12"/>
      <c r="D989" s="12"/>
      <c r="E989" s="12"/>
      <c r="F989" s="12"/>
      <c r="G989" s="12"/>
      <c r="H989" s="12"/>
      <c r="I989" s="12"/>
      <c r="J989" s="12"/>
      <c r="K989" s="12"/>
      <c r="L989" s="12"/>
      <c r="M989" s="12"/>
      <c r="N989" s="12"/>
      <c r="O989" s="12"/>
      <c r="P989" s="12"/>
      <c r="Q989" s="12"/>
      <c r="R989" s="12"/>
      <c r="S989" s="12"/>
      <c r="T989" s="12"/>
      <c r="U989" s="12"/>
      <c r="W989" s="12"/>
      <c r="X989" s="12"/>
      <c r="Y989" s="12"/>
      <c r="Z989" s="12"/>
      <c r="AA989" s="12"/>
    </row>
    <row r="990" spans="1:27">
      <c r="A990" s="12"/>
      <c r="B990" s="12"/>
      <c r="C990" s="12"/>
      <c r="D990" s="12"/>
      <c r="E990" s="12"/>
      <c r="F990" s="12"/>
      <c r="G990" s="12"/>
      <c r="H990" s="12"/>
      <c r="I990" s="12"/>
      <c r="J990" s="12"/>
      <c r="K990" s="12"/>
      <c r="L990" s="12"/>
      <c r="M990" s="12"/>
      <c r="N990" s="12"/>
      <c r="O990" s="12"/>
      <c r="P990" s="12"/>
      <c r="Q990" s="12"/>
      <c r="R990" s="12"/>
      <c r="S990" s="12"/>
      <c r="T990" s="12"/>
      <c r="U990" s="12"/>
      <c r="W990" s="12"/>
      <c r="X990" s="12"/>
      <c r="Y990" s="12"/>
      <c r="Z990" s="12"/>
      <c r="AA990" s="12"/>
    </row>
    <row r="991" spans="1:27">
      <c r="A991" s="12"/>
      <c r="B991" s="12"/>
      <c r="C991" s="12"/>
      <c r="D991" s="12"/>
      <c r="E991" s="12"/>
      <c r="F991" s="12"/>
      <c r="G991" s="12"/>
      <c r="H991" s="12"/>
      <c r="I991" s="12"/>
      <c r="J991" s="12"/>
      <c r="K991" s="12"/>
      <c r="L991" s="12"/>
      <c r="M991" s="12"/>
      <c r="N991" s="12"/>
      <c r="O991" s="12"/>
      <c r="P991" s="12"/>
      <c r="Q991" s="12"/>
      <c r="R991" s="12"/>
      <c r="S991" s="12"/>
      <c r="T991" s="12"/>
      <c r="U991" s="12"/>
      <c r="W991" s="12"/>
      <c r="X991" s="12"/>
      <c r="Y991" s="12"/>
      <c r="Z991" s="12"/>
      <c r="AA991" s="12"/>
    </row>
    <row r="992" spans="1:27">
      <c r="A992" s="12"/>
      <c r="B992" s="12"/>
      <c r="C992" s="12"/>
      <c r="D992" s="12"/>
      <c r="E992" s="12"/>
      <c r="F992" s="12"/>
      <c r="G992" s="12"/>
      <c r="H992" s="12"/>
      <c r="I992" s="12"/>
      <c r="J992" s="12"/>
      <c r="K992" s="12"/>
      <c r="L992" s="12"/>
      <c r="M992" s="12"/>
      <c r="N992" s="12"/>
      <c r="O992" s="12"/>
      <c r="P992" s="12"/>
      <c r="Q992" s="12"/>
      <c r="R992" s="12"/>
      <c r="S992" s="12"/>
      <c r="T992" s="12"/>
      <c r="U992" s="12"/>
      <c r="W992" s="12"/>
      <c r="X992" s="12"/>
      <c r="Y992" s="12"/>
      <c r="Z992" s="12"/>
      <c r="AA992" s="12"/>
    </row>
    <row r="993" spans="1:27">
      <c r="A993" s="12"/>
      <c r="B993" s="12"/>
      <c r="C993" s="12"/>
      <c r="D993" s="12"/>
      <c r="E993" s="12"/>
      <c r="F993" s="12"/>
      <c r="G993" s="12"/>
      <c r="H993" s="12"/>
      <c r="I993" s="12"/>
      <c r="J993" s="12"/>
      <c r="K993" s="12"/>
      <c r="L993" s="12"/>
      <c r="M993" s="12"/>
      <c r="N993" s="12"/>
      <c r="O993" s="12"/>
      <c r="P993" s="12"/>
      <c r="Q993" s="12"/>
      <c r="R993" s="12"/>
      <c r="S993" s="12"/>
      <c r="T993" s="12"/>
      <c r="U993" s="12"/>
      <c r="W993" s="12"/>
      <c r="X993" s="12"/>
      <c r="Y993" s="12"/>
      <c r="Z993" s="12"/>
      <c r="AA993" s="12"/>
    </row>
    <row r="994" spans="1:27">
      <c r="A994" s="12"/>
      <c r="B994" s="12"/>
      <c r="C994" s="12"/>
      <c r="D994" s="12"/>
      <c r="E994" s="12"/>
      <c r="F994" s="12"/>
      <c r="G994" s="12"/>
      <c r="H994" s="12"/>
      <c r="I994" s="12"/>
      <c r="J994" s="12"/>
      <c r="K994" s="12"/>
      <c r="L994" s="12"/>
      <c r="M994" s="12"/>
      <c r="N994" s="12"/>
      <c r="O994" s="12"/>
      <c r="P994" s="12"/>
      <c r="Q994" s="12"/>
      <c r="R994" s="12"/>
      <c r="S994" s="12"/>
      <c r="T994" s="12"/>
      <c r="U994" s="12"/>
      <c r="W994" s="12"/>
      <c r="X994" s="12"/>
      <c r="Y994" s="12"/>
      <c r="Z994" s="12"/>
      <c r="AA994" s="12"/>
    </row>
    <row r="995" spans="1:27">
      <c r="A995" s="12"/>
      <c r="B995" s="12"/>
      <c r="C995" s="12"/>
      <c r="D995" s="12"/>
      <c r="E995" s="12"/>
      <c r="F995" s="12"/>
      <c r="G995" s="12"/>
      <c r="H995" s="12"/>
      <c r="I995" s="12"/>
      <c r="J995" s="12"/>
      <c r="K995" s="12"/>
      <c r="L995" s="12"/>
      <c r="M995" s="12"/>
      <c r="N995" s="12"/>
      <c r="O995" s="12"/>
      <c r="P995" s="12"/>
      <c r="Q995" s="12"/>
      <c r="R995" s="12"/>
      <c r="S995" s="12"/>
      <c r="T995" s="12"/>
      <c r="U995" s="12"/>
      <c r="W995" s="12"/>
      <c r="X995" s="12"/>
      <c r="Y995" s="12"/>
      <c r="Z995" s="12"/>
      <c r="AA995" s="12"/>
    </row>
    <row r="996" spans="1:27">
      <c r="A996" s="12"/>
      <c r="B996" s="12"/>
      <c r="C996" s="12"/>
      <c r="D996" s="12"/>
      <c r="E996" s="12"/>
      <c r="F996" s="12"/>
      <c r="G996" s="12"/>
      <c r="H996" s="12"/>
      <c r="I996" s="12"/>
      <c r="J996" s="12"/>
      <c r="K996" s="12"/>
      <c r="L996" s="12"/>
      <c r="M996" s="12"/>
      <c r="N996" s="12"/>
      <c r="O996" s="12"/>
      <c r="P996" s="12"/>
      <c r="Q996" s="12"/>
      <c r="R996" s="12"/>
      <c r="S996" s="12"/>
      <c r="T996" s="12"/>
      <c r="U996" s="12"/>
      <c r="W996" s="12"/>
      <c r="X996" s="12"/>
      <c r="Y996" s="12"/>
      <c r="Z996" s="12"/>
      <c r="AA996" s="12"/>
    </row>
    <row r="997" spans="1:27">
      <c r="A997" s="12"/>
      <c r="B997" s="12"/>
      <c r="C997" s="12"/>
      <c r="D997" s="12"/>
      <c r="E997" s="12"/>
      <c r="F997" s="12"/>
      <c r="G997" s="12"/>
      <c r="H997" s="12"/>
      <c r="I997" s="12"/>
      <c r="J997" s="12"/>
      <c r="K997" s="12"/>
      <c r="L997" s="12"/>
      <c r="M997" s="12"/>
      <c r="N997" s="12"/>
      <c r="O997" s="12"/>
      <c r="P997" s="12"/>
      <c r="Q997" s="12"/>
      <c r="R997" s="12"/>
      <c r="S997" s="12"/>
      <c r="T997" s="12"/>
      <c r="U997" s="12"/>
      <c r="W997" s="12"/>
      <c r="X997" s="12"/>
      <c r="Y997" s="12"/>
      <c r="Z997" s="12"/>
      <c r="AA997" s="12"/>
    </row>
    <row r="998" spans="1:27">
      <c r="A998" s="12"/>
      <c r="B998" s="12"/>
      <c r="C998" s="12"/>
      <c r="D998" s="12"/>
      <c r="E998" s="12"/>
      <c r="F998" s="12"/>
      <c r="G998" s="12"/>
      <c r="H998" s="12"/>
      <c r="I998" s="12"/>
      <c r="J998" s="12"/>
      <c r="K998" s="12"/>
      <c r="L998" s="12"/>
      <c r="M998" s="12"/>
      <c r="N998" s="12"/>
      <c r="O998" s="12"/>
      <c r="P998" s="12"/>
      <c r="Q998" s="12"/>
      <c r="R998" s="12"/>
      <c r="S998" s="12"/>
      <c r="T998" s="12"/>
      <c r="U998" s="12"/>
      <c r="W998" s="12"/>
      <c r="X998" s="12"/>
      <c r="Y998" s="12"/>
      <c r="Z998" s="12"/>
      <c r="AA998" s="12"/>
    </row>
    <row r="999" spans="1:27">
      <c r="A999" s="12"/>
      <c r="B999" s="12"/>
      <c r="C999" s="12"/>
      <c r="D999" s="12"/>
      <c r="E999" s="12"/>
      <c r="F999" s="12"/>
      <c r="G999" s="12"/>
      <c r="H999" s="12"/>
      <c r="I999" s="12"/>
      <c r="J999" s="12"/>
      <c r="K999" s="12"/>
      <c r="L999" s="12"/>
      <c r="M999" s="12"/>
      <c r="N999" s="12"/>
      <c r="O999" s="12"/>
      <c r="P999" s="12"/>
      <c r="Q999" s="12"/>
      <c r="R999" s="12"/>
      <c r="S999" s="12"/>
      <c r="T999" s="12"/>
      <c r="U999" s="12"/>
      <c r="W999" s="12"/>
      <c r="X999" s="12"/>
      <c r="Y999" s="12"/>
      <c r="Z999" s="12"/>
      <c r="AA999" s="12"/>
    </row>
    <row r="1000" spans="1:27">
      <c r="A1000" s="12"/>
      <c r="B1000" s="12"/>
      <c r="C1000" s="12"/>
      <c r="D1000" s="12"/>
      <c r="E1000" s="12"/>
      <c r="F1000" s="12"/>
      <c r="G1000" s="12"/>
      <c r="H1000" s="12"/>
      <c r="I1000" s="12"/>
      <c r="J1000" s="12"/>
      <c r="K1000" s="12"/>
      <c r="L1000" s="12"/>
      <c r="M1000" s="12"/>
      <c r="N1000" s="12"/>
      <c r="O1000" s="12"/>
      <c r="P1000" s="12"/>
      <c r="Q1000" s="12"/>
      <c r="R1000" s="12"/>
      <c r="S1000" s="12"/>
      <c r="T1000" s="12"/>
      <c r="U1000" s="12"/>
      <c r="W1000" s="12"/>
      <c r="X1000" s="12"/>
      <c r="Y1000" s="12"/>
      <c r="Z1000" s="12"/>
      <c r="AA1000" s="12"/>
    </row>
  </sheetData>
  <mergeCells count="101">
    <mergeCell ref="B204:B206"/>
    <mergeCell ref="C204:C206"/>
    <mergeCell ref="B210:D210"/>
    <mergeCell ref="A211:D211"/>
    <mergeCell ref="A135:A158"/>
    <mergeCell ref="B135:B136"/>
    <mergeCell ref="B138:B144"/>
    <mergeCell ref="B145:B146"/>
    <mergeCell ref="B147:B149"/>
    <mergeCell ref="B158:D158"/>
    <mergeCell ref="A159:A210"/>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A3:E3"/>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V4:V5"/>
    <mergeCell ref="G4:H4"/>
    <mergeCell ref="I4:I5"/>
    <mergeCell ref="J4:L4"/>
    <mergeCell ref="M4:M5"/>
    <mergeCell ref="N4:N5"/>
    <mergeCell ref="O4:O5"/>
    <mergeCell ref="P4:P5"/>
    <mergeCell ref="C40:C46"/>
  </mergeCells>
  <pageMargins left="0" right="0.17" top="0.75" bottom="0.75" header="0" footer="0"/>
  <pageSetup scale="85" orientation="portrait" r:id="rId1"/>
</worksheet>
</file>

<file path=xl/worksheets/sheet15.xml><?xml version="1.0" encoding="utf-8"?>
<worksheet xmlns="http://schemas.openxmlformats.org/spreadsheetml/2006/main" xmlns:r="http://schemas.openxmlformats.org/officeDocument/2006/relationships">
  <dimension ref="A1:AA987"/>
  <sheetViews>
    <sheetView workbookViewId="0">
      <pane xSplit="5" ySplit="5" topLeftCell="F186" activePane="bottomRight" state="frozen"/>
      <selection pane="topRight" activeCell="F1" sqref="F1"/>
      <selection pane="bottomLeft" activeCell="A6" sqref="A6"/>
      <selection pane="bottomRight" activeCell="N212" sqref="N212"/>
    </sheetView>
  </sheetViews>
  <sheetFormatPr defaultColWidth="14.42578125" defaultRowHeight="15" customHeight="1"/>
  <cols>
    <col min="1" max="1" width="5.28515625" customWidth="1"/>
    <col min="2" max="2" width="6.85546875" customWidth="1"/>
    <col min="3" max="3" width="7.42578125" customWidth="1"/>
    <col min="4" max="4" width="6.140625" customWidth="1"/>
    <col min="5" max="5" width="19.5703125" customWidth="1"/>
    <col min="6" max="6" width="9" customWidth="1"/>
    <col min="7" max="7" width="9.85546875" customWidth="1"/>
    <col min="8" max="8" width="10.140625" customWidth="1"/>
    <col min="9" max="9" width="10.28515625" customWidth="1"/>
    <col min="10" max="10" width="7.85546875" customWidth="1"/>
    <col min="11" max="11" width="10.28515625" customWidth="1"/>
    <col min="12" max="12" width="8" customWidth="1"/>
    <col min="13" max="13" width="10.7109375" customWidth="1"/>
    <col min="14" max="14" width="12" customWidth="1"/>
    <col min="15" max="15" width="9.5703125" customWidth="1"/>
    <col min="16" max="16" width="12.85546875" bestFit="1" customWidth="1"/>
    <col min="17" max="17" width="10.5703125" customWidth="1"/>
    <col min="18" max="18" width="8.42578125" bestFit="1" customWidth="1"/>
    <col min="19" max="19" width="14.42578125" customWidth="1"/>
    <col min="20" max="20" width="11" customWidth="1"/>
    <col min="21" max="21" width="10.85546875" customWidth="1"/>
    <col min="22" max="22" width="51.42578125" customWidth="1"/>
    <col min="23" max="23" width="52" customWidth="1"/>
    <col min="24" max="27" width="14.42578125" customWidth="1"/>
  </cols>
  <sheetData>
    <row r="1" spans="1:27" ht="16.5">
      <c r="A1" s="703" t="s">
        <v>516</v>
      </c>
      <c r="B1" s="689"/>
      <c r="C1" s="689"/>
      <c r="D1" s="689"/>
      <c r="E1" s="689"/>
      <c r="F1" s="68"/>
      <c r="G1" s="68"/>
      <c r="H1" s="85"/>
      <c r="I1" s="68"/>
      <c r="J1" s="68"/>
      <c r="K1" s="68"/>
      <c r="L1" s="68"/>
      <c r="M1" s="68"/>
      <c r="N1" s="68"/>
      <c r="O1" s="68"/>
      <c r="P1" s="68"/>
      <c r="Q1" s="68"/>
      <c r="R1" s="68"/>
      <c r="S1" s="68"/>
      <c r="T1" s="704" t="s">
        <v>2</v>
      </c>
      <c r="U1" s="705"/>
      <c r="V1" s="122" t="s">
        <v>25</v>
      </c>
      <c r="W1" s="157" t="s">
        <v>26</v>
      </c>
      <c r="X1" s="68"/>
      <c r="Y1" s="68"/>
      <c r="Z1" s="68"/>
      <c r="AA1" s="68"/>
    </row>
    <row r="2" spans="1:27" ht="16.5">
      <c r="A2" s="158"/>
      <c r="B2" s="68"/>
      <c r="C2" s="68"/>
      <c r="D2" s="68"/>
      <c r="E2" s="68"/>
      <c r="F2" s="68"/>
      <c r="G2" s="68"/>
      <c r="H2" s="68"/>
      <c r="I2" s="68"/>
      <c r="J2" s="68"/>
      <c r="K2" s="68"/>
      <c r="L2" s="68"/>
      <c r="M2" s="68"/>
      <c r="N2" s="68"/>
      <c r="O2" s="68"/>
      <c r="P2" s="68"/>
      <c r="Q2" s="68"/>
      <c r="R2" s="68"/>
      <c r="S2" s="68"/>
      <c r="T2" s="68"/>
      <c r="U2" s="68"/>
      <c r="V2" s="74"/>
      <c r="W2" s="159"/>
      <c r="X2" s="68"/>
      <c r="Y2" s="68"/>
      <c r="Z2" s="68"/>
      <c r="AA2" s="68"/>
    </row>
    <row r="3" spans="1:27" ht="18.75">
      <c r="A3" s="124"/>
      <c r="B3" s="70"/>
      <c r="C3" s="70"/>
      <c r="D3" s="70"/>
      <c r="E3" s="70"/>
      <c r="F3" s="70"/>
      <c r="G3" s="70"/>
      <c r="H3" s="70"/>
      <c r="I3" s="70"/>
      <c r="J3" s="70"/>
      <c r="K3" s="70"/>
      <c r="L3" s="70"/>
      <c r="M3" s="70"/>
      <c r="N3" s="70"/>
      <c r="O3" s="70"/>
      <c r="P3" s="70"/>
      <c r="Q3" s="70"/>
      <c r="R3" s="70"/>
      <c r="S3" s="70"/>
      <c r="T3" s="70"/>
      <c r="U3" s="70"/>
      <c r="V3" s="93" t="s">
        <v>2</v>
      </c>
      <c r="W3" s="159"/>
      <c r="X3" s="68"/>
      <c r="Y3" s="68"/>
      <c r="Z3" s="68"/>
      <c r="AA3" s="68"/>
    </row>
    <row r="4" spans="1:27" ht="69.75" customHeight="1">
      <c r="A4" s="158"/>
      <c r="B4" s="706" t="s">
        <v>4</v>
      </c>
      <c r="C4" s="706" t="s">
        <v>5</v>
      </c>
      <c r="D4" s="706" t="s">
        <v>6</v>
      </c>
      <c r="E4" s="706" t="s">
        <v>388</v>
      </c>
      <c r="F4" s="706" t="s">
        <v>8</v>
      </c>
      <c r="G4" s="708" t="s">
        <v>9</v>
      </c>
      <c r="H4" s="710"/>
      <c r="I4" s="706" t="s">
        <v>10</v>
      </c>
      <c r="J4" s="708" t="s">
        <v>11</v>
      </c>
      <c r="K4" s="709"/>
      <c r="L4" s="710"/>
      <c r="M4" s="706" t="s">
        <v>12</v>
      </c>
      <c r="N4" s="706" t="s">
        <v>13</v>
      </c>
      <c r="O4" s="706" t="s">
        <v>14</v>
      </c>
      <c r="P4" s="706" t="s">
        <v>15</v>
      </c>
      <c r="Q4" s="706" t="s">
        <v>16</v>
      </c>
      <c r="R4" s="706" t="s">
        <v>17</v>
      </c>
      <c r="S4" s="706" t="s">
        <v>18</v>
      </c>
      <c r="T4" s="160" t="s">
        <v>1121</v>
      </c>
      <c r="U4" s="75" t="s">
        <v>1122</v>
      </c>
      <c r="V4" s="711" t="s">
        <v>389</v>
      </c>
      <c r="W4" s="159"/>
      <c r="X4" s="68"/>
      <c r="Y4" s="68"/>
      <c r="Z4" s="68"/>
      <c r="AA4" s="68"/>
    </row>
    <row r="5" spans="1:27" ht="1.5" customHeight="1">
      <c r="A5" s="124"/>
      <c r="B5" s="707"/>
      <c r="C5" s="707"/>
      <c r="D5" s="707"/>
      <c r="E5" s="707"/>
      <c r="F5" s="707"/>
      <c r="G5" s="72" t="s">
        <v>21</v>
      </c>
      <c r="H5" s="72" t="s">
        <v>22</v>
      </c>
      <c r="I5" s="707"/>
      <c r="J5" s="75" t="s">
        <v>1123</v>
      </c>
      <c r="K5" s="72" t="s">
        <v>23</v>
      </c>
      <c r="L5" s="72" t="s">
        <v>24</v>
      </c>
      <c r="M5" s="707"/>
      <c r="N5" s="707"/>
      <c r="O5" s="707"/>
      <c r="P5" s="707"/>
      <c r="Q5" s="707"/>
      <c r="R5" s="707"/>
      <c r="S5" s="707"/>
      <c r="T5" s="122" t="s">
        <v>25</v>
      </c>
      <c r="U5" s="72" t="s">
        <v>26</v>
      </c>
      <c r="V5" s="707"/>
      <c r="W5" s="159"/>
      <c r="X5" s="68"/>
      <c r="Y5" s="68"/>
      <c r="Z5" s="68"/>
      <c r="AA5" s="68"/>
    </row>
    <row r="6" spans="1:27" ht="42.75">
      <c r="A6" s="158"/>
      <c r="B6" s="706" t="s">
        <v>28</v>
      </c>
      <c r="C6" s="706" t="s">
        <v>29</v>
      </c>
      <c r="D6" s="72">
        <v>1</v>
      </c>
      <c r="E6" s="72" t="s">
        <v>30</v>
      </c>
      <c r="F6" s="72"/>
      <c r="G6" s="72"/>
      <c r="H6" s="72"/>
      <c r="I6" s="72"/>
      <c r="J6" s="72"/>
      <c r="K6" s="72"/>
      <c r="L6" s="72"/>
      <c r="M6" s="72"/>
      <c r="N6" s="72"/>
      <c r="O6" s="72"/>
      <c r="P6" s="72"/>
      <c r="Q6" s="72"/>
      <c r="R6" s="72"/>
      <c r="S6" s="72"/>
      <c r="T6" s="161">
        <f t="shared" ref="T6:T130" si="0">SUM(F6:S6)</f>
        <v>0</v>
      </c>
      <c r="U6" s="73"/>
      <c r="V6" s="74"/>
      <c r="W6" s="159"/>
      <c r="X6" s="68"/>
      <c r="Y6" s="68"/>
      <c r="Z6" s="68"/>
      <c r="AA6" s="68"/>
    </row>
    <row r="7" spans="1:27" ht="75">
      <c r="A7" s="162"/>
      <c r="B7" s="712"/>
      <c r="C7" s="712"/>
      <c r="D7" s="72">
        <v>2</v>
      </c>
      <c r="E7" s="72" t="s">
        <v>31</v>
      </c>
      <c r="F7" s="72"/>
      <c r="G7" s="72"/>
      <c r="H7" s="72"/>
      <c r="I7" s="72"/>
      <c r="J7" s="72"/>
      <c r="K7" s="16">
        <f>701.46936-74.6244</f>
        <v>626.84496000000001</v>
      </c>
      <c r="L7" s="72"/>
      <c r="M7" s="72"/>
      <c r="N7" s="72"/>
      <c r="O7" s="72"/>
      <c r="P7" s="15"/>
      <c r="Q7" s="15">
        <f>(500000*28.5)/100000</f>
        <v>142.5</v>
      </c>
      <c r="R7" s="72"/>
      <c r="S7" s="72"/>
      <c r="T7" s="161">
        <f t="shared" si="0"/>
        <v>769.34496000000001</v>
      </c>
      <c r="U7" s="73">
        <f t="shared" ref="U7:U13" si="1">T7</f>
        <v>769.34496000000001</v>
      </c>
      <c r="V7" s="22" t="s">
        <v>1124</v>
      </c>
      <c r="W7" s="159"/>
      <c r="X7" s="68"/>
      <c r="Y7" s="68"/>
      <c r="Z7" s="68"/>
      <c r="AA7" s="68"/>
    </row>
    <row r="8" spans="1:27" ht="48.75" customHeight="1">
      <c r="A8" s="162"/>
      <c r="B8" s="712"/>
      <c r="C8" s="712"/>
      <c r="D8" s="72">
        <v>3</v>
      </c>
      <c r="E8" s="72" t="s">
        <v>32</v>
      </c>
      <c r="F8" s="76"/>
      <c r="G8" s="72"/>
      <c r="H8" s="72"/>
      <c r="I8" s="72"/>
      <c r="J8" s="72"/>
      <c r="K8" s="72"/>
      <c r="L8" s="72"/>
      <c r="M8" s="72"/>
      <c r="N8" s="72"/>
      <c r="O8" s="76"/>
      <c r="P8" s="72"/>
      <c r="Q8" s="72"/>
      <c r="R8" s="76"/>
      <c r="S8" s="72"/>
      <c r="T8" s="161">
        <f t="shared" si="0"/>
        <v>0</v>
      </c>
      <c r="U8" s="73">
        <f t="shared" si="1"/>
        <v>0</v>
      </c>
      <c r="V8" s="163"/>
      <c r="W8" s="159"/>
      <c r="X8" s="68"/>
      <c r="Y8" s="68"/>
      <c r="Z8" s="68"/>
      <c r="AA8" s="68"/>
    </row>
    <row r="9" spans="1:27" ht="71.25">
      <c r="A9" s="162"/>
      <c r="B9" s="712"/>
      <c r="C9" s="712"/>
      <c r="D9" s="72">
        <v>4</v>
      </c>
      <c r="E9" s="72" t="s">
        <v>34</v>
      </c>
      <c r="F9" s="72"/>
      <c r="G9" s="72"/>
      <c r="H9" s="72"/>
      <c r="I9" s="72"/>
      <c r="J9" s="72"/>
      <c r="K9" s="72"/>
      <c r="L9" s="72"/>
      <c r="M9" s="73"/>
      <c r="N9" s="72"/>
      <c r="O9" s="72"/>
      <c r="P9" s="76"/>
      <c r="Q9" s="72"/>
      <c r="R9" s="72"/>
      <c r="S9" s="72"/>
      <c r="T9" s="161">
        <f t="shared" si="0"/>
        <v>0</v>
      </c>
      <c r="U9" s="73">
        <f t="shared" si="1"/>
        <v>0</v>
      </c>
      <c r="V9" s="74"/>
      <c r="W9" s="159"/>
      <c r="X9" s="68"/>
      <c r="Y9" s="68"/>
      <c r="Z9" s="68"/>
      <c r="AA9" s="68"/>
    </row>
    <row r="10" spans="1:27" ht="57">
      <c r="A10" s="162"/>
      <c r="B10" s="712"/>
      <c r="C10" s="712"/>
      <c r="D10" s="72">
        <v>5</v>
      </c>
      <c r="E10" s="72" t="s">
        <v>36</v>
      </c>
      <c r="F10" s="72"/>
      <c r="G10" s="72"/>
      <c r="H10" s="72"/>
      <c r="I10" s="72"/>
      <c r="J10" s="72"/>
      <c r="K10" s="72"/>
      <c r="L10" s="72"/>
      <c r="M10" s="72"/>
      <c r="N10" s="72"/>
      <c r="O10" s="72"/>
      <c r="P10" s="73"/>
      <c r="Q10" s="72"/>
      <c r="R10" s="72"/>
      <c r="S10" s="72"/>
      <c r="T10" s="161">
        <f t="shared" si="0"/>
        <v>0</v>
      </c>
      <c r="U10" s="73">
        <f t="shared" si="1"/>
        <v>0</v>
      </c>
      <c r="V10" s="74"/>
      <c r="W10" s="159"/>
      <c r="X10" s="68"/>
      <c r="Y10" s="68"/>
      <c r="Z10" s="68"/>
      <c r="AA10" s="68"/>
    </row>
    <row r="11" spans="1:27" ht="42.75">
      <c r="A11" s="162"/>
      <c r="B11" s="712"/>
      <c r="C11" s="712"/>
      <c r="D11" s="72">
        <v>6</v>
      </c>
      <c r="E11" s="72" t="s">
        <v>38</v>
      </c>
      <c r="F11" s="75"/>
      <c r="G11" s="72"/>
      <c r="H11" s="72"/>
      <c r="I11" s="72"/>
      <c r="J11" s="72"/>
      <c r="K11" s="72"/>
      <c r="L11" s="72"/>
      <c r="M11" s="72"/>
      <c r="N11" s="76"/>
      <c r="O11" s="75"/>
      <c r="P11" s="15"/>
      <c r="Q11" s="72"/>
      <c r="R11" s="72"/>
      <c r="S11" s="72"/>
      <c r="T11" s="161">
        <f t="shared" si="0"/>
        <v>0</v>
      </c>
      <c r="U11" s="73">
        <f t="shared" si="1"/>
        <v>0</v>
      </c>
      <c r="V11" s="74"/>
      <c r="W11" s="159"/>
      <c r="X11" s="68"/>
      <c r="Y11" s="68"/>
      <c r="Z11" s="68"/>
      <c r="AA11" s="68"/>
    </row>
    <row r="12" spans="1:27" ht="75">
      <c r="A12" s="162"/>
      <c r="B12" s="712"/>
      <c r="C12" s="712"/>
      <c r="D12" s="72">
        <v>7</v>
      </c>
      <c r="E12" s="72" t="s">
        <v>40</v>
      </c>
      <c r="F12" s="72"/>
      <c r="G12" s="72"/>
      <c r="H12" s="72"/>
      <c r="I12" s="72"/>
      <c r="J12" s="72"/>
      <c r="K12" s="72"/>
      <c r="L12" s="72"/>
      <c r="M12" s="75"/>
      <c r="N12" s="72"/>
      <c r="O12" s="72"/>
      <c r="P12" s="15">
        <v>0</v>
      </c>
      <c r="Q12" s="164">
        <v>0</v>
      </c>
      <c r="R12" s="75">
        <v>0.1</v>
      </c>
      <c r="S12" s="72"/>
      <c r="T12" s="161">
        <f t="shared" si="0"/>
        <v>0.1</v>
      </c>
      <c r="U12" s="73">
        <f t="shared" si="1"/>
        <v>0.1</v>
      </c>
      <c r="V12" s="22" t="s">
        <v>1125</v>
      </c>
      <c r="W12" s="159"/>
      <c r="X12" s="68"/>
      <c r="Y12" s="68"/>
      <c r="Z12" s="68"/>
      <c r="AA12" s="68"/>
    </row>
    <row r="13" spans="1:27" ht="16.5">
      <c r="A13" s="162"/>
      <c r="B13" s="712"/>
      <c r="C13" s="712"/>
      <c r="D13" s="72">
        <v>8</v>
      </c>
      <c r="E13" s="72" t="s">
        <v>42</v>
      </c>
      <c r="F13" s="72"/>
      <c r="G13" s="72"/>
      <c r="H13" s="72"/>
      <c r="I13" s="72"/>
      <c r="J13" s="72"/>
      <c r="K13" s="72"/>
      <c r="L13" s="72"/>
      <c r="M13" s="72"/>
      <c r="N13" s="73"/>
      <c r="O13" s="72"/>
      <c r="P13" s="72"/>
      <c r="Q13" s="72"/>
      <c r="R13" s="72"/>
      <c r="S13" s="72"/>
      <c r="T13" s="161">
        <f t="shared" si="0"/>
        <v>0</v>
      </c>
      <c r="U13" s="73">
        <f t="shared" si="1"/>
        <v>0</v>
      </c>
      <c r="V13" s="74"/>
      <c r="W13" s="159"/>
      <c r="X13" s="68"/>
      <c r="Y13" s="68"/>
      <c r="Z13" s="68"/>
      <c r="AA13" s="68"/>
    </row>
    <row r="14" spans="1:27" ht="57.75" customHeight="1">
      <c r="A14" s="162"/>
      <c r="B14" s="712"/>
      <c r="C14" s="712"/>
      <c r="D14" s="72">
        <v>9</v>
      </c>
      <c r="E14" s="72" t="s">
        <v>43</v>
      </c>
      <c r="F14" s="72"/>
      <c r="G14" s="72"/>
      <c r="H14" s="72"/>
      <c r="I14" s="72"/>
      <c r="J14" s="72"/>
      <c r="K14" s="72"/>
      <c r="L14" s="72"/>
      <c r="M14" s="72"/>
      <c r="N14" s="73"/>
      <c r="O14" s="72"/>
      <c r="P14" s="72"/>
      <c r="Q14" s="15">
        <v>0.5</v>
      </c>
      <c r="R14" s="15">
        <v>2.4</v>
      </c>
      <c r="S14" s="15"/>
      <c r="T14" s="161">
        <f t="shared" si="0"/>
        <v>2.9</v>
      </c>
      <c r="U14" s="16">
        <v>2.9</v>
      </c>
      <c r="V14" s="22" t="s">
        <v>1126</v>
      </c>
      <c r="W14" s="159"/>
      <c r="X14" s="68"/>
      <c r="Y14" s="68"/>
      <c r="Z14" s="68"/>
      <c r="AA14" s="68"/>
    </row>
    <row r="15" spans="1:27" ht="45">
      <c r="A15" s="162"/>
      <c r="B15" s="712"/>
      <c r="C15" s="712"/>
      <c r="D15" s="72">
        <v>10</v>
      </c>
      <c r="E15" s="72" t="s">
        <v>44</v>
      </c>
      <c r="F15" s="72"/>
      <c r="G15" s="72"/>
      <c r="H15" s="72"/>
      <c r="I15" s="16"/>
      <c r="J15" s="72"/>
      <c r="K15" s="72"/>
      <c r="L15" s="72"/>
      <c r="M15" s="72"/>
      <c r="N15" s="16">
        <v>0.82</v>
      </c>
      <c r="O15" s="72"/>
      <c r="P15" s="72"/>
      <c r="Q15" s="72"/>
      <c r="R15" s="72"/>
      <c r="S15" s="72"/>
      <c r="T15" s="161">
        <f t="shared" si="0"/>
        <v>0.82</v>
      </c>
      <c r="U15" s="16">
        <v>1.22</v>
      </c>
      <c r="V15" s="22" t="s">
        <v>1127</v>
      </c>
      <c r="W15" s="159"/>
      <c r="X15" s="68"/>
      <c r="Y15" s="68"/>
      <c r="Z15" s="68"/>
      <c r="AA15" s="68"/>
    </row>
    <row r="16" spans="1:27" ht="54.75" customHeight="1">
      <c r="A16" s="162"/>
      <c r="B16" s="712"/>
      <c r="C16" s="712"/>
      <c r="D16" s="72">
        <v>11</v>
      </c>
      <c r="E16" s="72" t="s">
        <v>45</v>
      </c>
      <c r="F16" s="72"/>
      <c r="G16" s="165"/>
      <c r="H16" s="15"/>
      <c r="I16" s="72"/>
      <c r="J16" s="72"/>
      <c r="K16" s="72"/>
      <c r="L16" s="72"/>
      <c r="M16" s="72"/>
      <c r="N16" s="72"/>
      <c r="O16" s="72"/>
      <c r="P16" s="72"/>
      <c r="Q16" s="72"/>
      <c r="R16" s="72"/>
      <c r="S16" s="72"/>
      <c r="T16" s="161">
        <f t="shared" si="0"/>
        <v>0</v>
      </c>
      <c r="U16" s="16"/>
      <c r="V16" s="166"/>
      <c r="W16" s="159"/>
      <c r="X16" s="68"/>
      <c r="Y16" s="68"/>
      <c r="Z16" s="68"/>
      <c r="AA16" s="68"/>
    </row>
    <row r="17" spans="1:27" ht="30">
      <c r="A17" s="162"/>
      <c r="B17" s="712"/>
      <c r="C17" s="712"/>
      <c r="D17" s="72">
        <v>12</v>
      </c>
      <c r="E17" s="72" t="s">
        <v>46</v>
      </c>
      <c r="F17" s="72"/>
      <c r="G17" s="72"/>
      <c r="H17" s="72"/>
      <c r="I17" s="72"/>
      <c r="J17" s="72"/>
      <c r="K17" s="72"/>
      <c r="L17" s="72"/>
      <c r="M17" s="72"/>
      <c r="N17" s="16">
        <v>1.5</v>
      </c>
      <c r="O17" s="72"/>
      <c r="P17" s="72"/>
      <c r="Q17" s="72"/>
      <c r="R17" s="72"/>
      <c r="S17" s="72"/>
      <c r="T17" s="161">
        <f t="shared" si="0"/>
        <v>1.5</v>
      </c>
      <c r="U17" s="16">
        <v>1.5</v>
      </c>
      <c r="V17" s="22" t="s">
        <v>1128</v>
      </c>
      <c r="W17" s="159"/>
      <c r="X17" s="68"/>
      <c r="Y17" s="68"/>
      <c r="Z17" s="68"/>
      <c r="AA17" s="68"/>
    </row>
    <row r="18" spans="1:27" ht="28.5">
      <c r="A18" s="162"/>
      <c r="B18" s="712"/>
      <c r="C18" s="712"/>
      <c r="D18" s="72">
        <v>13</v>
      </c>
      <c r="E18" s="72" t="s">
        <v>48</v>
      </c>
      <c r="F18" s="72"/>
      <c r="G18" s="72"/>
      <c r="H18" s="72"/>
      <c r="I18" s="72"/>
      <c r="J18" s="72"/>
      <c r="K18" s="72"/>
      <c r="L18" s="72"/>
      <c r="M18" s="72"/>
      <c r="N18" s="72"/>
      <c r="O18" s="72"/>
      <c r="P18" s="76"/>
      <c r="Q18" s="72"/>
      <c r="R18" s="72"/>
      <c r="S18" s="72"/>
      <c r="T18" s="161">
        <f t="shared" si="0"/>
        <v>0</v>
      </c>
      <c r="U18" s="73"/>
      <c r="V18" s="74"/>
      <c r="W18" s="159"/>
      <c r="X18" s="68"/>
      <c r="Y18" s="68"/>
      <c r="Z18" s="68"/>
      <c r="AA18" s="68"/>
    </row>
    <row r="19" spans="1:27" ht="28.5">
      <c r="A19" s="162"/>
      <c r="B19" s="712"/>
      <c r="C19" s="712"/>
      <c r="D19" s="72">
        <v>14</v>
      </c>
      <c r="E19" s="72" t="s">
        <v>49</v>
      </c>
      <c r="F19" s="72"/>
      <c r="G19" s="72"/>
      <c r="H19" s="72"/>
      <c r="I19" s="72"/>
      <c r="J19" s="72"/>
      <c r="K19" s="72"/>
      <c r="L19" s="72"/>
      <c r="M19" s="72"/>
      <c r="N19" s="75"/>
      <c r="O19" s="72"/>
      <c r="P19" s="72"/>
      <c r="Q19" s="72"/>
      <c r="R19" s="72"/>
      <c r="S19" s="72"/>
      <c r="T19" s="161">
        <f t="shared" si="0"/>
        <v>0</v>
      </c>
      <c r="U19" s="73"/>
      <c r="V19" s="74"/>
      <c r="W19" s="159"/>
      <c r="X19" s="68"/>
      <c r="Y19" s="68"/>
      <c r="Z19" s="68"/>
      <c r="AA19" s="68"/>
    </row>
    <row r="20" spans="1:27" ht="150" customHeight="1">
      <c r="A20" s="162"/>
      <c r="B20" s="712"/>
      <c r="C20" s="712"/>
      <c r="D20" s="72">
        <v>15</v>
      </c>
      <c r="E20" s="72" t="s">
        <v>50</v>
      </c>
      <c r="F20" s="72"/>
      <c r="G20" s="72"/>
      <c r="H20" s="72"/>
      <c r="I20" s="15">
        <v>303.85000000000002</v>
      </c>
      <c r="J20" s="72"/>
      <c r="K20" s="75"/>
      <c r="L20" s="72"/>
      <c r="M20" s="75"/>
      <c r="N20" s="16"/>
      <c r="O20" s="72"/>
      <c r="P20" s="76">
        <f>23.8+10.5-28</f>
        <v>6.2999999999999972</v>
      </c>
      <c r="Q20" s="15">
        <v>1.6</v>
      </c>
      <c r="R20" s="72"/>
      <c r="S20" s="75"/>
      <c r="T20" s="161">
        <f t="shared" si="0"/>
        <v>311.75000000000006</v>
      </c>
      <c r="U20" s="167">
        <f>25.2+37.58+1.6-28</f>
        <v>36.379999999999995</v>
      </c>
      <c r="V20" s="136" t="s">
        <v>1129</v>
      </c>
      <c r="W20" s="168" t="s">
        <v>1130</v>
      </c>
      <c r="X20" s="68"/>
      <c r="Y20" s="68"/>
      <c r="Z20" s="68"/>
      <c r="AA20" s="68"/>
    </row>
    <row r="21" spans="1:27" ht="57">
      <c r="A21" s="162"/>
      <c r="B21" s="712"/>
      <c r="C21" s="712"/>
      <c r="D21" s="72">
        <v>16</v>
      </c>
      <c r="E21" s="72" t="s">
        <v>51</v>
      </c>
      <c r="F21" s="72"/>
      <c r="G21" s="72"/>
      <c r="H21" s="72"/>
      <c r="I21" s="72"/>
      <c r="J21" s="72"/>
      <c r="K21" s="72"/>
      <c r="L21" s="72"/>
      <c r="M21" s="72"/>
      <c r="N21" s="72"/>
      <c r="O21" s="72"/>
      <c r="P21" s="72"/>
      <c r="Q21" s="72"/>
      <c r="R21" s="72"/>
      <c r="S21" s="72"/>
      <c r="T21" s="161">
        <f t="shared" si="0"/>
        <v>0</v>
      </c>
      <c r="U21" s="73"/>
      <c r="V21" s="74"/>
      <c r="W21" s="159"/>
      <c r="X21" s="68"/>
      <c r="Y21" s="68"/>
      <c r="Z21" s="68"/>
      <c r="AA21" s="68"/>
    </row>
    <row r="22" spans="1:27" ht="180">
      <c r="A22" s="162"/>
      <c r="B22" s="712"/>
      <c r="C22" s="712"/>
      <c r="D22" s="72">
        <v>17</v>
      </c>
      <c r="E22" s="72" t="s">
        <v>52</v>
      </c>
      <c r="F22" s="72"/>
      <c r="G22" s="72"/>
      <c r="H22" s="72"/>
      <c r="I22" s="155">
        <v>786.61900000000003</v>
      </c>
      <c r="J22" s="72"/>
      <c r="K22" s="72"/>
      <c r="L22" s="72"/>
      <c r="M22" s="72"/>
      <c r="N22" s="73"/>
      <c r="O22" s="72"/>
      <c r="P22" s="76"/>
      <c r="Q22" s="16">
        <v>40</v>
      </c>
      <c r="R22" s="75">
        <v>1.5</v>
      </c>
      <c r="S22" s="15"/>
      <c r="T22" s="161">
        <f t="shared" si="0"/>
        <v>828.11900000000003</v>
      </c>
      <c r="U22" s="16">
        <f>740.83+40+1.5</f>
        <v>782.33</v>
      </c>
      <c r="V22" s="137" t="s">
        <v>1131</v>
      </c>
      <c r="W22" s="153" t="s">
        <v>1132</v>
      </c>
      <c r="X22" s="68"/>
      <c r="Y22" s="68"/>
      <c r="Z22" s="68"/>
      <c r="AA22" s="68"/>
    </row>
    <row r="23" spans="1:27" ht="42.75">
      <c r="A23" s="162"/>
      <c r="B23" s="707"/>
      <c r="C23" s="707"/>
      <c r="D23" s="72">
        <v>18</v>
      </c>
      <c r="E23" s="72" t="s">
        <v>53</v>
      </c>
      <c r="F23" s="72"/>
      <c r="G23" s="72"/>
      <c r="H23" s="72"/>
      <c r="I23" s="72"/>
      <c r="J23" s="72"/>
      <c r="K23" s="72"/>
      <c r="L23" s="72"/>
      <c r="M23" s="72"/>
      <c r="N23" s="72"/>
      <c r="O23" s="72"/>
      <c r="P23" s="76"/>
      <c r="Q23" s="76"/>
      <c r="R23" s="72"/>
      <c r="S23" s="76"/>
      <c r="T23" s="161">
        <f t="shared" si="0"/>
        <v>0</v>
      </c>
      <c r="U23" s="73"/>
      <c r="V23" s="169"/>
      <c r="W23" s="159"/>
      <c r="X23" s="68"/>
      <c r="Y23" s="68"/>
      <c r="Z23" s="68"/>
      <c r="AA23" s="68"/>
    </row>
    <row r="24" spans="1:27" ht="30" customHeight="1">
      <c r="A24" s="162"/>
      <c r="B24" s="706" t="s">
        <v>54</v>
      </c>
      <c r="C24" s="706" t="s">
        <v>55</v>
      </c>
      <c r="D24" s="72">
        <v>19</v>
      </c>
      <c r="E24" s="72" t="s">
        <v>55</v>
      </c>
      <c r="F24" s="72"/>
      <c r="G24" s="72"/>
      <c r="H24" s="72"/>
      <c r="I24" s="72"/>
      <c r="J24" s="72"/>
      <c r="K24" s="72"/>
      <c r="L24" s="72"/>
      <c r="M24" s="72"/>
      <c r="N24" s="72"/>
      <c r="O24" s="72"/>
      <c r="P24" s="72"/>
      <c r="Q24" s="72"/>
      <c r="R24" s="72"/>
      <c r="S24" s="72"/>
      <c r="T24" s="161">
        <f t="shared" si="0"/>
        <v>0</v>
      </c>
      <c r="U24" s="73"/>
      <c r="V24" s="74"/>
      <c r="W24" s="159"/>
      <c r="X24" s="68"/>
      <c r="Y24" s="68"/>
      <c r="Z24" s="68"/>
      <c r="AA24" s="68"/>
    </row>
    <row r="25" spans="1:27" ht="120">
      <c r="A25" s="162"/>
      <c r="B25" s="707"/>
      <c r="C25" s="707"/>
      <c r="D25" s="72">
        <v>20</v>
      </c>
      <c r="E25" s="72" t="s">
        <v>56</v>
      </c>
      <c r="F25" s="72"/>
      <c r="G25" s="72"/>
      <c r="H25" s="72"/>
      <c r="I25" s="72"/>
      <c r="J25" s="72"/>
      <c r="K25" s="72"/>
      <c r="L25" s="72"/>
      <c r="M25" s="72"/>
      <c r="N25" s="72"/>
      <c r="O25" s="72"/>
      <c r="P25" s="72"/>
      <c r="Q25" s="16">
        <v>12.72</v>
      </c>
      <c r="R25" s="72"/>
      <c r="S25" s="75">
        <v>8</v>
      </c>
      <c r="T25" s="161">
        <f t="shared" si="0"/>
        <v>20.72</v>
      </c>
      <c r="U25" s="16">
        <v>12.9</v>
      </c>
      <c r="V25" s="22" t="s">
        <v>1133</v>
      </c>
      <c r="W25" s="22" t="s">
        <v>1134</v>
      </c>
      <c r="X25" s="68"/>
      <c r="Y25" s="68"/>
      <c r="Z25" s="68"/>
      <c r="AA25" s="68"/>
    </row>
    <row r="26" spans="1:27" ht="79.5" customHeight="1">
      <c r="A26" s="162"/>
      <c r="B26" s="706" t="s">
        <v>58</v>
      </c>
      <c r="C26" s="706" t="s">
        <v>59</v>
      </c>
      <c r="D26" s="72">
        <v>21</v>
      </c>
      <c r="E26" s="72" t="s">
        <v>60</v>
      </c>
      <c r="F26" s="77"/>
      <c r="G26" s="77"/>
      <c r="H26" s="78"/>
      <c r="I26" s="79"/>
      <c r="J26" s="77"/>
      <c r="K26" s="80"/>
      <c r="L26" s="77"/>
      <c r="M26" s="77"/>
      <c r="N26" s="80"/>
      <c r="O26" s="77"/>
      <c r="P26" s="78"/>
      <c r="Q26" s="81"/>
      <c r="R26" s="79">
        <v>3.35</v>
      </c>
      <c r="S26" s="77"/>
      <c r="T26" s="161">
        <f t="shared" si="0"/>
        <v>3.35</v>
      </c>
      <c r="U26" s="16">
        <f>T26</f>
        <v>3.35</v>
      </c>
      <c r="V26" s="134"/>
      <c r="W26" s="170"/>
      <c r="X26" s="68"/>
      <c r="Y26" s="68"/>
      <c r="Z26" s="68"/>
      <c r="AA26" s="68"/>
    </row>
    <row r="27" spans="1:27" ht="71.25">
      <c r="A27" s="162"/>
      <c r="B27" s="712"/>
      <c r="C27" s="712"/>
      <c r="D27" s="72">
        <v>22</v>
      </c>
      <c r="E27" s="72" t="s">
        <v>62</v>
      </c>
      <c r="F27" s="78"/>
      <c r="G27" s="77"/>
      <c r="H27" s="171"/>
      <c r="I27" s="79"/>
      <c r="J27" s="77"/>
      <c r="K27" s="77"/>
      <c r="L27" s="77"/>
      <c r="M27" s="81"/>
      <c r="N27" s="82">
        <v>26.84</v>
      </c>
      <c r="O27" s="77"/>
      <c r="P27" s="78"/>
      <c r="Q27" s="81">
        <v>0</v>
      </c>
      <c r="R27" s="80"/>
      <c r="S27" s="77"/>
      <c r="T27" s="161">
        <f t="shared" si="0"/>
        <v>26.84</v>
      </c>
      <c r="U27" s="73"/>
      <c r="V27" s="22" t="s">
        <v>1135</v>
      </c>
      <c r="W27" s="172"/>
      <c r="X27" s="68"/>
      <c r="Y27" s="68"/>
      <c r="Z27" s="68"/>
      <c r="AA27" s="68"/>
    </row>
    <row r="28" spans="1:27" ht="105">
      <c r="A28" s="162"/>
      <c r="B28" s="712"/>
      <c r="C28" s="712"/>
      <c r="D28" s="72">
        <v>23</v>
      </c>
      <c r="E28" s="72" t="s">
        <v>64</v>
      </c>
      <c r="F28" s="77"/>
      <c r="G28" s="77"/>
      <c r="H28" s="77"/>
      <c r="I28" s="77"/>
      <c r="J28" s="77"/>
      <c r="K28" s="80"/>
      <c r="L28" s="77"/>
      <c r="M28" s="77"/>
      <c r="N28" s="77">
        <f>0.62+1.16</f>
        <v>1.7799999999999998</v>
      </c>
      <c r="O28" s="78"/>
      <c r="P28" s="77"/>
      <c r="Q28" s="78"/>
      <c r="R28" s="77"/>
      <c r="S28" s="77"/>
      <c r="T28" s="161">
        <f t="shared" si="0"/>
        <v>1.7799999999999998</v>
      </c>
      <c r="U28" s="73">
        <f>T28</f>
        <v>1.7799999999999998</v>
      </c>
      <c r="V28" s="22" t="s">
        <v>1136</v>
      </c>
      <c r="W28" s="173"/>
      <c r="X28" s="68"/>
      <c r="Y28" s="68"/>
      <c r="Z28" s="68"/>
      <c r="AA28" s="68"/>
    </row>
    <row r="29" spans="1:27" ht="360">
      <c r="A29" s="162"/>
      <c r="B29" s="712"/>
      <c r="C29" s="712"/>
      <c r="D29" s="72">
        <v>24</v>
      </c>
      <c r="E29" s="72" t="s">
        <v>66</v>
      </c>
      <c r="F29" s="77"/>
      <c r="G29" s="77"/>
      <c r="H29" s="78"/>
      <c r="I29" s="82">
        <v>178.827</v>
      </c>
      <c r="J29" s="77"/>
      <c r="K29" s="77"/>
      <c r="L29" s="77"/>
      <c r="M29" s="77"/>
      <c r="N29" s="83">
        <f>13.84+4.49+12.08</f>
        <v>30.409999999999997</v>
      </c>
      <c r="O29" s="78"/>
      <c r="P29" s="77"/>
      <c r="Q29" s="79">
        <v>15.17</v>
      </c>
      <c r="R29" s="77"/>
      <c r="S29" s="77"/>
      <c r="T29" s="161">
        <f t="shared" si="0"/>
        <v>224.40699999999998</v>
      </c>
      <c r="U29" s="16">
        <f>4.34+30.41+25.3785+4.17</f>
        <v>64.298500000000004</v>
      </c>
      <c r="V29" s="131" t="s">
        <v>1137</v>
      </c>
      <c r="W29" s="174" t="s">
        <v>1138</v>
      </c>
      <c r="X29" s="68"/>
      <c r="Y29" s="68"/>
      <c r="Z29" s="68"/>
      <c r="AA29" s="68"/>
    </row>
    <row r="30" spans="1:27" ht="45">
      <c r="A30" s="162"/>
      <c r="B30" s="712"/>
      <c r="C30" s="712"/>
      <c r="D30" s="72">
        <v>25</v>
      </c>
      <c r="E30" s="72" t="s">
        <v>68</v>
      </c>
      <c r="F30" s="77"/>
      <c r="G30" s="77"/>
      <c r="H30" s="77"/>
      <c r="I30" s="77"/>
      <c r="J30" s="77"/>
      <c r="K30" s="77"/>
      <c r="L30" s="77"/>
      <c r="M30" s="77"/>
      <c r="N30" s="79">
        <v>7</v>
      </c>
      <c r="O30" s="82"/>
      <c r="P30" s="82"/>
      <c r="Q30" s="77"/>
      <c r="R30" s="77"/>
      <c r="S30" s="77"/>
      <c r="T30" s="161">
        <f t="shared" si="0"/>
        <v>7</v>
      </c>
      <c r="U30" s="16">
        <f>T30</f>
        <v>7</v>
      </c>
      <c r="V30" s="22" t="s">
        <v>1139</v>
      </c>
      <c r="W30" s="173" t="s">
        <v>1140</v>
      </c>
      <c r="X30" s="68"/>
      <c r="Y30" s="68"/>
      <c r="Z30" s="68"/>
      <c r="AA30" s="68"/>
    </row>
    <row r="31" spans="1:27" ht="69.75" customHeight="1">
      <c r="A31" s="162"/>
      <c r="B31" s="712"/>
      <c r="C31" s="712"/>
      <c r="D31" s="72">
        <v>26</v>
      </c>
      <c r="E31" s="72" t="s">
        <v>70</v>
      </c>
      <c r="F31" s="77"/>
      <c r="G31" s="77"/>
      <c r="H31" s="77"/>
      <c r="I31" s="175"/>
      <c r="J31" s="77"/>
      <c r="K31" s="77"/>
      <c r="L31" s="77"/>
      <c r="M31" s="77"/>
      <c r="N31" s="79"/>
      <c r="O31" s="77"/>
      <c r="P31" s="77"/>
      <c r="Q31" s="79">
        <v>5.45</v>
      </c>
      <c r="R31" s="81">
        <v>0.2</v>
      </c>
      <c r="S31" s="77"/>
      <c r="T31" s="161">
        <f t="shared" si="0"/>
        <v>5.65</v>
      </c>
      <c r="U31" s="16">
        <f>2+3.25+0.2</f>
        <v>5.45</v>
      </c>
      <c r="V31" s="22" t="s">
        <v>1141</v>
      </c>
      <c r="W31" s="172"/>
      <c r="X31" s="68"/>
      <c r="Y31" s="68"/>
      <c r="Z31" s="68"/>
      <c r="AA31" s="68"/>
    </row>
    <row r="32" spans="1:27" ht="66">
      <c r="A32" s="162"/>
      <c r="B32" s="712"/>
      <c r="C32" s="712"/>
      <c r="D32" s="72">
        <v>27</v>
      </c>
      <c r="E32" s="72" t="s">
        <v>72</v>
      </c>
      <c r="F32" s="77"/>
      <c r="G32" s="77"/>
      <c r="H32" s="176"/>
      <c r="I32" s="79"/>
      <c r="J32" s="77"/>
      <c r="K32" s="77"/>
      <c r="L32" s="77"/>
      <c r="M32" s="77"/>
      <c r="N32" s="79">
        <v>3.5</v>
      </c>
      <c r="O32" s="78"/>
      <c r="P32" s="81"/>
      <c r="Q32" s="77"/>
      <c r="R32" s="77"/>
      <c r="S32" s="77"/>
      <c r="T32" s="161">
        <f t="shared" si="0"/>
        <v>3.5</v>
      </c>
      <c r="U32" s="16">
        <f>212.45+3.5</f>
        <v>215.95</v>
      </c>
      <c r="V32" s="22" t="s">
        <v>1142</v>
      </c>
      <c r="W32" s="177" t="s">
        <v>1143</v>
      </c>
      <c r="X32" s="68"/>
      <c r="Y32" s="68"/>
      <c r="Z32" s="68"/>
      <c r="AA32" s="68"/>
    </row>
    <row r="33" spans="1:27" ht="71.25">
      <c r="A33" s="162"/>
      <c r="B33" s="712"/>
      <c r="C33" s="712"/>
      <c r="D33" s="72">
        <v>28</v>
      </c>
      <c r="E33" s="72" t="s">
        <v>34</v>
      </c>
      <c r="F33" s="77"/>
      <c r="G33" s="77"/>
      <c r="H33" s="77"/>
      <c r="I33" s="77"/>
      <c r="J33" s="77"/>
      <c r="K33" s="80"/>
      <c r="L33" s="77"/>
      <c r="M33" s="80"/>
      <c r="N33" s="77"/>
      <c r="O33" s="77"/>
      <c r="P33" s="77"/>
      <c r="Q33" s="82"/>
      <c r="R33" s="77"/>
      <c r="S33" s="77"/>
      <c r="T33" s="161">
        <f t="shared" si="0"/>
        <v>0</v>
      </c>
      <c r="U33" s="73"/>
      <c r="V33" s="74"/>
      <c r="W33" s="159"/>
      <c r="X33" s="68"/>
      <c r="Y33" s="68"/>
      <c r="Z33" s="68"/>
      <c r="AA33" s="68"/>
    </row>
    <row r="34" spans="1:27" ht="57">
      <c r="A34" s="162"/>
      <c r="B34" s="712"/>
      <c r="C34" s="712"/>
      <c r="D34" s="72">
        <v>29</v>
      </c>
      <c r="E34" s="72" t="s">
        <v>36</v>
      </c>
      <c r="F34" s="77"/>
      <c r="G34" s="77"/>
      <c r="H34" s="77"/>
      <c r="I34" s="77"/>
      <c r="J34" s="77"/>
      <c r="K34" s="77"/>
      <c r="L34" s="77"/>
      <c r="M34" s="77"/>
      <c r="N34" s="77"/>
      <c r="O34" s="77"/>
      <c r="P34" s="80"/>
      <c r="Q34" s="77"/>
      <c r="R34" s="77"/>
      <c r="S34" s="77"/>
      <c r="T34" s="161">
        <f t="shared" si="0"/>
        <v>0</v>
      </c>
      <c r="U34" s="73"/>
      <c r="V34" s="74"/>
      <c r="W34" s="159"/>
      <c r="X34" s="68"/>
      <c r="Y34" s="68"/>
      <c r="Z34" s="68"/>
      <c r="AA34" s="68"/>
    </row>
    <row r="35" spans="1:27" ht="120">
      <c r="A35" s="162"/>
      <c r="B35" s="712"/>
      <c r="C35" s="712"/>
      <c r="D35" s="72">
        <v>30</v>
      </c>
      <c r="E35" s="72" t="s">
        <v>74</v>
      </c>
      <c r="F35" s="77"/>
      <c r="G35" s="77"/>
      <c r="H35" s="77"/>
      <c r="I35" s="80"/>
      <c r="J35" s="77"/>
      <c r="K35" s="77"/>
      <c r="L35" s="77"/>
      <c r="M35" s="77"/>
      <c r="N35" s="77"/>
      <c r="O35" s="77"/>
      <c r="P35" s="77"/>
      <c r="Q35" s="79">
        <v>57</v>
      </c>
      <c r="R35" s="81">
        <v>5.45</v>
      </c>
      <c r="S35" s="77"/>
      <c r="T35" s="161">
        <f t="shared" si="0"/>
        <v>62.45</v>
      </c>
      <c r="U35" s="16">
        <f>T35</f>
        <v>62.45</v>
      </c>
      <c r="V35" s="22" t="s">
        <v>1144</v>
      </c>
      <c r="W35" s="159"/>
      <c r="X35" s="68"/>
      <c r="Y35" s="68"/>
      <c r="Z35" s="68"/>
      <c r="AA35" s="68"/>
    </row>
    <row r="36" spans="1:27" ht="409.6" customHeight="1">
      <c r="A36" s="162"/>
      <c r="B36" s="707"/>
      <c r="C36" s="707"/>
      <c r="D36" s="72">
        <v>31</v>
      </c>
      <c r="E36" s="72" t="s">
        <v>53</v>
      </c>
      <c r="F36" s="77"/>
      <c r="G36" s="77"/>
      <c r="H36" s="77"/>
      <c r="I36" s="77"/>
      <c r="J36" s="77"/>
      <c r="K36" s="77"/>
      <c r="L36" s="77"/>
      <c r="M36" s="77"/>
      <c r="N36" s="77"/>
      <c r="O36" s="77"/>
      <c r="P36" s="77"/>
      <c r="Q36" s="77"/>
      <c r="R36" s="77"/>
      <c r="S36" s="77"/>
      <c r="T36" s="161">
        <f t="shared" si="0"/>
        <v>0</v>
      </c>
      <c r="U36" s="73"/>
      <c r="V36" s="22" t="s">
        <v>1145</v>
      </c>
      <c r="W36" s="159"/>
      <c r="X36" s="68"/>
      <c r="Y36" s="68"/>
      <c r="Z36" s="68"/>
      <c r="AA36" s="68"/>
    </row>
    <row r="37" spans="1:27" ht="190.5" customHeight="1">
      <c r="A37" s="162"/>
      <c r="B37" s="706" t="s">
        <v>76</v>
      </c>
      <c r="C37" s="706" t="s">
        <v>77</v>
      </c>
      <c r="D37" s="72">
        <v>32</v>
      </c>
      <c r="E37" s="72" t="s">
        <v>78</v>
      </c>
      <c r="F37" s="72"/>
      <c r="G37" s="72"/>
      <c r="H37" s="72"/>
      <c r="I37" s="73"/>
      <c r="J37" s="72"/>
      <c r="K37" s="72"/>
      <c r="L37" s="72"/>
      <c r="M37" s="73"/>
      <c r="N37" s="16">
        <f>1.4407-0.24</f>
        <v>1.2007000000000001</v>
      </c>
      <c r="O37" s="15">
        <v>0</v>
      </c>
      <c r="P37" s="15">
        <v>0</v>
      </c>
      <c r="Q37" s="16">
        <v>39.5</v>
      </c>
      <c r="R37" s="15">
        <v>5.52</v>
      </c>
      <c r="S37" s="178">
        <v>2.33</v>
      </c>
      <c r="T37" s="161">
        <f t="shared" si="0"/>
        <v>48.550699999999992</v>
      </c>
      <c r="U37" s="73">
        <f t="shared" ref="U37:U44" si="2">T37</f>
        <v>48.550699999999992</v>
      </c>
      <c r="V37" s="22" t="s">
        <v>1146</v>
      </c>
      <c r="W37" s="177" t="s">
        <v>1147</v>
      </c>
      <c r="X37" s="68"/>
      <c r="Y37" s="68"/>
      <c r="Z37" s="68"/>
      <c r="AA37" s="68"/>
    </row>
    <row r="38" spans="1:27" ht="42.75" customHeight="1">
      <c r="A38" s="162"/>
      <c r="B38" s="712"/>
      <c r="C38" s="712"/>
      <c r="D38" s="72">
        <v>33</v>
      </c>
      <c r="E38" s="72" t="s">
        <v>80</v>
      </c>
      <c r="F38" s="72"/>
      <c r="G38" s="72"/>
      <c r="H38" s="72"/>
      <c r="I38" s="72"/>
      <c r="J38" s="72"/>
      <c r="K38" s="72"/>
      <c r="L38" s="72"/>
      <c r="M38" s="75"/>
      <c r="N38" s="75"/>
      <c r="O38" s="75"/>
      <c r="P38" s="75">
        <v>202.99</v>
      </c>
      <c r="Q38" s="75"/>
      <c r="R38" s="75"/>
      <c r="S38" s="72"/>
      <c r="T38" s="161">
        <f t="shared" si="0"/>
        <v>202.99</v>
      </c>
      <c r="U38" s="73">
        <f t="shared" si="2"/>
        <v>202.99</v>
      </c>
      <c r="V38" s="22"/>
      <c r="W38" s="159"/>
      <c r="X38" s="68"/>
      <c r="Y38" s="68"/>
      <c r="Z38" s="68"/>
      <c r="AA38" s="68"/>
    </row>
    <row r="39" spans="1:27" ht="89.25" customHeight="1">
      <c r="A39" s="162"/>
      <c r="B39" s="707"/>
      <c r="C39" s="707"/>
      <c r="D39" s="72">
        <v>34</v>
      </c>
      <c r="E39" s="72" t="s">
        <v>81</v>
      </c>
      <c r="F39" s="72"/>
      <c r="G39" s="72"/>
      <c r="H39" s="72"/>
      <c r="I39" s="75">
        <v>28</v>
      </c>
      <c r="J39" s="72"/>
      <c r="K39" s="72"/>
      <c r="L39" s="72"/>
      <c r="M39" s="72"/>
      <c r="N39" s="16">
        <f>8.2</f>
        <v>8.1999999999999993</v>
      </c>
      <c r="O39" s="72"/>
      <c r="P39" s="15">
        <v>118.22</v>
      </c>
      <c r="Q39" s="72"/>
      <c r="R39" s="75"/>
      <c r="S39" s="72"/>
      <c r="T39" s="161">
        <f t="shared" si="0"/>
        <v>154.42000000000002</v>
      </c>
      <c r="U39" s="73">
        <f t="shared" si="2"/>
        <v>154.42000000000002</v>
      </c>
      <c r="V39" s="22" t="s">
        <v>1148</v>
      </c>
      <c r="W39" s="159"/>
      <c r="X39" s="68"/>
      <c r="Y39" s="68"/>
      <c r="Z39" s="68"/>
      <c r="AA39" s="68"/>
    </row>
    <row r="40" spans="1:27" ht="313.5" customHeight="1">
      <c r="A40" s="162"/>
      <c r="B40" s="706" t="s">
        <v>82</v>
      </c>
      <c r="C40" s="706" t="s">
        <v>83</v>
      </c>
      <c r="D40" s="72">
        <v>35</v>
      </c>
      <c r="E40" s="72" t="s">
        <v>84</v>
      </c>
      <c r="F40" s="179"/>
      <c r="G40" s="180"/>
      <c r="H40" s="180"/>
      <c r="I40" s="181"/>
      <c r="J40" s="180"/>
      <c r="K40" s="180"/>
      <c r="L40" s="180"/>
      <c r="M40" s="180"/>
      <c r="N40" s="182">
        <v>8</v>
      </c>
      <c r="O40" s="180"/>
      <c r="P40" s="183"/>
      <c r="Q40" s="184"/>
      <c r="R40" s="185"/>
      <c r="S40" s="180"/>
      <c r="T40" s="161">
        <f t="shared" si="0"/>
        <v>8</v>
      </c>
      <c r="U40" s="73">
        <f t="shared" si="2"/>
        <v>8</v>
      </c>
      <c r="V40" s="22" t="s">
        <v>1149</v>
      </c>
      <c r="W40" s="22" t="s">
        <v>1150</v>
      </c>
      <c r="X40" s="68"/>
      <c r="Y40" s="68"/>
      <c r="Z40" s="68"/>
      <c r="AA40" s="68"/>
    </row>
    <row r="41" spans="1:27" ht="74.25">
      <c r="A41" s="162"/>
      <c r="B41" s="712"/>
      <c r="C41" s="712"/>
      <c r="D41" s="72">
        <v>36</v>
      </c>
      <c r="E41" s="72" t="s">
        <v>85</v>
      </c>
      <c r="F41" s="186"/>
      <c r="G41" s="187"/>
      <c r="H41" s="187"/>
      <c r="I41" s="187"/>
      <c r="J41" s="187"/>
      <c r="K41" s="188">
        <v>182.37</v>
      </c>
      <c r="L41" s="187"/>
      <c r="M41" s="187"/>
      <c r="N41" s="189"/>
      <c r="O41" s="187"/>
      <c r="P41" s="187"/>
      <c r="Q41" s="187"/>
      <c r="R41" s="187"/>
      <c r="S41" s="187"/>
      <c r="T41" s="161">
        <f t="shared" si="0"/>
        <v>182.37</v>
      </c>
      <c r="U41" s="73">
        <f t="shared" si="2"/>
        <v>182.37</v>
      </c>
      <c r="V41" s="22" t="s">
        <v>1151</v>
      </c>
      <c r="W41" s="22" t="s">
        <v>1152</v>
      </c>
      <c r="X41" s="68"/>
      <c r="Y41" s="68"/>
      <c r="Z41" s="68"/>
      <c r="AA41" s="68"/>
    </row>
    <row r="42" spans="1:27" ht="61.5" customHeight="1">
      <c r="A42" s="162"/>
      <c r="B42" s="712"/>
      <c r="C42" s="712"/>
      <c r="D42" s="72">
        <v>37</v>
      </c>
      <c r="E42" s="72" t="s">
        <v>86</v>
      </c>
      <c r="F42" s="186"/>
      <c r="G42" s="187"/>
      <c r="H42" s="187"/>
      <c r="I42" s="187"/>
      <c r="J42" s="187"/>
      <c r="K42" s="188">
        <v>200</v>
      </c>
      <c r="L42" s="187"/>
      <c r="M42" s="187"/>
      <c r="N42" s="187"/>
      <c r="O42" s="187"/>
      <c r="P42" s="187"/>
      <c r="Q42" s="187"/>
      <c r="R42" s="187"/>
      <c r="S42" s="187"/>
      <c r="T42" s="161">
        <f t="shared" si="0"/>
        <v>200</v>
      </c>
      <c r="U42" s="73">
        <f t="shared" si="2"/>
        <v>200</v>
      </c>
      <c r="V42" s="22" t="s">
        <v>1153</v>
      </c>
      <c r="W42" s="22" t="s">
        <v>1154</v>
      </c>
      <c r="X42" s="68"/>
      <c r="Y42" s="68"/>
      <c r="Z42" s="68"/>
      <c r="AA42" s="68"/>
    </row>
    <row r="43" spans="1:27" ht="240" customHeight="1">
      <c r="A43" s="162"/>
      <c r="B43" s="712"/>
      <c r="C43" s="712"/>
      <c r="D43" s="72">
        <v>38</v>
      </c>
      <c r="E43" s="72" t="s">
        <v>87</v>
      </c>
      <c r="F43" s="186"/>
      <c r="G43" s="187"/>
      <c r="H43" s="187"/>
      <c r="I43" s="187"/>
      <c r="J43" s="187"/>
      <c r="K43" s="187"/>
      <c r="L43" s="187"/>
      <c r="M43" s="187"/>
      <c r="N43" s="190"/>
      <c r="O43" s="191"/>
      <c r="P43" s="191"/>
      <c r="Q43" s="191"/>
      <c r="R43" s="192"/>
      <c r="S43" s="187"/>
      <c r="T43" s="161">
        <f t="shared" si="0"/>
        <v>0</v>
      </c>
      <c r="U43" s="73">
        <f t="shared" si="2"/>
        <v>0</v>
      </c>
      <c r="V43" s="22"/>
      <c r="W43" s="22" t="s">
        <v>1155</v>
      </c>
      <c r="X43" s="68"/>
      <c r="Y43" s="68"/>
      <c r="Z43" s="68"/>
      <c r="AA43" s="68"/>
    </row>
    <row r="44" spans="1:27" ht="229.5" customHeight="1">
      <c r="A44" s="162"/>
      <c r="B44" s="712"/>
      <c r="C44" s="712"/>
      <c r="D44" s="72">
        <v>39</v>
      </c>
      <c r="E44" s="72" t="s">
        <v>88</v>
      </c>
      <c r="F44" s="186"/>
      <c r="G44" s="187"/>
      <c r="H44" s="187"/>
      <c r="I44" s="187"/>
      <c r="J44" s="187"/>
      <c r="K44" s="187"/>
      <c r="L44" s="187"/>
      <c r="M44" s="187"/>
      <c r="N44" s="193">
        <f>2+130+4</f>
        <v>136</v>
      </c>
      <c r="O44" s="187"/>
      <c r="P44" s="191">
        <f>87.8+22.76</f>
        <v>110.56</v>
      </c>
      <c r="Q44" s="194">
        <v>51.22</v>
      </c>
      <c r="R44" s="192"/>
      <c r="S44" s="187"/>
      <c r="T44" s="161">
        <f t="shared" si="0"/>
        <v>297.77999999999997</v>
      </c>
      <c r="U44" s="73">
        <f t="shared" si="2"/>
        <v>297.77999999999997</v>
      </c>
      <c r="V44" s="22" t="s">
        <v>1156</v>
      </c>
      <c r="W44" s="22" t="s">
        <v>1157</v>
      </c>
      <c r="X44" s="68"/>
      <c r="Y44" s="68"/>
      <c r="Z44" s="68"/>
      <c r="AA44" s="68"/>
    </row>
    <row r="45" spans="1:27" ht="254.25" customHeight="1">
      <c r="A45" s="162"/>
      <c r="B45" s="712"/>
      <c r="C45" s="712"/>
      <c r="D45" s="72">
        <v>40</v>
      </c>
      <c r="E45" s="72" t="s">
        <v>89</v>
      </c>
      <c r="F45" s="186"/>
      <c r="G45" s="187"/>
      <c r="H45" s="187"/>
      <c r="I45" s="187"/>
      <c r="J45" s="187"/>
      <c r="K45" s="187"/>
      <c r="L45" s="187"/>
      <c r="M45" s="187"/>
      <c r="N45" s="190"/>
      <c r="O45" s="187"/>
      <c r="P45" s="191">
        <f>15+17.1</f>
        <v>32.1</v>
      </c>
      <c r="Q45" s="193">
        <v>24</v>
      </c>
      <c r="R45" s="194"/>
      <c r="S45" s="192"/>
      <c r="T45" s="161">
        <f t="shared" si="0"/>
        <v>56.1</v>
      </c>
      <c r="U45" s="73">
        <f>T45-15</f>
        <v>41.1</v>
      </c>
      <c r="V45" s="22" t="s">
        <v>1158</v>
      </c>
      <c r="W45" s="22" t="s">
        <v>1159</v>
      </c>
      <c r="X45" s="68"/>
      <c r="Y45" s="68"/>
      <c r="Z45" s="68"/>
      <c r="AA45" s="68"/>
    </row>
    <row r="46" spans="1:27" ht="75">
      <c r="A46" s="162"/>
      <c r="B46" s="707"/>
      <c r="C46" s="707"/>
      <c r="D46" s="72">
        <v>41</v>
      </c>
      <c r="E46" s="72" t="s">
        <v>53</v>
      </c>
      <c r="F46" s="186"/>
      <c r="G46" s="187"/>
      <c r="H46" s="187"/>
      <c r="I46" s="187"/>
      <c r="J46" s="187"/>
      <c r="K46" s="187"/>
      <c r="L46" s="187"/>
      <c r="M46" s="187"/>
      <c r="N46" s="187"/>
      <c r="O46" s="187"/>
      <c r="P46" s="192"/>
      <c r="Q46" s="187"/>
      <c r="R46" s="187"/>
      <c r="S46" s="187"/>
      <c r="T46" s="161">
        <f t="shared" si="0"/>
        <v>0</v>
      </c>
      <c r="U46" s="73">
        <f>T46</f>
        <v>0</v>
      </c>
      <c r="V46" s="22"/>
      <c r="W46" s="22" t="s">
        <v>1160</v>
      </c>
      <c r="X46" s="68"/>
      <c r="Y46" s="68"/>
      <c r="Z46" s="68"/>
      <c r="AA46" s="68"/>
    </row>
    <row r="47" spans="1:27" ht="146.25" customHeight="1">
      <c r="A47" s="162"/>
      <c r="B47" s="706" t="s">
        <v>90</v>
      </c>
      <c r="C47" s="706" t="s">
        <v>91</v>
      </c>
      <c r="D47" s="72">
        <v>42</v>
      </c>
      <c r="E47" s="72" t="s">
        <v>92</v>
      </c>
      <c r="F47" s="15"/>
      <c r="G47" s="72"/>
      <c r="H47" s="72"/>
      <c r="I47" s="16"/>
      <c r="J47" s="72"/>
      <c r="K47" s="72"/>
      <c r="L47" s="72"/>
      <c r="M47" s="72"/>
      <c r="N47" s="73"/>
      <c r="O47" s="75"/>
      <c r="P47" s="15"/>
      <c r="Q47" s="72"/>
      <c r="R47" s="72"/>
      <c r="S47" s="72"/>
      <c r="T47" s="161">
        <f t="shared" si="0"/>
        <v>0</v>
      </c>
      <c r="U47" s="16">
        <v>72</v>
      </c>
      <c r="V47" s="137" t="s">
        <v>1161</v>
      </c>
      <c r="W47" s="195" t="s">
        <v>1162</v>
      </c>
      <c r="X47" s="68"/>
      <c r="Y47" s="68"/>
      <c r="Z47" s="68"/>
      <c r="AA47" s="68"/>
    </row>
    <row r="48" spans="1:27" ht="36" customHeight="1">
      <c r="A48" s="162"/>
      <c r="B48" s="712"/>
      <c r="C48" s="712"/>
      <c r="D48" s="72">
        <v>43</v>
      </c>
      <c r="E48" s="72" t="s">
        <v>93</v>
      </c>
      <c r="F48" s="76"/>
      <c r="G48" s="72"/>
      <c r="H48" s="72"/>
      <c r="I48" s="73"/>
      <c r="J48" s="72"/>
      <c r="K48" s="72"/>
      <c r="L48" s="72"/>
      <c r="M48" s="72"/>
      <c r="N48" s="73"/>
      <c r="O48" s="72"/>
      <c r="P48" s="76"/>
      <c r="Q48" s="72"/>
      <c r="R48" s="72"/>
      <c r="S48" s="72"/>
      <c r="T48" s="161">
        <f t="shared" si="0"/>
        <v>0</v>
      </c>
      <c r="U48" s="73"/>
      <c r="V48" s="74" t="s">
        <v>1163</v>
      </c>
      <c r="W48" s="159"/>
      <c r="X48" s="68"/>
      <c r="Y48" s="68"/>
      <c r="Z48" s="68"/>
      <c r="AA48" s="68"/>
    </row>
    <row r="49" spans="1:27" ht="285">
      <c r="A49" s="162"/>
      <c r="B49" s="712"/>
      <c r="C49" s="712"/>
      <c r="D49" s="72">
        <v>44</v>
      </c>
      <c r="E49" s="72" t="s">
        <v>95</v>
      </c>
      <c r="F49" s="76"/>
      <c r="G49" s="72"/>
      <c r="H49" s="72"/>
      <c r="I49" s="73"/>
      <c r="J49" s="72"/>
      <c r="K49" s="72"/>
      <c r="L49" s="72"/>
      <c r="M49" s="72"/>
      <c r="N49" s="73"/>
      <c r="O49" s="76"/>
      <c r="P49" s="76"/>
      <c r="Q49" s="72"/>
      <c r="R49" s="72"/>
      <c r="S49" s="72"/>
      <c r="T49" s="161">
        <f t="shared" si="0"/>
        <v>0</v>
      </c>
      <c r="U49" s="73"/>
      <c r="V49" s="74" t="s">
        <v>1164</v>
      </c>
      <c r="W49" s="159"/>
      <c r="X49" s="68"/>
      <c r="Y49" s="68"/>
      <c r="Z49" s="68"/>
      <c r="AA49" s="68"/>
    </row>
    <row r="50" spans="1:27" ht="120">
      <c r="A50" s="162"/>
      <c r="B50" s="712"/>
      <c r="C50" s="712"/>
      <c r="D50" s="72">
        <v>45</v>
      </c>
      <c r="E50" s="72" t="s">
        <v>96</v>
      </c>
      <c r="F50" s="15"/>
      <c r="G50" s="72"/>
      <c r="H50" s="75">
        <v>0</v>
      </c>
      <c r="I50" s="72"/>
      <c r="J50" s="72"/>
      <c r="K50" s="72"/>
      <c r="L50" s="72"/>
      <c r="M50" s="72"/>
      <c r="N50" s="73"/>
      <c r="O50" s="76"/>
      <c r="P50" s="72"/>
      <c r="Q50" s="72"/>
      <c r="R50" s="72"/>
      <c r="S50" s="72"/>
      <c r="T50" s="161">
        <f t="shared" si="0"/>
        <v>0</v>
      </c>
      <c r="U50" s="73">
        <f>T50</f>
        <v>0</v>
      </c>
      <c r="V50" s="74" t="s">
        <v>1165</v>
      </c>
      <c r="W50" s="159"/>
      <c r="X50" s="68"/>
      <c r="Y50" s="68"/>
      <c r="Z50" s="68"/>
      <c r="AA50" s="68"/>
    </row>
    <row r="51" spans="1:27" ht="28.5">
      <c r="A51" s="162"/>
      <c r="B51" s="712"/>
      <c r="C51" s="712"/>
      <c r="D51" s="72">
        <v>46</v>
      </c>
      <c r="E51" s="72" t="s">
        <v>98</v>
      </c>
      <c r="F51" s="72"/>
      <c r="G51" s="72"/>
      <c r="H51" s="72"/>
      <c r="I51" s="72"/>
      <c r="J51" s="72"/>
      <c r="K51" s="72"/>
      <c r="L51" s="72"/>
      <c r="M51" s="72"/>
      <c r="N51" s="72"/>
      <c r="O51" s="72"/>
      <c r="P51" s="72"/>
      <c r="Q51" s="72"/>
      <c r="R51" s="72"/>
      <c r="S51" s="72"/>
      <c r="T51" s="161">
        <f t="shared" si="0"/>
        <v>0</v>
      </c>
      <c r="U51" s="73"/>
      <c r="V51" s="74"/>
      <c r="W51" s="159"/>
      <c r="X51" s="68"/>
      <c r="Y51" s="68"/>
      <c r="Z51" s="68"/>
      <c r="AA51" s="68"/>
    </row>
    <row r="52" spans="1:27" ht="28.5">
      <c r="A52" s="162"/>
      <c r="B52" s="712"/>
      <c r="C52" s="712"/>
      <c r="D52" s="72">
        <v>47</v>
      </c>
      <c r="E52" s="72" t="s">
        <v>99</v>
      </c>
      <c r="F52" s="15">
        <v>0.2</v>
      </c>
      <c r="G52" s="72"/>
      <c r="H52" s="75">
        <v>0</v>
      </c>
      <c r="I52" s="72"/>
      <c r="J52" s="72"/>
      <c r="K52" s="72"/>
      <c r="L52" s="72"/>
      <c r="M52" s="72"/>
      <c r="N52" s="72"/>
      <c r="O52" s="72"/>
      <c r="P52" s="72"/>
      <c r="Q52" s="72"/>
      <c r="R52" s="72"/>
      <c r="S52" s="72"/>
      <c r="T52" s="161">
        <f t="shared" si="0"/>
        <v>0.2</v>
      </c>
      <c r="U52" s="16">
        <v>0.2</v>
      </c>
      <c r="V52" s="74" t="s">
        <v>1166</v>
      </c>
      <c r="W52" s="159"/>
      <c r="X52" s="68"/>
      <c r="Y52" s="68"/>
      <c r="Z52" s="68"/>
      <c r="AA52" s="68"/>
    </row>
    <row r="53" spans="1:27" ht="37.5" customHeight="1">
      <c r="A53" s="162"/>
      <c r="B53" s="712"/>
      <c r="C53" s="712"/>
      <c r="D53" s="72">
        <v>48</v>
      </c>
      <c r="E53" s="72" t="s">
        <v>101</v>
      </c>
      <c r="F53" s="72"/>
      <c r="G53" s="72"/>
      <c r="H53" s="72"/>
      <c r="I53" s="72"/>
      <c r="J53" s="72"/>
      <c r="K53" s="72"/>
      <c r="L53" s="72"/>
      <c r="M53" s="72"/>
      <c r="N53" s="73"/>
      <c r="O53" s="72"/>
      <c r="P53" s="76"/>
      <c r="Q53" s="72"/>
      <c r="R53" s="72"/>
      <c r="S53" s="72"/>
      <c r="T53" s="161">
        <f t="shared" si="0"/>
        <v>0</v>
      </c>
      <c r="U53" s="73"/>
      <c r="V53" s="74" t="s">
        <v>1167</v>
      </c>
      <c r="W53" s="159"/>
      <c r="X53" s="68"/>
      <c r="Y53" s="68"/>
      <c r="Z53" s="68"/>
      <c r="AA53" s="68"/>
    </row>
    <row r="54" spans="1:27" ht="210">
      <c r="A54" s="162"/>
      <c r="B54" s="712"/>
      <c r="C54" s="712"/>
      <c r="D54" s="72">
        <v>49</v>
      </c>
      <c r="E54" s="72" t="s">
        <v>103</v>
      </c>
      <c r="F54" s="72"/>
      <c r="G54" s="72"/>
      <c r="H54" s="72"/>
      <c r="I54" s="72"/>
      <c r="J54" s="72"/>
      <c r="K54" s="72"/>
      <c r="L54" s="72"/>
      <c r="M54" s="72"/>
      <c r="N54" s="72"/>
      <c r="O54" s="72"/>
      <c r="P54" s="72"/>
      <c r="Q54" s="16">
        <v>30.56</v>
      </c>
      <c r="R54" s="76"/>
      <c r="S54" s="72"/>
      <c r="T54" s="161">
        <f t="shared" si="0"/>
        <v>30.56</v>
      </c>
      <c r="U54" s="16">
        <v>30.56</v>
      </c>
      <c r="V54" s="22" t="s">
        <v>1168</v>
      </c>
      <c r="W54" s="159"/>
      <c r="X54" s="68"/>
      <c r="Y54" s="68"/>
      <c r="Z54" s="68"/>
      <c r="AA54" s="68"/>
    </row>
    <row r="55" spans="1:27" ht="180">
      <c r="A55" s="162"/>
      <c r="B55" s="712"/>
      <c r="C55" s="712"/>
      <c r="D55" s="72">
        <v>50</v>
      </c>
      <c r="E55" s="72" t="s">
        <v>105</v>
      </c>
      <c r="F55" s="72"/>
      <c r="G55" s="72"/>
      <c r="H55" s="72"/>
      <c r="I55" s="73"/>
      <c r="J55" s="72"/>
      <c r="K55" s="75"/>
      <c r="L55" s="72"/>
      <c r="M55" s="72"/>
      <c r="N55" s="73"/>
      <c r="O55" s="72"/>
      <c r="P55" s="76"/>
      <c r="Q55" s="16">
        <v>56.55</v>
      </c>
      <c r="R55" s="15">
        <v>0.94</v>
      </c>
      <c r="S55" s="75"/>
      <c r="T55" s="161">
        <f t="shared" si="0"/>
        <v>57.489999999999995</v>
      </c>
      <c r="U55" s="16">
        <f>T55</f>
        <v>57.489999999999995</v>
      </c>
      <c r="V55" s="22" t="s">
        <v>1169</v>
      </c>
      <c r="W55" s="159"/>
      <c r="X55" s="68"/>
      <c r="Y55" s="68"/>
      <c r="Z55" s="68"/>
      <c r="AA55" s="68"/>
    </row>
    <row r="56" spans="1:27" ht="1.5" customHeight="1">
      <c r="A56" s="162"/>
      <c r="B56" s="707"/>
      <c r="C56" s="707"/>
      <c r="D56" s="72">
        <v>51</v>
      </c>
      <c r="E56" s="72" t="s">
        <v>53</v>
      </c>
      <c r="F56" s="72"/>
      <c r="G56" s="72"/>
      <c r="H56" s="72"/>
      <c r="I56" s="72"/>
      <c r="J56" s="72"/>
      <c r="K56" s="72"/>
      <c r="L56" s="72"/>
      <c r="M56" s="72"/>
      <c r="N56" s="76"/>
      <c r="O56" s="72"/>
      <c r="P56" s="72"/>
      <c r="Q56" s="72"/>
      <c r="R56" s="72"/>
      <c r="S56" s="72"/>
      <c r="T56" s="161">
        <f t="shared" si="0"/>
        <v>0</v>
      </c>
      <c r="U56" s="73"/>
      <c r="V56" s="74"/>
      <c r="W56" s="159"/>
      <c r="X56" s="68"/>
      <c r="Y56" s="68"/>
      <c r="Z56" s="68"/>
      <c r="AA56" s="68"/>
    </row>
    <row r="57" spans="1:27" ht="54" customHeight="1">
      <c r="A57" s="162"/>
      <c r="B57" s="706" t="s">
        <v>107</v>
      </c>
      <c r="C57" s="706" t="s">
        <v>108</v>
      </c>
      <c r="D57" s="72">
        <v>52</v>
      </c>
      <c r="E57" s="72" t="s">
        <v>109</v>
      </c>
      <c r="F57" s="77"/>
      <c r="G57" s="77"/>
      <c r="H57" s="77"/>
      <c r="I57" s="79">
        <v>151.22999999999999</v>
      </c>
      <c r="J57" s="77"/>
      <c r="K57" s="82">
        <v>1017.6041300000001</v>
      </c>
      <c r="L57" s="82"/>
      <c r="M57" s="77"/>
      <c r="N57" s="79"/>
      <c r="O57" s="78"/>
      <c r="P57" s="77"/>
      <c r="Q57" s="77"/>
      <c r="R57" s="77"/>
      <c r="S57" s="77"/>
      <c r="T57" s="161">
        <f t="shared" si="0"/>
        <v>1168.83413</v>
      </c>
      <c r="U57" s="16">
        <f>148.885+K57</f>
        <v>1166.4891299999999</v>
      </c>
      <c r="V57" s="22" t="s">
        <v>1170</v>
      </c>
      <c r="W57" s="196" t="s">
        <v>1171</v>
      </c>
      <c r="X57" s="68"/>
      <c r="Y57" s="68"/>
      <c r="Z57" s="68"/>
      <c r="AA57" s="68"/>
    </row>
    <row r="58" spans="1:27" ht="180">
      <c r="A58" s="162"/>
      <c r="B58" s="712"/>
      <c r="C58" s="712"/>
      <c r="D58" s="72">
        <v>53</v>
      </c>
      <c r="E58" s="72" t="s">
        <v>111</v>
      </c>
      <c r="F58" s="77"/>
      <c r="G58" s="77"/>
      <c r="H58" s="77"/>
      <c r="I58" s="77"/>
      <c r="J58" s="77"/>
      <c r="K58" s="79">
        <v>223.49</v>
      </c>
      <c r="L58" s="77"/>
      <c r="M58" s="77"/>
      <c r="N58" s="79"/>
      <c r="O58" s="81"/>
      <c r="P58" s="77"/>
      <c r="Q58" s="81">
        <v>0</v>
      </c>
      <c r="R58" s="77"/>
      <c r="S58" s="77"/>
      <c r="T58" s="161">
        <f t="shared" si="0"/>
        <v>223.49</v>
      </c>
      <c r="U58" s="73">
        <f>T58</f>
        <v>223.49</v>
      </c>
      <c r="V58" s="22" t="s">
        <v>1172</v>
      </c>
      <c r="W58" s="177" t="s">
        <v>1173</v>
      </c>
      <c r="X58" s="68"/>
      <c r="Y58" s="68"/>
      <c r="Z58" s="68"/>
      <c r="AA58" s="68"/>
    </row>
    <row r="59" spans="1:27" ht="105">
      <c r="A59" s="162"/>
      <c r="B59" s="712"/>
      <c r="C59" s="712"/>
      <c r="D59" s="72">
        <v>54</v>
      </c>
      <c r="E59" s="72" t="s">
        <v>113</v>
      </c>
      <c r="F59" s="77"/>
      <c r="G59" s="77"/>
      <c r="H59" s="78"/>
      <c r="I59" s="77"/>
      <c r="J59" s="77"/>
      <c r="K59" s="77"/>
      <c r="L59" s="77"/>
      <c r="M59" s="77"/>
      <c r="N59" s="77"/>
      <c r="O59" s="78"/>
      <c r="P59" s="78"/>
      <c r="Q59" s="77"/>
      <c r="R59" s="77"/>
      <c r="S59" s="77"/>
      <c r="T59" s="161">
        <f t="shared" si="0"/>
        <v>0</v>
      </c>
      <c r="U59" s="73"/>
      <c r="V59" s="22" t="s">
        <v>1174</v>
      </c>
      <c r="W59" s="159"/>
      <c r="X59" s="68"/>
      <c r="Y59" s="68"/>
      <c r="Z59" s="68"/>
      <c r="AA59" s="68"/>
    </row>
    <row r="60" spans="1:27" ht="60">
      <c r="A60" s="162"/>
      <c r="B60" s="712"/>
      <c r="C60" s="712"/>
      <c r="D60" s="72">
        <v>55</v>
      </c>
      <c r="E60" s="72" t="s">
        <v>114</v>
      </c>
      <c r="F60" s="77"/>
      <c r="G60" s="77"/>
      <c r="H60" s="77"/>
      <c r="I60" s="77"/>
      <c r="J60" s="77"/>
      <c r="K60" s="82">
        <v>48.6</v>
      </c>
      <c r="L60" s="82"/>
      <c r="M60" s="77"/>
      <c r="N60" s="77"/>
      <c r="O60" s="77"/>
      <c r="P60" s="77"/>
      <c r="Q60" s="82"/>
      <c r="R60" s="77"/>
      <c r="S60" s="77"/>
      <c r="T60" s="161">
        <f t="shared" si="0"/>
        <v>48.6</v>
      </c>
      <c r="U60" s="73">
        <f t="shared" ref="U60:U61" si="3">T60</f>
        <v>48.6</v>
      </c>
      <c r="V60" s="22" t="s">
        <v>1175</v>
      </c>
      <c r="W60" s="159"/>
      <c r="X60" s="68"/>
      <c r="Y60" s="68"/>
      <c r="Z60" s="68"/>
      <c r="AA60" s="68"/>
    </row>
    <row r="61" spans="1:27" ht="105">
      <c r="A61" s="162"/>
      <c r="B61" s="712"/>
      <c r="C61" s="712"/>
      <c r="D61" s="72">
        <v>56</v>
      </c>
      <c r="E61" s="72" t="s">
        <v>115</v>
      </c>
      <c r="F61" s="77"/>
      <c r="G61" s="77"/>
      <c r="H61" s="77"/>
      <c r="I61" s="77"/>
      <c r="J61" s="77"/>
      <c r="K61" s="77"/>
      <c r="L61" s="77"/>
      <c r="M61" s="77"/>
      <c r="N61" s="77"/>
      <c r="O61" s="78"/>
      <c r="P61" s="77"/>
      <c r="Q61" s="82">
        <v>5</v>
      </c>
      <c r="R61" s="77"/>
      <c r="S61" s="77"/>
      <c r="T61" s="161">
        <f t="shared" si="0"/>
        <v>5</v>
      </c>
      <c r="U61" s="73">
        <f t="shared" si="3"/>
        <v>5</v>
      </c>
      <c r="V61" s="22" t="s">
        <v>1176</v>
      </c>
      <c r="W61" s="159"/>
      <c r="X61" s="68"/>
      <c r="Y61" s="68"/>
      <c r="Z61" s="68"/>
      <c r="AA61" s="68"/>
    </row>
    <row r="62" spans="1:27" ht="120">
      <c r="A62" s="162"/>
      <c r="B62" s="712"/>
      <c r="C62" s="712"/>
      <c r="D62" s="72">
        <v>57</v>
      </c>
      <c r="E62" s="72" t="s">
        <v>116</v>
      </c>
      <c r="F62" s="77"/>
      <c r="G62" s="77"/>
      <c r="H62" s="78"/>
      <c r="I62" s="77"/>
      <c r="J62" s="77"/>
      <c r="K62" s="77"/>
      <c r="L62" s="77"/>
      <c r="M62" s="80"/>
      <c r="N62" s="77"/>
      <c r="O62" s="77"/>
      <c r="P62" s="77"/>
      <c r="Q62" s="77"/>
      <c r="R62" s="77"/>
      <c r="S62" s="77"/>
      <c r="T62" s="161">
        <f t="shared" si="0"/>
        <v>0</v>
      </c>
      <c r="U62" s="73"/>
      <c r="V62" s="22" t="s">
        <v>1177</v>
      </c>
      <c r="W62" s="159"/>
      <c r="X62" s="68"/>
      <c r="Y62" s="68"/>
      <c r="Z62" s="68"/>
      <c r="AA62" s="68"/>
    </row>
    <row r="63" spans="1:27" ht="135">
      <c r="A63" s="162"/>
      <c r="B63" s="712"/>
      <c r="C63" s="712"/>
      <c r="D63" s="72">
        <v>58</v>
      </c>
      <c r="E63" s="72" t="s">
        <v>117</v>
      </c>
      <c r="F63" s="77"/>
      <c r="G63" s="77"/>
      <c r="H63" s="77"/>
      <c r="I63" s="77"/>
      <c r="J63" s="77"/>
      <c r="K63" s="82">
        <v>82.73</v>
      </c>
      <c r="L63" s="82"/>
      <c r="M63" s="77"/>
      <c r="N63" s="82"/>
      <c r="O63" s="81"/>
      <c r="P63" s="77"/>
      <c r="Q63" s="81"/>
      <c r="R63" s="82">
        <v>1.05</v>
      </c>
      <c r="S63" s="77"/>
      <c r="T63" s="161">
        <f t="shared" si="0"/>
        <v>83.78</v>
      </c>
      <c r="U63" s="73">
        <f>T63</f>
        <v>83.78</v>
      </c>
      <c r="V63" s="22" t="s">
        <v>1178</v>
      </c>
      <c r="W63" s="159"/>
      <c r="X63" s="68"/>
      <c r="Y63" s="68"/>
      <c r="Z63" s="68"/>
      <c r="AA63" s="68"/>
    </row>
    <row r="64" spans="1:27" ht="36" customHeight="1">
      <c r="A64" s="162"/>
      <c r="B64" s="712"/>
      <c r="C64" s="712"/>
      <c r="D64" s="72">
        <v>59</v>
      </c>
      <c r="E64" s="72" t="s">
        <v>119</v>
      </c>
      <c r="F64" s="77"/>
      <c r="G64" s="77"/>
      <c r="H64" s="77"/>
      <c r="I64" s="77"/>
      <c r="J64" s="77"/>
      <c r="K64" s="77"/>
      <c r="L64" s="77"/>
      <c r="M64" s="77"/>
      <c r="N64" s="77"/>
      <c r="O64" s="77"/>
      <c r="P64" s="82">
        <v>120</v>
      </c>
      <c r="Q64" s="77"/>
      <c r="R64" s="77"/>
      <c r="S64" s="77"/>
      <c r="T64" s="161">
        <f t="shared" si="0"/>
        <v>120</v>
      </c>
      <c r="U64" s="16">
        <v>120</v>
      </c>
      <c r="V64" s="197" t="s">
        <v>1179</v>
      </c>
      <c r="W64" s="159"/>
      <c r="X64" s="68"/>
      <c r="Y64" s="68"/>
      <c r="Z64" s="68"/>
      <c r="AA64" s="68"/>
    </row>
    <row r="65" spans="1:27" ht="28.5">
      <c r="A65" s="162"/>
      <c r="B65" s="712"/>
      <c r="C65" s="712"/>
      <c r="D65" s="72">
        <v>60</v>
      </c>
      <c r="E65" s="72" t="s">
        <v>120</v>
      </c>
      <c r="F65" s="77"/>
      <c r="G65" s="77"/>
      <c r="H65" s="77"/>
      <c r="I65" s="77"/>
      <c r="J65" s="77"/>
      <c r="K65" s="77"/>
      <c r="L65" s="77"/>
      <c r="M65" s="77"/>
      <c r="N65" s="77"/>
      <c r="O65" s="77"/>
      <c r="P65" s="77"/>
      <c r="Q65" s="77"/>
      <c r="R65" s="77"/>
      <c r="S65" s="77"/>
      <c r="T65" s="161">
        <f t="shared" si="0"/>
        <v>0</v>
      </c>
      <c r="U65" s="73"/>
      <c r="V65" s="74"/>
      <c r="W65" s="159"/>
      <c r="X65" s="68"/>
      <c r="Y65" s="68"/>
      <c r="Z65" s="68"/>
      <c r="AA65" s="68"/>
    </row>
    <row r="66" spans="1:27" ht="42.75">
      <c r="A66" s="162"/>
      <c r="B66" s="707"/>
      <c r="C66" s="707"/>
      <c r="D66" s="72">
        <v>61</v>
      </c>
      <c r="E66" s="72" t="s">
        <v>53</v>
      </c>
      <c r="F66" s="77"/>
      <c r="G66" s="77"/>
      <c r="H66" s="77"/>
      <c r="I66" s="77"/>
      <c r="J66" s="77"/>
      <c r="K66" s="77"/>
      <c r="L66" s="77"/>
      <c r="M66" s="77"/>
      <c r="N66" s="77"/>
      <c r="O66" s="77"/>
      <c r="P66" s="77"/>
      <c r="Q66" s="77"/>
      <c r="R66" s="77"/>
      <c r="S66" s="77"/>
      <c r="T66" s="161">
        <f t="shared" si="0"/>
        <v>0</v>
      </c>
      <c r="U66" s="73"/>
      <c r="V66" s="74"/>
      <c r="W66" s="159"/>
      <c r="X66" s="68"/>
      <c r="Y66" s="68"/>
      <c r="Z66" s="68"/>
      <c r="AA66" s="68"/>
    </row>
    <row r="67" spans="1:27" ht="405">
      <c r="A67" s="162"/>
      <c r="B67" s="72" t="s">
        <v>121</v>
      </c>
      <c r="C67" s="72" t="s">
        <v>122</v>
      </c>
      <c r="D67" s="72">
        <v>62</v>
      </c>
      <c r="E67" s="72" t="s">
        <v>123</v>
      </c>
      <c r="F67" s="72"/>
      <c r="G67" s="72"/>
      <c r="H67" s="72"/>
      <c r="I67" s="72"/>
      <c r="J67" s="72"/>
      <c r="K67" s="72"/>
      <c r="L67" s="72"/>
      <c r="M67" s="16">
        <v>12</v>
      </c>
      <c r="N67" s="72"/>
      <c r="O67" s="15"/>
      <c r="P67" s="76"/>
      <c r="Q67" s="16">
        <v>2.5</v>
      </c>
      <c r="R67" s="72"/>
      <c r="S67" s="15">
        <v>1</v>
      </c>
      <c r="T67" s="161">
        <f t="shared" si="0"/>
        <v>15.5</v>
      </c>
      <c r="U67" s="16">
        <f>T67</f>
        <v>15.5</v>
      </c>
      <c r="V67" s="22" t="s">
        <v>1180</v>
      </c>
      <c r="W67" s="159"/>
      <c r="X67" s="68"/>
      <c r="Y67" s="68"/>
      <c r="Z67" s="68"/>
      <c r="AA67" s="68"/>
    </row>
    <row r="68" spans="1:27" ht="16.5">
      <c r="A68" s="198"/>
      <c r="B68" s="713" t="s">
        <v>125</v>
      </c>
      <c r="C68" s="709"/>
      <c r="D68" s="710"/>
      <c r="E68" s="84"/>
      <c r="F68" s="84">
        <f t="shared" ref="F68:S68" si="4">SUM(F6:F67)</f>
        <v>0.2</v>
      </c>
      <c r="G68" s="84">
        <f t="shared" si="4"/>
        <v>0</v>
      </c>
      <c r="H68" s="84">
        <f t="shared" si="4"/>
        <v>0</v>
      </c>
      <c r="I68" s="84">
        <f t="shared" si="4"/>
        <v>1448.5260000000001</v>
      </c>
      <c r="J68" s="84">
        <f t="shared" si="4"/>
        <v>0</v>
      </c>
      <c r="K68" s="84">
        <f t="shared" si="4"/>
        <v>2381.6390899999997</v>
      </c>
      <c r="L68" s="84">
        <f t="shared" si="4"/>
        <v>0</v>
      </c>
      <c r="M68" s="84">
        <f t="shared" si="4"/>
        <v>12</v>
      </c>
      <c r="N68" s="84">
        <f t="shared" si="4"/>
        <v>225.25069999999999</v>
      </c>
      <c r="O68" s="84">
        <f t="shared" si="4"/>
        <v>0</v>
      </c>
      <c r="P68" s="84">
        <f t="shared" si="4"/>
        <v>590.17000000000007</v>
      </c>
      <c r="Q68" s="84">
        <f t="shared" si="4"/>
        <v>484.27</v>
      </c>
      <c r="R68" s="84">
        <f t="shared" si="4"/>
        <v>20.51</v>
      </c>
      <c r="S68" s="84">
        <f t="shared" si="4"/>
        <v>11.33</v>
      </c>
      <c r="T68" s="161">
        <f t="shared" si="0"/>
        <v>5173.8957900000005</v>
      </c>
      <c r="U68" s="5">
        <f>SUM(U6:U67)</f>
        <v>4925.2732899999992</v>
      </c>
      <c r="V68" s="152"/>
      <c r="W68" s="159"/>
      <c r="X68" s="68"/>
      <c r="Y68" s="68"/>
      <c r="Z68" s="68"/>
      <c r="AA68" s="68"/>
    </row>
    <row r="69" spans="1:27" ht="128.25">
      <c r="A69" s="714"/>
      <c r="B69" s="72" t="s">
        <v>127</v>
      </c>
      <c r="C69" s="72" t="s">
        <v>128</v>
      </c>
      <c r="D69" s="72">
        <v>63</v>
      </c>
      <c r="E69" s="72" t="s">
        <v>129</v>
      </c>
      <c r="F69" s="72"/>
      <c r="G69" s="72"/>
      <c r="H69" s="72"/>
      <c r="I69" s="72"/>
      <c r="J69" s="72"/>
      <c r="K69" s="72"/>
      <c r="L69" s="72"/>
      <c r="M69" s="76"/>
      <c r="N69" s="16">
        <v>1.7</v>
      </c>
      <c r="O69" s="72"/>
      <c r="P69" s="73"/>
      <c r="Q69" s="75">
        <v>0</v>
      </c>
      <c r="R69" s="15">
        <v>10.5</v>
      </c>
      <c r="S69" s="15">
        <v>10</v>
      </c>
      <c r="T69" s="161">
        <f t="shared" si="0"/>
        <v>22.2</v>
      </c>
      <c r="U69" s="16">
        <v>12.2</v>
      </c>
      <c r="V69" s="137" t="s">
        <v>1181</v>
      </c>
      <c r="W69" s="177" t="s">
        <v>1182</v>
      </c>
      <c r="X69" s="68"/>
      <c r="Y69" s="68"/>
      <c r="Z69" s="68"/>
      <c r="AA69" s="68"/>
    </row>
    <row r="70" spans="1:27" ht="231.75" customHeight="1">
      <c r="A70" s="712"/>
      <c r="B70" s="706" t="s">
        <v>131</v>
      </c>
      <c r="C70" s="706" t="s">
        <v>132</v>
      </c>
      <c r="D70" s="72">
        <v>64</v>
      </c>
      <c r="E70" s="72" t="s">
        <v>133</v>
      </c>
      <c r="F70" s="86"/>
      <c r="G70" s="142"/>
      <c r="H70" s="86"/>
      <c r="I70" s="88">
        <v>6.36</v>
      </c>
      <c r="J70" s="91">
        <v>0.6</v>
      </c>
      <c r="K70" s="88">
        <v>0.91</v>
      </c>
      <c r="L70" s="90"/>
      <c r="M70" s="91">
        <v>17.25</v>
      </c>
      <c r="N70" s="199">
        <v>1.36</v>
      </c>
      <c r="O70" s="87"/>
      <c r="P70" s="88"/>
      <c r="Q70" s="16">
        <v>0.6</v>
      </c>
      <c r="R70" s="89">
        <v>6</v>
      </c>
      <c r="S70" s="89"/>
      <c r="T70" s="161">
        <f t="shared" si="0"/>
        <v>33.08</v>
      </c>
      <c r="U70" s="73">
        <f t="shared" ref="U70:U71" si="5">T70</f>
        <v>33.08</v>
      </c>
      <c r="V70" s="22" t="s">
        <v>1183</v>
      </c>
      <c r="W70" s="177" t="s">
        <v>1184</v>
      </c>
      <c r="X70" s="68"/>
      <c r="Y70" s="68"/>
      <c r="Z70" s="68"/>
      <c r="AA70" s="68"/>
    </row>
    <row r="71" spans="1:27" ht="115.5">
      <c r="A71" s="712"/>
      <c r="B71" s="712"/>
      <c r="C71" s="712"/>
      <c r="D71" s="72">
        <v>65</v>
      </c>
      <c r="E71" s="72" t="s">
        <v>135</v>
      </c>
      <c r="F71" s="86"/>
      <c r="G71" s="86"/>
      <c r="H71" s="86"/>
      <c r="I71" s="86"/>
      <c r="J71" s="86"/>
      <c r="K71" s="86"/>
      <c r="L71" s="86"/>
      <c r="M71" s="86"/>
      <c r="N71" s="88">
        <v>0.5</v>
      </c>
      <c r="O71" s="86"/>
      <c r="P71" s="89">
        <v>0.15</v>
      </c>
      <c r="Q71" s="75"/>
      <c r="R71" s="86"/>
      <c r="S71" s="89"/>
      <c r="T71" s="161">
        <f t="shared" si="0"/>
        <v>0.65</v>
      </c>
      <c r="U71" s="73">
        <f t="shared" si="5"/>
        <v>0.65</v>
      </c>
      <c r="V71" s="22" t="s">
        <v>1185</v>
      </c>
      <c r="W71" s="177" t="s">
        <v>1186</v>
      </c>
      <c r="X71" s="68"/>
      <c r="Y71" s="68"/>
      <c r="Z71" s="68"/>
      <c r="AA71" s="68"/>
    </row>
    <row r="72" spans="1:27" ht="131.25">
      <c r="A72" s="712"/>
      <c r="B72" s="712"/>
      <c r="C72" s="712"/>
      <c r="D72" s="72">
        <v>66</v>
      </c>
      <c r="E72" s="72" t="s">
        <v>137</v>
      </c>
      <c r="F72" s="86"/>
      <c r="G72" s="86"/>
      <c r="H72" s="86"/>
      <c r="I72" s="86"/>
      <c r="J72" s="91">
        <v>0.44</v>
      </c>
      <c r="K72" s="88">
        <v>5</v>
      </c>
      <c r="L72" s="90"/>
      <c r="M72" s="86"/>
      <c r="N72" s="88">
        <v>0.3</v>
      </c>
      <c r="O72" s="86"/>
      <c r="P72" s="89">
        <v>0.99</v>
      </c>
      <c r="Q72" s="73"/>
      <c r="R72" s="88">
        <v>2.35</v>
      </c>
      <c r="S72" s="91"/>
      <c r="T72" s="161">
        <f t="shared" si="0"/>
        <v>9.08</v>
      </c>
      <c r="U72" s="73">
        <f>T72-S72</f>
        <v>9.08</v>
      </c>
      <c r="V72" s="22" t="s">
        <v>1187</v>
      </c>
      <c r="W72" s="177" t="s">
        <v>1188</v>
      </c>
      <c r="X72" s="68"/>
      <c r="Y72" s="68"/>
      <c r="Z72" s="68"/>
      <c r="AA72" s="68"/>
    </row>
    <row r="73" spans="1:27" ht="409.6" customHeight="1">
      <c r="A73" s="712"/>
      <c r="B73" s="712"/>
      <c r="C73" s="712"/>
      <c r="D73" s="72">
        <v>67</v>
      </c>
      <c r="E73" s="72" t="s">
        <v>139</v>
      </c>
      <c r="F73" s="86"/>
      <c r="G73" s="86"/>
      <c r="H73" s="86"/>
      <c r="I73" s="91"/>
      <c r="J73" s="91">
        <v>72.48</v>
      </c>
      <c r="K73" s="88">
        <v>31</v>
      </c>
      <c r="L73" s="90"/>
      <c r="M73" s="91">
        <v>25.2</v>
      </c>
      <c r="N73" s="88">
        <v>0.75</v>
      </c>
      <c r="O73" s="86"/>
      <c r="P73" s="87"/>
      <c r="Q73" s="16">
        <v>5</v>
      </c>
      <c r="R73" s="89">
        <v>5</v>
      </c>
      <c r="S73" s="89"/>
      <c r="T73" s="161">
        <f t="shared" si="0"/>
        <v>139.43</v>
      </c>
      <c r="U73" s="73">
        <f t="shared" ref="U73:U74" si="6">T73</f>
        <v>139.43</v>
      </c>
      <c r="V73" s="22" t="s">
        <v>1189</v>
      </c>
      <c r="W73" s="177" t="s">
        <v>1190</v>
      </c>
      <c r="X73" s="68"/>
      <c r="Y73" s="68"/>
      <c r="Z73" s="68"/>
      <c r="AA73" s="68"/>
    </row>
    <row r="74" spans="1:27" ht="49.5">
      <c r="A74" s="712"/>
      <c r="B74" s="707"/>
      <c r="C74" s="707"/>
      <c r="D74" s="72">
        <v>68</v>
      </c>
      <c r="E74" s="72" t="s">
        <v>141</v>
      </c>
      <c r="F74" s="87"/>
      <c r="G74" s="86"/>
      <c r="H74" s="86"/>
      <c r="I74" s="90"/>
      <c r="J74" s="91">
        <v>2.86</v>
      </c>
      <c r="K74" s="88"/>
      <c r="L74" s="90"/>
      <c r="M74" s="86"/>
      <c r="N74" s="88">
        <v>2</v>
      </c>
      <c r="O74" s="87"/>
      <c r="P74" s="89"/>
      <c r="Q74" s="16">
        <v>3</v>
      </c>
      <c r="R74" s="89"/>
      <c r="S74" s="89"/>
      <c r="T74" s="161">
        <f t="shared" si="0"/>
        <v>7.8599999999999994</v>
      </c>
      <c r="U74" s="73">
        <f t="shared" si="6"/>
        <v>7.8599999999999994</v>
      </c>
      <c r="V74" s="22" t="s">
        <v>1191</v>
      </c>
      <c r="W74" s="177" t="s">
        <v>1192</v>
      </c>
      <c r="X74" s="68"/>
      <c r="Y74" s="68"/>
      <c r="Z74" s="68"/>
      <c r="AA74" s="68"/>
    </row>
    <row r="75" spans="1:27" ht="28.5">
      <c r="A75" s="712"/>
      <c r="B75" s="706" t="s">
        <v>143</v>
      </c>
      <c r="C75" s="706" t="s">
        <v>144</v>
      </c>
      <c r="D75" s="72">
        <v>69</v>
      </c>
      <c r="E75" s="72" t="s">
        <v>145</v>
      </c>
      <c r="F75" s="200">
        <v>0</v>
      </c>
      <c r="G75" s="143"/>
      <c r="H75" s="143"/>
      <c r="I75" s="201"/>
      <c r="J75" s="143"/>
      <c r="K75" s="143"/>
      <c r="L75" s="143"/>
      <c r="M75" s="201"/>
      <c r="N75" s="143"/>
      <c r="O75" s="202"/>
      <c r="P75" s="202"/>
      <c r="Q75" s="143"/>
      <c r="R75" s="143"/>
      <c r="S75" s="143"/>
      <c r="T75" s="161">
        <f t="shared" si="0"/>
        <v>0</v>
      </c>
      <c r="U75" s="203">
        <v>0</v>
      </c>
      <c r="V75" s="204"/>
      <c r="W75" s="204"/>
      <c r="X75" s="68"/>
      <c r="Y75" s="68"/>
      <c r="Z75" s="68"/>
      <c r="AA75" s="68"/>
    </row>
    <row r="76" spans="1:27" ht="42.75">
      <c r="A76" s="712"/>
      <c r="B76" s="712"/>
      <c r="C76" s="712"/>
      <c r="D76" s="72">
        <v>70</v>
      </c>
      <c r="E76" s="72" t="s">
        <v>147</v>
      </c>
      <c r="F76" s="205"/>
      <c r="G76" s="145"/>
      <c r="H76" s="145"/>
      <c r="I76" s="206"/>
      <c r="J76" s="145"/>
      <c r="K76" s="145"/>
      <c r="L76" s="145"/>
      <c r="M76" s="145"/>
      <c r="N76" s="145"/>
      <c r="O76" s="145"/>
      <c r="P76" s="207"/>
      <c r="Q76" s="145"/>
      <c r="R76" s="145"/>
      <c r="S76" s="145"/>
      <c r="T76" s="161">
        <f t="shared" si="0"/>
        <v>0</v>
      </c>
      <c r="U76" s="208">
        <v>0</v>
      </c>
      <c r="V76" s="204"/>
      <c r="W76" s="204"/>
      <c r="X76" s="68"/>
      <c r="Y76" s="68"/>
      <c r="Z76" s="68"/>
      <c r="AA76" s="68"/>
    </row>
    <row r="77" spans="1:27" ht="47.25" customHeight="1">
      <c r="A77" s="712"/>
      <c r="B77" s="712"/>
      <c r="C77" s="712"/>
      <c r="D77" s="72">
        <v>71</v>
      </c>
      <c r="E77" s="72" t="s">
        <v>149</v>
      </c>
      <c r="F77" s="144"/>
      <c r="G77" s="145"/>
      <c r="H77" s="145"/>
      <c r="I77" s="145"/>
      <c r="J77" s="145"/>
      <c r="K77" s="145"/>
      <c r="L77" s="145"/>
      <c r="M77" s="145"/>
      <c r="N77" s="145"/>
      <c r="O77" s="145"/>
      <c r="P77" s="145"/>
      <c r="Q77" s="145"/>
      <c r="R77" s="145"/>
      <c r="S77" s="145"/>
      <c r="T77" s="161">
        <f t="shared" si="0"/>
        <v>0</v>
      </c>
      <c r="U77" s="208">
        <v>0</v>
      </c>
      <c r="V77" s="204"/>
      <c r="W77" s="204"/>
      <c r="X77" s="68"/>
      <c r="Y77" s="68"/>
      <c r="Z77" s="68"/>
      <c r="AA77" s="68"/>
    </row>
    <row r="78" spans="1:27" ht="214.5" customHeight="1">
      <c r="A78" s="712"/>
      <c r="B78" s="707"/>
      <c r="C78" s="707"/>
      <c r="D78" s="72">
        <v>72</v>
      </c>
      <c r="E78" s="72" t="s">
        <v>150</v>
      </c>
      <c r="F78" s="144"/>
      <c r="G78" s="145"/>
      <c r="H78" s="145"/>
      <c r="I78" s="145"/>
      <c r="J78" s="145"/>
      <c r="K78" s="145"/>
      <c r="L78" s="145"/>
      <c r="M78" s="145"/>
      <c r="N78" s="146">
        <v>5.58</v>
      </c>
      <c r="O78" s="145"/>
      <c r="P78" s="145"/>
      <c r="Q78" s="146">
        <v>0</v>
      </c>
      <c r="R78" s="146">
        <v>7.75</v>
      </c>
      <c r="S78" s="145"/>
      <c r="T78" s="161">
        <f t="shared" si="0"/>
        <v>13.33</v>
      </c>
      <c r="U78" s="209">
        <v>13.33</v>
      </c>
      <c r="V78" s="27" t="s">
        <v>1193</v>
      </c>
      <c r="W78" s="27" t="s">
        <v>1193</v>
      </c>
      <c r="X78" s="68"/>
      <c r="Y78" s="68"/>
      <c r="Z78" s="68"/>
      <c r="AA78" s="68"/>
    </row>
    <row r="79" spans="1:27" ht="15" customHeight="1">
      <c r="A79" s="712"/>
      <c r="B79" s="706" t="s">
        <v>152</v>
      </c>
      <c r="C79" s="706" t="s">
        <v>153</v>
      </c>
      <c r="D79" s="72">
        <v>73</v>
      </c>
      <c r="E79" s="72" t="s">
        <v>154</v>
      </c>
      <c r="F79" s="95"/>
      <c r="G79" s="94">
        <v>7</v>
      </c>
      <c r="H79" s="94">
        <f>32+200+75</f>
        <v>307</v>
      </c>
      <c r="I79" s="94">
        <v>152.80000000000001</v>
      </c>
      <c r="J79" s="97"/>
      <c r="K79" s="94"/>
      <c r="L79" s="97">
        <v>15.6</v>
      </c>
      <c r="M79" s="94"/>
      <c r="N79" s="97">
        <v>9.8000000000000007</v>
      </c>
      <c r="O79" s="94"/>
      <c r="P79" s="94">
        <v>3</v>
      </c>
      <c r="Q79" s="94"/>
      <c r="R79" s="94">
        <v>26.5</v>
      </c>
      <c r="S79" s="94">
        <v>47.65</v>
      </c>
      <c r="T79" s="161">
        <f t="shared" si="0"/>
        <v>569.35</v>
      </c>
      <c r="U79" s="16">
        <v>299.2</v>
      </c>
      <c r="V79" s="139" t="s">
        <v>1194</v>
      </c>
      <c r="W79" s="159"/>
      <c r="X79" s="68"/>
      <c r="Y79" s="68"/>
      <c r="Z79" s="68"/>
      <c r="AA79" s="68"/>
    </row>
    <row r="80" spans="1:27" ht="15" customHeight="1">
      <c r="A80" s="712"/>
      <c r="B80" s="712"/>
      <c r="C80" s="712"/>
      <c r="D80" s="72">
        <v>74</v>
      </c>
      <c r="E80" s="72" t="s">
        <v>155</v>
      </c>
      <c r="F80" s="95"/>
      <c r="G80" s="95"/>
      <c r="H80" s="96"/>
      <c r="I80" s="96"/>
      <c r="J80" s="96"/>
      <c r="K80" s="96"/>
      <c r="L80" s="96"/>
      <c r="M80" s="96"/>
      <c r="N80" s="96"/>
      <c r="O80" s="96"/>
      <c r="P80" s="96"/>
      <c r="Q80" s="96"/>
      <c r="R80" s="96"/>
      <c r="S80" s="96"/>
      <c r="T80" s="161">
        <f t="shared" si="0"/>
        <v>0</v>
      </c>
      <c r="U80" s="16">
        <v>0</v>
      </c>
      <c r="V80" s="210"/>
      <c r="W80" s="159"/>
      <c r="X80" s="68"/>
      <c r="Y80" s="68"/>
      <c r="Z80" s="68"/>
      <c r="AA80" s="68"/>
    </row>
    <row r="81" spans="1:27" ht="15" customHeight="1">
      <c r="A81" s="712"/>
      <c r="B81" s="712"/>
      <c r="C81" s="712"/>
      <c r="D81" s="72">
        <v>75</v>
      </c>
      <c r="E81" s="72" t="s">
        <v>157</v>
      </c>
      <c r="F81" s="95"/>
      <c r="G81" s="95"/>
      <c r="H81" s="96"/>
      <c r="I81" s="96"/>
      <c r="J81" s="96"/>
      <c r="K81" s="95"/>
      <c r="L81" s="96"/>
      <c r="M81" s="95"/>
      <c r="N81" s="96"/>
      <c r="O81" s="96"/>
      <c r="P81" s="96"/>
      <c r="Q81" s="96"/>
      <c r="R81" s="96"/>
      <c r="S81" s="95"/>
      <c r="T81" s="161">
        <f t="shared" si="0"/>
        <v>0</v>
      </c>
      <c r="U81" s="16">
        <v>0</v>
      </c>
      <c r="V81" s="211"/>
      <c r="W81" s="159"/>
      <c r="X81" s="68"/>
      <c r="Y81" s="68"/>
      <c r="Z81" s="68"/>
      <c r="AA81" s="68"/>
    </row>
    <row r="82" spans="1:27" ht="15" customHeight="1">
      <c r="A82" s="712"/>
      <c r="B82" s="712"/>
      <c r="C82" s="712"/>
      <c r="D82" s="72">
        <v>76</v>
      </c>
      <c r="E82" s="72" t="s">
        <v>159</v>
      </c>
      <c r="F82" s="96"/>
      <c r="G82" s="96"/>
      <c r="H82" s="96"/>
      <c r="I82" s="96"/>
      <c r="J82" s="97"/>
      <c r="K82" s="94"/>
      <c r="L82" s="97">
        <v>310</v>
      </c>
      <c r="M82" s="94">
        <v>177.2</v>
      </c>
      <c r="N82" s="96"/>
      <c r="O82" s="94"/>
      <c r="P82" s="94"/>
      <c r="Q82" s="96"/>
      <c r="R82" s="96"/>
      <c r="S82" s="96"/>
      <c r="T82" s="161">
        <f t="shared" si="0"/>
        <v>487.2</v>
      </c>
      <c r="U82" s="16">
        <v>530</v>
      </c>
      <c r="V82" s="154" t="s">
        <v>1195</v>
      </c>
      <c r="W82" s="159"/>
      <c r="X82" s="68"/>
      <c r="Y82" s="68"/>
      <c r="Z82" s="68"/>
      <c r="AA82" s="68"/>
    </row>
    <row r="83" spans="1:27" ht="15" customHeight="1">
      <c r="A83" s="712"/>
      <c r="B83" s="712"/>
      <c r="C83" s="712"/>
      <c r="D83" s="72">
        <v>77</v>
      </c>
      <c r="E83" s="72" t="s">
        <v>161</v>
      </c>
      <c r="F83" s="95"/>
      <c r="G83" s="94">
        <v>33</v>
      </c>
      <c r="H83" s="94"/>
      <c r="I83" s="94">
        <v>126.2</v>
      </c>
      <c r="J83" s="97"/>
      <c r="K83" s="94"/>
      <c r="L83" s="97">
        <v>29.9</v>
      </c>
      <c r="M83" s="94">
        <v>1730</v>
      </c>
      <c r="N83" s="97">
        <v>4.9000000000000004</v>
      </c>
      <c r="O83" s="94"/>
      <c r="P83" s="94"/>
      <c r="Q83" s="95"/>
      <c r="R83" s="96"/>
      <c r="S83" s="97">
        <v>4.5</v>
      </c>
      <c r="T83" s="161">
        <f t="shared" si="0"/>
        <v>1928.5</v>
      </c>
      <c r="U83" s="16">
        <v>2316.6999999999998</v>
      </c>
      <c r="V83" s="140" t="s">
        <v>1196</v>
      </c>
      <c r="W83" s="159"/>
      <c r="X83" s="68"/>
      <c r="Y83" s="68"/>
      <c r="Z83" s="68"/>
      <c r="AA83" s="68"/>
    </row>
    <row r="84" spans="1:27" ht="15" customHeight="1">
      <c r="A84" s="712"/>
      <c r="B84" s="712"/>
      <c r="C84" s="712"/>
      <c r="D84" s="72">
        <v>78</v>
      </c>
      <c r="E84" s="72" t="s">
        <v>163</v>
      </c>
      <c r="F84" s="96"/>
      <c r="G84" s="96"/>
      <c r="H84" s="96"/>
      <c r="I84" s="96"/>
      <c r="J84" s="96"/>
      <c r="K84" s="96"/>
      <c r="L84" s="96"/>
      <c r="M84" s="96"/>
      <c r="N84" s="96"/>
      <c r="O84" s="96"/>
      <c r="P84" s="96"/>
      <c r="Q84" s="97">
        <v>40</v>
      </c>
      <c r="R84" s="96"/>
      <c r="S84" s="96"/>
      <c r="T84" s="161">
        <f t="shared" si="0"/>
        <v>40</v>
      </c>
      <c r="U84" s="16">
        <v>40</v>
      </c>
      <c r="V84" s="140" t="s">
        <v>1197</v>
      </c>
      <c r="W84" s="159"/>
      <c r="X84" s="68"/>
      <c r="Y84" s="68"/>
      <c r="Z84" s="68"/>
      <c r="AA84" s="68"/>
    </row>
    <row r="85" spans="1:27" ht="48.75" customHeight="1">
      <c r="A85" s="712"/>
      <c r="B85" s="707"/>
      <c r="C85" s="707"/>
      <c r="D85" s="72">
        <v>79</v>
      </c>
      <c r="E85" s="72" t="s">
        <v>53</v>
      </c>
      <c r="F85" s="96"/>
      <c r="G85" s="96"/>
      <c r="H85" s="96"/>
      <c r="I85" s="96"/>
      <c r="J85" s="96"/>
      <c r="K85" s="96"/>
      <c r="L85" s="96"/>
      <c r="M85" s="96"/>
      <c r="N85" s="96"/>
      <c r="O85" s="96"/>
      <c r="P85" s="96"/>
      <c r="Q85" s="96"/>
      <c r="R85" s="96"/>
      <c r="S85" s="95"/>
      <c r="T85" s="161">
        <f t="shared" si="0"/>
        <v>0</v>
      </c>
      <c r="U85" s="73"/>
      <c r="V85" s="74"/>
      <c r="W85" s="159"/>
      <c r="X85" s="68"/>
      <c r="Y85" s="68"/>
      <c r="Z85" s="68"/>
      <c r="AA85" s="68"/>
    </row>
    <row r="86" spans="1:27" ht="393.75">
      <c r="A86" s="712"/>
      <c r="B86" s="706" t="s">
        <v>165</v>
      </c>
      <c r="C86" s="706" t="s">
        <v>166</v>
      </c>
      <c r="D86" s="72">
        <v>80</v>
      </c>
      <c r="E86" s="72" t="s">
        <v>167</v>
      </c>
      <c r="F86" s="72"/>
      <c r="G86" s="72"/>
      <c r="H86" s="72"/>
      <c r="I86" s="72"/>
      <c r="J86" s="72"/>
      <c r="K86" s="212">
        <v>36.082999999999998</v>
      </c>
      <c r="L86" s="72"/>
      <c r="M86" s="73"/>
      <c r="N86" s="72"/>
      <c r="O86" s="72"/>
      <c r="P86" s="213">
        <v>3</v>
      </c>
      <c r="Q86" s="214">
        <v>5</v>
      </c>
      <c r="R86" s="76"/>
      <c r="S86" s="72"/>
      <c r="T86" s="161">
        <f t="shared" si="0"/>
        <v>44.082999999999998</v>
      </c>
      <c r="U86" s="16">
        <v>44.082999999999998</v>
      </c>
      <c r="V86" s="215" t="s">
        <v>1198</v>
      </c>
      <c r="W86" s="215" t="s">
        <v>1199</v>
      </c>
      <c r="X86" s="68"/>
      <c r="Y86" s="68"/>
      <c r="Z86" s="68"/>
      <c r="AA86" s="68"/>
    </row>
    <row r="87" spans="1:27" ht="409.5">
      <c r="A87" s="712"/>
      <c r="B87" s="712"/>
      <c r="C87" s="712"/>
      <c r="D87" s="72">
        <v>81</v>
      </c>
      <c r="E87" s="72" t="s">
        <v>168</v>
      </c>
      <c r="F87" s="72"/>
      <c r="G87" s="72"/>
      <c r="H87" s="72"/>
      <c r="I87" s="72"/>
      <c r="J87" s="72"/>
      <c r="K87" s="72"/>
      <c r="L87" s="72"/>
      <c r="M87" s="112">
        <v>256.97000000000003</v>
      </c>
      <c r="N87" s="16">
        <v>5</v>
      </c>
      <c r="O87" s="72"/>
      <c r="P87" s="15">
        <v>1</v>
      </c>
      <c r="Q87" s="213">
        <v>1</v>
      </c>
      <c r="R87" s="72"/>
      <c r="S87" s="72"/>
      <c r="T87" s="161">
        <f t="shared" si="0"/>
        <v>263.97000000000003</v>
      </c>
      <c r="U87" s="16">
        <v>294.32</v>
      </c>
      <c r="V87" s="216" t="s">
        <v>1200</v>
      </c>
      <c r="W87" s="216" t="s">
        <v>1201</v>
      </c>
      <c r="X87" s="68"/>
      <c r="Y87" s="68"/>
      <c r="Z87" s="68"/>
      <c r="AA87" s="68"/>
    </row>
    <row r="88" spans="1:27" ht="63.75" customHeight="1">
      <c r="A88" s="712"/>
      <c r="B88" s="712"/>
      <c r="C88" s="712"/>
      <c r="D88" s="72">
        <v>82</v>
      </c>
      <c r="E88" s="72" t="s">
        <v>170</v>
      </c>
      <c r="F88" s="72"/>
      <c r="G88" s="72"/>
      <c r="H88" s="72"/>
      <c r="I88" s="72"/>
      <c r="J88" s="72"/>
      <c r="K88" s="72"/>
      <c r="L88" s="72"/>
      <c r="M88" s="72"/>
      <c r="N88" s="72"/>
      <c r="O88" s="72"/>
      <c r="P88" s="76"/>
      <c r="Q88" s="72"/>
      <c r="R88" s="72"/>
      <c r="S88" s="72"/>
      <c r="T88" s="161">
        <f t="shared" si="0"/>
        <v>0</v>
      </c>
      <c r="U88" s="73"/>
      <c r="V88" s="217" t="s">
        <v>1202</v>
      </c>
      <c r="W88" s="159"/>
      <c r="X88" s="68"/>
      <c r="Y88" s="68"/>
      <c r="Z88" s="68"/>
      <c r="AA88" s="68"/>
    </row>
    <row r="89" spans="1:27" ht="361.5" customHeight="1">
      <c r="A89" s="712"/>
      <c r="B89" s="707"/>
      <c r="C89" s="707"/>
      <c r="D89" s="72">
        <v>83</v>
      </c>
      <c r="E89" s="72" t="s">
        <v>172</v>
      </c>
      <c r="F89" s="72"/>
      <c r="G89" s="72"/>
      <c r="H89" s="72"/>
      <c r="I89" s="72"/>
      <c r="J89" s="218">
        <f>67.65+32.3</f>
        <v>99.95</v>
      </c>
      <c r="K89" s="100">
        <f>12.54+2.016</f>
        <v>14.555999999999999</v>
      </c>
      <c r="L89" s="72"/>
      <c r="M89" s="76"/>
      <c r="N89" s="99">
        <f>4.5+1</f>
        <v>5.5</v>
      </c>
      <c r="O89" s="72"/>
      <c r="P89" s="76"/>
      <c r="Q89" s="73"/>
      <c r="R89" s="76"/>
      <c r="S89" s="72"/>
      <c r="T89" s="161">
        <f t="shared" si="0"/>
        <v>120.006</v>
      </c>
      <c r="U89" s="16">
        <f>12.54+77.6+32.3+2.016+5.5</f>
        <v>129.95599999999999</v>
      </c>
      <c r="V89" s="219" t="s">
        <v>1203</v>
      </c>
      <c r="W89" s="219" t="s">
        <v>1204</v>
      </c>
      <c r="X89" s="68"/>
      <c r="Y89" s="68"/>
      <c r="Z89" s="68"/>
      <c r="AA89" s="68"/>
    </row>
    <row r="90" spans="1:27" ht="232.5" customHeight="1">
      <c r="A90" s="712"/>
      <c r="B90" s="72" t="s">
        <v>173</v>
      </c>
      <c r="C90" s="72" t="s">
        <v>174</v>
      </c>
      <c r="D90" s="72">
        <v>84</v>
      </c>
      <c r="E90" s="72" t="s">
        <v>175</v>
      </c>
      <c r="F90" s="72"/>
      <c r="G90" s="72"/>
      <c r="H90" s="72"/>
      <c r="I90" s="73"/>
      <c r="J90" s="72"/>
      <c r="K90" s="73"/>
      <c r="L90" s="72"/>
      <c r="M90" s="72"/>
      <c r="N90" s="99">
        <v>5</v>
      </c>
      <c r="O90" s="72"/>
      <c r="P90" s="72"/>
      <c r="Q90" s="214">
        <v>9</v>
      </c>
      <c r="R90" s="98">
        <v>1</v>
      </c>
      <c r="S90" s="75">
        <v>0</v>
      </c>
      <c r="T90" s="161">
        <f t="shared" si="0"/>
        <v>15</v>
      </c>
      <c r="U90" s="16">
        <v>15</v>
      </c>
      <c r="V90" s="22" t="s">
        <v>1205</v>
      </c>
      <c r="W90" s="22" t="s">
        <v>1206</v>
      </c>
      <c r="X90" s="68"/>
      <c r="Y90" s="68"/>
      <c r="Z90" s="68"/>
      <c r="AA90" s="68"/>
    </row>
    <row r="91" spans="1:27" ht="225">
      <c r="A91" s="712"/>
      <c r="B91" s="72" t="s">
        <v>176</v>
      </c>
      <c r="C91" s="72" t="s">
        <v>177</v>
      </c>
      <c r="D91" s="72">
        <v>85</v>
      </c>
      <c r="E91" s="72" t="s">
        <v>178</v>
      </c>
      <c r="F91" s="72"/>
      <c r="G91" s="72"/>
      <c r="H91" s="72"/>
      <c r="I91" s="72"/>
      <c r="J91" s="72"/>
      <c r="K91" s="73"/>
      <c r="L91" s="72"/>
      <c r="M91" s="75">
        <v>10</v>
      </c>
      <c r="N91" s="16">
        <v>1</v>
      </c>
      <c r="O91" s="72"/>
      <c r="P91" s="75">
        <v>0.5</v>
      </c>
      <c r="Q91" s="16">
        <v>0</v>
      </c>
      <c r="R91" s="15">
        <v>1</v>
      </c>
      <c r="S91" s="72"/>
      <c r="T91" s="161">
        <f t="shared" si="0"/>
        <v>12.5</v>
      </c>
      <c r="U91" s="16">
        <f>T91</f>
        <v>12.5</v>
      </c>
      <c r="V91" s="137" t="s">
        <v>1207</v>
      </c>
      <c r="W91" s="159"/>
      <c r="X91" s="68"/>
      <c r="Y91" s="68"/>
      <c r="Z91" s="68"/>
      <c r="AA91" s="68"/>
    </row>
    <row r="92" spans="1:27" ht="114">
      <c r="A92" s="712"/>
      <c r="B92" s="72" t="s">
        <v>180</v>
      </c>
      <c r="C92" s="72" t="s">
        <v>53</v>
      </c>
      <c r="D92" s="72">
        <v>86</v>
      </c>
      <c r="E92" s="72" t="s">
        <v>181</v>
      </c>
      <c r="F92" s="72"/>
      <c r="G92" s="72"/>
      <c r="H92" s="72"/>
      <c r="I92" s="72"/>
      <c r="J92" s="72"/>
      <c r="K92" s="72"/>
      <c r="L92" s="72"/>
      <c r="M92" s="72"/>
      <c r="N92" s="72"/>
      <c r="O92" s="72"/>
      <c r="P92" s="72"/>
      <c r="Q92" s="72"/>
      <c r="R92" s="72"/>
      <c r="S92" s="72"/>
      <c r="T92" s="161">
        <f t="shared" si="0"/>
        <v>0</v>
      </c>
      <c r="U92" s="73"/>
      <c r="V92" s="74"/>
      <c r="W92" s="159"/>
      <c r="X92" s="68"/>
      <c r="Y92" s="68"/>
      <c r="Z92" s="68"/>
      <c r="AA92" s="68"/>
    </row>
    <row r="93" spans="1:27" ht="16.5">
      <c r="A93" s="707"/>
      <c r="B93" s="713" t="s">
        <v>182</v>
      </c>
      <c r="C93" s="709"/>
      <c r="D93" s="710"/>
      <c r="E93" s="84"/>
      <c r="F93" s="84">
        <f t="shared" ref="F93:S93" si="7">SUM(F69:F92)</f>
        <v>0</v>
      </c>
      <c r="G93" s="84">
        <f t="shared" si="7"/>
        <v>40</v>
      </c>
      <c r="H93" s="84">
        <f t="shared" si="7"/>
        <v>307</v>
      </c>
      <c r="I93" s="84">
        <f t="shared" si="7"/>
        <v>285.36</v>
      </c>
      <c r="J93" s="84">
        <f t="shared" si="7"/>
        <v>176.33</v>
      </c>
      <c r="K93" s="84">
        <f t="shared" si="7"/>
        <v>87.548999999999992</v>
      </c>
      <c r="L93" s="84">
        <f t="shared" si="7"/>
        <v>355.5</v>
      </c>
      <c r="M93" s="101">
        <f t="shared" si="7"/>
        <v>2216.62</v>
      </c>
      <c r="N93" s="5">
        <f t="shared" si="7"/>
        <v>43.39</v>
      </c>
      <c r="O93" s="84">
        <f t="shared" si="7"/>
        <v>0</v>
      </c>
      <c r="P93" s="5">
        <f t="shared" si="7"/>
        <v>8.64</v>
      </c>
      <c r="Q93" s="84">
        <f t="shared" si="7"/>
        <v>63.6</v>
      </c>
      <c r="R93" s="101">
        <f t="shared" si="7"/>
        <v>60.1</v>
      </c>
      <c r="S93" s="101">
        <f t="shared" si="7"/>
        <v>62.15</v>
      </c>
      <c r="T93" s="161">
        <f t="shared" si="0"/>
        <v>3706.2389999999996</v>
      </c>
      <c r="U93" s="5">
        <f>SUM(U69:U92)</f>
        <v>3897.3890000000001</v>
      </c>
      <c r="V93" s="74"/>
      <c r="W93" s="159"/>
      <c r="X93" s="68"/>
      <c r="Y93" s="68"/>
      <c r="Z93" s="68"/>
      <c r="AA93" s="68"/>
    </row>
    <row r="94" spans="1:27" ht="45">
      <c r="A94" s="714" t="s">
        <v>183</v>
      </c>
      <c r="B94" s="706" t="s">
        <v>184</v>
      </c>
      <c r="C94" s="706" t="s">
        <v>185</v>
      </c>
      <c r="D94" s="72">
        <v>87</v>
      </c>
      <c r="E94" s="72" t="s">
        <v>186</v>
      </c>
      <c r="F94" s="23"/>
      <c r="G94" s="24"/>
      <c r="H94" s="24"/>
      <c r="I94" s="24"/>
      <c r="J94" s="24"/>
      <c r="K94" s="25">
        <v>186</v>
      </c>
      <c r="L94" s="24"/>
      <c r="M94" s="24"/>
      <c r="N94" s="24"/>
      <c r="O94" s="24"/>
      <c r="P94" s="24"/>
      <c r="Q94" s="24"/>
      <c r="R94" s="24"/>
      <c r="S94" s="19"/>
      <c r="T94" s="161">
        <f t="shared" si="0"/>
        <v>186</v>
      </c>
      <c r="U94" s="26">
        <v>275</v>
      </c>
      <c r="V94" s="27" t="s">
        <v>1208</v>
      </c>
      <c r="W94" s="27" t="s">
        <v>1209</v>
      </c>
      <c r="X94" s="68"/>
      <c r="Y94" s="68"/>
      <c r="Z94" s="68"/>
      <c r="AA94" s="68"/>
    </row>
    <row r="95" spans="1:27" ht="28.5">
      <c r="A95" s="712"/>
      <c r="B95" s="712"/>
      <c r="C95" s="712"/>
      <c r="D95" s="72">
        <v>88</v>
      </c>
      <c r="E95" s="72" t="s">
        <v>188</v>
      </c>
      <c r="F95" s="28"/>
      <c r="G95" s="29"/>
      <c r="H95" s="29"/>
      <c r="I95" s="29"/>
      <c r="J95" s="29"/>
      <c r="K95" s="29"/>
      <c r="L95" s="29"/>
      <c r="M95" s="29"/>
      <c r="N95" s="29"/>
      <c r="O95" s="29"/>
      <c r="P95" s="35"/>
      <c r="Q95" s="29"/>
      <c r="R95" s="29"/>
      <c r="S95" s="20"/>
      <c r="T95" s="161">
        <f t="shared" si="0"/>
        <v>0</v>
      </c>
      <c r="U95" s="31">
        <v>0</v>
      </c>
      <c r="V95" s="34"/>
      <c r="W95" s="34"/>
      <c r="X95" s="68"/>
      <c r="Y95" s="68"/>
      <c r="Z95" s="68"/>
      <c r="AA95" s="68"/>
    </row>
    <row r="96" spans="1:27" ht="42.75">
      <c r="A96" s="712"/>
      <c r="B96" s="712"/>
      <c r="C96" s="712"/>
      <c r="D96" s="72">
        <v>89</v>
      </c>
      <c r="E96" s="72" t="s">
        <v>190</v>
      </c>
      <c r="F96" s="28"/>
      <c r="G96" s="29"/>
      <c r="H96" s="29"/>
      <c r="I96" s="29"/>
      <c r="J96" s="29"/>
      <c r="K96" s="33"/>
      <c r="L96" s="29"/>
      <c r="M96" s="29"/>
      <c r="N96" s="29"/>
      <c r="O96" s="29"/>
      <c r="P96" s="29"/>
      <c r="Q96" s="29"/>
      <c r="R96" s="29"/>
      <c r="S96" s="20"/>
      <c r="T96" s="161">
        <f t="shared" si="0"/>
        <v>0</v>
      </c>
      <c r="U96" s="31">
        <v>0</v>
      </c>
      <c r="V96" s="34"/>
      <c r="W96" s="34"/>
      <c r="X96" s="68"/>
      <c r="Y96" s="68"/>
      <c r="Z96" s="68"/>
      <c r="AA96" s="68"/>
    </row>
    <row r="97" spans="1:27" ht="42.75">
      <c r="A97" s="712"/>
      <c r="B97" s="712"/>
      <c r="C97" s="712"/>
      <c r="D97" s="72">
        <v>90</v>
      </c>
      <c r="E97" s="72" t="s">
        <v>191</v>
      </c>
      <c r="F97" s="28"/>
      <c r="G97" s="29"/>
      <c r="H97" s="29"/>
      <c r="I97" s="29"/>
      <c r="J97" s="29"/>
      <c r="K97" s="29"/>
      <c r="L97" s="29"/>
      <c r="M97" s="29"/>
      <c r="N97" s="29"/>
      <c r="O97" s="29"/>
      <c r="P97" s="35"/>
      <c r="Q97" s="29"/>
      <c r="R97" s="29"/>
      <c r="S97" s="20"/>
      <c r="T97" s="161">
        <f t="shared" si="0"/>
        <v>0</v>
      </c>
      <c r="U97" s="31">
        <v>0</v>
      </c>
      <c r="V97" s="34"/>
      <c r="W97" s="34"/>
      <c r="X97" s="68"/>
      <c r="Y97" s="68"/>
      <c r="Z97" s="68"/>
      <c r="AA97" s="68"/>
    </row>
    <row r="98" spans="1:27" ht="28.5">
      <c r="A98" s="712"/>
      <c r="B98" s="712"/>
      <c r="C98" s="712"/>
      <c r="D98" s="72">
        <v>91</v>
      </c>
      <c r="E98" s="72" t="s">
        <v>192</v>
      </c>
      <c r="F98" s="36"/>
      <c r="G98" s="33"/>
      <c r="H98" s="33"/>
      <c r="I98" s="33"/>
      <c r="J98" s="33"/>
      <c r="K98" s="40">
        <v>0</v>
      </c>
      <c r="L98" s="33"/>
      <c r="M98" s="33"/>
      <c r="N98" s="33"/>
      <c r="O98" s="33"/>
      <c r="P98" s="30">
        <v>0</v>
      </c>
      <c r="Q98" s="29"/>
      <c r="R98" s="29"/>
      <c r="S98" s="20"/>
      <c r="T98" s="161">
        <f t="shared" si="0"/>
        <v>0</v>
      </c>
      <c r="U98" s="31">
        <v>0</v>
      </c>
      <c r="V98" s="38"/>
      <c r="W98" s="34"/>
      <c r="X98" s="68"/>
      <c r="Y98" s="68"/>
      <c r="Z98" s="68"/>
      <c r="AA98" s="68"/>
    </row>
    <row r="99" spans="1:27" ht="57">
      <c r="A99" s="712"/>
      <c r="B99" s="712"/>
      <c r="C99" s="712"/>
      <c r="D99" s="72">
        <v>92</v>
      </c>
      <c r="E99" s="72" t="s">
        <v>193</v>
      </c>
      <c r="F99" s="28"/>
      <c r="G99" s="29"/>
      <c r="H99" s="29"/>
      <c r="I99" s="29"/>
      <c r="J99" s="29"/>
      <c r="K99" s="29"/>
      <c r="L99" s="29"/>
      <c r="M99" s="29"/>
      <c r="N99" s="29"/>
      <c r="O99" s="29"/>
      <c r="P99" s="35"/>
      <c r="Q99" s="29"/>
      <c r="R99" s="29"/>
      <c r="S99" s="20"/>
      <c r="T99" s="161">
        <f t="shared" si="0"/>
        <v>0</v>
      </c>
      <c r="U99" s="31">
        <v>0</v>
      </c>
      <c r="V99" s="39"/>
      <c r="W99" s="59"/>
      <c r="X99" s="68"/>
      <c r="Y99" s="68"/>
      <c r="Z99" s="68"/>
      <c r="AA99" s="68"/>
    </row>
    <row r="100" spans="1:27" ht="28.5">
      <c r="A100" s="712"/>
      <c r="B100" s="712"/>
      <c r="C100" s="712"/>
      <c r="D100" s="72">
        <v>93</v>
      </c>
      <c r="E100" s="72" t="s">
        <v>195</v>
      </c>
      <c r="F100" s="28"/>
      <c r="G100" s="29"/>
      <c r="H100" s="29"/>
      <c r="I100" s="30">
        <v>87.5</v>
      </c>
      <c r="J100" s="29"/>
      <c r="K100" s="29"/>
      <c r="L100" s="29"/>
      <c r="M100" s="29"/>
      <c r="N100" s="29"/>
      <c r="O100" s="29"/>
      <c r="P100" s="29"/>
      <c r="Q100" s="29"/>
      <c r="R100" s="29"/>
      <c r="S100" s="20"/>
      <c r="T100" s="161">
        <f t="shared" si="0"/>
        <v>87.5</v>
      </c>
      <c r="U100" s="31">
        <v>87.5</v>
      </c>
      <c r="V100" s="220" t="s">
        <v>1210</v>
      </c>
      <c r="W100" s="32" t="s">
        <v>1210</v>
      </c>
      <c r="X100" s="68"/>
      <c r="Y100" s="68"/>
      <c r="Z100" s="68"/>
      <c r="AA100" s="68"/>
    </row>
    <row r="101" spans="1:27" ht="28.5">
      <c r="A101" s="712"/>
      <c r="B101" s="712"/>
      <c r="C101" s="712"/>
      <c r="D101" s="72">
        <v>94</v>
      </c>
      <c r="E101" s="72" t="s">
        <v>196</v>
      </c>
      <c r="F101" s="28"/>
      <c r="G101" s="29"/>
      <c r="H101" s="29"/>
      <c r="I101" s="30">
        <v>87.5</v>
      </c>
      <c r="J101" s="29"/>
      <c r="K101" s="29"/>
      <c r="L101" s="29"/>
      <c r="M101" s="29"/>
      <c r="N101" s="29"/>
      <c r="O101" s="29"/>
      <c r="P101" s="29"/>
      <c r="Q101" s="29"/>
      <c r="R101" s="29"/>
      <c r="S101" s="20"/>
      <c r="T101" s="161">
        <f t="shared" si="0"/>
        <v>87.5</v>
      </c>
      <c r="U101" s="31">
        <v>87.5</v>
      </c>
      <c r="V101" s="220" t="s">
        <v>1210</v>
      </c>
      <c r="W101" s="32" t="s">
        <v>1210</v>
      </c>
      <c r="X101" s="68"/>
      <c r="Y101" s="68"/>
      <c r="Z101" s="68"/>
      <c r="AA101" s="68"/>
    </row>
    <row r="102" spans="1:27" ht="150">
      <c r="A102" s="712"/>
      <c r="B102" s="712"/>
      <c r="C102" s="712"/>
      <c r="D102" s="72">
        <v>95</v>
      </c>
      <c r="E102" s="72" t="s">
        <v>197</v>
      </c>
      <c r="F102" s="28"/>
      <c r="G102" s="29"/>
      <c r="H102" s="30">
        <v>200</v>
      </c>
      <c r="I102" s="40">
        <v>580</v>
      </c>
      <c r="J102" s="29"/>
      <c r="K102" s="29"/>
      <c r="L102" s="29"/>
      <c r="M102" s="29"/>
      <c r="N102" s="29"/>
      <c r="O102" s="29"/>
      <c r="P102" s="29"/>
      <c r="Q102" s="29"/>
      <c r="R102" s="29"/>
      <c r="S102" s="20"/>
      <c r="T102" s="161">
        <f t="shared" si="0"/>
        <v>780</v>
      </c>
      <c r="U102" s="31">
        <v>520</v>
      </c>
      <c r="V102" s="32" t="s">
        <v>1211</v>
      </c>
      <c r="W102" s="32" t="s">
        <v>1212</v>
      </c>
      <c r="X102" s="68"/>
      <c r="Y102" s="68"/>
      <c r="Z102" s="68"/>
      <c r="AA102" s="68"/>
    </row>
    <row r="103" spans="1:27" ht="135">
      <c r="A103" s="712"/>
      <c r="B103" s="707"/>
      <c r="C103" s="707"/>
      <c r="D103" s="72">
        <v>96</v>
      </c>
      <c r="E103" s="72" t="s">
        <v>199</v>
      </c>
      <c r="F103" s="28"/>
      <c r="G103" s="29"/>
      <c r="H103" s="29"/>
      <c r="I103" s="29"/>
      <c r="J103" s="29"/>
      <c r="K103" s="29"/>
      <c r="L103" s="29"/>
      <c r="M103" s="29"/>
      <c r="N103" s="40">
        <v>2</v>
      </c>
      <c r="O103" s="29"/>
      <c r="P103" s="29"/>
      <c r="Q103" s="40">
        <v>6</v>
      </c>
      <c r="R103" s="30">
        <v>6</v>
      </c>
      <c r="S103" s="20"/>
      <c r="T103" s="161">
        <f t="shared" si="0"/>
        <v>14</v>
      </c>
      <c r="U103" s="31">
        <v>14</v>
      </c>
      <c r="V103" s="32" t="s">
        <v>1213</v>
      </c>
      <c r="W103" s="32" t="s">
        <v>1213</v>
      </c>
      <c r="X103" s="68"/>
      <c r="Y103" s="68"/>
      <c r="Z103" s="68"/>
      <c r="AA103" s="68"/>
    </row>
    <row r="104" spans="1:27" ht="42.75">
      <c r="A104" s="712"/>
      <c r="B104" s="706" t="s">
        <v>201</v>
      </c>
      <c r="C104" s="706" t="s">
        <v>202</v>
      </c>
      <c r="D104" s="72">
        <v>97</v>
      </c>
      <c r="E104" s="72" t="s">
        <v>203</v>
      </c>
      <c r="F104" s="102"/>
      <c r="G104" s="103"/>
      <c r="H104" s="103"/>
      <c r="I104" s="221"/>
      <c r="J104" s="103"/>
      <c r="K104" s="53">
        <v>140</v>
      </c>
      <c r="L104" s="103"/>
      <c r="M104" s="221"/>
      <c r="N104" s="53">
        <v>3.5</v>
      </c>
      <c r="O104" s="103"/>
      <c r="P104" s="104">
        <v>0.7</v>
      </c>
      <c r="Q104" s="53">
        <v>7</v>
      </c>
      <c r="R104" s="222"/>
      <c r="S104" s="103"/>
      <c r="T104" s="161">
        <f t="shared" si="0"/>
        <v>151.19999999999999</v>
      </c>
      <c r="U104" s="223">
        <v>151.19999999999999</v>
      </c>
      <c r="V104" s="138" t="s">
        <v>1214</v>
      </c>
      <c r="W104" s="224" t="s">
        <v>1214</v>
      </c>
      <c r="X104" s="225"/>
      <c r="Y104" s="68"/>
      <c r="Z104" s="68"/>
      <c r="AA104" s="68"/>
    </row>
    <row r="105" spans="1:27" ht="42.75">
      <c r="A105" s="712"/>
      <c r="B105" s="707"/>
      <c r="C105" s="707"/>
      <c r="D105" s="72">
        <v>98</v>
      </c>
      <c r="E105" s="72" t="s">
        <v>53</v>
      </c>
      <c r="F105" s="105"/>
      <c r="G105" s="106"/>
      <c r="H105" s="106"/>
      <c r="I105" s="106"/>
      <c r="J105" s="106"/>
      <c r="K105" s="106"/>
      <c r="L105" s="106"/>
      <c r="M105" s="106"/>
      <c r="N105" s="106"/>
      <c r="O105" s="106"/>
      <c r="P105" s="106"/>
      <c r="Q105" s="106"/>
      <c r="R105" s="106"/>
      <c r="S105" s="106"/>
      <c r="T105" s="161">
        <f t="shared" si="0"/>
        <v>0</v>
      </c>
      <c r="U105" s="226"/>
      <c r="V105" s="227"/>
      <c r="W105" s="228"/>
      <c r="X105" s="225"/>
      <c r="Y105" s="68"/>
      <c r="Z105" s="68"/>
      <c r="AA105" s="68"/>
    </row>
    <row r="106" spans="1:27" ht="28.5">
      <c r="A106" s="712"/>
      <c r="B106" s="706" t="s">
        <v>205</v>
      </c>
      <c r="C106" s="706" t="s">
        <v>206</v>
      </c>
      <c r="D106" s="72">
        <v>99</v>
      </c>
      <c r="E106" s="72" t="s">
        <v>207</v>
      </c>
      <c r="F106" s="105"/>
      <c r="G106" s="106"/>
      <c r="H106" s="229">
        <v>40</v>
      </c>
      <c r="I106" s="230"/>
      <c r="J106" s="106"/>
      <c r="K106" s="108">
        <v>140</v>
      </c>
      <c r="L106" s="106"/>
      <c r="M106" s="106"/>
      <c r="N106" s="108">
        <v>1</v>
      </c>
      <c r="O106" s="106"/>
      <c r="P106" s="106"/>
      <c r="Q106" s="108">
        <v>1</v>
      </c>
      <c r="R106" s="106"/>
      <c r="S106" s="231"/>
      <c r="T106" s="161">
        <f t="shared" si="0"/>
        <v>182</v>
      </c>
      <c r="U106" s="232">
        <f>40+140+25+1+1</f>
        <v>207</v>
      </c>
      <c r="V106" s="233" t="s">
        <v>1215</v>
      </c>
      <c r="W106" s="234" t="s">
        <v>1216</v>
      </c>
      <c r="X106" s="225"/>
      <c r="Y106" s="68"/>
      <c r="Z106" s="68"/>
      <c r="AA106" s="68"/>
    </row>
    <row r="107" spans="1:27" ht="28.5">
      <c r="A107" s="712"/>
      <c r="B107" s="712"/>
      <c r="C107" s="712"/>
      <c r="D107" s="72">
        <v>100</v>
      </c>
      <c r="E107" s="72" t="s">
        <v>209</v>
      </c>
      <c r="F107" s="105"/>
      <c r="G107" s="106"/>
      <c r="H107" s="106"/>
      <c r="I107" s="230"/>
      <c r="J107" s="106"/>
      <c r="K107" s="230"/>
      <c r="L107" s="106"/>
      <c r="M107" s="106"/>
      <c r="N107" s="106"/>
      <c r="O107" s="106"/>
      <c r="P107" s="106"/>
      <c r="Q107" s="106"/>
      <c r="R107" s="106"/>
      <c r="S107" s="106"/>
      <c r="T107" s="161">
        <f t="shared" si="0"/>
        <v>0</v>
      </c>
      <c r="U107" s="232">
        <v>0</v>
      </c>
      <c r="V107" s="227"/>
      <c r="W107" s="228"/>
      <c r="X107" s="225"/>
      <c r="Y107" s="68"/>
      <c r="Z107" s="68"/>
      <c r="AA107" s="68"/>
    </row>
    <row r="108" spans="1:27" ht="28.5">
      <c r="A108" s="712"/>
      <c r="B108" s="712"/>
      <c r="C108" s="712"/>
      <c r="D108" s="72">
        <v>101</v>
      </c>
      <c r="E108" s="72" t="s">
        <v>210</v>
      </c>
      <c r="F108" s="105"/>
      <c r="G108" s="106"/>
      <c r="H108" s="106"/>
      <c r="I108" s="106"/>
      <c r="J108" s="106"/>
      <c r="K108" s="106"/>
      <c r="L108" s="106"/>
      <c r="M108" s="106"/>
      <c r="N108" s="106"/>
      <c r="O108" s="106"/>
      <c r="P108" s="106"/>
      <c r="Q108" s="106"/>
      <c r="R108" s="106"/>
      <c r="S108" s="106"/>
      <c r="T108" s="161">
        <f t="shared" si="0"/>
        <v>0</v>
      </c>
      <c r="U108" s="226"/>
      <c r="V108" s="227"/>
      <c r="W108" s="228"/>
      <c r="X108" s="225"/>
      <c r="Y108" s="68"/>
      <c r="Z108" s="68"/>
      <c r="AA108" s="68"/>
    </row>
    <row r="109" spans="1:27" ht="28.5">
      <c r="A109" s="712"/>
      <c r="B109" s="712"/>
      <c r="C109" s="712"/>
      <c r="D109" s="72">
        <v>102</v>
      </c>
      <c r="E109" s="72" t="s">
        <v>211</v>
      </c>
      <c r="F109" s="105"/>
      <c r="G109" s="106"/>
      <c r="H109" s="106"/>
      <c r="I109" s="106"/>
      <c r="J109" s="106"/>
      <c r="K109" s="106"/>
      <c r="L109" s="106"/>
      <c r="M109" s="106"/>
      <c r="N109" s="106"/>
      <c r="O109" s="106"/>
      <c r="P109" s="106"/>
      <c r="Q109" s="230"/>
      <c r="R109" s="106"/>
      <c r="S109" s="106"/>
      <c r="T109" s="161">
        <f t="shared" si="0"/>
        <v>0</v>
      </c>
      <c r="U109" s="226"/>
      <c r="V109" s="227"/>
      <c r="W109" s="228"/>
      <c r="X109" s="225"/>
      <c r="Y109" s="68"/>
      <c r="Z109" s="68"/>
      <c r="AA109" s="68"/>
    </row>
    <row r="110" spans="1:27" ht="42.75">
      <c r="A110" s="712"/>
      <c r="B110" s="707"/>
      <c r="C110" s="707"/>
      <c r="D110" s="72">
        <v>103</v>
      </c>
      <c r="E110" s="72" t="s">
        <v>53</v>
      </c>
      <c r="F110" s="105"/>
      <c r="G110" s="106"/>
      <c r="H110" s="106"/>
      <c r="I110" s="106"/>
      <c r="J110" s="106"/>
      <c r="K110" s="106"/>
      <c r="L110" s="106"/>
      <c r="M110" s="106"/>
      <c r="N110" s="106"/>
      <c r="O110" s="106"/>
      <c r="P110" s="107"/>
      <c r="Q110" s="106"/>
      <c r="R110" s="229">
        <v>0</v>
      </c>
      <c r="S110" s="107"/>
      <c r="T110" s="161">
        <f t="shared" si="0"/>
        <v>0</v>
      </c>
      <c r="U110" s="232">
        <v>5</v>
      </c>
      <c r="V110" s="235"/>
      <c r="W110" s="236" t="s">
        <v>1217</v>
      </c>
      <c r="X110" s="225"/>
      <c r="Y110" s="68"/>
      <c r="Z110" s="68"/>
      <c r="AA110" s="68"/>
    </row>
    <row r="111" spans="1:27" ht="28.5">
      <c r="A111" s="712"/>
      <c r="B111" s="706" t="s">
        <v>213</v>
      </c>
      <c r="C111" s="706" t="s">
        <v>214</v>
      </c>
      <c r="D111" s="72">
        <v>104</v>
      </c>
      <c r="E111" s="72" t="s">
        <v>215</v>
      </c>
      <c r="F111" s="105"/>
      <c r="G111" s="106"/>
      <c r="H111" s="106"/>
      <c r="I111" s="106"/>
      <c r="J111" s="106"/>
      <c r="K111" s="106"/>
      <c r="L111" s="106"/>
      <c r="M111" s="106"/>
      <c r="N111" s="229">
        <v>1</v>
      </c>
      <c r="O111" s="106"/>
      <c r="P111" s="107"/>
      <c r="Q111" s="229">
        <v>2</v>
      </c>
      <c r="R111" s="229">
        <v>6</v>
      </c>
      <c r="S111" s="107"/>
      <c r="T111" s="161">
        <f t="shared" si="0"/>
        <v>9</v>
      </c>
      <c r="U111" s="232">
        <v>9</v>
      </c>
      <c r="V111" s="237" t="s">
        <v>1218</v>
      </c>
      <c r="W111" s="228"/>
      <c r="X111" s="225"/>
      <c r="Y111" s="68"/>
      <c r="Z111" s="68"/>
      <c r="AA111" s="68"/>
    </row>
    <row r="112" spans="1:27" ht="54.75" customHeight="1">
      <c r="A112" s="712"/>
      <c r="B112" s="712"/>
      <c r="C112" s="712"/>
      <c r="D112" s="72">
        <v>105</v>
      </c>
      <c r="E112" s="72" t="s">
        <v>216</v>
      </c>
      <c r="F112" s="105"/>
      <c r="G112" s="106"/>
      <c r="H112" s="106"/>
      <c r="I112" s="106"/>
      <c r="J112" s="106"/>
      <c r="K112" s="106"/>
      <c r="L112" s="106"/>
      <c r="M112" s="106"/>
      <c r="N112" s="106"/>
      <c r="O112" s="106"/>
      <c r="P112" s="238">
        <v>20</v>
      </c>
      <c r="Q112" s="106"/>
      <c r="R112" s="106"/>
      <c r="S112" s="106"/>
      <c r="T112" s="161">
        <f t="shared" si="0"/>
        <v>20</v>
      </c>
      <c r="U112" s="232">
        <v>20</v>
      </c>
      <c r="V112" s="239" t="s">
        <v>1219</v>
      </c>
      <c r="W112" s="228"/>
      <c r="X112" s="225"/>
      <c r="Y112" s="68"/>
      <c r="Z112" s="68"/>
      <c r="AA112" s="68"/>
    </row>
    <row r="113" spans="1:27" ht="16.5">
      <c r="A113" s="712"/>
      <c r="B113" s="707"/>
      <c r="C113" s="707"/>
      <c r="D113" s="72">
        <v>106</v>
      </c>
      <c r="E113" s="72" t="s">
        <v>218</v>
      </c>
      <c r="F113" s="105"/>
      <c r="G113" s="106"/>
      <c r="H113" s="106"/>
      <c r="I113" s="108">
        <v>14</v>
      </c>
      <c r="J113" s="106"/>
      <c r="K113" s="108">
        <v>27</v>
      </c>
      <c r="L113" s="106"/>
      <c r="M113" s="106"/>
      <c r="N113" s="230"/>
      <c r="O113" s="106"/>
      <c r="P113" s="107"/>
      <c r="Q113" s="230"/>
      <c r="R113" s="107"/>
      <c r="S113" s="107"/>
      <c r="T113" s="161">
        <f t="shared" si="0"/>
        <v>41</v>
      </c>
      <c r="U113" s="232">
        <v>41</v>
      </c>
      <c r="V113" s="237" t="s">
        <v>1220</v>
      </c>
      <c r="W113" s="228"/>
      <c r="X113" s="225"/>
      <c r="Y113" s="68"/>
      <c r="Z113" s="68"/>
      <c r="AA113" s="68"/>
    </row>
    <row r="114" spans="1:27" ht="15.75">
      <c r="A114" s="712"/>
      <c r="B114" s="706" t="s">
        <v>220</v>
      </c>
      <c r="C114" s="706" t="s">
        <v>221</v>
      </c>
      <c r="D114" s="72">
        <v>107</v>
      </c>
      <c r="E114" s="72" t="s">
        <v>222</v>
      </c>
      <c r="F114" s="105"/>
      <c r="G114" s="106"/>
      <c r="H114" s="231"/>
      <c r="I114" s="108">
        <v>212.45</v>
      </c>
      <c r="J114" s="106"/>
      <c r="K114" s="108">
        <v>1080</v>
      </c>
      <c r="L114" s="106"/>
      <c r="M114" s="231"/>
      <c r="N114" s="230"/>
      <c r="O114" s="231"/>
      <c r="P114" s="107"/>
      <c r="Q114" s="231"/>
      <c r="R114" s="107"/>
      <c r="S114" s="106"/>
      <c r="T114" s="161">
        <f t="shared" si="0"/>
        <v>1292.45</v>
      </c>
      <c r="U114" s="232">
        <f>180+1188</f>
        <v>1368</v>
      </c>
      <c r="V114" s="138" t="s">
        <v>1221</v>
      </c>
      <c r="W114" s="240" t="s">
        <v>1222</v>
      </c>
      <c r="X114" s="68"/>
      <c r="Y114" s="68"/>
      <c r="Z114" s="68"/>
      <c r="AA114" s="68"/>
    </row>
    <row r="115" spans="1:27" ht="28.5">
      <c r="A115" s="712"/>
      <c r="B115" s="712"/>
      <c r="C115" s="712"/>
      <c r="D115" s="72">
        <v>108</v>
      </c>
      <c r="E115" s="72" t="s">
        <v>224</v>
      </c>
      <c r="F115" s="105"/>
      <c r="G115" s="106"/>
      <c r="H115" s="106"/>
      <c r="I115" s="230"/>
      <c r="J115" s="106"/>
      <c r="K115" s="108">
        <v>870</v>
      </c>
      <c r="L115" s="106"/>
      <c r="M115" s="231"/>
      <c r="N115" s="106"/>
      <c r="O115" s="231"/>
      <c r="P115" s="107"/>
      <c r="Q115" s="106"/>
      <c r="R115" s="106"/>
      <c r="S115" s="106"/>
      <c r="T115" s="161">
        <f t="shared" si="0"/>
        <v>870</v>
      </c>
      <c r="U115" s="232">
        <v>870</v>
      </c>
      <c r="V115" s="241" t="s">
        <v>1223</v>
      </c>
      <c r="W115" s="242" t="s">
        <v>1223</v>
      </c>
      <c r="X115" s="68"/>
      <c r="Y115" s="68"/>
      <c r="Z115" s="68"/>
      <c r="AA115" s="68"/>
    </row>
    <row r="116" spans="1:27" ht="42.75">
      <c r="A116" s="712"/>
      <c r="B116" s="712"/>
      <c r="C116" s="712"/>
      <c r="D116" s="72">
        <v>109</v>
      </c>
      <c r="E116" s="72" t="s">
        <v>226</v>
      </c>
      <c r="F116" s="105"/>
      <c r="G116" s="106"/>
      <c r="H116" s="107"/>
      <c r="I116" s="108">
        <v>279</v>
      </c>
      <c r="J116" s="106"/>
      <c r="K116" s="108">
        <v>210</v>
      </c>
      <c r="L116" s="106"/>
      <c r="M116" s="238">
        <v>51</v>
      </c>
      <c r="N116" s="106"/>
      <c r="O116" s="106"/>
      <c r="P116" s="106"/>
      <c r="Q116" s="106"/>
      <c r="R116" s="106"/>
      <c r="S116" s="106"/>
      <c r="T116" s="161">
        <f t="shared" si="0"/>
        <v>540</v>
      </c>
      <c r="U116" s="232">
        <v>171</v>
      </c>
      <c r="V116" s="241" t="s">
        <v>1224</v>
      </c>
      <c r="W116" s="240" t="s">
        <v>1225</v>
      </c>
      <c r="X116" s="68"/>
      <c r="Y116" s="68"/>
      <c r="Z116" s="68"/>
      <c r="AA116" s="68"/>
    </row>
    <row r="117" spans="1:27" ht="28.5">
      <c r="A117" s="712"/>
      <c r="B117" s="712"/>
      <c r="C117" s="712"/>
      <c r="D117" s="72">
        <v>110</v>
      </c>
      <c r="E117" s="72" t="s">
        <v>227</v>
      </c>
      <c r="F117" s="105"/>
      <c r="G117" s="106"/>
      <c r="H117" s="106"/>
      <c r="I117" s="108">
        <v>154</v>
      </c>
      <c r="J117" s="106"/>
      <c r="K117" s="108">
        <v>1375</v>
      </c>
      <c r="L117" s="106"/>
      <c r="M117" s="107"/>
      <c r="N117" s="108">
        <v>10</v>
      </c>
      <c r="O117" s="229"/>
      <c r="P117" s="230"/>
      <c r="Q117" s="229">
        <v>14</v>
      </c>
      <c r="R117" s="229">
        <v>3</v>
      </c>
      <c r="S117" s="231"/>
      <c r="T117" s="161">
        <f t="shared" si="0"/>
        <v>1556</v>
      </c>
      <c r="U117" s="232">
        <f>1500</f>
        <v>1500</v>
      </c>
      <c r="V117" s="243" t="s">
        <v>1226</v>
      </c>
      <c r="W117" s="240" t="s">
        <v>1227</v>
      </c>
      <c r="X117" s="68"/>
      <c r="Y117" s="68"/>
      <c r="Z117" s="68"/>
      <c r="AA117" s="68"/>
    </row>
    <row r="118" spans="1:27" ht="42.75">
      <c r="A118" s="712"/>
      <c r="B118" s="707"/>
      <c r="C118" s="707"/>
      <c r="D118" s="72">
        <v>111</v>
      </c>
      <c r="E118" s="72" t="s">
        <v>53</v>
      </c>
      <c r="F118" s="105"/>
      <c r="G118" s="106"/>
      <c r="H118" s="238">
        <v>50</v>
      </c>
      <c r="I118" s="229">
        <v>25</v>
      </c>
      <c r="J118" s="106"/>
      <c r="K118" s="107"/>
      <c r="L118" s="106"/>
      <c r="M118" s="238">
        <v>155</v>
      </c>
      <c r="N118" s="106"/>
      <c r="O118" s="106"/>
      <c r="P118" s="107"/>
      <c r="Q118" s="230"/>
      <c r="R118" s="106"/>
      <c r="S118" s="229">
        <v>20</v>
      </c>
      <c r="T118" s="161">
        <f t="shared" si="0"/>
        <v>250</v>
      </c>
      <c r="U118" s="232">
        <v>257</v>
      </c>
      <c r="V118" s="243" t="s">
        <v>1228</v>
      </c>
      <c r="W118" s="240" t="s">
        <v>1229</v>
      </c>
      <c r="X118" s="68"/>
      <c r="Y118" s="68"/>
      <c r="Z118" s="68"/>
      <c r="AA118" s="68"/>
    </row>
    <row r="119" spans="1:27" ht="114.75">
      <c r="A119" s="712"/>
      <c r="B119" s="706" t="s">
        <v>229</v>
      </c>
      <c r="C119" s="706" t="s">
        <v>230</v>
      </c>
      <c r="D119" s="72">
        <v>112</v>
      </c>
      <c r="E119" s="72" t="s">
        <v>231</v>
      </c>
      <c r="F119" s="105"/>
      <c r="G119" s="106"/>
      <c r="H119" s="106"/>
      <c r="I119" s="108">
        <v>31.9</v>
      </c>
      <c r="J119" s="106"/>
      <c r="K119" s="108">
        <v>50</v>
      </c>
      <c r="L119" s="106"/>
      <c r="M119" s="106"/>
      <c r="N119" s="106"/>
      <c r="O119" s="106"/>
      <c r="P119" s="106"/>
      <c r="Q119" s="230"/>
      <c r="R119" s="106"/>
      <c r="S119" s="106"/>
      <c r="T119" s="161">
        <f t="shared" si="0"/>
        <v>81.900000000000006</v>
      </c>
      <c r="U119" s="232">
        <v>81.900000000000006</v>
      </c>
      <c r="V119" s="244" t="s">
        <v>1230</v>
      </c>
      <c r="W119" s="245" t="s">
        <v>1231</v>
      </c>
      <c r="X119" s="68"/>
      <c r="Y119" s="68"/>
      <c r="Z119" s="68"/>
      <c r="AA119" s="68"/>
    </row>
    <row r="120" spans="1:27" ht="75">
      <c r="A120" s="712"/>
      <c r="B120" s="707"/>
      <c r="C120" s="707"/>
      <c r="D120" s="72">
        <v>113</v>
      </c>
      <c r="E120" s="72" t="s">
        <v>232</v>
      </c>
      <c r="F120" s="105"/>
      <c r="G120" s="106"/>
      <c r="H120" s="106"/>
      <c r="I120" s="230"/>
      <c r="J120" s="106"/>
      <c r="K120" s="230"/>
      <c r="L120" s="106"/>
      <c r="M120" s="108">
        <v>990.45</v>
      </c>
      <c r="N120" s="108">
        <v>1</v>
      </c>
      <c r="O120" s="106"/>
      <c r="P120" s="106"/>
      <c r="Q120" s="108">
        <v>1</v>
      </c>
      <c r="R120" s="106"/>
      <c r="S120" s="106"/>
      <c r="T120" s="161">
        <f t="shared" si="0"/>
        <v>992.45</v>
      </c>
      <c r="U120" s="232">
        <v>992.45</v>
      </c>
      <c r="V120" s="246" t="s">
        <v>1232</v>
      </c>
      <c r="W120" s="247"/>
      <c r="X120" s="68"/>
      <c r="Y120" s="68"/>
      <c r="Z120" s="68"/>
      <c r="AA120" s="68"/>
    </row>
    <row r="121" spans="1:27" ht="240">
      <c r="A121" s="712"/>
      <c r="B121" s="72" t="s">
        <v>234</v>
      </c>
      <c r="C121" s="72" t="s">
        <v>235</v>
      </c>
      <c r="D121" s="72">
        <v>114</v>
      </c>
      <c r="E121" s="72" t="s">
        <v>236</v>
      </c>
      <c r="F121" s="105"/>
      <c r="G121" s="106"/>
      <c r="H121" s="107"/>
      <c r="I121" s="106"/>
      <c r="J121" s="106"/>
      <c r="K121" s="106"/>
      <c r="L121" s="106"/>
      <c r="M121" s="106"/>
      <c r="N121" s="229">
        <v>1</v>
      </c>
      <c r="O121" s="106"/>
      <c r="P121" s="107"/>
      <c r="Q121" s="108">
        <v>5</v>
      </c>
      <c r="R121" s="229">
        <v>1</v>
      </c>
      <c r="S121" s="229">
        <v>5.8</v>
      </c>
      <c r="T121" s="161">
        <f t="shared" si="0"/>
        <v>12.8</v>
      </c>
      <c r="U121" s="232">
        <v>12.8</v>
      </c>
      <c r="V121" s="248" t="s">
        <v>1233</v>
      </c>
      <c r="W121" s="159"/>
      <c r="X121" s="68"/>
      <c r="Y121" s="68"/>
      <c r="Z121" s="68"/>
      <c r="AA121" s="68"/>
    </row>
    <row r="122" spans="1:27" ht="47.25" customHeight="1">
      <c r="A122" s="712"/>
      <c r="B122" s="706" t="s">
        <v>238</v>
      </c>
      <c r="C122" s="706" t="s">
        <v>239</v>
      </c>
      <c r="D122" s="72">
        <v>115</v>
      </c>
      <c r="E122" s="72" t="s">
        <v>240</v>
      </c>
      <c r="F122" s="105"/>
      <c r="G122" s="106"/>
      <c r="H122" s="106"/>
      <c r="I122" s="106"/>
      <c r="J122" s="106"/>
      <c r="K122" s="106"/>
      <c r="L122" s="106"/>
      <c r="M122" s="230"/>
      <c r="N122" s="106"/>
      <c r="O122" s="106"/>
      <c r="P122" s="106"/>
      <c r="Q122" s="238">
        <v>3.75</v>
      </c>
      <c r="R122" s="238">
        <v>0.75</v>
      </c>
      <c r="S122" s="106"/>
      <c r="T122" s="161">
        <f t="shared" si="0"/>
        <v>4.5</v>
      </c>
      <c r="U122" s="232">
        <v>4.5</v>
      </c>
      <c r="V122" s="74"/>
      <c r="W122" s="159"/>
      <c r="X122" s="68"/>
      <c r="Y122" s="68"/>
      <c r="Z122" s="68"/>
      <c r="AA122" s="68"/>
    </row>
    <row r="123" spans="1:27" ht="86.25">
      <c r="A123" s="712"/>
      <c r="B123" s="712"/>
      <c r="C123" s="712"/>
      <c r="D123" s="72">
        <v>116</v>
      </c>
      <c r="E123" s="72" t="s">
        <v>242</v>
      </c>
      <c r="F123" s="105"/>
      <c r="G123" s="106"/>
      <c r="H123" s="106"/>
      <c r="I123" s="106"/>
      <c r="J123" s="106"/>
      <c r="K123" s="106"/>
      <c r="L123" s="106"/>
      <c r="M123" s="230"/>
      <c r="N123" s="106"/>
      <c r="O123" s="106"/>
      <c r="P123" s="106"/>
      <c r="Q123" s="230"/>
      <c r="R123" s="231"/>
      <c r="S123" s="106"/>
      <c r="T123" s="161">
        <f t="shared" si="0"/>
        <v>0</v>
      </c>
      <c r="U123" s="226"/>
      <c r="V123" s="249" t="s">
        <v>1234</v>
      </c>
      <c r="W123" s="247"/>
      <c r="X123" s="68"/>
      <c r="Y123" s="68"/>
      <c r="Z123" s="68"/>
      <c r="AA123" s="68"/>
    </row>
    <row r="124" spans="1:27" ht="28.5">
      <c r="A124" s="712"/>
      <c r="B124" s="712"/>
      <c r="C124" s="712"/>
      <c r="D124" s="72">
        <v>117</v>
      </c>
      <c r="E124" s="72" t="s">
        <v>244</v>
      </c>
      <c r="F124" s="105"/>
      <c r="G124" s="106"/>
      <c r="H124" s="106"/>
      <c r="I124" s="106"/>
      <c r="J124" s="106"/>
      <c r="K124" s="106"/>
      <c r="L124" s="106"/>
      <c r="M124" s="106"/>
      <c r="N124" s="106"/>
      <c r="O124" s="106"/>
      <c r="P124" s="106"/>
      <c r="Q124" s="106"/>
      <c r="R124" s="106"/>
      <c r="S124" s="106"/>
      <c r="T124" s="161">
        <f t="shared" si="0"/>
        <v>0</v>
      </c>
      <c r="U124" s="226"/>
      <c r="V124" s="250"/>
      <c r="W124" s="247"/>
      <c r="X124" s="68"/>
      <c r="Y124" s="68"/>
      <c r="Z124" s="68"/>
      <c r="AA124" s="68"/>
    </row>
    <row r="125" spans="1:27" ht="42.75">
      <c r="A125" s="712"/>
      <c r="B125" s="707"/>
      <c r="C125" s="707"/>
      <c r="D125" s="72">
        <v>118</v>
      </c>
      <c r="E125" s="72" t="s">
        <v>53</v>
      </c>
      <c r="F125" s="105"/>
      <c r="G125" s="106"/>
      <c r="H125" s="106"/>
      <c r="I125" s="106"/>
      <c r="J125" s="106"/>
      <c r="K125" s="106"/>
      <c r="L125" s="106"/>
      <c r="M125" s="106"/>
      <c r="N125" s="106"/>
      <c r="O125" s="106"/>
      <c r="P125" s="106"/>
      <c r="Q125" s="230"/>
      <c r="R125" s="106"/>
      <c r="S125" s="106"/>
      <c r="T125" s="161">
        <f t="shared" si="0"/>
        <v>0</v>
      </c>
      <c r="U125" s="226"/>
      <c r="V125" s="251"/>
      <c r="W125" s="247"/>
      <c r="X125" s="68"/>
      <c r="Y125" s="68"/>
      <c r="Z125" s="68"/>
      <c r="AA125" s="68"/>
    </row>
    <row r="126" spans="1:27" ht="142.5">
      <c r="A126" s="712"/>
      <c r="B126" s="72" t="s">
        <v>245</v>
      </c>
      <c r="C126" s="72" t="s">
        <v>246</v>
      </c>
      <c r="D126" s="72">
        <v>119</v>
      </c>
      <c r="E126" s="72" t="s">
        <v>247</v>
      </c>
      <c r="F126" s="105"/>
      <c r="G126" s="106"/>
      <c r="H126" s="107"/>
      <c r="I126" s="108">
        <v>0</v>
      </c>
      <c r="J126" s="106"/>
      <c r="K126" s="106"/>
      <c r="L126" s="106"/>
      <c r="M126" s="106"/>
      <c r="N126" s="230"/>
      <c r="O126" s="106"/>
      <c r="P126" s="229">
        <v>0</v>
      </c>
      <c r="Q126" s="230"/>
      <c r="R126" s="252"/>
      <c r="S126" s="253"/>
      <c r="T126" s="161">
        <f t="shared" si="0"/>
        <v>0</v>
      </c>
      <c r="U126" s="232">
        <v>0</v>
      </c>
      <c r="V126" s="254"/>
      <c r="W126" s="247"/>
      <c r="X126" s="68"/>
      <c r="Y126" s="68"/>
      <c r="Z126" s="68"/>
      <c r="AA126" s="68"/>
    </row>
    <row r="127" spans="1:27" ht="199.5">
      <c r="A127" s="712"/>
      <c r="B127" s="72" t="s">
        <v>249</v>
      </c>
      <c r="C127" s="72" t="s">
        <v>250</v>
      </c>
      <c r="D127" s="72">
        <v>120</v>
      </c>
      <c r="E127" s="72" t="s">
        <v>251</v>
      </c>
      <c r="F127" s="105"/>
      <c r="G127" s="106"/>
      <c r="H127" s="106"/>
      <c r="I127" s="106"/>
      <c r="J127" s="106"/>
      <c r="K127" s="107"/>
      <c r="L127" s="106"/>
      <c r="M127" s="107"/>
      <c r="N127" s="230"/>
      <c r="O127" s="106"/>
      <c r="P127" s="107"/>
      <c r="Q127" s="230"/>
      <c r="R127" s="222"/>
      <c r="S127" s="106"/>
      <c r="T127" s="161">
        <f t="shared" si="0"/>
        <v>0</v>
      </c>
      <c r="U127" s="226"/>
      <c r="V127" s="255"/>
      <c r="W127" s="247"/>
      <c r="X127" s="68"/>
      <c r="Y127" s="68"/>
      <c r="Z127" s="68"/>
      <c r="AA127" s="68"/>
    </row>
    <row r="128" spans="1:27" ht="135">
      <c r="A128" s="712"/>
      <c r="B128" s="706" t="s">
        <v>252</v>
      </c>
      <c r="C128" s="706" t="s">
        <v>253</v>
      </c>
      <c r="D128" s="72">
        <v>121</v>
      </c>
      <c r="E128" s="72" t="s">
        <v>254</v>
      </c>
      <c r="F128" s="41">
        <v>0</v>
      </c>
      <c r="G128" s="42">
        <v>0</v>
      </c>
      <c r="H128" s="42">
        <v>0</v>
      </c>
      <c r="I128" s="43">
        <v>41.5</v>
      </c>
      <c r="J128" s="42">
        <v>0</v>
      </c>
      <c r="K128" s="42">
        <v>0</v>
      </c>
      <c r="L128" s="42">
        <v>0</v>
      </c>
      <c r="M128" s="42">
        <v>0</v>
      </c>
      <c r="N128" s="42">
        <v>2.85</v>
      </c>
      <c r="O128" s="42">
        <v>0</v>
      </c>
      <c r="P128" s="42">
        <v>0</v>
      </c>
      <c r="Q128" s="42">
        <v>0</v>
      </c>
      <c r="R128" s="42">
        <v>0</v>
      </c>
      <c r="S128" s="42">
        <v>0</v>
      </c>
      <c r="T128" s="161">
        <f t="shared" si="0"/>
        <v>44.35</v>
      </c>
      <c r="U128" s="44">
        <v>0</v>
      </c>
      <c r="V128" s="45" t="s">
        <v>1235</v>
      </c>
      <c r="W128" s="256"/>
      <c r="X128" s="68"/>
      <c r="Y128" s="68"/>
      <c r="Z128" s="68"/>
      <c r="AA128" s="68"/>
    </row>
    <row r="129" spans="1:27" ht="28.5">
      <c r="A129" s="712"/>
      <c r="B129" s="712"/>
      <c r="C129" s="712"/>
      <c r="D129" s="72">
        <v>122</v>
      </c>
      <c r="E129" s="72" t="s">
        <v>256</v>
      </c>
      <c r="F129" s="46">
        <v>0</v>
      </c>
      <c r="G129" s="47">
        <v>0</v>
      </c>
      <c r="H129" s="47">
        <v>0</v>
      </c>
      <c r="I129" s="47">
        <v>0</v>
      </c>
      <c r="J129" s="47">
        <v>0</v>
      </c>
      <c r="K129" s="47">
        <v>0</v>
      </c>
      <c r="L129" s="47">
        <v>0</v>
      </c>
      <c r="M129" s="47">
        <v>0</v>
      </c>
      <c r="N129" s="47">
        <v>0</v>
      </c>
      <c r="O129" s="47">
        <v>0</v>
      </c>
      <c r="P129" s="47">
        <v>0</v>
      </c>
      <c r="Q129" s="47">
        <v>0</v>
      </c>
      <c r="R129" s="47">
        <v>0</v>
      </c>
      <c r="S129" s="47">
        <v>0</v>
      </c>
      <c r="T129" s="161">
        <f t="shared" si="0"/>
        <v>0</v>
      </c>
      <c r="U129" s="48">
        <v>0</v>
      </c>
      <c r="V129" s="49"/>
      <c r="W129" s="60"/>
      <c r="X129" s="68"/>
      <c r="Y129" s="68"/>
      <c r="Z129" s="68"/>
      <c r="AA129" s="68"/>
    </row>
    <row r="130" spans="1:27" ht="90">
      <c r="A130" s="712"/>
      <c r="B130" s="707"/>
      <c r="C130" s="707"/>
      <c r="D130" s="72">
        <v>123</v>
      </c>
      <c r="E130" s="72" t="s">
        <v>257</v>
      </c>
      <c r="F130" s="46">
        <v>0</v>
      </c>
      <c r="G130" s="47">
        <v>0</v>
      </c>
      <c r="H130" s="47">
        <v>0</v>
      </c>
      <c r="I130" s="47">
        <v>0</v>
      </c>
      <c r="J130" s="47">
        <v>0</v>
      </c>
      <c r="K130" s="47">
        <v>0</v>
      </c>
      <c r="L130" s="47">
        <v>0</v>
      </c>
      <c r="M130" s="47">
        <v>0</v>
      </c>
      <c r="N130" s="47">
        <v>0</v>
      </c>
      <c r="O130" s="47">
        <v>0</v>
      </c>
      <c r="P130" s="50">
        <v>0</v>
      </c>
      <c r="Q130" s="51">
        <v>15</v>
      </c>
      <c r="R130" s="47">
        <v>0</v>
      </c>
      <c r="S130" s="47">
        <v>0</v>
      </c>
      <c r="T130" s="161">
        <f t="shared" si="0"/>
        <v>15</v>
      </c>
      <c r="U130" s="48">
        <v>15</v>
      </c>
      <c r="V130" s="52" t="s">
        <v>1236</v>
      </c>
      <c r="W130" s="61" t="s">
        <v>1236</v>
      </c>
      <c r="X130" s="68"/>
      <c r="Y130" s="68"/>
      <c r="Z130" s="68"/>
      <c r="AA130" s="68"/>
    </row>
    <row r="131" spans="1:27" ht="100.5">
      <c r="A131" s="712"/>
      <c r="B131" s="706" t="s">
        <v>259</v>
      </c>
      <c r="C131" s="706" t="s">
        <v>260</v>
      </c>
      <c r="D131" s="72">
        <v>124</v>
      </c>
      <c r="E131" s="72" t="s">
        <v>261</v>
      </c>
      <c r="F131" s="126"/>
      <c r="G131" s="62">
        <v>60</v>
      </c>
      <c r="H131" s="64">
        <v>0</v>
      </c>
      <c r="I131" s="62">
        <v>10.38</v>
      </c>
      <c r="J131" s="63"/>
      <c r="K131" s="63"/>
      <c r="L131" s="63"/>
      <c r="M131" s="63"/>
      <c r="N131" s="62">
        <v>1</v>
      </c>
      <c r="O131" s="63"/>
      <c r="P131" s="63"/>
      <c r="Q131" s="64">
        <v>1</v>
      </c>
      <c r="R131" s="62">
        <v>1</v>
      </c>
      <c r="S131" s="63"/>
      <c r="T131" s="257">
        <v>73.38</v>
      </c>
      <c r="U131" s="223">
        <v>3</v>
      </c>
      <c r="V131" s="249" t="s">
        <v>1237</v>
      </c>
      <c r="W131" s="258" t="s">
        <v>1238</v>
      </c>
      <c r="X131" s="68"/>
      <c r="Y131" s="68"/>
      <c r="Z131" s="68"/>
      <c r="AA131" s="68"/>
    </row>
    <row r="132" spans="1:27" ht="43.5">
      <c r="A132" s="712"/>
      <c r="B132" s="707"/>
      <c r="C132" s="707"/>
      <c r="D132" s="72">
        <v>125</v>
      </c>
      <c r="E132" s="72" t="s">
        <v>263</v>
      </c>
      <c r="F132" s="126"/>
      <c r="G132" s="63"/>
      <c r="H132" s="127"/>
      <c r="I132" s="63"/>
      <c r="J132" s="63"/>
      <c r="K132" s="63"/>
      <c r="L132" s="63"/>
      <c r="M132" s="63"/>
      <c r="N132" s="62">
        <v>1</v>
      </c>
      <c r="O132" s="63"/>
      <c r="P132" s="63"/>
      <c r="Q132" s="62">
        <v>1</v>
      </c>
      <c r="R132" s="62">
        <v>1</v>
      </c>
      <c r="S132" s="63"/>
      <c r="T132" s="259">
        <v>3</v>
      </c>
      <c r="U132" s="232">
        <v>3</v>
      </c>
      <c r="V132" s="260" t="s">
        <v>1239</v>
      </c>
      <c r="W132" s="247"/>
      <c r="X132" s="68"/>
      <c r="Y132" s="68"/>
      <c r="Z132" s="68"/>
      <c r="AA132" s="68"/>
    </row>
    <row r="133" spans="1:27" ht="405">
      <c r="A133" s="712"/>
      <c r="B133" s="72" t="s">
        <v>264</v>
      </c>
      <c r="C133" s="72" t="s">
        <v>265</v>
      </c>
      <c r="D133" s="72">
        <v>126</v>
      </c>
      <c r="E133" s="72" t="s">
        <v>181</v>
      </c>
      <c r="F133" s="72"/>
      <c r="G133" s="72"/>
      <c r="H133" s="75"/>
      <c r="I133" s="72"/>
      <c r="J133" s="72"/>
      <c r="K133" s="72"/>
      <c r="L133" s="72"/>
      <c r="M133" s="72"/>
      <c r="N133" s="72"/>
      <c r="O133" s="72"/>
      <c r="P133" s="72"/>
      <c r="Q133" s="72"/>
      <c r="R133" s="72"/>
      <c r="S133" s="75">
        <v>15</v>
      </c>
      <c r="T133" s="161">
        <f t="shared" ref="T133:T200" si="8">SUM(F133:S133)</f>
        <v>15</v>
      </c>
      <c r="U133" s="16">
        <v>6.2</v>
      </c>
      <c r="V133" s="22" t="s">
        <v>1240</v>
      </c>
      <c r="W133" s="159"/>
      <c r="X133" s="68"/>
      <c r="Y133" s="68"/>
      <c r="Z133" s="68"/>
      <c r="AA133" s="68"/>
    </row>
    <row r="134" spans="1:27" ht="32.25" customHeight="1">
      <c r="A134" s="707"/>
      <c r="B134" s="713" t="s">
        <v>266</v>
      </c>
      <c r="C134" s="709"/>
      <c r="D134" s="710"/>
      <c r="E134" s="84"/>
      <c r="F134" s="84">
        <f t="shared" ref="F134:S134" si="9">SUM(F94:F133)</f>
        <v>0</v>
      </c>
      <c r="G134" s="84">
        <f t="shared" si="9"/>
        <v>60</v>
      </c>
      <c r="H134" s="84">
        <f t="shared" si="9"/>
        <v>290</v>
      </c>
      <c r="I134" s="84">
        <f t="shared" si="9"/>
        <v>1523.2300000000002</v>
      </c>
      <c r="J134" s="84">
        <f t="shared" si="9"/>
        <v>0</v>
      </c>
      <c r="K134" s="5">
        <f t="shared" si="9"/>
        <v>4078</v>
      </c>
      <c r="L134" s="84">
        <f t="shared" si="9"/>
        <v>0</v>
      </c>
      <c r="M134" s="84">
        <f t="shared" si="9"/>
        <v>1196.45</v>
      </c>
      <c r="N134" s="84">
        <f t="shared" si="9"/>
        <v>24.35</v>
      </c>
      <c r="O134" s="84">
        <f t="shared" si="9"/>
        <v>0</v>
      </c>
      <c r="P134" s="84">
        <f t="shared" si="9"/>
        <v>20.7</v>
      </c>
      <c r="Q134" s="84">
        <f t="shared" si="9"/>
        <v>56.75</v>
      </c>
      <c r="R134" s="84">
        <f t="shared" si="9"/>
        <v>18.75</v>
      </c>
      <c r="S134" s="84">
        <f t="shared" si="9"/>
        <v>40.799999999999997</v>
      </c>
      <c r="T134" s="161">
        <f t="shared" si="8"/>
        <v>7309.0300000000007</v>
      </c>
      <c r="U134" s="5">
        <f t="shared" ref="U134:V134" si="10">SUM(U94:U133)</f>
        <v>6702.0499999999993</v>
      </c>
      <c r="V134" s="84">
        <f t="shared" si="10"/>
        <v>0</v>
      </c>
      <c r="W134" s="159"/>
      <c r="X134" s="68"/>
      <c r="Y134" s="68"/>
      <c r="Z134" s="68"/>
      <c r="AA134" s="68"/>
    </row>
    <row r="135" spans="1:27" ht="57">
      <c r="A135" s="714" t="s">
        <v>267</v>
      </c>
      <c r="B135" s="706" t="s">
        <v>268</v>
      </c>
      <c r="C135" s="706" t="s">
        <v>269</v>
      </c>
      <c r="D135" s="72">
        <v>127</v>
      </c>
      <c r="E135" s="72" t="s">
        <v>270</v>
      </c>
      <c r="F135" s="109"/>
      <c r="G135" s="109"/>
      <c r="H135" s="109"/>
      <c r="I135" s="109"/>
      <c r="J135" s="109"/>
      <c r="K135" s="109"/>
      <c r="L135" s="109"/>
      <c r="M135" s="109"/>
      <c r="N135" s="109"/>
      <c r="O135" s="109"/>
      <c r="P135" s="109"/>
      <c r="Q135" s="109"/>
      <c r="R135" s="109"/>
      <c r="S135" s="109"/>
      <c r="T135" s="161">
        <f t="shared" si="8"/>
        <v>0</v>
      </c>
      <c r="U135" s="73"/>
      <c r="V135" s="110"/>
      <c r="W135" s="159"/>
      <c r="X135" s="68"/>
      <c r="Y135" s="68"/>
      <c r="Z135" s="68"/>
      <c r="AA135" s="68"/>
    </row>
    <row r="136" spans="1:27" ht="120.75" customHeight="1">
      <c r="A136" s="712"/>
      <c r="B136" s="707"/>
      <c r="C136" s="707"/>
      <c r="D136" s="72">
        <v>128</v>
      </c>
      <c r="E136" s="72" t="s">
        <v>271</v>
      </c>
      <c r="F136" s="109"/>
      <c r="G136" s="109"/>
      <c r="H136" s="109"/>
      <c r="I136" s="109"/>
      <c r="J136" s="109"/>
      <c r="K136" s="111"/>
      <c r="L136" s="109"/>
      <c r="M136" s="109"/>
      <c r="N136" s="112">
        <v>20</v>
      </c>
      <c r="O136" s="109"/>
      <c r="P136" s="111"/>
      <c r="Q136" s="111">
        <f>102*0.0005*200</f>
        <v>10.200000000000001</v>
      </c>
      <c r="R136" s="109"/>
      <c r="S136" s="109"/>
      <c r="T136" s="161">
        <f t="shared" si="8"/>
        <v>30.200000000000003</v>
      </c>
      <c r="U136" s="16">
        <f>T136</f>
        <v>30.200000000000003</v>
      </c>
      <c r="V136" s="121" t="s">
        <v>1241</v>
      </c>
      <c r="W136" s="159"/>
      <c r="X136" s="68"/>
      <c r="Y136" s="68"/>
      <c r="Z136" s="68"/>
      <c r="AA136" s="68"/>
    </row>
    <row r="137" spans="1:27" ht="42.75">
      <c r="A137" s="712"/>
      <c r="B137" s="114"/>
      <c r="C137" s="114"/>
      <c r="D137" s="72">
        <v>129</v>
      </c>
      <c r="E137" s="72" t="s">
        <v>273</v>
      </c>
      <c r="F137" s="109"/>
      <c r="G137" s="109"/>
      <c r="H137" s="109"/>
      <c r="I137" s="109"/>
      <c r="J137" s="109"/>
      <c r="K137" s="109"/>
      <c r="L137" s="109"/>
      <c r="M137" s="109"/>
      <c r="N137" s="109"/>
      <c r="O137" s="109"/>
      <c r="P137" s="109"/>
      <c r="Q137" s="109"/>
      <c r="R137" s="109"/>
      <c r="S137" s="109"/>
      <c r="T137" s="161">
        <f t="shared" si="8"/>
        <v>0</v>
      </c>
      <c r="U137" s="73"/>
      <c r="V137" s="110"/>
      <c r="W137" s="159"/>
      <c r="X137" s="68"/>
      <c r="Y137" s="68"/>
      <c r="Z137" s="68"/>
      <c r="AA137" s="68"/>
    </row>
    <row r="138" spans="1:27" ht="57">
      <c r="A138" s="712"/>
      <c r="B138" s="706" t="s">
        <v>274</v>
      </c>
      <c r="C138" s="706" t="s">
        <v>275</v>
      </c>
      <c r="D138" s="72">
        <v>130</v>
      </c>
      <c r="E138" s="72" t="s">
        <v>276</v>
      </c>
      <c r="F138" s="109"/>
      <c r="G138" s="109"/>
      <c r="H138" s="109"/>
      <c r="I138" s="109"/>
      <c r="J138" s="109"/>
      <c r="K138" s="109"/>
      <c r="L138" s="109"/>
      <c r="M138" s="109"/>
      <c r="N138" s="109"/>
      <c r="O138" s="109"/>
      <c r="P138" s="109"/>
      <c r="Q138" s="109"/>
      <c r="R138" s="109"/>
      <c r="S138" s="109"/>
      <c r="T138" s="161">
        <f t="shared" si="8"/>
        <v>0</v>
      </c>
      <c r="U138" s="73"/>
      <c r="V138" s="110"/>
      <c r="W138" s="159"/>
      <c r="X138" s="68"/>
      <c r="Y138" s="68"/>
      <c r="Z138" s="68"/>
      <c r="AA138" s="68"/>
    </row>
    <row r="139" spans="1:27" ht="16.5">
      <c r="A139" s="712"/>
      <c r="B139" s="712"/>
      <c r="C139" s="712"/>
      <c r="D139" s="72">
        <v>131</v>
      </c>
      <c r="E139" s="72" t="s">
        <v>277</v>
      </c>
      <c r="F139" s="109"/>
      <c r="G139" s="109"/>
      <c r="H139" s="109"/>
      <c r="I139" s="109"/>
      <c r="J139" s="109"/>
      <c r="K139" s="109"/>
      <c r="L139" s="109"/>
      <c r="M139" s="109"/>
      <c r="N139" s="111"/>
      <c r="O139" s="109"/>
      <c r="P139" s="109"/>
      <c r="Q139" s="109"/>
      <c r="R139" s="109"/>
      <c r="S139" s="109"/>
      <c r="T139" s="161">
        <f t="shared" si="8"/>
        <v>0</v>
      </c>
      <c r="U139" s="73"/>
      <c r="V139" s="115"/>
      <c r="W139" s="159"/>
      <c r="X139" s="68"/>
      <c r="Y139" s="68"/>
      <c r="Z139" s="68"/>
      <c r="AA139" s="68"/>
    </row>
    <row r="140" spans="1:27" ht="16.5">
      <c r="A140" s="712"/>
      <c r="B140" s="712"/>
      <c r="C140" s="712"/>
      <c r="D140" s="72">
        <v>132</v>
      </c>
      <c r="E140" s="72" t="s">
        <v>279</v>
      </c>
      <c r="F140" s="109"/>
      <c r="G140" s="109"/>
      <c r="H140" s="109"/>
      <c r="I140" s="109"/>
      <c r="J140" s="109"/>
      <c r="K140" s="109"/>
      <c r="L140" s="109"/>
      <c r="M140" s="109"/>
      <c r="N140" s="109"/>
      <c r="O140" s="109"/>
      <c r="P140" s="109"/>
      <c r="Q140" s="109"/>
      <c r="R140" s="109"/>
      <c r="S140" s="109"/>
      <c r="T140" s="161">
        <f t="shared" si="8"/>
        <v>0</v>
      </c>
      <c r="U140" s="73"/>
      <c r="V140" s="110"/>
      <c r="W140" s="159"/>
      <c r="X140" s="68"/>
      <c r="Y140" s="68"/>
      <c r="Z140" s="68"/>
      <c r="AA140" s="68"/>
    </row>
    <row r="141" spans="1:27" ht="16.5">
      <c r="A141" s="712"/>
      <c r="B141" s="712"/>
      <c r="C141" s="712"/>
      <c r="D141" s="72">
        <v>133</v>
      </c>
      <c r="E141" s="72" t="s">
        <v>280</v>
      </c>
      <c r="F141" s="109"/>
      <c r="G141" s="109"/>
      <c r="H141" s="109"/>
      <c r="I141" s="109"/>
      <c r="J141" s="109"/>
      <c r="K141" s="109"/>
      <c r="L141" s="109"/>
      <c r="M141" s="109"/>
      <c r="N141" s="109"/>
      <c r="O141" s="109"/>
      <c r="P141" s="109"/>
      <c r="Q141" s="109"/>
      <c r="R141" s="109"/>
      <c r="S141" s="109"/>
      <c r="T141" s="161">
        <f t="shared" si="8"/>
        <v>0</v>
      </c>
      <c r="U141" s="73"/>
      <c r="V141" s="110"/>
      <c r="W141" s="159"/>
      <c r="X141" s="68"/>
      <c r="Y141" s="68"/>
      <c r="Z141" s="68"/>
      <c r="AA141" s="68"/>
    </row>
    <row r="142" spans="1:27" ht="120">
      <c r="A142" s="712"/>
      <c r="B142" s="712"/>
      <c r="C142" s="712"/>
      <c r="D142" s="72">
        <v>134</v>
      </c>
      <c r="E142" s="72" t="s">
        <v>281</v>
      </c>
      <c r="F142" s="109"/>
      <c r="G142" s="109"/>
      <c r="H142" s="109"/>
      <c r="I142" s="109"/>
      <c r="J142" s="109"/>
      <c r="K142" s="109"/>
      <c r="L142" s="109"/>
      <c r="M142" s="109"/>
      <c r="N142" s="109"/>
      <c r="O142" s="109"/>
      <c r="P142" s="112"/>
      <c r="Q142" s="109"/>
      <c r="R142" s="109"/>
      <c r="S142" s="109"/>
      <c r="T142" s="161">
        <f t="shared" si="8"/>
        <v>0</v>
      </c>
      <c r="U142" s="73">
        <f>T142</f>
        <v>0</v>
      </c>
      <c r="V142" s="117" t="s">
        <v>1242</v>
      </c>
      <c r="W142" s="159"/>
      <c r="X142" s="68"/>
      <c r="Y142" s="68"/>
      <c r="Z142" s="68"/>
      <c r="AA142" s="68"/>
    </row>
    <row r="143" spans="1:27" ht="42.75">
      <c r="A143" s="712"/>
      <c r="B143" s="712"/>
      <c r="C143" s="712"/>
      <c r="D143" s="72">
        <v>135</v>
      </c>
      <c r="E143" s="72" t="s">
        <v>283</v>
      </c>
      <c r="F143" s="109"/>
      <c r="G143" s="109"/>
      <c r="H143" s="109"/>
      <c r="I143" s="109"/>
      <c r="J143" s="109"/>
      <c r="K143" s="109"/>
      <c r="L143" s="109"/>
      <c r="M143" s="109"/>
      <c r="N143" s="109"/>
      <c r="O143" s="109"/>
      <c r="P143" s="109"/>
      <c r="Q143" s="109"/>
      <c r="R143" s="109"/>
      <c r="S143" s="109"/>
      <c r="T143" s="161">
        <f t="shared" si="8"/>
        <v>0</v>
      </c>
      <c r="U143" s="73"/>
      <c r="V143" s="110"/>
      <c r="W143" s="159"/>
      <c r="X143" s="68"/>
      <c r="Y143" s="68"/>
      <c r="Z143" s="68"/>
      <c r="AA143" s="68"/>
    </row>
    <row r="144" spans="1:27" ht="42.75">
      <c r="A144" s="712"/>
      <c r="B144" s="707"/>
      <c r="C144" s="707"/>
      <c r="D144" s="72">
        <v>136</v>
      </c>
      <c r="E144" s="72" t="s">
        <v>284</v>
      </c>
      <c r="F144" s="109"/>
      <c r="G144" s="109"/>
      <c r="H144" s="109"/>
      <c r="I144" s="109"/>
      <c r="J144" s="109"/>
      <c r="K144" s="109"/>
      <c r="L144" s="109"/>
      <c r="M144" s="109"/>
      <c r="N144" s="109"/>
      <c r="O144" s="109"/>
      <c r="P144" s="112"/>
      <c r="Q144" s="109"/>
      <c r="R144" s="109"/>
      <c r="S144" s="109"/>
      <c r="T144" s="161">
        <f t="shared" si="8"/>
        <v>0</v>
      </c>
      <c r="U144" s="73"/>
      <c r="V144" s="117"/>
      <c r="W144" s="159"/>
      <c r="X144" s="68"/>
      <c r="Y144" s="68"/>
      <c r="Z144" s="68"/>
      <c r="AA144" s="68"/>
    </row>
    <row r="145" spans="1:27" ht="16.5">
      <c r="A145" s="712"/>
      <c r="B145" s="706" t="s">
        <v>285</v>
      </c>
      <c r="C145" s="706" t="s">
        <v>286</v>
      </c>
      <c r="D145" s="72">
        <v>137</v>
      </c>
      <c r="E145" s="72" t="s">
        <v>287</v>
      </c>
      <c r="F145" s="109"/>
      <c r="G145" s="109"/>
      <c r="H145" s="109"/>
      <c r="I145" s="109"/>
      <c r="J145" s="109"/>
      <c r="K145" s="109"/>
      <c r="L145" s="109"/>
      <c r="M145" s="111"/>
      <c r="N145" s="109"/>
      <c r="O145" s="109"/>
      <c r="P145" s="111"/>
      <c r="Q145" s="109"/>
      <c r="R145" s="109"/>
      <c r="S145" s="109"/>
      <c r="T145" s="161">
        <f t="shared" si="8"/>
        <v>0</v>
      </c>
      <c r="U145" s="73"/>
      <c r="V145" s="117"/>
      <c r="W145" s="159"/>
      <c r="X145" s="68"/>
      <c r="Y145" s="68"/>
      <c r="Z145" s="68"/>
      <c r="AA145" s="68"/>
    </row>
    <row r="146" spans="1:27" ht="195">
      <c r="A146" s="712"/>
      <c r="B146" s="707"/>
      <c r="C146" s="707"/>
      <c r="D146" s="72">
        <v>138</v>
      </c>
      <c r="E146" s="72" t="s">
        <v>288</v>
      </c>
      <c r="F146" s="72"/>
      <c r="G146" s="72"/>
      <c r="H146" s="109"/>
      <c r="I146" s="109"/>
      <c r="J146" s="72"/>
      <c r="K146" s="109"/>
      <c r="L146" s="72"/>
      <c r="M146" s="73"/>
      <c r="N146" s="72"/>
      <c r="O146" s="72"/>
      <c r="P146" s="72"/>
      <c r="Q146" s="72"/>
      <c r="R146" s="72"/>
      <c r="S146" s="72"/>
      <c r="T146" s="161">
        <f t="shared" si="8"/>
        <v>0</v>
      </c>
      <c r="U146" s="73"/>
      <c r="V146" s="119" t="s">
        <v>1243</v>
      </c>
      <c r="W146" s="159"/>
      <c r="X146" s="68"/>
      <c r="Y146" s="68"/>
      <c r="Z146" s="68"/>
      <c r="AA146" s="68"/>
    </row>
    <row r="147" spans="1:27" ht="105">
      <c r="A147" s="712"/>
      <c r="B147" s="706" t="s">
        <v>289</v>
      </c>
      <c r="C147" s="706" t="s">
        <v>290</v>
      </c>
      <c r="D147" s="72">
        <v>139</v>
      </c>
      <c r="E147" s="72" t="s">
        <v>291</v>
      </c>
      <c r="F147" s="109"/>
      <c r="G147" s="109"/>
      <c r="H147" s="109"/>
      <c r="I147" s="109"/>
      <c r="J147" s="109"/>
      <c r="K147" s="109"/>
      <c r="L147" s="109"/>
      <c r="M147" s="109"/>
      <c r="N147" s="112">
        <v>2.6</v>
      </c>
      <c r="O147" s="109"/>
      <c r="P147" s="111"/>
      <c r="Q147" s="109"/>
      <c r="R147" s="112">
        <v>1.2</v>
      </c>
      <c r="S147" s="109"/>
      <c r="T147" s="161">
        <f t="shared" si="8"/>
        <v>3.8</v>
      </c>
      <c r="U147" s="73">
        <f t="shared" ref="U147:U148" si="11">T147</f>
        <v>3.8</v>
      </c>
      <c r="V147" s="121" t="s">
        <v>1244</v>
      </c>
      <c r="W147" s="159"/>
      <c r="X147" s="68"/>
      <c r="Y147" s="68"/>
      <c r="Z147" s="68"/>
      <c r="AA147" s="68"/>
    </row>
    <row r="148" spans="1:27" ht="135">
      <c r="A148" s="712"/>
      <c r="B148" s="712"/>
      <c r="C148" s="712"/>
      <c r="D148" s="72">
        <v>140</v>
      </c>
      <c r="E148" s="72" t="s">
        <v>293</v>
      </c>
      <c r="F148" s="109"/>
      <c r="G148" s="109"/>
      <c r="H148" s="109"/>
      <c r="I148" s="109"/>
      <c r="J148" s="109"/>
      <c r="K148" s="109"/>
      <c r="L148" s="109"/>
      <c r="M148" s="109"/>
      <c r="N148" s="109"/>
      <c r="O148" s="109"/>
      <c r="P148" s="148"/>
      <c r="Q148" s="147"/>
      <c r="R148" s="261">
        <f>(2*3)+((3*(1.5+1)))+(20*0.5)</f>
        <v>23.5</v>
      </c>
      <c r="S148" s="151"/>
      <c r="T148" s="73">
        <f t="shared" si="8"/>
        <v>23.5</v>
      </c>
      <c r="U148" s="148">
        <f t="shared" si="11"/>
        <v>23.5</v>
      </c>
      <c r="V148" s="121" t="s">
        <v>1245</v>
      </c>
      <c r="W148" s="159">
        <f>13.5</f>
        <v>13.5</v>
      </c>
      <c r="X148" s="68"/>
      <c r="Y148" s="68"/>
      <c r="Z148" s="68"/>
      <c r="AA148" s="68"/>
    </row>
    <row r="149" spans="1:27" ht="28.5">
      <c r="A149" s="712"/>
      <c r="B149" s="707"/>
      <c r="C149" s="707"/>
      <c r="D149" s="72">
        <v>141</v>
      </c>
      <c r="E149" s="72" t="s">
        <v>295</v>
      </c>
      <c r="F149" s="109"/>
      <c r="G149" s="109"/>
      <c r="H149" s="109"/>
      <c r="I149" s="109"/>
      <c r="J149" s="109"/>
      <c r="K149" s="109"/>
      <c r="L149" s="109"/>
      <c r="M149" s="109"/>
      <c r="N149" s="109"/>
      <c r="O149" s="109"/>
      <c r="P149" s="109"/>
      <c r="Q149" s="109"/>
      <c r="R149" s="109"/>
      <c r="S149" s="109"/>
      <c r="T149" s="161">
        <f t="shared" si="8"/>
        <v>0</v>
      </c>
      <c r="U149" s="73"/>
      <c r="V149" s="110"/>
      <c r="W149" s="159">
        <f>2+1.5+1+6</f>
        <v>10.5</v>
      </c>
      <c r="X149" s="68"/>
      <c r="Y149" s="68"/>
      <c r="Z149" s="68"/>
      <c r="AA149" s="68"/>
    </row>
    <row r="150" spans="1:27" ht="28.5">
      <c r="A150" s="712"/>
      <c r="B150" s="706" t="s">
        <v>296</v>
      </c>
      <c r="C150" s="706" t="s">
        <v>297</v>
      </c>
      <c r="D150" s="72">
        <v>142</v>
      </c>
      <c r="E150" s="72" t="s">
        <v>298</v>
      </c>
      <c r="F150" s="109"/>
      <c r="G150" s="109"/>
      <c r="H150" s="109"/>
      <c r="I150" s="109"/>
      <c r="J150" s="109"/>
      <c r="K150" s="109"/>
      <c r="L150" s="109"/>
      <c r="M150" s="109"/>
      <c r="N150" s="109"/>
      <c r="O150" s="109"/>
      <c r="P150" s="726">
        <v>197.09983999999997</v>
      </c>
      <c r="Q150" s="109"/>
      <c r="R150" s="109"/>
      <c r="S150" s="109"/>
      <c r="T150" s="161">
        <f t="shared" si="8"/>
        <v>197.09983999999997</v>
      </c>
      <c r="U150" s="726">
        <v>209.85219964799995</v>
      </c>
      <c r="V150" s="110"/>
      <c r="W150" s="159"/>
      <c r="X150" s="68"/>
      <c r="Y150" s="68"/>
      <c r="Z150" s="68"/>
      <c r="AA150" s="68"/>
    </row>
    <row r="151" spans="1:27" ht="42.75">
      <c r="A151" s="712"/>
      <c r="B151" s="712"/>
      <c r="C151" s="712"/>
      <c r="D151" s="72">
        <v>143</v>
      </c>
      <c r="E151" s="72" t="s">
        <v>299</v>
      </c>
      <c r="F151" s="109"/>
      <c r="G151" s="109"/>
      <c r="H151" s="109"/>
      <c r="I151" s="109"/>
      <c r="J151" s="109"/>
      <c r="K151" s="109"/>
      <c r="L151" s="109"/>
      <c r="M151" s="109"/>
      <c r="N151" s="109"/>
      <c r="O151" s="109"/>
      <c r="P151" s="109"/>
      <c r="Q151" s="109"/>
      <c r="R151" s="109"/>
      <c r="S151" s="109"/>
      <c r="T151" s="161">
        <f t="shared" si="8"/>
        <v>0</v>
      </c>
      <c r="U151" s="73"/>
      <c r="V151" s="110"/>
      <c r="W151" s="159"/>
      <c r="X151" s="68"/>
      <c r="Y151" s="68"/>
      <c r="Z151" s="68"/>
      <c r="AA151" s="68"/>
    </row>
    <row r="152" spans="1:27" ht="28.5">
      <c r="A152" s="712"/>
      <c r="B152" s="712"/>
      <c r="C152" s="712"/>
      <c r="D152" s="72">
        <v>144</v>
      </c>
      <c r="E152" s="72" t="s">
        <v>300</v>
      </c>
      <c r="F152" s="109"/>
      <c r="G152" s="109"/>
      <c r="H152" s="109"/>
      <c r="I152" s="109"/>
      <c r="J152" s="109"/>
      <c r="K152" s="109"/>
      <c r="L152" s="109"/>
      <c r="M152" s="109"/>
      <c r="N152" s="109"/>
      <c r="O152" s="109"/>
      <c r="P152" s="109"/>
      <c r="Q152" s="109"/>
      <c r="R152" s="109"/>
      <c r="S152" s="109"/>
      <c r="T152" s="161">
        <f t="shared" si="8"/>
        <v>0</v>
      </c>
      <c r="U152" s="73"/>
      <c r="V152" s="110"/>
      <c r="W152" s="159"/>
      <c r="X152" s="68"/>
      <c r="Y152" s="68"/>
      <c r="Z152" s="68"/>
      <c r="AA152" s="68"/>
    </row>
    <row r="153" spans="1:27" ht="42.75">
      <c r="A153" s="712"/>
      <c r="B153" s="707"/>
      <c r="C153" s="707"/>
      <c r="D153" s="72">
        <v>145</v>
      </c>
      <c r="E153" s="72" t="s">
        <v>301</v>
      </c>
      <c r="F153" s="109"/>
      <c r="G153" s="109"/>
      <c r="H153" s="109"/>
      <c r="I153" s="109"/>
      <c r="J153" s="109"/>
      <c r="K153" s="109"/>
      <c r="L153" s="109"/>
      <c r="M153" s="109"/>
      <c r="N153" s="109"/>
      <c r="O153" s="109"/>
      <c r="P153" s="109"/>
      <c r="Q153" s="109"/>
      <c r="R153" s="109"/>
      <c r="S153" s="109"/>
      <c r="T153" s="161">
        <f t="shared" si="8"/>
        <v>0</v>
      </c>
      <c r="U153" s="73"/>
      <c r="V153" s="110"/>
      <c r="W153" s="159"/>
      <c r="X153" s="68"/>
      <c r="Y153" s="68"/>
      <c r="Z153" s="68"/>
      <c r="AA153" s="68"/>
    </row>
    <row r="154" spans="1:27" ht="89.25">
      <c r="A154" s="712"/>
      <c r="B154" s="72" t="s">
        <v>302</v>
      </c>
      <c r="C154" s="72" t="s">
        <v>303</v>
      </c>
      <c r="D154" s="72">
        <v>146</v>
      </c>
      <c r="E154" s="72" t="s">
        <v>304</v>
      </c>
      <c r="F154" s="109"/>
      <c r="G154" s="109"/>
      <c r="H154" s="109"/>
      <c r="I154" s="109"/>
      <c r="J154" s="109"/>
      <c r="K154" s="109"/>
      <c r="L154" s="109"/>
      <c r="M154" s="109"/>
      <c r="N154" s="109"/>
      <c r="O154" s="109"/>
      <c r="P154" s="109"/>
      <c r="Q154" s="109"/>
      <c r="R154" s="118">
        <f>(0.5*12)+(12*0.1)</f>
        <v>7.2</v>
      </c>
      <c r="S154" s="113"/>
      <c r="T154" s="161">
        <f t="shared" si="8"/>
        <v>7.2</v>
      </c>
      <c r="U154" s="262">
        <f>(0.55*12)+(12*0.1)</f>
        <v>7.8000000000000007</v>
      </c>
      <c r="V154" s="120" t="s">
        <v>571</v>
      </c>
      <c r="W154" s="159"/>
      <c r="X154" s="68"/>
      <c r="Y154" s="68"/>
      <c r="Z154" s="68"/>
      <c r="AA154" s="68"/>
    </row>
    <row r="155" spans="1:27" ht="28.5">
      <c r="A155" s="712"/>
      <c r="B155" s="72" t="s">
        <v>306</v>
      </c>
      <c r="C155" s="72" t="s">
        <v>307</v>
      </c>
      <c r="D155" s="72">
        <v>147</v>
      </c>
      <c r="E155" s="72" t="s">
        <v>157</v>
      </c>
      <c r="F155" s="109"/>
      <c r="G155" s="109"/>
      <c r="H155" s="109"/>
      <c r="I155" s="109"/>
      <c r="J155" s="109"/>
      <c r="K155" s="109"/>
      <c r="L155" s="109"/>
      <c r="M155" s="109"/>
      <c r="N155" s="109"/>
      <c r="O155" s="109"/>
      <c r="P155" s="109"/>
      <c r="Q155" s="109"/>
      <c r="R155" s="109"/>
      <c r="S155" s="109"/>
      <c r="T155" s="161">
        <f t="shared" si="8"/>
        <v>0</v>
      </c>
      <c r="U155" s="73"/>
      <c r="V155" s="110"/>
      <c r="W155" s="159"/>
      <c r="X155" s="68"/>
      <c r="Y155" s="68"/>
      <c r="Z155" s="68"/>
      <c r="AA155" s="68"/>
    </row>
    <row r="156" spans="1:27" ht="90">
      <c r="A156" s="712"/>
      <c r="B156" s="72" t="s">
        <v>308</v>
      </c>
      <c r="C156" s="72" t="s">
        <v>309</v>
      </c>
      <c r="D156" s="72">
        <v>148</v>
      </c>
      <c r="E156" s="72" t="s">
        <v>310</v>
      </c>
      <c r="F156" s="109"/>
      <c r="G156" s="109"/>
      <c r="H156" s="109"/>
      <c r="I156" s="109"/>
      <c r="J156" s="109"/>
      <c r="K156" s="109"/>
      <c r="L156" s="109"/>
      <c r="M156" s="109"/>
      <c r="N156" s="111"/>
      <c r="O156" s="109"/>
      <c r="P156" s="111"/>
      <c r="Q156" s="109"/>
      <c r="R156" s="109"/>
      <c r="S156" s="109"/>
      <c r="T156" s="161">
        <f t="shared" si="8"/>
        <v>0</v>
      </c>
      <c r="U156" s="73"/>
      <c r="V156" s="117" t="s">
        <v>1246</v>
      </c>
      <c r="W156" s="159"/>
      <c r="X156" s="68"/>
      <c r="Y156" s="68"/>
      <c r="Z156" s="68"/>
      <c r="AA156" s="68"/>
    </row>
    <row r="157" spans="1:27" ht="28.5">
      <c r="A157" s="712"/>
      <c r="B157" s="72" t="s">
        <v>311</v>
      </c>
      <c r="C157" s="72" t="s">
        <v>312</v>
      </c>
      <c r="D157" s="72">
        <v>149</v>
      </c>
      <c r="E157" s="72" t="s">
        <v>313</v>
      </c>
      <c r="F157" s="93"/>
      <c r="G157" s="93"/>
      <c r="H157" s="93"/>
      <c r="I157" s="93"/>
      <c r="J157" s="93"/>
      <c r="K157" s="93"/>
      <c r="L157" s="93"/>
      <c r="M157" s="93"/>
      <c r="N157" s="93"/>
      <c r="O157" s="93"/>
      <c r="P157" s="111"/>
      <c r="Q157" s="93"/>
      <c r="R157" s="93"/>
      <c r="S157" s="93"/>
      <c r="T157" s="161">
        <f t="shared" si="8"/>
        <v>0</v>
      </c>
      <c r="U157" s="73">
        <f>T157</f>
        <v>0</v>
      </c>
      <c r="V157" s="121"/>
      <c r="W157" s="159"/>
      <c r="X157" s="68"/>
      <c r="Y157" s="68"/>
      <c r="Z157" s="68"/>
      <c r="AA157" s="68"/>
    </row>
    <row r="158" spans="1:27" ht="16.5">
      <c r="A158" s="707"/>
      <c r="B158" s="713" t="s">
        <v>315</v>
      </c>
      <c r="C158" s="709"/>
      <c r="D158" s="710"/>
      <c r="E158" s="84"/>
      <c r="F158" s="84">
        <f t="shared" ref="F158:S158" si="12">SUM(F135:F157)</f>
        <v>0</v>
      </c>
      <c r="G158" s="84">
        <f t="shared" si="12"/>
        <v>0</v>
      </c>
      <c r="H158" s="84">
        <f t="shared" si="12"/>
        <v>0</v>
      </c>
      <c r="I158" s="84">
        <f t="shared" si="12"/>
        <v>0</v>
      </c>
      <c r="J158" s="84">
        <f t="shared" si="12"/>
        <v>0</v>
      </c>
      <c r="K158" s="84">
        <f t="shared" si="12"/>
        <v>0</v>
      </c>
      <c r="L158" s="84">
        <f t="shared" si="12"/>
        <v>0</v>
      </c>
      <c r="M158" s="84">
        <f t="shared" si="12"/>
        <v>0</v>
      </c>
      <c r="N158" s="84">
        <f t="shared" si="12"/>
        <v>22.6</v>
      </c>
      <c r="O158" s="84">
        <f t="shared" si="12"/>
        <v>0</v>
      </c>
      <c r="P158" s="84">
        <f t="shared" si="12"/>
        <v>197.09983999999997</v>
      </c>
      <c r="Q158" s="84">
        <f t="shared" si="12"/>
        <v>10.200000000000001</v>
      </c>
      <c r="R158" s="84">
        <f t="shared" si="12"/>
        <v>31.9</v>
      </c>
      <c r="S158" s="84">
        <f t="shared" si="12"/>
        <v>0</v>
      </c>
      <c r="T158" s="161">
        <f t="shared" si="8"/>
        <v>261.79983999999996</v>
      </c>
      <c r="U158" s="5">
        <f>SUM(U135:U157)</f>
        <v>275.15219964799996</v>
      </c>
      <c r="V158" s="74"/>
      <c r="W158" s="263"/>
      <c r="X158" s="71"/>
      <c r="Y158" s="71"/>
      <c r="Z158" s="71"/>
      <c r="AA158" s="71"/>
    </row>
    <row r="159" spans="1:27" ht="165">
      <c r="A159" s="714" t="s">
        <v>316</v>
      </c>
      <c r="B159" s="706" t="s">
        <v>317</v>
      </c>
      <c r="C159" s="706" t="s">
        <v>269</v>
      </c>
      <c r="D159" s="72">
        <v>150</v>
      </c>
      <c r="E159" s="72" t="s">
        <v>318</v>
      </c>
      <c r="F159" s="72"/>
      <c r="G159" s="76"/>
      <c r="H159" s="76"/>
      <c r="I159" s="72"/>
      <c r="J159" s="72"/>
      <c r="K159" s="72"/>
      <c r="L159" s="72"/>
      <c r="M159" s="72"/>
      <c r="N159" s="16"/>
      <c r="O159" s="75"/>
      <c r="P159" s="264"/>
      <c r="Q159" s="75">
        <v>86</v>
      </c>
      <c r="R159" s="72"/>
      <c r="S159" s="265"/>
      <c r="T159" s="161">
        <f t="shared" si="8"/>
        <v>86</v>
      </c>
      <c r="U159" s="16">
        <f>T159</f>
        <v>86</v>
      </c>
      <c r="V159" s="248" t="s">
        <v>1247</v>
      </c>
      <c r="W159" s="159"/>
      <c r="X159" s="68"/>
      <c r="Y159" s="68"/>
      <c r="Z159" s="68"/>
      <c r="AA159" s="68"/>
    </row>
    <row r="160" spans="1:27" ht="86.25" customHeight="1">
      <c r="A160" s="712"/>
      <c r="B160" s="712"/>
      <c r="C160" s="712"/>
      <c r="D160" s="72">
        <v>151</v>
      </c>
      <c r="E160" s="72" t="s">
        <v>319</v>
      </c>
      <c r="F160" s="72"/>
      <c r="G160" s="76"/>
      <c r="H160" s="76"/>
      <c r="I160" s="73"/>
      <c r="J160" s="72"/>
      <c r="K160" s="72"/>
      <c r="L160" s="72"/>
      <c r="M160" s="72"/>
      <c r="N160" s="16"/>
      <c r="O160" s="76"/>
      <c r="P160" s="76"/>
      <c r="Q160" s="73"/>
      <c r="R160" s="15">
        <v>1.4</v>
      </c>
      <c r="S160" s="72"/>
      <c r="T160" s="161">
        <f t="shared" si="8"/>
        <v>1.4</v>
      </c>
      <c r="U160" s="16">
        <v>1.4</v>
      </c>
      <c r="V160" s="22" t="s">
        <v>1248</v>
      </c>
      <c r="W160" s="159"/>
      <c r="X160" s="68"/>
      <c r="Y160" s="68"/>
      <c r="Z160" s="68"/>
      <c r="AA160" s="68"/>
    </row>
    <row r="161" spans="1:27" ht="42.75">
      <c r="A161" s="712"/>
      <c r="B161" s="712"/>
      <c r="C161" s="712"/>
      <c r="D161" s="72">
        <v>152</v>
      </c>
      <c r="E161" s="72" t="s">
        <v>321</v>
      </c>
      <c r="F161" s="72"/>
      <c r="G161" s="72"/>
      <c r="H161" s="72"/>
      <c r="I161" s="72"/>
      <c r="J161" s="72"/>
      <c r="K161" s="72"/>
      <c r="L161" s="72"/>
      <c r="M161" s="72"/>
      <c r="N161" s="72"/>
      <c r="O161" s="72"/>
      <c r="P161" s="76"/>
      <c r="Q161" s="72"/>
      <c r="R161" s="72"/>
      <c r="S161" s="72"/>
      <c r="T161" s="161">
        <f t="shared" si="8"/>
        <v>0</v>
      </c>
      <c r="U161" s="73"/>
      <c r="V161" s="74"/>
      <c r="W161" s="159"/>
      <c r="X161" s="68"/>
      <c r="Y161" s="68"/>
      <c r="Z161" s="68"/>
      <c r="AA161" s="68"/>
    </row>
    <row r="162" spans="1:27" ht="28.5" customHeight="1">
      <c r="A162" s="712"/>
      <c r="B162" s="712"/>
      <c r="C162" s="712"/>
      <c r="D162" s="72">
        <v>153</v>
      </c>
      <c r="E162" s="72" t="s">
        <v>322</v>
      </c>
      <c r="F162" s="93"/>
      <c r="G162" s="93"/>
      <c r="H162" s="93"/>
      <c r="I162" s="93"/>
      <c r="J162" s="93"/>
      <c r="K162" s="93"/>
      <c r="L162" s="93"/>
      <c r="M162" s="93"/>
      <c r="N162" s="16">
        <v>12</v>
      </c>
      <c r="O162" s="93"/>
      <c r="P162" s="93"/>
      <c r="Q162" s="93"/>
      <c r="R162" s="93"/>
      <c r="S162" s="266"/>
      <c r="T162" s="161">
        <f t="shared" si="8"/>
        <v>12</v>
      </c>
      <c r="U162" s="16">
        <v>12</v>
      </c>
      <c r="V162" s="267" t="s">
        <v>1249</v>
      </c>
      <c r="W162" s="159"/>
      <c r="X162" s="68"/>
      <c r="Y162" s="68"/>
      <c r="Z162" s="68"/>
      <c r="AA162" s="68"/>
    </row>
    <row r="163" spans="1:27" ht="120">
      <c r="A163" s="712"/>
      <c r="B163" s="706" t="s">
        <v>324</v>
      </c>
      <c r="C163" s="706" t="s">
        <v>325</v>
      </c>
      <c r="D163" s="72">
        <v>154</v>
      </c>
      <c r="E163" s="72" t="s">
        <v>326</v>
      </c>
      <c r="F163" s="77"/>
      <c r="G163" s="77"/>
      <c r="H163" s="77"/>
      <c r="I163" s="77"/>
      <c r="J163" s="77"/>
      <c r="K163" s="82">
        <v>597</v>
      </c>
      <c r="L163" s="82"/>
      <c r="M163" s="79">
        <v>6.2</v>
      </c>
      <c r="N163" s="77"/>
      <c r="O163" s="77"/>
      <c r="P163" s="268"/>
      <c r="Q163" s="81"/>
      <c r="R163" s="82">
        <v>5</v>
      </c>
      <c r="S163" s="77"/>
      <c r="T163" s="161">
        <f t="shared" si="8"/>
        <v>608.20000000000005</v>
      </c>
      <c r="U163" s="16">
        <f>T163</f>
        <v>608.20000000000005</v>
      </c>
      <c r="V163" s="22" t="s">
        <v>1250</v>
      </c>
      <c r="W163" s="159"/>
      <c r="X163" s="68"/>
      <c r="Y163" s="68"/>
      <c r="Z163" s="68"/>
      <c r="AA163" s="68"/>
    </row>
    <row r="164" spans="1:27" ht="165">
      <c r="A164" s="712"/>
      <c r="B164" s="712"/>
      <c r="C164" s="712"/>
      <c r="D164" s="72">
        <v>155</v>
      </c>
      <c r="E164" s="72" t="s">
        <v>328</v>
      </c>
      <c r="F164" s="77"/>
      <c r="G164" s="77"/>
      <c r="H164" s="77"/>
      <c r="I164" s="77"/>
      <c r="J164" s="77"/>
      <c r="K164" s="82"/>
      <c r="L164" s="82"/>
      <c r="M164" s="82">
        <f>70.68+1.756</f>
        <v>72.436000000000007</v>
      </c>
      <c r="N164" s="82">
        <v>0.14249999999999999</v>
      </c>
      <c r="O164" s="77"/>
      <c r="P164" s="269"/>
      <c r="Q164" s="82">
        <v>1</v>
      </c>
      <c r="R164" s="77"/>
      <c r="S164" s="77"/>
      <c r="T164" s="161">
        <f t="shared" si="8"/>
        <v>73.578500000000005</v>
      </c>
      <c r="U164" s="73">
        <f>68.967+1.72+0.1425+1</f>
        <v>71.829499999999996</v>
      </c>
      <c r="V164" s="22" t="s">
        <v>1251</v>
      </c>
      <c r="W164" s="159"/>
      <c r="X164" s="68"/>
      <c r="Y164" s="68"/>
      <c r="Z164" s="68"/>
      <c r="AA164" s="68"/>
    </row>
    <row r="165" spans="1:27" ht="150">
      <c r="A165" s="712"/>
      <c r="B165" s="712"/>
      <c r="C165" s="712"/>
      <c r="D165" s="72">
        <v>156</v>
      </c>
      <c r="E165" s="72" t="s">
        <v>329</v>
      </c>
      <c r="F165" s="77"/>
      <c r="G165" s="77"/>
      <c r="H165" s="78"/>
      <c r="I165" s="79">
        <v>145</v>
      </c>
      <c r="J165" s="77"/>
      <c r="K165" s="77"/>
      <c r="L165" s="77"/>
      <c r="M165" s="77"/>
      <c r="N165" s="77"/>
      <c r="O165" s="77"/>
      <c r="P165" s="81"/>
      <c r="Q165" s="77"/>
      <c r="R165" s="77"/>
      <c r="S165" s="77"/>
      <c r="T165" s="161">
        <f t="shared" si="8"/>
        <v>145</v>
      </c>
      <c r="U165" s="16">
        <f>40</f>
        <v>40</v>
      </c>
      <c r="V165" s="22" t="s">
        <v>1252</v>
      </c>
      <c r="W165" s="270" t="s">
        <v>1253</v>
      </c>
      <c r="X165" s="68"/>
      <c r="Y165" s="68"/>
      <c r="Z165" s="68"/>
      <c r="AA165" s="68"/>
    </row>
    <row r="166" spans="1:27" ht="28.5">
      <c r="A166" s="712"/>
      <c r="B166" s="712"/>
      <c r="C166" s="712"/>
      <c r="D166" s="72">
        <v>157</v>
      </c>
      <c r="E166" s="72" t="s">
        <v>331</v>
      </c>
      <c r="F166" s="77"/>
      <c r="G166" s="77"/>
      <c r="H166" s="77"/>
      <c r="I166" s="77"/>
      <c r="J166" s="77"/>
      <c r="K166" s="77"/>
      <c r="L166" s="77"/>
      <c r="M166" s="77"/>
      <c r="N166" s="77"/>
      <c r="O166" s="77"/>
      <c r="P166" s="77"/>
      <c r="Q166" s="77"/>
      <c r="R166" s="77"/>
      <c r="S166" s="77"/>
      <c r="T166" s="161">
        <f t="shared" si="8"/>
        <v>0</v>
      </c>
      <c r="U166" s="73"/>
      <c r="V166" s="74"/>
      <c r="W166" s="159"/>
      <c r="X166" s="68"/>
      <c r="Y166" s="68"/>
      <c r="Z166" s="68"/>
      <c r="AA166" s="68"/>
    </row>
    <row r="167" spans="1:27" ht="57">
      <c r="A167" s="712"/>
      <c r="B167" s="707"/>
      <c r="C167" s="707"/>
      <c r="D167" s="72">
        <v>158</v>
      </c>
      <c r="E167" s="72" t="s">
        <v>332</v>
      </c>
      <c r="F167" s="77"/>
      <c r="G167" s="77"/>
      <c r="H167" s="77"/>
      <c r="I167" s="77"/>
      <c r="J167" s="77"/>
      <c r="K167" s="77"/>
      <c r="L167" s="77"/>
      <c r="M167" s="77"/>
      <c r="N167" s="77"/>
      <c r="O167" s="77"/>
      <c r="P167" s="77"/>
      <c r="Q167" s="79">
        <v>4.8</v>
      </c>
      <c r="R167" s="77"/>
      <c r="S167" s="77"/>
      <c r="T167" s="161">
        <f t="shared" si="8"/>
        <v>4.8</v>
      </c>
      <c r="U167" s="73">
        <f>T167</f>
        <v>4.8</v>
      </c>
      <c r="V167" s="74" t="s">
        <v>1254</v>
      </c>
      <c r="W167" s="159"/>
      <c r="X167" s="68"/>
      <c r="Y167" s="68"/>
      <c r="Z167" s="68"/>
      <c r="AA167" s="68"/>
    </row>
    <row r="168" spans="1:27" ht="360">
      <c r="A168" s="712"/>
      <c r="B168" s="706" t="s">
        <v>333</v>
      </c>
      <c r="C168" s="706" t="s">
        <v>275</v>
      </c>
      <c r="D168" s="72">
        <v>159</v>
      </c>
      <c r="E168" s="72" t="s">
        <v>276</v>
      </c>
      <c r="F168" s="72"/>
      <c r="G168" s="72"/>
      <c r="H168" s="72"/>
      <c r="I168" s="72"/>
      <c r="J168" s="72"/>
      <c r="K168" s="16"/>
      <c r="L168" s="72"/>
      <c r="M168" s="72"/>
      <c r="N168" s="15">
        <v>98.99</v>
      </c>
      <c r="O168" s="15"/>
      <c r="P168" s="15">
        <v>149.5</v>
      </c>
      <c r="Q168" s="271">
        <v>75.834000000000003</v>
      </c>
      <c r="R168" s="72"/>
      <c r="S168" s="72"/>
      <c r="T168" s="161">
        <f t="shared" si="8"/>
        <v>324.32400000000001</v>
      </c>
      <c r="U168" s="16">
        <f>261.77+10.8+65.44+1+3+10+26.18+136.84+10+75.83</f>
        <v>600.86</v>
      </c>
      <c r="V168" s="22" t="s">
        <v>1255</v>
      </c>
      <c r="W168" s="177" t="s">
        <v>1256</v>
      </c>
      <c r="X168" s="68"/>
      <c r="Y168" s="68"/>
      <c r="Z168" s="68"/>
      <c r="AA168" s="68"/>
    </row>
    <row r="169" spans="1:27" ht="16.5">
      <c r="A169" s="712"/>
      <c r="B169" s="712"/>
      <c r="C169" s="712"/>
      <c r="D169" s="72">
        <v>160</v>
      </c>
      <c r="E169" s="72" t="s">
        <v>334</v>
      </c>
      <c r="F169" s="72"/>
      <c r="G169" s="72"/>
      <c r="H169" s="72"/>
      <c r="I169" s="72"/>
      <c r="J169" s="72"/>
      <c r="K169" s="72"/>
      <c r="L169" s="72"/>
      <c r="M169" s="72"/>
      <c r="N169" s="72"/>
      <c r="O169" s="72"/>
      <c r="P169" s="72"/>
      <c r="Q169" s="72"/>
      <c r="R169" s="72"/>
      <c r="S169" s="72"/>
      <c r="T169" s="161">
        <f t="shared" si="8"/>
        <v>0</v>
      </c>
      <c r="U169" s="73"/>
      <c r="V169" s="74"/>
      <c r="W169" s="159"/>
      <c r="X169" s="68"/>
      <c r="Y169" s="68"/>
      <c r="Z169" s="68"/>
      <c r="AA169" s="68"/>
    </row>
    <row r="170" spans="1:27" ht="16.5">
      <c r="A170" s="712"/>
      <c r="B170" s="712"/>
      <c r="C170" s="712"/>
      <c r="D170" s="72">
        <v>161</v>
      </c>
      <c r="E170" s="72" t="s">
        <v>279</v>
      </c>
      <c r="F170" s="72"/>
      <c r="G170" s="72"/>
      <c r="H170" s="72"/>
      <c r="I170" s="72"/>
      <c r="J170" s="72"/>
      <c r="K170" s="72"/>
      <c r="L170" s="72"/>
      <c r="M170" s="72"/>
      <c r="N170" s="72"/>
      <c r="O170" s="72"/>
      <c r="P170" s="72"/>
      <c r="Q170" s="72"/>
      <c r="R170" s="72"/>
      <c r="S170" s="72"/>
      <c r="T170" s="161">
        <f t="shared" si="8"/>
        <v>0</v>
      </c>
      <c r="U170" s="73"/>
      <c r="V170" s="74"/>
      <c r="W170" s="159"/>
      <c r="X170" s="68"/>
      <c r="Y170" s="68"/>
      <c r="Z170" s="68"/>
      <c r="AA170" s="68"/>
    </row>
    <row r="171" spans="1:27" ht="16.5">
      <c r="A171" s="712"/>
      <c r="B171" s="712"/>
      <c r="C171" s="712"/>
      <c r="D171" s="72">
        <v>162</v>
      </c>
      <c r="E171" s="72" t="s">
        <v>280</v>
      </c>
      <c r="F171" s="72"/>
      <c r="G171" s="72"/>
      <c r="H171" s="72"/>
      <c r="I171" s="72"/>
      <c r="J171" s="72"/>
      <c r="K171" s="72"/>
      <c r="L171" s="72"/>
      <c r="M171" s="72"/>
      <c r="N171" s="72"/>
      <c r="O171" s="72"/>
      <c r="P171" s="72"/>
      <c r="Q171" s="72"/>
      <c r="R171" s="72"/>
      <c r="S171" s="72"/>
      <c r="T171" s="161">
        <f t="shared" si="8"/>
        <v>0</v>
      </c>
      <c r="U171" s="73"/>
      <c r="V171" s="74"/>
      <c r="W171" s="159"/>
      <c r="X171" s="68"/>
      <c r="Y171" s="68"/>
      <c r="Z171" s="68"/>
      <c r="AA171" s="68"/>
    </row>
    <row r="172" spans="1:27" ht="284.25">
      <c r="A172" s="712"/>
      <c r="B172" s="707"/>
      <c r="C172" s="707"/>
      <c r="D172" s="72">
        <v>163</v>
      </c>
      <c r="E172" s="72" t="s">
        <v>335</v>
      </c>
      <c r="F172" s="72"/>
      <c r="G172" s="72"/>
      <c r="H172" s="72"/>
      <c r="I172" s="72"/>
      <c r="J172" s="72"/>
      <c r="K172" s="72"/>
      <c r="L172" s="72"/>
      <c r="M172" s="72"/>
      <c r="N172" s="72"/>
      <c r="O172" s="15">
        <v>3</v>
      </c>
      <c r="P172" s="15">
        <v>322.86</v>
      </c>
      <c r="Q172" s="16">
        <v>191.01</v>
      </c>
      <c r="R172" s="72"/>
      <c r="S172" s="75"/>
      <c r="T172" s="161">
        <f t="shared" si="8"/>
        <v>516.87</v>
      </c>
      <c r="U172" s="16">
        <f>280+30+10.34+191.01+3+3</f>
        <v>517.34999999999991</v>
      </c>
      <c r="V172" s="272" t="s">
        <v>1257</v>
      </c>
      <c r="W172" s="273" t="s">
        <v>1258</v>
      </c>
      <c r="X172" s="68"/>
      <c r="Y172" s="68"/>
      <c r="Z172" s="68"/>
      <c r="AA172" s="68"/>
    </row>
    <row r="173" spans="1:27" ht="328.5" customHeight="1">
      <c r="A173" s="712"/>
      <c r="B173" s="706" t="s">
        <v>336</v>
      </c>
      <c r="C173" s="706" t="s">
        <v>337</v>
      </c>
      <c r="D173" s="72">
        <v>164</v>
      </c>
      <c r="E173" s="72" t="s">
        <v>338</v>
      </c>
      <c r="F173" s="72"/>
      <c r="G173" s="274">
        <v>1724.4</v>
      </c>
      <c r="H173" s="274">
        <v>566.74</v>
      </c>
      <c r="I173" s="93"/>
      <c r="J173" s="72"/>
      <c r="K173" s="72"/>
      <c r="L173" s="72"/>
      <c r="M173" s="72"/>
      <c r="N173" s="72"/>
      <c r="O173" s="72"/>
      <c r="P173" s="72"/>
      <c r="Q173" s="72"/>
      <c r="R173" s="72"/>
      <c r="S173" s="72"/>
      <c r="T173" s="161">
        <f t="shared" si="8"/>
        <v>2291.1400000000003</v>
      </c>
      <c r="U173" s="275">
        <v>860.79</v>
      </c>
      <c r="V173" s="276" t="s">
        <v>1259</v>
      </c>
      <c r="W173" s="277" t="s">
        <v>1260</v>
      </c>
      <c r="X173" s="68"/>
      <c r="Y173" s="68"/>
      <c r="Z173" s="68"/>
      <c r="AA173" s="68"/>
    </row>
    <row r="174" spans="1:27" ht="117.75">
      <c r="A174" s="712"/>
      <c r="B174" s="712"/>
      <c r="C174" s="712"/>
      <c r="D174" s="72">
        <v>165</v>
      </c>
      <c r="E174" s="72" t="s">
        <v>339</v>
      </c>
      <c r="F174" s="72"/>
      <c r="G174" s="274">
        <f>320+420</f>
        <v>740</v>
      </c>
      <c r="H174" s="274">
        <v>42.2</v>
      </c>
      <c r="I174" s="93"/>
      <c r="J174" s="72"/>
      <c r="K174" s="72"/>
      <c r="L174" s="72"/>
      <c r="M174" s="72"/>
      <c r="N174" s="72"/>
      <c r="O174" s="72"/>
      <c r="P174" s="72"/>
      <c r="Q174" s="72"/>
      <c r="R174" s="72"/>
      <c r="S174" s="72"/>
      <c r="T174" s="161">
        <f t="shared" si="8"/>
        <v>782.2</v>
      </c>
      <c r="U174" s="275">
        <v>312.73</v>
      </c>
      <c r="V174" s="278" t="s">
        <v>1261</v>
      </c>
      <c r="W174" s="279" t="s">
        <v>1262</v>
      </c>
      <c r="X174" s="68"/>
      <c r="Y174" s="68"/>
      <c r="Z174" s="68"/>
      <c r="AA174" s="68"/>
    </row>
    <row r="175" spans="1:27" ht="120">
      <c r="A175" s="712"/>
      <c r="B175" s="712"/>
      <c r="C175" s="712"/>
      <c r="D175" s="72">
        <v>166</v>
      </c>
      <c r="E175" s="72" t="s">
        <v>340</v>
      </c>
      <c r="F175" s="72"/>
      <c r="G175" s="274">
        <v>737.8</v>
      </c>
      <c r="H175" s="274">
        <v>64</v>
      </c>
      <c r="I175" s="93"/>
      <c r="J175" s="72"/>
      <c r="K175" s="72"/>
      <c r="L175" s="72"/>
      <c r="M175" s="72"/>
      <c r="N175" s="72"/>
      <c r="O175" s="72"/>
      <c r="P175" s="72"/>
      <c r="Q175" s="72"/>
      <c r="R175" s="72"/>
      <c r="S175" s="72"/>
      <c r="T175" s="161">
        <f t="shared" si="8"/>
        <v>801.8</v>
      </c>
      <c r="U175" s="275">
        <v>128</v>
      </c>
      <c r="V175" s="166" t="s">
        <v>1263</v>
      </c>
      <c r="W175" s="280" t="s">
        <v>1264</v>
      </c>
      <c r="X175" s="68"/>
      <c r="Y175" s="68"/>
      <c r="Z175" s="68"/>
      <c r="AA175" s="68"/>
    </row>
    <row r="176" spans="1:27" ht="194.25">
      <c r="A176" s="712"/>
      <c r="B176" s="712"/>
      <c r="C176" s="712"/>
      <c r="D176" s="72">
        <v>167</v>
      </c>
      <c r="E176" s="72" t="s">
        <v>341</v>
      </c>
      <c r="F176" s="72"/>
      <c r="G176" s="274">
        <v>1401.4</v>
      </c>
      <c r="H176" s="274">
        <v>97.4</v>
      </c>
      <c r="I176" s="93"/>
      <c r="J176" s="72"/>
      <c r="K176" s="72"/>
      <c r="L176" s="72"/>
      <c r="M176" s="72"/>
      <c r="N176" s="72"/>
      <c r="O176" s="72"/>
      <c r="P176" s="72"/>
      <c r="Q176" s="72"/>
      <c r="R176" s="72"/>
      <c r="S176" s="72"/>
      <c r="T176" s="161">
        <f t="shared" si="8"/>
        <v>1498.8000000000002</v>
      </c>
      <c r="U176" s="275">
        <v>102.8</v>
      </c>
      <c r="V176" s="166" t="s">
        <v>1265</v>
      </c>
      <c r="W176" s="280" t="s">
        <v>1266</v>
      </c>
      <c r="X176" s="68"/>
      <c r="Y176" s="68"/>
      <c r="Z176" s="68"/>
      <c r="AA176" s="68"/>
    </row>
    <row r="177" spans="1:27" ht="28.5">
      <c r="A177" s="712"/>
      <c r="B177" s="712"/>
      <c r="C177" s="712"/>
      <c r="D177" s="72">
        <v>168</v>
      </c>
      <c r="E177" s="72" t="s">
        <v>342</v>
      </c>
      <c r="F177" s="72"/>
      <c r="G177" s="281"/>
      <c r="H177" s="282"/>
      <c r="I177" s="93"/>
      <c r="J177" s="72"/>
      <c r="K177" s="72"/>
      <c r="L177" s="72"/>
      <c r="M177" s="72"/>
      <c r="N177" s="72"/>
      <c r="O177" s="72"/>
      <c r="P177" s="72"/>
      <c r="Q177" s="72"/>
      <c r="R177" s="72"/>
      <c r="S177" s="72"/>
      <c r="T177" s="161">
        <f t="shared" si="8"/>
        <v>0</v>
      </c>
      <c r="U177" s="16">
        <v>0</v>
      </c>
      <c r="V177" s="135"/>
      <c r="W177" s="159"/>
      <c r="X177" s="68"/>
      <c r="Y177" s="68"/>
      <c r="Z177" s="68"/>
      <c r="AA177" s="68"/>
    </row>
    <row r="178" spans="1:27" ht="239.25">
      <c r="A178" s="712"/>
      <c r="B178" s="712"/>
      <c r="C178" s="712"/>
      <c r="D178" s="72">
        <v>169</v>
      </c>
      <c r="E178" s="72" t="s">
        <v>343</v>
      </c>
      <c r="F178" s="72"/>
      <c r="G178" s="274">
        <v>147</v>
      </c>
      <c r="H178" s="274">
        <v>200</v>
      </c>
      <c r="I178" s="283">
        <v>462.41</v>
      </c>
      <c r="J178" s="72"/>
      <c r="K178" s="72"/>
      <c r="L178" s="72"/>
      <c r="M178" s="72"/>
      <c r="N178" s="72"/>
      <c r="O178" s="72"/>
      <c r="P178" s="72"/>
      <c r="Q178" s="72"/>
      <c r="R178" s="72"/>
      <c r="S178" s="72"/>
      <c r="T178" s="161">
        <f t="shared" si="8"/>
        <v>809.41000000000008</v>
      </c>
      <c r="U178" s="16">
        <f>503.38+70+213+213-51.46</f>
        <v>947.92</v>
      </c>
      <c r="V178" s="284" t="s">
        <v>1267</v>
      </c>
      <c r="W178" s="279" t="s">
        <v>1268</v>
      </c>
      <c r="X178" s="68"/>
      <c r="Y178" s="68"/>
      <c r="Z178" s="68"/>
      <c r="AA178" s="68"/>
    </row>
    <row r="179" spans="1:27" ht="85.5">
      <c r="A179" s="712"/>
      <c r="B179" s="707"/>
      <c r="C179" s="707"/>
      <c r="D179" s="72">
        <v>170</v>
      </c>
      <c r="E179" s="72" t="s">
        <v>344</v>
      </c>
      <c r="F179" s="72"/>
      <c r="G179" s="285">
        <v>0</v>
      </c>
      <c r="H179" s="285">
        <v>744</v>
      </c>
      <c r="I179" s="72"/>
      <c r="J179" s="72"/>
      <c r="K179" s="72"/>
      <c r="L179" s="72"/>
      <c r="M179" s="72"/>
      <c r="N179" s="72"/>
      <c r="O179" s="72"/>
      <c r="P179" s="72"/>
      <c r="Q179" s="72"/>
      <c r="R179" s="72"/>
      <c r="S179" s="72"/>
      <c r="T179" s="161">
        <f t="shared" si="8"/>
        <v>744</v>
      </c>
      <c r="U179" s="275">
        <v>1041</v>
      </c>
      <c r="V179" s="286" t="s">
        <v>1269</v>
      </c>
      <c r="W179" s="286" t="s">
        <v>1270</v>
      </c>
      <c r="X179" s="68"/>
      <c r="Y179" s="68"/>
      <c r="Z179" s="68"/>
      <c r="AA179" s="68"/>
    </row>
    <row r="180" spans="1:27" ht="37.5" customHeight="1">
      <c r="A180" s="712"/>
      <c r="B180" s="706" t="s">
        <v>345</v>
      </c>
      <c r="C180" s="706" t="s">
        <v>346</v>
      </c>
      <c r="D180" s="72">
        <v>171</v>
      </c>
      <c r="E180" s="72" t="s">
        <v>347</v>
      </c>
      <c r="F180" s="72"/>
      <c r="G180" s="72"/>
      <c r="H180" s="72"/>
      <c r="I180" s="72"/>
      <c r="J180" s="72"/>
      <c r="K180" s="72"/>
      <c r="L180" s="72"/>
      <c r="M180" s="72"/>
      <c r="N180" s="72"/>
      <c r="O180" s="72"/>
      <c r="P180" s="72">
        <f>2.45*14*12</f>
        <v>411.6</v>
      </c>
      <c r="Q180" s="72"/>
      <c r="R180" s="72"/>
      <c r="S180" s="72"/>
      <c r="T180" s="161">
        <f t="shared" si="8"/>
        <v>411.6</v>
      </c>
      <c r="U180" s="73">
        <f t="shared" ref="U180:U181" si="13">T180</f>
        <v>411.6</v>
      </c>
      <c r="V180" s="74"/>
      <c r="W180" s="159"/>
      <c r="X180" s="68"/>
      <c r="Y180" s="68"/>
      <c r="Z180" s="68"/>
      <c r="AA180" s="68"/>
    </row>
    <row r="181" spans="1:27" ht="42.75" customHeight="1">
      <c r="A181" s="712"/>
      <c r="B181" s="712"/>
      <c r="C181" s="712"/>
      <c r="D181" s="72">
        <v>172</v>
      </c>
      <c r="E181" s="72" t="s">
        <v>348</v>
      </c>
      <c r="F181" s="72"/>
      <c r="G181" s="72"/>
      <c r="H181" s="72"/>
      <c r="I181" s="72"/>
      <c r="J181" s="72"/>
      <c r="K181" s="72"/>
      <c r="L181" s="72"/>
      <c r="M181" s="72"/>
      <c r="N181" s="72"/>
      <c r="O181" s="72"/>
      <c r="P181" s="16">
        <f>315*1.37388*12</f>
        <v>5193.2664000000004</v>
      </c>
      <c r="Q181" s="72"/>
      <c r="R181" s="72"/>
      <c r="S181" s="72"/>
      <c r="T181" s="161">
        <f t="shared" si="8"/>
        <v>5193.2664000000004</v>
      </c>
      <c r="U181" s="73">
        <f t="shared" si="13"/>
        <v>5193.2664000000004</v>
      </c>
      <c r="V181" s="287" t="s">
        <v>1271</v>
      </c>
      <c r="W181" s="159"/>
      <c r="X181" s="68"/>
      <c r="Y181" s="68"/>
      <c r="Z181" s="68"/>
      <c r="AA181" s="68"/>
    </row>
    <row r="182" spans="1:27" ht="28.5">
      <c r="A182" s="712"/>
      <c r="B182" s="712"/>
      <c r="C182" s="712"/>
      <c r="D182" s="72">
        <v>173</v>
      </c>
      <c r="E182" s="72" t="s">
        <v>349</v>
      </c>
      <c r="F182" s="72"/>
      <c r="G182" s="72"/>
      <c r="H182" s="72"/>
      <c r="I182" s="72"/>
      <c r="J182" s="72"/>
      <c r="K182" s="72"/>
      <c r="L182" s="72"/>
      <c r="M182" s="72"/>
      <c r="N182" s="72"/>
      <c r="O182" s="72"/>
      <c r="P182" s="72"/>
      <c r="Q182" s="72"/>
      <c r="R182" s="72"/>
      <c r="S182" s="72"/>
      <c r="T182" s="161">
        <f t="shared" si="8"/>
        <v>0</v>
      </c>
      <c r="U182" s="73"/>
      <c r="V182" s="74"/>
      <c r="W182" s="159"/>
      <c r="X182" s="68"/>
      <c r="Y182" s="68"/>
      <c r="Z182" s="68"/>
      <c r="AA182" s="68"/>
    </row>
    <row r="183" spans="1:27" ht="30">
      <c r="A183" s="712"/>
      <c r="B183" s="707"/>
      <c r="C183" s="707"/>
      <c r="D183" s="72">
        <v>174</v>
      </c>
      <c r="E183" s="72" t="s">
        <v>350</v>
      </c>
      <c r="F183" s="72"/>
      <c r="G183" s="72"/>
      <c r="H183" s="72"/>
      <c r="I183" s="72"/>
      <c r="J183" s="72"/>
      <c r="K183" s="72"/>
      <c r="L183" s="72"/>
      <c r="M183" s="72"/>
      <c r="N183" s="72"/>
      <c r="O183" s="72"/>
      <c r="P183" s="73"/>
      <c r="Q183" s="72"/>
      <c r="R183" s="72"/>
      <c r="S183" s="72"/>
      <c r="T183" s="161">
        <f t="shared" si="8"/>
        <v>0</v>
      </c>
      <c r="U183" s="73"/>
      <c r="V183" s="74" t="s">
        <v>1272</v>
      </c>
      <c r="W183" s="159"/>
      <c r="X183" s="68"/>
      <c r="Y183" s="68"/>
      <c r="Z183" s="68"/>
      <c r="AA183" s="68"/>
    </row>
    <row r="184" spans="1:27" ht="162" customHeight="1">
      <c r="A184" s="712"/>
      <c r="B184" s="706" t="s">
        <v>351</v>
      </c>
      <c r="C184" s="706" t="s">
        <v>290</v>
      </c>
      <c r="D184" s="72">
        <v>175</v>
      </c>
      <c r="E184" s="72" t="s">
        <v>291</v>
      </c>
      <c r="F184" s="77"/>
      <c r="G184" s="77"/>
      <c r="H184" s="77"/>
      <c r="I184" s="81">
        <v>0</v>
      </c>
      <c r="J184" s="77"/>
      <c r="K184" s="77"/>
      <c r="L184" s="77"/>
      <c r="M184" s="77"/>
      <c r="N184" s="79">
        <f>3.28+22.75+1.5</f>
        <v>27.53</v>
      </c>
      <c r="O184" s="77"/>
      <c r="P184" s="81">
        <f>6+825.13+784.6-379.12</f>
        <v>1236.6100000000001</v>
      </c>
      <c r="Q184" s="79">
        <v>0</v>
      </c>
      <c r="R184" s="81">
        <f>0.72+0.48</f>
        <v>1.2</v>
      </c>
      <c r="S184" s="78"/>
      <c r="T184" s="161">
        <f t="shared" si="8"/>
        <v>1265.3400000000001</v>
      </c>
      <c r="U184" s="73">
        <f>T184+609.1</f>
        <v>1874.44</v>
      </c>
      <c r="V184" s="288" t="s">
        <v>1273</v>
      </c>
      <c r="W184" s="289" t="s">
        <v>1274</v>
      </c>
      <c r="X184" s="68"/>
      <c r="Y184" s="68"/>
      <c r="Z184" s="68"/>
      <c r="AA184" s="68"/>
    </row>
    <row r="185" spans="1:27" ht="409.5">
      <c r="A185" s="712"/>
      <c r="B185" s="712"/>
      <c r="C185" s="712"/>
      <c r="D185" s="72">
        <v>176</v>
      </c>
      <c r="E185" s="72" t="s">
        <v>293</v>
      </c>
      <c r="F185" s="77"/>
      <c r="G185" s="77"/>
      <c r="H185" s="77"/>
      <c r="I185" s="77"/>
      <c r="J185" s="77"/>
      <c r="K185" s="77"/>
      <c r="L185" s="77"/>
      <c r="M185" s="81"/>
      <c r="N185" s="77"/>
      <c r="O185" s="77"/>
      <c r="P185" s="81">
        <f>72.55+312.9+858+20</f>
        <v>1263.45</v>
      </c>
      <c r="Q185" s="81">
        <v>0</v>
      </c>
      <c r="R185" s="82">
        <v>0</v>
      </c>
      <c r="S185" s="77"/>
      <c r="T185" s="161">
        <f t="shared" si="8"/>
        <v>1263.45</v>
      </c>
      <c r="U185" s="73">
        <f t="shared" ref="U185:U186" si="14">T185</f>
        <v>1263.45</v>
      </c>
      <c r="V185" s="137" t="s">
        <v>1275</v>
      </c>
      <c r="W185" s="137" t="s">
        <v>1276</v>
      </c>
      <c r="X185" s="68"/>
      <c r="Y185" s="68"/>
      <c r="Z185" s="68"/>
      <c r="AA185" s="68"/>
    </row>
    <row r="186" spans="1:27" ht="156.75">
      <c r="A186" s="712"/>
      <c r="B186" s="707"/>
      <c r="C186" s="707"/>
      <c r="D186" s="72">
        <v>177</v>
      </c>
      <c r="E186" s="72" t="s">
        <v>295</v>
      </c>
      <c r="F186" s="77"/>
      <c r="G186" s="77"/>
      <c r="H186" s="77"/>
      <c r="I186" s="77"/>
      <c r="J186" s="77"/>
      <c r="K186" s="77"/>
      <c r="L186" s="77"/>
      <c r="M186" s="77"/>
      <c r="N186" s="79">
        <v>2</v>
      </c>
      <c r="O186" s="77"/>
      <c r="P186" s="77"/>
      <c r="Q186" s="77"/>
      <c r="R186" s="77"/>
      <c r="S186" s="77"/>
      <c r="T186" s="161">
        <f t="shared" si="8"/>
        <v>2</v>
      </c>
      <c r="U186" s="73">
        <f t="shared" si="14"/>
        <v>2</v>
      </c>
      <c r="V186" s="134" t="s">
        <v>1277</v>
      </c>
      <c r="W186" s="134" t="s">
        <v>1277</v>
      </c>
      <c r="X186" s="68"/>
      <c r="Y186" s="68"/>
      <c r="Z186" s="68"/>
      <c r="AA186" s="68"/>
    </row>
    <row r="187" spans="1:27" ht="57">
      <c r="A187" s="712"/>
      <c r="B187" s="706" t="s">
        <v>353</v>
      </c>
      <c r="C187" s="706" t="s">
        <v>354</v>
      </c>
      <c r="D187" s="72">
        <v>178</v>
      </c>
      <c r="E187" s="72" t="s">
        <v>355</v>
      </c>
      <c r="F187" s="72"/>
      <c r="G187" s="72"/>
      <c r="H187" s="72"/>
      <c r="I187" s="72"/>
      <c r="J187" s="72"/>
      <c r="K187" s="72"/>
      <c r="L187" s="72"/>
      <c r="M187" s="72"/>
      <c r="N187" s="72"/>
      <c r="O187" s="72"/>
      <c r="P187" s="72"/>
      <c r="Q187" s="72"/>
      <c r="R187" s="72"/>
      <c r="S187" s="72"/>
      <c r="T187" s="161">
        <f t="shared" si="8"/>
        <v>0</v>
      </c>
      <c r="U187" s="73"/>
      <c r="V187" s="74"/>
      <c r="W187" s="159"/>
      <c r="X187" s="68"/>
      <c r="Y187" s="68"/>
      <c r="Z187" s="68"/>
      <c r="AA187" s="68"/>
    </row>
    <row r="188" spans="1:27" ht="16.5">
      <c r="A188" s="712"/>
      <c r="B188" s="712"/>
      <c r="C188" s="712"/>
      <c r="D188" s="72">
        <v>179</v>
      </c>
      <c r="E188" s="72" t="s">
        <v>157</v>
      </c>
      <c r="F188" s="72"/>
      <c r="G188" s="72"/>
      <c r="H188" s="72"/>
      <c r="I188" s="72"/>
      <c r="J188" s="72"/>
      <c r="K188" s="72"/>
      <c r="L188" s="72"/>
      <c r="M188" s="72"/>
      <c r="N188" s="72"/>
      <c r="O188" s="72"/>
      <c r="P188" s="72"/>
      <c r="Q188" s="72"/>
      <c r="R188" s="72"/>
      <c r="S188" s="72"/>
      <c r="T188" s="161">
        <f t="shared" si="8"/>
        <v>0</v>
      </c>
      <c r="U188" s="73"/>
      <c r="V188" s="74"/>
      <c r="W188" s="159"/>
      <c r="X188" s="68"/>
      <c r="Y188" s="68"/>
      <c r="Z188" s="68"/>
      <c r="AA188" s="68"/>
    </row>
    <row r="189" spans="1:27" ht="120">
      <c r="A189" s="712"/>
      <c r="B189" s="712"/>
      <c r="C189" s="712"/>
      <c r="D189" s="72">
        <v>180</v>
      </c>
      <c r="E189" s="72" t="s">
        <v>356</v>
      </c>
      <c r="F189" s="72"/>
      <c r="G189" s="72"/>
      <c r="H189" s="72"/>
      <c r="I189" s="72"/>
      <c r="J189" s="72"/>
      <c r="K189" s="16">
        <f>25370-21375</f>
        <v>3995</v>
      </c>
      <c r="L189" s="75"/>
      <c r="M189" s="72"/>
      <c r="N189" s="72"/>
      <c r="O189" s="72"/>
      <c r="P189" s="76"/>
      <c r="Q189" s="72"/>
      <c r="R189" s="72"/>
      <c r="S189" s="72"/>
      <c r="T189" s="161">
        <f t="shared" si="8"/>
        <v>3995</v>
      </c>
      <c r="U189" s="290">
        <f>T189</f>
        <v>3995</v>
      </c>
      <c r="V189" s="291" t="s">
        <v>1278</v>
      </c>
      <c r="W189" s="177" t="s">
        <v>1279</v>
      </c>
      <c r="X189" s="68"/>
      <c r="Y189" s="68"/>
      <c r="Z189" s="68"/>
      <c r="AA189" s="68"/>
    </row>
    <row r="190" spans="1:27" ht="28.5">
      <c r="A190" s="712"/>
      <c r="B190" s="712"/>
      <c r="C190" s="712"/>
      <c r="D190" s="72">
        <v>181</v>
      </c>
      <c r="E190" s="72" t="s">
        <v>357</v>
      </c>
      <c r="F190" s="72"/>
      <c r="G190" s="72"/>
      <c r="H190" s="72"/>
      <c r="I190" s="72"/>
      <c r="J190" s="72"/>
      <c r="K190" s="72"/>
      <c r="L190" s="72"/>
      <c r="M190" s="75">
        <v>861</v>
      </c>
      <c r="N190" s="72"/>
      <c r="O190" s="72"/>
      <c r="P190" s="72"/>
      <c r="Q190" s="72"/>
      <c r="R190" s="72"/>
      <c r="S190" s="72"/>
      <c r="T190" s="161">
        <f t="shared" si="8"/>
        <v>861</v>
      </c>
      <c r="U190" s="292">
        <v>991.95</v>
      </c>
      <c r="V190" s="74"/>
      <c r="W190" s="159"/>
      <c r="X190" s="68"/>
      <c r="Y190" s="68"/>
      <c r="Z190" s="68"/>
      <c r="AA190" s="68"/>
    </row>
    <row r="191" spans="1:27" ht="60">
      <c r="A191" s="712"/>
      <c r="B191" s="712"/>
      <c r="C191" s="712"/>
      <c r="D191" s="72">
        <v>182</v>
      </c>
      <c r="E191" s="72" t="s">
        <v>358</v>
      </c>
      <c r="F191" s="72"/>
      <c r="G191" s="72"/>
      <c r="H191" s="72"/>
      <c r="I191" s="72"/>
      <c r="J191" s="72"/>
      <c r="K191" s="72"/>
      <c r="L191" s="72"/>
      <c r="M191" s="72"/>
      <c r="N191" s="72"/>
      <c r="O191" s="72"/>
      <c r="P191" s="16"/>
      <c r="Q191" s="72"/>
      <c r="R191" s="72"/>
      <c r="S191" s="72"/>
      <c r="T191" s="161">
        <f t="shared" si="8"/>
        <v>0</v>
      </c>
      <c r="U191" s="16"/>
      <c r="V191" s="74" t="s">
        <v>1280</v>
      </c>
      <c r="W191" s="159"/>
      <c r="X191" s="68"/>
      <c r="Y191" s="68"/>
      <c r="Z191" s="68"/>
      <c r="AA191" s="68"/>
    </row>
    <row r="192" spans="1:27" ht="255">
      <c r="A192" s="712"/>
      <c r="B192" s="707"/>
      <c r="C192" s="707"/>
      <c r="D192" s="72">
        <v>183</v>
      </c>
      <c r="E192" s="72" t="s">
        <v>360</v>
      </c>
      <c r="F192" s="72"/>
      <c r="G192" s="72"/>
      <c r="H192" s="72"/>
      <c r="I192" s="72"/>
      <c r="J192" s="72"/>
      <c r="K192" s="72"/>
      <c r="L192" s="72"/>
      <c r="M192" s="72"/>
      <c r="N192" s="75">
        <v>14</v>
      </c>
      <c r="O192" s="72"/>
      <c r="P192" s="15">
        <f>15+32.34+8.85+6.1+7.5</f>
        <v>69.790000000000006</v>
      </c>
      <c r="Q192" s="72"/>
      <c r="R192" s="72"/>
      <c r="S192" s="75">
        <v>3.5</v>
      </c>
      <c r="T192" s="161">
        <f t="shared" si="8"/>
        <v>87.29</v>
      </c>
      <c r="U192" s="16">
        <v>39.950000000000003</v>
      </c>
      <c r="V192" s="22" t="s">
        <v>1281</v>
      </c>
      <c r="W192" s="92" t="s">
        <v>1282</v>
      </c>
      <c r="X192" s="68"/>
      <c r="Y192" s="68"/>
      <c r="Z192" s="68"/>
      <c r="AA192" s="68"/>
    </row>
    <row r="193" spans="1:27" ht="57">
      <c r="A193" s="712"/>
      <c r="B193" s="72" t="s">
        <v>361</v>
      </c>
      <c r="C193" s="72" t="s">
        <v>362</v>
      </c>
      <c r="D193" s="72">
        <v>184</v>
      </c>
      <c r="E193" s="72" t="s">
        <v>363</v>
      </c>
      <c r="F193" s="72"/>
      <c r="G193" s="72"/>
      <c r="H193" s="72"/>
      <c r="I193" s="75">
        <v>2700</v>
      </c>
      <c r="J193" s="72"/>
      <c r="K193" s="72"/>
      <c r="L193" s="72"/>
      <c r="M193" s="72"/>
      <c r="N193" s="72"/>
      <c r="O193" s="72"/>
      <c r="P193" s="73"/>
      <c r="Q193" s="72"/>
      <c r="R193" s="72"/>
      <c r="S193" s="72"/>
      <c r="T193" s="161">
        <f t="shared" si="8"/>
        <v>2700</v>
      </c>
      <c r="U193" s="16">
        <f>T193*1.1</f>
        <v>2970.0000000000005</v>
      </c>
      <c r="V193" s="293" t="s">
        <v>1283</v>
      </c>
      <c r="W193" s="293" t="s">
        <v>1284</v>
      </c>
      <c r="X193" s="68"/>
      <c r="Y193" s="68"/>
      <c r="Z193" s="68"/>
      <c r="AA193" s="68"/>
    </row>
    <row r="194" spans="1:27" ht="28.5">
      <c r="A194" s="712"/>
      <c r="B194" s="706" t="s">
        <v>364</v>
      </c>
      <c r="C194" s="706" t="s">
        <v>297</v>
      </c>
      <c r="D194" s="72">
        <v>185</v>
      </c>
      <c r="E194" s="72" t="s">
        <v>298</v>
      </c>
      <c r="F194" s="72"/>
      <c r="G194" s="72"/>
      <c r="H194" s="72"/>
      <c r="I194" s="72"/>
      <c r="J194" s="72"/>
      <c r="K194" s="72"/>
      <c r="L194" s="72"/>
      <c r="M194" s="72"/>
      <c r="N194" s="72"/>
      <c r="O194" s="72"/>
      <c r="P194" s="726">
        <v>1638.87</v>
      </c>
      <c r="Q194" s="72"/>
      <c r="R194" s="72"/>
      <c r="S194" s="72"/>
      <c r="T194" s="161">
        <f t="shared" si="8"/>
        <v>1638.87</v>
      </c>
      <c r="U194" s="726">
        <v>1760.8019279999999</v>
      </c>
      <c r="V194" s="55" t="s">
        <v>365</v>
      </c>
      <c r="W194" s="159"/>
      <c r="X194" s="68"/>
      <c r="Y194" s="68"/>
      <c r="Z194" s="68"/>
      <c r="AA194" s="68"/>
    </row>
    <row r="195" spans="1:27" ht="409.5">
      <c r="A195" s="712"/>
      <c r="B195" s="712"/>
      <c r="C195" s="712"/>
      <c r="D195" s="72">
        <v>186</v>
      </c>
      <c r="E195" s="72" t="s">
        <v>299</v>
      </c>
      <c r="F195" s="72"/>
      <c r="G195" s="72"/>
      <c r="H195" s="72"/>
      <c r="I195" s="72"/>
      <c r="J195" s="72"/>
      <c r="K195" s="72"/>
      <c r="L195" s="72"/>
      <c r="M195" s="72"/>
      <c r="N195" s="72"/>
      <c r="O195" s="72"/>
      <c r="P195" s="15">
        <f>416</f>
        <v>416</v>
      </c>
      <c r="Q195" s="73"/>
      <c r="R195" s="72"/>
      <c r="S195" s="72"/>
      <c r="T195" s="161">
        <f t="shared" si="8"/>
        <v>416</v>
      </c>
      <c r="U195" s="16">
        <f>458</f>
        <v>458</v>
      </c>
      <c r="V195" s="22" t="s">
        <v>1285</v>
      </c>
      <c r="W195" s="159"/>
      <c r="X195" s="68"/>
      <c r="Y195" s="68"/>
      <c r="Z195" s="68"/>
      <c r="AA195" s="68"/>
    </row>
    <row r="196" spans="1:27" ht="28.5">
      <c r="A196" s="712"/>
      <c r="B196" s="712"/>
      <c r="C196" s="712"/>
      <c r="D196" s="72">
        <v>187</v>
      </c>
      <c r="E196" s="72" t="s">
        <v>367</v>
      </c>
      <c r="F196" s="72"/>
      <c r="G196" s="72"/>
      <c r="H196" s="72"/>
      <c r="I196" s="72"/>
      <c r="J196" s="72"/>
      <c r="K196" s="72"/>
      <c r="L196" s="72"/>
      <c r="M196" s="72"/>
      <c r="N196" s="72"/>
      <c r="O196" s="72"/>
      <c r="P196" s="75"/>
      <c r="Q196" s="72"/>
      <c r="R196" s="72"/>
      <c r="S196" s="72"/>
      <c r="T196" s="161">
        <f t="shared" si="8"/>
        <v>0</v>
      </c>
      <c r="U196" s="73">
        <f>T196*108%</f>
        <v>0</v>
      </c>
      <c r="V196" s="74"/>
      <c r="W196" s="159"/>
      <c r="X196" s="68"/>
      <c r="Y196" s="68"/>
      <c r="Z196" s="68"/>
      <c r="AA196" s="68"/>
    </row>
    <row r="197" spans="1:27" ht="28.5">
      <c r="A197" s="712"/>
      <c r="B197" s="712"/>
      <c r="C197" s="712"/>
      <c r="D197" s="72">
        <v>188</v>
      </c>
      <c r="E197" s="72" t="s">
        <v>300</v>
      </c>
      <c r="F197" s="72"/>
      <c r="G197" s="72"/>
      <c r="H197" s="72"/>
      <c r="I197" s="72"/>
      <c r="J197" s="72"/>
      <c r="K197" s="72"/>
      <c r="L197" s="72"/>
      <c r="M197" s="72"/>
      <c r="N197" s="72"/>
      <c r="O197" s="72"/>
      <c r="P197" s="72"/>
      <c r="Q197" s="72"/>
      <c r="R197" s="72"/>
      <c r="S197" s="72"/>
      <c r="T197" s="161">
        <f t="shared" si="8"/>
        <v>0</v>
      </c>
      <c r="U197" s="73"/>
      <c r="V197" s="74"/>
      <c r="W197" s="159"/>
      <c r="X197" s="68"/>
      <c r="Y197" s="68"/>
      <c r="Z197" s="68"/>
      <c r="AA197" s="68"/>
    </row>
    <row r="198" spans="1:27" ht="42.75">
      <c r="A198" s="712"/>
      <c r="B198" s="712"/>
      <c r="C198" s="712"/>
      <c r="D198" s="72">
        <v>189</v>
      </c>
      <c r="E198" s="72" t="s">
        <v>301</v>
      </c>
      <c r="F198" s="72"/>
      <c r="G198" s="72"/>
      <c r="H198" s="72"/>
      <c r="I198" s="72"/>
      <c r="J198" s="72"/>
      <c r="K198" s="72"/>
      <c r="L198" s="72"/>
      <c r="M198" s="72"/>
      <c r="N198" s="72"/>
      <c r="O198" s="72"/>
      <c r="P198" s="72"/>
      <c r="Q198" s="72"/>
      <c r="R198" s="72"/>
      <c r="S198" s="72"/>
      <c r="T198" s="161">
        <f t="shared" si="8"/>
        <v>0</v>
      </c>
      <c r="U198" s="73"/>
      <c r="V198" s="74"/>
      <c r="W198" s="159"/>
      <c r="X198" s="68"/>
      <c r="Y198" s="68"/>
      <c r="Z198" s="68"/>
      <c r="AA198" s="68"/>
    </row>
    <row r="199" spans="1:27" ht="42.75">
      <c r="A199" s="712"/>
      <c r="B199" s="707"/>
      <c r="C199" s="707"/>
      <c r="D199" s="72">
        <v>190</v>
      </c>
      <c r="E199" s="72" t="s">
        <v>368</v>
      </c>
      <c r="F199" s="72"/>
      <c r="G199" s="72"/>
      <c r="H199" s="72"/>
      <c r="I199" s="72"/>
      <c r="J199" s="72"/>
      <c r="K199" s="72"/>
      <c r="L199" s="72"/>
      <c r="M199" s="72"/>
      <c r="N199" s="72"/>
      <c r="O199" s="72"/>
      <c r="P199" s="76"/>
      <c r="Q199" s="75"/>
      <c r="R199" s="72"/>
      <c r="S199" s="72"/>
      <c r="T199" s="161">
        <f t="shared" si="8"/>
        <v>0</v>
      </c>
      <c r="U199" s="16"/>
      <c r="V199" s="22" t="s">
        <v>1286</v>
      </c>
      <c r="W199" s="159"/>
      <c r="X199" s="68"/>
      <c r="Y199" s="68"/>
      <c r="Z199" s="68"/>
      <c r="AA199" s="68"/>
    </row>
    <row r="200" spans="1:27" ht="28.5">
      <c r="A200" s="712"/>
      <c r="B200" s="706" t="s">
        <v>370</v>
      </c>
      <c r="C200" s="706" t="s">
        <v>371</v>
      </c>
      <c r="D200" s="72">
        <v>191</v>
      </c>
      <c r="E200" s="72" t="s">
        <v>372</v>
      </c>
      <c r="F200" s="72"/>
      <c r="G200" s="72"/>
      <c r="H200" s="72"/>
      <c r="I200" s="72"/>
      <c r="J200" s="72"/>
      <c r="K200" s="72"/>
      <c r="L200" s="72"/>
      <c r="M200" s="72"/>
      <c r="N200" s="16"/>
      <c r="O200" s="72"/>
      <c r="P200" s="72"/>
      <c r="Q200" s="72"/>
      <c r="R200" s="72"/>
      <c r="S200" s="72"/>
      <c r="T200" s="161">
        <f t="shared" si="8"/>
        <v>0</v>
      </c>
      <c r="U200" s="161">
        <f>SUM(G200:T200)</f>
        <v>0</v>
      </c>
      <c r="V200" s="22"/>
      <c r="W200" s="92"/>
      <c r="X200" s="68"/>
      <c r="Y200" s="68"/>
      <c r="Z200" s="68"/>
      <c r="AA200" s="68"/>
    </row>
    <row r="201" spans="1:27" ht="156.75">
      <c r="A201" s="712"/>
      <c r="B201" s="707"/>
      <c r="C201" s="707"/>
      <c r="D201" s="72">
        <v>192</v>
      </c>
      <c r="E201" s="72" t="s">
        <v>373</v>
      </c>
      <c r="F201" s="72"/>
      <c r="G201" s="276">
        <f>133</f>
        <v>133</v>
      </c>
      <c r="H201" s="294">
        <v>173</v>
      </c>
      <c r="I201" s="72"/>
      <c r="J201" s="72"/>
      <c r="K201" s="72"/>
      <c r="L201" s="72"/>
      <c r="M201" s="72"/>
      <c r="N201" s="16">
        <v>0</v>
      </c>
      <c r="O201" s="72"/>
      <c r="P201" s="73"/>
      <c r="Q201" s="76"/>
      <c r="R201" s="72"/>
      <c r="S201" s="72"/>
      <c r="T201" s="295">
        <v>306</v>
      </c>
      <c r="U201" s="275">
        <v>345.6</v>
      </c>
      <c r="V201" s="296" t="s">
        <v>1287</v>
      </c>
      <c r="W201" s="297" t="s">
        <v>1288</v>
      </c>
      <c r="X201" s="68"/>
      <c r="Y201" s="68"/>
      <c r="Z201" s="68"/>
      <c r="AA201" s="68"/>
    </row>
    <row r="202" spans="1:27" ht="42.75">
      <c r="A202" s="712"/>
      <c r="B202" s="706" t="s">
        <v>374</v>
      </c>
      <c r="C202" s="706" t="s">
        <v>303</v>
      </c>
      <c r="D202" s="72">
        <v>193</v>
      </c>
      <c r="E202" s="72" t="s">
        <v>375</v>
      </c>
      <c r="F202" s="72"/>
      <c r="G202" s="72"/>
      <c r="H202" s="72"/>
      <c r="I202" s="72"/>
      <c r="J202" s="72"/>
      <c r="K202" s="72"/>
      <c r="L202" s="72"/>
      <c r="M202" s="72"/>
      <c r="N202" s="72"/>
      <c r="O202" s="72"/>
      <c r="P202" s="16">
        <v>236.2</v>
      </c>
      <c r="Q202" s="72"/>
      <c r="R202" s="72"/>
      <c r="S202" s="76"/>
      <c r="T202" s="161">
        <f t="shared" ref="T202:T211" si="15">SUM(F202:S202)</f>
        <v>236.2</v>
      </c>
      <c r="U202" s="16">
        <v>250</v>
      </c>
      <c r="V202" s="74" t="s">
        <v>1289</v>
      </c>
      <c r="W202" s="159"/>
      <c r="X202" s="68"/>
      <c r="Y202" s="68"/>
      <c r="Z202" s="68"/>
      <c r="AA202" s="68"/>
    </row>
    <row r="203" spans="1:27" ht="409.5">
      <c r="A203" s="712"/>
      <c r="B203" s="707"/>
      <c r="C203" s="707"/>
      <c r="D203" s="72">
        <v>194</v>
      </c>
      <c r="E203" s="72" t="s">
        <v>304</v>
      </c>
      <c r="F203" s="72"/>
      <c r="G203" s="72"/>
      <c r="H203" s="72"/>
      <c r="I203" s="72"/>
      <c r="J203" s="72"/>
      <c r="K203" s="72"/>
      <c r="L203" s="72"/>
      <c r="M203" s="72"/>
      <c r="N203" s="16">
        <f>19.8+8</f>
        <v>27.8</v>
      </c>
      <c r="O203" s="72"/>
      <c r="P203" s="72"/>
      <c r="Q203" s="16">
        <v>3</v>
      </c>
      <c r="R203" s="16">
        <f>400+13.2+24+16.805-105.8</f>
        <v>348.20499999999998</v>
      </c>
      <c r="S203" s="72"/>
      <c r="T203" s="161">
        <f t="shared" si="15"/>
        <v>379.005</v>
      </c>
      <c r="U203" s="295">
        <f>509.07-110.25-0.02</f>
        <v>398.8</v>
      </c>
      <c r="V203" s="22" t="s">
        <v>1290</v>
      </c>
      <c r="W203" s="177" t="s">
        <v>1291</v>
      </c>
      <c r="X203" s="68"/>
      <c r="Y203" s="68"/>
      <c r="Z203" s="68"/>
      <c r="AA203" s="68"/>
    </row>
    <row r="204" spans="1:27" ht="195">
      <c r="A204" s="712"/>
      <c r="B204" s="706" t="s">
        <v>376</v>
      </c>
      <c r="C204" s="706" t="s">
        <v>377</v>
      </c>
      <c r="D204" s="72">
        <v>195</v>
      </c>
      <c r="E204" s="72" t="s">
        <v>378</v>
      </c>
      <c r="F204" s="72"/>
      <c r="G204" s="72"/>
      <c r="H204" s="72"/>
      <c r="I204" s="72"/>
      <c r="J204" s="72"/>
      <c r="K204" s="72"/>
      <c r="L204" s="72"/>
      <c r="M204" s="72"/>
      <c r="N204" s="72"/>
      <c r="O204" s="72"/>
      <c r="P204" s="73"/>
      <c r="Q204" s="15">
        <v>1</v>
      </c>
      <c r="R204" s="16">
        <f>5.5</f>
        <v>5.5</v>
      </c>
      <c r="S204" s="75">
        <v>2.5</v>
      </c>
      <c r="T204" s="161">
        <f t="shared" si="15"/>
        <v>9</v>
      </c>
      <c r="U204" s="73">
        <f>T204</f>
        <v>9</v>
      </c>
      <c r="V204" s="298" t="s">
        <v>1292</v>
      </c>
      <c r="W204" s="159"/>
      <c r="X204" s="68"/>
      <c r="Y204" s="68"/>
      <c r="Z204" s="68"/>
      <c r="AA204" s="68"/>
    </row>
    <row r="205" spans="1:27" ht="30">
      <c r="A205" s="712"/>
      <c r="B205" s="712"/>
      <c r="C205" s="712"/>
      <c r="D205" s="72">
        <v>196</v>
      </c>
      <c r="E205" s="72" t="s">
        <v>379</v>
      </c>
      <c r="F205" s="72"/>
      <c r="G205" s="72"/>
      <c r="H205" s="72"/>
      <c r="I205" s="72"/>
      <c r="J205" s="72"/>
      <c r="K205" s="72"/>
      <c r="L205" s="72"/>
      <c r="M205" s="72"/>
      <c r="N205" s="72"/>
      <c r="O205" s="72"/>
      <c r="P205" s="72"/>
      <c r="Q205" s="72"/>
      <c r="R205" s="72"/>
      <c r="S205" s="72"/>
      <c r="T205" s="161">
        <f t="shared" si="15"/>
        <v>0</v>
      </c>
      <c r="U205" s="73"/>
      <c r="V205" s="299" t="s">
        <v>1135</v>
      </c>
      <c r="W205" s="159"/>
      <c r="X205" s="68"/>
      <c r="Y205" s="68"/>
      <c r="Z205" s="68"/>
      <c r="AA205" s="68"/>
    </row>
    <row r="206" spans="1:27" ht="16.5">
      <c r="A206" s="712"/>
      <c r="B206" s="707"/>
      <c r="C206" s="707"/>
      <c r="D206" s="300">
        <v>197</v>
      </c>
      <c r="E206" s="300" t="s">
        <v>380</v>
      </c>
      <c r="F206" s="301"/>
      <c r="G206" s="302"/>
      <c r="H206" s="302"/>
      <c r="I206" s="302"/>
      <c r="J206" s="302"/>
      <c r="K206" s="302"/>
      <c r="L206" s="302"/>
      <c r="M206" s="302"/>
      <c r="N206" s="303">
        <v>3.9</v>
      </c>
      <c r="O206" s="302"/>
      <c r="P206" s="304">
        <v>4.2</v>
      </c>
      <c r="Q206" s="305"/>
      <c r="R206" s="305">
        <v>1.3</v>
      </c>
      <c r="S206" s="306"/>
      <c r="T206" s="161">
        <f t="shared" si="15"/>
        <v>9.4</v>
      </c>
      <c r="U206" s="307">
        <v>2</v>
      </c>
      <c r="V206" s="308" t="s">
        <v>1293</v>
      </c>
      <c r="W206" s="309" t="s">
        <v>1294</v>
      </c>
      <c r="X206" s="310"/>
      <c r="Y206" s="310"/>
      <c r="Z206" s="310"/>
      <c r="AA206" s="310"/>
    </row>
    <row r="207" spans="1:27" ht="105">
      <c r="A207" s="712"/>
      <c r="B207" s="72" t="s">
        <v>381</v>
      </c>
      <c r="C207" s="72" t="s">
        <v>309</v>
      </c>
      <c r="D207" s="72">
        <v>198</v>
      </c>
      <c r="E207" s="72" t="s">
        <v>310</v>
      </c>
      <c r="F207" s="72"/>
      <c r="G207" s="72"/>
      <c r="H207" s="72"/>
      <c r="I207" s="72"/>
      <c r="J207" s="72"/>
      <c r="K207" s="72"/>
      <c r="L207" s="72"/>
      <c r="M207" s="72"/>
      <c r="N207" s="72"/>
      <c r="O207" s="72"/>
      <c r="P207" s="72"/>
      <c r="Q207" s="72"/>
      <c r="R207" s="72"/>
      <c r="S207" s="75">
        <v>26</v>
      </c>
      <c r="T207" s="161">
        <f t="shared" si="15"/>
        <v>26</v>
      </c>
      <c r="U207" s="16">
        <v>38</v>
      </c>
      <c r="V207" s="137" t="s">
        <v>1295</v>
      </c>
      <c r="W207" s="177" t="s">
        <v>1296</v>
      </c>
      <c r="X207" s="68"/>
      <c r="Y207" s="68"/>
      <c r="Z207" s="68"/>
      <c r="AA207" s="68"/>
    </row>
    <row r="208" spans="1:27" ht="28.5">
      <c r="A208" s="712"/>
      <c r="B208" s="72" t="s">
        <v>382</v>
      </c>
      <c r="C208" s="72" t="s">
        <v>312</v>
      </c>
      <c r="D208" s="72">
        <v>199</v>
      </c>
      <c r="E208" s="72" t="s">
        <v>313</v>
      </c>
      <c r="F208" s="93"/>
      <c r="G208" s="93"/>
      <c r="H208" s="93"/>
      <c r="I208" s="93"/>
      <c r="J208" s="93"/>
      <c r="K208" s="93"/>
      <c r="L208" s="93"/>
      <c r="M208" s="93"/>
      <c r="N208" s="93"/>
      <c r="O208" s="93"/>
      <c r="P208" s="93"/>
      <c r="Q208" s="93"/>
      <c r="R208" s="93"/>
      <c r="S208" s="93"/>
      <c r="T208" s="161">
        <f t="shared" si="15"/>
        <v>0</v>
      </c>
      <c r="U208" s="73"/>
      <c r="V208" s="74"/>
      <c r="W208" s="159"/>
      <c r="X208" s="68"/>
      <c r="Y208" s="68"/>
      <c r="Z208" s="68"/>
      <c r="AA208" s="68"/>
    </row>
    <row r="209" spans="1:27" ht="28.5">
      <c r="A209" s="712"/>
      <c r="B209" s="72" t="s">
        <v>383</v>
      </c>
      <c r="C209" s="72"/>
      <c r="D209" s="72">
        <v>200</v>
      </c>
      <c r="E209" s="72" t="s">
        <v>384</v>
      </c>
      <c r="F209" s="93"/>
      <c r="G209" s="93"/>
      <c r="H209" s="93"/>
      <c r="I209" s="93"/>
      <c r="J209" s="93"/>
      <c r="K209" s="93"/>
      <c r="L209" s="93"/>
      <c r="M209" s="93"/>
      <c r="N209" s="141">
        <v>5.4515000000000002</v>
      </c>
      <c r="O209" s="93"/>
      <c r="P209" s="141"/>
      <c r="Q209" s="141"/>
      <c r="R209" s="141">
        <v>2</v>
      </c>
      <c r="S209" s="93"/>
      <c r="T209" s="161">
        <f t="shared" si="15"/>
        <v>7.4515000000000002</v>
      </c>
      <c r="U209" s="16">
        <f>T209</f>
        <v>7.4515000000000002</v>
      </c>
      <c r="V209" s="56" t="s">
        <v>1297</v>
      </c>
      <c r="W209" s="311" t="s">
        <v>1297</v>
      </c>
      <c r="X209" s="68"/>
      <c r="Y209" s="68"/>
      <c r="Z209" s="68"/>
      <c r="AA209" s="68"/>
    </row>
    <row r="210" spans="1:27" ht="16.5">
      <c r="A210" s="707"/>
      <c r="B210" s="713" t="s">
        <v>386</v>
      </c>
      <c r="C210" s="709"/>
      <c r="D210" s="710"/>
      <c r="E210" s="84"/>
      <c r="F210" s="84">
        <f t="shared" ref="F210:S210" si="16">SUM(F159:F209)</f>
        <v>0</v>
      </c>
      <c r="G210" s="101">
        <f t="shared" si="16"/>
        <v>4883.6000000000004</v>
      </c>
      <c r="H210" s="101">
        <f t="shared" si="16"/>
        <v>1887.3400000000001</v>
      </c>
      <c r="I210" s="84">
        <f t="shared" si="16"/>
        <v>3307.41</v>
      </c>
      <c r="J210" s="84">
        <f t="shared" si="16"/>
        <v>0</v>
      </c>
      <c r="K210" s="84">
        <f t="shared" si="16"/>
        <v>4592</v>
      </c>
      <c r="L210" s="84">
        <f t="shared" si="16"/>
        <v>0</v>
      </c>
      <c r="M210" s="84">
        <f t="shared" si="16"/>
        <v>939.63599999999997</v>
      </c>
      <c r="N210" s="5">
        <f t="shared" si="16"/>
        <v>191.81400000000002</v>
      </c>
      <c r="O210" s="84">
        <f t="shared" si="16"/>
        <v>3</v>
      </c>
      <c r="P210" s="84">
        <f t="shared" si="16"/>
        <v>10942.346400000002</v>
      </c>
      <c r="Q210" s="84">
        <f t="shared" si="16"/>
        <v>362.64400000000001</v>
      </c>
      <c r="R210" s="84">
        <f t="shared" si="16"/>
        <v>364.60500000000002</v>
      </c>
      <c r="S210" s="84">
        <f t="shared" si="16"/>
        <v>32</v>
      </c>
      <c r="T210" s="161">
        <f t="shared" si="15"/>
        <v>27506.395400000005</v>
      </c>
      <c r="U210" s="5">
        <f>SUM(U159:U209)</f>
        <v>25346.989328000003</v>
      </c>
      <c r="V210" s="152"/>
      <c r="W210" s="159"/>
      <c r="X210" s="68"/>
      <c r="Y210" s="68"/>
      <c r="Z210" s="68"/>
      <c r="AA210" s="68"/>
    </row>
    <row r="211" spans="1:27" ht="16.5">
      <c r="A211" s="715" t="s">
        <v>387</v>
      </c>
      <c r="B211" s="709"/>
      <c r="C211" s="709"/>
      <c r="D211" s="710"/>
      <c r="E211" s="123"/>
      <c r="F211" s="128">
        <f t="shared" ref="F211:S211" si="17">F210+F158+F134+F93+F68</f>
        <v>0.2</v>
      </c>
      <c r="G211" s="129">
        <f t="shared" si="17"/>
        <v>4983.6000000000004</v>
      </c>
      <c r="H211" s="129">
        <f t="shared" si="17"/>
        <v>2484.34</v>
      </c>
      <c r="I211" s="128">
        <f t="shared" si="17"/>
        <v>6564.5259999999998</v>
      </c>
      <c r="J211" s="128">
        <f t="shared" si="17"/>
        <v>176.33</v>
      </c>
      <c r="K211" s="7">
        <f t="shared" si="17"/>
        <v>11139.18809</v>
      </c>
      <c r="L211" s="128">
        <f t="shared" si="17"/>
        <v>355.5</v>
      </c>
      <c r="M211" s="129">
        <f t="shared" si="17"/>
        <v>4364.7060000000001</v>
      </c>
      <c r="N211" s="7">
        <f t="shared" si="17"/>
        <v>507.40469999999999</v>
      </c>
      <c r="O211" s="128">
        <f t="shared" si="17"/>
        <v>3</v>
      </c>
      <c r="P211" s="7">
        <f t="shared" si="17"/>
        <v>11758.956240000003</v>
      </c>
      <c r="Q211" s="128">
        <f t="shared" si="17"/>
        <v>977.46399999999994</v>
      </c>
      <c r="R211" s="129">
        <f t="shared" si="17"/>
        <v>495.86500000000001</v>
      </c>
      <c r="S211" s="129">
        <f t="shared" si="17"/>
        <v>146.28</v>
      </c>
      <c r="T211" s="161">
        <f t="shared" si="15"/>
        <v>43957.360029999996</v>
      </c>
      <c r="U211" s="7">
        <f>U210+U158+U134+U93+U68</f>
        <v>41146.853817648</v>
      </c>
      <c r="V211" s="156"/>
      <c r="W211" s="159"/>
      <c r="X211" s="68"/>
      <c r="Y211" s="68"/>
      <c r="Z211" s="68"/>
      <c r="AA211" s="68"/>
    </row>
    <row r="212" spans="1:27" ht="16.5">
      <c r="A212" s="68"/>
      <c r="B212" s="68"/>
      <c r="C212" s="68"/>
      <c r="D212" s="68"/>
      <c r="E212" s="68"/>
      <c r="F212" s="68"/>
      <c r="G212" s="68"/>
      <c r="H212" s="68"/>
      <c r="I212" s="68"/>
      <c r="J212" s="68"/>
      <c r="K212" s="68"/>
      <c r="L212" s="68"/>
      <c r="M212" s="68"/>
      <c r="N212" s="68"/>
      <c r="O212" s="68"/>
      <c r="P212" s="68"/>
      <c r="Q212" s="68"/>
      <c r="R212" s="68"/>
      <c r="S212" s="68"/>
      <c r="T212" s="68"/>
      <c r="U212" s="68"/>
      <c r="V212" s="69"/>
      <c r="W212" s="159"/>
      <c r="X212" s="68"/>
      <c r="Y212" s="68"/>
      <c r="Z212" s="68"/>
      <c r="AA212" s="68"/>
    </row>
    <row r="213" spans="1:27" ht="16.5">
      <c r="A213" s="68"/>
      <c r="B213" s="68"/>
      <c r="C213" s="68"/>
      <c r="D213" s="68"/>
      <c r="E213" s="68"/>
      <c r="F213" s="68"/>
      <c r="G213" s="68"/>
      <c r="H213" s="68"/>
      <c r="I213" s="68"/>
      <c r="J213" s="68"/>
      <c r="K213" s="68"/>
      <c r="L213" s="68"/>
      <c r="M213" s="68"/>
      <c r="N213" s="68"/>
      <c r="O213" s="68"/>
      <c r="P213" s="68"/>
      <c r="Q213" s="68"/>
      <c r="R213" s="68"/>
      <c r="S213" s="68"/>
      <c r="T213" s="68"/>
      <c r="U213" s="68"/>
      <c r="V213" s="69"/>
      <c r="W213" s="159"/>
      <c r="X213" s="68"/>
      <c r="Y213" s="68"/>
      <c r="Z213" s="68"/>
      <c r="AA213" s="68"/>
    </row>
    <row r="214" spans="1:27" ht="16.5">
      <c r="A214" s="68"/>
      <c r="B214" s="68"/>
      <c r="C214" s="68"/>
      <c r="D214" s="68"/>
      <c r="E214" s="68"/>
      <c r="F214" s="68"/>
      <c r="G214" s="68"/>
      <c r="H214" s="68"/>
      <c r="I214" s="68"/>
      <c r="J214" s="68"/>
      <c r="K214" s="68"/>
      <c r="L214" s="68"/>
      <c r="M214" s="68"/>
      <c r="N214" s="68"/>
      <c r="O214" s="68"/>
      <c r="P214" s="68"/>
      <c r="Q214" s="68"/>
      <c r="R214" s="68"/>
      <c r="S214" s="68"/>
      <c r="T214" s="68"/>
      <c r="U214" s="68"/>
      <c r="V214" s="69"/>
      <c r="W214" s="159"/>
      <c r="X214" s="68"/>
      <c r="Y214" s="68"/>
      <c r="Z214" s="68"/>
      <c r="AA214" s="68"/>
    </row>
    <row r="215" spans="1:27" ht="16.5">
      <c r="A215" s="68"/>
      <c r="B215" s="68"/>
      <c r="C215" s="68"/>
      <c r="D215" s="68"/>
      <c r="E215" s="68"/>
      <c r="F215" s="68"/>
      <c r="G215" s="68"/>
      <c r="H215" s="68"/>
      <c r="I215" s="68"/>
      <c r="J215" s="68"/>
      <c r="K215" s="68"/>
      <c r="L215" s="68"/>
      <c r="M215" s="68"/>
      <c r="N215" s="68"/>
      <c r="O215" s="68"/>
      <c r="P215" s="68"/>
      <c r="Q215" s="68"/>
      <c r="R215" s="68"/>
      <c r="S215" s="68"/>
      <c r="T215" s="68"/>
      <c r="U215" s="68"/>
      <c r="V215" s="69"/>
      <c r="W215" s="159"/>
      <c r="X215" s="68"/>
      <c r="Y215" s="68"/>
      <c r="Z215" s="68"/>
      <c r="AA215" s="68"/>
    </row>
    <row r="216" spans="1:27" ht="16.5">
      <c r="A216" s="68"/>
      <c r="B216" s="68"/>
      <c r="C216" s="68"/>
      <c r="D216" s="68"/>
      <c r="E216" s="68"/>
      <c r="F216" s="68"/>
      <c r="G216" s="68"/>
      <c r="H216" s="68"/>
      <c r="I216" s="68"/>
      <c r="J216" s="68"/>
      <c r="K216" s="68"/>
      <c r="L216" s="68"/>
      <c r="M216" s="68"/>
      <c r="N216" s="68"/>
      <c r="O216" s="68"/>
      <c r="P216" s="68"/>
      <c r="Q216" s="68"/>
      <c r="R216" s="68"/>
      <c r="S216" s="68"/>
      <c r="T216" s="68"/>
      <c r="U216" s="68"/>
      <c r="V216" s="69"/>
      <c r="W216" s="159"/>
      <c r="X216" s="68"/>
      <c r="Y216" s="68"/>
      <c r="Z216" s="68"/>
      <c r="AA216" s="68"/>
    </row>
    <row r="217" spans="1:27" ht="16.5">
      <c r="A217" s="68"/>
      <c r="B217" s="68"/>
      <c r="C217" s="68"/>
      <c r="D217" s="68"/>
      <c r="E217" s="68"/>
      <c r="F217" s="68"/>
      <c r="G217" s="68"/>
      <c r="H217" s="68"/>
      <c r="I217" s="68"/>
      <c r="J217" s="68"/>
      <c r="K217" s="68"/>
      <c r="L217" s="68"/>
      <c r="M217" s="68"/>
      <c r="N217" s="68"/>
      <c r="O217" s="68"/>
      <c r="P217" s="68"/>
      <c r="Q217" s="68"/>
      <c r="R217" s="68"/>
      <c r="S217" s="68"/>
      <c r="T217" s="68"/>
      <c r="U217" s="68"/>
      <c r="V217" s="69"/>
      <c r="W217" s="159"/>
      <c r="X217" s="68"/>
      <c r="Y217" s="68"/>
      <c r="Z217" s="68"/>
      <c r="AA217" s="68"/>
    </row>
    <row r="218" spans="1:27" ht="16.5">
      <c r="A218" s="68"/>
      <c r="B218" s="68"/>
      <c r="C218" s="68"/>
      <c r="D218" s="68"/>
      <c r="E218" s="68"/>
      <c r="F218" s="68"/>
      <c r="G218" s="68"/>
      <c r="H218" s="68"/>
      <c r="I218" s="68"/>
      <c r="J218" s="68"/>
      <c r="K218" s="68"/>
      <c r="L218" s="68"/>
      <c r="M218" s="68"/>
      <c r="N218" s="68"/>
      <c r="O218" s="68"/>
      <c r="P218" s="68"/>
      <c r="Q218" s="68"/>
      <c r="R218" s="68"/>
      <c r="S218" s="68"/>
      <c r="T218" s="68"/>
      <c r="U218" s="68"/>
      <c r="V218" s="69"/>
      <c r="W218" s="159"/>
      <c r="X218" s="68"/>
      <c r="Y218" s="68"/>
      <c r="Z218" s="68"/>
      <c r="AA218" s="68"/>
    </row>
    <row r="219" spans="1:27" ht="16.5">
      <c r="A219" s="68"/>
      <c r="B219" s="68"/>
      <c r="C219" s="68"/>
      <c r="D219" s="68"/>
      <c r="E219" s="68"/>
      <c r="F219" s="68"/>
      <c r="G219" s="68"/>
      <c r="H219" s="68"/>
      <c r="I219" s="68"/>
      <c r="J219" s="68"/>
      <c r="K219" s="68"/>
      <c r="L219" s="68"/>
      <c r="M219" s="68"/>
      <c r="N219" s="68"/>
      <c r="O219" s="68"/>
      <c r="P219" s="68"/>
      <c r="Q219" s="68"/>
      <c r="R219" s="68"/>
      <c r="S219" s="68"/>
      <c r="T219" s="68"/>
      <c r="U219" s="68"/>
      <c r="V219" s="69"/>
      <c r="W219" s="159"/>
      <c r="X219" s="68"/>
      <c r="Y219" s="68"/>
      <c r="Z219" s="68"/>
      <c r="AA219" s="68"/>
    </row>
    <row r="220" spans="1:27" ht="16.5">
      <c r="A220" s="68"/>
      <c r="B220" s="68"/>
      <c r="C220" s="68"/>
      <c r="D220" s="68"/>
      <c r="E220" s="68"/>
      <c r="F220" s="68"/>
      <c r="G220" s="68"/>
      <c r="H220" s="68"/>
      <c r="I220" s="68"/>
      <c r="J220" s="68"/>
      <c r="K220" s="68"/>
      <c r="L220" s="68"/>
      <c r="M220" s="68"/>
      <c r="N220" s="68"/>
      <c r="O220" s="68"/>
      <c r="P220" s="68"/>
      <c r="Q220" s="68"/>
      <c r="R220" s="68"/>
      <c r="S220" s="68"/>
      <c r="T220" s="68"/>
      <c r="U220" s="68"/>
      <c r="V220" s="69"/>
      <c r="W220" s="159"/>
      <c r="X220" s="68"/>
      <c r="Y220" s="68"/>
      <c r="Z220" s="68"/>
      <c r="AA220" s="68"/>
    </row>
    <row r="221" spans="1:27" ht="16.5">
      <c r="A221" s="68"/>
      <c r="B221" s="68"/>
      <c r="C221" s="68"/>
      <c r="D221" s="68"/>
      <c r="E221" s="68"/>
      <c r="F221" s="68"/>
      <c r="G221" s="68"/>
      <c r="H221" s="68"/>
      <c r="I221" s="68"/>
      <c r="J221" s="68"/>
      <c r="K221" s="68"/>
      <c r="L221" s="68"/>
      <c r="M221" s="68"/>
      <c r="N221" s="68"/>
      <c r="O221" s="68"/>
      <c r="P221" s="68"/>
      <c r="Q221" s="68"/>
      <c r="R221" s="68"/>
      <c r="S221" s="68"/>
      <c r="T221" s="68"/>
      <c r="U221" s="68"/>
      <c r="V221" s="69"/>
      <c r="W221" s="159"/>
      <c r="X221" s="68"/>
      <c r="Y221" s="68"/>
      <c r="Z221" s="68"/>
      <c r="AA221" s="68"/>
    </row>
    <row r="222" spans="1:27" ht="16.5">
      <c r="A222" s="68"/>
      <c r="B222" s="68"/>
      <c r="C222" s="68"/>
      <c r="D222" s="68"/>
      <c r="E222" s="68"/>
      <c r="F222" s="68"/>
      <c r="G222" s="68"/>
      <c r="H222" s="68"/>
      <c r="I222" s="68"/>
      <c r="J222" s="68"/>
      <c r="K222" s="68"/>
      <c r="L222" s="68"/>
      <c r="M222" s="68"/>
      <c r="N222" s="68"/>
      <c r="O222" s="68"/>
      <c r="P222" s="68"/>
      <c r="Q222" s="68"/>
      <c r="R222" s="68"/>
      <c r="S222" s="68"/>
      <c r="T222" s="68"/>
      <c r="U222" s="68"/>
      <c r="V222" s="69"/>
      <c r="W222" s="159"/>
      <c r="X222" s="68"/>
      <c r="Y222" s="68"/>
      <c r="Z222" s="68"/>
      <c r="AA222" s="68"/>
    </row>
    <row r="223" spans="1:27" ht="16.5">
      <c r="A223" s="68"/>
      <c r="B223" s="68"/>
      <c r="C223" s="68"/>
      <c r="D223" s="68"/>
      <c r="E223" s="68"/>
      <c r="F223" s="68"/>
      <c r="G223" s="68"/>
      <c r="H223" s="68"/>
      <c r="I223" s="68"/>
      <c r="J223" s="68"/>
      <c r="K223" s="68"/>
      <c r="L223" s="68"/>
      <c r="M223" s="68"/>
      <c r="N223" s="68"/>
      <c r="O223" s="68"/>
      <c r="P223" s="68"/>
      <c r="Q223" s="68"/>
      <c r="R223" s="68"/>
      <c r="S223" s="68"/>
      <c r="T223" s="68"/>
      <c r="U223" s="68"/>
      <c r="V223" s="69"/>
      <c r="W223" s="159"/>
      <c r="X223" s="68"/>
      <c r="Y223" s="68"/>
      <c r="Z223" s="68"/>
      <c r="AA223" s="68"/>
    </row>
    <row r="224" spans="1:27" ht="16.5">
      <c r="A224" s="68"/>
      <c r="B224" s="68"/>
      <c r="C224" s="68"/>
      <c r="D224" s="68"/>
      <c r="E224" s="68"/>
      <c r="F224" s="68"/>
      <c r="G224" s="68"/>
      <c r="H224" s="68"/>
      <c r="I224" s="68"/>
      <c r="J224" s="68"/>
      <c r="K224" s="68"/>
      <c r="L224" s="68"/>
      <c r="M224" s="68"/>
      <c r="N224" s="68"/>
      <c r="O224" s="68"/>
      <c r="P224" s="68"/>
      <c r="Q224" s="68"/>
      <c r="R224" s="68"/>
      <c r="S224" s="68"/>
      <c r="T224" s="68"/>
      <c r="U224" s="68"/>
      <c r="V224" s="69"/>
      <c r="W224" s="159"/>
      <c r="X224" s="68"/>
      <c r="Y224" s="68"/>
      <c r="Z224" s="68"/>
      <c r="AA224" s="68"/>
    </row>
    <row r="225" spans="1:27" ht="16.5">
      <c r="A225" s="68"/>
      <c r="B225" s="68"/>
      <c r="C225" s="68"/>
      <c r="D225" s="68"/>
      <c r="E225" s="68"/>
      <c r="F225" s="68"/>
      <c r="G225" s="68"/>
      <c r="H225" s="68"/>
      <c r="I225" s="68"/>
      <c r="J225" s="68"/>
      <c r="K225" s="68"/>
      <c r="L225" s="68"/>
      <c r="M225" s="68"/>
      <c r="N225" s="68"/>
      <c r="O225" s="68"/>
      <c r="P225" s="68"/>
      <c r="Q225" s="68"/>
      <c r="R225" s="68"/>
      <c r="S225" s="68"/>
      <c r="T225" s="68"/>
      <c r="U225" s="68"/>
      <c r="V225" s="69"/>
      <c r="W225" s="159"/>
      <c r="X225" s="68"/>
      <c r="Y225" s="68"/>
      <c r="Z225" s="68"/>
      <c r="AA225" s="68"/>
    </row>
    <row r="226" spans="1:27" ht="16.5">
      <c r="A226" s="68"/>
      <c r="B226" s="68"/>
      <c r="C226" s="68"/>
      <c r="D226" s="68"/>
      <c r="E226" s="68"/>
      <c r="F226" s="68"/>
      <c r="G226" s="68"/>
      <c r="H226" s="68"/>
      <c r="I226" s="68"/>
      <c r="J226" s="68"/>
      <c r="K226" s="68"/>
      <c r="L226" s="68"/>
      <c r="M226" s="68"/>
      <c r="N226" s="68"/>
      <c r="O226" s="68"/>
      <c r="P226" s="68"/>
      <c r="Q226" s="68"/>
      <c r="R226" s="68"/>
      <c r="S226" s="68"/>
      <c r="T226" s="68"/>
      <c r="U226" s="68"/>
      <c r="V226" s="69"/>
      <c r="W226" s="159"/>
      <c r="X226" s="68"/>
      <c r="Y226" s="68"/>
      <c r="Z226" s="68"/>
      <c r="AA226" s="68"/>
    </row>
    <row r="227" spans="1:27" ht="16.5">
      <c r="A227" s="68"/>
      <c r="B227" s="68"/>
      <c r="C227" s="68"/>
      <c r="D227" s="68"/>
      <c r="E227" s="68"/>
      <c r="F227" s="68"/>
      <c r="G227" s="68"/>
      <c r="H227" s="68"/>
      <c r="I227" s="68"/>
      <c r="J227" s="68"/>
      <c r="K227" s="68"/>
      <c r="L227" s="68"/>
      <c r="M227" s="68"/>
      <c r="N227" s="68"/>
      <c r="O227" s="68"/>
      <c r="P227" s="68"/>
      <c r="Q227" s="68"/>
      <c r="R227" s="68"/>
      <c r="S227" s="68"/>
      <c r="T227" s="68"/>
      <c r="U227" s="68"/>
      <c r="V227" s="69"/>
      <c r="W227" s="159"/>
      <c r="X227" s="68"/>
      <c r="Y227" s="68"/>
      <c r="Z227" s="68"/>
      <c r="AA227" s="68"/>
    </row>
    <row r="228" spans="1:27" ht="16.5">
      <c r="A228" s="68"/>
      <c r="B228" s="68"/>
      <c r="C228" s="68"/>
      <c r="D228" s="68"/>
      <c r="E228" s="68"/>
      <c r="F228" s="68"/>
      <c r="G228" s="68"/>
      <c r="H228" s="68"/>
      <c r="I228" s="68"/>
      <c r="J228" s="68"/>
      <c r="K228" s="68"/>
      <c r="L228" s="68"/>
      <c r="M228" s="68"/>
      <c r="N228" s="68"/>
      <c r="O228" s="68"/>
      <c r="P228" s="68"/>
      <c r="Q228" s="68"/>
      <c r="R228" s="68"/>
      <c r="S228" s="68"/>
      <c r="T228" s="68"/>
      <c r="U228" s="68"/>
      <c r="V228" s="69"/>
      <c r="W228" s="159"/>
      <c r="X228" s="68"/>
      <c r="Y228" s="68"/>
      <c r="Z228" s="68"/>
      <c r="AA228" s="68"/>
    </row>
    <row r="229" spans="1:27" ht="16.5">
      <c r="A229" s="68"/>
      <c r="B229" s="68"/>
      <c r="C229" s="68"/>
      <c r="D229" s="68"/>
      <c r="E229" s="68"/>
      <c r="F229" s="68"/>
      <c r="G229" s="68"/>
      <c r="H229" s="68"/>
      <c r="I229" s="68"/>
      <c r="J229" s="68"/>
      <c r="K229" s="68"/>
      <c r="L229" s="68"/>
      <c r="M229" s="68"/>
      <c r="N229" s="68"/>
      <c r="O229" s="68"/>
      <c r="P229" s="68"/>
      <c r="Q229" s="68"/>
      <c r="R229" s="68"/>
      <c r="S229" s="68"/>
      <c r="T229" s="68"/>
      <c r="U229" s="68"/>
      <c r="V229" s="69"/>
      <c r="W229" s="159"/>
      <c r="X229" s="68"/>
      <c r="Y229" s="68"/>
      <c r="Z229" s="68"/>
      <c r="AA229" s="68"/>
    </row>
    <row r="230" spans="1:27" ht="16.5">
      <c r="A230" s="68"/>
      <c r="B230" s="68"/>
      <c r="C230" s="68"/>
      <c r="D230" s="68"/>
      <c r="E230" s="68"/>
      <c r="F230" s="68"/>
      <c r="G230" s="68"/>
      <c r="H230" s="68"/>
      <c r="I230" s="68"/>
      <c r="J230" s="68"/>
      <c r="K230" s="68"/>
      <c r="L230" s="68"/>
      <c r="M230" s="68"/>
      <c r="N230" s="68"/>
      <c r="O230" s="68"/>
      <c r="P230" s="68"/>
      <c r="Q230" s="68"/>
      <c r="R230" s="68"/>
      <c r="S230" s="68"/>
      <c r="T230" s="68"/>
      <c r="U230" s="68"/>
      <c r="V230" s="69"/>
      <c r="W230" s="159"/>
      <c r="X230" s="68"/>
      <c r="Y230" s="68"/>
      <c r="Z230" s="68"/>
      <c r="AA230" s="68"/>
    </row>
    <row r="231" spans="1:27" ht="16.5">
      <c r="A231" s="68"/>
      <c r="B231" s="68"/>
      <c r="C231" s="68"/>
      <c r="D231" s="68"/>
      <c r="E231" s="68"/>
      <c r="F231" s="68"/>
      <c r="G231" s="68"/>
      <c r="H231" s="68"/>
      <c r="I231" s="68"/>
      <c r="J231" s="68"/>
      <c r="K231" s="68"/>
      <c r="L231" s="68"/>
      <c r="M231" s="68"/>
      <c r="N231" s="68"/>
      <c r="O231" s="68"/>
      <c r="P231" s="68"/>
      <c r="Q231" s="68"/>
      <c r="R231" s="68"/>
      <c r="S231" s="68"/>
      <c r="T231" s="68"/>
      <c r="U231" s="68"/>
      <c r="V231" s="69"/>
      <c r="W231" s="159"/>
      <c r="X231" s="68"/>
      <c r="Y231" s="68"/>
      <c r="Z231" s="68"/>
      <c r="AA231" s="68"/>
    </row>
    <row r="232" spans="1:27" ht="16.5">
      <c r="A232" s="68"/>
      <c r="B232" s="68"/>
      <c r="C232" s="68"/>
      <c r="D232" s="68"/>
      <c r="E232" s="68"/>
      <c r="F232" s="68"/>
      <c r="G232" s="68"/>
      <c r="H232" s="68"/>
      <c r="I232" s="68"/>
      <c r="J232" s="68"/>
      <c r="K232" s="68"/>
      <c r="L232" s="68"/>
      <c r="M232" s="68"/>
      <c r="N232" s="68"/>
      <c r="O232" s="68"/>
      <c r="P232" s="68"/>
      <c r="Q232" s="68"/>
      <c r="R232" s="68"/>
      <c r="S232" s="68"/>
      <c r="T232" s="68"/>
      <c r="U232" s="68"/>
      <c r="V232" s="69"/>
      <c r="W232" s="159"/>
      <c r="X232" s="68"/>
      <c r="Y232" s="68"/>
      <c r="Z232" s="68"/>
      <c r="AA232" s="68"/>
    </row>
    <row r="233" spans="1:27" ht="16.5">
      <c r="A233" s="68"/>
      <c r="B233" s="68"/>
      <c r="C233" s="68"/>
      <c r="D233" s="68"/>
      <c r="E233" s="68"/>
      <c r="F233" s="68"/>
      <c r="G233" s="68"/>
      <c r="H233" s="68"/>
      <c r="I233" s="68"/>
      <c r="J233" s="68"/>
      <c r="K233" s="68"/>
      <c r="L233" s="68"/>
      <c r="M233" s="68"/>
      <c r="N233" s="68"/>
      <c r="O233" s="68"/>
      <c r="P233" s="68"/>
      <c r="Q233" s="68"/>
      <c r="R233" s="68"/>
      <c r="S233" s="68"/>
      <c r="T233" s="68"/>
      <c r="U233" s="68"/>
      <c r="V233" s="69"/>
      <c r="W233" s="159"/>
      <c r="X233" s="68"/>
      <c r="Y233" s="68"/>
      <c r="Z233" s="68"/>
      <c r="AA233" s="68"/>
    </row>
    <row r="234" spans="1:27" ht="16.5">
      <c r="A234" s="68"/>
      <c r="B234" s="68"/>
      <c r="C234" s="68"/>
      <c r="D234" s="68"/>
      <c r="E234" s="68"/>
      <c r="F234" s="68"/>
      <c r="G234" s="68"/>
      <c r="H234" s="68"/>
      <c r="I234" s="68"/>
      <c r="J234" s="68"/>
      <c r="K234" s="68"/>
      <c r="L234" s="68"/>
      <c r="M234" s="68"/>
      <c r="N234" s="68"/>
      <c r="O234" s="68"/>
      <c r="P234" s="68"/>
      <c r="Q234" s="68"/>
      <c r="R234" s="68"/>
      <c r="S234" s="68"/>
      <c r="T234" s="68"/>
      <c r="U234" s="68"/>
      <c r="V234" s="69"/>
      <c r="W234" s="159"/>
      <c r="X234" s="68"/>
      <c r="Y234" s="68"/>
      <c r="Z234" s="68"/>
      <c r="AA234" s="68"/>
    </row>
    <row r="235" spans="1:27" ht="16.5">
      <c r="A235" s="68"/>
      <c r="B235" s="68"/>
      <c r="C235" s="68"/>
      <c r="D235" s="68"/>
      <c r="E235" s="68"/>
      <c r="F235" s="68"/>
      <c r="G235" s="68"/>
      <c r="H235" s="68"/>
      <c r="I235" s="68"/>
      <c r="J235" s="68"/>
      <c r="K235" s="68"/>
      <c r="L235" s="68"/>
      <c r="M235" s="68"/>
      <c r="N235" s="68"/>
      <c r="O235" s="68"/>
      <c r="P235" s="68"/>
      <c r="Q235" s="68"/>
      <c r="R235" s="68"/>
      <c r="S235" s="68"/>
      <c r="T235" s="68"/>
      <c r="U235" s="68"/>
      <c r="V235" s="69"/>
      <c r="W235" s="159"/>
      <c r="X235" s="68"/>
      <c r="Y235" s="68"/>
      <c r="Z235" s="68"/>
      <c r="AA235" s="68"/>
    </row>
    <row r="236" spans="1:27" ht="16.5">
      <c r="A236" s="68"/>
      <c r="B236" s="68"/>
      <c r="C236" s="68"/>
      <c r="D236" s="68"/>
      <c r="E236" s="68"/>
      <c r="F236" s="68"/>
      <c r="G236" s="68"/>
      <c r="H236" s="68"/>
      <c r="I236" s="68"/>
      <c r="J236" s="68"/>
      <c r="K236" s="68"/>
      <c r="L236" s="68"/>
      <c r="M236" s="68"/>
      <c r="N236" s="68"/>
      <c r="O236" s="68"/>
      <c r="P236" s="68"/>
      <c r="Q236" s="68"/>
      <c r="R236" s="68"/>
      <c r="S236" s="68"/>
      <c r="T236" s="68"/>
      <c r="U236" s="68"/>
      <c r="V236" s="69"/>
      <c r="W236" s="159"/>
      <c r="X236" s="68"/>
      <c r="Y236" s="68"/>
      <c r="Z236" s="68"/>
      <c r="AA236" s="68"/>
    </row>
    <row r="237" spans="1:27" ht="16.5">
      <c r="A237" s="68"/>
      <c r="B237" s="68"/>
      <c r="C237" s="68"/>
      <c r="D237" s="68"/>
      <c r="E237" s="68"/>
      <c r="F237" s="68"/>
      <c r="G237" s="68"/>
      <c r="H237" s="68"/>
      <c r="I237" s="68"/>
      <c r="J237" s="68"/>
      <c r="K237" s="68"/>
      <c r="L237" s="68"/>
      <c r="M237" s="68"/>
      <c r="N237" s="68"/>
      <c r="O237" s="68"/>
      <c r="P237" s="68"/>
      <c r="Q237" s="68"/>
      <c r="R237" s="68"/>
      <c r="S237" s="68"/>
      <c r="T237" s="68"/>
      <c r="U237" s="68"/>
      <c r="V237" s="69"/>
      <c r="W237" s="159"/>
      <c r="X237" s="68"/>
      <c r="Y237" s="68"/>
      <c r="Z237" s="68"/>
      <c r="AA237" s="68"/>
    </row>
    <row r="238" spans="1:27" ht="16.5">
      <c r="A238" s="68"/>
      <c r="B238" s="68"/>
      <c r="C238" s="68"/>
      <c r="D238" s="68"/>
      <c r="E238" s="68"/>
      <c r="F238" s="68"/>
      <c r="G238" s="68"/>
      <c r="H238" s="68"/>
      <c r="I238" s="68"/>
      <c r="J238" s="68"/>
      <c r="K238" s="68"/>
      <c r="L238" s="68"/>
      <c r="M238" s="68"/>
      <c r="N238" s="68"/>
      <c r="O238" s="68"/>
      <c r="P238" s="68"/>
      <c r="Q238" s="68"/>
      <c r="R238" s="68"/>
      <c r="S238" s="68"/>
      <c r="T238" s="68"/>
      <c r="U238" s="68"/>
      <c r="V238" s="69"/>
      <c r="W238" s="159"/>
      <c r="X238" s="68"/>
      <c r="Y238" s="68"/>
      <c r="Z238" s="68"/>
      <c r="AA238" s="68"/>
    </row>
    <row r="239" spans="1:27" ht="16.5">
      <c r="A239" s="68"/>
      <c r="B239" s="68"/>
      <c r="C239" s="68"/>
      <c r="D239" s="68"/>
      <c r="E239" s="68"/>
      <c r="F239" s="68"/>
      <c r="G239" s="68"/>
      <c r="H239" s="68"/>
      <c r="I239" s="68"/>
      <c r="J239" s="68"/>
      <c r="K239" s="68"/>
      <c r="L239" s="68"/>
      <c r="M239" s="68"/>
      <c r="N239" s="68"/>
      <c r="O239" s="68"/>
      <c r="P239" s="68"/>
      <c r="Q239" s="68"/>
      <c r="R239" s="68"/>
      <c r="S239" s="68"/>
      <c r="T239" s="68"/>
      <c r="U239" s="68"/>
      <c r="V239" s="69"/>
      <c r="W239" s="159"/>
      <c r="X239" s="68"/>
      <c r="Y239" s="68"/>
      <c r="Z239" s="68"/>
      <c r="AA239" s="68"/>
    </row>
    <row r="240" spans="1:27" ht="16.5">
      <c r="A240" s="68"/>
      <c r="B240" s="68"/>
      <c r="C240" s="68"/>
      <c r="D240" s="68"/>
      <c r="E240" s="68"/>
      <c r="F240" s="68"/>
      <c r="G240" s="68"/>
      <c r="H240" s="68"/>
      <c r="I240" s="68"/>
      <c r="J240" s="68"/>
      <c r="K240" s="68"/>
      <c r="L240" s="68"/>
      <c r="M240" s="68"/>
      <c r="N240" s="68"/>
      <c r="O240" s="68"/>
      <c r="P240" s="68"/>
      <c r="Q240" s="68"/>
      <c r="R240" s="68"/>
      <c r="S240" s="68"/>
      <c r="T240" s="68"/>
      <c r="U240" s="68"/>
      <c r="V240" s="69"/>
      <c r="W240" s="159"/>
      <c r="X240" s="68"/>
      <c r="Y240" s="68"/>
      <c r="Z240" s="68"/>
      <c r="AA240" s="68"/>
    </row>
    <row r="241" spans="1:27" ht="16.5">
      <c r="A241" s="68"/>
      <c r="B241" s="68"/>
      <c r="C241" s="68"/>
      <c r="D241" s="68"/>
      <c r="E241" s="68"/>
      <c r="F241" s="68"/>
      <c r="G241" s="68"/>
      <c r="H241" s="68"/>
      <c r="I241" s="68"/>
      <c r="J241" s="68"/>
      <c r="K241" s="68"/>
      <c r="L241" s="68"/>
      <c r="M241" s="68"/>
      <c r="N241" s="68"/>
      <c r="O241" s="68"/>
      <c r="P241" s="68"/>
      <c r="Q241" s="68"/>
      <c r="R241" s="68"/>
      <c r="S241" s="68"/>
      <c r="T241" s="68"/>
      <c r="U241" s="68"/>
      <c r="V241" s="69"/>
      <c r="W241" s="159"/>
      <c r="X241" s="68"/>
      <c r="Y241" s="68"/>
      <c r="Z241" s="68"/>
      <c r="AA241" s="68"/>
    </row>
    <row r="242" spans="1:27" ht="16.5">
      <c r="A242" s="68"/>
      <c r="B242" s="68"/>
      <c r="C242" s="68"/>
      <c r="D242" s="68"/>
      <c r="E242" s="68"/>
      <c r="F242" s="68"/>
      <c r="G242" s="68"/>
      <c r="H242" s="68"/>
      <c r="I242" s="68"/>
      <c r="J242" s="68"/>
      <c r="K242" s="68"/>
      <c r="L242" s="68"/>
      <c r="M242" s="68"/>
      <c r="N242" s="68"/>
      <c r="O242" s="68"/>
      <c r="P242" s="68"/>
      <c r="Q242" s="68"/>
      <c r="R242" s="68"/>
      <c r="S242" s="68"/>
      <c r="T242" s="68"/>
      <c r="U242" s="68"/>
      <c r="V242" s="69"/>
      <c r="W242" s="159"/>
      <c r="X242" s="68"/>
      <c r="Y242" s="68"/>
      <c r="Z242" s="68"/>
      <c r="AA242" s="68"/>
    </row>
    <row r="243" spans="1:27" ht="16.5">
      <c r="A243" s="68"/>
      <c r="B243" s="68"/>
      <c r="C243" s="68"/>
      <c r="D243" s="68"/>
      <c r="E243" s="68"/>
      <c r="F243" s="68"/>
      <c r="G243" s="68"/>
      <c r="H243" s="68"/>
      <c r="I243" s="68"/>
      <c r="J243" s="68"/>
      <c r="K243" s="68"/>
      <c r="L243" s="68"/>
      <c r="M243" s="68"/>
      <c r="N243" s="68"/>
      <c r="O243" s="68"/>
      <c r="P243" s="68"/>
      <c r="Q243" s="68"/>
      <c r="R243" s="68"/>
      <c r="S243" s="68"/>
      <c r="T243" s="68"/>
      <c r="U243" s="68"/>
      <c r="V243" s="69"/>
      <c r="W243" s="159"/>
      <c r="X243" s="68"/>
      <c r="Y243" s="68"/>
      <c r="Z243" s="68"/>
      <c r="AA243" s="68"/>
    </row>
    <row r="244" spans="1:27" ht="16.5">
      <c r="A244" s="68"/>
      <c r="B244" s="68"/>
      <c r="C244" s="68"/>
      <c r="D244" s="68"/>
      <c r="E244" s="68"/>
      <c r="F244" s="68"/>
      <c r="G244" s="68"/>
      <c r="H244" s="68"/>
      <c r="I244" s="68"/>
      <c r="J244" s="68"/>
      <c r="K244" s="68"/>
      <c r="L244" s="68"/>
      <c r="M244" s="68"/>
      <c r="N244" s="68"/>
      <c r="O244" s="68"/>
      <c r="P244" s="68"/>
      <c r="Q244" s="68"/>
      <c r="R244" s="68"/>
      <c r="S244" s="68"/>
      <c r="T244" s="68"/>
      <c r="U244" s="68"/>
      <c r="V244" s="69"/>
      <c r="W244" s="159"/>
      <c r="X244" s="68"/>
      <c r="Y244" s="68"/>
      <c r="Z244" s="68"/>
      <c r="AA244" s="68"/>
    </row>
    <row r="245" spans="1:27" ht="16.5">
      <c r="A245" s="68"/>
      <c r="B245" s="68"/>
      <c r="C245" s="68"/>
      <c r="D245" s="68"/>
      <c r="E245" s="68"/>
      <c r="F245" s="68"/>
      <c r="G245" s="68"/>
      <c r="H245" s="68"/>
      <c r="I245" s="68"/>
      <c r="J245" s="68"/>
      <c r="K245" s="68"/>
      <c r="L245" s="68"/>
      <c r="M245" s="68"/>
      <c r="N245" s="68"/>
      <c r="O245" s="68"/>
      <c r="P245" s="68"/>
      <c r="Q245" s="68"/>
      <c r="R245" s="68"/>
      <c r="S245" s="68"/>
      <c r="T245" s="68"/>
      <c r="U245" s="68"/>
      <c r="V245" s="69"/>
      <c r="W245" s="159"/>
      <c r="X245" s="68"/>
      <c r="Y245" s="68"/>
      <c r="Z245" s="68"/>
      <c r="AA245" s="68"/>
    </row>
    <row r="246" spans="1:27" ht="16.5">
      <c r="A246" s="68"/>
      <c r="B246" s="68"/>
      <c r="C246" s="68"/>
      <c r="D246" s="68"/>
      <c r="E246" s="68"/>
      <c r="F246" s="68"/>
      <c r="G246" s="68"/>
      <c r="H246" s="68"/>
      <c r="I246" s="68"/>
      <c r="J246" s="68"/>
      <c r="K246" s="68"/>
      <c r="L246" s="68"/>
      <c r="M246" s="68"/>
      <c r="N246" s="68"/>
      <c r="O246" s="68"/>
      <c r="P246" s="68"/>
      <c r="Q246" s="68"/>
      <c r="R246" s="68"/>
      <c r="S246" s="68"/>
      <c r="T246" s="68"/>
      <c r="U246" s="68"/>
      <c r="V246" s="69"/>
      <c r="W246" s="159"/>
      <c r="X246" s="68"/>
      <c r="Y246" s="68"/>
      <c r="Z246" s="68"/>
      <c r="AA246" s="68"/>
    </row>
    <row r="247" spans="1:27" ht="16.5">
      <c r="A247" s="68"/>
      <c r="B247" s="68"/>
      <c r="C247" s="68"/>
      <c r="D247" s="68"/>
      <c r="E247" s="68"/>
      <c r="F247" s="68"/>
      <c r="G247" s="68"/>
      <c r="H247" s="68"/>
      <c r="I247" s="68"/>
      <c r="J247" s="68"/>
      <c r="K247" s="68"/>
      <c r="L247" s="68"/>
      <c r="M247" s="68"/>
      <c r="N247" s="68"/>
      <c r="O247" s="68"/>
      <c r="P247" s="68"/>
      <c r="Q247" s="68"/>
      <c r="R247" s="68"/>
      <c r="S247" s="68"/>
      <c r="T247" s="68"/>
      <c r="U247" s="68"/>
      <c r="V247" s="69"/>
      <c r="W247" s="159"/>
      <c r="X247" s="68"/>
      <c r="Y247" s="68"/>
      <c r="Z247" s="68"/>
      <c r="AA247" s="68"/>
    </row>
    <row r="248" spans="1:27" ht="16.5">
      <c r="A248" s="68"/>
      <c r="B248" s="68"/>
      <c r="C248" s="68"/>
      <c r="D248" s="68"/>
      <c r="E248" s="68"/>
      <c r="F248" s="68"/>
      <c r="G248" s="68"/>
      <c r="H248" s="68"/>
      <c r="I248" s="68"/>
      <c r="J248" s="68"/>
      <c r="K248" s="68"/>
      <c r="L248" s="68"/>
      <c r="M248" s="68"/>
      <c r="N248" s="68"/>
      <c r="O248" s="68"/>
      <c r="P248" s="68"/>
      <c r="Q248" s="68"/>
      <c r="R248" s="68"/>
      <c r="S248" s="68"/>
      <c r="T248" s="68"/>
      <c r="U248" s="68"/>
      <c r="V248" s="69"/>
      <c r="W248" s="159"/>
      <c r="X248" s="68"/>
      <c r="Y248" s="68"/>
      <c r="Z248" s="68"/>
      <c r="AA248" s="68"/>
    </row>
    <row r="249" spans="1:27" ht="16.5">
      <c r="A249" s="68"/>
      <c r="B249" s="68"/>
      <c r="C249" s="68"/>
      <c r="D249" s="68"/>
      <c r="E249" s="68"/>
      <c r="F249" s="68"/>
      <c r="G249" s="68"/>
      <c r="H249" s="68"/>
      <c r="I249" s="68"/>
      <c r="J249" s="68"/>
      <c r="K249" s="68"/>
      <c r="L249" s="68"/>
      <c r="M249" s="68"/>
      <c r="N249" s="68"/>
      <c r="O249" s="68"/>
      <c r="P249" s="68"/>
      <c r="Q249" s="68"/>
      <c r="R249" s="68"/>
      <c r="S249" s="68"/>
      <c r="T249" s="68"/>
      <c r="U249" s="68"/>
      <c r="V249" s="69"/>
      <c r="W249" s="159"/>
      <c r="X249" s="68"/>
      <c r="Y249" s="68"/>
      <c r="Z249" s="68"/>
      <c r="AA249" s="68"/>
    </row>
    <row r="250" spans="1:27" ht="16.5">
      <c r="A250" s="68"/>
      <c r="B250" s="68"/>
      <c r="C250" s="68"/>
      <c r="D250" s="68"/>
      <c r="E250" s="68"/>
      <c r="F250" s="68"/>
      <c r="G250" s="68"/>
      <c r="H250" s="68"/>
      <c r="I250" s="68"/>
      <c r="J250" s="68"/>
      <c r="K250" s="68"/>
      <c r="L250" s="68"/>
      <c r="M250" s="68"/>
      <c r="N250" s="68"/>
      <c r="O250" s="68"/>
      <c r="P250" s="68"/>
      <c r="Q250" s="68"/>
      <c r="R250" s="68"/>
      <c r="S250" s="68"/>
      <c r="T250" s="68"/>
      <c r="U250" s="68"/>
      <c r="V250" s="69"/>
      <c r="W250" s="159"/>
      <c r="X250" s="68"/>
      <c r="Y250" s="68"/>
      <c r="Z250" s="68"/>
      <c r="AA250" s="68"/>
    </row>
    <row r="251" spans="1:27" ht="16.5">
      <c r="A251" s="68"/>
      <c r="B251" s="68"/>
      <c r="C251" s="68"/>
      <c r="D251" s="68"/>
      <c r="E251" s="68"/>
      <c r="F251" s="68"/>
      <c r="G251" s="68"/>
      <c r="H251" s="68"/>
      <c r="I251" s="68"/>
      <c r="J251" s="68"/>
      <c r="K251" s="68"/>
      <c r="L251" s="68"/>
      <c r="M251" s="68"/>
      <c r="N251" s="68"/>
      <c r="O251" s="68"/>
      <c r="P251" s="68"/>
      <c r="Q251" s="68"/>
      <c r="R251" s="68"/>
      <c r="S251" s="68"/>
      <c r="T251" s="68"/>
      <c r="U251" s="68"/>
      <c r="V251" s="69"/>
      <c r="W251" s="159"/>
      <c r="X251" s="68"/>
      <c r="Y251" s="68"/>
      <c r="Z251" s="68"/>
      <c r="AA251" s="68"/>
    </row>
    <row r="252" spans="1:27" ht="16.5">
      <c r="A252" s="68"/>
      <c r="B252" s="68"/>
      <c r="C252" s="68"/>
      <c r="D252" s="68"/>
      <c r="E252" s="68"/>
      <c r="F252" s="68"/>
      <c r="G252" s="68"/>
      <c r="H252" s="68"/>
      <c r="I252" s="68"/>
      <c r="J252" s="68"/>
      <c r="K252" s="68"/>
      <c r="L252" s="68"/>
      <c r="M252" s="68"/>
      <c r="N252" s="68"/>
      <c r="O252" s="68"/>
      <c r="P252" s="68"/>
      <c r="Q252" s="68"/>
      <c r="R252" s="68"/>
      <c r="S252" s="68"/>
      <c r="T252" s="68"/>
      <c r="U252" s="68"/>
      <c r="V252" s="69"/>
      <c r="W252" s="159"/>
      <c r="X252" s="68"/>
      <c r="Y252" s="68"/>
      <c r="Z252" s="68"/>
      <c r="AA252" s="68"/>
    </row>
    <row r="253" spans="1:27" ht="16.5">
      <c r="A253" s="68"/>
      <c r="B253" s="68"/>
      <c r="C253" s="68"/>
      <c r="D253" s="68"/>
      <c r="E253" s="68"/>
      <c r="F253" s="68"/>
      <c r="G253" s="68"/>
      <c r="H253" s="68"/>
      <c r="I253" s="68"/>
      <c r="J253" s="68"/>
      <c r="K253" s="68"/>
      <c r="L253" s="68"/>
      <c r="M253" s="68"/>
      <c r="N253" s="68"/>
      <c r="O253" s="68"/>
      <c r="P253" s="68"/>
      <c r="Q253" s="68"/>
      <c r="R253" s="68"/>
      <c r="S253" s="68"/>
      <c r="T253" s="68"/>
      <c r="U253" s="68"/>
      <c r="V253" s="69"/>
      <c r="W253" s="159"/>
      <c r="X253" s="68"/>
      <c r="Y253" s="68"/>
      <c r="Z253" s="68"/>
      <c r="AA253" s="68"/>
    </row>
    <row r="254" spans="1:27" ht="16.5">
      <c r="A254" s="68"/>
      <c r="B254" s="68"/>
      <c r="C254" s="68"/>
      <c r="D254" s="68"/>
      <c r="E254" s="68"/>
      <c r="F254" s="68"/>
      <c r="G254" s="68"/>
      <c r="H254" s="68"/>
      <c r="I254" s="68"/>
      <c r="J254" s="68"/>
      <c r="K254" s="68"/>
      <c r="L254" s="68"/>
      <c r="M254" s="68"/>
      <c r="N254" s="68"/>
      <c r="O254" s="68"/>
      <c r="P254" s="68"/>
      <c r="Q254" s="68"/>
      <c r="R254" s="68"/>
      <c r="S254" s="68"/>
      <c r="T254" s="68"/>
      <c r="U254" s="68"/>
      <c r="V254" s="69"/>
      <c r="W254" s="159"/>
      <c r="X254" s="68"/>
      <c r="Y254" s="68"/>
      <c r="Z254" s="68"/>
      <c r="AA254" s="68"/>
    </row>
    <row r="255" spans="1:27" ht="16.5">
      <c r="A255" s="68"/>
      <c r="B255" s="68"/>
      <c r="C255" s="68"/>
      <c r="D255" s="68"/>
      <c r="E255" s="68"/>
      <c r="F255" s="68"/>
      <c r="G255" s="68"/>
      <c r="H255" s="68"/>
      <c r="I255" s="68"/>
      <c r="J255" s="68"/>
      <c r="K255" s="68"/>
      <c r="L255" s="68"/>
      <c r="M255" s="68"/>
      <c r="N255" s="68"/>
      <c r="O255" s="68"/>
      <c r="P255" s="68"/>
      <c r="Q255" s="68"/>
      <c r="R255" s="68"/>
      <c r="S255" s="68"/>
      <c r="T255" s="68"/>
      <c r="U255" s="68"/>
      <c r="V255" s="69"/>
      <c r="W255" s="159"/>
      <c r="X255" s="68"/>
      <c r="Y255" s="68"/>
      <c r="Z255" s="68"/>
      <c r="AA255" s="68"/>
    </row>
    <row r="256" spans="1:27" ht="16.5">
      <c r="A256" s="68"/>
      <c r="B256" s="68"/>
      <c r="C256" s="68"/>
      <c r="D256" s="68"/>
      <c r="E256" s="68"/>
      <c r="F256" s="68"/>
      <c r="G256" s="68"/>
      <c r="H256" s="68"/>
      <c r="I256" s="68"/>
      <c r="J256" s="68"/>
      <c r="K256" s="68"/>
      <c r="L256" s="68"/>
      <c r="M256" s="68"/>
      <c r="N256" s="68"/>
      <c r="O256" s="68"/>
      <c r="P256" s="68"/>
      <c r="Q256" s="68"/>
      <c r="R256" s="68"/>
      <c r="S256" s="68"/>
      <c r="T256" s="68"/>
      <c r="U256" s="68"/>
      <c r="V256" s="69"/>
      <c r="W256" s="159"/>
      <c r="X256" s="68"/>
      <c r="Y256" s="68"/>
      <c r="Z256" s="68"/>
      <c r="AA256" s="68"/>
    </row>
    <row r="257" spans="1:27" ht="16.5">
      <c r="A257" s="68"/>
      <c r="B257" s="68"/>
      <c r="C257" s="68"/>
      <c r="D257" s="68"/>
      <c r="E257" s="68"/>
      <c r="F257" s="68"/>
      <c r="G257" s="68"/>
      <c r="H257" s="68"/>
      <c r="I257" s="68"/>
      <c r="J257" s="68"/>
      <c r="K257" s="68"/>
      <c r="L257" s="68"/>
      <c r="M257" s="68"/>
      <c r="N257" s="68"/>
      <c r="O257" s="68"/>
      <c r="P257" s="68"/>
      <c r="Q257" s="68"/>
      <c r="R257" s="68"/>
      <c r="S257" s="68"/>
      <c r="T257" s="68"/>
      <c r="U257" s="68"/>
      <c r="V257" s="69"/>
      <c r="W257" s="159"/>
      <c r="X257" s="68"/>
      <c r="Y257" s="68"/>
      <c r="Z257" s="68"/>
      <c r="AA257" s="68"/>
    </row>
    <row r="258" spans="1:27" ht="16.5">
      <c r="A258" s="68"/>
      <c r="B258" s="68"/>
      <c r="C258" s="68"/>
      <c r="D258" s="68"/>
      <c r="E258" s="68"/>
      <c r="F258" s="68"/>
      <c r="G258" s="68"/>
      <c r="H258" s="68"/>
      <c r="I258" s="68"/>
      <c r="J258" s="68"/>
      <c r="K258" s="68"/>
      <c r="L258" s="68"/>
      <c r="M258" s="68"/>
      <c r="N258" s="68"/>
      <c r="O258" s="68"/>
      <c r="P258" s="68"/>
      <c r="Q258" s="68"/>
      <c r="R258" s="68"/>
      <c r="S258" s="68"/>
      <c r="T258" s="68"/>
      <c r="U258" s="68"/>
      <c r="V258" s="69"/>
      <c r="W258" s="159"/>
      <c r="X258" s="68"/>
      <c r="Y258" s="68"/>
      <c r="Z258" s="68"/>
      <c r="AA258" s="68"/>
    </row>
    <row r="259" spans="1:27" ht="16.5">
      <c r="A259" s="68"/>
      <c r="B259" s="68"/>
      <c r="C259" s="68"/>
      <c r="D259" s="68"/>
      <c r="E259" s="68"/>
      <c r="F259" s="68"/>
      <c r="G259" s="68"/>
      <c r="H259" s="68"/>
      <c r="I259" s="68"/>
      <c r="J259" s="68"/>
      <c r="K259" s="68"/>
      <c r="L259" s="68"/>
      <c r="M259" s="68"/>
      <c r="N259" s="68"/>
      <c r="O259" s="68"/>
      <c r="P259" s="68"/>
      <c r="Q259" s="68"/>
      <c r="R259" s="68"/>
      <c r="S259" s="68"/>
      <c r="T259" s="68"/>
      <c r="U259" s="68"/>
      <c r="V259" s="69"/>
      <c r="W259" s="159"/>
      <c r="X259" s="68"/>
      <c r="Y259" s="68"/>
      <c r="Z259" s="68"/>
      <c r="AA259" s="68"/>
    </row>
    <row r="260" spans="1:27" ht="16.5">
      <c r="A260" s="68"/>
      <c r="B260" s="68"/>
      <c r="C260" s="68"/>
      <c r="D260" s="68"/>
      <c r="E260" s="68"/>
      <c r="F260" s="68"/>
      <c r="G260" s="68"/>
      <c r="H260" s="68"/>
      <c r="I260" s="68"/>
      <c r="J260" s="68"/>
      <c r="K260" s="68"/>
      <c r="L260" s="68"/>
      <c r="M260" s="68"/>
      <c r="N260" s="68"/>
      <c r="O260" s="68"/>
      <c r="P260" s="68"/>
      <c r="Q260" s="68"/>
      <c r="R260" s="68"/>
      <c r="S260" s="68"/>
      <c r="T260" s="68"/>
      <c r="U260" s="68"/>
      <c r="V260" s="69"/>
      <c r="W260" s="159"/>
      <c r="X260" s="68"/>
      <c r="Y260" s="68"/>
      <c r="Z260" s="68"/>
      <c r="AA260" s="68"/>
    </row>
    <row r="261" spans="1:27" ht="16.5">
      <c r="A261" s="68"/>
      <c r="B261" s="68"/>
      <c r="C261" s="68"/>
      <c r="D261" s="68"/>
      <c r="E261" s="68"/>
      <c r="F261" s="68"/>
      <c r="G261" s="68"/>
      <c r="H261" s="68"/>
      <c r="I261" s="68"/>
      <c r="J261" s="68"/>
      <c r="K261" s="68"/>
      <c r="L261" s="68"/>
      <c r="M261" s="68"/>
      <c r="N261" s="68"/>
      <c r="O261" s="68"/>
      <c r="P261" s="68"/>
      <c r="Q261" s="68"/>
      <c r="R261" s="68"/>
      <c r="S261" s="68"/>
      <c r="T261" s="68"/>
      <c r="U261" s="68"/>
      <c r="V261" s="69"/>
      <c r="W261" s="159"/>
      <c r="X261" s="68"/>
      <c r="Y261" s="68"/>
      <c r="Z261" s="68"/>
      <c r="AA261" s="68"/>
    </row>
    <row r="262" spans="1:27" ht="16.5">
      <c r="A262" s="68"/>
      <c r="B262" s="68"/>
      <c r="C262" s="68"/>
      <c r="D262" s="68"/>
      <c r="E262" s="68"/>
      <c r="F262" s="68"/>
      <c r="G262" s="68"/>
      <c r="H262" s="68"/>
      <c r="I262" s="68"/>
      <c r="J262" s="68"/>
      <c r="K262" s="68"/>
      <c r="L262" s="68"/>
      <c r="M262" s="68"/>
      <c r="N262" s="68"/>
      <c r="O262" s="68"/>
      <c r="P262" s="68"/>
      <c r="Q262" s="68"/>
      <c r="R262" s="68"/>
      <c r="S262" s="68"/>
      <c r="T262" s="68"/>
      <c r="U262" s="68"/>
      <c r="V262" s="69"/>
      <c r="W262" s="159"/>
      <c r="X262" s="68"/>
      <c r="Y262" s="68"/>
      <c r="Z262" s="68"/>
      <c r="AA262" s="68"/>
    </row>
    <row r="263" spans="1:27" ht="16.5">
      <c r="A263" s="68"/>
      <c r="B263" s="68"/>
      <c r="C263" s="68"/>
      <c r="D263" s="68"/>
      <c r="E263" s="68"/>
      <c r="F263" s="68"/>
      <c r="G263" s="68"/>
      <c r="H263" s="68"/>
      <c r="I263" s="68"/>
      <c r="J263" s="68"/>
      <c r="K263" s="68"/>
      <c r="L263" s="68"/>
      <c r="M263" s="68"/>
      <c r="N263" s="68"/>
      <c r="O263" s="68"/>
      <c r="P263" s="68"/>
      <c r="Q263" s="68"/>
      <c r="R263" s="68"/>
      <c r="S263" s="68"/>
      <c r="T263" s="68"/>
      <c r="U263" s="68"/>
      <c r="V263" s="69"/>
      <c r="W263" s="159"/>
      <c r="X263" s="68"/>
      <c r="Y263" s="68"/>
      <c r="Z263" s="68"/>
      <c r="AA263" s="68"/>
    </row>
    <row r="264" spans="1:27" ht="16.5">
      <c r="A264" s="68"/>
      <c r="B264" s="68"/>
      <c r="C264" s="68"/>
      <c r="D264" s="68"/>
      <c r="E264" s="68"/>
      <c r="F264" s="68"/>
      <c r="G264" s="68"/>
      <c r="H264" s="68"/>
      <c r="I264" s="68"/>
      <c r="J264" s="68"/>
      <c r="K264" s="68"/>
      <c r="L264" s="68"/>
      <c r="M264" s="68"/>
      <c r="N264" s="68"/>
      <c r="O264" s="68"/>
      <c r="P264" s="68"/>
      <c r="Q264" s="68"/>
      <c r="R264" s="68"/>
      <c r="S264" s="68"/>
      <c r="T264" s="68"/>
      <c r="U264" s="68"/>
      <c r="V264" s="69"/>
      <c r="W264" s="159"/>
      <c r="X264" s="68"/>
      <c r="Y264" s="68"/>
      <c r="Z264" s="68"/>
      <c r="AA264" s="68"/>
    </row>
    <row r="265" spans="1:27" ht="16.5">
      <c r="A265" s="68"/>
      <c r="B265" s="68"/>
      <c r="C265" s="68"/>
      <c r="D265" s="68"/>
      <c r="E265" s="68"/>
      <c r="F265" s="68"/>
      <c r="G265" s="68"/>
      <c r="H265" s="68"/>
      <c r="I265" s="68"/>
      <c r="J265" s="68"/>
      <c r="K265" s="68"/>
      <c r="L265" s="68"/>
      <c r="M265" s="68"/>
      <c r="N265" s="68"/>
      <c r="O265" s="68"/>
      <c r="P265" s="68"/>
      <c r="Q265" s="68"/>
      <c r="R265" s="68"/>
      <c r="S265" s="68"/>
      <c r="T265" s="68"/>
      <c r="U265" s="68"/>
      <c r="V265" s="69"/>
      <c r="W265" s="159"/>
      <c r="X265" s="68"/>
      <c r="Y265" s="68"/>
      <c r="Z265" s="68"/>
      <c r="AA265" s="68"/>
    </row>
    <row r="266" spans="1:27" ht="16.5">
      <c r="A266" s="68"/>
      <c r="B266" s="68"/>
      <c r="C266" s="68"/>
      <c r="D266" s="68"/>
      <c r="E266" s="68"/>
      <c r="F266" s="68"/>
      <c r="G266" s="68"/>
      <c r="H266" s="68"/>
      <c r="I266" s="68"/>
      <c r="J266" s="68"/>
      <c r="K266" s="68"/>
      <c r="L266" s="68"/>
      <c r="M266" s="68"/>
      <c r="N266" s="68"/>
      <c r="O266" s="68"/>
      <c r="P266" s="68"/>
      <c r="Q266" s="68"/>
      <c r="R266" s="68"/>
      <c r="S266" s="68"/>
      <c r="T266" s="68"/>
      <c r="U266" s="68"/>
      <c r="V266" s="69"/>
      <c r="W266" s="159"/>
      <c r="X266" s="68"/>
      <c r="Y266" s="68"/>
      <c r="Z266" s="68"/>
      <c r="AA266" s="68"/>
    </row>
    <row r="267" spans="1:27" ht="16.5">
      <c r="A267" s="68"/>
      <c r="B267" s="68"/>
      <c r="C267" s="68"/>
      <c r="D267" s="68"/>
      <c r="E267" s="68"/>
      <c r="F267" s="68"/>
      <c r="G267" s="68"/>
      <c r="H267" s="68"/>
      <c r="I267" s="68"/>
      <c r="J267" s="68"/>
      <c r="K267" s="68"/>
      <c r="L267" s="68"/>
      <c r="M267" s="68"/>
      <c r="N267" s="68"/>
      <c r="O267" s="68"/>
      <c r="P267" s="68"/>
      <c r="Q267" s="68"/>
      <c r="R267" s="68"/>
      <c r="S267" s="68"/>
      <c r="T267" s="68"/>
      <c r="U267" s="68"/>
      <c r="V267" s="69"/>
      <c r="W267" s="159"/>
      <c r="X267" s="68"/>
      <c r="Y267" s="68"/>
      <c r="Z267" s="68"/>
      <c r="AA267" s="68"/>
    </row>
    <row r="268" spans="1:27" ht="16.5">
      <c r="A268" s="68"/>
      <c r="B268" s="68"/>
      <c r="C268" s="68"/>
      <c r="D268" s="68"/>
      <c r="E268" s="68"/>
      <c r="F268" s="68"/>
      <c r="G268" s="68"/>
      <c r="H268" s="68"/>
      <c r="I268" s="68"/>
      <c r="J268" s="68"/>
      <c r="K268" s="68"/>
      <c r="L268" s="68"/>
      <c r="M268" s="68"/>
      <c r="N268" s="68"/>
      <c r="O268" s="68"/>
      <c r="P268" s="68"/>
      <c r="Q268" s="68"/>
      <c r="R268" s="68"/>
      <c r="S268" s="68"/>
      <c r="T268" s="68"/>
      <c r="U268" s="68"/>
      <c r="V268" s="69"/>
      <c r="W268" s="159"/>
      <c r="X268" s="68"/>
      <c r="Y268" s="68"/>
      <c r="Z268" s="68"/>
      <c r="AA268" s="68"/>
    </row>
    <row r="269" spans="1:27" ht="16.5">
      <c r="A269" s="68"/>
      <c r="B269" s="68"/>
      <c r="C269" s="68"/>
      <c r="D269" s="68"/>
      <c r="E269" s="68"/>
      <c r="F269" s="68"/>
      <c r="G269" s="68"/>
      <c r="H269" s="68"/>
      <c r="I269" s="68"/>
      <c r="J269" s="68"/>
      <c r="K269" s="68"/>
      <c r="L269" s="68"/>
      <c r="M269" s="68"/>
      <c r="N269" s="68"/>
      <c r="O269" s="68"/>
      <c r="P269" s="68"/>
      <c r="Q269" s="68"/>
      <c r="R269" s="68"/>
      <c r="S269" s="68"/>
      <c r="T269" s="68"/>
      <c r="U269" s="68"/>
      <c r="V269" s="69"/>
      <c r="W269" s="159"/>
      <c r="X269" s="68"/>
      <c r="Y269" s="68"/>
      <c r="Z269" s="68"/>
      <c r="AA269" s="68"/>
    </row>
    <row r="270" spans="1:27" ht="16.5">
      <c r="A270" s="68"/>
      <c r="B270" s="68"/>
      <c r="C270" s="68"/>
      <c r="D270" s="68"/>
      <c r="E270" s="68"/>
      <c r="F270" s="68"/>
      <c r="G270" s="68"/>
      <c r="H270" s="68"/>
      <c r="I270" s="68"/>
      <c r="J270" s="68"/>
      <c r="K270" s="68"/>
      <c r="L270" s="68"/>
      <c r="M270" s="68"/>
      <c r="N270" s="68"/>
      <c r="O270" s="68"/>
      <c r="P270" s="68"/>
      <c r="Q270" s="68"/>
      <c r="R270" s="68"/>
      <c r="S270" s="68"/>
      <c r="T270" s="68"/>
      <c r="U270" s="68"/>
      <c r="V270" s="69"/>
      <c r="W270" s="159"/>
      <c r="X270" s="68"/>
      <c r="Y270" s="68"/>
      <c r="Z270" s="68"/>
      <c r="AA270" s="68"/>
    </row>
    <row r="271" spans="1:27" ht="16.5">
      <c r="A271" s="68"/>
      <c r="B271" s="68"/>
      <c r="C271" s="68"/>
      <c r="D271" s="68"/>
      <c r="E271" s="68"/>
      <c r="F271" s="68"/>
      <c r="G271" s="68"/>
      <c r="H271" s="68"/>
      <c r="I271" s="68"/>
      <c r="J271" s="68"/>
      <c r="K271" s="68"/>
      <c r="L271" s="68"/>
      <c r="M271" s="68"/>
      <c r="N271" s="68"/>
      <c r="O271" s="68"/>
      <c r="P271" s="68"/>
      <c r="Q271" s="68"/>
      <c r="R271" s="68"/>
      <c r="S271" s="68"/>
      <c r="T271" s="68"/>
      <c r="U271" s="68"/>
      <c r="V271" s="69"/>
      <c r="W271" s="159"/>
      <c r="X271" s="68"/>
      <c r="Y271" s="68"/>
      <c r="Z271" s="68"/>
      <c r="AA271" s="68"/>
    </row>
    <row r="272" spans="1:27" ht="16.5">
      <c r="A272" s="68"/>
      <c r="B272" s="68"/>
      <c r="C272" s="68"/>
      <c r="D272" s="68"/>
      <c r="E272" s="68"/>
      <c r="F272" s="68"/>
      <c r="G272" s="68"/>
      <c r="H272" s="68"/>
      <c r="I272" s="68"/>
      <c r="J272" s="68"/>
      <c r="K272" s="68"/>
      <c r="L272" s="68"/>
      <c r="M272" s="68"/>
      <c r="N272" s="68"/>
      <c r="O272" s="68"/>
      <c r="P272" s="68"/>
      <c r="Q272" s="68"/>
      <c r="R272" s="68"/>
      <c r="S272" s="68"/>
      <c r="T272" s="68"/>
      <c r="U272" s="68"/>
      <c r="V272" s="69"/>
      <c r="W272" s="159"/>
      <c r="X272" s="68"/>
      <c r="Y272" s="68"/>
      <c r="Z272" s="68"/>
      <c r="AA272" s="68"/>
    </row>
    <row r="273" spans="1:27" ht="16.5">
      <c r="A273" s="68"/>
      <c r="B273" s="68"/>
      <c r="C273" s="68"/>
      <c r="D273" s="68"/>
      <c r="E273" s="68"/>
      <c r="F273" s="68"/>
      <c r="G273" s="68"/>
      <c r="H273" s="68"/>
      <c r="I273" s="68"/>
      <c r="J273" s="68"/>
      <c r="K273" s="68"/>
      <c r="L273" s="68"/>
      <c r="M273" s="68"/>
      <c r="N273" s="68"/>
      <c r="O273" s="68"/>
      <c r="P273" s="68"/>
      <c r="Q273" s="68"/>
      <c r="R273" s="68"/>
      <c r="S273" s="68"/>
      <c r="T273" s="68"/>
      <c r="U273" s="68"/>
      <c r="V273" s="69"/>
      <c r="W273" s="159"/>
      <c r="X273" s="68"/>
      <c r="Y273" s="68"/>
      <c r="Z273" s="68"/>
      <c r="AA273" s="68"/>
    </row>
    <row r="274" spans="1:27" ht="16.5">
      <c r="A274" s="68"/>
      <c r="B274" s="68"/>
      <c r="C274" s="68"/>
      <c r="D274" s="68"/>
      <c r="E274" s="68"/>
      <c r="F274" s="68"/>
      <c r="G274" s="68"/>
      <c r="H274" s="68"/>
      <c r="I274" s="68"/>
      <c r="J274" s="68"/>
      <c r="K274" s="68"/>
      <c r="L274" s="68"/>
      <c r="M274" s="68"/>
      <c r="N274" s="68"/>
      <c r="O274" s="68"/>
      <c r="P274" s="68"/>
      <c r="Q274" s="68"/>
      <c r="R274" s="68"/>
      <c r="S274" s="68"/>
      <c r="T274" s="68"/>
      <c r="U274" s="68"/>
      <c r="V274" s="69"/>
      <c r="W274" s="159"/>
      <c r="X274" s="68"/>
      <c r="Y274" s="68"/>
      <c r="Z274" s="68"/>
      <c r="AA274" s="68"/>
    </row>
    <row r="275" spans="1:27" ht="16.5">
      <c r="A275" s="68"/>
      <c r="B275" s="68"/>
      <c r="C275" s="68"/>
      <c r="D275" s="68"/>
      <c r="E275" s="68"/>
      <c r="F275" s="68"/>
      <c r="G275" s="68"/>
      <c r="H275" s="68"/>
      <c r="I275" s="68"/>
      <c r="J275" s="68"/>
      <c r="K275" s="68"/>
      <c r="L275" s="68"/>
      <c r="M275" s="68"/>
      <c r="N275" s="68"/>
      <c r="O275" s="68"/>
      <c r="P275" s="68"/>
      <c r="Q275" s="68"/>
      <c r="R275" s="68"/>
      <c r="S275" s="68"/>
      <c r="T275" s="68"/>
      <c r="U275" s="68"/>
      <c r="V275" s="69"/>
      <c r="W275" s="159"/>
      <c r="X275" s="68"/>
      <c r="Y275" s="68"/>
      <c r="Z275" s="68"/>
      <c r="AA275" s="68"/>
    </row>
    <row r="276" spans="1:27" ht="16.5">
      <c r="A276" s="68"/>
      <c r="B276" s="68"/>
      <c r="C276" s="68"/>
      <c r="D276" s="68"/>
      <c r="E276" s="68"/>
      <c r="F276" s="68"/>
      <c r="G276" s="68"/>
      <c r="H276" s="68"/>
      <c r="I276" s="68"/>
      <c r="J276" s="68"/>
      <c r="K276" s="68"/>
      <c r="L276" s="68"/>
      <c r="M276" s="68"/>
      <c r="N276" s="68"/>
      <c r="O276" s="68"/>
      <c r="P276" s="68"/>
      <c r="Q276" s="68"/>
      <c r="R276" s="68"/>
      <c r="S276" s="68"/>
      <c r="T276" s="68"/>
      <c r="U276" s="68"/>
      <c r="V276" s="69"/>
      <c r="W276" s="159"/>
      <c r="X276" s="68"/>
      <c r="Y276" s="68"/>
      <c r="Z276" s="68"/>
      <c r="AA276" s="68"/>
    </row>
    <row r="277" spans="1:27" ht="16.5">
      <c r="A277" s="68"/>
      <c r="B277" s="68"/>
      <c r="C277" s="68"/>
      <c r="D277" s="68"/>
      <c r="E277" s="68"/>
      <c r="F277" s="68"/>
      <c r="G277" s="68"/>
      <c r="H277" s="68"/>
      <c r="I277" s="68"/>
      <c r="J277" s="68"/>
      <c r="K277" s="68"/>
      <c r="L277" s="68"/>
      <c r="M277" s="68"/>
      <c r="N277" s="68"/>
      <c r="O277" s="68"/>
      <c r="P277" s="68"/>
      <c r="Q277" s="68"/>
      <c r="R277" s="68"/>
      <c r="S277" s="68"/>
      <c r="T277" s="68"/>
      <c r="U277" s="68"/>
      <c r="V277" s="69"/>
      <c r="W277" s="159"/>
      <c r="X277" s="68"/>
      <c r="Y277" s="68"/>
      <c r="Z277" s="68"/>
      <c r="AA277" s="68"/>
    </row>
    <row r="278" spans="1:27" ht="16.5">
      <c r="A278" s="68"/>
      <c r="B278" s="68"/>
      <c r="C278" s="68"/>
      <c r="D278" s="68"/>
      <c r="E278" s="68"/>
      <c r="F278" s="68"/>
      <c r="G278" s="68"/>
      <c r="H278" s="68"/>
      <c r="I278" s="68"/>
      <c r="J278" s="68"/>
      <c r="K278" s="68"/>
      <c r="L278" s="68"/>
      <c r="M278" s="68"/>
      <c r="N278" s="68"/>
      <c r="O278" s="68"/>
      <c r="P278" s="68"/>
      <c r="Q278" s="68"/>
      <c r="R278" s="68"/>
      <c r="S278" s="68"/>
      <c r="T278" s="68"/>
      <c r="U278" s="68"/>
      <c r="V278" s="69"/>
      <c r="W278" s="159"/>
      <c r="X278" s="68"/>
      <c r="Y278" s="68"/>
      <c r="Z278" s="68"/>
      <c r="AA278" s="68"/>
    </row>
    <row r="279" spans="1:27" ht="16.5">
      <c r="A279" s="68"/>
      <c r="B279" s="68"/>
      <c r="C279" s="68"/>
      <c r="D279" s="68"/>
      <c r="E279" s="68"/>
      <c r="F279" s="68"/>
      <c r="G279" s="68"/>
      <c r="H279" s="68"/>
      <c r="I279" s="68"/>
      <c r="J279" s="68"/>
      <c r="K279" s="68"/>
      <c r="L279" s="68"/>
      <c r="M279" s="68"/>
      <c r="N279" s="68"/>
      <c r="O279" s="68"/>
      <c r="P279" s="68"/>
      <c r="Q279" s="68"/>
      <c r="R279" s="68"/>
      <c r="S279" s="68"/>
      <c r="T279" s="68"/>
      <c r="U279" s="68"/>
      <c r="V279" s="69"/>
      <c r="W279" s="159"/>
      <c r="X279" s="68"/>
      <c r="Y279" s="68"/>
      <c r="Z279" s="68"/>
      <c r="AA279" s="68"/>
    </row>
    <row r="280" spans="1:27" ht="16.5">
      <c r="A280" s="68"/>
      <c r="B280" s="68"/>
      <c r="C280" s="68"/>
      <c r="D280" s="68"/>
      <c r="E280" s="68"/>
      <c r="F280" s="68"/>
      <c r="G280" s="68"/>
      <c r="H280" s="68"/>
      <c r="I280" s="68"/>
      <c r="J280" s="68"/>
      <c r="K280" s="68"/>
      <c r="L280" s="68"/>
      <c r="M280" s="68"/>
      <c r="N280" s="68"/>
      <c r="O280" s="68"/>
      <c r="P280" s="68"/>
      <c r="Q280" s="68"/>
      <c r="R280" s="68"/>
      <c r="S280" s="68"/>
      <c r="T280" s="68"/>
      <c r="U280" s="68"/>
      <c r="V280" s="69"/>
      <c r="W280" s="159"/>
      <c r="X280" s="68"/>
      <c r="Y280" s="68"/>
      <c r="Z280" s="68"/>
      <c r="AA280" s="68"/>
    </row>
    <row r="281" spans="1:27" ht="16.5">
      <c r="A281" s="68"/>
      <c r="B281" s="68"/>
      <c r="C281" s="68"/>
      <c r="D281" s="68"/>
      <c r="E281" s="68"/>
      <c r="F281" s="68"/>
      <c r="G281" s="68"/>
      <c r="H281" s="68"/>
      <c r="I281" s="68"/>
      <c r="J281" s="68"/>
      <c r="K281" s="68"/>
      <c r="L281" s="68"/>
      <c r="M281" s="68"/>
      <c r="N281" s="68"/>
      <c r="O281" s="68"/>
      <c r="P281" s="68"/>
      <c r="Q281" s="68"/>
      <c r="R281" s="68"/>
      <c r="S281" s="68"/>
      <c r="T281" s="68"/>
      <c r="U281" s="68"/>
      <c r="V281" s="69"/>
      <c r="W281" s="159"/>
      <c r="X281" s="68"/>
      <c r="Y281" s="68"/>
      <c r="Z281" s="68"/>
      <c r="AA281" s="68"/>
    </row>
    <row r="282" spans="1:27" ht="16.5">
      <c r="A282" s="68"/>
      <c r="B282" s="68"/>
      <c r="C282" s="68"/>
      <c r="D282" s="68"/>
      <c r="E282" s="68"/>
      <c r="F282" s="68"/>
      <c r="G282" s="68"/>
      <c r="H282" s="68"/>
      <c r="I282" s="68"/>
      <c r="J282" s="68"/>
      <c r="K282" s="68"/>
      <c r="L282" s="68"/>
      <c r="M282" s="68"/>
      <c r="N282" s="68"/>
      <c r="O282" s="68"/>
      <c r="P282" s="68"/>
      <c r="Q282" s="68"/>
      <c r="R282" s="68"/>
      <c r="S282" s="68"/>
      <c r="T282" s="68"/>
      <c r="U282" s="68"/>
      <c r="V282" s="69"/>
      <c r="W282" s="159"/>
      <c r="X282" s="68"/>
      <c r="Y282" s="68"/>
      <c r="Z282" s="68"/>
      <c r="AA282" s="68"/>
    </row>
    <row r="283" spans="1:27" ht="16.5">
      <c r="A283" s="68"/>
      <c r="B283" s="68"/>
      <c r="C283" s="68"/>
      <c r="D283" s="68"/>
      <c r="E283" s="68"/>
      <c r="F283" s="68"/>
      <c r="G283" s="68"/>
      <c r="H283" s="68"/>
      <c r="I283" s="68"/>
      <c r="J283" s="68"/>
      <c r="K283" s="68"/>
      <c r="L283" s="68"/>
      <c r="M283" s="68"/>
      <c r="N283" s="68"/>
      <c r="O283" s="68"/>
      <c r="P283" s="68"/>
      <c r="Q283" s="68"/>
      <c r="R283" s="68"/>
      <c r="S283" s="68"/>
      <c r="T283" s="68"/>
      <c r="U283" s="68"/>
      <c r="V283" s="69"/>
      <c r="W283" s="159"/>
      <c r="X283" s="68"/>
      <c r="Y283" s="68"/>
      <c r="Z283" s="68"/>
      <c r="AA283" s="68"/>
    </row>
    <row r="284" spans="1:27" ht="16.5">
      <c r="A284" s="68"/>
      <c r="B284" s="68"/>
      <c r="C284" s="68"/>
      <c r="D284" s="68"/>
      <c r="E284" s="68"/>
      <c r="F284" s="68"/>
      <c r="G284" s="68"/>
      <c r="H284" s="68"/>
      <c r="I284" s="68"/>
      <c r="J284" s="68"/>
      <c r="K284" s="68"/>
      <c r="L284" s="68"/>
      <c r="M284" s="68"/>
      <c r="N284" s="68"/>
      <c r="O284" s="68"/>
      <c r="P284" s="68"/>
      <c r="Q284" s="68"/>
      <c r="R284" s="68"/>
      <c r="S284" s="68"/>
      <c r="T284" s="68"/>
      <c r="U284" s="68"/>
      <c r="V284" s="69"/>
      <c r="W284" s="159"/>
      <c r="X284" s="68"/>
      <c r="Y284" s="68"/>
      <c r="Z284" s="68"/>
      <c r="AA284" s="68"/>
    </row>
    <row r="285" spans="1:27" ht="16.5">
      <c r="A285" s="68"/>
      <c r="B285" s="68"/>
      <c r="C285" s="68"/>
      <c r="D285" s="68"/>
      <c r="E285" s="68"/>
      <c r="F285" s="68"/>
      <c r="G285" s="68"/>
      <c r="H285" s="68"/>
      <c r="I285" s="68"/>
      <c r="J285" s="68"/>
      <c r="K285" s="68"/>
      <c r="L285" s="68"/>
      <c r="M285" s="68"/>
      <c r="N285" s="68"/>
      <c r="O285" s="68"/>
      <c r="P285" s="68"/>
      <c r="Q285" s="68"/>
      <c r="R285" s="68"/>
      <c r="S285" s="68"/>
      <c r="T285" s="68"/>
      <c r="U285" s="68"/>
      <c r="V285" s="69"/>
      <c r="W285" s="159"/>
      <c r="X285" s="68"/>
      <c r="Y285" s="68"/>
      <c r="Z285" s="68"/>
      <c r="AA285" s="68"/>
    </row>
    <row r="286" spans="1:27" ht="16.5">
      <c r="A286" s="68"/>
      <c r="B286" s="68"/>
      <c r="C286" s="68"/>
      <c r="D286" s="68"/>
      <c r="E286" s="68"/>
      <c r="F286" s="68"/>
      <c r="G286" s="68"/>
      <c r="H286" s="68"/>
      <c r="I286" s="68"/>
      <c r="J286" s="68"/>
      <c r="K286" s="68"/>
      <c r="L286" s="68"/>
      <c r="M286" s="68"/>
      <c r="N286" s="68"/>
      <c r="O286" s="68"/>
      <c r="P286" s="68"/>
      <c r="Q286" s="68"/>
      <c r="R286" s="68"/>
      <c r="S286" s="68"/>
      <c r="T286" s="68"/>
      <c r="U286" s="68"/>
      <c r="V286" s="69"/>
      <c r="W286" s="159"/>
      <c r="X286" s="68"/>
      <c r="Y286" s="68"/>
      <c r="Z286" s="68"/>
      <c r="AA286" s="68"/>
    </row>
    <row r="287" spans="1:27" ht="16.5">
      <c r="A287" s="68"/>
      <c r="B287" s="68"/>
      <c r="C287" s="68"/>
      <c r="D287" s="68"/>
      <c r="E287" s="68"/>
      <c r="F287" s="68"/>
      <c r="G287" s="68"/>
      <c r="H287" s="68"/>
      <c r="I287" s="68"/>
      <c r="J287" s="68"/>
      <c r="K287" s="68"/>
      <c r="L287" s="68"/>
      <c r="M287" s="68"/>
      <c r="N287" s="68"/>
      <c r="O287" s="68"/>
      <c r="P287" s="68"/>
      <c r="Q287" s="68"/>
      <c r="R287" s="68"/>
      <c r="S287" s="68"/>
      <c r="T287" s="68"/>
      <c r="U287" s="68"/>
      <c r="V287" s="69"/>
      <c r="W287" s="159"/>
      <c r="X287" s="68"/>
      <c r="Y287" s="68"/>
      <c r="Z287" s="68"/>
      <c r="AA287" s="68"/>
    </row>
    <row r="288" spans="1:27" ht="16.5">
      <c r="A288" s="68"/>
      <c r="B288" s="68"/>
      <c r="C288" s="68"/>
      <c r="D288" s="68"/>
      <c r="E288" s="68"/>
      <c r="F288" s="68"/>
      <c r="G288" s="68"/>
      <c r="H288" s="68"/>
      <c r="I288" s="68"/>
      <c r="J288" s="68"/>
      <c r="K288" s="68"/>
      <c r="L288" s="68"/>
      <c r="M288" s="68"/>
      <c r="N288" s="68"/>
      <c r="O288" s="68"/>
      <c r="P288" s="68"/>
      <c r="Q288" s="68"/>
      <c r="R288" s="68"/>
      <c r="S288" s="68"/>
      <c r="T288" s="68"/>
      <c r="U288" s="68"/>
      <c r="V288" s="69"/>
      <c r="W288" s="159"/>
      <c r="X288" s="68"/>
      <c r="Y288" s="68"/>
      <c r="Z288" s="68"/>
      <c r="AA288" s="68"/>
    </row>
    <row r="289" spans="1:27" ht="16.5">
      <c r="A289" s="68"/>
      <c r="B289" s="68"/>
      <c r="C289" s="68"/>
      <c r="D289" s="68"/>
      <c r="E289" s="68"/>
      <c r="F289" s="68"/>
      <c r="G289" s="68"/>
      <c r="H289" s="68"/>
      <c r="I289" s="68"/>
      <c r="J289" s="68"/>
      <c r="K289" s="68"/>
      <c r="L289" s="68"/>
      <c r="M289" s="68"/>
      <c r="N289" s="68"/>
      <c r="O289" s="68"/>
      <c r="P289" s="68"/>
      <c r="Q289" s="68"/>
      <c r="R289" s="68"/>
      <c r="S289" s="68"/>
      <c r="T289" s="68"/>
      <c r="U289" s="68"/>
      <c r="V289" s="69"/>
      <c r="W289" s="159"/>
      <c r="X289" s="68"/>
      <c r="Y289" s="68"/>
      <c r="Z289" s="68"/>
      <c r="AA289" s="68"/>
    </row>
    <row r="290" spans="1:27" ht="16.5">
      <c r="A290" s="68"/>
      <c r="B290" s="68"/>
      <c r="C290" s="68"/>
      <c r="D290" s="68"/>
      <c r="E290" s="68"/>
      <c r="F290" s="68"/>
      <c r="G290" s="68"/>
      <c r="H290" s="68"/>
      <c r="I290" s="68"/>
      <c r="J290" s="68"/>
      <c r="K290" s="68"/>
      <c r="L290" s="68"/>
      <c r="M290" s="68"/>
      <c r="N290" s="68"/>
      <c r="O290" s="68"/>
      <c r="P290" s="68"/>
      <c r="Q290" s="68"/>
      <c r="R290" s="68"/>
      <c r="S290" s="68"/>
      <c r="T290" s="68"/>
      <c r="U290" s="68"/>
      <c r="V290" s="69"/>
      <c r="W290" s="159"/>
      <c r="X290" s="68"/>
      <c r="Y290" s="68"/>
      <c r="Z290" s="68"/>
      <c r="AA290" s="68"/>
    </row>
    <row r="291" spans="1:27" ht="16.5">
      <c r="A291" s="68"/>
      <c r="B291" s="68"/>
      <c r="C291" s="68"/>
      <c r="D291" s="68"/>
      <c r="E291" s="68"/>
      <c r="F291" s="68"/>
      <c r="G291" s="68"/>
      <c r="H291" s="68"/>
      <c r="I291" s="68"/>
      <c r="J291" s="68"/>
      <c r="K291" s="68"/>
      <c r="L291" s="68"/>
      <c r="M291" s="68"/>
      <c r="N291" s="68"/>
      <c r="O291" s="68"/>
      <c r="P291" s="68"/>
      <c r="Q291" s="68"/>
      <c r="R291" s="68"/>
      <c r="S291" s="68"/>
      <c r="T291" s="68"/>
      <c r="U291" s="68"/>
      <c r="V291" s="69"/>
      <c r="W291" s="159"/>
      <c r="X291" s="68"/>
      <c r="Y291" s="68"/>
      <c r="Z291" s="68"/>
      <c r="AA291" s="68"/>
    </row>
    <row r="292" spans="1:27" ht="16.5">
      <c r="A292" s="68"/>
      <c r="B292" s="68"/>
      <c r="C292" s="68"/>
      <c r="D292" s="68"/>
      <c r="E292" s="68"/>
      <c r="F292" s="68"/>
      <c r="G292" s="68"/>
      <c r="H292" s="68"/>
      <c r="I292" s="68"/>
      <c r="J292" s="68"/>
      <c r="K292" s="68"/>
      <c r="L292" s="68"/>
      <c r="M292" s="68"/>
      <c r="N292" s="68"/>
      <c r="O292" s="68"/>
      <c r="P292" s="68"/>
      <c r="Q292" s="68"/>
      <c r="R292" s="68"/>
      <c r="S292" s="68"/>
      <c r="T292" s="68"/>
      <c r="U292" s="68"/>
      <c r="V292" s="69"/>
      <c r="W292" s="159"/>
      <c r="X292" s="68"/>
      <c r="Y292" s="68"/>
      <c r="Z292" s="68"/>
      <c r="AA292" s="68"/>
    </row>
    <row r="293" spans="1:27" ht="16.5">
      <c r="A293" s="68"/>
      <c r="B293" s="68"/>
      <c r="C293" s="68"/>
      <c r="D293" s="68"/>
      <c r="E293" s="68"/>
      <c r="F293" s="68"/>
      <c r="G293" s="68"/>
      <c r="H293" s="68"/>
      <c r="I293" s="68"/>
      <c r="J293" s="68"/>
      <c r="K293" s="68"/>
      <c r="L293" s="68"/>
      <c r="M293" s="68"/>
      <c r="N293" s="68"/>
      <c r="O293" s="68"/>
      <c r="P293" s="68"/>
      <c r="Q293" s="68"/>
      <c r="R293" s="68"/>
      <c r="S293" s="68"/>
      <c r="T293" s="68"/>
      <c r="U293" s="68"/>
      <c r="V293" s="69"/>
      <c r="W293" s="159"/>
      <c r="X293" s="68"/>
      <c r="Y293" s="68"/>
      <c r="Z293" s="68"/>
      <c r="AA293" s="68"/>
    </row>
    <row r="294" spans="1:27" ht="16.5">
      <c r="A294" s="68"/>
      <c r="B294" s="68"/>
      <c r="C294" s="68"/>
      <c r="D294" s="68"/>
      <c r="E294" s="68"/>
      <c r="F294" s="68"/>
      <c r="G294" s="68"/>
      <c r="H294" s="68"/>
      <c r="I294" s="68"/>
      <c r="J294" s="68"/>
      <c r="K294" s="68"/>
      <c r="L294" s="68"/>
      <c r="M294" s="68"/>
      <c r="N294" s="68"/>
      <c r="O294" s="68"/>
      <c r="P294" s="68"/>
      <c r="Q294" s="68"/>
      <c r="R294" s="68"/>
      <c r="S294" s="68"/>
      <c r="T294" s="68"/>
      <c r="U294" s="68"/>
      <c r="V294" s="69"/>
      <c r="W294" s="159"/>
      <c r="X294" s="68"/>
      <c r="Y294" s="68"/>
      <c r="Z294" s="68"/>
      <c r="AA294" s="68"/>
    </row>
    <row r="295" spans="1:27" ht="16.5">
      <c r="A295" s="68"/>
      <c r="B295" s="68"/>
      <c r="C295" s="68"/>
      <c r="D295" s="68"/>
      <c r="E295" s="68"/>
      <c r="F295" s="68"/>
      <c r="G295" s="68"/>
      <c r="H295" s="68"/>
      <c r="I295" s="68"/>
      <c r="J295" s="68"/>
      <c r="K295" s="68"/>
      <c r="L295" s="68"/>
      <c r="M295" s="68"/>
      <c r="N295" s="68"/>
      <c r="O295" s="68"/>
      <c r="P295" s="68"/>
      <c r="Q295" s="68"/>
      <c r="R295" s="68"/>
      <c r="S295" s="68"/>
      <c r="T295" s="68"/>
      <c r="U295" s="68"/>
      <c r="V295" s="69"/>
      <c r="W295" s="159"/>
      <c r="X295" s="68"/>
      <c r="Y295" s="68"/>
      <c r="Z295" s="68"/>
      <c r="AA295" s="68"/>
    </row>
    <row r="296" spans="1:27" ht="16.5">
      <c r="A296" s="68"/>
      <c r="B296" s="68"/>
      <c r="C296" s="68"/>
      <c r="D296" s="68"/>
      <c r="E296" s="68"/>
      <c r="F296" s="68"/>
      <c r="G296" s="68"/>
      <c r="H296" s="68"/>
      <c r="I296" s="68"/>
      <c r="J296" s="68"/>
      <c r="K296" s="68"/>
      <c r="L296" s="68"/>
      <c r="M296" s="68"/>
      <c r="N296" s="68"/>
      <c r="O296" s="68"/>
      <c r="P296" s="68"/>
      <c r="Q296" s="68"/>
      <c r="R296" s="68"/>
      <c r="S296" s="68"/>
      <c r="T296" s="68"/>
      <c r="U296" s="68"/>
      <c r="V296" s="69"/>
      <c r="W296" s="159"/>
      <c r="X296" s="68"/>
      <c r="Y296" s="68"/>
      <c r="Z296" s="68"/>
      <c r="AA296" s="68"/>
    </row>
    <row r="297" spans="1:27" ht="16.5">
      <c r="A297" s="68"/>
      <c r="B297" s="68"/>
      <c r="C297" s="68"/>
      <c r="D297" s="68"/>
      <c r="E297" s="68"/>
      <c r="F297" s="68"/>
      <c r="G297" s="68"/>
      <c r="H297" s="68"/>
      <c r="I297" s="68"/>
      <c r="J297" s="68"/>
      <c r="K297" s="68"/>
      <c r="L297" s="68"/>
      <c r="M297" s="68"/>
      <c r="N297" s="68"/>
      <c r="O297" s="68"/>
      <c r="P297" s="68"/>
      <c r="Q297" s="68"/>
      <c r="R297" s="68"/>
      <c r="S297" s="68"/>
      <c r="T297" s="68"/>
      <c r="U297" s="68"/>
      <c r="V297" s="69"/>
      <c r="W297" s="159"/>
      <c r="X297" s="68"/>
      <c r="Y297" s="68"/>
      <c r="Z297" s="68"/>
      <c r="AA297" s="68"/>
    </row>
    <row r="298" spans="1:27" ht="16.5">
      <c r="A298" s="68"/>
      <c r="B298" s="68"/>
      <c r="C298" s="68"/>
      <c r="D298" s="68"/>
      <c r="E298" s="68"/>
      <c r="F298" s="68"/>
      <c r="G298" s="68"/>
      <c r="H298" s="68"/>
      <c r="I298" s="68"/>
      <c r="J298" s="68"/>
      <c r="K298" s="68"/>
      <c r="L298" s="68"/>
      <c r="M298" s="68"/>
      <c r="N298" s="68"/>
      <c r="O298" s="68"/>
      <c r="P298" s="68"/>
      <c r="Q298" s="68"/>
      <c r="R298" s="68"/>
      <c r="S298" s="68"/>
      <c r="T298" s="68"/>
      <c r="U298" s="68"/>
      <c r="V298" s="69"/>
      <c r="W298" s="159"/>
      <c r="X298" s="68"/>
      <c r="Y298" s="68"/>
      <c r="Z298" s="68"/>
      <c r="AA298" s="68"/>
    </row>
    <row r="299" spans="1:27" ht="16.5">
      <c r="A299" s="68"/>
      <c r="B299" s="68"/>
      <c r="C299" s="68"/>
      <c r="D299" s="68"/>
      <c r="E299" s="68"/>
      <c r="F299" s="68"/>
      <c r="G299" s="68"/>
      <c r="H299" s="68"/>
      <c r="I299" s="68"/>
      <c r="J299" s="68"/>
      <c r="K299" s="68"/>
      <c r="L299" s="68"/>
      <c r="M299" s="68"/>
      <c r="N299" s="68"/>
      <c r="O299" s="68"/>
      <c r="P299" s="68"/>
      <c r="Q299" s="68"/>
      <c r="R299" s="68"/>
      <c r="S299" s="68"/>
      <c r="T299" s="68"/>
      <c r="U299" s="68"/>
      <c r="V299" s="69"/>
      <c r="W299" s="159"/>
      <c r="X299" s="68"/>
      <c r="Y299" s="68"/>
      <c r="Z299" s="68"/>
      <c r="AA299" s="68"/>
    </row>
    <row r="300" spans="1:27" ht="16.5">
      <c r="A300" s="68"/>
      <c r="B300" s="68"/>
      <c r="C300" s="68"/>
      <c r="D300" s="68"/>
      <c r="E300" s="68"/>
      <c r="F300" s="68"/>
      <c r="G300" s="68"/>
      <c r="H300" s="68"/>
      <c r="I300" s="68"/>
      <c r="J300" s="68"/>
      <c r="K300" s="68"/>
      <c r="L300" s="68"/>
      <c r="M300" s="68"/>
      <c r="N300" s="68"/>
      <c r="O300" s="68"/>
      <c r="P300" s="68"/>
      <c r="Q300" s="68"/>
      <c r="R300" s="68"/>
      <c r="S300" s="68"/>
      <c r="T300" s="68"/>
      <c r="U300" s="68"/>
      <c r="V300" s="69"/>
      <c r="W300" s="159"/>
      <c r="X300" s="68"/>
      <c r="Y300" s="68"/>
      <c r="Z300" s="68"/>
      <c r="AA300" s="68"/>
    </row>
    <row r="301" spans="1:27" ht="16.5">
      <c r="A301" s="68"/>
      <c r="B301" s="68"/>
      <c r="C301" s="68"/>
      <c r="D301" s="68"/>
      <c r="E301" s="68"/>
      <c r="F301" s="68"/>
      <c r="G301" s="68"/>
      <c r="H301" s="68"/>
      <c r="I301" s="68"/>
      <c r="J301" s="68"/>
      <c r="K301" s="68"/>
      <c r="L301" s="68"/>
      <c r="M301" s="68"/>
      <c r="N301" s="68"/>
      <c r="O301" s="68"/>
      <c r="P301" s="68"/>
      <c r="Q301" s="68"/>
      <c r="R301" s="68"/>
      <c r="S301" s="68"/>
      <c r="T301" s="68"/>
      <c r="U301" s="68"/>
      <c r="V301" s="69"/>
      <c r="W301" s="159"/>
      <c r="X301" s="68"/>
      <c r="Y301" s="68"/>
      <c r="Z301" s="68"/>
      <c r="AA301" s="68"/>
    </row>
    <row r="302" spans="1:27" ht="16.5">
      <c r="A302" s="68"/>
      <c r="B302" s="68"/>
      <c r="C302" s="68"/>
      <c r="D302" s="68"/>
      <c r="E302" s="68"/>
      <c r="F302" s="68"/>
      <c r="G302" s="68"/>
      <c r="H302" s="68"/>
      <c r="I302" s="68"/>
      <c r="J302" s="68"/>
      <c r="K302" s="68"/>
      <c r="L302" s="68"/>
      <c r="M302" s="68"/>
      <c r="N302" s="68"/>
      <c r="O302" s="68"/>
      <c r="P302" s="68"/>
      <c r="Q302" s="68"/>
      <c r="R302" s="68"/>
      <c r="S302" s="68"/>
      <c r="T302" s="68"/>
      <c r="U302" s="68"/>
      <c r="V302" s="69"/>
      <c r="W302" s="159"/>
      <c r="X302" s="68"/>
      <c r="Y302" s="68"/>
      <c r="Z302" s="68"/>
      <c r="AA302" s="68"/>
    </row>
    <row r="303" spans="1:27" ht="16.5">
      <c r="A303" s="68"/>
      <c r="B303" s="68"/>
      <c r="C303" s="68"/>
      <c r="D303" s="68"/>
      <c r="E303" s="68"/>
      <c r="F303" s="68"/>
      <c r="G303" s="68"/>
      <c r="H303" s="68"/>
      <c r="I303" s="68"/>
      <c r="J303" s="68"/>
      <c r="K303" s="68"/>
      <c r="L303" s="68"/>
      <c r="M303" s="68"/>
      <c r="N303" s="68"/>
      <c r="O303" s="68"/>
      <c r="P303" s="68"/>
      <c r="Q303" s="68"/>
      <c r="R303" s="68"/>
      <c r="S303" s="68"/>
      <c r="T303" s="68"/>
      <c r="U303" s="68"/>
      <c r="V303" s="69"/>
      <c r="W303" s="159"/>
      <c r="X303" s="68"/>
      <c r="Y303" s="68"/>
      <c r="Z303" s="68"/>
      <c r="AA303" s="68"/>
    </row>
    <row r="304" spans="1:27" ht="16.5">
      <c r="A304" s="68"/>
      <c r="B304" s="68"/>
      <c r="C304" s="68"/>
      <c r="D304" s="68"/>
      <c r="E304" s="68"/>
      <c r="F304" s="68"/>
      <c r="G304" s="68"/>
      <c r="H304" s="68"/>
      <c r="I304" s="68"/>
      <c r="J304" s="68"/>
      <c r="K304" s="68"/>
      <c r="L304" s="68"/>
      <c r="M304" s="68"/>
      <c r="N304" s="68"/>
      <c r="O304" s="68"/>
      <c r="P304" s="68"/>
      <c r="Q304" s="68"/>
      <c r="R304" s="68"/>
      <c r="S304" s="68"/>
      <c r="T304" s="68"/>
      <c r="U304" s="68"/>
      <c r="V304" s="69"/>
      <c r="W304" s="159"/>
      <c r="X304" s="68"/>
      <c r="Y304" s="68"/>
      <c r="Z304" s="68"/>
      <c r="AA304" s="68"/>
    </row>
    <row r="305" spans="1:27" ht="16.5">
      <c r="A305" s="68"/>
      <c r="B305" s="68"/>
      <c r="C305" s="68"/>
      <c r="D305" s="68"/>
      <c r="E305" s="68"/>
      <c r="F305" s="68"/>
      <c r="G305" s="68"/>
      <c r="H305" s="68"/>
      <c r="I305" s="68"/>
      <c r="J305" s="68"/>
      <c r="K305" s="68"/>
      <c r="L305" s="68"/>
      <c r="M305" s="68"/>
      <c r="N305" s="68"/>
      <c r="O305" s="68"/>
      <c r="P305" s="68"/>
      <c r="Q305" s="68"/>
      <c r="R305" s="68"/>
      <c r="S305" s="68"/>
      <c r="T305" s="68"/>
      <c r="U305" s="68"/>
      <c r="V305" s="69"/>
      <c r="W305" s="159"/>
      <c r="X305" s="68"/>
      <c r="Y305" s="68"/>
      <c r="Z305" s="68"/>
      <c r="AA305" s="68"/>
    </row>
    <row r="306" spans="1:27" ht="16.5">
      <c r="A306" s="68"/>
      <c r="B306" s="68"/>
      <c r="C306" s="68"/>
      <c r="D306" s="68"/>
      <c r="E306" s="68"/>
      <c r="F306" s="68"/>
      <c r="G306" s="68"/>
      <c r="H306" s="68"/>
      <c r="I306" s="68"/>
      <c r="J306" s="68"/>
      <c r="K306" s="68"/>
      <c r="L306" s="68"/>
      <c r="M306" s="68"/>
      <c r="N306" s="68"/>
      <c r="O306" s="68"/>
      <c r="P306" s="68"/>
      <c r="Q306" s="68"/>
      <c r="R306" s="68"/>
      <c r="S306" s="68"/>
      <c r="T306" s="68"/>
      <c r="U306" s="68"/>
      <c r="V306" s="69"/>
      <c r="W306" s="159"/>
      <c r="X306" s="68"/>
      <c r="Y306" s="68"/>
      <c r="Z306" s="68"/>
      <c r="AA306" s="68"/>
    </row>
    <row r="307" spans="1:27" ht="16.5">
      <c r="A307" s="68"/>
      <c r="B307" s="68"/>
      <c r="C307" s="68"/>
      <c r="D307" s="68"/>
      <c r="E307" s="68"/>
      <c r="F307" s="68"/>
      <c r="G307" s="68"/>
      <c r="H307" s="68"/>
      <c r="I307" s="68"/>
      <c r="J307" s="68"/>
      <c r="K307" s="68"/>
      <c r="L307" s="68"/>
      <c r="M307" s="68"/>
      <c r="N307" s="68"/>
      <c r="O307" s="68"/>
      <c r="P307" s="68"/>
      <c r="Q307" s="68"/>
      <c r="R307" s="68"/>
      <c r="S307" s="68"/>
      <c r="T307" s="68"/>
      <c r="U307" s="68"/>
      <c r="V307" s="69"/>
      <c r="W307" s="159"/>
      <c r="X307" s="68"/>
      <c r="Y307" s="68"/>
      <c r="Z307" s="68"/>
      <c r="AA307" s="68"/>
    </row>
    <row r="308" spans="1:27" ht="16.5">
      <c r="A308" s="68"/>
      <c r="B308" s="68"/>
      <c r="C308" s="68"/>
      <c r="D308" s="68"/>
      <c r="E308" s="68"/>
      <c r="F308" s="68"/>
      <c r="G308" s="68"/>
      <c r="H308" s="68"/>
      <c r="I308" s="68"/>
      <c r="J308" s="68"/>
      <c r="K308" s="68"/>
      <c r="L308" s="68"/>
      <c r="M308" s="68"/>
      <c r="N308" s="68"/>
      <c r="O308" s="68"/>
      <c r="P308" s="68"/>
      <c r="Q308" s="68"/>
      <c r="R308" s="68"/>
      <c r="S308" s="68"/>
      <c r="T308" s="68"/>
      <c r="U308" s="68"/>
      <c r="V308" s="69"/>
      <c r="W308" s="159"/>
      <c r="X308" s="68"/>
      <c r="Y308" s="68"/>
      <c r="Z308" s="68"/>
      <c r="AA308" s="68"/>
    </row>
    <row r="309" spans="1:27" ht="16.5">
      <c r="A309" s="68"/>
      <c r="B309" s="68"/>
      <c r="C309" s="68"/>
      <c r="D309" s="68"/>
      <c r="E309" s="68"/>
      <c r="F309" s="68"/>
      <c r="G309" s="68"/>
      <c r="H309" s="68"/>
      <c r="I309" s="68"/>
      <c r="J309" s="68"/>
      <c r="K309" s="68"/>
      <c r="L309" s="68"/>
      <c r="M309" s="68"/>
      <c r="N309" s="68"/>
      <c r="O309" s="68"/>
      <c r="P309" s="68"/>
      <c r="Q309" s="68"/>
      <c r="R309" s="68"/>
      <c r="S309" s="68"/>
      <c r="T309" s="68"/>
      <c r="U309" s="68"/>
      <c r="V309" s="69"/>
      <c r="W309" s="159"/>
      <c r="X309" s="68"/>
      <c r="Y309" s="68"/>
      <c r="Z309" s="68"/>
      <c r="AA309" s="68"/>
    </row>
    <row r="310" spans="1:27" ht="16.5">
      <c r="A310" s="68"/>
      <c r="B310" s="68"/>
      <c r="C310" s="68"/>
      <c r="D310" s="68"/>
      <c r="E310" s="68"/>
      <c r="F310" s="68"/>
      <c r="G310" s="68"/>
      <c r="H310" s="68"/>
      <c r="I310" s="68"/>
      <c r="J310" s="68"/>
      <c r="K310" s="68"/>
      <c r="L310" s="68"/>
      <c r="M310" s="68"/>
      <c r="N310" s="68"/>
      <c r="O310" s="68"/>
      <c r="P310" s="68"/>
      <c r="Q310" s="68"/>
      <c r="R310" s="68"/>
      <c r="S310" s="68"/>
      <c r="T310" s="68"/>
      <c r="U310" s="68"/>
      <c r="V310" s="69"/>
      <c r="W310" s="159"/>
      <c r="X310" s="68"/>
      <c r="Y310" s="68"/>
      <c r="Z310" s="68"/>
      <c r="AA310" s="68"/>
    </row>
    <row r="311" spans="1:27" ht="16.5">
      <c r="A311" s="68"/>
      <c r="B311" s="68"/>
      <c r="C311" s="68"/>
      <c r="D311" s="68"/>
      <c r="E311" s="68"/>
      <c r="F311" s="68"/>
      <c r="G311" s="68"/>
      <c r="H311" s="68"/>
      <c r="I311" s="68"/>
      <c r="J311" s="68"/>
      <c r="K311" s="68"/>
      <c r="L311" s="68"/>
      <c r="M311" s="68"/>
      <c r="N311" s="68"/>
      <c r="O311" s="68"/>
      <c r="P311" s="68"/>
      <c r="Q311" s="68"/>
      <c r="R311" s="68"/>
      <c r="S311" s="68"/>
      <c r="T311" s="68"/>
      <c r="U311" s="68"/>
      <c r="V311" s="69"/>
      <c r="W311" s="159"/>
      <c r="X311" s="68"/>
      <c r="Y311" s="68"/>
      <c r="Z311" s="68"/>
      <c r="AA311" s="68"/>
    </row>
    <row r="312" spans="1:27" ht="16.5">
      <c r="A312" s="68"/>
      <c r="B312" s="68"/>
      <c r="C312" s="68"/>
      <c r="D312" s="68"/>
      <c r="E312" s="68"/>
      <c r="F312" s="68"/>
      <c r="G312" s="68"/>
      <c r="H312" s="68"/>
      <c r="I312" s="68"/>
      <c r="J312" s="68"/>
      <c r="K312" s="68"/>
      <c r="L312" s="68"/>
      <c r="M312" s="68"/>
      <c r="N312" s="68"/>
      <c r="O312" s="68"/>
      <c r="P312" s="68"/>
      <c r="Q312" s="68"/>
      <c r="R312" s="68"/>
      <c r="S312" s="68"/>
      <c r="T312" s="68"/>
      <c r="U312" s="68"/>
      <c r="V312" s="69"/>
      <c r="W312" s="159"/>
      <c r="X312" s="68"/>
      <c r="Y312" s="68"/>
      <c r="Z312" s="68"/>
      <c r="AA312" s="68"/>
    </row>
    <row r="313" spans="1:27" ht="16.5">
      <c r="A313" s="68"/>
      <c r="B313" s="68"/>
      <c r="C313" s="68"/>
      <c r="D313" s="68"/>
      <c r="E313" s="68"/>
      <c r="F313" s="68"/>
      <c r="G313" s="68"/>
      <c r="H313" s="68"/>
      <c r="I313" s="68"/>
      <c r="J313" s="68"/>
      <c r="K313" s="68"/>
      <c r="L313" s="68"/>
      <c r="M313" s="68"/>
      <c r="N313" s="68"/>
      <c r="O313" s="68"/>
      <c r="P313" s="68"/>
      <c r="Q313" s="68"/>
      <c r="R313" s="68"/>
      <c r="S313" s="68"/>
      <c r="T313" s="68"/>
      <c r="U313" s="68"/>
      <c r="V313" s="69"/>
      <c r="W313" s="159"/>
      <c r="X313" s="68"/>
      <c r="Y313" s="68"/>
      <c r="Z313" s="68"/>
      <c r="AA313" s="68"/>
    </row>
    <row r="314" spans="1:27" ht="16.5">
      <c r="A314" s="68"/>
      <c r="B314" s="68"/>
      <c r="C314" s="68"/>
      <c r="D314" s="68"/>
      <c r="E314" s="68"/>
      <c r="F314" s="68"/>
      <c r="G314" s="68"/>
      <c r="H314" s="68"/>
      <c r="I314" s="68"/>
      <c r="J314" s="68"/>
      <c r="K314" s="68"/>
      <c r="L314" s="68"/>
      <c r="M314" s="68"/>
      <c r="N314" s="68"/>
      <c r="O314" s="68"/>
      <c r="P314" s="68"/>
      <c r="Q314" s="68"/>
      <c r="R314" s="68"/>
      <c r="S314" s="68"/>
      <c r="T314" s="68"/>
      <c r="U314" s="68"/>
      <c r="V314" s="69"/>
      <c r="W314" s="159"/>
      <c r="X314" s="68"/>
      <c r="Y314" s="68"/>
      <c r="Z314" s="68"/>
      <c r="AA314" s="68"/>
    </row>
    <row r="315" spans="1:27" ht="16.5">
      <c r="A315" s="68"/>
      <c r="B315" s="68"/>
      <c r="C315" s="68"/>
      <c r="D315" s="68"/>
      <c r="E315" s="68"/>
      <c r="F315" s="68"/>
      <c r="G315" s="68"/>
      <c r="H315" s="68"/>
      <c r="I315" s="68"/>
      <c r="J315" s="68"/>
      <c r="K315" s="68"/>
      <c r="L315" s="68"/>
      <c r="M315" s="68"/>
      <c r="N315" s="68"/>
      <c r="O315" s="68"/>
      <c r="P315" s="68"/>
      <c r="Q315" s="68"/>
      <c r="R315" s="68"/>
      <c r="S315" s="68"/>
      <c r="T315" s="68"/>
      <c r="U315" s="68"/>
      <c r="V315" s="69"/>
      <c r="W315" s="159"/>
      <c r="X315" s="68"/>
      <c r="Y315" s="68"/>
      <c r="Z315" s="68"/>
      <c r="AA315" s="68"/>
    </row>
    <row r="316" spans="1:27" ht="16.5">
      <c r="A316" s="68"/>
      <c r="B316" s="68"/>
      <c r="C316" s="68"/>
      <c r="D316" s="68"/>
      <c r="E316" s="68"/>
      <c r="F316" s="68"/>
      <c r="G316" s="68"/>
      <c r="H316" s="68"/>
      <c r="I316" s="68"/>
      <c r="J316" s="68"/>
      <c r="K316" s="68"/>
      <c r="L316" s="68"/>
      <c r="M316" s="68"/>
      <c r="N316" s="68"/>
      <c r="O316" s="68"/>
      <c r="P316" s="68"/>
      <c r="Q316" s="68"/>
      <c r="R316" s="68"/>
      <c r="S316" s="68"/>
      <c r="T316" s="68"/>
      <c r="U316" s="68"/>
      <c r="V316" s="69"/>
      <c r="W316" s="159"/>
      <c r="X316" s="68"/>
      <c r="Y316" s="68"/>
      <c r="Z316" s="68"/>
      <c r="AA316" s="68"/>
    </row>
    <row r="317" spans="1:27" ht="16.5">
      <c r="A317" s="68"/>
      <c r="B317" s="68"/>
      <c r="C317" s="68"/>
      <c r="D317" s="68"/>
      <c r="E317" s="68"/>
      <c r="F317" s="68"/>
      <c r="G317" s="68"/>
      <c r="H317" s="68"/>
      <c r="I317" s="68"/>
      <c r="J317" s="68"/>
      <c r="K317" s="68"/>
      <c r="L317" s="68"/>
      <c r="M317" s="68"/>
      <c r="N317" s="68"/>
      <c r="O317" s="68"/>
      <c r="P317" s="68"/>
      <c r="Q317" s="68"/>
      <c r="R317" s="68"/>
      <c r="S317" s="68"/>
      <c r="T317" s="68"/>
      <c r="U317" s="68"/>
      <c r="V317" s="69"/>
      <c r="W317" s="159"/>
      <c r="X317" s="68"/>
      <c r="Y317" s="68"/>
      <c r="Z317" s="68"/>
      <c r="AA317" s="68"/>
    </row>
    <row r="318" spans="1:27" ht="16.5">
      <c r="A318" s="68"/>
      <c r="B318" s="68"/>
      <c r="C318" s="68"/>
      <c r="D318" s="68"/>
      <c r="E318" s="68"/>
      <c r="F318" s="68"/>
      <c r="G318" s="68"/>
      <c r="H318" s="68"/>
      <c r="I318" s="68"/>
      <c r="J318" s="68"/>
      <c r="K318" s="68"/>
      <c r="L318" s="68"/>
      <c r="M318" s="68"/>
      <c r="N318" s="68"/>
      <c r="O318" s="68"/>
      <c r="P318" s="68"/>
      <c r="Q318" s="68"/>
      <c r="R318" s="68"/>
      <c r="S318" s="68"/>
      <c r="T318" s="68"/>
      <c r="U318" s="68"/>
      <c r="V318" s="69"/>
      <c r="W318" s="159"/>
      <c r="X318" s="68"/>
      <c r="Y318" s="68"/>
      <c r="Z318" s="68"/>
      <c r="AA318" s="68"/>
    </row>
    <row r="319" spans="1:27" ht="16.5">
      <c r="A319" s="68"/>
      <c r="B319" s="68"/>
      <c r="C319" s="68"/>
      <c r="D319" s="68"/>
      <c r="E319" s="68"/>
      <c r="F319" s="68"/>
      <c r="G319" s="68"/>
      <c r="H319" s="68"/>
      <c r="I319" s="68"/>
      <c r="J319" s="68"/>
      <c r="K319" s="68"/>
      <c r="L319" s="68"/>
      <c r="M319" s="68"/>
      <c r="N319" s="68"/>
      <c r="O319" s="68"/>
      <c r="P319" s="68"/>
      <c r="Q319" s="68"/>
      <c r="R319" s="68"/>
      <c r="S319" s="68"/>
      <c r="T319" s="68"/>
      <c r="U319" s="68"/>
      <c r="V319" s="69"/>
      <c r="W319" s="159"/>
      <c r="X319" s="68"/>
      <c r="Y319" s="68"/>
      <c r="Z319" s="68"/>
      <c r="AA319" s="68"/>
    </row>
    <row r="320" spans="1:27" ht="16.5">
      <c r="A320" s="68"/>
      <c r="B320" s="68"/>
      <c r="C320" s="68"/>
      <c r="D320" s="68"/>
      <c r="E320" s="68"/>
      <c r="F320" s="68"/>
      <c r="G320" s="68"/>
      <c r="H320" s="68"/>
      <c r="I320" s="68"/>
      <c r="J320" s="68"/>
      <c r="K320" s="68"/>
      <c r="L320" s="68"/>
      <c r="M320" s="68"/>
      <c r="N320" s="68"/>
      <c r="O320" s="68"/>
      <c r="P320" s="68"/>
      <c r="Q320" s="68"/>
      <c r="R320" s="68"/>
      <c r="S320" s="68"/>
      <c r="T320" s="68"/>
      <c r="U320" s="68"/>
      <c r="V320" s="69"/>
      <c r="W320" s="159"/>
      <c r="X320" s="68"/>
      <c r="Y320" s="68"/>
      <c r="Z320" s="68"/>
      <c r="AA320" s="68"/>
    </row>
    <row r="321" spans="1:27" ht="16.5">
      <c r="A321" s="68"/>
      <c r="B321" s="68"/>
      <c r="C321" s="68"/>
      <c r="D321" s="68"/>
      <c r="E321" s="68"/>
      <c r="F321" s="68"/>
      <c r="G321" s="68"/>
      <c r="H321" s="68"/>
      <c r="I321" s="68"/>
      <c r="J321" s="68"/>
      <c r="K321" s="68"/>
      <c r="L321" s="68"/>
      <c r="M321" s="68"/>
      <c r="N321" s="68"/>
      <c r="O321" s="68"/>
      <c r="P321" s="68"/>
      <c r="Q321" s="68"/>
      <c r="R321" s="68"/>
      <c r="S321" s="68"/>
      <c r="T321" s="68"/>
      <c r="U321" s="68"/>
      <c r="V321" s="69"/>
      <c r="W321" s="159"/>
      <c r="X321" s="68"/>
      <c r="Y321" s="68"/>
      <c r="Z321" s="68"/>
      <c r="AA321" s="68"/>
    </row>
    <row r="322" spans="1:27" ht="16.5">
      <c r="A322" s="68"/>
      <c r="B322" s="68"/>
      <c r="C322" s="68"/>
      <c r="D322" s="68"/>
      <c r="E322" s="68"/>
      <c r="F322" s="68"/>
      <c r="G322" s="68"/>
      <c r="H322" s="68"/>
      <c r="I322" s="68"/>
      <c r="J322" s="68"/>
      <c r="K322" s="68"/>
      <c r="L322" s="68"/>
      <c r="M322" s="68"/>
      <c r="N322" s="68"/>
      <c r="O322" s="68"/>
      <c r="P322" s="68"/>
      <c r="Q322" s="68"/>
      <c r="R322" s="68"/>
      <c r="S322" s="68"/>
      <c r="T322" s="68"/>
      <c r="U322" s="68"/>
      <c r="V322" s="69"/>
      <c r="W322" s="159"/>
      <c r="X322" s="68"/>
      <c r="Y322" s="68"/>
      <c r="Z322" s="68"/>
      <c r="AA322" s="68"/>
    </row>
    <row r="323" spans="1:27" ht="16.5">
      <c r="A323" s="68"/>
      <c r="B323" s="68"/>
      <c r="C323" s="68"/>
      <c r="D323" s="68"/>
      <c r="E323" s="68"/>
      <c r="F323" s="68"/>
      <c r="G323" s="68"/>
      <c r="H323" s="68"/>
      <c r="I323" s="68"/>
      <c r="J323" s="68"/>
      <c r="K323" s="68"/>
      <c r="L323" s="68"/>
      <c r="M323" s="68"/>
      <c r="N323" s="68"/>
      <c r="O323" s="68"/>
      <c r="P323" s="68"/>
      <c r="Q323" s="68"/>
      <c r="R323" s="68"/>
      <c r="S323" s="68"/>
      <c r="T323" s="68"/>
      <c r="U323" s="68"/>
      <c r="V323" s="69"/>
      <c r="W323" s="159"/>
      <c r="X323" s="68"/>
      <c r="Y323" s="68"/>
      <c r="Z323" s="68"/>
      <c r="AA323" s="68"/>
    </row>
    <row r="324" spans="1:27" ht="16.5">
      <c r="A324" s="68"/>
      <c r="B324" s="68"/>
      <c r="C324" s="68"/>
      <c r="D324" s="68"/>
      <c r="E324" s="68"/>
      <c r="F324" s="68"/>
      <c r="G324" s="68"/>
      <c r="H324" s="68"/>
      <c r="I324" s="68"/>
      <c r="J324" s="68"/>
      <c r="K324" s="68"/>
      <c r="L324" s="68"/>
      <c r="M324" s="68"/>
      <c r="N324" s="68"/>
      <c r="O324" s="68"/>
      <c r="P324" s="68"/>
      <c r="Q324" s="68"/>
      <c r="R324" s="68"/>
      <c r="S324" s="68"/>
      <c r="T324" s="68"/>
      <c r="U324" s="68"/>
      <c r="V324" s="69"/>
      <c r="W324" s="159"/>
      <c r="X324" s="68"/>
      <c r="Y324" s="68"/>
      <c r="Z324" s="68"/>
      <c r="AA324" s="68"/>
    </row>
    <row r="325" spans="1:27" ht="16.5">
      <c r="A325" s="68"/>
      <c r="B325" s="68"/>
      <c r="C325" s="68"/>
      <c r="D325" s="68"/>
      <c r="E325" s="68"/>
      <c r="F325" s="68"/>
      <c r="G325" s="68"/>
      <c r="H325" s="68"/>
      <c r="I325" s="68"/>
      <c r="J325" s="68"/>
      <c r="K325" s="68"/>
      <c r="L325" s="68"/>
      <c r="M325" s="68"/>
      <c r="N325" s="68"/>
      <c r="O325" s="68"/>
      <c r="P325" s="68"/>
      <c r="Q325" s="68"/>
      <c r="R325" s="68"/>
      <c r="S325" s="68"/>
      <c r="T325" s="68"/>
      <c r="U325" s="68"/>
      <c r="V325" s="69"/>
      <c r="W325" s="159"/>
      <c r="X325" s="68"/>
      <c r="Y325" s="68"/>
      <c r="Z325" s="68"/>
      <c r="AA325" s="68"/>
    </row>
    <row r="326" spans="1:27" ht="16.5">
      <c r="A326" s="68"/>
      <c r="B326" s="68"/>
      <c r="C326" s="68"/>
      <c r="D326" s="68"/>
      <c r="E326" s="68"/>
      <c r="F326" s="68"/>
      <c r="G326" s="68"/>
      <c r="H326" s="68"/>
      <c r="I326" s="68"/>
      <c r="J326" s="68"/>
      <c r="K326" s="68"/>
      <c r="L326" s="68"/>
      <c r="M326" s="68"/>
      <c r="N326" s="68"/>
      <c r="O326" s="68"/>
      <c r="P326" s="68"/>
      <c r="Q326" s="68"/>
      <c r="R326" s="68"/>
      <c r="S326" s="68"/>
      <c r="T326" s="68"/>
      <c r="U326" s="68"/>
      <c r="V326" s="69"/>
      <c r="W326" s="159"/>
      <c r="X326" s="68"/>
      <c r="Y326" s="68"/>
      <c r="Z326" s="68"/>
      <c r="AA326" s="68"/>
    </row>
    <row r="327" spans="1:27" ht="16.5">
      <c r="A327" s="68"/>
      <c r="B327" s="68"/>
      <c r="C327" s="68"/>
      <c r="D327" s="68"/>
      <c r="E327" s="68"/>
      <c r="F327" s="68"/>
      <c r="G327" s="68"/>
      <c r="H327" s="68"/>
      <c r="I327" s="68"/>
      <c r="J327" s="68"/>
      <c r="K327" s="68"/>
      <c r="L327" s="68"/>
      <c r="M327" s="68"/>
      <c r="N327" s="68"/>
      <c r="O327" s="68"/>
      <c r="P327" s="68"/>
      <c r="Q327" s="68"/>
      <c r="R327" s="68"/>
      <c r="S327" s="68"/>
      <c r="T327" s="68"/>
      <c r="U327" s="68"/>
      <c r="V327" s="69"/>
      <c r="W327" s="159"/>
      <c r="X327" s="68"/>
      <c r="Y327" s="68"/>
      <c r="Z327" s="68"/>
      <c r="AA327" s="68"/>
    </row>
    <row r="328" spans="1:27" ht="16.5">
      <c r="A328" s="68"/>
      <c r="B328" s="68"/>
      <c r="C328" s="68"/>
      <c r="D328" s="68"/>
      <c r="E328" s="68"/>
      <c r="F328" s="68"/>
      <c r="G328" s="68"/>
      <c r="H328" s="68"/>
      <c r="I328" s="68"/>
      <c r="J328" s="68"/>
      <c r="K328" s="68"/>
      <c r="L328" s="68"/>
      <c r="M328" s="68"/>
      <c r="N328" s="68"/>
      <c r="O328" s="68"/>
      <c r="P328" s="68"/>
      <c r="Q328" s="68"/>
      <c r="R328" s="68"/>
      <c r="S328" s="68"/>
      <c r="T328" s="68"/>
      <c r="U328" s="68"/>
      <c r="V328" s="69"/>
      <c r="W328" s="159"/>
      <c r="X328" s="68"/>
      <c r="Y328" s="68"/>
      <c r="Z328" s="68"/>
      <c r="AA328" s="68"/>
    </row>
    <row r="329" spans="1:27" ht="16.5">
      <c r="A329" s="68"/>
      <c r="B329" s="68"/>
      <c r="C329" s="68"/>
      <c r="D329" s="68"/>
      <c r="E329" s="68"/>
      <c r="F329" s="68"/>
      <c r="G329" s="68"/>
      <c r="H329" s="68"/>
      <c r="I329" s="68"/>
      <c r="J329" s="68"/>
      <c r="K329" s="68"/>
      <c r="L329" s="68"/>
      <c r="M329" s="68"/>
      <c r="N329" s="68"/>
      <c r="O329" s="68"/>
      <c r="P329" s="68"/>
      <c r="Q329" s="68"/>
      <c r="R329" s="68"/>
      <c r="S329" s="68"/>
      <c r="T329" s="68"/>
      <c r="U329" s="68"/>
      <c r="V329" s="69"/>
      <c r="W329" s="159"/>
      <c r="X329" s="68"/>
      <c r="Y329" s="68"/>
      <c r="Z329" s="68"/>
      <c r="AA329" s="68"/>
    </row>
    <row r="330" spans="1:27" ht="16.5">
      <c r="A330" s="68"/>
      <c r="B330" s="68"/>
      <c r="C330" s="68"/>
      <c r="D330" s="68"/>
      <c r="E330" s="68"/>
      <c r="F330" s="68"/>
      <c r="G330" s="68"/>
      <c r="H330" s="68"/>
      <c r="I330" s="68"/>
      <c r="J330" s="68"/>
      <c r="K330" s="68"/>
      <c r="L330" s="68"/>
      <c r="M330" s="68"/>
      <c r="N330" s="68"/>
      <c r="O330" s="68"/>
      <c r="P330" s="68"/>
      <c r="Q330" s="68"/>
      <c r="R330" s="68"/>
      <c r="S330" s="68"/>
      <c r="T330" s="68"/>
      <c r="U330" s="68"/>
      <c r="V330" s="69"/>
      <c r="W330" s="159"/>
      <c r="X330" s="68"/>
      <c r="Y330" s="68"/>
      <c r="Z330" s="68"/>
      <c r="AA330" s="68"/>
    </row>
    <row r="331" spans="1:27" ht="16.5">
      <c r="A331" s="68"/>
      <c r="B331" s="68"/>
      <c r="C331" s="68"/>
      <c r="D331" s="68"/>
      <c r="E331" s="68"/>
      <c r="F331" s="68"/>
      <c r="G331" s="68"/>
      <c r="H331" s="68"/>
      <c r="I331" s="68"/>
      <c r="J331" s="68"/>
      <c r="K331" s="68"/>
      <c r="L331" s="68"/>
      <c r="M331" s="68"/>
      <c r="N331" s="68"/>
      <c r="O331" s="68"/>
      <c r="P331" s="68"/>
      <c r="Q331" s="68"/>
      <c r="R331" s="68"/>
      <c r="S331" s="68"/>
      <c r="T331" s="68"/>
      <c r="U331" s="68"/>
      <c r="V331" s="69"/>
      <c r="W331" s="159"/>
      <c r="X331" s="68"/>
      <c r="Y331" s="68"/>
      <c r="Z331" s="68"/>
      <c r="AA331" s="68"/>
    </row>
    <row r="332" spans="1:27" ht="16.5">
      <c r="A332" s="68"/>
      <c r="B332" s="68"/>
      <c r="C332" s="68"/>
      <c r="D332" s="68"/>
      <c r="E332" s="68"/>
      <c r="F332" s="68"/>
      <c r="G332" s="68"/>
      <c r="H332" s="68"/>
      <c r="I332" s="68"/>
      <c r="J332" s="68"/>
      <c r="K332" s="68"/>
      <c r="L332" s="68"/>
      <c r="M332" s="68"/>
      <c r="N332" s="68"/>
      <c r="O332" s="68"/>
      <c r="P332" s="68"/>
      <c r="Q332" s="68"/>
      <c r="R332" s="68"/>
      <c r="S332" s="68"/>
      <c r="T332" s="68"/>
      <c r="U332" s="68"/>
      <c r="V332" s="69"/>
      <c r="W332" s="159"/>
      <c r="X332" s="68"/>
      <c r="Y332" s="68"/>
      <c r="Z332" s="68"/>
      <c r="AA332" s="68"/>
    </row>
    <row r="333" spans="1:27" ht="16.5">
      <c r="A333" s="68"/>
      <c r="B333" s="68"/>
      <c r="C333" s="68"/>
      <c r="D333" s="68"/>
      <c r="E333" s="68"/>
      <c r="F333" s="68"/>
      <c r="G333" s="68"/>
      <c r="H333" s="68"/>
      <c r="I333" s="68"/>
      <c r="J333" s="68"/>
      <c r="K333" s="68"/>
      <c r="L333" s="68"/>
      <c r="M333" s="68"/>
      <c r="N333" s="68"/>
      <c r="O333" s="68"/>
      <c r="P333" s="68"/>
      <c r="Q333" s="68"/>
      <c r="R333" s="68"/>
      <c r="S333" s="68"/>
      <c r="T333" s="68"/>
      <c r="U333" s="68"/>
      <c r="V333" s="69"/>
      <c r="W333" s="159"/>
      <c r="X333" s="68"/>
      <c r="Y333" s="68"/>
      <c r="Z333" s="68"/>
      <c r="AA333" s="68"/>
    </row>
    <row r="334" spans="1:27" ht="16.5">
      <c r="A334" s="68"/>
      <c r="B334" s="68"/>
      <c r="C334" s="68"/>
      <c r="D334" s="68"/>
      <c r="E334" s="68"/>
      <c r="F334" s="68"/>
      <c r="G334" s="68"/>
      <c r="H334" s="68"/>
      <c r="I334" s="68"/>
      <c r="J334" s="68"/>
      <c r="K334" s="68"/>
      <c r="L334" s="68"/>
      <c r="M334" s="68"/>
      <c r="N334" s="68"/>
      <c r="O334" s="68"/>
      <c r="P334" s="68"/>
      <c r="Q334" s="68"/>
      <c r="R334" s="68"/>
      <c r="S334" s="68"/>
      <c r="T334" s="68"/>
      <c r="U334" s="68"/>
      <c r="V334" s="69"/>
      <c r="W334" s="159"/>
      <c r="X334" s="68"/>
      <c r="Y334" s="68"/>
      <c r="Z334" s="68"/>
      <c r="AA334" s="68"/>
    </row>
    <row r="335" spans="1:27" ht="16.5">
      <c r="A335" s="68"/>
      <c r="B335" s="68"/>
      <c r="C335" s="68"/>
      <c r="D335" s="68"/>
      <c r="E335" s="68"/>
      <c r="F335" s="68"/>
      <c r="G335" s="68"/>
      <c r="H335" s="68"/>
      <c r="I335" s="68"/>
      <c r="J335" s="68"/>
      <c r="K335" s="68"/>
      <c r="L335" s="68"/>
      <c r="M335" s="68"/>
      <c r="N335" s="68"/>
      <c r="O335" s="68"/>
      <c r="P335" s="68"/>
      <c r="Q335" s="68"/>
      <c r="R335" s="68"/>
      <c r="S335" s="68"/>
      <c r="T335" s="68"/>
      <c r="U335" s="68"/>
      <c r="V335" s="69"/>
      <c r="W335" s="159"/>
      <c r="X335" s="68"/>
      <c r="Y335" s="68"/>
      <c r="Z335" s="68"/>
      <c r="AA335" s="68"/>
    </row>
    <row r="336" spans="1:27" ht="16.5">
      <c r="A336" s="68"/>
      <c r="B336" s="68"/>
      <c r="C336" s="68"/>
      <c r="D336" s="68"/>
      <c r="E336" s="68"/>
      <c r="F336" s="68"/>
      <c r="G336" s="68"/>
      <c r="H336" s="68"/>
      <c r="I336" s="68"/>
      <c r="J336" s="68"/>
      <c r="K336" s="68"/>
      <c r="L336" s="68"/>
      <c r="M336" s="68"/>
      <c r="N336" s="68"/>
      <c r="O336" s="68"/>
      <c r="P336" s="68"/>
      <c r="Q336" s="68"/>
      <c r="R336" s="68"/>
      <c r="S336" s="68"/>
      <c r="T336" s="68"/>
      <c r="U336" s="68"/>
      <c r="V336" s="69"/>
      <c r="W336" s="159"/>
      <c r="X336" s="68"/>
      <c r="Y336" s="68"/>
      <c r="Z336" s="68"/>
      <c r="AA336" s="68"/>
    </row>
    <row r="337" spans="1:27" ht="16.5">
      <c r="A337" s="68"/>
      <c r="B337" s="68"/>
      <c r="C337" s="68"/>
      <c r="D337" s="68"/>
      <c r="E337" s="68"/>
      <c r="F337" s="68"/>
      <c r="G337" s="68"/>
      <c r="H337" s="68"/>
      <c r="I337" s="68"/>
      <c r="J337" s="68"/>
      <c r="K337" s="68"/>
      <c r="L337" s="68"/>
      <c r="M337" s="68"/>
      <c r="N337" s="68"/>
      <c r="O337" s="68"/>
      <c r="P337" s="68"/>
      <c r="Q337" s="68"/>
      <c r="R337" s="68"/>
      <c r="S337" s="68"/>
      <c r="T337" s="68"/>
      <c r="U337" s="68"/>
      <c r="V337" s="69"/>
      <c r="W337" s="159"/>
      <c r="X337" s="68"/>
      <c r="Y337" s="68"/>
      <c r="Z337" s="68"/>
      <c r="AA337" s="68"/>
    </row>
    <row r="338" spans="1:27" ht="16.5">
      <c r="A338" s="68"/>
      <c r="B338" s="68"/>
      <c r="C338" s="68"/>
      <c r="D338" s="68"/>
      <c r="E338" s="68"/>
      <c r="F338" s="68"/>
      <c r="G338" s="68"/>
      <c r="H338" s="68"/>
      <c r="I338" s="68"/>
      <c r="J338" s="68"/>
      <c r="K338" s="68"/>
      <c r="L338" s="68"/>
      <c r="M338" s="68"/>
      <c r="N338" s="68"/>
      <c r="O338" s="68"/>
      <c r="P338" s="68"/>
      <c r="Q338" s="68"/>
      <c r="R338" s="68"/>
      <c r="S338" s="68"/>
      <c r="T338" s="68"/>
      <c r="U338" s="68"/>
      <c r="V338" s="69"/>
      <c r="W338" s="159"/>
      <c r="X338" s="68"/>
      <c r="Y338" s="68"/>
      <c r="Z338" s="68"/>
      <c r="AA338" s="68"/>
    </row>
    <row r="339" spans="1:27" ht="16.5">
      <c r="A339" s="68"/>
      <c r="B339" s="68"/>
      <c r="C339" s="68"/>
      <c r="D339" s="68"/>
      <c r="E339" s="68"/>
      <c r="F339" s="68"/>
      <c r="G339" s="68"/>
      <c r="H339" s="68"/>
      <c r="I339" s="68"/>
      <c r="J339" s="68"/>
      <c r="K339" s="68"/>
      <c r="L339" s="68"/>
      <c r="M339" s="68"/>
      <c r="N339" s="68"/>
      <c r="O339" s="68"/>
      <c r="P339" s="68"/>
      <c r="Q339" s="68"/>
      <c r="R339" s="68"/>
      <c r="S339" s="68"/>
      <c r="T339" s="68"/>
      <c r="U339" s="68"/>
      <c r="V339" s="69"/>
      <c r="W339" s="159"/>
      <c r="X339" s="68"/>
      <c r="Y339" s="68"/>
      <c r="Z339" s="68"/>
      <c r="AA339" s="68"/>
    </row>
    <row r="340" spans="1:27" ht="16.5">
      <c r="A340" s="68"/>
      <c r="B340" s="68"/>
      <c r="C340" s="68"/>
      <c r="D340" s="68"/>
      <c r="E340" s="68"/>
      <c r="F340" s="68"/>
      <c r="G340" s="68"/>
      <c r="H340" s="68"/>
      <c r="I340" s="68"/>
      <c r="J340" s="68"/>
      <c r="K340" s="68"/>
      <c r="L340" s="68"/>
      <c r="M340" s="68"/>
      <c r="N340" s="68"/>
      <c r="O340" s="68"/>
      <c r="P340" s="68"/>
      <c r="Q340" s="68"/>
      <c r="R340" s="68"/>
      <c r="S340" s="68"/>
      <c r="T340" s="68"/>
      <c r="U340" s="68"/>
      <c r="V340" s="69"/>
      <c r="W340" s="159"/>
      <c r="X340" s="68"/>
      <c r="Y340" s="68"/>
      <c r="Z340" s="68"/>
      <c r="AA340" s="68"/>
    </row>
    <row r="341" spans="1:27" ht="16.5">
      <c r="A341" s="68"/>
      <c r="B341" s="68"/>
      <c r="C341" s="68"/>
      <c r="D341" s="68"/>
      <c r="E341" s="68"/>
      <c r="F341" s="68"/>
      <c r="G341" s="68"/>
      <c r="H341" s="68"/>
      <c r="I341" s="68"/>
      <c r="J341" s="68"/>
      <c r="K341" s="68"/>
      <c r="L341" s="68"/>
      <c r="M341" s="68"/>
      <c r="N341" s="68"/>
      <c r="O341" s="68"/>
      <c r="P341" s="68"/>
      <c r="Q341" s="68"/>
      <c r="R341" s="68"/>
      <c r="S341" s="68"/>
      <c r="T341" s="68"/>
      <c r="U341" s="68"/>
      <c r="V341" s="69"/>
      <c r="W341" s="159"/>
      <c r="X341" s="68"/>
      <c r="Y341" s="68"/>
      <c r="Z341" s="68"/>
      <c r="AA341" s="68"/>
    </row>
    <row r="342" spans="1:27" ht="16.5">
      <c r="A342" s="68"/>
      <c r="B342" s="68"/>
      <c r="C342" s="68"/>
      <c r="D342" s="68"/>
      <c r="E342" s="68"/>
      <c r="F342" s="68"/>
      <c r="G342" s="68"/>
      <c r="H342" s="68"/>
      <c r="I342" s="68"/>
      <c r="J342" s="68"/>
      <c r="K342" s="68"/>
      <c r="L342" s="68"/>
      <c r="M342" s="68"/>
      <c r="N342" s="68"/>
      <c r="O342" s="68"/>
      <c r="P342" s="68"/>
      <c r="Q342" s="68"/>
      <c r="R342" s="68"/>
      <c r="S342" s="68"/>
      <c r="T342" s="68"/>
      <c r="U342" s="68"/>
      <c r="V342" s="69"/>
      <c r="W342" s="159"/>
      <c r="X342" s="68"/>
      <c r="Y342" s="68"/>
      <c r="Z342" s="68"/>
      <c r="AA342" s="68"/>
    </row>
    <row r="343" spans="1:27" ht="16.5">
      <c r="A343" s="68"/>
      <c r="B343" s="68"/>
      <c r="C343" s="68"/>
      <c r="D343" s="68"/>
      <c r="E343" s="68"/>
      <c r="F343" s="68"/>
      <c r="G343" s="68"/>
      <c r="H343" s="68"/>
      <c r="I343" s="68"/>
      <c r="J343" s="68"/>
      <c r="K343" s="68"/>
      <c r="L343" s="68"/>
      <c r="M343" s="68"/>
      <c r="N343" s="68"/>
      <c r="O343" s="68"/>
      <c r="P343" s="68"/>
      <c r="Q343" s="68"/>
      <c r="R343" s="68"/>
      <c r="S343" s="68"/>
      <c r="T343" s="68"/>
      <c r="U343" s="68"/>
      <c r="V343" s="69"/>
      <c r="W343" s="159"/>
      <c r="X343" s="68"/>
      <c r="Y343" s="68"/>
      <c r="Z343" s="68"/>
      <c r="AA343" s="68"/>
    </row>
    <row r="344" spans="1:27" ht="16.5">
      <c r="A344" s="68"/>
      <c r="B344" s="68"/>
      <c r="C344" s="68"/>
      <c r="D344" s="68"/>
      <c r="E344" s="68"/>
      <c r="F344" s="68"/>
      <c r="G344" s="68"/>
      <c r="H344" s="68"/>
      <c r="I344" s="68"/>
      <c r="J344" s="68"/>
      <c r="K344" s="68"/>
      <c r="L344" s="68"/>
      <c r="M344" s="68"/>
      <c r="N344" s="68"/>
      <c r="O344" s="68"/>
      <c r="P344" s="68"/>
      <c r="Q344" s="68"/>
      <c r="R344" s="68"/>
      <c r="S344" s="68"/>
      <c r="T344" s="68"/>
      <c r="U344" s="68"/>
      <c r="V344" s="69"/>
      <c r="W344" s="159"/>
      <c r="X344" s="68"/>
      <c r="Y344" s="68"/>
      <c r="Z344" s="68"/>
      <c r="AA344" s="68"/>
    </row>
    <row r="345" spans="1:27" ht="16.5">
      <c r="A345" s="68"/>
      <c r="B345" s="68"/>
      <c r="C345" s="68"/>
      <c r="D345" s="68"/>
      <c r="E345" s="68"/>
      <c r="F345" s="68"/>
      <c r="G345" s="68"/>
      <c r="H345" s="68"/>
      <c r="I345" s="68"/>
      <c r="J345" s="68"/>
      <c r="K345" s="68"/>
      <c r="L345" s="68"/>
      <c r="M345" s="68"/>
      <c r="N345" s="68"/>
      <c r="O345" s="68"/>
      <c r="P345" s="68"/>
      <c r="Q345" s="68"/>
      <c r="R345" s="68"/>
      <c r="S345" s="68"/>
      <c r="T345" s="68"/>
      <c r="U345" s="68"/>
      <c r="V345" s="69"/>
      <c r="W345" s="159"/>
      <c r="X345" s="68"/>
      <c r="Y345" s="68"/>
      <c r="Z345" s="68"/>
      <c r="AA345" s="68"/>
    </row>
    <row r="346" spans="1:27" ht="16.5">
      <c r="A346" s="68"/>
      <c r="B346" s="68"/>
      <c r="C346" s="68"/>
      <c r="D346" s="68"/>
      <c r="E346" s="68"/>
      <c r="F346" s="68"/>
      <c r="G346" s="68"/>
      <c r="H346" s="68"/>
      <c r="I346" s="68"/>
      <c r="J346" s="68"/>
      <c r="K346" s="68"/>
      <c r="L346" s="68"/>
      <c r="M346" s="68"/>
      <c r="N346" s="68"/>
      <c r="O346" s="68"/>
      <c r="P346" s="68"/>
      <c r="Q346" s="68"/>
      <c r="R346" s="68"/>
      <c r="S346" s="68"/>
      <c r="T346" s="68"/>
      <c r="U346" s="68"/>
      <c r="V346" s="69"/>
      <c r="W346" s="159"/>
      <c r="X346" s="68"/>
      <c r="Y346" s="68"/>
      <c r="Z346" s="68"/>
      <c r="AA346" s="68"/>
    </row>
    <row r="347" spans="1:27" ht="16.5">
      <c r="A347" s="68"/>
      <c r="B347" s="68"/>
      <c r="C347" s="68"/>
      <c r="D347" s="68"/>
      <c r="E347" s="68"/>
      <c r="F347" s="68"/>
      <c r="G347" s="68"/>
      <c r="H347" s="68"/>
      <c r="I347" s="68"/>
      <c r="J347" s="68"/>
      <c r="K347" s="68"/>
      <c r="L347" s="68"/>
      <c r="M347" s="68"/>
      <c r="N347" s="68"/>
      <c r="O347" s="68"/>
      <c r="P347" s="68"/>
      <c r="Q347" s="68"/>
      <c r="R347" s="68"/>
      <c r="S347" s="68"/>
      <c r="T347" s="68"/>
      <c r="U347" s="68"/>
      <c r="V347" s="69"/>
      <c r="W347" s="159"/>
      <c r="X347" s="68"/>
      <c r="Y347" s="68"/>
      <c r="Z347" s="68"/>
      <c r="AA347" s="68"/>
    </row>
    <row r="348" spans="1:27" ht="16.5">
      <c r="A348" s="68"/>
      <c r="B348" s="68"/>
      <c r="C348" s="68"/>
      <c r="D348" s="68"/>
      <c r="E348" s="68"/>
      <c r="F348" s="68"/>
      <c r="G348" s="68"/>
      <c r="H348" s="68"/>
      <c r="I348" s="68"/>
      <c r="J348" s="68"/>
      <c r="K348" s="68"/>
      <c r="L348" s="68"/>
      <c r="M348" s="68"/>
      <c r="N348" s="68"/>
      <c r="O348" s="68"/>
      <c r="P348" s="68"/>
      <c r="Q348" s="68"/>
      <c r="R348" s="68"/>
      <c r="S348" s="68"/>
      <c r="T348" s="68"/>
      <c r="U348" s="68"/>
      <c r="V348" s="69"/>
      <c r="W348" s="159"/>
      <c r="X348" s="68"/>
      <c r="Y348" s="68"/>
      <c r="Z348" s="68"/>
      <c r="AA348" s="68"/>
    </row>
    <row r="349" spans="1:27" ht="16.5">
      <c r="A349" s="68"/>
      <c r="B349" s="68"/>
      <c r="C349" s="68"/>
      <c r="D349" s="68"/>
      <c r="E349" s="68"/>
      <c r="F349" s="68"/>
      <c r="G349" s="68"/>
      <c r="H349" s="68"/>
      <c r="I349" s="68"/>
      <c r="J349" s="68"/>
      <c r="K349" s="68"/>
      <c r="L349" s="68"/>
      <c r="M349" s="68"/>
      <c r="N349" s="68"/>
      <c r="O349" s="68"/>
      <c r="P349" s="68"/>
      <c r="Q349" s="68"/>
      <c r="R349" s="68"/>
      <c r="S349" s="68"/>
      <c r="T349" s="68"/>
      <c r="U349" s="68"/>
      <c r="V349" s="69"/>
      <c r="W349" s="159"/>
      <c r="X349" s="68"/>
      <c r="Y349" s="68"/>
      <c r="Z349" s="68"/>
      <c r="AA349" s="68"/>
    </row>
    <row r="350" spans="1:27" ht="16.5">
      <c r="A350" s="68"/>
      <c r="B350" s="68"/>
      <c r="C350" s="68"/>
      <c r="D350" s="68"/>
      <c r="E350" s="68"/>
      <c r="F350" s="68"/>
      <c r="G350" s="68"/>
      <c r="H350" s="68"/>
      <c r="I350" s="68"/>
      <c r="J350" s="68"/>
      <c r="K350" s="68"/>
      <c r="L350" s="68"/>
      <c r="M350" s="68"/>
      <c r="N350" s="68"/>
      <c r="O350" s="68"/>
      <c r="P350" s="68"/>
      <c r="Q350" s="68"/>
      <c r="R350" s="68"/>
      <c r="S350" s="68"/>
      <c r="T350" s="68"/>
      <c r="U350" s="68"/>
      <c r="V350" s="69"/>
      <c r="W350" s="159"/>
      <c r="X350" s="68"/>
      <c r="Y350" s="68"/>
      <c r="Z350" s="68"/>
      <c r="AA350" s="68"/>
    </row>
    <row r="351" spans="1:27" ht="16.5">
      <c r="A351" s="68"/>
      <c r="B351" s="68"/>
      <c r="C351" s="68"/>
      <c r="D351" s="68"/>
      <c r="E351" s="68"/>
      <c r="F351" s="68"/>
      <c r="G351" s="68"/>
      <c r="H351" s="68"/>
      <c r="I351" s="68"/>
      <c r="J351" s="68"/>
      <c r="K351" s="68"/>
      <c r="L351" s="68"/>
      <c r="M351" s="68"/>
      <c r="N351" s="68"/>
      <c r="O351" s="68"/>
      <c r="P351" s="68"/>
      <c r="Q351" s="68"/>
      <c r="R351" s="68"/>
      <c r="S351" s="68"/>
      <c r="T351" s="68"/>
      <c r="U351" s="68"/>
      <c r="V351" s="69"/>
      <c r="W351" s="159"/>
      <c r="X351" s="68"/>
      <c r="Y351" s="68"/>
      <c r="Z351" s="68"/>
      <c r="AA351" s="68"/>
    </row>
    <row r="352" spans="1:27" ht="16.5">
      <c r="A352" s="68"/>
      <c r="B352" s="68"/>
      <c r="C352" s="68"/>
      <c r="D352" s="68"/>
      <c r="E352" s="68"/>
      <c r="F352" s="68"/>
      <c r="G352" s="68"/>
      <c r="H352" s="68"/>
      <c r="I352" s="68"/>
      <c r="J352" s="68"/>
      <c r="K352" s="68"/>
      <c r="L352" s="68"/>
      <c r="M352" s="68"/>
      <c r="N352" s="68"/>
      <c r="O352" s="68"/>
      <c r="P352" s="68"/>
      <c r="Q352" s="68"/>
      <c r="R352" s="68"/>
      <c r="S352" s="68"/>
      <c r="T352" s="68"/>
      <c r="U352" s="68"/>
      <c r="V352" s="69"/>
      <c r="W352" s="159"/>
      <c r="X352" s="68"/>
      <c r="Y352" s="68"/>
      <c r="Z352" s="68"/>
      <c r="AA352" s="68"/>
    </row>
    <row r="353" spans="1:27" ht="16.5">
      <c r="A353" s="68"/>
      <c r="B353" s="68"/>
      <c r="C353" s="68"/>
      <c r="D353" s="68"/>
      <c r="E353" s="68"/>
      <c r="F353" s="68"/>
      <c r="G353" s="68"/>
      <c r="H353" s="68"/>
      <c r="I353" s="68"/>
      <c r="J353" s="68"/>
      <c r="K353" s="68"/>
      <c r="L353" s="68"/>
      <c r="M353" s="68"/>
      <c r="N353" s="68"/>
      <c r="O353" s="68"/>
      <c r="P353" s="68"/>
      <c r="Q353" s="68"/>
      <c r="R353" s="68"/>
      <c r="S353" s="68"/>
      <c r="T353" s="68"/>
      <c r="U353" s="68"/>
      <c r="V353" s="69"/>
      <c r="W353" s="159"/>
      <c r="X353" s="68"/>
      <c r="Y353" s="68"/>
      <c r="Z353" s="68"/>
      <c r="AA353" s="68"/>
    </row>
    <row r="354" spans="1:27" ht="16.5">
      <c r="A354" s="68"/>
      <c r="B354" s="68"/>
      <c r="C354" s="68"/>
      <c r="D354" s="68"/>
      <c r="E354" s="68"/>
      <c r="F354" s="68"/>
      <c r="G354" s="68"/>
      <c r="H354" s="68"/>
      <c r="I354" s="68"/>
      <c r="J354" s="68"/>
      <c r="K354" s="68"/>
      <c r="L354" s="68"/>
      <c r="M354" s="68"/>
      <c r="N354" s="68"/>
      <c r="O354" s="68"/>
      <c r="P354" s="68"/>
      <c r="Q354" s="68"/>
      <c r="R354" s="68"/>
      <c r="S354" s="68"/>
      <c r="T354" s="68"/>
      <c r="U354" s="68"/>
      <c r="V354" s="69"/>
      <c r="W354" s="159"/>
      <c r="X354" s="68"/>
      <c r="Y354" s="68"/>
      <c r="Z354" s="68"/>
      <c r="AA354" s="68"/>
    </row>
    <row r="355" spans="1:27" ht="16.5">
      <c r="A355" s="68"/>
      <c r="B355" s="68"/>
      <c r="C355" s="68"/>
      <c r="D355" s="68"/>
      <c r="E355" s="68"/>
      <c r="F355" s="68"/>
      <c r="G355" s="68"/>
      <c r="H355" s="68"/>
      <c r="I355" s="68"/>
      <c r="J355" s="68"/>
      <c r="K355" s="68"/>
      <c r="L355" s="68"/>
      <c r="M355" s="68"/>
      <c r="N355" s="68"/>
      <c r="O355" s="68"/>
      <c r="P355" s="68"/>
      <c r="Q355" s="68"/>
      <c r="R355" s="68"/>
      <c r="S355" s="68"/>
      <c r="T355" s="68"/>
      <c r="U355" s="68"/>
      <c r="V355" s="69"/>
      <c r="W355" s="159"/>
      <c r="X355" s="68"/>
      <c r="Y355" s="68"/>
      <c r="Z355" s="68"/>
      <c r="AA355" s="68"/>
    </row>
    <row r="356" spans="1:27" ht="16.5">
      <c r="A356" s="68"/>
      <c r="B356" s="68"/>
      <c r="C356" s="68"/>
      <c r="D356" s="68"/>
      <c r="E356" s="68"/>
      <c r="F356" s="68"/>
      <c r="G356" s="68"/>
      <c r="H356" s="68"/>
      <c r="I356" s="68"/>
      <c r="J356" s="68"/>
      <c r="K356" s="68"/>
      <c r="L356" s="68"/>
      <c r="M356" s="68"/>
      <c r="N356" s="68"/>
      <c r="O356" s="68"/>
      <c r="P356" s="68"/>
      <c r="Q356" s="68"/>
      <c r="R356" s="68"/>
      <c r="S356" s="68"/>
      <c r="T356" s="68"/>
      <c r="U356" s="68"/>
      <c r="V356" s="69"/>
      <c r="W356" s="159"/>
      <c r="X356" s="68"/>
      <c r="Y356" s="68"/>
      <c r="Z356" s="68"/>
      <c r="AA356" s="68"/>
    </row>
    <row r="357" spans="1:27" ht="16.5">
      <c r="A357" s="68"/>
      <c r="B357" s="68"/>
      <c r="C357" s="68"/>
      <c r="D357" s="68"/>
      <c r="E357" s="68"/>
      <c r="F357" s="68"/>
      <c r="G357" s="68"/>
      <c r="H357" s="68"/>
      <c r="I357" s="68"/>
      <c r="J357" s="68"/>
      <c r="K357" s="68"/>
      <c r="L357" s="68"/>
      <c r="M357" s="68"/>
      <c r="N357" s="68"/>
      <c r="O357" s="68"/>
      <c r="P357" s="68"/>
      <c r="Q357" s="68"/>
      <c r="R357" s="68"/>
      <c r="S357" s="68"/>
      <c r="T357" s="68"/>
      <c r="U357" s="68"/>
      <c r="V357" s="69"/>
      <c r="W357" s="159"/>
      <c r="X357" s="68"/>
      <c r="Y357" s="68"/>
      <c r="Z357" s="68"/>
      <c r="AA357" s="68"/>
    </row>
    <row r="358" spans="1:27" ht="16.5">
      <c r="A358" s="68"/>
      <c r="B358" s="68"/>
      <c r="C358" s="68"/>
      <c r="D358" s="68"/>
      <c r="E358" s="68"/>
      <c r="F358" s="68"/>
      <c r="G358" s="68"/>
      <c r="H358" s="68"/>
      <c r="I358" s="68"/>
      <c r="J358" s="68"/>
      <c r="K358" s="68"/>
      <c r="L358" s="68"/>
      <c r="M358" s="68"/>
      <c r="N358" s="68"/>
      <c r="O358" s="68"/>
      <c r="P358" s="68"/>
      <c r="Q358" s="68"/>
      <c r="R358" s="68"/>
      <c r="S358" s="68"/>
      <c r="T358" s="68"/>
      <c r="U358" s="68"/>
      <c r="V358" s="69"/>
      <c r="W358" s="159"/>
      <c r="X358" s="68"/>
      <c r="Y358" s="68"/>
      <c r="Z358" s="68"/>
      <c r="AA358" s="68"/>
    </row>
    <row r="359" spans="1:27" ht="16.5">
      <c r="A359" s="68"/>
      <c r="B359" s="68"/>
      <c r="C359" s="68"/>
      <c r="D359" s="68"/>
      <c r="E359" s="68"/>
      <c r="F359" s="68"/>
      <c r="G359" s="68"/>
      <c r="H359" s="68"/>
      <c r="I359" s="68"/>
      <c r="J359" s="68"/>
      <c r="K359" s="68"/>
      <c r="L359" s="68"/>
      <c r="M359" s="68"/>
      <c r="N359" s="68"/>
      <c r="O359" s="68"/>
      <c r="P359" s="68"/>
      <c r="Q359" s="68"/>
      <c r="R359" s="68"/>
      <c r="S359" s="68"/>
      <c r="T359" s="68"/>
      <c r="U359" s="68"/>
      <c r="V359" s="69"/>
      <c r="W359" s="159"/>
      <c r="X359" s="68"/>
      <c r="Y359" s="68"/>
      <c r="Z359" s="68"/>
      <c r="AA359" s="68"/>
    </row>
    <row r="360" spans="1:27" ht="16.5">
      <c r="A360" s="68"/>
      <c r="B360" s="68"/>
      <c r="C360" s="68"/>
      <c r="D360" s="68"/>
      <c r="E360" s="68"/>
      <c r="F360" s="68"/>
      <c r="G360" s="68"/>
      <c r="H360" s="68"/>
      <c r="I360" s="68"/>
      <c r="J360" s="68"/>
      <c r="K360" s="68"/>
      <c r="L360" s="68"/>
      <c r="M360" s="68"/>
      <c r="N360" s="68"/>
      <c r="O360" s="68"/>
      <c r="P360" s="68"/>
      <c r="Q360" s="68"/>
      <c r="R360" s="68"/>
      <c r="S360" s="68"/>
      <c r="T360" s="68"/>
      <c r="U360" s="68"/>
      <c r="V360" s="69"/>
      <c r="W360" s="159"/>
      <c r="X360" s="68"/>
      <c r="Y360" s="68"/>
      <c r="Z360" s="68"/>
      <c r="AA360" s="68"/>
    </row>
    <row r="361" spans="1:27" ht="16.5">
      <c r="A361" s="68"/>
      <c r="B361" s="68"/>
      <c r="C361" s="68"/>
      <c r="D361" s="68"/>
      <c r="E361" s="68"/>
      <c r="F361" s="68"/>
      <c r="G361" s="68"/>
      <c r="H361" s="68"/>
      <c r="I361" s="68"/>
      <c r="J361" s="68"/>
      <c r="K361" s="68"/>
      <c r="L361" s="68"/>
      <c r="M361" s="68"/>
      <c r="N361" s="68"/>
      <c r="O361" s="68"/>
      <c r="P361" s="68"/>
      <c r="Q361" s="68"/>
      <c r="R361" s="68"/>
      <c r="S361" s="68"/>
      <c r="T361" s="68"/>
      <c r="U361" s="68"/>
      <c r="V361" s="69"/>
      <c r="W361" s="159"/>
      <c r="X361" s="68"/>
      <c r="Y361" s="68"/>
      <c r="Z361" s="68"/>
      <c r="AA361" s="68"/>
    </row>
    <row r="362" spans="1:27" ht="16.5">
      <c r="A362" s="68"/>
      <c r="B362" s="68"/>
      <c r="C362" s="68"/>
      <c r="D362" s="68"/>
      <c r="E362" s="68"/>
      <c r="F362" s="68"/>
      <c r="G362" s="68"/>
      <c r="H362" s="68"/>
      <c r="I362" s="68"/>
      <c r="J362" s="68"/>
      <c r="K362" s="68"/>
      <c r="L362" s="68"/>
      <c r="M362" s="68"/>
      <c r="N362" s="68"/>
      <c r="O362" s="68"/>
      <c r="P362" s="68"/>
      <c r="Q362" s="68"/>
      <c r="R362" s="68"/>
      <c r="S362" s="68"/>
      <c r="T362" s="68"/>
      <c r="U362" s="68"/>
      <c r="V362" s="69"/>
      <c r="W362" s="159"/>
      <c r="X362" s="68"/>
      <c r="Y362" s="68"/>
      <c r="Z362" s="68"/>
      <c r="AA362" s="68"/>
    </row>
    <row r="363" spans="1:27" ht="16.5">
      <c r="A363" s="68"/>
      <c r="B363" s="68"/>
      <c r="C363" s="68"/>
      <c r="D363" s="68"/>
      <c r="E363" s="68"/>
      <c r="F363" s="68"/>
      <c r="G363" s="68"/>
      <c r="H363" s="68"/>
      <c r="I363" s="68"/>
      <c r="J363" s="68"/>
      <c r="K363" s="68"/>
      <c r="L363" s="68"/>
      <c r="M363" s="68"/>
      <c r="N363" s="68"/>
      <c r="O363" s="68"/>
      <c r="P363" s="68"/>
      <c r="Q363" s="68"/>
      <c r="R363" s="68"/>
      <c r="S363" s="68"/>
      <c r="T363" s="68"/>
      <c r="U363" s="68"/>
      <c r="V363" s="69"/>
      <c r="W363" s="159"/>
      <c r="X363" s="68"/>
      <c r="Y363" s="68"/>
      <c r="Z363" s="68"/>
      <c r="AA363" s="68"/>
    </row>
    <row r="364" spans="1:27" ht="16.5">
      <c r="A364" s="68"/>
      <c r="B364" s="68"/>
      <c r="C364" s="68"/>
      <c r="D364" s="68"/>
      <c r="E364" s="68"/>
      <c r="F364" s="68"/>
      <c r="G364" s="68"/>
      <c r="H364" s="68"/>
      <c r="I364" s="68"/>
      <c r="J364" s="68"/>
      <c r="K364" s="68"/>
      <c r="L364" s="68"/>
      <c r="M364" s="68"/>
      <c r="N364" s="68"/>
      <c r="O364" s="68"/>
      <c r="P364" s="68"/>
      <c r="Q364" s="68"/>
      <c r="R364" s="68"/>
      <c r="S364" s="68"/>
      <c r="T364" s="68"/>
      <c r="U364" s="68"/>
      <c r="V364" s="69"/>
      <c r="W364" s="159"/>
      <c r="X364" s="68"/>
      <c r="Y364" s="68"/>
      <c r="Z364" s="68"/>
      <c r="AA364" s="68"/>
    </row>
    <row r="365" spans="1:27" ht="16.5">
      <c r="A365" s="68"/>
      <c r="B365" s="68"/>
      <c r="C365" s="68"/>
      <c r="D365" s="68"/>
      <c r="E365" s="68"/>
      <c r="F365" s="68"/>
      <c r="G365" s="68"/>
      <c r="H365" s="68"/>
      <c r="I365" s="68"/>
      <c r="J365" s="68"/>
      <c r="K365" s="68"/>
      <c r="L365" s="68"/>
      <c r="M365" s="68"/>
      <c r="N365" s="68"/>
      <c r="O365" s="68"/>
      <c r="P365" s="68"/>
      <c r="Q365" s="68"/>
      <c r="R365" s="68"/>
      <c r="S365" s="68"/>
      <c r="T365" s="68"/>
      <c r="U365" s="68"/>
      <c r="V365" s="69"/>
      <c r="W365" s="159"/>
      <c r="X365" s="68"/>
      <c r="Y365" s="68"/>
      <c r="Z365" s="68"/>
      <c r="AA365" s="68"/>
    </row>
    <row r="366" spans="1:27" ht="16.5">
      <c r="A366" s="68"/>
      <c r="B366" s="68"/>
      <c r="C366" s="68"/>
      <c r="D366" s="68"/>
      <c r="E366" s="68"/>
      <c r="F366" s="68"/>
      <c r="G366" s="68"/>
      <c r="H366" s="68"/>
      <c r="I366" s="68"/>
      <c r="J366" s="68"/>
      <c r="K366" s="68"/>
      <c r="L366" s="68"/>
      <c r="M366" s="68"/>
      <c r="N366" s="68"/>
      <c r="O366" s="68"/>
      <c r="P366" s="68"/>
      <c r="Q366" s="68"/>
      <c r="R366" s="68"/>
      <c r="S366" s="68"/>
      <c r="T366" s="68"/>
      <c r="U366" s="68"/>
      <c r="V366" s="69"/>
      <c r="W366" s="159"/>
      <c r="X366" s="68"/>
      <c r="Y366" s="68"/>
      <c r="Z366" s="68"/>
      <c r="AA366" s="68"/>
    </row>
    <row r="367" spans="1:27" ht="16.5">
      <c r="A367" s="68"/>
      <c r="B367" s="68"/>
      <c r="C367" s="68"/>
      <c r="D367" s="68"/>
      <c r="E367" s="68"/>
      <c r="F367" s="68"/>
      <c r="G367" s="68"/>
      <c r="H367" s="68"/>
      <c r="I367" s="68"/>
      <c r="J367" s="68"/>
      <c r="K367" s="68"/>
      <c r="L367" s="68"/>
      <c r="M367" s="68"/>
      <c r="N367" s="68"/>
      <c r="O367" s="68"/>
      <c r="P367" s="68"/>
      <c r="Q367" s="68"/>
      <c r="R367" s="68"/>
      <c r="S367" s="68"/>
      <c r="T367" s="68"/>
      <c r="U367" s="68"/>
      <c r="V367" s="69"/>
      <c r="W367" s="159"/>
      <c r="X367" s="68"/>
      <c r="Y367" s="68"/>
      <c r="Z367" s="68"/>
      <c r="AA367" s="68"/>
    </row>
    <row r="368" spans="1:27" ht="16.5">
      <c r="A368" s="68"/>
      <c r="B368" s="68"/>
      <c r="C368" s="68"/>
      <c r="D368" s="68"/>
      <c r="E368" s="68"/>
      <c r="F368" s="68"/>
      <c r="G368" s="68"/>
      <c r="H368" s="68"/>
      <c r="I368" s="68"/>
      <c r="J368" s="68"/>
      <c r="K368" s="68"/>
      <c r="L368" s="68"/>
      <c r="M368" s="68"/>
      <c r="N368" s="68"/>
      <c r="O368" s="68"/>
      <c r="P368" s="68"/>
      <c r="Q368" s="68"/>
      <c r="R368" s="68"/>
      <c r="S368" s="68"/>
      <c r="T368" s="68"/>
      <c r="U368" s="68"/>
      <c r="V368" s="69"/>
      <c r="W368" s="159"/>
      <c r="X368" s="68"/>
      <c r="Y368" s="68"/>
      <c r="Z368" s="68"/>
      <c r="AA368" s="68"/>
    </row>
    <row r="369" spans="1:27" ht="16.5">
      <c r="A369" s="68"/>
      <c r="B369" s="68"/>
      <c r="C369" s="68"/>
      <c r="D369" s="68"/>
      <c r="E369" s="68"/>
      <c r="F369" s="68"/>
      <c r="G369" s="68"/>
      <c r="H369" s="68"/>
      <c r="I369" s="68"/>
      <c r="J369" s="68"/>
      <c r="K369" s="68"/>
      <c r="L369" s="68"/>
      <c r="M369" s="68"/>
      <c r="N369" s="68"/>
      <c r="O369" s="68"/>
      <c r="P369" s="68"/>
      <c r="Q369" s="68"/>
      <c r="R369" s="68"/>
      <c r="S369" s="68"/>
      <c r="T369" s="68"/>
      <c r="U369" s="68"/>
      <c r="V369" s="69"/>
      <c r="W369" s="159"/>
      <c r="X369" s="68"/>
      <c r="Y369" s="68"/>
      <c r="Z369" s="68"/>
      <c r="AA369" s="68"/>
    </row>
    <row r="370" spans="1:27" ht="16.5">
      <c r="A370" s="68"/>
      <c r="B370" s="68"/>
      <c r="C370" s="68"/>
      <c r="D370" s="68"/>
      <c r="E370" s="68"/>
      <c r="F370" s="68"/>
      <c r="G370" s="68"/>
      <c r="H370" s="68"/>
      <c r="I370" s="68"/>
      <c r="J370" s="68"/>
      <c r="K370" s="68"/>
      <c r="L370" s="68"/>
      <c r="M370" s="68"/>
      <c r="N370" s="68"/>
      <c r="O370" s="68"/>
      <c r="P370" s="68"/>
      <c r="Q370" s="68"/>
      <c r="R370" s="68"/>
      <c r="S370" s="68"/>
      <c r="T370" s="68"/>
      <c r="U370" s="68"/>
      <c r="V370" s="69"/>
      <c r="W370" s="159"/>
      <c r="X370" s="68"/>
      <c r="Y370" s="68"/>
      <c r="Z370" s="68"/>
      <c r="AA370" s="68"/>
    </row>
    <row r="371" spans="1:27" ht="16.5">
      <c r="A371" s="68"/>
      <c r="B371" s="68"/>
      <c r="C371" s="68"/>
      <c r="D371" s="68"/>
      <c r="E371" s="68"/>
      <c r="F371" s="68"/>
      <c r="G371" s="68"/>
      <c r="H371" s="68"/>
      <c r="I371" s="68"/>
      <c r="J371" s="68"/>
      <c r="K371" s="68"/>
      <c r="L371" s="68"/>
      <c r="M371" s="68"/>
      <c r="N371" s="68"/>
      <c r="O371" s="68"/>
      <c r="P371" s="68"/>
      <c r="Q371" s="68"/>
      <c r="R371" s="68"/>
      <c r="S371" s="68"/>
      <c r="T371" s="68"/>
      <c r="U371" s="68"/>
      <c r="V371" s="69"/>
      <c r="W371" s="159"/>
      <c r="X371" s="68"/>
      <c r="Y371" s="68"/>
      <c r="Z371" s="68"/>
      <c r="AA371" s="68"/>
    </row>
    <row r="372" spans="1:27" ht="16.5">
      <c r="A372" s="68"/>
      <c r="B372" s="68"/>
      <c r="C372" s="68"/>
      <c r="D372" s="68"/>
      <c r="E372" s="68"/>
      <c r="F372" s="68"/>
      <c r="G372" s="68"/>
      <c r="H372" s="68"/>
      <c r="I372" s="68"/>
      <c r="J372" s="68"/>
      <c r="K372" s="68"/>
      <c r="L372" s="68"/>
      <c r="M372" s="68"/>
      <c r="N372" s="68"/>
      <c r="O372" s="68"/>
      <c r="P372" s="68"/>
      <c r="Q372" s="68"/>
      <c r="R372" s="68"/>
      <c r="S372" s="68"/>
      <c r="T372" s="68"/>
      <c r="U372" s="68"/>
      <c r="V372" s="69"/>
      <c r="W372" s="159"/>
      <c r="X372" s="68"/>
      <c r="Y372" s="68"/>
      <c r="Z372" s="68"/>
      <c r="AA372" s="68"/>
    </row>
    <row r="373" spans="1:27" ht="16.5">
      <c r="A373" s="68"/>
      <c r="B373" s="68"/>
      <c r="C373" s="68"/>
      <c r="D373" s="68"/>
      <c r="E373" s="68"/>
      <c r="F373" s="68"/>
      <c r="G373" s="68"/>
      <c r="H373" s="68"/>
      <c r="I373" s="68"/>
      <c r="J373" s="68"/>
      <c r="K373" s="68"/>
      <c r="L373" s="68"/>
      <c r="M373" s="68"/>
      <c r="N373" s="68"/>
      <c r="O373" s="68"/>
      <c r="P373" s="68"/>
      <c r="Q373" s="68"/>
      <c r="R373" s="68"/>
      <c r="S373" s="68"/>
      <c r="T373" s="68"/>
      <c r="U373" s="68"/>
      <c r="V373" s="69"/>
      <c r="W373" s="159"/>
      <c r="X373" s="68"/>
      <c r="Y373" s="68"/>
      <c r="Z373" s="68"/>
      <c r="AA373" s="68"/>
    </row>
    <row r="374" spans="1:27" ht="16.5">
      <c r="A374" s="68"/>
      <c r="B374" s="68"/>
      <c r="C374" s="68"/>
      <c r="D374" s="68"/>
      <c r="E374" s="68"/>
      <c r="F374" s="68"/>
      <c r="G374" s="68"/>
      <c r="H374" s="68"/>
      <c r="I374" s="68"/>
      <c r="J374" s="68"/>
      <c r="K374" s="68"/>
      <c r="L374" s="68"/>
      <c r="M374" s="68"/>
      <c r="N374" s="68"/>
      <c r="O374" s="68"/>
      <c r="P374" s="68"/>
      <c r="Q374" s="68"/>
      <c r="R374" s="68"/>
      <c r="S374" s="68"/>
      <c r="T374" s="68"/>
      <c r="U374" s="68"/>
      <c r="V374" s="69"/>
      <c r="W374" s="159"/>
      <c r="X374" s="68"/>
      <c r="Y374" s="68"/>
      <c r="Z374" s="68"/>
      <c r="AA374" s="68"/>
    </row>
    <row r="375" spans="1:27" ht="16.5">
      <c r="A375" s="68"/>
      <c r="B375" s="68"/>
      <c r="C375" s="68"/>
      <c r="D375" s="68"/>
      <c r="E375" s="68"/>
      <c r="F375" s="68"/>
      <c r="G375" s="68"/>
      <c r="H375" s="68"/>
      <c r="I375" s="68"/>
      <c r="J375" s="68"/>
      <c r="K375" s="68"/>
      <c r="L375" s="68"/>
      <c r="M375" s="68"/>
      <c r="N375" s="68"/>
      <c r="O375" s="68"/>
      <c r="P375" s="68"/>
      <c r="Q375" s="68"/>
      <c r="R375" s="68"/>
      <c r="S375" s="68"/>
      <c r="T375" s="68"/>
      <c r="U375" s="68"/>
      <c r="V375" s="69"/>
      <c r="W375" s="159"/>
      <c r="X375" s="68"/>
      <c r="Y375" s="68"/>
      <c r="Z375" s="68"/>
      <c r="AA375" s="68"/>
    </row>
    <row r="376" spans="1:27" ht="16.5">
      <c r="A376" s="68"/>
      <c r="B376" s="68"/>
      <c r="C376" s="68"/>
      <c r="D376" s="68"/>
      <c r="E376" s="68"/>
      <c r="F376" s="68"/>
      <c r="G376" s="68"/>
      <c r="H376" s="68"/>
      <c r="I376" s="68"/>
      <c r="J376" s="68"/>
      <c r="K376" s="68"/>
      <c r="L376" s="68"/>
      <c r="M376" s="68"/>
      <c r="N376" s="68"/>
      <c r="O376" s="68"/>
      <c r="P376" s="68"/>
      <c r="Q376" s="68"/>
      <c r="R376" s="68"/>
      <c r="S376" s="68"/>
      <c r="T376" s="68"/>
      <c r="U376" s="68"/>
      <c r="V376" s="69"/>
      <c r="W376" s="159"/>
      <c r="X376" s="68"/>
      <c r="Y376" s="68"/>
      <c r="Z376" s="68"/>
      <c r="AA376" s="68"/>
    </row>
    <row r="377" spans="1:27" ht="16.5">
      <c r="A377" s="68"/>
      <c r="B377" s="68"/>
      <c r="C377" s="68"/>
      <c r="D377" s="68"/>
      <c r="E377" s="68"/>
      <c r="F377" s="68"/>
      <c r="G377" s="68"/>
      <c r="H377" s="68"/>
      <c r="I377" s="68"/>
      <c r="J377" s="68"/>
      <c r="K377" s="68"/>
      <c r="L377" s="68"/>
      <c r="M377" s="68"/>
      <c r="N377" s="68"/>
      <c r="O377" s="68"/>
      <c r="P377" s="68"/>
      <c r="Q377" s="68"/>
      <c r="R377" s="68"/>
      <c r="S377" s="68"/>
      <c r="T377" s="68"/>
      <c r="U377" s="68"/>
      <c r="V377" s="69"/>
      <c r="W377" s="159"/>
      <c r="X377" s="68"/>
      <c r="Y377" s="68"/>
      <c r="Z377" s="68"/>
      <c r="AA377" s="68"/>
    </row>
    <row r="378" spans="1:27" ht="16.5">
      <c r="A378" s="68"/>
      <c r="B378" s="68"/>
      <c r="C378" s="68"/>
      <c r="D378" s="68"/>
      <c r="E378" s="68"/>
      <c r="F378" s="68"/>
      <c r="G378" s="68"/>
      <c r="H378" s="68"/>
      <c r="I378" s="68"/>
      <c r="J378" s="68"/>
      <c r="K378" s="68"/>
      <c r="L378" s="68"/>
      <c r="M378" s="68"/>
      <c r="N378" s="68"/>
      <c r="O378" s="68"/>
      <c r="P378" s="68"/>
      <c r="Q378" s="68"/>
      <c r="R378" s="68"/>
      <c r="S378" s="68"/>
      <c r="T378" s="68"/>
      <c r="U378" s="68"/>
      <c r="V378" s="69"/>
      <c r="W378" s="159"/>
      <c r="X378" s="68"/>
      <c r="Y378" s="68"/>
      <c r="Z378" s="68"/>
      <c r="AA378" s="68"/>
    </row>
    <row r="379" spans="1:27" ht="16.5">
      <c r="A379" s="68"/>
      <c r="B379" s="68"/>
      <c r="C379" s="68"/>
      <c r="D379" s="68"/>
      <c r="E379" s="68"/>
      <c r="F379" s="68"/>
      <c r="G379" s="68"/>
      <c r="H379" s="68"/>
      <c r="I379" s="68"/>
      <c r="J379" s="68"/>
      <c r="K379" s="68"/>
      <c r="L379" s="68"/>
      <c r="M379" s="68"/>
      <c r="N379" s="68"/>
      <c r="O379" s="68"/>
      <c r="P379" s="68"/>
      <c r="Q379" s="68"/>
      <c r="R379" s="68"/>
      <c r="S379" s="68"/>
      <c r="T379" s="68"/>
      <c r="U379" s="68"/>
      <c r="V379" s="69"/>
      <c r="W379" s="159"/>
      <c r="X379" s="68"/>
      <c r="Y379" s="68"/>
      <c r="Z379" s="68"/>
      <c r="AA379" s="68"/>
    </row>
    <row r="380" spans="1:27" ht="16.5">
      <c r="A380" s="68"/>
      <c r="B380" s="68"/>
      <c r="C380" s="68"/>
      <c r="D380" s="68"/>
      <c r="E380" s="68"/>
      <c r="F380" s="68"/>
      <c r="G380" s="68"/>
      <c r="H380" s="68"/>
      <c r="I380" s="68"/>
      <c r="J380" s="68"/>
      <c r="K380" s="68"/>
      <c r="L380" s="68"/>
      <c r="M380" s="68"/>
      <c r="N380" s="68"/>
      <c r="O380" s="68"/>
      <c r="P380" s="68"/>
      <c r="Q380" s="68"/>
      <c r="R380" s="68"/>
      <c r="S380" s="68"/>
      <c r="T380" s="68"/>
      <c r="U380" s="68"/>
      <c r="V380" s="69"/>
      <c r="W380" s="159"/>
      <c r="X380" s="68"/>
      <c r="Y380" s="68"/>
      <c r="Z380" s="68"/>
      <c r="AA380" s="68"/>
    </row>
    <row r="381" spans="1:27" ht="16.5">
      <c r="A381" s="68"/>
      <c r="B381" s="68"/>
      <c r="C381" s="68"/>
      <c r="D381" s="68"/>
      <c r="E381" s="68"/>
      <c r="F381" s="68"/>
      <c r="G381" s="68"/>
      <c r="H381" s="68"/>
      <c r="I381" s="68"/>
      <c r="J381" s="68"/>
      <c r="K381" s="68"/>
      <c r="L381" s="68"/>
      <c r="M381" s="68"/>
      <c r="N381" s="68"/>
      <c r="O381" s="68"/>
      <c r="P381" s="68"/>
      <c r="Q381" s="68"/>
      <c r="R381" s="68"/>
      <c r="S381" s="68"/>
      <c r="T381" s="68"/>
      <c r="U381" s="68"/>
      <c r="V381" s="69"/>
      <c r="W381" s="159"/>
      <c r="X381" s="68"/>
      <c r="Y381" s="68"/>
      <c r="Z381" s="68"/>
      <c r="AA381" s="68"/>
    </row>
    <row r="382" spans="1:27" ht="16.5">
      <c r="A382" s="68"/>
      <c r="B382" s="68"/>
      <c r="C382" s="68"/>
      <c r="D382" s="68"/>
      <c r="E382" s="68"/>
      <c r="F382" s="68"/>
      <c r="G382" s="68"/>
      <c r="H382" s="68"/>
      <c r="I382" s="68"/>
      <c r="J382" s="68"/>
      <c r="K382" s="68"/>
      <c r="L382" s="68"/>
      <c r="M382" s="68"/>
      <c r="N382" s="68"/>
      <c r="O382" s="68"/>
      <c r="P382" s="68"/>
      <c r="Q382" s="68"/>
      <c r="R382" s="68"/>
      <c r="S382" s="68"/>
      <c r="T382" s="68"/>
      <c r="U382" s="68"/>
      <c r="V382" s="69"/>
      <c r="W382" s="159"/>
      <c r="X382" s="68"/>
      <c r="Y382" s="68"/>
      <c r="Z382" s="68"/>
      <c r="AA382" s="68"/>
    </row>
    <row r="383" spans="1:27" ht="16.5">
      <c r="A383" s="68"/>
      <c r="B383" s="68"/>
      <c r="C383" s="68"/>
      <c r="D383" s="68"/>
      <c r="E383" s="68"/>
      <c r="F383" s="68"/>
      <c r="G383" s="68"/>
      <c r="H383" s="68"/>
      <c r="I383" s="68"/>
      <c r="J383" s="68"/>
      <c r="K383" s="68"/>
      <c r="L383" s="68"/>
      <c r="M383" s="68"/>
      <c r="N383" s="68"/>
      <c r="O383" s="68"/>
      <c r="P383" s="68"/>
      <c r="Q383" s="68"/>
      <c r="R383" s="68"/>
      <c r="S383" s="68"/>
      <c r="T383" s="68"/>
      <c r="U383" s="68"/>
      <c r="V383" s="69"/>
      <c r="W383" s="159"/>
      <c r="X383" s="68"/>
      <c r="Y383" s="68"/>
      <c r="Z383" s="68"/>
      <c r="AA383" s="68"/>
    </row>
    <row r="384" spans="1:27" ht="16.5">
      <c r="A384" s="68"/>
      <c r="B384" s="68"/>
      <c r="C384" s="68"/>
      <c r="D384" s="68"/>
      <c r="E384" s="68"/>
      <c r="F384" s="68"/>
      <c r="G384" s="68"/>
      <c r="H384" s="68"/>
      <c r="I384" s="68"/>
      <c r="J384" s="68"/>
      <c r="K384" s="68"/>
      <c r="L384" s="68"/>
      <c r="M384" s="68"/>
      <c r="N384" s="68"/>
      <c r="O384" s="68"/>
      <c r="P384" s="68"/>
      <c r="Q384" s="68"/>
      <c r="R384" s="68"/>
      <c r="S384" s="68"/>
      <c r="T384" s="68"/>
      <c r="U384" s="68"/>
      <c r="V384" s="69"/>
      <c r="W384" s="159"/>
      <c r="X384" s="68"/>
      <c r="Y384" s="68"/>
      <c r="Z384" s="68"/>
      <c r="AA384" s="68"/>
    </row>
    <row r="385" spans="1:27" ht="16.5">
      <c r="A385" s="68"/>
      <c r="B385" s="68"/>
      <c r="C385" s="68"/>
      <c r="D385" s="68"/>
      <c r="E385" s="68"/>
      <c r="F385" s="68"/>
      <c r="G385" s="68"/>
      <c r="H385" s="68"/>
      <c r="I385" s="68"/>
      <c r="J385" s="68"/>
      <c r="K385" s="68"/>
      <c r="L385" s="68"/>
      <c r="M385" s="68"/>
      <c r="N385" s="68"/>
      <c r="O385" s="68"/>
      <c r="P385" s="68"/>
      <c r="Q385" s="68"/>
      <c r="R385" s="68"/>
      <c r="S385" s="68"/>
      <c r="T385" s="68"/>
      <c r="U385" s="68"/>
      <c r="V385" s="69"/>
      <c r="W385" s="159"/>
      <c r="X385" s="68"/>
      <c r="Y385" s="68"/>
      <c r="Z385" s="68"/>
      <c r="AA385" s="68"/>
    </row>
    <row r="386" spans="1:27" ht="16.5">
      <c r="A386" s="68"/>
      <c r="B386" s="68"/>
      <c r="C386" s="68"/>
      <c r="D386" s="68"/>
      <c r="E386" s="68"/>
      <c r="F386" s="68"/>
      <c r="G386" s="68"/>
      <c r="H386" s="68"/>
      <c r="I386" s="68"/>
      <c r="J386" s="68"/>
      <c r="K386" s="68"/>
      <c r="L386" s="68"/>
      <c r="M386" s="68"/>
      <c r="N386" s="68"/>
      <c r="O386" s="68"/>
      <c r="P386" s="68"/>
      <c r="Q386" s="68"/>
      <c r="R386" s="68"/>
      <c r="S386" s="68"/>
      <c r="T386" s="68"/>
      <c r="U386" s="68"/>
      <c r="V386" s="69"/>
      <c r="W386" s="159"/>
      <c r="X386" s="68"/>
      <c r="Y386" s="68"/>
      <c r="Z386" s="68"/>
      <c r="AA386" s="68"/>
    </row>
    <row r="387" spans="1:27" ht="16.5">
      <c r="A387" s="68"/>
      <c r="B387" s="68"/>
      <c r="C387" s="68"/>
      <c r="D387" s="68"/>
      <c r="E387" s="68"/>
      <c r="F387" s="68"/>
      <c r="G387" s="68"/>
      <c r="H387" s="68"/>
      <c r="I387" s="68"/>
      <c r="J387" s="68"/>
      <c r="K387" s="68"/>
      <c r="L387" s="68"/>
      <c r="M387" s="68"/>
      <c r="N387" s="68"/>
      <c r="O387" s="68"/>
      <c r="P387" s="68"/>
      <c r="Q387" s="68"/>
      <c r="R387" s="68"/>
      <c r="S387" s="68"/>
      <c r="T387" s="68"/>
      <c r="U387" s="68"/>
      <c r="V387" s="69"/>
      <c r="W387" s="159"/>
      <c r="X387" s="68"/>
      <c r="Y387" s="68"/>
      <c r="Z387" s="68"/>
      <c r="AA387" s="68"/>
    </row>
    <row r="388" spans="1:27" ht="16.5">
      <c r="A388" s="68"/>
      <c r="B388" s="68"/>
      <c r="C388" s="68"/>
      <c r="D388" s="68"/>
      <c r="E388" s="68"/>
      <c r="F388" s="68"/>
      <c r="G388" s="68"/>
      <c r="H388" s="68"/>
      <c r="I388" s="68"/>
      <c r="J388" s="68"/>
      <c r="K388" s="68"/>
      <c r="L388" s="68"/>
      <c r="M388" s="68"/>
      <c r="N388" s="68"/>
      <c r="O388" s="68"/>
      <c r="P388" s="68"/>
      <c r="Q388" s="68"/>
      <c r="R388" s="68"/>
      <c r="S388" s="68"/>
      <c r="T388" s="68"/>
      <c r="U388" s="68"/>
      <c r="V388" s="69"/>
      <c r="W388" s="159"/>
      <c r="X388" s="68"/>
      <c r="Y388" s="68"/>
      <c r="Z388" s="68"/>
      <c r="AA388" s="68"/>
    </row>
    <row r="389" spans="1:27" ht="16.5">
      <c r="A389" s="68"/>
      <c r="B389" s="68"/>
      <c r="C389" s="68"/>
      <c r="D389" s="68"/>
      <c r="E389" s="68"/>
      <c r="F389" s="68"/>
      <c r="G389" s="68"/>
      <c r="H389" s="68"/>
      <c r="I389" s="68"/>
      <c r="J389" s="68"/>
      <c r="K389" s="68"/>
      <c r="L389" s="68"/>
      <c r="M389" s="68"/>
      <c r="N389" s="68"/>
      <c r="O389" s="68"/>
      <c r="P389" s="68"/>
      <c r="Q389" s="68"/>
      <c r="R389" s="68"/>
      <c r="S389" s="68"/>
      <c r="T389" s="68"/>
      <c r="U389" s="68"/>
      <c r="V389" s="69"/>
      <c r="W389" s="159"/>
      <c r="X389" s="68"/>
      <c r="Y389" s="68"/>
      <c r="Z389" s="68"/>
      <c r="AA389" s="68"/>
    </row>
    <row r="390" spans="1:27" ht="16.5">
      <c r="A390" s="68"/>
      <c r="B390" s="68"/>
      <c r="C390" s="68"/>
      <c r="D390" s="68"/>
      <c r="E390" s="68"/>
      <c r="F390" s="68"/>
      <c r="G390" s="68"/>
      <c r="H390" s="68"/>
      <c r="I390" s="68"/>
      <c r="J390" s="68"/>
      <c r="K390" s="68"/>
      <c r="L390" s="68"/>
      <c r="M390" s="68"/>
      <c r="N390" s="68"/>
      <c r="O390" s="68"/>
      <c r="P390" s="68"/>
      <c r="Q390" s="68"/>
      <c r="R390" s="68"/>
      <c r="S390" s="68"/>
      <c r="T390" s="68"/>
      <c r="U390" s="68"/>
      <c r="V390" s="69"/>
      <c r="W390" s="159"/>
      <c r="X390" s="68"/>
      <c r="Y390" s="68"/>
      <c r="Z390" s="68"/>
      <c r="AA390" s="68"/>
    </row>
    <row r="391" spans="1:27" ht="16.5">
      <c r="A391" s="68"/>
      <c r="B391" s="68"/>
      <c r="C391" s="68"/>
      <c r="D391" s="68"/>
      <c r="E391" s="68"/>
      <c r="F391" s="68"/>
      <c r="G391" s="68"/>
      <c r="H391" s="68"/>
      <c r="I391" s="68"/>
      <c r="J391" s="68"/>
      <c r="K391" s="68"/>
      <c r="L391" s="68"/>
      <c r="M391" s="68"/>
      <c r="N391" s="68"/>
      <c r="O391" s="68"/>
      <c r="P391" s="68"/>
      <c r="Q391" s="68"/>
      <c r="R391" s="68"/>
      <c r="S391" s="68"/>
      <c r="T391" s="68"/>
      <c r="U391" s="68"/>
      <c r="V391" s="69"/>
      <c r="W391" s="159"/>
      <c r="X391" s="68"/>
      <c r="Y391" s="68"/>
      <c r="Z391" s="68"/>
      <c r="AA391" s="68"/>
    </row>
    <row r="392" spans="1:27" ht="16.5">
      <c r="A392" s="68"/>
      <c r="B392" s="68"/>
      <c r="C392" s="68"/>
      <c r="D392" s="68"/>
      <c r="E392" s="68"/>
      <c r="F392" s="68"/>
      <c r="G392" s="68"/>
      <c r="H392" s="68"/>
      <c r="I392" s="68"/>
      <c r="J392" s="68"/>
      <c r="K392" s="68"/>
      <c r="L392" s="68"/>
      <c r="M392" s="68"/>
      <c r="N392" s="68"/>
      <c r="O392" s="68"/>
      <c r="P392" s="68"/>
      <c r="Q392" s="68"/>
      <c r="R392" s="68"/>
      <c r="S392" s="68"/>
      <c r="T392" s="68"/>
      <c r="U392" s="68"/>
      <c r="V392" s="69"/>
      <c r="W392" s="159"/>
      <c r="X392" s="68"/>
      <c r="Y392" s="68"/>
      <c r="Z392" s="68"/>
      <c r="AA392" s="68"/>
    </row>
    <row r="393" spans="1:27" ht="16.5">
      <c r="A393" s="68"/>
      <c r="B393" s="68"/>
      <c r="C393" s="68"/>
      <c r="D393" s="68"/>
      <c r="E393" s="68"/>
      <c r="F393" s="68"/>
      <c r="G393" s="68"/>
      <c r="H393" s="68"/>
      <c r="I393" s="68"/>
      <c r="J393" s="68"/>
      <c r="K393" s="68"/>
      <c r="L393" s="68"/>
      <c r="M393" s="68"/>
      <c r="N393" s="68"/>
      <c r="O393" s="68"/>
      <c r="P393" s="68"/>
      <c r="Q393" s="68"/>
      <c r="R393" s="68"/>
      <c r="S393" s="68"/>
      <c r="T393" s="68"/>
      <c r="U393" s="68"/>
      <c r="V393" s="69"/>
      <c r="W393" s="159"/>
      <c r="X393" s="68"/>
      <c r="Y393" s="68"/>
      <c r="Z393" s="68"/>
      <c r="AA393" s="68"/>
    </row>
    <row r="394" spans="1:27" ht="16.5">
      <c r="A394" s="68"/>
      <c r="B394" s="68"/>
      <c r="C394" s="68"/>
      <c r="D394" s="68"/>
      <c r="E394" s="68"/>
      <c r="F394" s="68"/>
      <c r="G394" s="68"/>
      <c r="H394" s="68"/>
      <c r="I394" s="68"/>
      <c r="J394" s="68"/>
      <c r="K394" s="68"/>
      <c r="L394" s="68"/>
      <c r="M394" s="68"/>
      <c r="N394" s="68"/>
      <c r="O394" s="68"/>
      <c r="P394" s="68"/>
      <c r="Q394" s="68"/>
      <c r="R394" s="68"/>
      <c r="S394" s="68"/>
      <c r="T394" s="68"/>
      <c r="U394" s="68"/>
      <c r="V394" s="69"/>
      <c r="W394" s="159"/>
      <c r="X394" s="68"/>
      <c r="Y394" s="68"/>
      <c r="Z394" s="68"/>
      <c r="AA394" s="68"/>
    </row>
    <row r="395" spans="1:27" ht="16.5">
      <c r="A395" s="68"/>
      <c r="B395" s="68"/>
      <c r="C395" s="68"/>
      <c r="D395" s="68"/>
      <c r="E395" s="68"/>
      <c r="F395" s="68"/>
      <c r="G395" s="68"/>
      <c r="H395" s="68"/>
      <c r="I395" s="68"/>
      <c r="J395" s="68"/>
      <c r="K395" s="68"/>
      <c r="L395" s="68"/>
      <c r="M395" s="68"/>
      <c r="N395" s="68"/>
      <c r="O395" s="68"/>
      <c r="P395" s="68"/>
      <c r="Q395" s="68"/>
      <c r="R395" s="68"/>
      <c r="S395" s="68"/>
      <c r="T395" s="68"/>
      <c r="U395" s="68"/>
      <c r="V395" s="69"/>
      <c r="W395" s="159"/>
      <c r="X395" s="68"/>
      <c r="Y395" s="68"/>
      <c r="Z395" s="68"/>
      <c r="AA395" s="68"/>
    </row>
    <row r="396" spans="1:27" ht="16.5">
      <c r="A396" s="68"/>
      <c r="B396" s="68"/>
      <c r="C396" s="68"/>
      <c r="D396" s="68"/>
      <c r="E396" s="68"/>
      <c r="F396" s="68"/>
      <c r="G396" s="68"/>
      <c r="H396" s="68"/>
      <c r="I396" s="68"/>
      <c r="J396" s="68"/>
      <c r="K396" s="68"/>
      <c r="L396" s="68"/>
      <c r="M396" s="68"/>
      <c r="N396" s="68"/>
      <c r="O396" s="68"/>
      <c r="P396" s="68"/>
      <c r="Q396" s="68"/>
      <c r="R396" s="68"/>
      <c r="S396" s="68"/>
      <c r="T396" s="68"/>
      <c r="U396" s="68"/>
      <c r="V396" s="69"/>
      <c r="W396" s="159"/>
      <c r="X396" s="68"/>
      <c r="Y396" s="68"/>
      <c r="Z396" s="68"/>
      <c r="AA396" s="68"/>
    </row>
    <row r="397" spans="1:27" ht="16.5">
      <c r="A397" s="68"/>
      <c r="B397" s="68"/>
      <c r="C397" s="68"/>
      <c r="D397" s="68"/>
      <c r="E397" s="68"/>
      <c r="F397" s="68"/>
      <c r="G397" s="68"/>
      <c r="H397" s="68"/>
      <c r="I397" s="68"/>
      <c r="J397" s="68"/>
      <c r="K397" s="68"/>
      <c r="L397" s="68"/>
      <c r="M397" s="68"/>
      <c r="N397" s="68"/>
      <c r="O397" s="68"/>
      <c r="P397" s="68"/>
      <c r="Q397" s="68"/>
      <c r="R397" s="68"/>
      <c r="S397" s="68"/>
      <c r="T397" s="68"/>
      <c r="U397" s="68"/>
      <c r="V397" s="69"/>
      <c r="W397" s="159"/>
      <c r="X397" s="68"/>
      <c r="Y397" s="68"/>
      <c r="Z397" s="68"/>
      <c r="AA397" s="68"/>
    </row>
    <row r="398" spans="1:27" ht="16.5">
      <c r="A398" s="68"/>
      <c r="B398" s="68"/>
      <c r="C398" s="68"/>
      <c r="D398" s="68"/>
      <c r="E398" s="68"/>
      <c r="F398" s="68"/>
      <c r="G398" s="68"/>
      <c r="H398" s="68"/>
      <c r="I398" s="68"/>
      <c r="J398" s="68"/>
      <c r="K398" s="68"/>
      <c r="L398" s="68"/>
      <c r="M398" s="68"/>
      <c r="N398" s="68"/>
      <c r="O398" s="68"/>
      <c r="P398" s="68"/>
      <c r="Q398" s="68"/>
      <c r="R398" s="68"/>
      <c r="S398" s="68"/>
      <c r="T398" s="68"/>
      <c r="U398" s="68"/>
      <c r="V398" s="69"/>
      <c r="W398" s="159"/>
      <c r="X398" s="68"/>
      <c r="Y398" s="68"/>
      <c r="Z398" s="68"/>
      <c r="AA398" s="68"/>
    </row>
    <row r="399" spans="1:27" ht="16.5">
      <c r="A399" s="124"/>
      <c r="B399" s="124"/>
      <c r="C399" s="124"/>
      <c r="D399" s="124"/>
      <c r="E399" s="124"/>
      <c r="F399" s="124"/>
      <c r="G399" s="124"/>
      <c r="H399" s="124"/>
      <c r="I399" s="124"/>
      <c r="J399" s="124"/>
      <c r="K399" s="124"/>
      <c r="L399" s="124"/>
      <c r="M399" s="124"/>
      <c r="N399" s="124"/>
      <c r="O399" s="124"/>
      <c r="P399" s="124"/>
      <c r="Q399" s="130"/>
      <c r="R399" s="124"/>
      <c r="S399" s="124"/>
      <c r="T399" s="124"/>
      <c r="U399" s="124"/>
      <c r="V399" s="17"/>
      <c r="W399" s="312"/>
      <c r="X399" s="124"/>
      <c r="Y399" s="124"/>
      <c r="Z399" s="124"/>
      <c r="AA399" s="124"/>
    </row>
    <row r="400" spans="1:27" ht="16.5">
      <c r="A400" s="124"/>
      <c r="B400" s="124"/>
      <c r="C400" s="124"/>
      <c r="D400" s="124"/>
      <c r="E400" s="124"/>
      <c r="F400" s="124"/>
      <c r="G400" s="124"/>
      <c r="H400" s="124"/>
      <c r="I400" s="124"/>
      <c r="J400" s="124"/>
      <c r="K400" s="124"/>
      <c r="L400" s="124"/>
      <c r="M400" s="124"/>
      <c r="N400" s="124"/>
      <c r="O400" s="124"/>
      <c r="P400" s="124"/>
      <c r="Q400" s="130"/>
      <c r="R400" s="124"/>
      <c r="S400" s="124"/>
      <c r="T400" s="124"/>
      <c r="U400" s="124"/>
      <c r="V400" s="17"/>
      <c r="W400" s="312"/>
      <c r="X400" s="124"/>
      <c r="Y400" s="124"/>
      <c r="Z400" s="124"/>
      <c r="AA400" s="124"/>
    </row>
    <row r="401" spans="1:27" ht="16.5">
      <c r="A401" s="124"/>
      <c r="B401" s="124"/>
      <c r="C401" s="124"/>
      <c r="D401" s="124"/>
      <c r="E401" s="124"/>
      <c r="F401" s="124"/>
      <c r="G401" s="124"/>
      <c r="H401" s="124"/>
      <c r="I401" s="124"/>
      <c r="J401" s="124"/>
      <c r="K401" s="124"/>
      <c r="L401" s="124"/>
      <c r="M401" s="124"/>
      <c r="N401" s="124"/>
      <c r="O401" s="124"/>
      <c r="P401" s="124"/>
      <c r="Q401" s="130"/>
      <c r="R401" s="124"/>
      <c r="S401" s="124"/>
      <c r="T401" s="124"/>
      <c r="U401" s="124"/>
      <c r="V401" s="17"/>
      <c r="W401" s="312"/>
      <c r="X401" s="124"/>
      <c r="Y401" s="124"/>
      <c r="Z401" s="124"/>
      <c r="AA401" s="124"/>
    </row>
    <row r="402" spans="1:27" ht="16.5">
      <c r="A402" s="124"/>
      <c r="B402" s="124"/>
      <c r="C402" s="124"/>
      <c r="D402" s="124"/>
      <c r="E402" s="124"/>
      <c r="F402" s="124"/>
      <c r="G402" s="124"/>
      <c r="H402" s="124"/>
      <c r="I402" s="124"/>
      <c r="J402" s="124"/>
      <c r="K402" s="124"/>
      <c r="L402" s="124"/>
      <c r="M402" s="124"/>
      <c r="N402" s="124"/>
      <c r="O402" s="124"/>
      <c r="P402" s="124"/>
      <c r="Q402" s="130"/>
      <c r="R402" s="124"/>
      <c r="S402" s="124"/>
      <c r="T402" s="124"/>
      <c r="U402" s="124"/>
      <c r="V402" s="17"/>
      <c r="W402" s="312"/>
      <c r="X402" s="124"/>
      <c r="Y402" s="124"/>
      <c r="Z402" s="124"/>
      <c r="AA402" s="124"/>
    </row>
    <row r="403" spans="1:27" ht="16.5">
      <c r="A403" s="124"/>
      <c r="B403" s="124"/>
      <c r="C403" s="124"/>
      <c r="D403" s="124"/>
      <c r="E403" s="124"/>
      <c r="F403" s="124"/>
      <c r="G403" s="124"/>
      <c r="H403" s="124"/>
      <c r="I403" s="124"/>
      <c r="J403" s="124"/>
      <c r="K403" s="124"/>
      <c r="L403" s="124"/>
      <c r="M403" s="124"/>
      <c r="N403" s="124"/>
      <c r="O403" s="124"/>
      <c r="P403" s="124"/>
      <c r="Q403" s="130"/>
      <c r="R403" s="124"/>
      <c r="S403" s="124"/>
      <c r="T403" s="124"/>
      <c r="U403" s="124"/>
      <c r="V403" s="17"/>
      <c r="W403" s="312"/>
      <c r="X403" s="124"/>
      <c r="Y403" s="124"/>
      <c r="Z403" s="124"/>
      <c r="AA403" s="124"/>
    </row>
    <row r="404" spans="1:27" ht="16.5">
      <c r="A404" s="124"/>
      <c r="B404" s="124"/>
      <c r="C404" s="124"/>
      <c r="D404" s="124"/>
      <c r="E404" s="124"/>
      <c r="F404" s="124"/>
      <c r="G404" s="124"/>
      <c r="H404" s="124"/>
      <c r="I404" s="124"/>
      <c r="J404" s="124"/>
      <c r="K404" s="124"/>
      <c r="L404" s="124"/>
      <c r="M404" s="124"/>
      <c r="N404" s="124"/>
      <c r="O404" s="124"/>
      <c r="P404" s="124"/>
      <c r="Q404" s="130"/>
      <c r="R404" s="124"/>
      <c r="S404" s="124"/>
      <c r="T404" s="124"/>
      <c r="U404" s="124"/>
      <c r="V404" s="17"/>
      <c r="W404" s="312"/>
      <c r="X404" s="124"/>
      <c r="Y404" s="124"/>
      <c r="Z404" s="124"/>
      <c r="AA404" s="124"/>
    </row>
    <row r="405" spans="1:27" ht="16.5">
      <c r="A405" s="124"/>
      <c r="B405" s="124"/>
      <c r="C405" s="124"/>
      <c r="D405" s="124"/>
      <c r="E405" s="124"/>
      <c r="F405" s="124"/>
      <c r="G405" s="124"/>
      <c r="H405" s="124"/>
      <c r="I405" s="124"/>
      <c r="J405" s="124"/>
      <c r="K405" s="124"/>
      <c r="L405" s="124"/>
      <c r="M405" s="124"/>
      <c r="N405" s="124"/>
      <c r="O405" s="124"/>
      <c r="P405" s="124"/>
      <c r="Q405" s="130"/>
      <c r="R405" s="124"/>
      <c r="S405" s="124"/>
      <c r="T405" s="124"/>
      <c r="U405" s="124"/>
      <c r="V405" s="17"/>
      <c r="W405" s="312"/>
      <c r="X405" s="124"/>
      <c r="Y405" s="124"/>
      <c r="Z405" s="124"/>
      <c r="AA405" s="124"/>
    </row>
    <row r="406" spans="1:27" ht="16.5">
      <c r="A406" s="124"/>
      <c r="B406" s="124"/>
      <c r="C406" s="124"/>
      <c r="D406" s="124"/>
      <c r="E406" s="124"/>
      <c r="F406" s="124"/>
      <c r="G406" s="124"/>
      <c r="H406" s="124"/>
      <c r="I406" s="124"/>
      <c r="J406" s="124"/>
      <c r="K406" s="124"/>
      <c r="L406" s="124"/>
      <c r="M406" s="124"/>
      <c r="N406" s="124"/>
      <c r="O406" s="124"/>
      <c r="P406" s="124"/>
      <c r="Q406" s="130"/>
      <c r="R406" s="124"/>
      <c r="S406" s="124"/>
      <c r="T406" s="124"/>
      <c r="U406" s="124"/>
      <c r="V406" s="17"/>
      <c r="W406" s="312"/>
      <c r="X406" s="124"/>
      <c r="Y406" s="124"/>
      <c r="Z406" s="124"/>
      <c r="AA406" s="124"/>
    </row>
    <row r="407" spans="1:27" ht="16.5">
      <c r="A407" s="124"/>
      <c r="B407" s="124"/>
      <c r="C407" s="124"/>
      <c r="D407" s="124"/>
      <c r="E407" s="124"/>
      <c r="F407" s="124"/>
      <c r="G407" s="124"/>
      <c r="H407" s="124"/>
      <c r="I407" s="124"/>
      <c r="J407" s="124"/>
      <c r="K407" s="124"/>
      <c r="L407" s="124"/>
      <c r="M407" s="124"/>
      <c r="N407" s="124"/>
      <c r="O407" s="124"/>
      <c r="P407" s="124"/>
      <c r="Q407" s="130"/>
      <c r="R407" s="124"/>
      <c r="S407" s="124"/>
      <c r="T407" s="124"/>
      <c r="U407" s="124"/>
      <c r="V407" s="17"/>
      <c r="W407" s="312"/>
      <c r="X407" s="124"/>
      <c r="Y407" s="124"/>
      <c r="Z407" s="124"/>
      <c r="AA407" s="124"/>
    </row>
    <row r="408" spans="1:27" ht="16.5">
      <c r="A408" s="124"/>
      <c r="B408" s="124"/>
      <c r="C408" s="124"/>
      <c r="D408" s="124"/>
      <c r="E408" s="124"/>
      <c r="F408" s="124"/>
      <c r="G408" s="124"/>
      <c r="H408" s="124"/>
      <c r="I408" s="124"/>
      <c r="J408" s="124"/>
      <c r="K408" s="124"/>
      <c r="L408" s="124"/>
      <c r="M408" s="124"/>
      <c r="N408" s="124"/>
      <c r="O408" s="124"/>
      <c r="P408" s="124"/>
      <c r="Q408" s="130"/>
      <c r="R408" s="124"/>
      <c r="S408" s="124"/>
      <c r="T408" s="124"/>
      <c r="U408" s="124"/>
      <c r="V408" s="17"/>
      <c r="W408" s="312"/>
      <c r="X408" s="124"/>
      <c r="Y408" s="124"/>
      <c r="Z408" s="124"/>
      <c r="AA408" s="124"/>
    </row>
    <row r="409" spans="1:27" ht="16.5">
      <c r="A409" s="124"/>
      <c r="B409" s="124"/>
      <c r="C409" s="124"/>
      <c r="D409" s="124"/>
      <c r="E409" s="124"/>
      <c r="F409" s="124"/>
      <c r="G409" s="124"/>
      <c r="H409" s="124"/>
      <c r="I409" s="124"/>
      <c r="J409" s="124"/>
      <c r="K409" s="124"/>
      <c r="L409" s="124"/>
      <c r="M409" s="124"/>
      <c r="N409" s="124"/>
      <c r="O409" s="124"/>
      <c r="P409" s="124"/>
      <c r="Q409" s="130"/>
      <c r="R409" s="124"/>
      <c r="S409" s="124"/>
      <c r="T409" s="124"/>
      <c r="U409" s="124"/>
      <c r="V409" s="17"/>
      <c r="W409" s="312"/>
      <c r="X409" s="124"/>
      <c r="Y409" s="124"/>
      <c r="Z409" s="124"/>
      <c r="AA409" s="124"/>
    </row>
    <row r="410" spans="1:27" ht="16.5">
      <c r="A410" s="124"/>
      <c r="B410" s="124"/>
      <c r="C410" s="124"/>
      <c r="D410" s="124"/>
      <c r="E410" s="124"/>
      <c r="F410" s="124"/>
      <c r="G410" s="124"/>
      <c r="H410" s="124"/>
      <c r="I410" s="124"/>
      <c r="J410" s="124"/>
      <c r="K410" s="124"/>
      <c r="L410" s="124"/>
      <c r="M410" s="124"/>
      <c r="N410" s="124"/>
      <c r="O410" s="124"/>
      <c r="P410" s="124"/>
      <c r="Q410" s="130"/>
      <c r="R410" s="124"/>
      <c r="S410" s="124"/>
      <c r="T410" s="124"/>
      <c r="U410" s="124"/>
      <c r="V410" s="17"/>
      <c r="W410" s="312"/>
      <c r="X410" s="124"/>
      <c r="Y410" s="124"/>
      <c r="Z410" s="124"/>
      <c r="AA410" s="124"/>
    </row>
    <row r="411" spans="1:27" ht="16.5">
      <c r="A411" s="124"/>
      <c r="B411" s="124"/>
      <c r="C411" s="124"/>
      <c r="D411" s="124"/>
      <c r="E411" s="124"/>
      <c r="F411" s="124"/>
      <c r="G411" s="124"/>
      <c r="H411" s="124"/>
      <c r="I411" s="124"/>
      <c r="J411" s="124"/>
      <c r="K411" s="124"/>
      <c r="L411" s="124"/>
      <c r="M411" s="124"/>
      <c r="N411" s="124"/>
      <c r="O411" s="124"/>
      <c r="P411" s="124"/>
      <c r="Q411" s="130"/>
      <c r="R411" s="124"/>
      <c r="S411" s="124"/>
      <c r="T411" s="124"/>
      <c r="U411" s="124"/>
      <c r="V411" s="17"/>
      <c r="W411" s="312"/>
      <c r="X411" s="124"/>
      <c r="Y411" s="124"/>
      <c r="Z411" s="124"/>
      <c r="AA411" s="124"/>
    </row>
    <row r="412" spans="1:27" ht="16.5">
      <c r="A412" s="124"/>
      <c r="B412" s="124"/>
      <c r="C412" s="124"/>
      <c r="D412" s="124"/>
      <c r="E412" s="124"/>
      <c r="F412" s="124"/>
      <c r="G412" s="124"/>
      <c r="H412" s="124"/>
      <c r="I412" s="124"/>
      <c r="J412" s="124"/>
      <c r="K412" s="124"/>
      <c r="L412" s="124"/>
      <c r="M412" s="124"/>
      <c r="N412" s="124"/>
      <c r="O412" s="124"/>
      <c r="P412" s="124"/>
      <c r="Q412" s="130"/>
      <c r="R412" s="124"/>
      <c r="S412" s="124"/>
      <c r="T412" s="124"/>
      <c r="U412" s="124"/>
      <c r="V412" s="17"/>
      <c r="W412" s="312"/>
      <c r="X412" s="124"/>
      <c r="Y412" s="124"/>
      <c r="Z412" s="124"/>
      <c r="AA412" s="124"/>
    </row>
    <row r="413" spans="1:27" ht="16.5">
      <c r="A413" s="124"/>
      <c r="B413" s="124"/>
      <c r="C413" s="124"/>
      <c r="D413" s="124"/>
      <c r="E413" s="124"/>
      <c r="F413" s="124"/>
      <c r="G413" s="124"/>
      <c r="H413" s="124"/>
      <c r="I413" s="124"/>
      <c r="J413" s="124"/>
      <c r="K413" s="124"/>
      <c r="L413" s="124"/>
      <c r="M413" s="124"/>
      <c r="N413" s="124"/>
      <c r="O413" s="124"/>
      <c r="P413" s="124"/>
      <c r="Q413" s="130"/>
      <c r="R413" s="124"/>
      <c r="S413" s="124"/>
      <c r="T413" s="124"/>
      <c r="U413" s="124"/>
      <c r="V413" s="17"/>
      <c r="W413" s="312"/>
      <c r="X413" s="124"/>
      <c r="Y413" s="124"/>
      <c r="Z413" s="124"/>
      <c r="AA413" s="124"/>
    </row>
    <row r="414" spans="1:27" ht="16.5">
      <c r="A414" s="124"/>
      <c r="B414" s="124"/>
      <c r="C414" s="124"/>
      <c r="D414" s="124"/>
      <c r="E414" s="124"/>
      <c r="F414" s="124"/>
      <c r="G414" s="124"/>
      <c r="H414" s="124"/>
      <c r="I414" s="124"/>
      <c r="J414" s="124"/>
      <c r="K414" s="124"/>
      <c r="L414" s="124"/>
      <c r="M414" s="124"/>
      <c r="N414" s="124"/>
      <c r="O414" s="124"/>
      <c r="P414" s="124"/>
      <c r="Q414" s="130"/>
      <c r="R414" s="124"/>
      <c r="S414" s="124"/>
      <c r="T414" s="124"/>
      <c r="U414" s="124"/>
      <c r="V414" s="17"/>
      <c r="W414" s="312"/>
      <c r="X414" s="124"/>
      <c r="Y414" s="124"/>
      <c r="Z414" s="124"/>
      <c r="AA414" s="124"/>
    </row>
    <row r="415" spans="1:27" ht="16.5">
      <c r="A415" s="124"/>
      <c r="B415" s="124"/>
      <c r="C415" s="124"/>
      <c r="D415" s="124"/>
      <c r="E415" s="124"/>
      <c r="F415" s="124"/>
      <c r="G415" s="124"/>
      <c r="H415" s="124"/>
      <c r="I415" s="124"/>
      <c r="J415" s="124"/>
      <c r="K415" s="124"/>
      <c r="L415" s="124"/>
      <c r="M415" s="124"/>
      <c r="N415" s="124"/>
      <c r="O415" s="124"/>
      <c r="P415" s="124"/>
      <c r="Q415" s="130"/>
      <c r="R415" s="124"/>
      <c r="S415" s="124"/>
      <c r="T415" s="124"/>
      <c r="U415" s="124"/>
      <c r="V415" s="17"/>
      <c r="W415" s="312"/>
      <c r="X415" s="124"/>
      <c r="Y415" s="124"/>
      <c r="Z415" s="124"/>
      <c r="AA415" s="124"/>
    </row>
    <row r="416" spans="1:27" ht="16.5">
      <c r="A416" s="124"/>
      <c r="B416" s="124"/>
      <c r="C416" s="124"/>
      <c r="D416" s="124"/>
      <c r="E416" s="124"/>
      <c r="F416" s="124"/>
      <c r="G416" s="124"/>
      <c r="H416" s="124"/>
      <c r="I416" s="124"/>
      <c r="J416" s="124"/>
      <c r="K416" s="124"/>
      <c r="L416" s="124"/>
      <c r="M416" s="124"/>
      <c r="N416" s="124"/>
      <c r="O416" s="124"/>
      <c r="P416" s="124"/>
      <c r="Q416" s="130"/>
      <c r="R416" s="124"/>
      <c r="S416" s="124"/>
      <c r="T416" s="124"/>
      <c r="U416" s="124"/>
      <c r="V416" s="17"/>
      <c r="W416" s="312"/>
      <c r="X416" s="124"/>
      <c r="Y416" s="124"/>
      <c r="Z416" s="124"/>
      <c r="AA416" s="124"/>
    </row>
    <row r="417" spans="1:27" ht="16.5">
      <c r="A417" s="124"/>
      <c r="B417" s="124"/>
      <c r="C417" s="124"/>
      <c r="D417" s="124"/>
      <c r="E417" s="124"/>
      <c r="F417" s="124"/>
      <c r="G417" s="124"/>
      <c r="H417" s="124"/>
      <c r="I417" s="124"/>
      <c r="J417" s="124"/>
      <c r="K417" s="124"/>
      <c r="L417" s="124"/>
      <c r="M417" s="124"/>
      <c r="N417" s="124"/>
      <c r="O417" s="124"/>
      <c r="P417" s="124"/>
      <c r="Q417" s="130"/>
      <c r="R417" s="124"/>
      <c r="S417" s="124"/>
      <c r="T417" s="124"/>
      <c r="U417" s="124"/>
      <c r="V417" s="17"/>
      <c r="W417" s="312"/>
      <c r="X417" s="124"/>
      <c r="Y417" s="124"/>
      <c r="Z417" s="124"/>
      <c r="AA417" s="124"/>
    </row>
    <row r="418" spans="1:27" ht="16.5">
      <c r="A418" s="124"/>
      <c r="B418" s="124"/>
      <c r="C418" s="124"/>
      <c r="D418" s="124"/>
      <c r="E418" s="124"/>
      <c r="F418" s="124"/>
      <c r="G418" s="124"/>
      <c r="H418" s="124"/>
      <c r="I418" s="124"/>
      <c r="J418" s="124"/>
      <c r="K418" s="124"/>
      <c r="L418" s="124"/>
      <c r="M418" s="124"/>
      <c r="N418" s="124"/>
      <c r="O418" s="124"/>
      <c r="P418" s="124"/>
      <c r="Q418" s="130"/>
      <c r="R418" s="124"/>
      <c r="S418" s="124"/>
      <c r="T418" s="124"/>
      <c r="U418" s="124"/>
      <c r="V418" s="17"/>
      <c r="W418" s="312"/>
      <c r="X418" s="124"/>
      <c r="Y418" s="124"/>
      <c r="Z418" s="124"/>
      <c r="AA418" s="124"/>
    </row>
    <row r="419" spans="1:27" ht="16.5">
      <c r="A419" s="124"/>
      <c r="B419" s="124"/>
      <c r="C419" s="124"/>
      <c r="D419" s="124"/>
      <c r="E419" s="124"/>
      <c r="F419" s="124"/>
      <c r="G419" s="124"/>
      <c r="H419" s="124"/>
      <c r="I419" s="124"/>
      <c r="J419" s="124"/>
      <c r="K419" s="124"/>
      <c r="L419" s="124"/>
      <c r="M419" s="124"/>
      <c r="N419" s="124"/>
      <c r="O419" s="124"/>
      <c r="P419" s="124"/>
      <c r="Q419" s="130"/>
      <c r="R419" s="124"/>
      <c r="S419" s="124"/>
      <c r="T419" s="124"/>
      <c r="U419" s="124"/>
      <c r="V419" s="17"/>
      <c r="W419" s="312"/>
      <c r="X419" s="124"/>
      <c r="Y419" s="124"/>
      <c r="Z419" s="124"/>
      <c r="AA419" s="124"/>
    </row>
    <row r="420" spans="1:27" ht="16.5">
      <c r="A420" s="124"/>
      <c r="B420" s="124"/>
      <c r="C420" s="124"/>
      <c r="D420" s="124"/>
      <c r="E420" s="124"/>
      <c r="F420" s="124"/>
      <c r="G420" s="124"/>
      <c r="H420" s="124"/>
      <c r="I420" s="124"/>
      <c r="J420" s="124"/>
      <c r="K420" s="124"/>
      <c r="L420" s="124"/>
      <c r="M420" s="124"/>
      <c r="N420" s="124"/>
      <c r="O420" s="124"/>
      <c r="P420" s="124"/>
      <c r="Q420" s="130"/>
      <c r="R420" s="124"/>
      <c r="S420" s="124"/>
      <c r="T420" s="124"/>
      <c r="U420" s="124"/>
      <c r="V420" s="17"/>
      <c r="W420" s="312"/>
      <c r="X420" s="124"/>
      <c r="Y420" s="124"/>
      <c r="Z420" s="124"/>
      <c r="AA420" s="124"/>
    </row>
    <row r="421" spans="1:27" ht="16.5">
      <c r="A421" s="124"/>
      <c r="B421" s="124"/>
      <c r="C421" s="124"/>
      <c r="D421" s="124"/>
      <c r="E421" s="124"/>
      <c r="F421" s="124"/>
      <c r="G421" s="124"/>
      <c r="H421" s="124"/>
      <c r="I421" s="124"/>
      <c r="J421" s="124"/>
      <c r="K421" s="124"/>
      <c r="L421" s="124"/>
      <c r="M421" s="124"/>
      <c r="N421" s="124"/>
      <c r="O421" s="124"/>
      <c r="P421" s="124"/>
      <c r="Q421" s="130"/>
      <c r="R421" s="124"/>
      <c r="S421" s="124"/>
      <c r="T421" s="124"/>
      <c r="U421" s="124"/>
      <c r="V421" s="17"/>
      <c r="W421" s="312"/>
      <c r="X421" s="124"/>
      <c r="Y421" s="124"/>
      <c r="Z421" s="124"/>
      <c r="AA421" s="124"/>
    </row>
    <row r="422" spans="1:27" ht="16.5">
      <c r="A422" s="124"/>
      <c r="B422" s="124"/>
      <c r="C422" s="124"/>
      <c r="D422" s="124"/>
      <c r="E422" s="124"/>
      <c r="F422" s="124"/>
      <c r="G422" s="124"/>
      <c r="H422" s="124"/>
      <c r="I422" s="124"/>
      <c r="J422" s="124"/>
      <c r="K422" s="124"/>
      <c r="L422" s="124"/>
      <c r="M422" s="124"/>
      <c r="N422" s="124"/>
      <c r="O422" s="124"/>
      <c r="P422" s="124"/>
      <c r="Q422" s="130"/>
      <c r="R422" s="124"/>
      <c r="S422" s="124"/>
      <c r="T422" s="124"/>
      <c r="U422" s="124"/>
      <c r="V422" s="17"/>
      <c r="W422" s="312"/>
      <c r="X422" s="124"/>
      <c r="Y422" s="124"/>
      <c r="Z422" s="124"/>
      <c r="AA422" s="124"/>
    </row>
    <row r="423" spans="1:27" ht="16.5">
      <c r="A423" s="124"/>
      <c r="B423" s="124"/>
      <c r="C423" s="124"/>
      <c r="D423" s="124"/>
      <c r="E423" s="124"/>
      <c r="F423" s="124"/>
      <c r="G423" s="124"/>
      <c r="H423" s="124"/>
      <c r="I423" s="124"/>
      <c r="J423" s="124"/>
      <c r="K423" s="124"/>
      <c r="L423" s="124"/>
      <c r="M423" s="124"/>
      <c r="N423" s="124"/>
      <c r="O423" s="124"/>
      <c r="P423" s="124"/>
      <c r="Q423" s="130"/>
      <c r="R423" s="124"/>
      <c r="S423" s="124"/>
      <c r="T423" s="124"/>
      <c r="U423" s="124"/>
      <c r="V423" s="17"/>
      <c r="W423" s="312"/>
      <c r="X423" s="124"/>
      <c r="Y423" s="124"/>
      <c r="Z423" s="124"/>
      <c r="AA423" s="124"/>
    </row>
    <row r="424" spans="1:27" ht="16.5">
      <c r="A424" s="124"/>
      <c r="B424" s="124"/>
      <c r="C424" s="124"/>
      <c r="D424" s="124"/>
      <c r="E424" s="124"/>
      <c r="F424" s="124"/>
      <c r="G424" s="124"/>
      <c r="H424" s="124"/>
      <c r="I424" s="124"/>
      <c r="J424" s="124"/>
      <c r="K424" s="124"/>
      <c r="L424" s="124"/>
      <c r="M424" s="124"/>
      <c r="N424" s="124"/>
      <c r="O424" s="124"/>
      <c r="P424" s="124"/>
      <c r="Q424" s="130"/>
      <c r="R424" s="124"/>
      <c r="S424" s="124"/>
      <c r="T424" s="124"/>
      <c r="U424" s="124"/>
      <c r="V424" s="17"/>
      <c r="W424" s="312"/>
      <c r="X424" s="124"/>
      <c r="Y424" s="124"/>
      <c r="Z424" s="124"/>
      <c r="AA424" s="124"/>
    </row>
    <row r="425" spans="1:27" ht="16.5">
      <c r="A425" s="124"/>
      <c r="B425" s="124"/>
      <c r="C425" s="124"/>
      <c r="D425" s="124"/>
      <c r="E425" s="124"/>
      <c r="F425" s="124"/>
      <c r="G425" s="124"/>
      <c r="H425" s="124"/>
      <c r="I425" s="124"/>
      <c r="J425" s="124"/>
      <c r="K425" s="124"/>
      <c r="L425" s="124"/>
      <c r="M425" s="124"/>
      <c r="N425" s="124"/>
      <c r="O425" s="124"/>
      <c r="P425" s="124"/>
      <c r="Q425" s="130"/>
      <c r="R425" s="124"/>
      <c r="S425" s="124"/>
      <c r="T425" s="124"/>
      <c r="U425" s="124"/>
      <c r="V425" s="17"/>
      <c r="W425" s="312"/>
      <c r="X425" s="124"/>
      <c r="Y425" s="124"/>
      <c r="Z425" s="124"/>
      <c r="AA425" s="124"/>
    </row>
    <row r="426" spans="1:27" ht="16.5">
      <c r="A426" s="124"/>
      <c r="B426" s="124"/>
      <c r="C426" s="124"/>
      <c r="D426" s="124"/>
      <c r="E426" s="124"/>
      <c r="F426" s="124"/>
      <c r="G426" s="124"/>
      <c r="H426" s="124"/>
      <c r="I426" s="124"/>
      <c r="J426" s="124"/>
      <c r="K426" s="124"/>
      <c r="L426" s="124"/>
      <c r="M426" s="124"/>
      <c r="N426" s="124"/>
      <c r="O426" s="124"/>
      <c r="P426" s="124"/>
      <c r="Q426" s="130"/>
      <c r="R426" s="124"/>
      <c r="S426" s="124"/>
      <c r="T426" s="124"/>
      <c r="U426" s="124"/>
      <c r="V426" s="17"/>
      <c r="W426" s="312"/>
      <c r="X426" s="124"/>
      <c r="Y426" s="124"/>
      <c r="Z426" s="124"/>
      <c r="AA426" s="124"/>
    </row>
    <row r="427" spans="1:27" ht="16.5">
      <c r="A427" s="124"/>
      <c r="B427" s="124"/>
      <c r="C427" s="124"/>
      <c r="D427" s="124"/>
      <c r="E427" s="124"/>
      <c r="F427" s="124"/>
      <c r="G427" s="124"/>
      <c r="H427" s="124"/>
      <c r="I427" s="124"/>
      <c r="J427" s="124"/>
      <c r="K427" s="124"/>
      <c r="L427" s="124"/>
      <c r="M427" s="124"/>
      <c r="N427" s="124"/>
      <c r="O427" s="124"/>
      <c r="P427" s="124"/>
      <c r="Q427" s="130"/>
      <c r="R427" s="124"/>
      <c r="S427" s="124"/>
      <c r="T427" s="124"/>
      <c r="U427" s="124"/>
      <c r="V427" s="17"/>
      <c r="W427" s="312"/>
      <c r="X427" s="124"/>
      <c r="Y427" s="124"/>
      <c r="Z427" s="124"/>
      <c r="AA427" s="124"/>
    </row>
    <row r="428" spans="1:27" ht="16.5">
      <c r="A428" s="124"/>
      <c r="B428" s="124"/>
      <c r="C428" s="124"/>
      <c r="D428" s="124"/>
      <c r="E428" s="124"/>
      <c r="F428" s="124"/>
      <c r="G428" s="124"/>
      <c r="H428" s="124"/>
      <c r="I428" s="124"/>
      <c r="J428" s="124"/>
      <c r="K428" s="124"/>
      <c r="L428" s="124"/>
      <c r="M428" s="124"/>
      <c r="N428" s="124"/>
      <c r="O428" s="124"/>
      <c r="P428" s="124"/>
      <c r="Q428" s="130"/>
      <c r="R428" s="124"/>
      <c r="S428" s="124"/>
      <c r="T428" s="124"/>
      <c r="U428" s="124"/>
      <c r="V428" s="17"/>
      <c r="W428" s="312"/>
      <c r="X428" s="124"/>
      <c r="Y428" s="124"/>
      <c r="Z428" s="124"/>
      <c r="AA428" s="124"/>
    </row>
    <row r="429" spans="1:27" ht="16.5">
      <c r="A429" s="124"/>
      <c r="B429" s="124"/>
      <c r="C429" s="124"/>
      <c r="D429" s="124"/>
      <c r="E429" s="124"/>
      <c r="F429" s="124"/>
      <c r="G429" s="124"/>
      <c r="H429" s="124"/>
      <c r="I429" s="124"/>
      <c r="J429" s="124"/>
      <c r="K429" s="124"/>
      <c r="L429" s="124"/>
      <c r="M429" s="124"/>
      <c r="N429" s="124"/>
      <c r="O429" s="124"/>
      <c r="P429" s="124"/>
      <c r="Q429" s="130"/>
      <c r="R429" s="124"/>
      <c r="S429" s="124"/>
      <c r="T429" s="124"/>
      <c r="U429" s="124"/>
      <c r="V429" s="17"/>
      <c r="W429" s="312"/>
      <c r="X429" s="124"/>
      <c r="Y429" s="124"/>
      <c r="Z429" s="124"/>
      <c r="AA429" s="124"/>
    </row>
    <row r="430" spans="1:27" ht="16.5">
      <c r="A430" s="124"/>
      <c r="B430" s="124"/>
      <c r="C430" s="124"/>
      <c r="D430" s="124"/>
      <c r="E430" s="124"/>
      <c r="F430" s="124"/>
      <c r="G430" s="124"/>
      <c r="H430" s="124"/>
      <c r="I430" s="124"/>
      <c r="J430" s="124"/>
      <c r="K430" s="124"/>
      <c r="L430" s="124"/>
      <c r="M430" s="124"/>
      <c r="N430" s="124"/>
      <c r="O430" s="124"/>
      <c r="P430" s="124"/>
      <c r="Q430" s="130"/>
      <c r="R430" s="124"/>
      <c r="S430" s="124"/>
      <c r="T430" s="124"/>
      <c r="U430" s="124"/>
      <c r="V430" s="17"/>
      <c r="W430" s="312"/>
      <c r="X430" s="124"/>
      <c r="Y430" s="124"/>
      <c r="Z430" s="124"/>
      <c r="AA430" s="124"/>
    </row>
    <row r="431" spans="1:27" ht="16.5">
      <c r="A431" s="124"/>
      <c r="B431" s="124"/>
      <c r="C431" s="124"/>
      <c r="D431" s="124"/>
      <c r="E431" s="124"/>
      <c r="F431" s="124"/>
      <c r="G431" s="124"/>
      <c r="H431" s="124"/>
      <c r="I431" s="124"/>
      <c r="J431" s="124"/>
      <c r="K431" s="124"/>
      <c r="L431" s="124"/>
      <c r="M431" s="124"/>
      <c r="N431" s="124"/>
      <c r="O431" s="124"/>
      <c r="P431" s="124"/>
      <c r="Q431" s="130"/>
      <c r="R431" s="124"/>
      <c r="S431" s="124"/>
      <c r="T431" s="124"/>
      <c r="U431" s="124"/>
      <c r="V431" s="17"/>
      <c r="W431" s="312"/>
      <c r="X431" s="124"/>
      <c r="Y431" s="124"/>
      <c r="Z431" s="124"/>
      <c r="AA431" s="124"/>
    </row>
    <row r="432" spans="1:27" ht="16.5">
      <c r="A432" s="124"/>
      <c r="B432" s="124"/>
      <c r="C432" s="124"/>
      <c r="D432" s="124"/>
      <c r="E432" s="124"/>
      <c r="F432" s="124"/>
      <c r="G432" s="124"/>
      <c r="H432" s="124"/>
      <c r="I432" s="124"/>
      <c r="J432" s="124"/>
      <c r="K432" s="124"/>
      <c r="L432" s="124"/>
      <c r="M432" s="124"/>
      <c r="N432" s="124"/>
      <c r="O432" s="124"/>
      <c r="P432" s="124"/>
      <c r="Q432" s="130"/>
      <c r="R432" s="124"/>
      <c r="S432" s="124"/>
      <c r="T432" s="124"/>
      <c r="U432" s="124"/>
      <c r="V432" s="17"/>
      <c r="W432" s="312"/>
      <c r="X432" s="124"/>
      <c r="Y432" s="124"/>
      <c r="Z432" s="124"/>
      <c r="AA432" s="124"/>
    </row>
    <row r="433" spans="1:27" ht="16.5">
      <c r="A433" s="124"/>
      <c r="B433" s="124"/>
      <c r="C433" s="124"/>
      <c r="D433" s="124"/>
      <c r="E433" s="124"/>
      <c r="F433" s="124"/>
      <c r="G433" s="124"/>
      <c r="H433" s="124"/>
      <c r="I433" s="124"/>
      <c r="J433" s="124"/>
      <c r="K433" s="124"/>
      <c r="L433" s="124"/>
      <c r="M433" s="124"/>
      <c r="N433" s="124"/>
      <c r="O433" s="124"/>
      <c r="P433" s="124"/>
      <c r="Q433" s="130"/>
      <c r="R433" s="124"/>
      <c r="S433" s="124"/>
      <c r="T433" s="124"/>
      <c r="U433" s="124"/>
      <c r="V433" s="17"/>
      <c r="W433" s="312"/>
      <c r="X433" s="124"/>
      <c r="Y433" s="124"/>
      <c r="Z433" s="124"/>
      <c r="AA433" s="124"/>
    </row>
    <row r="434" spans="1:27" ht="16.5">
      <c r="A434" s="124"/>
      <c r="B434" s="124"/>
      <c r="C434" s="124"/>
      <c r="D434" s="124"/>
      <c r="E434" s="124"/>
      <c r="F434" s="124"/>
      <c r="G434" s="124"/>
      <c r="H434" s="124"/>
      <c r="I434" s="124"/>
      <c r="J434" s="124"/>
      <c r="K434" s="124"/>
      <c r="L434" s="124"/>
      <c r="M434" s="124"/>
      <c r="N434" s="124"/>
      <c r="O434" s="124"/>
      <c r="P434" s="124"/>
      <c r="Q434" s="130"/>
      <c r="R434" s="124"/>
      <c r="S434" s="124"/>
      <c r="T434" s="124"/>
      <c r="U434" s="124"/>
      <c r="V434" s="17"/>
      <c r="W434" s="312"/>
      <c r="X434" s="124"/>
      <c r="Y434" s="124"/>
      <c r="Z434" s="124"/>
      <c r="AA434" s="124"/>
    </row>
    <row r="435" spans="1:27" ht="16.5">
      <c r="A435" s="124"/>
      <c r="B435" s="124"/>
      <c r="C435" s="124"/>
      <c r="D435" s="124"/>
      <c r="E435" s="124"/>
      <c r="F435" s="124"/>
      <c r="G435" s="124"/>
      <c r="H435" s="124"/>
      <c r="I435" s="124"/>
      <c r="J435" s="124"/>
      <c r="K435" s="124"/>
      <c r="L435" s="124"/>
      <c r="M435" s="124"/>
      <c r="N435" s="124"/>
      <c r="O435" s="124"/>
      <c r="P435" s="124"/>
      <c r="Q435" s="130"/>
      <c r="R435" s="124"/>
      <c r="S435" s="124"/>
      <c r="T435" s="124"/>
      <c r="U435" s="124"/>
      <c r="V435" s="17"/>
      <c r="W435" s="312"/>
      <c r="X435" s="124"/>
      <c r="Y435" s="124"/>
      <c r="Z435" s="124"/>
      <c r="AA435" s="124"/>
    </row>
    <row r="436" spans="1:27" ht="16.5">
      <c r="A436" s="124"/>
      <c r="B436" s="124"/>
      <c r="C436" s="124"/>
      <c r="D436" s="124"/>
      <c r="E436" s="124"/>
      <c r="F436" s="124"/>
      <c r="G436" s="124"/>
      <c r="H436" s="124"/>
      <c r="I436" s="124"/>
      <c r="J436" s="124"/>
      <c r="K436" s="124"/>
      <c r="L436" s="124"/>
      <c r="M436" s="124"/>
      <c r="N436" s="124"/>
      <c r="O436" s="124"/>
      <c r="P436" s="124"/>
      <c r="Q436" s="130"/>
      <c r="R436" s="124"/>
      <c r="S436" s="124"/>
      <c r="T436" s="124"/>
      <c r="U436" s="124"/>
      <c r="V436" s="17"/>
      <c r="W436" s="312"/>
      <c r="X436" s="124"/>
      <c r="Y436" s="124"/>
      <c r="Z436" s="124"/>
      <c r="AA436" s="124"/>
    </row>
    <row r="437" spans="1:27" ht="16.5">
      <c r="A437" s="124"/>
      <c r="B437" s="124"/>
      <c r="C437" s="124"/>
      <c r="D437" s="124"/>
      <c r="E437" s="124"/>
      <c r="F437" s="124"/>
      <c r="G437" s="124"/>
      <c r="H437" s="124"/>
      <c r="I437" s="124"/>
      <c r="J437" s="124"/>
      <c r="K437" s="124"/>
      <c r="L437" s="124"/>
      <c r="M437" s="124"/>
      <c r="N437" s="124"/>
      <c r="O437" s="124"/>
      <c r="P437" s="124"/>
      <c r="Q437" s="130"/>
      <c r="R437" s="124"/>
      <c r="S437" s="124"/>
      <c r="T437" s="124"/>
      <c r="U437" s="124"/>
      <c r="V437" s="17"/>
      <c r="W437" s="312"/>
      <c r="X437" s="124"/>
      <c r="Y437" s="124"/>
      <c r="Z437" s="124"/>
      <c r="AA437" s="124"/>
    </row>
    <row r="438" spans="1:27" ht="16.5">
      <c r="A438" s="124"/>
      <c r="B438" s="124"/>
      <c r="C438" s="124"/>
      <c r="D438" s="124"/>
      <c r="E438" s="124"/>
      <c r="F438" s="124"/>
      <c r="G438" s="124"/>
      <c r="H438" s="124"/>
      <c r="I438" s="124"/>
      <c r="J438" s="124"/>
      <c r="K438" s="124"/>
      <c r="L438" s="124"/>
      <c r="M438" s="124"/>
      <c r="N438" s="124"/>
      <c r="O438" s="124"/>
      <c r="P438" s="124"/>
      <c r="Q438" s="130"/>
      <c r="R438" s="124"/>
      <c r="S438" s="124"/>
      <c r="T438" s="124"/>
      <c r="U438" s="124"/>
      <c r="V438" s="17"/>
      <c r="W438" s="312"/>
      <c r="X438" s="124"/>
      <c r="Y438" s="124"/>
      <c r="Z438" s="124"/>
      <c r="AA438" s="124"/>
    </row>
    <row r="439" spans="1:27" ht="16.5">
      <c r="A439" s="124"/>
      <c r="B439" s="124"/>
      <c r="C439" s="124"/>
      <c r="D439" s="124"/>
      <c r="E439" s="124"/>
      <c r="F439" s="124"/>
      <c r="G439" s="124"/>
      <c r="H439" s="124"/>
      <c r="I439" s="124"/>
      <c r="J439" s="124"/>
      <c r="K439" s="124"/>
      <c r="L439" s="124"/>
      <c r="M439" s="124"/>
      <c r="N439" s="124"/>
      <c r="O439" s="124"/>
      <c r="P439" s="124"/>
      <c r="Q439" s="130"/>
      <c r="R439" s="124"/>
      <c r="S439" s="124"/>
      <c r="T439" s="124"/>
      <c r="U439" s="124"/>
      <c r="V439" s="17"/>
      <c r="W439" s="312"/>
      <c r="X439" s="124"/>
      <c r="Y439" s="124"/>
      <c r="Z439" s="124"/>
      <c r="AA439" s="124"/>
    </row>
    <row r="440" spans="1:27" ht="16.5">
      <c r="A440" s="124"/>
      <c r="B440" s="124"/>
      <c r="C440" s="124"/>
      <c r="D440" s="124"/>
      <c r="E440" s="124"/>
      <c r="F440" s="124"/>
      <c r="G440" s="124"/>
      <c r="H440" s="124"/>
      <c r="I440" s="124"/>
      <c r="J440" s="124"/>
      <c r="K440" s="124"/>
      <c r="L440" s="124"/>
      <c r="M440" s="124"/>
      <c r="N440" s="124"/>
      <c r="O440" s="124"/>
      <c r="P440" s="124"/>
      <c r="Q440" s="130"/>
      <c r="R440" s="124"/>
      <c r="S440" s="124"/>
      <c r="T440" s="124"/>
      <c r="U440" s="124"/>
      <c r="V440" s="17"/>
      <c r="W440" s="312"/>
      <c r="X440" s="124"/>
      <c r="Y440" s="124"/>
      <c r="Z440" s="124"/>
      <c r="AA440" s="124"/>
    </row>
    <row r="441" spans="1:27" ht="16.5">
      <c r="A441" s="124"/>
      <c r="B441" s="124"/>
      <c r="C441" s="124"/>
      <c r="D441" s="124"/>
      <c r="E441" s="124"/>
      <c r="F441" s="124"/>
      <c r="G441" s="124"/>
      <c r="H441" s="124"/>
      <c r="I441" s="124"/>
      <c r="J441" s="124"/>
      <c r="K441" s="124"/>
      <c r="L441" s="124"/>
      <c r="M441" s="124"/>
      <c r="N441" s="124"/>
      <c r="O441" s="124"/>
      <c r="P441" s="124"/>
      <c r="Q441" s="130"/>
      <c r="R441" s="124"/>
      <c r="S441" s="124"/>
      <c r="T441" s="124"/>
      <c r="U441" s="124"/>
      <c r="V441" s="17"/>
      <c r="W441" s="312"/>
      <c r="X441" s="124"/>
      <c r="Y441" s="124"/>
      <c r="Z441" s="124"/>
      <c r="AA441" s="124"/>
    </row>
    <row r="442" spans="1:27" ht="16.5">
      <c r="A442" s="124"/>
      <c r="B442" s="124"/>
      <c r="C442" s="124"/>
      <c r="D442" s="124"/>
      <c r="E442" s="124"/>
      <c r="F442" s="124"/>
      <c r="G442" s="124"/>
      <c r="H442" s="124"/>
      <c r="I442" s="124"/>
      <c r="J442" s="124"/>
      <c r="K442" s="124"/>
      <c r="L442" s="124"/>
      <c r="M442" s="124"/>
      <c r="N442" s="124"/>
      <c r="O442" s="124"/>
      <c r="P442" s="124"/>
      <c r="Q442" s="130"/>
      <c r="R442" s="124"/>
      <c r="S442" s="124"/>
      <c r="T442" s="124"/>
      <c r="U442" s="124"/>
      <c r="V442" s="17"/>
      <c r="W442" s="312"/>
      <c r="X442" s="124"/>
      <c r="Y442" s="124"/>
      <c r="Z442" s="124"/>
      <c r="AA442" s="124"/>
    </row>
    <row r="443" spans="1:27" ht="16.5">
      <c r="A443" s="124"/>
      <c r="B443" s="124"/>
      <c r="C443" s="124"/>
      <c r="D443" s="124"/>
      <c r="E443" s="124"/>
      <c r="F443" s="124"/>
      <c r="G443" s="124"/>
      <c r="H443" s="124"/>
      <c r="I443" s="124"/>
      <c r="J443" s="124"/>
      <c r="K443" s="124"/>
      <c r="L443" s="124"/>
      <c r="M443" s="124"/>
      <c r="N443" s="124"/>
      <c r="O443" s="124"/>
      <c r="P443" s="124"/>
      <c r="Q443" s="130"/>
      <c r="R443" s="124"/>
      <c r="S443" s="124"/>
      <c r="T443" s="124"/>
      <c r="U443" s="124"/>
      <c r="V443" s="17"/>
      <c r="W443" s="312"/>
      <c r="X443" s="124"/>
      <c r="Y443" s="124"/>
      <c r="Z443" s="124"/>
      <c r="AA443" s="124"/>
    </row>
    <row r="444" spans="1:27" ht="16.5">
      <c r="A444" s="124"/>
      <c r="B444" s="124"/>
      <c r="C444" s="124"/>
      <c r="D444" s="124"/>
      <c r="E444" s="124"/>
      <c r="F444" s="124"/>
      <c r="G444" s="124"/>
      <c r="H444" s="124"/>
      <c r="I444" s="124"/>
      <c r="J444" s="124"/>
      <c r="K444" s="124"/>
      <c r="L444" s="124"/>
      <c r="M444" s="124"/>
      <c r="N444" s="124"/>
      <c r="O444" s="124"/>
      <c r="P444" s="124"/>
      <c r="Q444" s="130"/>
      <c r="R444" s="124"/>
      <c r="S444" s="124"/>
      <c r="T444" s="124"/>
      <c r="U444" s="124"/>
      <c r="V444" s="17"/>
      <c r="W444" s="312"/>
      <c r="X444" s="124"/>
      <c r="Y444" s="124"/>
      <c r="Z444" s="124"/>
      <c r="AA444" s="124"/>
    </row>
    <row r="445" spans="1:27" ht="16.5">
      <c r="A445" s="124"/>
      <c r="B445" s="124"/>
      <c r="C445" s="124"/>
      <c r="D445" s="124"/>
      <c r="E445" s="124"/>
      <c r="F445" s="124"/>
      <c r="G445" s="124"/>
      <c r="H445" s="124"/>
      <c r="I445" s="124"/>
      <c r="J445" s="124"/>
      <c r="K445" s="124"/>
      <c r="L445" s="124"/>
      <c r="M445" s="124"/>
      <c r="N445" s="124"/>
      <c r="O445" s="124"/>
      <c r="P445" s="124"/>
      <c r="Q445" s="130"/>
      <c r="R445" s="124"/>
      <c r="S445" s="124"/>
      <c r="T445" s="124"/>
      <c r="U445" s="124"/>
      <c r="V445" s="17"/>
      <c r="W445" s="312"/>
      <c r="X445" s="124"/>
      <c r="Y445" s="124"/>
      <c r="Z445" s="124"/>
      <c r="AA445" s="124"/>
    </row>
    <row r="446" spans="1:27" ht="16.5">
      <c r="A446" s="124"/>
      <c r="B446" s="124"/>
      <c r="C446" s="124"/>
      <c r="D446" s="124"/>
      <c r="E446" s="124"/>
      <c r="F446" s="124"/>
      <c r="G446" s="124"/>
      <c r="H446" s="124"/>
      <c r="I446" s="124"/>
      <c r="J446" s="124"/>
      <c r="K446" s="124"/>
      <c r="L446" s="124"/>
      <c r="M446" s="124"/>
      <c r="N446" s="124"/>
      <c r="O446" s="124"/>
      <c r="P446" s="124"/>
      <c r="Q446" s="130"/>
      <c r="R446" s="124"/>
      <c r="S446" s="124"/>
      <c r="T446" s="124"/>
      <c r="U446" s="124"/>
      <c r="V446" s="17"/>
      <c r="W446" s="312"/>
      <c r="X446" s="124"/>
      <c r="Y446" s="124"/>
      <c r="Z446" s="124"/>
      <c r="AA446" s="124"/>
    </row>
    <row r="447" spans="1:27" ht="16.5">
      <c r="A447" s="124"/>
      <c r="B447" s="124"/>
      <c r="C447" s="124"/>
      <c r="D447" s="124"/>
      <c r="E447" s="124"/>
      <c r="F447" s="124"/>
      <c r="G447" s="124"/>
      <c r="H447" s="124"/>
      <c r="I447" s="124"/>
      <c r="J447" s="124"/>
      <c r="K447" s="124"/>
      <c r="L447" s="124"/>
      <c r="M447" s="124"/>
      <c r="N447" s="124"/>
      <c r="O447" s="124"/>
      <c r="P447" s="124"/>
      <c r="Q447" s="130"/>
      <c r="R447" s="124"/>
      <c r="S447" s="124"/>
      <c r="T447" s="124"/>
      <c r="U447" s="124"/>
      <c r="V447" s="17"/>
      <c r="W447" s="312"/>
      <c r="X447" s="124"/>
      <c r="Y447" s="124"/>
      <c r="Z447" s="124"/>
      <c r="AA447" s="124"/>
    </row>
    <row r="448" spans="1:27" ht="16.5">
      <c r="A448" s="124"/>
      <c r="B448" s="124"/>
      <c r="C448" s="124"/>
      <c r="D448" s="124"/>
      <c r="E448" s="124"/>
      <c r="F448" s="124"/>
      <c r="G448" s="124"/>
      <c r="H448" s="124"/>
      <c r="I448" s="124"/>
      <c r="J448" s="124"/>
      <c r="K448" s="124"/>
      <c r="L448" s="124"/>
      <c r="M448" s="124"/>
      <c r="N448" s="124"/>
      <c r="O448" s="124"/>
      <c r="P448" s="124"/>
      <c r="Q448" s="130"/>
      <c r="R448" s="124"/>
      <c r="S448" s="124"/>
      <c r="T448" s="124"/>
      <c r="U448" s="124"/>
      <c r="V448" s="17"/>
      <c r="W448" s="312"/>
      <c r="X448" s="124"/>
      <c r="Y448" s="124"/>
      <c r="Z448" s="124"/>
      <c r="AA448" s="124"/>
    </row>
    <row r="449" spans="1:27" ht="16.5">
      <c r="A449" s="124"/>
      <c r="B449" s="124"/>
      <c r="C449" s="124"/>
      <c r="D449" s="124"/>
      <c r="E449" s="124"/>
      <c r="F449" s="124"/>
      <c r="G449" s="124"/>
      <c r="H449" s="124"/>
      <c r="I449" s="124"/>
      <c r="J449" s="124"/>
      <c r="K449" s="124"/>
      <c r="L449" s="124"/>
      <c r="M449" s="124"/>
      <c r="N449" s="124"/>
      <c r="O449" s="124"/>
      <c r="P449" s="124"/>
      <c r="Q449" s="130"/>
      <c r="R449" s="124"/>
      <c r="S449" s="124"/>
      <c r="T449" s="124"/>
      <c r="U449" s="124"/>
      <c r="V449" s="17"/>
      <c r="W449" s="312"/>
      <c r="X449" s="124"/>
      <c r="Y449" s="124"/>
      <c r="Z449" s="124"/>
      <c r="AA449" s="124"/>
    </row>
    <row r="450" spans="1:27" ht="16.5">
      <c r="A450" s="124"/>
      <c r="B450" s="124"/>
      <c r="C450" s="124"/>
      <c r="D450" s="124"/>
      <c r="E450" s="124"/>
      <c r="F450" s="124"/>
      <c r="G450" s="124"/>
      <c r="H450" s="124"/>
      <c r="I450" s="124"/>
      <c r="J450" s="124"/>
      <c r="K450" s="124"/>
      <c r="L450" s="124"/>
      <c r="M450" s="124"/>
      <c r="N450" s="124"/>
      <c r="O450" s="124"/>
      <c r="P450" s="124"/>
      <c r="Q450" s="130"/>
      <c r="R450" s="124"/>
      <c r="S450" s="124"/>
      <c r="T450" s="124"/>
      <c r="U450" s="124"/>
      <c r="V450" s="17"/>
      <c r="W450" s="312"/>
      <c r="X450" s="124"/>
      <c r="Y450" s="124"/>
      <c r="Z450" s="124"/>
      <c r="AA450" s="124"/>
    </row>
    <row r="451" spans="1:27" ht="16.5">
      <c r="A451" s="124"/>
      <c r="B451" s="124"/>
      <c r="C451" s="124"/>
      <c r="D451" s="124"/>
      <c r="E451" s="124"/>
      <c r="F451" s="124"/>
      <c r="G451" s="124"/>
      <c r="H451" s="124"/>
      <c r="I451" s="124"/>
      <c r="J451" s="124"/>
      <c r="K451" s="124"/>
      <c r="L451" s="124"/>
      <c r="M451" s="124"/>
      <c r="N451" s="124"/>
      <c r="O451" s="124"/>
      <c r="P451" s="124"/>
      <c r="Q451" s="130"/>
      <c r="R451" s="124"/>
      <c r="S451" s="124"/>
      <c r="T451" s="124"/>
      <c r="U451" s="124"/>
      <c r="V451" s="17"/>
      <c r="W451" s="312"/>
      <c r="X451" s="124"/>
      <c r="Y451" s="124"/>
      <c r="Z451" s="124"/>
      <c r="AA451" s="124"/>
    </row>
    <row r="452" spans="1:27" ht="16.5">
      <c r="A452" s="124"/>
      <c r="B452" s="124"/>
      <c r="C452" s="124"/>
      <c r="D452" s="124"/>
      <c r="E452" s="124"/>
      <c r="F452" s="124"/>
      <c r="G452" s="124"/>
      <c r="H452" s="124"/>
      <c r="I452" s="124"/>
      <c r="J452" s="124"/>
      <c r="K452" s="124"/>
      <c r="L452" s="124"/>
      <c r="M452" s="124"/>
      <c r="N452" s="124"/>
      <c r="O452" s="124"/>
      <c r="P452" s="124"/>
      <c r="Q452" s="130"/>
      <c r="R452" s="124"/>
      <c r="S452" s="124"/>
      <c r="T452" s="124"/>
      <c r="U452" s="124"/>
      <c r="V452" s="17"/>
      <c r="W452" s="312"/>
      <c r="X452" s="124"/>
      <c r="Y452" s="124"/>
      <c r="Z452" s="124"/>
      <c r="AA452" s="124"/>
    </row>
    <row r="453" spans="1:27" ht="16.5">
      <c r="A453" s="124"/>
      <c r="B453" s="124"/>
      <c r="C453" s="124"/>
      <c r="D453" s="124"/>
      <c r="E453" s="124"/>
      <c r="F453" s="124"/>
      <c r="G453" s="124"/>
      <c r="H453" s="124"/>
      <c r="I453" s="124"/>
      <c r="J453" s="124"/>
      <c r="K453" s="124"/>
      <c r="L453" s="124"/>
      <c r="M453" s="124"/>
      <c r="N453" s="124"/>
      <c r="O453" s="124"/>
      <c r="P453" s="124"/>
      <c r="Q453" s="130"/>
      <c r="R453" s="124"/>
      <c r="S453" s="124"/>
      <c r="T453" s="124"/>
      <c r="U453" s="124"/>
      <c r="V453" s="17"/>
      <c r="W453" s="312"/>
      <c r="X453" s="124"/>
      <c r="Y453" s="124"/>
      <c r="Z453" s="124"/>
      <c r="AA453" s="124"/>
    </row>
    <row r="454" spans="1:27" ht="16.5">
      <c r="A454" s="124"/>
      <c r="B454" s="124"/>
      <c r="C454" s="124"/>
      <c r="D454" s="124"/>
      <c r="E454" s="124"/>
      <c r="F454" s="124"/>
      <c r="G454" s="124"/>
      <c r="H454" s="124"/>
      <c r="I454" s="124"/>
      <c r="J454" s="124"/>
      <c r="K454" s="124"/>
      <c r="L454" s="124"/>
      <c r="M454" s="124"/>
      <c r="N454" s="124"/>
      <c r="O454" s="124"/>
      <c r="P454" s="124"/>
      <c r="Q454" s="130"/>
      <c r="R454" s="124"/>
      <c r="S454" s="124"/>
      <c r="T454" s="124"/>
      <c r="U454" s="124"/>
      <c r="V454" s="17"/>
      <c r="W454" s="312"/>
      <c r="X454" s="124"/>
      <c r="Y454" s="124"/>
      <c r="Z454" s="124"/>
      <c r="AA454" s="124"/>
    </row>
    <row r="455" spans="1:27" ht="16.5">
      <c r="A455" s="124"/>
      <c r="B455" s="124"/>
      <c r="C455" s="124"/>
      <c r="D455" s="124"/>
      <c r="E455" s="124"/>
      <c r="F455" s="124"/>
      <c r="G455" s="124"/>
      <c r="H455" s="124"/>
      <c r="I455" s="124"/>
      <c r="J455" s="124"/>
      <c r="K455" s="124"/>
      <c r="L455" s="124"/>
      <c r="M455" s="124"/>
      <c r="N455" s="124"/>
      <c r="O455" s="124"/>
      <c r="P455" s="124"/>
      <c r="Q455" s="130"/>
      <c r="R455" s="124"/>
      <c r="S455" s="124"/>
      <c r="T455" s="124"/>
      <c r="U455" s="124"/>
      <c r="V455" s="17"/>
      <c r="W455" s="312"/>
      <c r="X455" s="124"/>
      <c r="Y455" s="124"/>
      <c r="Z455" s="124"/>
      <c r="AA455" s="124"/>
    </row>
    <row r="456" spans="1:27" ht="16.5">
      <c r="A456" s="124"/>
      <c r="B456" s="124"/>
      <c r="C456" s="124"/>
      <c r="D456" s="124"/>
      <c r="E456" s="124"/>
      <c r="F456" s="124"/>
      <c r="G456" s="124"/>
      <c r="H456" s="124"/>
      <c r="I456" s="124"/>
      <c r="J456" s="124"/>
      <c r="K456" s="124"/>
      <c r="L456" s="124"/>
      <c r="M456" s="124"/>
      <c r="N456" s="124"/>
      <c r="O456" s="124"/>
      <c r="P456" s="124"/>
      <c r="Q456" s="130"/>
      <c r="R456" s="124"/>
      <c r="S456" s="124"/>
      <c r="T456" s="124"/>
      <c r="U456" s="124"/>
      <c r="V456" s="17"/>
      <c r="W456" s="312"/>
      <c r="X456" s="124"/>
      <c r="Y456" s="124"/>
      <c r="Z456" s="124"/>
      <c r="AA456" s="124"/>
    </row>
    <row r="457" spans="1:27" ht="16.5">
      <c r="A457" s="124"/>
      <c r="B457" s="124"/>
      <c r="C457" s="124"/>
      <c r="D457" s="124"/>
      <c r="E457" s="124"/>
      <c r="F457" s="124"/>
      <c r="G457" s="124"/>
      <c r="H457" s="124"/>
      <c r="I457" s="124"/>
      <c r="J457" s="124"/>
      <c r="K457" s="124"/>
      <c r="L457" s="124"/>
      <c r="M457" s="124"/>
      <c r="N457" s="124"/>
      <c r="O457" s="124"/>
      <c r="P457" s="124"/>
      <c r="Q457" s="130"/>
      <c r="R457" s="124"/>
      <c r="S457" s="124"/>
      <c r="T457" s="124"/>
      <c r="U457" s="124"/>
      <c r="V457" s="17"/>
      <c r="W457" s="312"/>
      <c r="X457" s="124"/>
      <c r="Y457" s="124"/>
      <c r="Z457" s="124"/>
      <c r="AA457" s="124"/>
    </row>
    <row r="458" spans="1:27" ht="16.5">
      <c r="A458" s="124"/>
      <c r="B458" s="124"/>
      <c r="C458" s="124"/>
      <c r="D458" s="124"/>
      <c r="E458" s="124"/>
      <c r="F458" s="124"/>
      <c r="G458" s="124"/>
      <c r="H458" s="124"/>
      <c r="I458" s="124"/>
      <c r="J458" s="124"/>
      <c r="K458" s="124"/>
      <c r="L458" s="124"/>
      <c r="M458" s="124"/>
      <c r="N458" s="124"/>
      <c r="O458" s="124"/>
      <c r="P458" s="124"/>
      <c r="Q458" s="130"/>
      <c r="R458" s="124"/>
      <c r="S458" s="124"/>
      <c r="T458" s="124"/>
      <c r="U458" s="124"/>
      <c r="V458" s="17"/>
      <c r="W458" s="312"/>
      <c r="X458" s="124"/>
      <c r="Y458" s="124"/>
      <c r="Z458" s="124"/>
      <c r="AA458" s="124"/>
    </row>
    <row r="459" spans="1:27" ht="16.5">
      <c r="A459" s="124"/>
      <c r="B459" s="124"/>
      <c r="C459" s="124"/>
      <c r="D459" s="124"/>
      <c r="E459" s="124"/>
      <c r="F459" s="124"/>
      <c r="G459" s="124"/>
      <c r="H459" s="124"/>
      <c r="I459" s="124"/>
      <c r="J459" s="124"/>
      <c r="K459" s="124"/>
      <c r="L459" s="124"/>
      <c r="M459" s="124"/>
      <c r="N459" s="124"/>
      <c r="O459" s="124"/>
      <c r="P459" s="124"/>
      <c r="Q459" s="130"/>
      <c r="R459" s="124"/>
      <c r="S459" s="124"/>
      <c r="T459" s="124"/>
      <c r="U459" s="124"/>
      <c r="V459" s="17"/>
      <c r="W459" s="312"/>
      <c r="X459" s="124"/>
      <c r="Y459" s="124"/>
      <c r="Z459" s="124"/>
      <c r="AA459" s="124"/>
    </row>
    <row r="460" spans="1:27" ht="16.5">
      <c r="A460" s="124"/>
      <c r="B460" s="124"/>
      <c r="C460" s="124"/>
      <c r="D460" s="124"/>
      <c r="E460" s="124"/>
      <c r="F460" s="124"/>
      <c r="G460" s="124"/>
      <c r="H460" s="124"/>
      <c r="I460" s="124"/>
      <c r="J460" s="124"/>
      <c r="K460" s="124"/>
      <c r="L460" s="124"/>
      <c r="M460" s="124"/>
      <c r="N460" s="124"/>
      <c r="O460" s="124"/>
      <c r="P460" s="124"/>
      <c r="Q460" s="130"/>
      <c r="R460" s="124"/>
      <c r="S460" s="124"/>
      <c r="T460" s="124"/>
      <c r="U460" s="124"/>
      <c r="V460" s="17"/>
      <c r="W460" s="312"/>
      <c r="X460" s="124"/>
      <c r="Y460" s="124"/>
      <c r="Z460" s="124"/>
      <c r="AA460" s="124"/>
    </row>
    <row r="461" spans="1:27" ht="16.5">
      <c r="A461" s="124"/>
      <c r="B461" s="124"/>
      <c r="C461" s="124"/>
      <c r="D461" s="124"/>
      <c r="E461" s="124"/>
      <c r="F461" s="124"/>
      <c r="G461" s="124"/>
      <c r="H461" s="124"/>
      <c r="I461" s="124"/>
      <c r="J461" s="124"/>
      <c r="K461" s="124"/>
      <c r="L461" s="124"/>
      <c r="M461" s="124"/>
      <c r="N461" s="124"/>
      <c r="O461" s="124"/>
      <c r="P461" s="124"/>
      <c r="Q461" s="130"/>
      <c r="R461" s="124"/>
      <c r="S461" s="124"/>
      <c r="T461" s="124"/>
      <c r="U461" s="124"/>
      <c r="V461" s="17"/>
      <c r="W461" s="312"/>
      <c r="X461" s="124"/>
      <c r="Y461" s="124"/>
      <c r="Z461" s="124"/>
      <c r="AA461" s="124"/>
    </row>
    <row r="462" spans="1:27" ht="16.5">
      <c r="A462" s="124"/>
      <c r="B462" s="124"/>
      <c r="C462" s="124"/>
      <c r="D462" s="124"/>
      <c r="E462" s="124"/>
      <c r="F462" s="124"/>
      <c r="G462" s="124"/>
      <c r="H462" s="124"/>
      <c r="I462" s="124"/>
      <c r="J462" s="124"/>
      <c r="K462" s="124"/>
      <c r="L462" s="124"/>
      <c r="M462" s="124"/>
      <c r="N462" s="124"/>
      <c r="O462" s="124"/>
      <c r="P462" s="124"/>
      <c r="Q462" s="130"/>
      <c r="R462" s="124"/>
      <c r="S462" s="124"/>
      <c r="T462" s="124"/>
      <c r="U462" s="124"/>
      <c r="V462" s="17"/>
      <c r="W462" s="312"/>
      <c r="X462" s="124"/>
      <c r="Y462" s="124"/>
      <c r="Z462" s="124"/>
      <c r="AA462" s="124"/>
    </row>
    <row r="463" spans="1:27" ht="16.5">
      <c r="A463" s="124"/>
      <c r="B463" s="124"/>
      <c r="C463" s="124"/>
      <c r="D463" s="124"/>
      <c r="E463" s="124"/>
      <c r="F463" s="124"/>
      <c r="G463" s="124"/>
      <c r="H463" s="124"/>
      <c r="I463" s="124"/>
      <c r="J463" s="124"/>
      <c r="K463" s="124"/>
      <c r="L463" s="124"/>
      <c r="M463" s="124"/>
      <c r="N463" s="124"/>
      <c r="O463" s="124"/>
      <c r="P463" s="124"/>
      <c r="Q463" s="130"/>
      <c r="R463" s="124"/>
      <c r="S463" s="124"/>
      <c r="T463" s="124"/>
      <c r="U463" s="124"/>
      <c r="V463" s="17"/>
      <c r="W463" s="312"/>
      <c r="X463" s="124"/>
      <c r="Y463" s="124"/>
      <c r="Z463" s="124"/>
      <c r="AA463" s="124"/>
    </row>
    <row r="464" spans="1:27" ht="16.5">
      <c r="A464" s="124"/>
      <c r="B464" s="124"/>
      <c r="C464" s="124"/>
      <c r="D464" s="124"/>
      <c r="E464" s="124"/>
      <c r="F464" s="124"/>
      <c r="G464" s="124"/>
      <c r="H464" s="124"/>
      <c r="I464" s="124"/>
      <c r="J464" s="124"/>
      <c r="K464" s="124"/>
      <c r="L464" s="124"/>
      <c r="M464" s="124"/>
      <c r="N464" s="124"/>
      <c r="O464" s="124"/>
      <c r="P464" s="124"/>
      <c r="Q464" s="130"/>
      <c r="R464" s="124"/>
      <c r="S464" s="124"/>
      <c r="T464" s="124"/>
      <c r="U464" s="124"/>
      <c r="V464" s="17"/>
      <c r="W464" s="312"/>
      <c r="X464" s="124"/>
      <c r="Y464" s="124"/>
      <c r="Z464" s="124"/>
      <c r="AA464" s="124"/>
    </row>
    <row r="465" spans="1:27" ht="16.5">
      <c r="A465" s="124"/>
      <c r="B465" s="124"/>
      <c r="C465" s="124"/>
      <c r="D465" s="124"/>
      <c r="E465" s="124"/>
      <c r="F465" s="124"/>
      <c r="G465" s="124"/>
      <c r="H465" s="124"/>
      <c r="I465" s="124"/>
      <c r="J465" s="124"/>
      <c r="K465" s="124"/>
      <c r="L465" s="124"/>
      <c r="M465" s="124"/>
      <c r="N465" s="124"/>
      <c r="O465" s="124"/>
      <c r="P465" s="124"/>
      <c r="Q465" s="130"/>
      <c r="R465" s="124"/>
      <c r="S465" s="124"/>
      <c r="T465" s="124"/>
      <c r="U465" s="124"/>
      <c r="V465" s="17"/>
      <c r="W465" s="312"/>
      <c r="X465" s="124"/>
      <c r="Y465" s="124"/>
      <c r="Z465" s="124"/>
      <c r="AA465" s="124"/>
    </row>
    <row r="466" spans="1:27" ht="16.5">
      <c r="A466" s="124"/>
      <c r="B466" s="124"/>
      <c r="C466" s="124"/>
      <c r="D466" s="124"/>
      <c r="E466" s="124"/>
      <c r="F466" s="124"/>
      <c r="G466" s="124"/>
      <c r="H466" s="124"/>
      <c r="I466" s="124"/>
      <c r="J466" s="124"/>
      <c r="K466" s="124"/>
      <c r="L466" s="124"/>
      <c r="M466" s="124"/>
      <c r="N466" s="124"/>
      <c r="O466" s="124"/>
      <c r="P466" s="124"/>
      <c r="Q466" s="130"/>
      <c r="R466" s="124"/>
      <c r="S466" s="124"/>
      <c r="T466" s="124"/>
      <c r="U466" s="124"/>
      <c r="V466" s="17"/>
      <c r="W466" s="312"/>
      <c r="X466" s="124"/>
      <c r="Y466" s="124"/>
      <c r="Z466" s="124"/>
      <c r="AA466" s="124"/>
    </row>
    <row r="467" spans="1:27" ht="16.5">
      <c r="A467" s="124"/>
      <c r="B467" s="124"/>
      <c r="C467" s="124"/>
      <c r="D467" s="124"/>
      <c r="E467" s="124"/>
      <c r="F467" s="124"/>
      <c r="G467" s="124"/>
      <c r="H467" s="124"/>
      <c r="I467" s="124"/>
      <c r="J467" s="124"/>
      <c r="K467" s="124"/>
      <c r="L467" s="124"/>
      <c r="M467" s="124"/>
      <c r="N467" s="124"/>
      <c r="O467" s="124"/>
      <c r="P467" s="124"/>
      <c r="Q467" s="130"/>
      <c r="R467" s="124"/>
      <c r="S467" s="124"/>
      <c r="T467" s="124"/>
      <c r="U467" s="124"/>
      <c r="V467" s="17"/>
      <c r="W467" s="312"/>
      <c r="X467" s="124"/>
      <c r="Y467" s="124"/>
      <c r="Z467" s="124"/>
      <c r="AA467" s="124"/>
    </row>
    <row r="468" spans="1:27" ht="16.5">
      <c r="A468" s="124"/>
      <c r="B468" s="124"/>
      <c r="C468" s="124"/>
      <c r="D468" s="124"/>
      <c r="E468" s="124"/>
      <c r="F468" s="124"/>
      <c r="G468" s="124"/>
      <c r="H468" s="124"/>
      <c r="I468" s="124"/>
      <c r="J468" s="124"/>
      <c r="K468" s="124"/>
      <c r="L468" s="124"/>
      <c r="M468" s="124"/>
      <c r="N468" s="124"/>
      <c r="O468" s="124"/>
      <c r="P468" s="124"/>
      <c r="Q468" s="130"/>
      <c r="R468" s="124"/>
      <c r="S468" s="124"/>
      <c r="T468" s="124"/>
      <c r="U468" s="124"/>
      <c r="V468" s="17"/>
      <c r="W468" s="312"/>
      <c r="X468" s="124"/>
      <c r="Y468" s="124"/>
      <c r="Z468" s="124"/>
      <c r="AA468" s="124"/>
    </row>
    <row r="469" spans="1:27" ht="16.5">
      <c r="A469" s="124"/>
      <c r="B469" s="124"/>
      <c r="C469" s="124"/>
      <c r="D469" s="124"/>
      <c r="E469" s="124"/>
      <c r="F469" s="124"/>
      <c r="G469" s="124"/>
      <c r="H469" s="124"/>
      <c r="I469" s="124"/>
      <c r="J469" s="124"/>
      <c r="K469" s="124"/>
      <c r="L469" s="124"/>
      <c r="M469" s="124"/>
      <c r="N469" s="124"/>
      <c r="O469" s="124"/>
      <c r="P469" s="124"/>
      <c r="Q469" s="130"/>
      <c r="R469" s="124"/>
      <c r="S469" s="124"/>
      <c r="T469" s="124"/>
      <c r="U469" s="124"/>
      <c r="V469" s="17"/>
      <c r="W469" s="312"/>
      <c r="X469" s="124"/>
      <c r="Y469" s="124"/>
      <c r="Z469" s="124"/>
      <c r="AA469" s="124"/>
    </row>
    <row r="470" spans="1:27" ht="16.5">
      <c r="A470" s="124"/>
      <c r="B470" s="124"/>
      <c r="C470" s="124"/>
      <c r="D470" s="124"/>
      <c r="E470" s="124"/>
      <c r="F470" s="124"/>
      <c r="G470" s="124"/>
      <c r="H470" s="124"/>
      <c r="I470" s="124"/>
      <c r="J470" s="124"/>
      <c r="K470" s="124"/>
      <c r="L470" s="124"/>
      <c r="M470" s="124"/>
      <c r="N470" s="124"/>
      <c r="O470" s="124"/>
      <c r="P470" s="124"/>
      <c r="Q470" s="130"/>
      <c r="R470" s="124"/>
      <c r="S470" s="124"/>
      <c r="T470" s="124"/>
      <c r="U470" s="124"/>
      <c r="V470" s="17"/>
      <c r="W470" s="312"/>
      <c r="X470" s="124"/>
      <c r="Y470" s="124"/>
      <c r="Z470" s="124"/>
      <c r="AA470" s="124"/>
    </row>
    <row r="471" spans="1:27" ht="16.5">
      <c r="A471" s="124"/>
      <c r="B471" s="124"/>
      <c r="C471" s="124"/>
      <c r="D471" s="124"/>
      <c r="E471" s="124"/>
      <c r="F471" s="124"/>
      <c r="G471" s="124"/>
      <c r="H471" s="124"/>
      <c r="I471" s="124"/>
      <c r="J471" s="124"/>
      <c r="K471" s="124"/>
      <c r="L471" s="124"/>
      <c r="M471" s="124"/>
      <c r="N471" s="124"/>
      <c r="O471" s="124"/>
      <c r="P471" s="124"/>
      <c r="Q471" s="130"/>
      <c r="R471" s="124"/>
      <c r="S471" s="124"/>
      <c r="T471" s="124"/>
      <c r="U471" s="124"/>
      <c r="V471" s="17"/>
      <c r="W471" s="312"/>
      <c r="X471" s="124"/>
      <c r="Y471" s="124"/>
      <c r="Z471" s="124"/>
      <c r="AA471" s="124"/>
    </row>
    <row r="472" spans="1:27" ht="16.5">
      <c r="A472" s="124"/>
      <c r="B472" s="124"/>
      <c r="C472" s="124"/>
      <c r="D472" s="124"/>
      <c r="E472" s="124"/>
      <c r="F472" s="124"/>
      <c r="G472" s="124"/>
      <c r="H472" s="124"/>
      <c r="I472" s="124"/>
      <c r="J472" s="124"/>
      <c r="K472" s="124"/>
      <c r="L472" s="124"/>
      <c r="M472" s="124"/>
      <c r="N472" s="124"/>
      <c r="O472" s="124"/>
      <c r="P472" s="124"/>
      <c r="Q472" s="130"/>
      <c r="R472" s="124"/>
      <c r="S472" s="124"/>
      <c r="T472" s="124"/>
      <c r="U472" s="124"/>
      <c r="V472" s="17"/>
      <c r="W472" s="312"/>
      <c r="X472" s="124"/>
      <c r="Y472" s="124"/>
      <c r="Z472" s="124"/>
      <c r="AA472" s="124"/>
    </row>
    <row r="473" spans="1:27" ht="16.5">
      <c r="A473" s="124"/>
      <c r="B473" s="124"/>
      <c r="C473" s="124"/>
      <c r="D473" s="124"/>
      <c r="E473" s="124"/>
      <c r="F473" s="124"/>
      <c r="G473" s="124"/>
      <c r="H473" s="124"/>
      <c r="I473" s="124"/>
      <c r="J473" s="124"/>
      <c r="K473" s="124"/>
      <c r="L473" s="124"/>
      <c r="M473" s="124"/>
      <c r="N473" s="124"/>
      <c r="O473" s="124"/>
      <c r="P473" s="124"/>
      <c r="Q473" s="130"/>
      <c r="R473" s="124"/>
      <c r="S473" s="124"/>
      <c r="T473" s="124"/>
      <c r="U473" s="124"/>
      <c r="V473" s="17"/>
      <c r="W473" s="312"/>
      <c r="X473" s="124"/>
      <c r="Y473" s="124"/>
      <c r="Z473" s="124"/>
      <c r="AA473" s="124"/>
    </row>
    <row r="474" spans="1:27" ht="16.5">
      <c r="A474" s="124"/>
      <c r="B474" s="124"/>
      <c r="C474" s="124"/>
      <c r="D474" s="124"/>
      <c r="E474" s="124"/>
      <c r="F474" s="124"/>
      <c r="G474" s="124"/>
      <c r="H474" s="124"/>
      <c r="I474" s="124"/>
      <c r="J474" s="124"/>
      <c r="K474" s="124"/>
      <c r="L474" s="124"/>
      <c r="M474" s="124"/>
      <c r="N474" s="124"/>
      <c r="O474" s="124"/>
      <c r="P474" s="124"/>
      <c r="Q474" s="130"/>
      <c r="R474" s="124"/>
      <c r="S474" s="124"/>
      <c r="T474" s="124"/>
      <c r="U474" s="124"/>
      <c r="V474" s="17"/>
      <c r="W474" s="312"/>
      <c r="X474" s="124"/>
      <c r="Y474" s="124"/>
      <c r="Z474" s="124"/>
      <c r="AA474" s="124"/>
    </row>
    <row r="475" spans="1:27" ht="16.5">
      <c r="A475" s="124"/>
      <c r="B475" s="124"/>
      <c r="C475" s="124"/>
      <c r="D475" s="124"/>
      <c r="E475" s="124"/>
      <c r="F475" s="124"/>
      <c r="G475" s="124"/>
      <c r="H475" s="124"/>
      <c r="I475" s="124"/>
      <c r="J475" s="124"/>
      <c r="K475" s="124"/>
      <c r="L475" s="124"/>
      <c r="M475" s="124"/>
      <c r="N475" s="124"/>
      <c r="O475" s="124"/>
      <c r="P475" s="124"/>
      <c r="Q475" s="130"/>
      <c r="R475" s="124"/>
      <c r="S475" s="124"/>
      <c r="T475" s="124"/>
      <c r="U475" s="124"/>
      <c r="V475" s="17"/>
      <c r="W475" s="312"/>
      <c r="X475" s="124"/>
      <c r="Y475" s="124"/>
      <c r="Z475" s="124"/>
      <c r="AA475" s="124"/>
    </row>
    <row r="476" spans="1:27" ht="16.5">
      <c r="A476" s="124"/>
      <c r="B476" s="124"/>
      <c r="C476" s="124"/>
      <c r="D476" s="124"/>
      <c r="E476" s="124"/>
      <c r="F476" s="124"/>
      <c r="G476" s="124"/>
      <c r="H476" s="124"/>
      <c r="I476" s="124"/>
      <c r="J476" s="124"/>
      <c r="K476" s="124"/>
      <c r="L476" s="124"/>
      <c r="M476" s="124"/>
      <c r="N476" s="124"/>
      <c r="O476" s="124"/>
      <c r="P476" s="124"/>
      <c r="Q476" s="130"/>
      <c r="R476" s="124"/>
      <c r="S476" s="124"/>
      <c r="T476" s="124"/>
      <c r="U476" s="124"/>
      <c r="V476" s="17"/>
      <c r="W476" s="312"/>
      <c r="X476" s="124"/>
      <c r="Y476" s="124"/>
      <c r="Z476" s="124"/>
      <c r="AA476" s="124"/>
    </row>
    <row r="477" spans="1:27" ht="16.5">
      <c r="A477" s="124"/>
      <c r="B477" s="124"/>
      <c r="C477" s="124"/>
      <c r="D477" s="124"/>
      <c r="E477" s="124"/>
      <c r="F477" s="124"/>
      <c r="G477" s="124"/>
      <c r="H477" s="124"/>
      <c r="I477" s="124"/>
      <c r="J477" s="124"/>
      <c r="K477" s="124"/>
      <c r="L477" s="124"/>
      <c r="M477" s="124"/>
      <c r="N477" s="124"/>
      <c r="O477" s="124"/>
      <c r="P477" s="124"/>
      <c r="Q477" s="130"/>
      <c r="R477" s="124"/>
      <c r="S477" s="124"/>
      <c r="T477" s="124"/>
      <c r="U477" s="124"/>
      <c r="V477" s="17"/>
      <c r="W477" s="312"/>
      <c r="X477" s="124"/>
      <c r="Y477" s="124"/>
      <c r="Z477" s="124"/>
      <c r="AA477" s="124"/>
    </row>
    <row r="478" spans="1:27" ht="16.5">
      <c r="A478" s="124"/>
      <c r="B478" s="124"/>
      <c r="C478" s="124"/>
      <c r="D478" s="124"/>
      <c r="E478" s="124"/>
      <c r="F478" s="124"/>
      <c r="G478" s="124"/>
      <c r="H478" s="124"/>
      <c r="I478" s="124"/>
      <c r="J478" s="124"/>
      <c r="K478" s="124"/>
      <c r="L478" s="124"/>
      <c r="M478" s="124"/>
      <c r="N478" s="124"/>
      <c r="O478" s="124"/>
      <c r="P478" s="124"/>
      <c r="Q478" s="130"/>
      <c r="R478" s="124"/>
      <c r="S478" s="124"/>
      <c r="T478" s="124"/>
      <c r="U478" s="124"/>
      <c r="V478" s="17"/>
      <c r="W478" s="312"/>
      <c r="X478" s="124"/>
      <c r="Y478" s="124"/>
      <c r="Z478" s="124"/>
      <c r="AA478" s="124"/>
    </row>
    <row r="479" spans="1:27" ht="16.5">
      <c r="A479" s="124"/>
      <c r="B479" s="124"/>
      <c r="C479" s="124"/>
      <c r="D479" s="124"/>
      <c r="E479" s="124"/>
      <c r="F479" s="124"/>
      <c r="G479" s="124"/>
      <c r="H479" s="124"/>
      <c r="I479" s="124"/>
      <c r="J479" s="124"/>
      <c r="K479" s="124"/>
      <c r="L479" s="124"/>
      <c r="M479" s="124"/>
      <c r="N479" s="124"/>
      <c r="O479" s="124"/>
      <c r="P479" s="124"/>
      <c r="Q479" s="130"/>
      <c r="R479" s="124"/>
      <c r="S479" s="124"/>
      <c r="T479" s="124"/>
      <c r="U479" s="124"/>
      <c r="V479" s="17"/>
      <c r="W479" s="312"/>
      <c r="X479" s="124"/>
      <c r="Y479" s="124"/>
      <c r="Z479" s="124"/>
      <c r="AA479" s="124"/>
    </row>
    <row r="480" spans="1:27" ht="16.5">
      <c r="A480" s="124"/>
      <c r="B480" s="124"/>
      <c r="C480" s="124"/>
      <c r="D480" s="124"/>
      <c r="E480" s="124"/>
      <c r="F480" s="124"/>
      <c r="G480" s="124"/>
      <c r="H480" s="124"/>
      <c r="I480" s="124"/>
      <c r="J480" s="124"/>
      <c r="K480" s="124"/>
      <c r="L480" s="124"/>
      <c r="M480" s="124"/>
      <c r="N480" s="124"/>
      <c r="O480" s="124"/>
      <c r="P480" s="124"/>
      <c r="Q480" s="130"/>
      <c r="R480" s="124"/>
      <c r="S480" s="124"/>
      <c r="T480" s="124"/>
      <c r="U480" s="124"/>
      <c r="V480" s="17"/>
      <c r="W480" s="312"/>
      <c r="X480" s="124"/>
      <c r="Y480" s="124"/>
      <c r="Z480" s="124"/>
      <c r="AA480" s="124"/>
    </row>
    <row r="481" spans="1:27" ht="16.5">
      <c r="A481" s="124"/>
      <c r="B481" s="124"/>
      <c r="C481" s="124"/>
      <c r="D481" s="124"/>
      <c r="E481" s="124"/>
      <c r="F481" s="124"/>
      <c r="G481" s="124"/>
      <c r="H481" s="124"/>
      <c r="I481" s="124"/>
      <c r="J481" s="124"/>
      <c r="K481" s="124"/>
      <c r="L481" s="124"/>
      <c r="M481" s="124"/>
      <c r="N481" s="124"/>
      <c r="O481" s="124"/>
      <c r="P481" s="124"/>
      <c r="Q481" s="130"/>
      <c r="R481" s="124"/>
      <c r="S481" s="124"/>
      <c r="T481" s="124"/>
      <c r="U481" s="124"/>
      <c r="V481" s="17"/>
      <c r="W481" s="312"/>
      <c r="X481" s="124"/>
      <c r="Y481" s="124"/>
      <c r="Z481" s="124"/>
      <c r="AA481" s="124"/>
    </row>
    <row r="482" spans="1:27" ht="16.5">
      <c r="A482" s="124"/>
      <c r="B482" s="124"/>
      <c r="C482" s="124"/>
      <c r="D482" s="124"/>
      <c r="E482" s="124"/>
      <c r="F482" s="124"/>
      <c r="G482" s="124"/>
      <c r="H482" s="124"/>
      <c r="I482" s="124"/>
      <c r="J482" s="124"/>
      <c r="K482" s="124"/>
      <c r="L482" s="124"/>
      <c r="M482" s="124"/>
      <c r="N482" s="124"/>
      <c r="O482" s="124"/>
      <c r="P482" s="124"/>
      <c r="Q482" s="130"/>
      <c r="R482" s="124"/>
      <c r="S482" s="124"/>
      <c r="T482" s="124"/>
      <c r="U482" s="124"/>
      <c r="V482" s="17"/>
      <c r="W482" s="312"/>
      <c r="X482" s="124"/>
      <c r="Y482" s="124"/>
      <c r="Z482" s="124"/>
      <c r="AA482" s="124"/>
    </row>
    <row r="483" spans="1:27" ht="16.5">
      <c r="A483" s="124"/>
      <c r="B483" s="124"/>
      <c r="C483" s="124"/>
      <c r="D483" s="124"/>
      <c r="E483" s="124"/>
      <c r="F483" s="124"/>
      <c r="G483" s="124"/>
      <c r="H483" s="124"/>
      <c r="I483" s="124"/>
      <c r="J483" s="124"/>
      <c r="K483" s="124"/>
      <c r="L483" s="124"/>
      <c r="M483" s="124"/>
      <c r="N483" s="124"/>
      <c r="O483" s="124"/>
      <c r="P483" s="124"/>
      <c r="Q483" s="130"/>
      <c r="R483" s="124"/>
      <c r="S483" s="124"/>
      <c r="T483" s="124"/>
      <c r="U483" s="124"/>
      <c r="V483" s="17"/>
      <c r="W483" s="312"/>
      <c r="X483" s="124"/>
      <c r="Y483" s="124"/>
      <c r="Z483" s="124"/>
      <c r="AA483" s="124"/>
    </row>
    <row r="484" spans="1:27" ht="16.5">
      <c r="A484" s="124"/>
      <c r="B484" s="124"/>
      <c r="C484" s="124"/>
      <c r="D484" s="124"/>
      <c r="E484" s="124"/>
      <c r="F484" s="124"/>
      <c r="G484" s="124"/>
      <c r="H484" s="124"/>
      <c r="I484" s="124"/>
      <c r="J484" s="124"/>
      <c r="K484" s="124"/>
      <c r="L484" s="124"/>
      <c r="M484" s="124"/>
      <c r="N484" s="124"/>
      <c r="O484" s="124"/>
      <c r="P484" s="124"/>
      <c r="Q484" s="130"/>
      <c r="R484" s="124"/>
      <c r="S484" s="124"/>
      <c r="T484" s="124"/>
      <c r="U484" s="124"/>
      <c r="V484" s="17"/>
      <c r="W484" s="312"/>
      <c r="X484" s="124"/>
      <c r="Y484" s="124"/>
      <c r="Z484" s="124"/>
      <c r="AA484" s="124"/>
    </row>
    <row r="485" spans="1:27" ht="16.5">
      <c r="A485" s="124"/>
      <c r="B485" s="124"/>
      <c r="C485" s="124"/>
      <c r="D485" s="124"/>
      <c r="E485" s="124"/>
      <c r="F485" s="124"/>
      <c r="G485" s="124"/>
      <c r="H485" s="124"/>
      <c r="I485" s="124"/>
      <c r="J485" s="124"/>
      <c r="K485" s="124"/>
      <c r="L485" s="124"/>
      <c r="M485" s="124"/>
      <c r="N485" s="124"/>
      <c r="O485" s="124"/>
      <c r="P485" s="124"/>
      <c r="Q485" s="130"/>
      <c r="R485" s="124"/>
      <c r="S485" s="124"/>
      <c r="T485" s="124"/>
      <c r="U485" s="124"/>
      <c r="V485" s="17"/>
      <c r="W485" s="312"/>
      <c r="X485" s="124"/>
      <c r="Y485" s="124"/>
      <c r="Z485" s="124"/>
      <c r="AA485" s="124"/>
    </row>
    <row r="486" spans="1:27" ht="16.5">
      <c r="A486" s="124"/>
      <c r="B486" s="124"/>
      <c r="C486" s="124"/>
      <c r="D486" s="124"/>
      <c r="E486" s="124"/>
      <c r="F486" s="124"/>
      <c r="G486" s="124"/>
      <c r="H486" s="124"/>
      <c r="I486" s="124"/>
      <c r="J486" s="124"/>
      <c r="K486" s="124"/>
      <c r="L486" s="124"/>
      <c r="M486" s="124"/>
      <c r="N486" s="124"/>
      <c r="O486" s="124"/>
      <c r="P486" s="124"/>
      <c r="Q486" s="130"/>
      <c r="R486" s="124"/>
      <c r="S486" s="124"/>
      <c r="T486" s="124"/>
      <c r="U486" s="124"/>
      <c r="V486" s="17"/>
      <c r="W486" s="312"/>
      <c r="X486" s="124"/>
      <c r="Y486" s="124"/>
      <c r="Z486" s="124"/>
      <c r="AA486" s="124"/>
    </row>
    <row r="487" spans="1:27" ht="16.5">
      <c r="A487" s="124"/>
      <c r="B487" s="124"/>
      <c r="C487" s="124"/>
      <c r="D487" s="124"/>
      <c r="E487" s="124"/>
      <c r="F487" s="124"/>
      <c r="G487" s="124"/>
      <c r="H487" s="124"/>
      <c r="I487" s="124"/>
      <c r="J487" s="124"/>
      <c r="K487" s="124"/>
      <c r="L487" s="124"/>
      <c r="M487" s="124"/>
      <c r="N487" s="124"/>
      <c r="O487" s="124"/>
      <c r="P487" s="124"/>
      <c r="Q487" s="130"/>
      <c r="R487" s="124"/>
      <c r="S487" s="124"/>
      <c r="T487" s="124"/>
      <c r="U487" s="124"/>
      <c r="V487" s="17"/>
      <c r="W487" s="312"/>
      <c r="X487" s="124"/>
      <c r="Y487" s="124"/>
      <c r="Z487" s="124"/>
      <c r="AA487" s="124"/>
    </row>
    <row r="488" spans="1:27" ht="16.5">
      <c r="A488" s="124"/>
      <c r="B488" s="124"/>
      <c r="C488" s="124"/>
      <c r="D488" s="124"/>
      <c r="E488" s="124"/>
      <c r="F488" s="124"/>
      <c r="G488" s="124"/>
      <c r="H488" s="124"/>
      <c r="I488" s="124"/>
      <c r="J488" s="124"/>
      <c r="K488" s="124"/>
      <c r="L488" s="124"/>
      <c r="M488" s="124"/>
      <c r="N488" s="124"/>
      <c r="O488" s="124"/>
      <c r="P488" s="124"/>
      <c r="Q488" s="130"/>
      <c r="R488" s="124"/>
      <c r="S488" s="124"/>
      <c r="T488" s="124"/>
      <c r="U488" s="124"/>
      <c r="V488" s="17"/>
      <c r="W488" s="312"/>
      <c r="X488" s="124"/>
      <c r="Y488" s="124"/>
      <c r="Z488" s="124"/>
      <c r="AA488" s="124"/>
    </row>
    <row r="489" spans="1:27" ht="16.5">
      <c r="A489" s="124"/>
      <c r="B489" s="124"/>
      <c r="C489" s="124"/>
      <c r="D489" s="124"/>
      <c r="E489" s="124"/>
      <c r="F489" s="124"/>
      <c r="G489" s="124"/>
      <c r="H489" s="124"/>
      <c r="I489" s="124"/>
      <c r="J489" s="124"/>
      <c r="K489" s="124"/>
      <c r="L489" s="124"/>
      <c r="M489" s="124"/>
      <c r="N489" s="124"/>
      <c r="O489" s="124"/>
      <c r="P489" s="124"/>
      <c r="Q489" s="130"/>
      <c r="R489" s="124"/>
      <c r="S489" s="124"/>
      <c r="T489" s="124"/>
      <c r="U489" s="124"/>
      <c r="V489" s="17"/>
      <c r="W489" s="312"/>
      <c r="X489" s="124"/>
      <c r="Y489" s="124"/>
      <c r="Z489" s="124"/>
      <c r="AA489" s="124"/>
    </row>
    <row r="490" spans="1:27" ht="16.5">
      <c r="A490" s="124"/>
      <c r="B490" s="124"/>
      <c r="C490" s="124"/>
      <c r="D490" s="124"/>
      <c r="E490" s="124"/>
      <c r="F490" s="124"/>
      <c r="G490" s="124"/>
      <c r="H490" s="124"/>
      <c r="I490" s="124"/>
      <c r="J490" s="124"/>
      <c r="K490" s="124"/>
      <c r="L490" s="124"/>
      <c r="M490" s="124"/>
      <c r="N490" s="124"/>
      <c r="O490" s="124"/>
      <c r="P490" s="124"/>
      <c r="Q490" s="130"/>
      <c r="R490" s="124"/>
      <c r="S490" s="124"/>
      <c r="T490" s="124"/>
      <c r="U490" s="124"/>
      <c r="V490" s="17"/>
      <c r="W490" s="312"/>
      <c r="X490" s="124"/>
      <c r="Y490" s="124"/>
      <c r="Z490" s="124"/>
      <c r="AA490" s="124"/>
    </row>
    <row r="491" spans="1:27" ht="16.5">
      <c r="A491" s="124"/>
      <c r="B491" s="124"/>
      <c r="C491" s="124"/>
      <c r="D491" s="124"/>
      <c r="E491" s="124"/>
      <c r="F491" s="124"/>
      <c r="G491" s="124"/>
      <c r="H491" s="124"/>
      <c r="I491" s="124"/>
      <c r="J491" s="124"/>
      <c r="K491" s="124"/>
      <c r="L491" s="124"/>
      <c r="M491" s="124"/>
      <c r="N491" s="124"/>
      <c r="O491" s="124"/>
      <c r="P491" s="124"/>
      <c r="Q491" s="130"/>
      <c r="R491" s="124"/>
      <c r="S491" s="124"/>
      <c r="T491" s="124"/>
      <c r="U491" s="124"/>
      <c r="V491" s="17"/>
      <c r="W491" s="312"/>
      <c r="X491" s="124"/>
      <c r="Y491" s="124"/>
      <c r="Z491" s="124"/>
      <c r="AA491" s="124"/>
    </row>
    <row r="492" spans="1:27" ht="16.5">
      <c r="A492" s="124"/>
      <c r="B492" s="124"/>
      <c r="C492" s="124"/>
      <c r="D492" s="124"/>
      <c r="E492" s="124"/>
      <c r="F492" s="124"/>
      <c r="G492" s="124"/>
      <c r="H492" s="124"/>
      <c r="I492" s="124"/>
      <c r="J492" s="124"/>
      <c r="K492" s="124"/>
      <c r="L492" s="124"/>
      <c r="M492" s="124"/>
      <c r="N492" s="124"/>
      <c r="O492" s="124"/>
      <c r="P492" s="124"/>
      <c r="Q492" s="130"/>
      <c r="R492" s="124"/>
      <c r="S492" s="124"/>
      <c r="T492" s="124"/>
      <c r="U492" s="124"/>
      <c r="V492" s="17"/>
      <c r="W492" s="312"/>
      <c r="X492" s="124"/>
      <c r="Y492" s="124"/>
      <c r="Z492" s="124"/>
      <c r="AA492" s="124"/>
    </row>
    <row r="493" spans="1:27" ht="16.5">
      <c r="A493" s="124"/>
      <c r="B493" s="124"/>
      <c r="C493" s="124"/>
      <c r="D493" s="124"/>
      <c r="E493" s="124"/>
      <c r="F493" s="124"/>
      <c r="G493" s="124"/>
      <c r="H493" s="124"/>
      <c r="I493" s="124"/>
      <c r="J493" s="124"/>
      <c r="K493" s="124"/>
      <c r="L493" s="124"/>
      <c r="M493" s="124"/>
      <c r="N493" s="124"/>
      <c r="O493" s="124"/>
      <c r="P493" s="124"/>
      <c r="Q493" s="130"/>
      <c r="R493" s="124"/>
      <c r="S493" s="124"/>
      <c r="T493" s="124"/>
      <c r="U493" s="124"/>
      <c r="V493" s="17"/>
      <c r="W493" s="312"/>
      <c r="X493" s="124"/>
      <c r="Y493" s="124"/>
      <c r="Z493" s="124"/>
      <c r="AA493" s="124"/>
    </row>
    <row r="494" spans="1:27" ht="16.5">
      <c r="A494" s="124"/>
      <c r="B494" s="124"/>
      <c r="C494" s="124"/>
      <c r="D494" s="124"/>
      <c r="E494" s="124"/>
      <c r="F494" s="124"/>
      <c r="G494" s="124"/>
      <c r="H494" s="124"/>
      <c r="I494" s="124"/>
      <c r="J494" s="124"/>
      <c r="K494" s="124"/>
      <c r="L494" s="124"/>
      <c r="M494" s="124"/>
      <c r="N494" s="124"/>
      <c r="O494" s="124"/>
      <c r="P494" s="124"/>
      <c r="Q494" s="130"/>
      <c r="R494" s="124"/>
      <c r="S494" s="124"/>
      <c r="T494" s="124"/>
      <c r="U494" s="124"/>
      <c r="V494" s="17"/>
      <c r="W494" s="312"/>
      <c r="X494" s="124"/>
      <c r="Y494" s="124"/>
      <c r="Z494" s="124"/>
      <c r="AA494" s="124"/>
    </row>
    <row r="495" spans="1:27" ht="16.5">
      <c r="A495" s="124"/>
      <c r="B495" s="124"/>
      <c r="C495" s="124"/>
      <c r="D495" s="124"/>
      <c r="E495" s="124"/>
      <c r="F495" s="124"/>
      <c r="G495" s="124"/>
      <c r="H495" s="124"/>
      <c r="I495" s="124"/>
      <c r="J495" s="124"/>
      <c r="K495" s="124"/>
      <c r="L495" s="124"/>
      <c r="M495" s="124"/>
      <c r="N495" s="124"/>
      <c r="O495" s="124"/>
      <c r="P495" s="124"/>
      <c r="Q495" s="130"/>
      <c r="R495" s="124"/>
      <c r="S495" s="124"/>
      <c r="T495" s="124"/>
      <c r="U495" s="124"/>
      <c r="V495" s="17"/>
      <c r="W495" s="312"/>
      <c r="X495" s="124"/>
      <c r="Y495" s="124"/>
      <c r="Z495" s="124"/>
      <c r="AA495" s="124"/>
    </row>
    <row r="496" spans="1:27" ht="16.5">
      <c r="A496" s="124"/>
      <c r="B496" s="124"/>
      <c r="C496" s="124"/>
      <c r="D496" s="124"/>
      <c r="E496" s="124"/>
      <c r="F496" s="124"/>
      <c r="G496" s="124"/>
      <c r="H496" s="124"/>
      <c r="I496" s="124"/>
      <c r="J496" s="124"/>
      <c r="K496" s="124"/>
      <c r="L496" s="124"/>
      <c r="M496" s="124"/>
      <c r="N496" s="124"/>
      <c r="O496" s="124"/>
      <c r="P496" s="124"/>
      <c r="Q496" s="130"/>
      <c r="R496" s="124"/>
      <c r="S496" s="124"/>
      <c r="T496" s="124"/>
      <c r="U496" s="124"/>
      <c r="V496" s="17"/>
      <c r="W496" s="312"/>
      <c r="X496" s="124"/>
      <c r="Y496" s="124"/>
      <c r="Z496" s="124"/>
      <c r="AA496" s="124"/>
    </row>
    <row r="497" spans="1:27" ht="16.5">
      <c r="A497" s="124"/>
      <c r="B497" s="124"/>
      <c r="C497" s="124"/>
      <c r="D497" s="124"/>
      <c r="E497" s="124"/>
      <c r="F497" s="124"/>
      <c r="G497" s="124"/>
      <c r="H497" s="124"/>
      <c r="I497" s="124"/>
      <c r="J497" s="124"/>
      <c r="K497" s="124"/>
      <c r="L497" s="124"/>
      <c r="M497" s="124"/>
      <c r="N497" s="124"/>
      <c r="O497" s="124"/>
      <c r="P497" s="124"/>
      <c r="Q497" s="130"/>
      <c r="R497" s="124"/>
      <c r="S497" s="124"/>
      <c r="T497" s="124"/>
      <c r="U497" s="124"/>
      <c r="V497" s="17"/>
      <c r="W497" s="312"/>
      <c r="X497" s="124"/>
      <c r="Y497" s="124"/>
      <c r="Z497" s="124"/>
      <c r="AA497" s="124"/>
    </row>
    <row r="498" spans="1:27" ht="16.5">
      <c r="A498" s="124"/>
      <c r="B498" s="124"/>
      <c r="C498" s="124"/>
      <c r="D498" s="124"/>
      <c r="E498" s="124"/>
      <c r="F498" s="124"/>
      <c r="G498" s="124"/>
      <c r="H498" s="124"/>
      <c r="I498" s="124"/>
      <c r="J498" s="124"/>
      <c r="K498" s="124"/>
      <c r="L498" s="124"/>
      <c r="M498" s="124"/>
      <c r="N498" s="124"/>
      <c r="O498" s="124"/>
      <c r="P498" s="124"/>
      <c r="Q498" s="130"/>
      <c r="R498" s="124"/>
      <c r="S498" s="124"/>
      <c r="T498" s="124"/>
      <c r="U498" s="124"/>
      <c r="V498" s="17"/>
      <c r="W498" s="312"/>
      <c r="X498" s="124"/>
      <c r="Y498" s="124"/>
      <c r="Z498" s="124"/>
      <c r="AA498" s="124"/>
    </row>
    <row r="499" spans="1:27" ht="16.5">
      <c r="A499" s="124"/>
      <c r="B499" s="124"/>
      <c r="C499" s="124"/>
      <c r="D499" s="124"/>
      <c r="E499" s="124"/>
      <c r="F499" s="124"/>
      <c r="G499" s="124"/>
      <c r="H499" s="124"/>
      <c r="I499" s="124"/>
      <c r="J499" s="124"/>
      <c r="K499" s="124"/>
      <c r="L499" s="124"/>
      <c r="M499" s="124"/>
      <c r="N499" s="124"/>
      <c r="O499" s="124"/>
      <c r="P499" s="124"/>
      <c r="Q499" s="130"/>
      <c r="R499" s="124"/>
      <c r="S499" s="124"/>
      <c r="T499" s="124"/>
      <c r="U499" s="124"/>
      <c r="V499" s="17"/>
      <c r="W499" s="312"/>
      <c r="X499" s="124"/>
      <c r="Y499" s="124"/>
      <c r="Z499" s="124"/>
      <c r="AA499" s="124"/>
    </row>
    <row r="500" spans="1:27" ht="16.5">
      <c r="A500" s="124"/>
      <c r="B500" s="124"/>
      <c r="C500" s="124"/>
      <c r="D500" s="124"/>
      <c r="E500" s="124"/>
      <c r="F500" s="124"/>
      <c r="G500" s="124"/>
      <c r="H500" s="124"/>
      <c r="I500" s="124"/>
      <c r="J500" s="124"/>
      <c r="K500" s="124"/>
      <c r="L500" s="124"/>
      <c r="M500" s="124"/>
      <c r="N500" s="124"/>
      <c r="O500" s="124"/>
      <c r="P500" s="124"/>
      <c r="Q500" s="130"/>
      <c r="R500" s="124"/>
      <c r="S500" s="124"/>
      <c r="T500" s="124"/>
      <c r="U500" s="124"/>
      <c r="V500" s="17"/>
      <c r="W500" s="312"/>
      <c r="X500" s="124"/>
      <c r="Y500" s="124"/>
      <c r="Z500" s="124"/>
      <c r="AA500" s="124"/>
    </row>
    <row r="501" spans="1:27" ht="16.5">
      <c r="A501" s="124"/>
      <c r="B501" s="124"/>
      <c r="C501" s="124"/>
      <c r="D501" s="124"/>
      <c r="E501" s="124"/>
      <c r="F501" s="124"/>
      <c r="G501" s="124"/>
      <c r="H501" s="124"/>
      <c r="I501" s="124"/>
      <c r="J501" s="124"/>
      <c r="K501" s="124"/>
      <c r="L501" s="124"/>
      <c r="M501" s="124"/>
      <c r="N501" s="124"/>
      <c r="O501" s="124"/>
      <c r="P501" s="124"/>
      <c r="Q501" s="130"/>
      <c r="R501" s="124"/>
      <c r="S501" s="124"/>
      <c r="T501" s="124"/>
      <c r="U501" s="124"/>
      <c r="V501" s="17"/>
      <c r="W501" s="312"/>
      <c r="X501" s="124"/>
      <c r="Y501" s="124"/>
      <c r="Z501" s="124"/>
      <c r="AA501" s="124"/>
    </row>
    <row r="502" spans="1:27" ht="16.5">
      <c r="A502" s="124"/>
      <c r="B502" s="124"/>
      <c r="C502" s="124"/>
      <c r="D502" s="124"/>
      <c r="E502" s="124"/>
      <c r="F502" s="124"/>
      <c r="G502" s="124"/>
      <c r="H502" s="124"/>
      <c r="I502" s="124"/>
      <c r="J502" s="124"/>
      <c r="K502" s="124"/>
      <c r="L502" s="124"/>
      <c r="M502" s="124"/>
      <c r="N502" s="124"/>
      <c r="O502" s="124"/>
      <c r="P502" s="124"/>
      <c r="Q502" s="130"/>
      <c r="R502" s="124"/>
      <c r="S502" s="124"/>
      <c r="T502" s="124"/>
      <c r="U502" s="124"/>
      <c r="V502" s="17"/>
      <c r="W502" s="312"/>
      <c r="X502" s="124"/>
      <c r="Y502" s="124"/>
      <c r="Z502" s="124"/>
      <c r="AA502" s="124"/>
    </row>
    <row r="503" spans="1:27" ht="16.5">
      <c r="A503" s="124"/>
      <c r="B503" s="124"/>
      <c r="C503" s="124"/>
      <c r="D503" s="124"/>
      <c r="E503" s="124"/>
      <c r="F503" s="124"/>
      <c r="G503" s="124"/>
      <c r="H503" s="124"/>
      <c r="I503" s="124"/>
      <c r="J503" s="124"/>
      <c r="K503" s="124"/>
      <c r="L503" s="124"/>
      <c r="M503" s="124"/>
      <c r="N503" s="124"/>
      <c r="O503" s="124"/>
      <c r="P503" s="124"/>
      <c r="Q503" s="130"/>
      <c r="R503" s="124"/>
      <c r="S503" s="124"/>
      <c r="T503" s="124"/>
      <c r="U503" s="124"/>
      <c r="V503" s="17"/>
      <c r="W503" s="312"/>
      <c r="X503" s="124"/>
      <c r="Y503" s="124"/>
      <c r="Z503" s="124"/>
      <c r="AA503" s="124"/>
    </row>
    <row r="504" spans="1:27" ht="16.5">
      <c r="A504" s="124"/>
      <c r="B504" s="124"/>
      <c r="C504" s="124"/>
      <c r="D504" s="124"/>
      <c r="E504" s="124"/>
      <c r="F504" s="124"/>
      <c r="G504" s="124"/>
      <c r="H504" s="124"/>
      <c r="I504" s="124"/>
      <c r="J504" s="124"/>
      <c r="K504" s="124"/>
      <c r="L504" s="124"/>
      <c r="M504" s="124"/>
      <c r="N504" s="124"/>
      <c r="O504" s="124"/>
      <c r="P504" s="124"/>
      <c r="Q504" s="130"/>
      <c r="R504" s="124"/>
      <c r="S504" s="124"/>
      <c r="T504" s="124"/>
      <c r="U504" s="124"/>
      <c r="V504" s="17"/>
      <c r="W504" s="312"/>
      <c r="X504" s="124"/>
      <c r="Y504" s="124"/>
      <c r="Z504" s="124"/>
      <c r="AA504" s="124"/>
    </row>
    <row r="505" spans="1:27" ht="16.5">
      <c r="A505" s="124"/>
      <c r="B505" s="124"/>
      <c r="C505" s="124"/>
      <c r="D505" s="124"/>
      <c r="E505" s="124"/>
      <c r="F505" s="124"/>
      <c r="G505" s="124"/>
      <c r="H505" s="124"/>
      <c r="I505" s="124"/>
      <c r="J505" s="124"/>
      <c r="K505" s="124"/>
      <c r="L505" s="124"/>
      <c r="M505" s="124"/>
      <c r="N505" s="124"/>
      <c r="O505" s="124"/>
      <c r="P505" s="124"/>
      <c r="Q505" s="130"/>
      <c r="R505" s="124"/>
      <c r="S505" s="124"/>
      <c r="T505" s="124"/>
      <c r="U505" s="124"/>
      <c r="V505" s="17"/>
      <c r="W505" s="312"/>
      <c r="X505" s="124"/>
      <c r="Y505" s="124"/>
      <c r="Z505" s="124"/>
      <c r="AA505" s="124"/>
    </row>
    <row r="506" spans="1:27" ht="16.5">
      <c r="A506" s="124"/>
      <c r="B506" s="124"/>
      <c r="C506" s="124"/>
      <c r="D506" s="124"/>
      <c r="E506" s="124"/>
      <c r="F506" s="124"/>
      <c r="G506" s="124"/>
      <c r="H506" s="124"/>
      <c r="I506" s="124"/>
      <c r="J506" s="124"/>
      <c r="K506" s="124"/>
      <c r="L506" s="124"/>
      <c r="M506" s="124"/>
      <c r="N506" s="124"/>
      <c r="O506" s="124"/>
      <c r="P506" s="124"/>
      <c r="Q506" s="130"/>
      <c r="R506" s="124"/>
      <c r="S506" s="124"/>
      <c r="T506" s="124"/>
      <c r="U506" s="124"/>
      <c r="V506" s="17"/>
      <c r="W506" s="312"/>
      <c r="X506" s="124"/>
      <c r="Y506" s="124"/>
      <c r="Z506" s="124"/>
      <c r="AA506" s="124"/>
    </row>
    <row r="507" spans="1:27" ht="16.5">
      <c r="A507" s="124"/>
      <c r="B507" s="124"/>
      <c r="C507" s="124"/>
      <c r="D507" s="124"/>
      <c r="E507" s="124"/>
      <c r="F507" s="124"/>
      <c r="G507" s="124"/>
      <c r="H507" s="124"/>
      <c r="I507" s="124"/>
      <c r="J507" s="124"/>
      <c r="K507" s="124"/>
      <c r="L507" s="124"/>
      <c r="M507" s="124"/>
      <c r="N507" s="124"/>
      <c r="O507" s="124"/>
      <c r="P507" s="124"/>
      <c r="Q507" s="130"/>
      <c r="R507" s="124"/>
      <c r="S507" s="124"/>
      <c r="T507" s="124"/>
      <c r="U507" s="124"/>
      <c r="V507" s="17"/>
      <c r="W507" s="312"/>
      <c r="X507" s="124"/>
      <c r="Y507" s="124"/>
      <c r="Z507" s="124"/>
      <c r="AA507" s="124"/>
    </row>
    <row r="508" spans="1:27" ht="16.5">
      <c r="A508" s="124"/>
      <c r="B508" s="124"/>
      <c r="C508" s="124"/>
      <c r="D508" s="124"/>
      <c r="E508" s="124"/>
      <c r="F508" s="124"/>
      <c r="G508" s="124"/>
      <c r="H508" s="124"/>
      <c r="I508" s="124"/>
      <c r="J508" s="124"/>
      <c r="K508" s="124"/>
      <c r="L508" s="124"/>
      <c r="M508" s="124"/>
      <c r="N508" s="124"/>
      <c r="O508" s="124"/>
      <c r="P508" s="124"/>
      <c r="Q508" s="130"/>
      <c r="R508" s="124"/>
      <c r="S508" s="124"/>
      <c r="T508" s="124"/>
      <c r="U508" s="124"/>
      <c r="V508" s="17"/>
      <c r="W508" s="312"/>
      <c r="X508" s="124"/>
      <c r="Y508" s="124"/>
      <c r="Z508" s="124"/>
      <c r="AA508" s="124"/>
    </row>
    <row r="509" spans="1:27" ht="16.5">
      <c r="A509" s="124"/>
      <c r="B509" s="124"/>
      <c r="C509" s="124"/>
      <c r="D509" s="124"/>
      <c r="E509" s="124"/>
      <c r="F509" s="124"/>
      <c r="G509" s="124"/>
      <c r="H509" s="124"/>
      <c r="I509" s="124"/>
      <c r="J509" s="124"/>
      <c r="K509" s="124"/>
      <c r="L509" s="124"/>
      <c r="M509" s="124"/>
      <c r="N509" s="124"/>
      <c r="O509" s="124"/>
      <c r="P509" s="124"/>
      <c r="Q509" s="130"/>
      <c r="R509" s="124"/>
      <c r="S509" s="124"/>
      <c r="T509" s="124"/>
      <c r="U509" s="124"/>
      <c r="V509" s="17"/>
      <c r="W509" s="312"/>
      <c r="X509" s="124"/>
      <c r="Y509" s="124"/>
      <c r="Z509" s="124"/>
      <c r="AA509" s="124"/>
    </row>
    <row r="510" spans="1:27" ht="16.5">
      <c r="A510" s="124"/>
      <c r="B510" s="124"/>
      <c r="C510" s="124"/>
      <c r="D510" s="124"/>
      <c r="E510" s="124"/>
      <c r="F510" s="124"/>
      <c r="G510" s="124"/>
      <c r="H510" s="124"/>
      <c r="I510" s="124"/>
      <c r="J510" s="124"/>
      <c r="K510" s="124"/>
      <c r="L510" s="124"/>
      <c r="M510" s="124"/>
      <c r="N510" s="124"/>
      <c r="O510" s="124"/>
      <c r="P510" s="124"/>
      <c r="Q510" s="130"/>
      <c r="R510" s="124"/>
      <c r="S510" s="124"/>
      <c r="T510" s="124"/>
      <c r="U510" s="124"/>
      <c r="V510" s="17"/>
      <c r="W510" s="312"/>
      <c r="X510" s="124"/>
      <c r="Y510" s="124"/>
      <c r="Z510" s="124"/>
      <c r="AA510" s="124"/>
    </row>
    <row r="511" spans="1:27" ht="16.5">
      <c r="A511" s="124"/>
      <c r="B511" s="124"/>
      <c r="C511" s="124"/>
      <c r="D511" s="124"/>
      <c r="E511" s="124"/>
      <c r="F511" s="124"/>
      <c r="G511" s="124"/>
      <c r="H511" s="124"/>
      <c r="I511" s="124"/>
      <c r="J511" s="124"/>
      <c r="K511" s="124"/>
      <c r="L511" s="124"/>
      <c r="M511" s="124"/>
      <c r="N511" s="124"/>
      <c r="O511" s="124"/>
      <c r="P511" s="124"/>
      <c r="Q511" s="130"/>
      <c r="R511" s="124"/>
      <c r="S511" s="124"/>
      <c r="T511" s="124"/>
      <c r="U511" s="124"/>
      <c r="V511" s="17"/>
      <c r="W511" s="312"/>
      <c r="X511" s="124"/>
      <c r="Y511" s="124"/>
      <c r="Z511" s="124"/>
      <c r="AA511" s="124"/>
    </row>
    <row r="512" spans="1:27" ht="16.5">
      <c r="A512" s="124"/>
      <c r="B512" s="124"/>
      <c r="C512" s="124"/>
      <c r="D512" s="124"/>
      <c r="E512" s="124"/>
      <c r="F512" s="124"/>
      <c r="G512" s="124"/>
      <c r="H512" s="124"/>
      <c r="I512" s="124"/>
      <c r="J512" s="124"/>
      <c r="K512" s="124"/>
      <c r="L512" s="124"/>
      <c r="M512" s="124"/>
      <c r="N512" s="124"/>
      <c r="O512" s="124"/>
      <c r="P512" s="124"/>
      <c r="Q512" s="130"/>
      <c r="R512" s="124"/>
      <c r="S512" s="124"/>
      <c r="T512" s="124"/>
      <c r="U512" s="124"/>
      <c r="V512" s="17"/>
      <c r="W512" s="312"/>
      <c r="X512" s="124"/>
      <c r="Y512" s="124"/>
      <c r="Z512" s="124"/>
      <c r="AA512" s="124"/>
    </row>
    <row r="513" spans="1:27" ht="16.5">
      <c r="A513" s="124"/>
      <c r="B513" s="124"/>
      <c r="C513" s="124"/>
      <c r="D513" s="124"/>
      <c r="E513" s="124"/>
      <c r="F513" s="124"/>
      <c r="G513" s="124"/>
      <c r="H513" s="124"/>
      <c r="I513" s="124"/>
      <c r="J513" s="124"/>
      <c r="K513" s="124"/>
      <c r="L513" s="124"/>
      <c r="M513" s="124"/>
      <c r="N513" s="124"/>
      <c r="O513" s="124"/>
      <c r="P513" s="124"/>
      <c r="Q513" s="130"/>
      <c r="R513" s="124"/>
      <c r="S513" s="124"/>
      <c r="T513" s="124"/>
      <c r="U513" s="124"/>
      <c r="V513" s="17"/>
      <c r="W513" s="312"/>
      <c r="X513" s="124"/>
      <c r="Y513" s="124"/>
      <c r="Z513" s="124"/>
      <c r="AA513" s="124"/>
    </row>
    <row r="514" spans="1:27" ht="16.5">
      <c r="A514" s="124"/>
      <c r="B514" s="124"/>
      <c r="C514" s="124"/>
      <c r="D514" s="124"/>
      <c r="E514" s="124"/>
      <c r="F514" s="124"/>
      <c r="G514" s="124"/>
      <c r="H514" s="124"/>
      <c r="I514" s="124"/>
      <c r="J514" s="124"/>
      <c r="K514" s="124"/>
      <c r="L514" s="124"/>
      <c r="M514" s="124"/>
      <c r="N514" s="124"/>
      <c r="O514" s="124"/>
      <c r="P514" s="124"/>
      <c r="Q514" s="130"/>
      <c r="R514" s="124"/>
      <c r="S514" s="124"/>
      <c r="T514" s="124"/>
      <c r="U514" s="124"/>
      <c r="V514" s="17"/>
      <c r="W514" s="312"/>
      <c r="X514" s="124"/>
      <c r="Y514" s="124"/>
      <c r="Z514" s="124"/>
      <c r="AA514" s="124"/>
    </row>
    <row r="515" spans="1:27" ht="16.5">
      <c r="A515" s="124"/>
      <c r="B515" s="124"/>
      <c r="C515" s="124"/>
      <c r="D515" s="124"/>
      <c r="E515" s="124"/>
      <c r="F515" s="124"/>
      <c r="G515" s="124"/>
      <c r="H515" s="124"/>
      <c r="I515" s="124"/>
      <c r="J515" s="124"/>
      <c r="K515" s="124"/>
      <c r="L515" s="124"/>
      <c r="M515" s="124"/>
      <c r="N515" s="124"/>
      <c r="O515" s="124"/>
      <c r="P515" s="124"/>
      <c r="Q515" s="130"/>
      <c r="R515" s="124"/>
      <c r="S515" s="124"/>
      <c r="T515" s="124"/>
      <c r="U515" s="124"/>
      <c r="V515" s="17"/>
      <c r="W515" s="312"/>
      <c r="X515" s="124"/>
      <c r="Y515" s="124"/>
      <c r="Z515" s="124"/>
      <c r="AA515" s="124"/>
    </row>
    <row r="516" spans="1:27" ht="16.5">
      <c r="A516" s="124"/>
      <c r="B516" s="124"/>
      <c r="C516" s="124"/>
      <c r="D516" s="124"/>
      <c r="E516" s="124"/>
      <c r="F516" s="124"/>
      <c r="G516" s="124"/>
      <c r="H516" s="124"/>
      <c r="I516" s="124"/>
      <c r="J516" s="124"/>
      <c r="K516" s="124"/>
      <c r="L516" s="124"/>
      <c r="M516" s="124"/>
      <c r="N516" s="124"/>
      <c r="O516" s="124"/>
      <c r="P516" s="124"/>
      <c r="Q516" s="130"/>
      <c r="R516" s="124"/>
      <c r="S516" s="124"/>
      <c r="T516" s="124"/>
      <c r="U516" s="124"/>
      <c r="V516" s="17"/>
      <c r="W516" s="312"/>
      <c r="X516" s="124"/>
      <c r="Y516" s="124"/>
      <c r="Z516" s="124"/>
      <c r="AA516" s="124"/>
    </row>
    <row r="517" spans="1:27" ht="16.5">
      <c r="A517" s="124"/>
      <c r="B517" s="124"/>
      <c r="C517" s="124"/>
      <c r="D517" s="124"/>
      <c r="E517" s="124"/>
      <c r="F517" s="124"/>
      <c r="G517" s="124"/>
      <c r="H517" s="124"/>
      <c r="I517" s="124"/>
      <c r="J517" s="124"/>
      <c r="K517" s="124"/>
      <c r="L517" s="124"/>
      <c r="M517" s="124"/>
      <c r="N517" s="124"/>
      <c r="O517" s="124"/>
      <c r="P517" s="124"/>
      <c r="Q517" s="130"/>
      <c r="R517" s="124"/>
      <c r="S517" s="124"/>
      <c r="T517" s="124"/>
      <c r="U517" s="124"/>
      <c r="V517" s="17"/>
      <c r="W517" s="312"/>
      <c r="X517" s="124"/>
      <c r="Y517" s="124"/>
      <c r="Z517" s="124"/>
      <c r="AA517" s="124"/>
    </row>
    <row r="518" spans="1:27" ht="16.5">
      <c r="A518" s="124"/>
      <c r="B518" s="124"/>
      <c r="C518" s="124"/>
      <c r="D518" s="124"/>
      <c r="E518" s="124"/>
      <c r="F518" s="124"/>
      <c r="G518" s="124"/>
      <c r="H518" s="124"/>
      <c r="I518" s="124"/>
      <c r="J518" s="124"/>
      <c r="K518" s="124"/>
      <c r="L518" s="124"/>
      <c r="M518" s="124"/>
      <c r="N518" s="124"/>
      <c r="O518" s="124"/>
      <c r="P518" s="124"/>
      <c r="Q518" s="130"/>
      <c r="R518" s="124"/>
      <c r="S518" s="124"/>
      <c r="T518" s="124"/>
      <c r="U518" s="124"/>
      <c r="V518" s="17"/>
      <c r="W518" s="312"/>
      <c r="X518" s="124"/>
      <c r="Y518" s="124"/>
      <c r="Z518" s="124"/>
      <c r="AA518" s="124"/>
    </row>
    <row r="519" spans="1:27" ht="16.5">
      <c r="A519" s="124"/>
      <c r="B519" s="124"/>
      <c r="C519" s="124"/>
      <c r="D519" s="124"/>
      <c r="E519" s="124"/>
      <c r="F519" s="124"/>
      <c r="G519" s="124"/>
      <c r="H519" s="124"/>
      <c r="I519" s="124"/>
      <c r="J519" s="124"/>
      <c r="K519" s="124"/>
      <c r="L519" s="124"/>
      <c r="M519" s="124"/>
      <c r="N519" s="124"/>
      <c r="O519" s="124"/>
      <c r="P519" s="124"/>
      <c r="Q519" s="130"/>
      <c r="R519" s="124"/>
      <c r="S519" s="124"/>
      <c r="T519" s="124"/>
      <c r="U519" s="124"/>
      <c r="V519" s="17"/>
      <c r="W519" s="312"/>
      <c r="X519" s="124"/>
      <c r="Y519" s="124"/>
      <c r="Z519" s="124"/>
      <c r="AA519" s="124"/>
    </row>
    <row r="520" spans="1:27" ht="16.5">
      <c r="A520" s="124"/>
      <c r="B520" s="124"/>
      <c r="C520" s="124"/>
      <c r="D520" s="124"/>
      <c r="E520" s="124"/>
      <c r="F520" s="124"/>
      <c r="G520" s="124"/>
      <c r="H520" s="124"/>
      <c r="I520" s="124"/>
      <c r="J520" s="124"/>
      <c r="K520" s="124"/>
      <c r="L520" s="124"/>
      <c r="M520" s="124"/>
      <c r="N520" s="124"/>
      <c r="O520" s="124"/>
      <c r="P520" s="124"/>
      <c r="Q520" s="130"/>
      <c r="R520" s="124"/>
      <c r="S520" s="124"/>
      <c r="T520" s="124"/>
      <c r="U520" s="124"/>
      <c r="V520" s="17"/>
      <c r="W520" s="312"/>
      <c r="X520" s="124"/>
      <c r="Y520" s="124"/>
      <c r="Z520" s="124"/>
      <c r="AA520" s="124"/>
    </row>
    <row r="521" spans="1:27" ht="16.5">
      <c r="A521" s="124"/>
      <c r="B521" s="124"/>
      <c r="C521" s="124"/>
      <c r="D521" s="124"/>
      <c r="E521" s="124"/>
      <c r="F521" s="124"/>
      <c r="G521" s="124"/>
      <c r="H521" s="124"/>
      <c r="I521" s="124"/>
      <c r="J521" s="124"/>
      <c r="K521" s="124"/>
      <c r="L521" s="124"/>
      <c r="M521" s="124"/>
      <c r="N521" s="124"/>
      <c r="O521" s="124"/>
      <c r="P521" s="124"/>
      <c r="Q521" s="130"/>
      <c r="R521" s="124"/>
      <c r="S521" s="124"/>
      <c r="T521" s="124"/>
      <c r="U521" s="124"/>
      <c r="V521" s="17"/>
      <c r="W521" s="312"/>
      <c r="X521" s="124"/>
      <c r="Y521" s="124"/>
      <c r="Z521" s="124"/>
      <c r="AA521" s="124"/>
    </row>
    <row r="522" spans="1:27" ht="16.5">
      <c r="A522" s="124"/>
      <c r="B522" s="124"/>
      <c r="C522" s="124"/>
      <c r="D522" s="124"/>
      <c r="E522" s="124"/>
      <c r="F522" s="124"/>
      <c r="G522" s="124"/>
      <c r="H522" s="124"/>
      <c r="I522" s="124"/>
      <c r="J522" s="124"/>
      <c r="K522" s="124"/>
      <c r="L522" s="124"/>
      <c r="M522" s="124"/>
      <c r="N522" s="124"/>
      <c r="O522" s="124"/>
      <c r="P522" s="124"/>
      <c r="Q522" s="130"/>
      <c r="R522" s="124"/>
      <c r="S522" s="124"/>
      <c r="T522" s="124"/>
      <c r="U522" s="124"/>
      <c r="V522" s="17"/>
      <c r="W522" s="312"/>
      <c r="X522" s="124"/>
      <c r="Y522" s="124"/>
      <c r="Z522" s="124"/>
      <c r="AA522" s="124"/>
    </row>
    <row r="523" spans="1:27" ht="16.5">
      <c r="A523" s="124"/>
      <c r="B523" s="124"/>
      <c r="C523" s="124"/>
      <c r="D523" s="124"/>
      <c r="E523" s="124"/>
      <c r="F523" s="124"/>
      <c r="G523" s="124"/>
      <c r="H523" s="124"/>
      <c r="I523" s="124"/>
      <c r="J523" s="124"/>
      <c r="K523" s="124"/>
      <c r="L523" s="124"/>
      <c r="M523" s="124"/>
      <c r="N523" s="124"/>
      <c r="O523" s="124"/>
      <c r="P523" s="124"/>
      <c r="Q523" s="130"/>
      <c r="R523" s="124"/>
      <c r="S523" s="124"/>
      <c r="T523" s="124"/>
      <c r="U523" s="124"/>
      <c r="V523" s="17"/>
      <c r="W523" s="312"/>
      <c r="X523" s="124"/>
      <c r="Y523" s="124"/>
      <c r="Z523" s="124"/>
      <c r="AA523" s="124"/>
    </row>
    <row r="524" spans="1:27" ht="16.5">
      <c r="A524" s="124"/>
      <c r="B524" s="124"/>
      <c r="C524" s="124"/>
      <c r="D524" s="124"/>
      <c r="E524" s="124"/>
      <c r="F524" s="124"/>
      <c r="G524" s="124"/>
      <c r="H524" s="124"/>
      <c r="I524" s="124"/>
      <c r="J524" s="124"/>
      <c r="K524" s="124"/>
      <c r="L524" s="124"/>
      <c r="M524" s="124"/>
      <c r="N524" s="124"/>
      <c r="O524" s="124"/>
      <c r="P524" s="124"/>
      <c r="Q524" s="130"/>
      <c r="R524" s="124"/>
      <c r="S524" s="124"/>
      <c r="T524" s="124"/>
      <c r="U524" s="124"/>
      <c r="V524" s="17"/>
      <c r="W524" s="312"/>
      <c r="X524" s="124"/>
      <c r="Y524" s="124"/>
      <c r="Z524" s="124"/>
      <c r="AA524" s="124"/>
    </row>
    <row r="525" spans="1:27" ht="16.5">
      <c r="A525" s="124"/>
      <c r="B525" s="124"/>
      <c r="C525" s="124"/>
      <c r="D525" s="124"/>
      <c r="E525" s="124"/>
      <c r="F525" s="124"/>
      <c r="G525" s="124"/>
      <c r="H525" s="124"/>
      <c r="I525" s="124"/>
      <c r="J525" s="124"/>
      <c r="K525" s="124"/>
      <c r="L525" s="124"/>
      <c r="M525" s="124"/>
      <c r="N525" s="124"/>
      <c r="O525" s="124"/>
      <c r="P525" s="124"/>
      <c r="Q525" s="130"/>
      <c r="R525" s="124"/>
      <c r="S525" s="124"/>
      <c r="T525" s="124"/>
      <c r="U525" s="124"/>
      <c r="V525" s="17"/>
      <c r="W525" s="312"/>
      <c r="X525" s="124"/>
      <c r="Y525" s="124"/>
      <c r="Z525" s="124"/>
      <c r="AA525" s="124"/>
    </row>
    <row r="526" spans="1:27" ht="16.5">
      <c r="A526" s="124"/>
      <c r="B526" s="124"/>
      <c r="C526" s="124"/>
      <c r="D526" s="124"/>
      <c r="E526" s="124"/>
      <c r="F526" s="124"/>
      <c r="G526" s="124"/>
      <c r="H526" s="124"/>
      <c r="I526" s="124"/>
      <c r="J526" s="124"/>
      <c r="K526" s="124"/>
      <c r="L526" s="124"/>
      <c r="M526" s="124"/>
      <c r="N526" s="124"/>
      <c r="O526" s="124"/>
      <c r="P526" s="124"/>
      <c r="Q526" s="130"/>
      <c r="R526" s="124"/>
      <c r="S526" s="124"/>
      <c r="T526" s="124"/>
      <c r="U526" s="124"/>
      <c r="V526" s="17"/>
      <c r="W526" s="312"/>
      <c r="X526" s="124"/>
      <c r="Y526" s="124"/>
      <c r="Z526" s="124"/>
      <c r="AA526" s="124"/>
    </row>
    <row r="527" spans="1:27" ht="16.5">
      <c r="A527" s="124"/>
      <c r="B527" s="124"/>
      <c r="C527" s="124"/>
      <c r="D527" s="124"/>
      <c r="E527" s="124"/>
      <c r="F527" s="124"/>
      <c r="G527" s="124"/>
      <c r="H527" s="124"/>
      <c r="I527" s="124"/>
      <c r="J527" s="124"/>
      <c r="K527" s="124"/>
      <c r="L527" s="124"/>
      <c r="M527" s="124"/>
      <c r="N527" s="124"/>
      <c r="O527" s="124"/>
      <c r="P527" s="124"/>
      <c r="Q527" s="130"/>
      <c r="R527" s="124"/>
      <c r="S527" s="124"/>
      <c r="T527" s="124"/>
      <c r="U527" s="124"/>
      <c r="V527" s="17"/>
      <c r="W527" s="312"/>
      <c r="X527" s="124"/>
      <c r="Y527" s="124"/>
      <c r="Z527" s="124"/>
      <c r="AA527" s="124"/>
    </row>
    <row r="528" spans="1:27" ht="16.5">
      <c r="A528" s="124"/>
      <c r="B528" s="124"/>
      <c r="C528" s="124"/>
      <c r="D528" s="124"/>
      <c r="E528" s="124"/>
      <c r="F528" s="124"/>
      <c r="G528" s="124"/>
      <c r="H528" s="124"/>
      <c r="I528" s="124"/>
      <c r="J528" s="124"/>
      <c r="K528" s="124"/>
      <c r="L528" s="124"/>
      <c r="M528" s="124"/>
      <c r="N528" s="124"/>
      <c r="O528" s="124"/>
      <c r="P528" s="124"/>
      <c r="Q528" s="130"/>
      <c r="R528" s="124"/>
      <c r="S528" s="124"/>
      <c r="T528" s="124"/>
      <c r="U528" s="124"/>
      <c r="V528" s="17"/>
      <c r="W528" s="312"/>
      <c r="X528" s="124"/>
      <c r="Y528" s="124"/>
      <c r="Z528" s="124"/>
      <c r="AA528" s="124"/>
    </row>
    <row r="529" spans="1:27" ht="16.5">
      <c r="A529" s="124"/>
      <c r="B529" s="124"/>
      <c r="C529" s="124"/>
      <c r="D529" s="124"/>
      <c r="E529" s="124"/>
      <c r="F529" s="124"/>
      <c r="G529" s="124"/>
      <c r="H529" s="124"/>
      <c r="I529" s="124"/>
      <c r="J529" s="124"/>
      <c r="K529" s="124"/>
      <c r="L529" s="124"/>
      <c r="M529" s="124"/>
      <c r="N529" s="124"/>
      <c r="O529" s="124"/>
      <c r="P529" s="124"/>
      <c r="Q529" s="130"/>
      <c r="R529" s="124"/>
      <c r="S529" s="124"/>
      <c r="T529" s="124"/>
      <c r="U529" s="124"/>
      <c r="V529" s="17"/>
      <c r="W529" s="312"/>
      <c r="X529" s="124"/>
      <c r="Y529" s="124"/>
      <c r="Z529" s="124"/>
      <c r="AA529" s="124"/>
    </row>
    <row r="530" spans="1:27" ht="16.5">
      <c r="A530" s="124"/>
      <c r="B530" s="124"/>
      <c r="C530" s="124"/>
      <c r="D530" s="124"/>
      <c r="E530" s="124"/>
      <c r="F530" s="124"/>
      <c r="G530" s="124"/>
      <c r="H530" s="124"/>
      <c r="I530" s="124"/>
      <c r="J530" s="124"/>
      <c r="K530" s="124"/>
      <c r="L530" s="124"/>
      <c r="M530" s="124"/>
      <c r="N530" s="124"/>
      <c r="O530" s="124"/>
      <c r="P530" s="124"/>
      <c r="Q530" s="130"/>
      <c r="R530" s="124"/>
      <c r="S530" s="124"/>
      <c r="T530" s="124"/>
      <c r="U530" s="124"/>
      <c r="V530" s="17"/>
      <c r="W530" s="312"/>
      <c r="X530" s="124"/>
      <c r="Y530" s="124"/>
      <c r="Z530" s="124"/>
      <c r="AA530" s="124"/>
    </row>
    <row r="531" spans="1:27" ht="16.5">
      <c r="A531" s="124"/>
      <c r="B531" s="124"/>
      <c r="C531" s="124"/>
      <c r="D531" s="124"/>
      <c r="E531" s="124"/>
      <c r="F531" s="124"/>
      <c r="G531" s="124"/>
      <c r="H531" s="124"/>
      <c r="I531" s="124"/>
      <c r="J531" s="124"/>
      <c r="K531" s="124"/>
      <c r="L531" s="124"/>
      <c r="M531" s="124"/>
      <c r="N531" s="124"/>
      <c r="O531" s="124"/>
      <c r="P531" s="124"/>
      <c r="Q531" s="130"/>
      <c r="R531" s="124"/>
      <c r="S531" s="124"/>
      <c r="T531" s="124"/>
      <c r="U531" s="124"/>
      <c r="V531" s="17"/>
      <c r="W531" s="312"/>
      <c r="X531" s="124"/>
      <c r="Y531" s="124"/>
      <c r="Z531" s="124"/>
      <c r="AA531" s="124"/>
    </row>
    <row r="532" spans="1:27" ht="16.5">
      <c r="A532" s="124"/>
      <c r="B532" s="124"/>
      <c r="C532" s="124"/>
      <c r="D532" s="124"/>
      <c r="E532" s="124"/>
      <c r="F532" s="124"/>
      <c r="G532" s="124"/>
      <c r="H532" s="124"/>
      <c r="I532" s="124"/>
      <c r="J532" s="124"/>
      <c r="K532" s="124"/>
      <c r="L532" s="124"/>
      <c r="M532" s="124"/>
      <c r="N532" s="124"/>
      <c r="O532" s="124"/>
      <c r="P532" s="124"/>
      <c r="Q532" s="130"/>
      <c r="R532" s="124"/>
      <c r="S532" s="124"/>
      <c r="T532" s="124"/>
      <c r="U532" s="124"/>
      <c r="V532" s="17"/>
      <c r="W532" s="312"/>
      <c r="X532" s="124"/>
      <c r="Y532" s="124"/>
      <c r="Z532" s="124"/>
      <c r="AA532" s="124"/>
    </row>
    <row r="533" spans="1:27" ht="16.5">
      <c r="A533" s="124"/>
      <c r="B533" s="124"/>
      <c r="C533" s="124"/>
      <c r="D533" s="124"/>
      <c r="E533" s="124"/>
      <c r="F533" s="124"/>
      <c r="G533" s="124"/>
      <c r="H533" s="124"/>
      <c r="I533" s="124"/>
      <c r="J533" s="124"/>
      <c r="K533" s="124"/>
      <c r="L533" s="124"/>
      <c r="M533" s="124"/>
      <c r="N533" s="124"/>
      <c r="O533" s="124"/>
      <c r="P533" s="124"/>
      <c r="Q533" s="130"/>
      <c r="R533" s="124"/>
      <c r="S533" s="124"/>
      <c r="T533" s="124"/>
      <c r="U533" s="124"/>
      <c r="V533" s="17"/>
      <c r="W533" s="312"/>
      <c r="X533" s="124"/>
      <c r="Y533" s="124"/>
      <c r="Z533" s="124"/>
      <c r="AA533" s="124"/>
    </row>
    <row r="534" spans="1:27" ht="16.5">
      <c r="A534" s="124"/>
      <c r="B534" s="124"/>
      <c r="C534" s="124"/>
      <c r="D534" s="124"/>
      <c r="E534" s="124"/>
      <c r="F534" s="124"/>
      <c r="G534" s="124"/>
      <c r="H534" s="124"/>
      <c r="I534" s="124"/>
      <c r="J534" s="124"/>
      <c r="K534" s="124"/>
      <c r="L534" s="124"/>
      <c r="M534" s="124"/>
      <c r="N534" s="124"/>
      <c r="O534" s="124"/>
      <c r="P534" s="124"/>
      <c r="Q534" s="130"/>
      <c r="R534" s="124"/>
      <c r="S534" s="124"/>
      <c r="T534" s="124"/>
      <c r="U534" s="124"/>
      <c r="V534" s="17"/>
      <c r="W534" s="312"/>
      <c r="X534" s="124"/>
      <c r="Y534" s="124"/>
      <c r="Z534" s="124"/>
      <c r="AA534" s="124"/>
    </row>
    <row r="535" spans="1:27" ht="16.5">
      <c r="A535" s="124"/>
      <c r="B535" s="124"/>
      <c r="C535" s="124"/>
      <c r="D535" s="124"/>
      <c r="E535" s="124"/>
      <c r="F535" s="124"/>
      <c r="G535" s="124"/>
      <c r="H535" s="124"/>
      <c r="I535" s="124"/>
      <c r="J535" s="124"/>
      <c r="K535" s="124"/>
      <c r="L535" s="124"/>
      <c r="M535" s="124"/>
      <c r="N535" s="124"/>
      <c r="O535" s="124"/>
      <c r="P535" s="124"/>
      <c r="Q535" s="130"/>
      <c r="R535" s="124"/>
      <c r="S535" s="124"/>
      <c r="T535" s="124"/>
      <c r="U535" s="124"/>
      <c r="V535" s="17"/>
      <c r="W535" s="312"/>
      <c r="X535" s="124"/>
      <c r="Y535" s="124"/>
      <c r="Z535" s="124"/>
      <c r="AA535" s="124"/>
    </row>
    <row r="536" spans="1:27" ht="16.5">
      <c r="A536" s="124"/>
      <c r="B536" s="124"/>
      <c r="C536" s="124"/>
      <c r="D536" s="124"/>
      <c r="E536" s="124"/>
      <c r="F536" s="124"/>
      <c r="G536" s="124"/>
      <c r="H536" s="124"/>
      <c r="I536" s="124"/>
      <c r="J536" s="124"/>
      <c r="K536" s="124"/>
      <c r="L536" s="124"/>
      <c r="M536" s="124"/>
      <c r="N536" s="124"/>
      <c r="O536" s="124"/>
      <c r="P536" s="124"/>
      <c r="Q536" s="130"/>
      <c r="R536" s="124"/>
      <c r="S536" s="124"/>
      <c r="T536" s="124"/>
      <c r="U536" s="124"/>
      <c r="V536" s="17"/>
      <c r="W536" s="312"/>
      <c r="X536" s="124"/>
      <c r="Y536" s="124"/>
      <c r="Z536" s="124"/>
      <c r="AA536" s="124"/>
    </row>
    <row r="537" spans="1:27" ht="16.5">
      <c r="A537" s="124"/>
      <c r="B537" s="124"/>
      <c r="C537" s="124"/>
      <c r="D537" s="124"/>
      <c r="E537" s="124"/>
      <c r="F537" s="124"/>
      <c r="G537" s="124"/>
      <c r="H537" s="124"/>
      <c r="I537" s="124"/>
      <c r="J537" s="124"/>
      <c r="K537" s="124"/>
      <c r="L537" s="124"/>
      <c r="M537" s="124"/>
      <c r="N537" s="124"/>
      <c r="O537" s="124"/>
      <c r="P537" s="124"/>
      <c r="Q537" s="130"/>
      <c r="R537" s="124"/>
      <c r="S537" s="124"/>
      <c r="T537" s="124"/>
      <c r="U537" s="124"/>
      <c r="V537" s="17"/>
      <c r="W537" s="312"/>
      <c r="X537" s="124"/>
      <c r="Y537" s="124"/>
      <c r="Z537" s="124"/>
      <c r="AA537" s="124"/>
    </row>
    <row r="538" spans="1:27" ht="16.5">
      <c r="A538" s="124"/>
      <c r="B538" s="124"/>
      <c r="C538" s="124"/>
      <c r="D538" s="124"/>
      <c r="E538" s="124"/>
      <c r="F538" s="124"/>
      <c r="G538" s="124"/>
      <c r="H538" s="124"/>
      <c r="I538" s="124"/>
      <c r="J538" s="124"/>
      <c r="K538" s="124"/>
      <c r="L538" s="124"/>
      <c r="M538" s="124"/>
      <c r="N538" s="124"/>
      <c r="O538" s="124"/>
      <c r="P538" s="124"/>
      <c r="Q538" s="130"/>
      <c r="R538" s="124"/>
      <c r="S538" s="124"/>
      <c r="T538" s="124"/>
      <c r="U538" s="124"/>
      <c r="V538" s="17"/>
      <c r="W538" s="312"/>
      <c r="X538" s="124"/>
      <c r="Y538" s="124"/>
      <c r="Z538" s="124"/>
      <c r="AA538" s="124"/>
    </row>
    <row r="539" spans="1:27" ht="16.5">
      <c r="A539" s="124"/>
      <c r="B539" s="124"/>
      <c r="C539" s="124"/>
      <c r="D539" s="124"/>
      <c r="E539" s="124"/>
      <c r="F539" s="124"/>
      <c r="G539" s="124"/>
      <c r="H539" s="124"/>
      <c r="I539" s="124"/>
      <c r="J539" s="124"/>
      <c r="K539" s="124"/>
      <c r="L539" s="124"/>
      <c r="M539" s="124"/>
      <c r="N539" s="124"/>
      <c r="O539" s="124"/>
      <c r="P539" s="124"/>
      <c r="Q539" s="130"/>
      <c r="R539" s="124"/>
      <c r="S539" s="124"/>
      <c r="T539" s="124"/>
      <c r="U539" s="124"/>
      <c r="V539" s="17"/>
      <c r="W539" s="312"/>
      <c r="X539" s="124"/>
      <c r="Y539" s="124"/>
      <c r="Z539" s="124"/>
      <c r="AA539" s="124"/>
    </row>
    <row r="540" spans="1:27" ht="16.5">
      <c r="A540" s="124"/>
      <c r="B540" s="124"/>
      <c r="C540" s="124"/>
      <c r="D540" s="124"/>
      <c r="E540" s="124"/>
      <c r="F540" s="124"/>
      <c r="G540" s="124"/>
      <c r="H540" s="124"/>
      <c r="I540" s="124"/>
      <c r="J540" s="124"/>
      <c r="K540" s="124"/>
      <c r="L540" s="124"/>
      <c r="M540" s="124"/>
      <c r="N540" s="124"/>
      <c r="O540" s="124"/>
      <c r="P540" s="124"/>
      <c r="Q540" s="130"/>
      <c r="R540" s="124"/>
      <c r="S540" s="124"/>
      <c r="T540" s="124"/>
      <c r="U540" s="124"/>
      <c r="V540" s="17"/>
      <c r="W540" s="312"/>
      <c r="X540" s="124"/>
      <c r="Y540" s="124"/>
      <c r="Z540" s="124"/>
      <c r="AA540" s="124"/>
    </row>
    <row r="541" spans="1:27" ht="16.5">
      <c r="A541" s="124"/>
      <c r="B541" s="124"/>
      <c r="C541" s="124"/>
      <c r="D541" s="124"/>
      <c r="E541" s="124"/>
      <c r="F541" s="124"/>
      <c r="G541" s="124"/>
      <c r="H541" s="124"/>
      <c r="I541" s="124"/>
      <c r="J541" s="124"/>
      <c r="K541" s="124"/>
      <c r="L541" s="124"/>
      <c r="M541" s="124"/>
      <c r="N541" s="124"/>
      <c r="O541" s="124"/>
      <c r="P541" s="124"/>
      <c r="Q541" s="130"/>
      <c r="R541" s="124"/>
      <c r="S541" s="124"/>
      <c r="T541" s="124"/>
      <c r="U541" s="124"/>
      <c r="V541" s="17"/>
      <c r="W541" s="312"/>
      <c r="X541" s="124"/>
      <c r="Y541" s="124"/>
      <c r="Z541" s="124"/>
      <c r="AA541" s="124"/>
    </row>
    <row r="542" spans="1:27" ht="16.5">
      <c r="A542" s="124"/>
      <c r="B542" s="124"/>
      <c r="C542" s="124"/>
      <c r="D542" s="124"/>
      <c r="E542" s="124"/>
      <c r="F542" s="124"/>
      <c r="G542" s="124"/>
      <c r="H542" s="124"/>
      <c r="I542" s="124"/>
      <c r="J542" s="124"/>
      <c r="K542" s="124"/>
      <c r="L542" s="124"/>
      <c r="M542" s="124"/>
      <c r="N542" s="124"/>
      <c r="O542" s="124"/>
      <c r="P542" s="124"/>
      <c r="Q542" s="130"/>
      <c r="R542" s="124"/>
      <c r="S542" s="124"/>
      <c r="T542" s="124"/>
      <c r="U542" s="124"/>
      <c r="V542" s="17"/>
      <c r="W542" s="312"/>
      <c r="X542" s="124"/>
      <c r="Y542" s="124"/>
      <c r="Z542" s="124"/>
      <c r="AA542" s="124"/>
    </row>
    <row r="543" spans="1:27" ht="16.5">
      <c r="A543" s="124"/>
      <c r="B543" s="124"/>
      <c r="C543" s="124"/>
      <c r="D543" s="124"/>
      <c r="E543" s="124"/>
      <c r="F543" s="124"/>
      <c r="G543" s="124"/>
      <c r="H543" s="124"/>
      <c r="I543" s="124"/>
      <c r="J543" s="124"/>
      <c r="K543" s="124"/>
      <c r="L543" s="124"/>
      <c r="M543" s="124"/>
      <c r="N543" s="124"/>
      <c r="O543" s="124"/>
      <c r="P543" s="124"/>
      <c r="Q543" s="130"/>
      <c r="R543" s="124"/>
      <c r="S543" s="124"/>
      <c r="T543" s="124"/>
      <c r="U543" s="124"/>
      <c r="V543" s="17"/>
      <c r="W543" s="312"/>
      <c r="X543" s="124"/>
      <c r="Y543" s="124"/>
      <c r="Z543" s="124"/>
      <c r="AA543" s="124"/>
    </row>
    <row r="544" spans="1:27" ht="16.5">
      <c r="A544" s="124"/>
      <c r="B544" s="124"/>
      <c r="C544" s="124"/>
      <c r="D544" s="124"/>
      <c r="E544" s="124"/>
      <c r="F544" s="124"/>
      <c r="G544" s="124"/>
      <c r="H544" s="124"/>
      <c r="I544" s="124"/>
      <c r="J544" s="124"/>
      <c r="K544" s="124"/>
      <c r="L544" s="124"/>
      <c r="M544" s="124"/>
      <c r="N544" s="124"/>
      <c r="O544" s="124"/>
      <c r="P544" s="124"/>
      <c r="Q544" s="130"/>
      <c r="R544" s="124"/>
      <c r="S544" s="124"/>
      <c r="T544" s="124"/>
      <c r="U544" s="124"/>
      <c r="V544" s="17"/>
      <c r="W544" s="312"/>
      <c r="X544" s="124"/>
      <c r="Y544" s="124"/>
      <c r="Z544" s="124"/>
      <c r="AA544" s="124"/>
    </row>
    <row r="545" spans="1:27" ht="16.5">
      <c r="A545" s="124"/>
      <c r="B545" s="124"/>
      <c r="C545" s="124"/>
      <c r="D545" s="124"/>
      <c r="E545" s="124"/>
      <c r="F545" s="124"/>
      <c r="G545" s="124"/>
      <c r="H545" s="124"/>
      <c r="I545" s="124"/>
      <c r="J545" s="124"/>
      <c r="K545" s="124"/>
      <c r="L545" s="124"/>
      <c r="M545" s="124"/>
      <c r="N545" s="124"/>
      <c r="O545" s="124"/>
      <c r="P545" s="124"/>
      <c r="Q545" s="130"/>
      <c r="R545" s="124"/>
      <c r="S545" s="124"/>
      <c r="T545" s="124"/>
      <c r="U545" s="124"/>
      <c r="V545" s="17"/>
      <c r="W545" s="312"/>
      <c r="X545" s="124"/>
      <c r="Y545" s="124"/>
      <c r="Z545" s="124"/>
      <c r="AA545" s="124"/>
    </row>
    <row r="546" spans="1:27" ht="16.5">
      <c r="A546" s="124"/>
      <c r="B546" s="124"/>
      <c r="C546" s="124"/>
      <c r="D546" s="124"/>
      <c r="E546" s="124"/>
      <c r="F546" s="124"/>
      <c r="G546" s="124"/>
      <c r="H546" s="124"/>
      <c r="I546" s="124"/>
      <c r="J546" s="124"/>
      <c r="K546" s="124"/>
      <c r="L546" s="124"/>
      <c r="M546" s="124"/>
      <c r="N546" s="124"/>
      <c r="O546" s="124"/>
      <c r="P546" s="124"/>
      <c r="Q546" s="130"/>
      <c r="R546" s="124"/>
      <c r="S546" s="124"/>
      <c r="T546" s="124"/>
      <c r="U546" s="124"/>
      <c r="V546" s="17"/>
      <c r="W546" s="312"/>
      <c r="X546" s="124"/>
      <c r="Y546" s="124"/>
      <c r="Z546" s="124"/>
      <c r="AA546" s="124"/>
    </row>
    <row r="547" spans="1:27" ht="16.5">
      <c r="A547" s="124"/>
      <c r="B547" s="124"/>
      <c r="C547" s="124"/>
      <c r="D547" s="124"/>
      <c r="E547" s="124"/>
      <c r="F547" s="124"/>
      <c r="G547" s="124"/>
      <c r="H547" s="124"/>
      <c r="I547" s="124"/>
      <c r="J547" s="124"/>
      <c r="K547" s="124"/>
      <c r="L547" s="124"/>
      <c r="M547" s="124"/>
      <c r="N547" s="124"/>
      <c r="O547" s="124"/>
      <c r="P547" s="124"/>
      <c r="Q547" s="130"/>
      <c r="R547" s="124"/>
      <c r="S547" s="124"/>
      <c r="T547" s="124"/>
      <c r="U547" s="124"/>
      <c r="V547" s="17"/>
      <c r="W547" s="312"/>
      <c r="X547" s="124"/>
      <c r="Y547" s="124"/>
      <c r="Z547" s="124"/>
      <c r="AA547" s="124"/>
    </row>
    <row r="548" spans="1:27" ht="16.5">
      <c r="A548" s="124"/>
      <c r="B548" s="124"/>
      <c r="C548" s="124"/>
      <c r="D548" s="124"/>
      <c r="E548" s="124"/>
      <c r="F548" s="124"/>
      <c r="G548" s="124"/>
      <c r="H548" s="124"/>
      <c r="I548" s="124"/>
      <c r="J548" s="124"/>
      <c r="K548" s="124"/>
      <c r="L548" s="124"/>
      <c r="M548" s="124"/>
      <c r="N548" s="124"/>
      <c r="O548" s="124"/>
      <c r="P548" s="124"/>
      <c r="Q548" s="130"/>
      <c r="R548" s="124"/>
      <c r="S548" s="124"/>
      <c r="T548" s="124"/>
      <c r="U548" s="124"/>
      <c r="V548" s="17"/>
      <c r="W548" s="312"/>
      <c r="X548" s="124"/>
      <c r="Y548" s="124"/>
      <c r="Z548" s="124"/>
      <c r="AA548" s="124"/>
    </row>
    <row r="549" spans="1:27" ht="16.5">
      <c r="A549" s="124"/>
      <c r="B549" s="124"/>
      <c r="C549" s="124"/>
      <c r="D549" s="124"/>
      <c r="E549" s="124"/>
      <c r="F549" s="124"/>
      <c r="G549" s="124"/>
      <c r="H549" s="124"/>
      <c r="I549" s="124"/>
      <c r="J549" s="124"/>
      <c r="K549" s="124"/>
      <c r="L549" s="124"/>
      <c r="M549" s="124"/>
      <c r="N549" s="124"/>
      <c r="O549" s="124"/>
      <c r="P549" s="124"/>
      <c r="Q549" s="130"/>
      <c r="R549" s="124"/>
      <c r="S549" s="124"/>
      <c r="T549" s="124"/>
      <c r="U549" s="124"/>
      <c r="V549" s="17"/>
      <c r="W549" s="312"/>
      <c r="X549" s="124"/>
      <c r="Y549" s="124"/>
      <c r="Z549" s="124"/>
      <c r="AA549" s="124"/>
    </row>
    <row r="550" spans="1:27" ht="16.5">
      <c r="A550" s="124"/>
      <c r="B550" s="124"/>
      <c r="C550" s="124"/>
      <c r="D550" s="124"/>
      <c r="E550" s="124"/>
      <c r="F550" s="124"/>
      <c r="G550" s="124"/>
      <c r="H550" s="124"/>
      <c r="I550" s="124"/>
      <c r="J550" s="124"/>
      <c r="K550" s="124"/>
      <c r="L550" s="124"/>
      <c r="M550" s="124"/>
      <c r="N550" s="124"/>
      <c r="O550" s="124"/>
      <c r="P550" s="124"/>
      <c r="Q550" s="130"/>
      <c r="R550" s="124"/>
      <c r="S550" s="124"/>
      <c r="T550" s="124"/>
      <c r="U550" s="124"/>
      <c r="V550" s="17"/>
      <c r="W550" s="312"/>
      <c r="X550" s="124"/>
      <c r="Y550" s="124"/>
      <c r="Z550" s="124"/>
      <c r="AA550" s="124"/>
    </row>
    <row r="551" spans="1:27" ht="16.5">
      <c r="A551" s="124"/>
      <c r="B551" s="124"/>
      <c r="C551" s="124"/>
      <c r="D551" s="124"/>
      <c r="E551" s="124"/>
      <c r="F551" s="124"/>
      <c r="G551" s="124"/>
      <c r="H551" s="124"/>
      <c r="I551" s="124"/>
      <c r="J551" s="124"/>
      <c r="K551" s="124"/>
      <c r="L551" s="124"/>
      <c r="M551" s="124"/>
      <c r="N551" s="124"/>
      <c r="O551" s="124"/>
      <c r="P551" s="124"/>
      <c r="Q551" s="130"/>
      <c r="R551" s="124"/>
      <c r="S551" s="124"/>
      <c r="T551" s="124"/>
      <c r="U551" s="124"/>
      <c r="V551" s="17"/>
      <c r="W551" s="312"/>
      <c r="X551" s="124"/>
      <c r="Y551" s="124"/>
      <c r="Z551" s="124"/>
      <c r="AA551" s="124"/>
    </row>
    <row r="552" spans="1:27" ht="16.5">
      <c r="A552" s="124"/>
      <c r="B552" s="124"/>
      <c r="C552" s="124"/>
      <c r="D552" s="124"/>
      <c r="E552" s="124"/>
      <c r="F552" s="124"/>
      <c r="G552" s="124"/>
      <c r="H552" s="124"/>
      <c r="I552" s="124"/>
      <c r="J552" s="124"/>
      <c r="K552" s="124"/>
      <c r="L552" s="124"/>
      <c r="M552" s="124"/>
      <c r="N552" s="124"/>
      <c r="O552" s="124"/>
      <c r="P552" s="124"/>
      <c r="Q552" s="130"/>
      <c r="R552" s="124"/>
      <c r="S552" s="124"/>
      <c r="T552" s="124"/>
      <c r="U552" s="124"/>
      <c r="V552" s="17"/>
      <c r="W552" s="312"/>
      <c r="X552" s="124"/>
      <c r="Y552" s="124"/>
      <c r="Z552" s="124"/>
      <c r="AA552" s="124"/>
    </row>
    <row r="553" spans="1:27" ht="16.5">
      <c r="A553" s="124"/>
      <c r="B553" s="124"/>
      <c r="C553" s="124"/>
      <c r="D553" s="124"/>
      <c r="E553" s="124"/>
      <c r="F553" s="124"/>
      <c r="G553" s="124"/>
      <c r="H553" s="124"/>
      <c r="I553" s="124"/>
      <c r="J553" s="124"/>
      <c r="K553" s="124"/>
      <c r="L553" s="124"/>
      <c r="M553" s="124"/>
      <c r="N553" s="124"/>
      <c r="O553" s="124"/>
      <c r="P553" s="124"/>
      <c r="Q553" s="130"/>
      <c r="R553" s="124"/>
      <c r="S553" s="124"/>
      <c r="T553" s="124"/>
      <c r="U553" s="124"/>
      <c r="V553" s="17"/>
      <c r="W553" s="312"/>
      <c r="X553" s="124"/>
      <c r="Y553" s="124"/>
      <c r="Z553" s="124"/>
      <c r="AA553" s="124"/>
    </row>
    <row r="554" spans="1:27" ht="16.5">
      <c r="A554" s="124"/>
      <c r="B554" s="124"/>
      <c r="C554" s="124"/>
      <c r="D554" s="124"/>
      <c r="E554" s="124"/>
      <c r="F554" s="124"/>
      <c r="G554" s="124"/>
      <c r="H554" s="124"/>
      <c r="I554" s="124"/>
      <c r="J554" s="124"/>
      <c r="K554" s="124"/>
      <c r="L554" s="124"/>
      <c r="M554" s="124"/>
      <c r="N554" s="124"/>
      <c r="O554" s="124"/>
      <c r="P554" s="124"/>
      <c r="Q554" s="130"/>
      <c r="R554" s="124"/>
      <c r="S554" s="124"/>
      <c r="T554" s="124"/>
      <c r="U554" s="124"/>
      <c r="V554" s="17"/>
      <c r="W554" s="312"/>
      <c r="X554" s="124"/>
      <c r="Y554" s="124"/>
      <c r="Z554" s="124"/>
      <c r="AA554" s="124"/>
    </row>
    <row r="555" spans="1:27" ht="16.5">
      <c r="A555" s="124"/>
      <c r="B555" s="124"/>
      <c r="C555" s="124"/>
      <c r="D555" s="124"/>
      <c r="E555" s="124"/>
      <c r="F555" s="124"/>
      <c r="G555" s="124"/>
      <c r="H555" s="124"/>
      <c r="I555" s="124"/>
      <c r="J555" s="124"/>
      <c r="K555" s="124"/>
      <c r="L555" s="124"/>
      <c r="M555" s="124"/>
      <c r="N555" s="124"/>
      <c r="O555" s="124"/>
      <c r="P555" s="124"/>
      <c r="Q555" s="130"/>
      <c r="R555" s="124"/>
      <c r="S555" s="124"/>
      <c r="T555" s="124"/>
      <c r="U555" s="124"/>
      <c r="V555" s="17"/>
      <c r="W555" s="312"/>
      <c r="X555" s="124"/>
      <c r="Y555" s="124"/>
      <c r="Z555" s="124"/>
      <c r="AA555" s="124"/>
    </row>
    <row r="556" spans="1:27" ht="16.5">
      <c r="A556" s="124"/>
      <c r="B556" s="124"/>
      <c r="C556" s="124"/>
      <c r="D556" s="124"/>
      <c r="E556" s="124"/>
      <c r="F556" s="124"/>
      <c r="G556" s="124"/>
      <c r="H556" s="124"/>
      <c r="I556" s="124"/>
      <c r="J556" s="124"/>
      <c r="K556" s="124"/>
      <c r="L556" s="124"/>
      <c r="M556" s="124"/>
      <c r="N556" s="124"/>
      <c r="O556" s="124"/>
      <c r="P556" s="124"/>
      <c r="Q556" s="130"/>
      <c r="R556" s="124"/>
      <c r="S556" s="124"/>
      <c r="T556" s="124"/>
      <c r="U556" s="124"/>
      <c r="V556" s="17"/>
      <c r="W556" s="312"/>
      <c r="X556" s="124"/>
      <c r="Y556" s="124"/>
      <c r="Z556" s="124"/>
      <c r="AA556" s="124"/>
    </row>
    <row r="557" spans="1:27" ht="16.5">
      <c r="A557" s="124"/>
      <c r="B557" s="124"/>
      <c r="C557" s="124"/>
      <c r="D557" s="124"/>
      <c r="E557" s="124"/>
      <c r="F557" s="124"/>
      <c r="G557" s="124"/>
      <c r="H557" s="124"/>
      <c r="I557" s="124"/>
      <c r="J557" s="124"/>
      <c r="K557" s="124"/>
      <c r="L557" s="124"/>
      <c r="M557" s="124"/>
      <c r="N557" s="124"/>
      <c r="O557" s="124"/>
      <c r="P557" s="124"/>
      <c r="Q557" s="130"/>
      <c r="R557" s="124"/>
      <c r="S557" s="124"/>
      <c r="T557" s="124"/>
      <c r="U557" s="124"/>
      <c r="V557" s="17"/>
      <c r="W557" s="312"/>
      <c r="X557" s="124"/>
      <c r="Y557" s="124"/>
      <c r="Z557" s="124"/>
      <c r="AA557" s="124"/>
    </row>
    <row r="558" spans="1:27" ht="16.5">
      <c r="A558" s="124"/>
      <c r="B558" s="124"/>
      <c r="C558" s="124"/>
      <c r="D558" s="124"/>
      <c r="E558" s="124"/>
      <c r="F558" s="124"/>
      <c r="G558" s="124"/>
      <c r="H558" s="124"/>
      <c r="I558" s="124"/>
      <c r="J558" s="124"/>
      <c r="K558" s="124"/>
      <c r="L558" s="124"/>
      <c r="M558" s="124"/>
      <c r="N558" s="124"/>
      <c r="O558" s="124"/>
      <c r="P558" s="124"/>
      <c r="Q558" s="130"/>
      <c r="R558" s="124"/>
      <c r="S558" s="124"/>
      <c r="T558" s="124"/>
      <c r="U558" s="124"/>
      <c r="V558" s="17"/>
      <c r="W558" s="312"/>
      <c r="X558" s="124"/>
      <c r="Y558" s="124"/>
      <c r="Z558" s="124"/>
      <c r="AA558" s="124"/>
    </row>
    <row r="559" spans="1:27" ht="16.5">
      <c r="A559" s="124"/>
      <c r="B559" s="124"/>
      <c r="C559" s="124"/>
      <c r="D559" s="124"/>
      <c r="E559" s="124"/>
      <c r="F559" s="124"/>
      <c r="G559" s="124"/>
      <c r="H559" s="124"/>
      <c r="I559" s="124"/>
      <c r="J559" s="124"/>
      <c r="K559" s="124"/>
      <c r="L559" s="124"/>
      <c r="M559" s="124"/>
      <c r="N559" s="124"/>
      <c r="O559" s="124"/>
      <c r="P559" s="124"/>
      <c r="Q559" s="130"/>
      <c r="R559" s="124"/>
      <c r="S559" s="124"/>
      <c r="T559" s="124"/>
      <c r="U559" s="124"/>
      <c r="V559" s="17"/>
      <c r="W559" s="312"/>
      <c r="X559" s="124"/>
      <c r="Y559" s="124"/>
      <c r="Z559" s="124"/>
      <c r="AA559" s="124"/>
    </row>
    <row r="560" spans="1:27" ht="16.5">
      <c r="A560" s="124"/>
      <c r="B560" s="124"/>
      <c r="C560" s="124"/>
      <c r="D560" s="124"/>
      <c r="E560" s="124"/>
      <c r="F560" s="124"/>
      <c r="G560" s="124"/>
      <c r="H560" s="124"/>
      <c r="I560" s="124"/>
      <c r="J560" s="124"/>
      <c r="K560" s="124"/>
      <c r="L560" s="124"/>
      <c r="M560" s="124"/>
      <c r="N560" s="124"/>
      <c r="O560" s="124"/>
      <c r="P560" s="124"/>
      <c r="Q560" s="130"/>
      <c r="R560" s="124"/>
      <c r="S560" s="124"/>
      <c r="T560" s="124"/>
      <c r="U560" s="124"/>
      <c r="V560" s="17"/>
      <c r="W560" s="312"/>
      <c r="X560" s="124"/>
      <c r="Y560" s="124"/>
      <c r="Z560" s="124"/>
      <c r="AA560" s="124"/>
    </row>
    <row r="561" spans="1:27" ht="16.5">
      <c r="A561" s="124"/>
      <c r="B561" s="124"/>
      <c r="C561" s="124"/>
      <c r="D561" s="124"/>
      <c r="E561" s="124"/>
      <c r="F561" s="124"/>
      <c r="G561" s="124"/>
      <c r="H561" s="124"/>
      <c r="I561" s="124"/>
      <c r="J561" s="124"/>
      <c r="K561" s="124"/>
      <c r="L561" s="124"/>
      <c r="M561" s="124"/>
      <c r="N561" s="124"/>
      <c r="O561" s="124"/>
      <c r="P561" s="124"/>
      <c r="Q561" s="130"/>
      <c r="R561" s="124"/>
      <c r="S561" s="124"/>
      <c r="T561" s="124"/>
      <c r="U561" s="124"/>
      <c r="V561" s="17"/>
      <c r="W561" s="312"/>
      <c r="X561" s="124"/>
      <c r="Y561" s="124"/>
      <c r="Z561" s="124"/>
      <c r="AA561" s="124"/>
    </row>
    <row r="562" spans="1:27" ht="16.5">
      <c r="A562" s="124"/>
      <c r="B562" s="124"/>
      <c r="C562" s="124"/>
      <c r="D562" s="124"/>
      <c r="E562" s="124"/>
      <c r="F562" s="124"/>
      <c r="G562" s="124"/>
      <c r="H562" s="124"/>
      <c r="I562" s="124"/>
      <c r="J562" s="124"/>
      <c r="K562" s="124"/>
      <c r="L562" s="124"/>
      <c r="M562" s="124"/>
      <c r="N562" s="124"/>
      <c r="O562" s="124"/>
      <c r="P562" s="124"/>
      <c r="Q562" s="130"/>
      <c r="R562" s="124"/>
      <c r="S562" s="124"/>
      <c r="T562" s="124"/>
      <c r="U562" s="124"/>
      <c r="V562" s="17"/>
      <c r="W562" s="312"/>
      <c r="X562" s="124"/>
      <c r="Y562" s="124"/>
      <c r="Z562" s="124"/>
      <c r="AA562" s="124"/>
    </row>
    <row r="563" spans="1:27" ht="16.5">
      <c r="A563" s="124"/>
      <c r="B563" s="124"/>
      <c r="C563" s="124"/>
      <c r="D563" s="124"/>
      <c r="E563" s="124"/>
      <c r="F563" s="124"/>
      <c r="G563" s="124"/>
      <c r="H563" s="124"/>
      <c r="I563" s="124"/>
      <c r="J563" s="124"/>
      <c r="K563" s="124"/>
      <c r="L563" s="124"/>
      <c r="M563" s="124"/>
      <c r="N563" s="124"/>
      <c r="O563" s="124"/>
      <c r="P563" s="124"/>
      <c r="Q563" s="130"/>
      <c r="R563" s="124"/>
      <c r="S563" s="124"/>
      <c r="T563" s="124"/>
      <c r="U563" s="124"/>
      <c r="V563" s="17"/>
      <c r="W563" s="312"/>
      <c r="X563" s="124"/>
      <c r="Y563" s="124"/>
      <c r="Z563" s="124"/>
      <c r="AA563" s="124"/>
    </row>
    <row r="564" spans="1:27" ht="16.5">
      <c r="A564" s="124"/>
      <c r="B564" s="124"/>
      <c r="C564" s="124"/>
      <c r="D564" s="124"/>
      <c r="E564" s="124"/>
      <c r="F564" s="124"/>
      <c r="G564" s="124"/>
      <c r="H564" s="124"/>
      <c r="I564" s="124"/>
      <c r="J564" s="124"/>
      <c r="K564" s="124"/>
      <c r="L564" s="124"/>
      <c r="M564" s="124"/>
      <c r="N564" s="124"/>
      <c r="O564" s="124"/>
      <c r="P564" s="124"/>
      <c r="Q564" s="130"/>
      <c r="R564" s="124"/>
      <c r="S564" s="124"/>
      <c r="T564" s="124"/>
      <c r="U564" s="124"/>
      <c r="V564" s="17"/>
      <c r="W564" s="312"/>
      <c r="X564" s="124"/>
      <c r="Y564" s="124"/>
      <c r="Z564" s="124"/>
      <c r="AA564" s="124"/>
    </row>
    <row r="565" spans="1:27" ht="16.5">
      <c r="A565" s="124"/>
      <c r="B565" s="124"/>
      <c r="C565" s="124"/>
      <c r="D565" s="124"/>
      <c r="E565" s="124"/>
      <c r="F565" s="124"/>
      <c r="G565" s="124"/>
      <c r="H565" s="124"/>
      <c r="I565" s="124"/>
      <c r="J565" s="124"/>
      <c r="K565" s="124"/>
      <c r="L565" s="124"/>
      <c r="M565" s="124"/>
      <c r="N565" s="124"/>
      <c r="O565" s="124"/>
      <c r="P565" s="124"/>
      <c r="Q565" s="130"/>
      <c r="R565" s="124"/>
      <c r="S565" s="124"/>
      <c r="T565" s="124"/>
      <c r="U565" s="124"/>
      <c r="V565" s="17"/>
      <c r="W565" s="312"/>
      <c r="X565" s="124"/>
      <c r="Y565" s="124"/>
      <c r="Z565" s="124"/>
      <c r="AA565" s="124"/>
    </row>
    <row r="566" spans="1:27" ht="16.5">
      <c r="A566" s="124"/>
      <c r="B566" s="124"/>
      <c r="C566" s="124"/>
      <c r="D566" s="124"/>
      <c r="E566" s="124"/>
      <c r="F566" s="124"/>
      <c r="G566" s="124"/>
      <c r="H566" s="124"/>
      <c r="I566" s="124"/>
      <c r="J566" s="124"/>
      <c r="K566" s="124"/>
      <c r="L566" s="124"/>
      <c r="M566" s="124"/>
      <c r="N566" s="124"/>
      <c r="O566" s="124"/>
      <c r="P566" s="124"/>
      <c r="Q566" s="130"/>
      <c r="R566" s="124"/>
      <c r="S566" s="124"/>
      <c r="T566" s="124"/>
      <c r="U566" s="124"/>
      <c r="V566" s="17"/>
      <c r="W566" s="312"/>
      <c r="X566" s="124"/>
      <c r="Y566" s="124"/>
      <c r="Z566" s="124"/>
      <c r="AA566" s="124"/>
    </row>
    <row r="567" spans="1:27" ht="16.5">
      <c r="A567" s="124"/>
      <c r="B567" s="124"/>
      <c r="C567" s="124"/>
      <c r="D567" s="124"/>
      <c r="E567" s="124"/>
      <c r="F567" s="124"/>
      <c r="G567" s="124"/>
      <c r="H567" s="124"/>
      <c r="I567" s="124"/>
      <c r="J567" s="124"/>
      <c r="K567" s="124"/>
      <c r="L567" s="124"/>
      <c r="M567" s="124"/>
      <c r="N567" s="124"/>
      <c r="O567" s="124"/>
      <c r="P567" s="124"/>
      <c r="Q567" s="130"/>
      <c r="R567" s="124"/>
      <c r="S567" s="124"/>
      <c r="T567" s="124"/>
      <c r="U567" s="124"/>
      <c r="V567" s="17"/>
      <c r="W567" s="312"/>
      <c r="X567" s="124"/>
      <c r="Y567" s="124"/>
      <c r="Z567" s="124"/>
      <c r="AA567" s="124"/>
    </row>
    <row r="568" spans="1:27" ht="16.5">
      <c r="A568" s="124"/>
      <c r="B568" s="124"/>
      <c r="C568" s="124"/>
      <c r="D568" s="124"/>
      <c r="E568" s="124"/>
      <c r="F568" s="124"/>
      <c r="G568" s="124"/>
      <c r="H568" s="124"/>
      <c r="I568" s="124"/>
      <c r="J568" s="124"/>
      <c r="K568" s="124"/>
      <c r="L568" s="124"/>
      <c r="M568" s="124"/>
      <c r="N568" s="124"/>
      <c r="O568" s="124"/>
      <c r="P568" s="124"/>
      <c r="Q568" s="130"/>
      <c r="R568" s="124"/>
      <c r="S568" s="124"/>
      <c r="T568" s="124"/>
      <c r="U568" s="124"/>
      <c r="V568" s="17"/>
      <c r="W568" s="312"/>
      <c r="X568" s="124"/>
      <c r="Y568" s="124"/>
      <c r="Z568" s="124"/>
      <c r="AA568" s="124"/>
    </row>
    <row r="569" spans="1:27" ht="16.5">
      <c r="A569" s="124"/>
      <c r="B569" s="124"/>
      <c r="C569" s="124"/>
      <c r="D569" s="124"/>
      <c r="E569" s="124"/>
      <c r="F569" s="124"/>
      <c r="G569" s="124"/>
      <c r="H569" s="124"/>
      <c r="I569" s="124"/>
      <c r="J569" s="124"/>
      <c r="K569" s="124"/>
      <c r="L569" s="124"/>
      <c r="M569" s="124"/>
      <c r="N569" s="124"/>
      <c r="O569" s="124"/>
      <c r="P569" s="124"/>
      <c r="Q569" s="130"/>
      <c r="R569" s="124"/>
      <c r="S569" s="124"/>
      <c r="T569" s="124"/>
      <c r="U569" s="124"/>
      <c r="V569" s="17"/>
      <c r="W569" s="312"/>
      <c r="X569" s="124"/>
      <c r="Y569" s="124"/>
      <c r="Z569" s="124"/>
      <c r="AA569" s="124"/>
    </row>
    <row r="570" spans="1:27" ht="16.5">
      <c r="A570" s="124"/>
      <c r="B570" s="124"/>
      <c r="C570" s="124"/>
      <c r="D570" s="124"/>
      <c r="E570" s="124"/>
      <c r="F570" s="124"/>
      <c r="G570" s="124"/>
      <c r="H570" s="124"/>
      <c r="I570" s="124"/>
      <c r="J570" s="124"/>
      <c r="K570" s="124"/>
      <c r="L570" s="124"/>
      <c r="M570" s="124"/>
      <c r="N570" s="124"/>
      <c r="O570" s="124"/>
      <c r="P570" s="124"/>
      <c r="Q570" s="130"/>
      <c r="R570" s="124"/>
      <c r="S570" s="124"/>
      <c r="T570" s="124"/>
      <c r="U570" s="124"/>
      <c r="V570" s="17"/>
      <c r="W570" s="312"/>
      <c r="X570" s="124"/>
      <c r="Y570" s="124"/>
      <c r="Z570" s="124"/>
      <c r="AA570" s="124"/>
    </row>
    <row r="571" spans="1:27" ht="16.5">
      <c r="A571" s="124"/>
      <c r="B571" s="124"/>
      <c r="C571" s="124"/>
      <c r="D571" s="124"/>
      <c r="E571" s="124"/>
      <c r="F571" s="124"/>
      <c r="G571" s="124"/>
      <c r="H571" s="124"/>
      <c r="I571" s="124"/>
      <c r="J571" s="124"/>
      <c r="K571" s="124"/>
      <c r="L571" s="124"/>
      <c r="M571" s="124"/>
      <c r="N571" s="124"/>
      <c r="O571" s="124"/>
      <c r="P571" s="124"/>
      <c r="Q571" s="130"/>
      <c r="R571" s="124"/>
      <c r="S571" s="124"/>
      <c r="T571" s="124"/>
      <c r="U571" s="124"/>
      <c r="V571" s="17"/>
      <c r="W571" s="312"/>
      <c r="X571" s="124"/>
      <c r="Y571" s="124"/>
      <c r="Z571" s="124"/>
      <c r="AA571" s="124"/>
    </row>
    <row r="572" spans="1:27" ht="16.5">
      <c r="A572" s="124"/>
      <c r="B572" s="124"/>
      <c r="C572" s="124"/>
      <c r="D572" s="124"/>
      <c r="E572" s="124"/>
      <c r="F572" s="124"/>
      <c r="G572" s="124"/>
      <c r="H572" s="124"/>
      <c r="I572" s="124"/>
      <c r="J572" s="124"/>
      <c r="K572" s="124"/>
      <c r="L572" s="124"/>
      <c r="M572" s="124"/>
      <c r="N572" s="124"/>
      <c r="O572" s="124"/>
      <c r="P572" s="124"/>
      <c r="Q572" s="130"/>
      <c r="R572" s="124"/>
      <c r="S572" s="124"/>
      <c r="T572" s="124"/>
      <c r="U572" s="124"/>
      <c r="V572" s="17"/>
      <c r="W572" s="312"/>
      <c r="X572" s="124"/>
      <c r="Y572" s="124"/>
      <c r="Z572" s="124"/>
      <c r="AA572" s="124"/>
    </row>
    <row r="573" spans="1:27" ht="16.5">
      <c r="A573" s="124"/>
      <c r="B573" s="124"/>
      <c r="C573" s="124"/>
      <c r="D573" s="124"/>
      <c r="E573" s="124"/>
      <c r="F573" s="124"/>
      <c r="G573" s="124"/>
      <c r="H573" s="124"/>
      <c r="I573" s="124"/>
      <c r="J573" s="124"/>
      <c r="K573" s="124"/>
      <c r="L573" s="124"/>
      <c r="M573" s="124"/>
      <c r="N573" s="124"/>
      <c r="O573" s="124"/>
      <c r="P573" s="124"/>
      <c r="Q573" s="130"/>
      <c r="R573" s="124"/>
      <c r="S573" s="124"/>
      <c r="T573" s="124"/>
      <c r="U573" s="124"/>
      <c r="V573" s="17"/>
      <c r="W573" s="312"/>
      <c r="X573" s="124"/>
      <c r="Y573" s="124"/>
      <c r="Z573" s="124"/>
      <c r="AA573" s="124"/>
    </row>
    <row r="574" spans="1:27" ht="16.5">
      <c r="A574" s="124"/>
      <c r="B574" s="124"/>
      <c r="C574" s="124"/>
      <c r="D574" s="124"/>
      <c r="E574" s="124"/>
      <c r="F574" s="124"/>
      <c r="G574" s="124"/>
      <c r="H574" s="124"/>
      <c r="I574" s="124"/>
      <c r="J574" s="124"/>
      <c r="K574" s="124"/>
      <c r="L574" s="124"/>
      <c r="M574" s="124"/>
      <c r="N574" s="124"/>
      <c r="O574" s="124"/>
      <c r="P574" s="124"/>
      <c r="Q574" s="130"/>
      <c r="R574" s="124"/>
      <c r="S574" s="124"/>
      <c r="T574" s="124"/>
      <c r="U574" s="124"/>
      <c r="V574" s="17"/>
      <c r="W574" s="312"/>
      <c r="X574" s="124"/>
      <c r="Y574" s="124"/>
      <c r="Z574" s="124"/>
      <c r="AA574" s="124"/>
    </row>
    <row r="575" spans="1:27" ht="16.5">
      <c r="A575" s="124"/>
      <c r="B575" s="124"/>
      <c r="C575" s="124"/>
      <c r="D575" s="124"/>
      <c r="E575" s="124"/>
      <c r="F575" s="124"/>
      <c r="G575" s="124"/>
      <c r="H575" s="124"/>
      <c r="I575" s="124"/>
      <c r="J575" s="124"/>
      <c r="K575" s="124"/>
      <c r="L575" s="124"/>
      <c r="M575" s="124"/>
      <c r="N575" s="124"/>
      <c r="O575" s="124"/>
      <c r="P575" s="124"/>
      <c r="Q575" s="130"/>
      <c r="R575" s="124"/>
      <c r="S575" s="124"/>
      <c r="T575" s="124"/>
      <c r="U575" s="124"/>
      <c r="V575" s="17"/>
      <c r="W575" s="312"/>
      <c r="X575" s="124"/>
      <c r="Y575" s="124"/>
      <c r="Z575" s="124"/>
      <c r="AA575" s="124"/>
    </row>
    <row r="576" spans="1:27" ht="16.5">
      <c r="A576" s="124"/>
      <c r="B576" s="124"/>
      <c r="C576" s="124"/>
      <c r="D576" s="124"/>
      <c r="E576" s="124"/>
      <c r="F576" s="124"/>
      <c r="G576" s="124"/>
      <c r="H576" s="124"/>
      <c r="I576" s="124"/>
      <c r="J576" s="124"/>
      <c r="K576" s="124"/>
      <c r="L576" s="124"/>
      <c r="M576" s="124"/>
      <c r="N576" s="124"/>
      <c r="O576" s="124"/>
      <c r="P576" s="124"/>
      <c r="Q576" s="130"/>
      <c r="R576" s="124"/>
      <c r="S576" s="124"/>
      <c r="T576" s="124"/>
      <c r="U576" s="124"/>
      <c r="V576" s="17"/>
      <c r="W576" s="312"/>
      <c r="X576" s="124"/>
      <c r="Y576" s="124"/>
      <c r="Z576" s="124"/>
      <c r="AA576" s="124"/>
    </row>
    <row r="577" spans="1:27" ht="16.5">
      <c r="A577" s="124"/>
      <c r="B577" s="124"/>
      <c r="C577" s="124"/>
      <c r="D577" s="124"/>
      <c r="E577" s="124"/>
      <c r="F577" s="124"/>
      <c r="G577" s="124"/>
      <c r="H577" s="124"/>
      <c r="I577" s="124"/>
      <c r="J577" s="124"/>
      <c r="K577" s="124"/>
      <c r="L577" s="124"/>
      <c r="M577" s="124"/>
      <c r="N577" s="124"/>
      <c r="O577" s="124"/>
      <c r="P577" s="124"/>
      <c r="Q577" s="130"/>
      <c r="R577" s="124"/>
      <c r="S577" s="124"/>
      <c r="T577" s="124"/>
      <c r="U577" s="124"/>
      <c r="V577" s="17"/>
      <c r="W577" s="312"/>
      <c r="X577" s="124"/>
      <c r="Y577" s="124"/>
      <c r="Z577" s="124"/>
      <c r="AA577" s="124"/>
    </row>
    <row r="578" spans="1:27" ht="16.5">
      <c r="A578" s="124"/>
      <c r="B578" s="124"/>
      <c r="C578" s="124"/>
      <c r="D578" s="124"/>
      <c r="E578" s="124"/>
      <c r="F578" s="124"/>
      <c r="G578" s="124"/>
      <c r="H578" s="124"/>
      <c r="I578" s="124"/>
      <c r="J578" s="124"/>
      <c r="K578" s="124"/>
      <c r="L578" s="124"/>
      <c r="M578" s="124"/>
      <c r="N578" s="124"/>
      <c r="O578" s="124"/>
      <c r="P578" s="124"/>
      <c r="Q578" s="130"/>
      <c r="R578" s="124"/>
      <c r="S578" s="124"/>
      <c r="T578" s="124"/>
      <c r="U578" s="124"/>
      <c r="V578" s="17"/>
      <c r="W578" s="312"/>
      <c r="X578" s="124"/>
      <c r="Y578" s="124"/>
      <c r="Z578" s="124"/>
      <c r="AA578" s="124"/>
    </row>
    <row r="579" spans="1:27" ht="16.5">
      <c r="A579" s="124"/>
      <c r="B579" s="124"/>
      <c r="C579" s="124"/>
      <c r="D579" s="124"/>
      <c r="E579" s="124"/>
      <c r="F579" s="124"/>
      <c r="G579" s="124"/>
      <c r="H579" s="124"/>
      <c r="I579" s="124"/>
      <c r="J579" s="124"/>
      <c r="K579" s="124"/>
      <c r="L579" s="124"/>
      <c r="M579" s="124"/>
      <c r="N579" s="124"/>
      <c r="O579" s="124"/>
      <c r="P579" s="124"/>
      <c r="Q579" s="130"/>
      <c r="R579" s="124"/>
      <c r="S579" s="124"/>
      <c r="T579" s="124"/>
      <c r="U579" s="124"/>
      <c r="V579" s="17"/>
      <c r="W579" s="312"/>
      <c r="X579" s="124"/>
      <c r="Y579" s="124"/>
      <c r="Z579" s="124"/>
      <c r="AA579" s="124"/>
    </row>
    <row r="580" spans="1:27" ht="16.5">
      <c r="A580" s="124"/>
      <c r="B580" s="124"/>
      <c r="C580" s="124"/>
      <c r="D580" s="124"/>
      <c r="E580" s="124"/>
      <c r="F580" s="124"/>
      <c r="G580" s="124"/>
      <c r="H580" s="124"/>
      <c r="I580" s="124"/>
      <c r="J580" s="124"/>
      <c r="K580" s="124"/>
      <c r="L580" s="124"/>
      <c r="M580" s="124"/>
      <c r="N580" s="124"/>
      <c r="O580" s="124"/>
      <c r="P580" s="124"/>
      <c r="Q580" s="130"/>
      <c r="R580" s="124"/>
      <c r="S580" s="124"/>
      <c r="T580" s="124"/>
      <c r="U580" s="124"/>
      <c r="V580" s="17"/>
      <c r="W580" s="312"/>
      <c r="X580" s="124"/>
      <c r="Y580" s="124"/>
      <c r="Z580" s="124"/>
      <c r="AA580" s="124"/>
    </row>
    <row r="581" spans="1:27" ht="16.5">
      <c r="A581" s="124"/>
      <c r="B581" s="124"/>
      <c r="C581" s="124"/>
      <c r="D581" s="124"/>
      <c r="E581" s="124"/>
      <c r="F581" s="124"/>
      <c r="G581" s="124"/>
      <c r="H581" s="124"/>
      <c r="I581" s="124"/>
      <c r="J581" s="124"/>
      <c r="K581" s="124"/>
      <c r="L581" s="124"/>
      <c r="M581" s="124"/>
      <c r="N581" s="124"/>
      <c r="O581" s="124"/>
      <c r="P581" s="124"/>
      <c r="Q581" s="130"/>
      <c r="R581" s="124"/>
      <c r="S581" s="124"/>
      <c r="T581" s="124"/>
      <c r="U581" s="124"/>
      <c r="V581" s="17"/>
      <c r="W581" s="312"/>
      <c r="X581" s="124"/>
      <c r="Y581" s="124"/>
      <c r="Z581" s="124"/>
      <c r="AA581" s="124"/>
    </row>
    <row r="582" spans="1:27" ht="16.5">
      <c r="A582" s="124"/>
      <c r="B582" s="124"/>
      <c r="C582" s="124"/>
      <c r="D582" s="124"/>
      <c r="E582" s="124"/>
      <c r="F582" s="124"/>
      <c r="G582" s="124"/>
      <c r="H582" s="124"/>
      <c r="I582" s="124"/>
      <c r="J582" s="124"/>
      <c r="K582" s="124"/>
      <c r="L582" s="124"/>
      <c r="M582" s="124"/>
      <c r="N582" s="124"/>
      <c r="O582" s="124"/>
      <c r="P582" s="124"/>
      <c r="Q582" s="130"/>
      <c r="R582" s="124"/>
      <c r="S582" s="124"/>
      <c r="T582" s="124"/>
      <c r="U582" s="124"/>
      <c r="V582" s="17"/>
      <c r="W582" s="312"/>
      <c r="X582" s="124"/>
      <c r="Y582" s="124"/>
      <c r="Z582" s="124"/>
      <c r="AA582" s="124"/>
    </row>
    <row r="583" spans="1:27" ht="16.5">
      <c r="A583" s="124"/>
      <c r="B583" s="124"/>
      <c r="C583" s="124"/>
      <c r="D583" s="124"/>
      <c r="E583" s="124"/>
      <c r="F583" s="124"/>
      <c r="G583" s="124"/>
      <c r="H583" s="124"/>
      <c r="I583" s="124"/>
      <c r="J583" s="124"/>
      <c r="K583" s="124"/>
      <c r="L583" s="124"/>
      <c r="M583" s="124"/>
      <c r="N583" s="124"/>
      <c r="O583" s="124"/>
      <c r="P583" s="124"/>
      <c r="Q583" s="130"/>
      <c r="R583" s="124"/>
      <c r="S583" s="124"/>
      <c r="T583" s="124"/>
      <c r="U583" s="124"/>
      <c r="V583" s="17"/>
      <c r="W583" s="312"/>
      <c r="X583" s="124"/>
      <c r="Y583" s="124"/>
      <c r="Z583" s="124"/>
      <c r="AA583" s="124"/>
    </row>
    <row r="584" spans="1:27" ht="16.5">
      <c r="A584" s="124"/>
      <c r="B584" s="124"/>
      <c r="C584" s="124"/>
      <c r="D584" s="124"/>
      <c r="E584" s="124"/>
      <c r="F584" s="124"/>
      <c r="G584" s="124"/>
      <c r="H584" s="124"/>
      <c r="I584" s="124"/>
      <c r="J584" s="124"/>
      <c r="K584" s="124"/>
      <c r="L584" s="124"/>
      <c r="M584" s="124"/>
      <c r="N584" s="124"/>
      <c r="O584" s="124"/>
      <c r="P584" s="124"/>
      <c r="Q584" s="130"/>
      <c r="R584" s="124"/>
      <c r="S584" s="124"/>
      <c r="T584" s="124"/>
      <c r="U584" s="124"/>
      <c r="V584" s="17"/>
      <c r="W584" s="312"/>
      <c r="X584" s="124"/>
      <c r="Y584" s="124"/>
      <c r="Z584" s="124"/>
      <c r="AA584" s="124"/>
    </row>
    <row r="585" spans="1:27" ht="16.5">
      <c r="A585" s="124"/>
      <c r="B585" s="124"/>
      <c r="C585" s="124"/>
      <c r="D585" s="124"/>
      <c r="E585" s="124"/>
      <c r="F585" s="124"/>
      <c r="G585" s="124"/>
      <c r="H585" s="124"/>
      <c r="I585" s="124"/>
      <c r="J585" s="124"/>
      <c r="K585" s="124"/>
      <c r="L585" s="124"/>
      <c r="M585" s="124"/>
      <c r="N585" s="124"/>
      <c r="O585" s="124"/>
      <c r="P585" s="124"/>
      <c r="Q585" s="130"/>
      <c r="R585" s="124"/>
      <c r="S585" s="124"/>
      <c r="T585" s="124"/>
      <c r="U585" s="124"/>
      <c r="V585" s="17"/>
      <c r="W585" s="312"/>
      <c r="X585" s="124"/>
      <c r="Y585" s="124"/>
      <c r="Z585" s="124"/>
      <c r="AA585" s="124"/>
    </row>
    <row r="586" spans="1:27" ht="16.5">
      <c r="A586" s="124"/>
      <c r="B586" s="124"/>
      <c r="C586" s="124"/>
      <c r="D586" s="124"/>
      <c r="E586" s="124"/>
      <c r="F586" s="124"/>
      <c r="G586" s="124"/>
      <c r="H586" s="124"/>
      <c r="I586" s="124"/>
      <c r="J586" s="124"/>
      <c r="K586" s="124"/>
      <c r="L586" s="124"/>
      <c r="M586" s="124"/>
      <c r="N586" s="124"/>
      <c r="O586" s="124"/>
      <c r="P586" s="124"/>
      <c r="Q586" s="130"/>
      <c r="R586" s="124"/>
      <c r="S586" s="124"/>
      <c r="T586" s="124"/>
      <c r="U586" s="124"/>
      <c r="V586" s="17"/>
      <c r="W586" s="312"/>
      <c r="X586" s="124"/>
      <c r="Y586" s="124"/>
      <c r="Z586" s="124"/>
      <c r="AA586" s="124"/>
    </row>
    <row r="587" spans="1:27" ht="16.5">
      <c r="A587" s="124"/>
      <c r="B587" s="124"/>
      <c r="C587" s="124"/>
      <c r="D587" s="124"/>
      <c r="E587" s="124"/>
      <c r="F587" s="124"/>
      <c r="G587" s="124"/>
      <c r="H587" s="124"/>
      <c r="I587" s="124"/>
      <c r="J587" s="124"/>
      <c r="K587" s="124"/>
      <c r="L587" s="124"/>
      <c r="M587" s="124"/>
      <c r="N587" s="124"/>
      <c r="O587" s="124"/>
      <c r="P587" s="124"/>
      <c r="Q587" s="130"/>
      <c r="R587" s="124"/>
      <c r="S587" s="124"/>
      <c r="T587" s="124"/>
      <c r="U587" s="124"/>
      <c r="V587" s="17"/>
      <c r="W587" s="312"/>
      <c r="X587" s="124"/>
      <c r="Y587" s="124"/>
      <c r="Z587" s="124"/>
      <c r="AA587" s="124"/>
    </row>
    <row r="588" spans="1:27" ht="16.5">
      <c r="A588" s="124"/>
      <c r="B588" s="124"/>
      <c r="C588" s="124"/>
      <c r="D588" s="124"/>
      <c r="E588" s="124"/>
      <c r="F588" s="124"/>
      <c r="G588" s="124"/>
      <c r="H588" s="124"/>
      <c r="I588" s="124"/>
      <c r="J588" s="124"/>
      <c r="K588" s="124"/>
      <c r="L588" s="124"/>
      <c r="M588" s="124"/>
      <c r="N588" s="124"/>
      <c r="O588" s="124"/>
      <c r="P588" s="124"/>
      <c r="Q588" s="130"/>
      <c r="R588" s="124"/>
      <c r="S588" s="124"/>
      <c r="T588" s="124"/>
      <c r="U588" s="124"/>
      <c r="V588" s="17"/>
      <c r="W588" s="312"/>
      <c r="X588" s="124"/>
      <c r="Y588" s="124"/>
      <c r="Z588" s="124"/>
      <c r="AA588" s="124"/>
    </row>
    <row r="589" spans="1:27" ht="16.5">
      <c r="A589" s="124"/>
      <c r="B589" s="124"/>
      <c r="C589" s="124"/>
      <c r="D589" s="124"/>
      <c r="E589" s="124"/>
      <c r="F589" s="124"/>
      <c r="G589" s="124"/>
      <c r="H589" s="124"/>
      <c r="I589" s="124"/>
      <c r="J589" s="124"/>
      <c r="K589" s="124"/>
      <c r="L589" s="124"/>
      <c r="M589" s="124"/>
      <c r="N589" s="124"/>
      <c r="O589" s="124"/>
      <c r="P589" s="124"/>
      <c r="Q589" s="130"/>
      <c r="R589" s="124"/>
      <c r="S589" s="124"/>
      <c r="T589" s="124"/>
      <c r="U589" s="124"/>
      <c r="V589" s="17"/>
      <c r="W589" s="312"/>
      <c r="X589" s="124"/>
      <c r="Y589" s="124"/>
      <c r="Z589" s="124"/>
      <c r="AA589" s="124"/>
    </row>
    <row r="590" spans="1:27" ht="16.5">
      <c r="A590" s="124"/>
      <c r="B590" s="124"/>
      <c r="C590" s="124"/>
      <c r="D590" s="124"/>
      <c r="E590" s="124"/>
      <c r="F590" s="124"/>
      <c r="G590" s="124"/>
      <c r="H590" s="124"/>
      <c r="I590" s="124"/>
      <c r="J590" s="124"/>
      <c r="K590" s="124"/>
      <c r="L590" s="124"/>
      <c r="M590" s="124"/>
      <c r="N590" s="124"/>
      <c r="O590" s="124"/>
      <c r="P590" s="124"/>
      <c r="Q590" s="130"/>
      <c r="R590" s="124"/>
      <c r="S590" s="124"/>
      <c r="T590" s="124"/>
      <c r="U590" s="124"/>
      <c r="V590" s="17"/>
      <c r="W590" s="312"/>
      <c r="X590" s="124"/>
      <c r="Y590" s="124"/>
      <c r="Z590" s="124"/>
      <c r="AA590" s="124"/>
    </row>
    <row r="591" spans="1:27" ht="16.5">
      <c r="A591" s="124"/>
      <c r="B591" s="124"/>
      <c r="C591" s="124"/>
      <c r="D591" s="124"/>
      <c r="E591" s="124"/>
      <c r="F591" s="124"/>
      <c r="G591" s="124"/>
      <c r="H591" s="124"/>
      <c r="I591" s="124"/>
      <c r="J591" s="124"/>
      <c r="K591" s="124"/>
      <c r="L591" s="124"/>
      <c r="M591" s="124"/>
      <c r="N591" s="124"/>
      <c r="O591" s="124"/>
      <c r="P591" s="124"/>
      <c r="Q591" s="130"/>
      <c r="R591" s="124"/>
      <c r="S591" s="124"/>
      <c r="T591" s="124"/>
      <c r="U591" s="124"/>
      <c r="V591" s="17"/>
      <c r="W591" s="312"/>
      <c r="X591" s="124"/>
      <c r="Y591" s="124"/>
      <c r="Z591" s="124"/>
      <c r="AA591" s="124"/>
    </row>
    <row r="592" spans="1:27" ht="16.5">
      <c r="A592" s="124"/>
      <c r="B592" s="124"/>
      <c r="C592" s="124"/>
      <c r="D592" s="124"/>
      <c r="E592" s="124"/>
      <c r="F592" s="124"/>
      <c r="G592" s="124"/>
      <c r="H592" s="124"/>
      <c r="I592" s="124"/>
      <c r="J592" s="124"/>
      <c r="K592" s="124"/>
      <c r="L592" s="124"/>
      <c r="M592" s="124"/>
      <c r="N592" s="124"/>
      <c r="O592" s="124"/>
      <c r="P592" s="124"/>
      <c r="Q592" s="130"/>
      <c r="R592" s="124"/>
      <c r="S592" s="124"/>
      <c r="T592" s="124"/>
      <c r="U592" s="124"/>
      <c r="V592" s="17"/>
      <c r="W592" s="312"/>
      <c r="X592" s="124"/>
      <c r="Y592" s="124"/>
      <c r="Z592" s="124"/>
      <c r="AA592" s="124"/>
    </row>
    <row r="593" spans="1:27" ht="16.5">
      <c r="A593" s="124"/>
      <c r="B593" s="124"/>
      <c r="C593" s="124"/>
      <c r="D593" s="124"/>
      <c r="E593" s="124"/>
      <c r="F593" s="124"/>
      <c r="G593" s="124"/>
      <c r="H593" s="124"/>
      <c r="I593" s="124"/>
      <c r="J593" s="124"/>
      <c r="K593" s="124"/>
      <c r="L593" s="124"/>
      <c r="M593" s="124"/>
      <c r="N593" s="124"/>
      <c r="O593" s="124"/>
      <c r="P593" s="124"/>
      <c r="Q593" s="130"/>
      <c r="R593" s="124"/>
      <c r="S593" s="124"/>
      <c r="T593" s="124"/>
      <c r="U593" s="124"/>
      <c r="V593" s="17"/>
      <c r="W593" s="312"/>
      <c r="X593" s="124"/>
      <c r="Y593" s="124"/>
      <c r="Z593" s="124"/>
      <c r="AA593" s="124"/>
    </row>
    <row r="594" spans="1:27" ht="16.5">
      <c r="A594" s="124"/>
      <c r="B594" s="124"/>
      <c r="C594" s="124"/>
      <c r="D594" s="124"/>
      <c r="E594" s="124"/>
      <c r="F594" s="124"/>
      <c r="G594" s="124"/>
      <c r="H594" s="124"/>
      <c r="I594" s="124"/>
      <c r="J594" s="124"/>
      <c r="K594" s="124"/>
      <c r="L594" s="124"/>
      <c r="M594" s="124"/>
      <c r="N594" s="124"/>
      <c r="O594" s="124"/>
      <c r="P594" s="124"/>
      <c r="Q594" s="130"/>
      <c r="R594" s="124"/>
      <c r="S594" s="124"/>
      <c r="T594" s="124"/>
      <c r="U594" s="124"/>
      <c r="V594" s="17"/>
      <c r="W594" s="312"/>
      <c r="X594" s="124"/>
      <c r="Y594" s="124"/>
      <c r="Z594" s="124"/>
      <c r="AA594" s="124"/>
    </row>
    <row r="595" spans="1:27" ht="16.5">
      <c r="A595" s="124"/>
      <c r="B595" s="124"/>
      <c r="C595" s="124"/>
      <c r="D595" s="124"/>
      <c r="E595" s="124"/>
      <c r="F595" s="124"/>
      <c r="G595" s="124"/>
      <c r="H595" s="124"/>
      <c r="I595" s="124"/>
      <c r="J595" s="124"/>
      <c r="K595" s="124"/>
      <c r="L595" s="124"/>
      <c r="M595" s="124"/>
      <c r="N595" s="124"/>
      <c r="O595" s="124"/>
      <c r="P595" s="124"/>
      <c r="Q595" s="130"/>
      <c r="R595" s="124"/>
      <c r="S595" s="124"/>
      <c r="T595" s="124"/>
      <c r="U595" s="124"/>
      <c r="V595" s="17"/>
      <c r="W595" s="312"/>
      <c r="X595" s="124"/>
      <c r="Y595" s="124"/>
      <c r="Z595" s="124"/>
      <c r="AA595" s="124"/>
    </row>
    <row r="596" spans="1:27" ht="16.5">
      <c r="A596" s="124"/>
      <c r="B596" s="124"/>
      <c r="C596" s="124"/>
      <c r="D596" s="124"/>
      <c r="E596" s="124"/>
      <c r="F596" s="124"/>
      <c r="G596" s="124"/>
      <c r="H596" s="124"/>
      <c r="I596" s="124"/>
      <c r="J596" s="124"/>
      <c r="K596" s="124"/>
      <c r="L596" s="124"/>
      <c r="M596" s="124"/>
      <c r="N596" s="124"/>
      <c r="O596" s="124"/>
      <c r="P596" s="124"/>
      <c r="Q596" s="130"/>
      <c r="R596" s="124"/>
      <c r="S596" s="124"/>
      <c r="T596" s="124"/>
      <c r="U596" s="124"/>
      <c r="V596" s="17"/>
      <c r="W596" s="312"/>
      <c r="X596" s="124"/>
      <c r="Y596" s="124"/>
      <c r="Z596" s="124"/>
      <c r="AA596" s="124"/>
    </row>
    <row r="597" spans="1:27" ht="16.5">
      <c r="A597" s="124"/>
      <c r="B597" s="124"/>
      <c r="C597" s="124"/>
      <c r="D597" s="124"/>
      <c r="E597" s="124"/>
      <c r="F597" s="124"/>
      <c r="G597" s="124"/>
      <c r="H597" s="124"/>
      <c r="I597" s="124"/>
      <c r="J597" s="124"/>
      <c r="K597" s="124"/>
      <c r="L597" s="124"/>
      <c r="M597" s="124"/>
      <c r="N597" s="124"/>
      <c r="O597" s="124"/>
      <c r="P597" s="124"/>
      <c r="Q597" s="130"/>
      <c r="R597" s="124"/>
      <c r="S597" s="124"/>
      <c r="T597" s="124"/>
      <c r="U597" s="124"/>
      <c r="V597" s="17"/>
      <c r="W597" s="312"/>
      <c r="X597" s="124"/>
      <c r="Y597" s="124"/>
      <c r="Z597" s="124"/>
      <c r="AA597" s="124"/>
    </row>
    <row r="598" spans="1:27" ht="16.5">
      <c r="A598" s="124"/>
      <c r="B598" s="124"/>
      <c r="C598" s="124"/>
      <c r="D598" s="124"/>
      <c r="E598" s="124"/>
      <c r="F598" s="124"/>
      <c r="G598" s="124"/>
      <c r="H598" s="124"/>
      <c r="I598" s="124"/>
      <c r="J598" s="124"/>
      <c r="K598" s="124"/>
      <c r="L598" s="124"/>
      <c r="M598" s="124"/>
      <c r="N598" s="124"/>
      <c r="O598" s="124"/>
      <c r="P598" s="124"/>
      <c r="Q598" s="130"/>
      <c r="R598" s="124"/>
      <c r="S598" s="124"/>
      <c r="T598" s="124"/>
      <c r="U598" s="124"/>
      <c r="V598" s="17"/>
      <c r="W598" s="312"/>
      <c r="X598" s="124"/>
      <c r="Y598" s="124"/>
      <c r="Z598" s="124"/>
      <c r="AA598" s="124"/>
    </row>
    <row r="599" spans="1:27" ht="16.5">
      <c r="A599" s="124"/>
      <c r="B599" s="124"/>
      <c r="C599" s="124"/>
      <c r="D599" s="124"/>
      <c r="E599" s="124"/>
      <c r="F599" s="124"/>
      <c r="G599" s="124"/>
      <c r="H599" s="124"/>
      <c r="I599" s="124"/>
      <c r="J599" s="124"/>
      <c r="K599" s="124"/>
      <c r="L599" s="124"/>
      <c r="M599" s="124"/>
      <c r="N599" s="124"/>
      <c r="O599" s="124"/>
      <c r="P599" s="124"/>
      <c r="Q599" s="130"/>
      <c r="R599" s="124"/>
      <c r="S599" s="124"/>
      <c r="T599" s="124"/>
      <c r="U599" s="124"/>
      <c r="V599" s="17"/>
      <c r="W599" s="312"/>
      <c r="X599" s="124"/>
      <c r="Y599" s="124"/>
      <c r="Z599" s="124"/>
      <c r="AA599" s="124"/>
    </row>
    <row r="600" spans="1:27" ht="16.5">
      <c r="A600" s="124"/>
      <c r="B600" s="124"/>
      <c r="C600" s="124"/>
      <c r="D600" s="124"/>
      <c r="E600" s="124"/>
      <c r="F600" s="124"/>
      <c r="G600" s="124"/>
      <c r="H600" s="124"/>
      <c r="I600" s="124"/>
      <c r="J600" s="124"/>
      <c r="K600" s="124"/>
      <c r="L600" s="124"/>
      <c r="M600" s="124"/>
      <c r="N600" s="124"/>
      <c r="O600" s="124"/>
      <c r="P600" s="124"/>
      <c r="Q600" s="130"/>
      <c r="R600" s="124"/>
      <c r="S600" s="124"/>
      <c r="T600" s="124"/>
      <c r="U600" s="124"/>
      <c r="V600" s="17"/>
      <c r="W600" s="312"/>
      <c r="X600" s="124"/>
      <c r="Y600" s="124"/>
      <c r="Z600" s="124"/>
      <c r="AA600" s="124"/>
    </row>
    <row r="601" spans="1:27" ht="16.5">
      <c r="A601" s="124"/>
      <c r="B601" s="124"/>
      <c r="C601" s="124"/>
      <c r="D601" s="124"/>
      <c r="E601" s="124"/>
      <c r="F601" s="124"/>
      <c r="G601" s="124"/>
      <c r="H601" s="124"/>
      <c r="I601" s="124"/>
      <c r="J601" s="124"/>
      <c r="K601" s="124"/>
      <c r="L601" s="124"/>
      <c r="M601" s="124"/>
      <c r="N601" s="124"/>
      <c r="O601" s="124"/>
      <c r="P601" s="124"/>
      <c r="Q601" s="130"/>
      <c r="R601" s="124"/>
      <c r="S601" s="124"/>
      <c r="T601" s="124"/>
      <c r="U601" s="124"/>
      <c r="V601" s="17"/>
      <c r="W601" s="312"/>
      <c r="X601" s="124"/>
      <c r="Y601" s="124"/>
      <c r="Z601" s="124"/>
      <c r="AA601" s="124"/>
    </row>
    <row r="602" spans="1:27" ht="16.5">
      <c r="A602" s="124"/>
      <c r="B602" s="124"/>
      <c r="C602" s="124"/>
      <c r="D602" s="124"/>
      <c r="E602" s="124"/>
      <c r="F602" s="124"/>
      <c r="G602" s="124"/>
      <c r="H602" s="124"/>
      <c r="I602" s="124"/>
      <c r="J602" s="124"/>
      <c r="K602" s="124"/>
      <c r="L602" s="124"/>
      <c r="M602" s="124"/>
      <c r="N602" s="124"/>
      <c r="O602" s="124"/>
      <c r="P602" s="124"/>
      <c r="Q602" s="130"/>
      <c r="R602" s="124"/>
      <c r="S602" s="124"/>
      <c r="T602" s="124"/>
      <c r="U602" s="124"/>
      <c r="V602" s="17"/>
      <c r="W602" s="312"/>
      <c r="X602" s="124"/>
      <c r="Y602" s="124"/>
      <c r="Z602" s="124"/>
      <c r="AA602" s="124"/>
    </row>
    <row r="603" spans="1:27" ht="16.5">
      <c r="A603" s="124"/>
      <c r="B603" s="124"/>
      <c r="C603" s="124"/>
      <c r="D603" s="124"/>
      <c r="E603" s="124"/>
      <c r="F603" s="124"/>
      <c r="G603" s="124"/>
      <c r="H603" s="124"/>
      <c r="I603" s="124"/>
      <c r="J603" s="124"/>
      <c r="K603" s="124"/>
      <c r="L603" s="124"/>
      <c r="M603" s="124"/>
      <c r="N603" s="124"/>
      <c r="O603" s="124"/>
      <c r="P603" s="124"/>
      <c r="Q603" s="130"/>
      <c r="R603" s="124"/>
      <c r="S603" s="124"/>
      <c r="T603" s="124"/>
      <c r="U603" s="124"/>
      <c r="V603" s="17"/>
      <c r="W603" s="312"/>
      <c r="X603" s="124"/>
      <c r="Y603" s="124"/>
      <c r="Z603" s="124"/>
      <c r="AA603" s="124"/>
    </row>
    <row r="604" spans="1:27" ht="16.5">
      <c r="A604" s="124"/>
      <c r="B604" s="124"/>
      <c r="C604" s="124"/>
      <c r="D604" s="124"/>
      <c r="E604" s="124"/>
      <c r="F604" s="124"/>
      <c r="G604" s="124"/>
      <c r="H604" s="124"/>
      <c r="I604" s="124"/>
      <c r="J604" s="124"/>
      <c r="K604" s="124"/>
      <c r="L604" s="124"/>
      <c r="M604" s="124"/>
      <c r="N604" s="124"/>
      <c r="O604" s="124"/>
      <c r="P604" s="124"/>
      <c r="Q604" s="130"/>
      <c r="R604" s="124"/>
      <c r="S604" s="124"/>
      <c r="T604" s="124"/>
      <c r="U604" s="124"/>
      <c r="V604" s="17"/>
      <c r="W604" s="312"/>
      <c r="X604" s="124"/>
      <c r="Y604" s="124"/>
      <c r="Z604" s="124"/>
      <c r="AA604" s="124"/>
    </row>
    <row r="605" spans="1:27" ht="16.5">
      <c r="A605" s="124"/>
      <c r="B605" s="124"/>
      <c r="C605" s="124"/>
      <c r="D605" s="124"/>
      <c r="E605" s="124"/>
      <c r="F605" s="124"/>
      <c r="G605" s="124"/>
      <c r="H605" s="124"/>
      <c r="I605" s="124"/>
      <c r="J605" s="124"/>
      <c r="K605" s="124"/>
      <c r="L605" s="124"/>
      <c r="M605" s="124"/>
      <c r="N605" s="124"/>
      <c r="O605" s="124"/>
      <c r="P605" s="124"/>
      <c r="Q605" s="130"/>
      <c r="R605" s="124"/>
      <c r="S605" s="124"/>
      <c r="T605" s="124"/>
      <c r="U605" s="124"/>
      <c r="V605" s="17"/>
      <c r="W605" s="312"/>
      <c r="X605" s="124"/>
      <c r="Y605" s="124"/>
      <c r="Z605" s="124"/>
      <c r="AA605" s="124"/>
    </row>
    <row r="606" spans="1:27" ht="16.5">
      <c r="A606" s="124"/>
      <c r="B606" s="124"/>
      <c r="C606" s="124"/>
      <c r="D606" s="124"/>
      <c r="E606" s="124"/>
      <c r="F606" s="124"/>
      <c r="G606" s="124"/>
      <c r="H606" s="124"/>
      <c r="I606" s="124"/>
      <c r="J606" s="124"/>
      <c r="K606" s="124"/>
      <c r="L606" s="124"/>
      <c r="M606" s="124"/>
      <c r="N606" s="124"/>
      <c r="O606" s="124"/>
      <c r="P606" s="124"/>
      <c r="Q606" s="130"/>
      <c r="R606" s="124"/>
      <c r="S606" s="124"/>
      <c r="T606" s="124"/>
      <c r="U606" s="124"/>
      <c r="V606" s="17"/>
      <c r="W606" s="312"/>
      <c r="X606" s="124"/>
      <c r="Y606" s="124"/>
      <c r="Z606" s="124"/>
      <c r="AA606" s="124"/>
    </row>
    <row r="607" spans="1:27" ht="16.5">
      <c r="A607" s="124"/>
      <c r="B607" s="124"/>
      <c r="C607" s="124"/>
      <c r="D607" s="124"/>
      <c r="E607" s="124"/>
      <c r="F607" s="124"/>
      <c r="G607" s="124"/>
      <c r="H607" s="124"/>
      <c r="I607" s="124"/>
      <c r="J607" s="124"/>
      <c r="K607" s="124"/>
      <c r="L607" s="124"/>
      <c r="M607" s="124"/>
      <c r="N607" s="124"/>
      <c r="O607" s="124"/>
      <c r="P607" s="124"/>
      <c r="Q607" s="130"/>
      <c r="R607" s="124"/>
      <c r="S607" s="124"/>
      <c r="T607" s="124"/>
      <c r="U607" s="124"/>
      <c r="V607" s="17"/>
      <c r="W607" s="312"/>
      <c r="X607" s="124"/>
      <c r="Y607" s="124"/>
      <c r="Z607" s="124"/>
      <c r="AA607" s="124"/>
    </row>
    <row r="608" spans="1:27" ht="16.5">
      <c r="A608" s="124"/>
      <c r="B608" s="124"/>
      <c r="C608" s="124"/>
      <c r="D608" s="124"/>
      <c r="E608" s="124"/>
      <c r="F608" s="124"/>
      <c r="G608" s="124"/>
      <c r="H608" s="124"/>
      <c r="I608" s="124"/>
      <c r="J608" s="124"/>
      <c r="K608" s="124"/>
      <c r="L608" s="124"/>
      <c r="M608" s="124"/>
      <c r="N608" s="124"/>
      <c r="O608" s="124"/>
      <c r="P608" s="124"/>
      <c r="Q608" s="130"/>
      <c r="R608" s="124"/>
      <c r="S608" s="124"/>
      <c r="T608" s="124"/>
      <c r="U608" s="124"/>
      <c r="V608" s="17"/>
      <c r="W608" s="312"/>
      <c r="X608" s="124"/>
      <c r="Y608" s="124"/>
      <c r="Z608" s="124"/>
      <c r="AA608" s="124"/>
    </row>
    <row r="609" spans="1:27" ht="16.5">
      <c r="A609" s="124"/>
      <c r="B609" s="124"/>
      <c r="C609" s="124"/>
      <c r="D609" s="124"/>
      <c r="E609" s="124"/>
      <c r="F609" s="124"/>
      <c r="G609" s="124"/>
      <c r="H609" s="124"/>
      <c r="I609" s="124"/>
      <c r="J609" s="124"/>
      <c r="K609" s="124"/>
      <c r="L609" s="124"/>
      <c r="M609" s="124"/>
      <c r="N609" s="124"/>
      <c r="O609" s="124"/>
      <c r="P609" s="124"/>
      <c r="Q609" s="130"/>
      <c r="R609" s="124"/>
      <c r="S609" s="124"/>
      <c r="T609" s="124"/>
      <c r="U609" s="124"/>
      <c r="V609" s="17"/>
      <c r="W609" s="312"/>
      <c r="X609" s="124"/>
      <c r="Y609" s="124"/>
      <c r="Z609" s="124"/>
      <c r="AA609" s="124"/>
    </row>
    <row r="610" spans="1:27" ht="16.5">
      <c r="A610" s="124"/>
      <c r="B610" s="124"/>
      <c r="C610" s="124"/>
      <c r="D610" s="124"/>
      <c r="E610" s="124"/>
      <c r="F610" s="124"/>
      <c r="G610" s="124"/>
      <c r="H610" s="124"/>
      <c r="I610" s="124"/>
      <c r="J610" s="124"/>
      <c r="K610" s="124"/>
      <c r="L610" s="124"/>
      <c r="M610" s="124"/>
      <c r="N610" s="124"/>
      <c r="O610" s="124"/>
      <c r="P610" s="124"/>
      <c r="Q610" s="130"/>
      <c r="R610" s="124"/>
      <c r="S610" s="124"/>
      <c r="T610" s="124"/>
      <c r="U610" s="124"/>
      <c r="V610" s="17"/>
      <c r="W610" s="312"/>
      <c r="X610" s="124"/>
      <c r="Y610" s="124"/>
      <c r="Z610" s="124"/>
      <c r="AA610" s="124"/>
    </row>
    <row r="611" spans="1:27" ht="16.5">
      <c r="A611" s="124"/>
      <c r="B611" s="124"/>
      <c r="C611" s="124"/>
      <c r="D611" s="124"/>
      <c r="E611" s="124"/>
      <c r="F611" s="124"/>
      <c r="G611" s="124"/>
      <c r="H611" s="124"/>
      <c r="I611" s="124"/>
      <c r="J611" s="124"/>
      <c r="K611" s="124"/>
      <c r="L611" s="124"/>
      <c r="M611" s="124"/>
      <c r="N611" s="124"/>
      <c r="O611" s="124"/>
      <c r="P611" s="124"/>
      <c r="Q611" s="130"/>
      <c r="R611" s="124"/>
      <c r="S611" s="124"/>
      <c r="T611" s="124"/>
      <c r="U611" s="124"/>
      <c r="V611" s="17"/>
      <c r="W611" s="312"/>
      <c r="X611" s="124"/>
      <c r="Y611" s="124"/>
      <c r="Z611" s="124"/>
      <c r="AA611" s="124"/>
    </row>
    <row r="612" spans="1:27" ht="16.5">
      <c r="A612" s="124"/>
      <c r="B612" s="124"/>
      <c r="C612" s="124"/>
      <c r="D612" s="124"/>
      <c r="E612" s="124"/>
      <c r="F612" s="124"/>
      <c r="G612" s="124"/>
      <c r="H612" s="124"/>
      <c r="I612" s="124"/>
      <c r="J612" s="124"/>
      <c r="K612" s="124"/>
      <c r="L612" s="124"/>
      <c r="M612" s="124"/>
      <c r="N612" s="124"/>
      <c r="O612" s="124"/>
      <c r="P612" s="124"/>
      <c r="Q612" s="130"/>
      <c r="R612" s="124"/>
      <c r="S612" s="124"/>
      <c r="T612" s="124"/>
      <c r="U612" s="124"/>
      <c r="V612" s="17"/>
      <c r="W612" s="312"/>
      <c r="X612" s="124"/>
      <c r="Y612" s="124"/>
      <c r="Z612" s="124"/>
      <c r="AA612" s="124"/>
    </row>
    <row r="613" spans="1:27" ht="16.5">
      <c r="A613" s="124"/>
      <c r="B613" s="124"/>
      <c r="C613" s="124"/>
      <c r="D613" s="124"/>
      <c r="E613" s="124"/>
      <c r="F613" s="124"/>
      <c r="G613" s="124"/>
      <c r="H613" s="124"/>
      <c r="I613" s="124"/>
      <c r="J613" s="124"/>
      <c r="K613" s="124"/>
      <c r="L613" s="124"/>
      <c r="M613" s="124"/>
      <c r="N613" s="124"/>
      <c r="O613" s="124"/>
      <c r="P613" s="124"/>
      <c r="Q613" s="130"/>
      <c r="R613" s="124"/>
      <c r="S613" s="124"/>
      <c r="T613" s="124"/>
      <c r="U613" s="124"/>
      <c r="V613" s="17"/>
      <c r="W613" s="312"/>
      <c r="X613" s="124"/>
      <c r="Y613" s="124"/>
      <c r="Z613" s="124"/>
      <c r="AA613" s="124"/>
    </row>
    <row r="614" spans="1:27" ht="16.5">
      <c r="A614" s="124"/>
      <c r="B614" s="124"/>
      <c r="C614" s="124"/>
      <c r="D614" s="124"/>
      <c r="E614" s="124"/>
      <c r="F614" s="124"/>
      <c r="G614" s="124"/>
      <c r="H614" s="124"/>
      <c r="I614" s="124"/>
      <c r="J614" s="124"/>
      <c r="K614" s="124"/>
      <c r="L614" s="124"/>
      <c r="M614" s="124"/>
      <c r="N614" s="124"/>
      <c r="O614" s="124"/>
      <c r="P614" s="124"/>
      <c r="Q614" s="130"/>
      <c r="R614" s="124"/>
      <c r="S614" s="124"/>
      <c r="T614" s="124"/>
      <c r="U614" s="124"/>
      <c r="V614" s="17"/>
      <c r="W614" s="312"/>
      <c r="X614" s="124"/>
      <c r="Y614" s="124"/>
      <c r="Z614" s="124"/>
      <c r="AA614" s="124"/>
    </row>
    <row r="615" spans="1:27" ht="16.5">
      <c r="A615" s="124"/>
      <c r="B615" s="124"/>
      <c r="C615" s="124"/>
      <c r="D615" s="124"/>
      <c r="E615" s="124"/>
      <c r="F615" s="124"/>
      <c r="G615" s="124"/>
      <c r="H615" s="124"/>
      <c r="I615" s="124"/>
      <c r="J615" s="124"/>
      <c r="K615" s="124"/>
      <c r="L615" s="124"/>
      <c r="M615" s="124"/>
      <c r="N615" s="124"/>
      <c r="O615" s="124"/>
      <c r="P615" s="124"/>
      <c r="Q615" s="130"/>
      <c r="R615" s="124"/>
      <c r="S615" s="124"/>
      <c r="T615" s="124"/>
      <c r="U615" s="124"/>
      <c r="V615" s="17"/>
      <c r="W615" s="312"/>
      <c r="X615" s="124"/>
      <c r="Y615" s="124"/>
      <c r="Z615" s="124"/>
      <c r="AA615" s="124"/>
    </row>
    <row r="616" spans="1:27" ht="16.5">
      <c r="A616" s="124"/>
      <c r="B616" s="124"/>
      <c r="C616" s="124"/>
      <c r="D616" s="124"/>
      <c r="E616" s="124"/>
      <c r="F616" s="124"/>
      <c r="G616" s="124"/>
      <c r="H616" s="124"/>
      <c r="I616" s="124"/>
      <c r="J616" s="124"/>
      <c r="K616" s="124"/>
      <c r="L616" s="124"/>
      <c r="M616" s="124"/>
      <c r="N616" s="124"/>
      <c r="O616" s="124"/>
      <c r="P616" s="124"/>
      <c r="Q616" s="130"/>
      <c r="R616" s="124"/>
      <c r="S616" s="124"/>
      <c r="T616" s="124"/>
      <c r="U616" s="124"/>
      <c r="V616" s="17"/>
      <c r="W616" s="312"/>
      <c r="X616" s="124"/>
      <c r="Y616" s="124"/>
      <c r="Z616" s="124"/>
      <c r="AA616" s="124"/>
    </row>
    <row r="617" spans="1:27" ht="16.5">
      <c r="A617" s="124"/>
      <c r="B617" s="124"/>
      <c r="C617" s="124"/>
      <c r="D617" s="124"/>
      <c r="E617" s="124"/>
      <c r="F617" s="124"/>
      <c r="G617" s="124"/>
      <c r="H617" s="124"/>
      <c r="I617" s="124"/>
      <c r="J617" s="124"/>
      <c r="K617" s="124"/>
      <c r="L617" s="124"/>
      <c r="M617" s="124"/>
      <c r="N617" s="124"/>
      <c r="O617" s="124"/>
      <c r="P617" s="124"/>
      <c r="Q617" s="130"/>
      <c r="R617" s="124"/>
      <c r="S617" s="124"/>
      <c r="T617" s="124"/>
      <c r="U617" s="124"/>
      <c r="V617" s="17"/>
      <c r="W617" s="312"/>
      <c r="X617" s="124"/>
      <c r="Y617" s="124"/>
      <c r="Z617" s="124"/>
      <c r="AA617" s="124"/>
    </row>
    <row r="618" spans="1:27" ht="16.5">
      <c r="A618" s="124"/>
      <c r="B618" s="124"/>
      <c r="C618" s="124"/>
      <c r="D618" s="124"/>
      <c r="E618" s="124"/>
      <c r="F618" s="124"/>
      <c r="G618" s="124"/>
      <c r="H618" s="124"/>
      <c r="I618" s="124"/>
      <c r="J618" s="124"/>
      <c r="K618" s="124"/>
      <c r="L618" s="124"/>
      <c r="M618" s="124"/>
      <c r="N618" s="124"/>
      <c r="O618" s="124"/>
      <c r="P618" s="124"/>
      <c r="Q618" s="130"/>
      <c r="R618" s="124"/>
      <c r="S618" s="124"/>
      <c r="T618" s="124"/>
      <c r="U618" s="124"/>
      <c r="V618" s="17"/>
      <c r="W618" s="312"/>
      <c r="X618" s="124"/>
      <c r="Y618" s="124"/>
      <c r="Z618" s="124"/>
      <c r="AA618" s="124"/>
    </row>
    <row r="619" spans="1:27" ht="16.5">
      <c r="A619" s="124"/>
      <c r="B619" s="124"/>
      <c r="C619" s="124"/>
      <c r="D619" s="124"/>
      <c r="E619" s="124"/>
      <c r="F619" s="124"/>
      <c r="G619" s="124"/>
      <c r="H619" s="124"/>
      <c r="I619" s="124"/>
      <c r="J619" s="124"/>
      <c r="K619" s="124"/>
      <c r="L619" s="124"/>
      <c r="M619" s="124"/>
      <c r="N619" s="124"/>
      <c r="O619" s="124"/>
      <c r="P619" s="124"/>
      <c r="Q619" s="130"/>
      <c r="R619" s="124"/>
      <c r="S619" s="124"/>
      <c r="T619" s="124"/>
      <c r="U619" s="124"/>
      <c r="V619" s="17"/>
      <c r="W619" s="312"/>
      <c r="X619" s="124"/>
      <c r="Y619" s="124"/>
      <c r="Z619" s="124"/>
      <c r="AA619" s="124"/>
    </row>
    <row r="620" spans="1:27" ht="16.5">
      <c r="A620" s="124"/>
      <c r="B620" s="124"/>
      <c r="C620" s="124"/>
      <c r="D620" s="124"/>
      <c r="E620" s="124"/>
      <c r="F620" s="124"/>
      <c r="G620" s="124"/>
      <c r="H620" s="124"/>
      <c r="I620" s="124"/>
      <c r="J620" s="124"/>
      <c r="K620" s="124"/>
      <c r="L620" s="124"/>
      <c r="M620" s="124"/>
      <c r="N620" s="124"/>
      <c r="O620" s="124"/>
      <c r="P620" s="124"/>
      <c r="Q620" s="130"/>
      <c r="R620" s="124"/>
      <c r="S620" s="124"/>
      <c r="T620" s="124"/>
      <c r="U620" s="124"/>
      <c r="V620" s="17"/>
      <c r="W620" s="312"/>
      <c r="X620" s="124"/>
      <c r="Y620" s="124"/>
      <c r="Z620" s="124"/>
      <c r="AA620" s="124"/>
    </row>
    <row r="621" spans="1:27" ht="16.5">
      <c r="A621" s="124"/>
      <c r="B621" s="124"/>
      <c r="C621" s="124"/>
      <c r="D621" s="124"/>
      <c r="E621" s="124"/>
      <c r="F621" s="124"/>
      <c r="G621" s="124"/>
      <c r="H621" s="124"/>
      <c r="I621" s="124"/>
      <c r="J621" s="124"/>
      <c r="K621" s="124"/>
      <c r="L621" s="124"/>
      <c r="M621" s="124"/>
      <c r="N621" s="124"/>
      <c r="O621" s="124"/>
      <c r="P621" s="124"/>
      <c r="Q621" s="130"/>
      <c r="R621" s="124"/>
      <c r="S621" s="124"/>
      <c r="T621" s="124"/>
      <c r="U621" s="124"/>
      <c r="V621" s="17"/>
      <c r="W621" s="312"/>
      <c r="X621" s="124"/>
      <c r="Y621" s="124"/>
      <c r="Z621" s="124"/>
      <c r="AA621" s="124"/>
    </row>
    <row r="622" spans="1:27" ht="16.5">
      <c r="A622" s="124"/>
      <c r="B622" s="124"/>
      <c r="C622" s="124"/>
      <c r="D622" s="124"/>
      <c r="E622" s="124"/>
      <c r="F622" s="124"/>
      <c r="G622" s="124"/>
      <c r="H622" s="124"/>
      <c r="I622" s="124"/>
      <c r="J622" s="124"/>
      <c r="K622" s="124"/>
      <c r="L622" s="124"/>
      <c r="M622" s="124"/>
      <c r="N622" s="124"/>
      <c r="O622" s="124"/>
      <c r="P622" s="124"/>
      <c r="Q622" s="130"/>
      <c r="R622" s="124"/>
      <c r="S622" s="124"/>
      <c r="T622" s="124"/>
      <c r="U622" s="124"/>
      <c r="V622" s="17"/>
      <c r="W622" s="312"/>
      <c r="X622" s="124"/>
      <c r="Y622" s="124"/>
      <c r="Z622" s="124"/>
      <c r="AA622" s="124"/>
    </row>
    <row r="623" spans="1:27" ht="16.5">
      <c r="A623" s="124"/>
      <c r="B623" s="124"/>
      <c r="C623" s="124"/>
      <c r="D623" s="124"/>
      <c r="E623" s="124"/>
      <c r="F623" s="124"/>
      <c r="G623" s="124"/>
      <c r="H623" s="124"/>
      <c r="I623" s="124"/>
      <c r="J623" s="124"/>
      <c r="K623" s="124"/>
      <c r="L623" s="124"/>
      <c r="M623" s="124"/>
      <c r="N623" s="124"/>
      <c r="O623" s="124"/>
      <c r="P623" s="124"/>
      <c r="Q623" s="130"/>
      <c r="R623" s="124"/>
      <c r="S623" s="124"/>
      <c r="T623" s="124"/>
      <c r="U623" s="124"/>
      <c r="V623" s="17"/>
      <c r="W623" s="312"/>
      <c r="X623" s="124"/>
      <c r="Y623" s="124"/>
      <c r="Z623" s="124"/>
      <c r="AA623" s="124"/>
    </row>
    <row r="624" spans="1:27" ht="16.5">
      <c r="A624" s="124"/>
      <c r="B624" s="124"/>
      <c r="C624" s="124"/>
      <c r="D624" s="124"/>
      <c r="E624" s="124"/>
      <c r="F624" s="124"/>
      <c r="G624" s="124"/>
      <c r="H624" s="124"/>
      <c r="I624" s="124"/>
      <c r="J624" s="124"/>
      <c r="K624" s="124"/>
      <c r="L624" s="124"/>
      <c r="M624" s="124"/>
      <c r="N624" s="124"/>
      <c r="O624" s="124"/>
      <c r="P624" s="124"/>
      <c r="Q624" s="130"/>
      <c r="R624" s="124"/>
      <c r="S624" s="124"/>
      <c r="T624" s="124"/>
      <c r="U624" s="124"/>
      <c r="V624" s="17"/>
      <c r="W624" s="312"/>
      <c r="X624" s="124"/>
      <c r="Y624" s="124"/>
      <c r="Z624" s="124"/>
      <c r="AA624" s="124"/>
    </row>
    <row r="625" spans="1:27" ht="16.5">
      <c r="A625" s="124"/>
      <c r="B625" s="124"/>
      <c r="C625" s="124"/>
      <c r="D625" s="124"/>
      <c r="E625" s="124"/>
      <c r="F625" s="124"/>
      <c r="G625" s="124"/>
      <c r="H625" s="124"/>
      <c r="I625" s="124"/>
      <c r="J625" s="124"/>
      <c r="K625" s="124"/>
      <c r="L625" s="124"/>
      <c r="M625" s="124"/>
      <c r="N625" s="124"/>
      <c r="O625" s="124"/>
      <c r="P625" s="124"/>
      <c r="Q625" s="130"/>
      <c r="R625" s="124"/>
      <c r="S625" s="124"/>
      <c r="T625" s="124"/>
      <c r="U625" s="124"/>
      <c r="V625" s="17"/>
      <c r="W625" s="312"/>
      <c r="X625" s="124"/>
      <c r="Y625" s="124"/>
      <c r="Z625" s="124"/>
      <c r="AA625" s="124"/>
    </row>
    <row r="626" spans="1:27" ht="16.5">
      <c r="A626" s="124"/>
      <c r="B626" s="124"/>
      <c r="C626" s="124"/>
      <c r="D626" s="124"/>
      <c r="E626" s="124"/>
      <c r="F626" s="124"/>
      <c r="G626" s="124"/>
      <c r="H626" s="124"/>
      <c r="I626" s="124"/>
      <c r="J626" s="124"/>
      <c r="K626" s="124"/>
      <c r="L626" s="124"/>
      <c r="M626" s="124"/>
      <c r="N626" s="124"/>
      <c r="O626" s="124"/>
      <c r="P626" s="124"/>
      <c r="Q626" s="130"/>
      <c r="R626" s="124"/>
      <c r="S626" s="124"/>
      <c r="T626" s="124"/>
      <c r="U626" s="124"/>
      <c r="V626" s="17"/>
      <c r="W626" s="312"/>
      <c r="X626" s="124"/>
      <c r="Y626" s="124"/>
      <c r="Z626" s="124"/>
      <c r="AA626" s="124"/>
    </row>
    <row r="627" spans="1:27" ht="16.5">
      <c r="A627" s="124"/>
      <c r="B627" s="124"/>
      <c r="C627" s="124"/>
      <c r="D627" s="124"/>
      <c r="E627" s="124"/>
      <c r="F627" s="124"/>
      <c r="G627" s="124"/>
      <c r="H627" s="124"/>
      <c r="I627" s="124"/>
      <c r="J627" s="124"/>
      <c r="K627" s="124"/>
      <c r="L627" s="124"/>
      <c r="M627" s="124"/>
      <c r="N627" s="124"/>
      <c r="O627" s="124"/>
      <c r="P627" s="124"/>
      <c r="Q627" s="130"/>
      <c r="R627" s="124"/>
      <c r="S627" s="124"/>
      <c r="T627" s="124"/>
      <c r="U627" s="124"/>
      <c r="V627" s="17"/>
      <c r="W627" s="312"/>
      <c r="X627" s="124"/>
      <c r="Y627" s="124"/>
      <c r="Z627" s="124"/>
      <c r="AA627" s="124"/>
    </row>
    <row r="628" spans="1:27" ht="16.5">
      <c r="A628" s="124"/>
      <c r="B628" s="124"/>
      <c r="C628" s="124"/>
      <c r="D628" s="124"/>
      <c r="E628" s="124"/>
      <c r="F628" s="124"/>
      <c r="G628" s="124"/>
      <c r="H628" s="124"/>
      <c r="I628" s="124"/>
      <c r="J628" s="124"/>
      <c r="K628" s="124"/>
      <c r="L628" s="124"/>
      <c r="M628" s="124"/>
      <c r="N628" s="124"/>
      <c r="O628" s="124"/>
      <c r="P628" s="124"/>
      <c r="Q628" s="130"/>
      <c r="R628" s="124"/>
      <c r="S628" s="124"/>
      <c r="T628" s="124"/>
      <c r="U628" s="124"/>
      <c r="V628" s="17"/>
      <c r="W628" s="312"/>
      <c r="X628" s="124"/>
      <c r="Y628" s="124"/>
      <c r="Z628" s="124"/>
      <c r="AA628" s="124"/>
    </row>
    <row r="629" spans="1:27" ht="16.5">
      <c r="A629" s="124"/>
      <c r="B629" s="124"/>
      <c r="C629" s="124"/>
      <c r="D629" s="124"/>
      <c r="E629" s="124"/>
      <c r="F629" s="124"/>
      <c r="G629" s="124"/>
      <c r="H629" s="124"/>
      <c r="I629" s="124"/>
      <c r="J629" s="124"/>
      <c r="K629" s="124"/>
      <c r="L629" s="124"/>
      <c r="M629" s="124"/>
      <c r="N629" s="124"/>
      <c r="O629" s="124"/>
      <c r="P629" s="124"/>
      <c r="Q629" s="130"/>
      <c r="R629" s="124"/>
      <c r="S629" s="124"/>
      <c r="T629" s="124"/>
      <c r="U629" s="124"/>
      <c r="V629" s="17"/>
      <c r="W629" s="312"/>
      <c r="X629" s="124"/>
      <c r="Y629" s="124"/>
      <c r="Z629" s="124"/>
      <c r="AA629" s="124"/>
    </row>
    <row r="630" spans="1:27" ht="16.5">
      <c r="A630" s="124"/>
      <c r="B630" s="124"/>
      <c r="C630" s="124"/>
      <c r="D630" s="124"/>
      <c r="E630" s="124"/>
      <c r="F630" s="124"/>
      <c r="G630" s="124"/>
      <c r="H630" s="124"/>
      <c r="I630" s="124"/>
      <c r="J630" s="124"/>
      <c r="K630" s="124"/>
      <c r="L630" s="124"/>
      <c r="M630" s="124"/>
      <c r="N630" s="124"/>
      <c r="O630" s="124"/>
      <c r="P630" s="124"/>
      <c r="Q630" s="130"/>
      <c r="R630" s="124"/>
      <c r="S630" s="124"/>
      <c r="T630" s="124"/>
      <c r="U630" s="124"/>
      <c r="V630" s="17"/>
      <c r="W630" s="312"/>
      <c r="X630" s="124"/>
      <c r="Y630" s="124"/>
      <c r="Z630" s="124"/>
      <c r="AA630" s="124"/>
    </row>
    <row r="631" spans="1:27" ht="16.5">
      <c r="A631" s="124"/>
      <c r="B631" s="124"/>
      <c r="C631" s="124"/>
      <c r="D631" s="124"/>
      <c r="E631" s="124"/>
      <c r="F631" s="124"/>
      <c r="G631" s="124"/>
      <c r="H631" s="124"/>
      <c r="I631" s="124"/>
      <c r="J631" s="124"/>
      <c r="K631" s="124"/>
      <c r="L631" s="124"/>
      <c r="M631" s="124"/>
      <c r="N631" s="124"/>
      <c r="O631" s="124"/>
      <c r="P631" s="124"/>
      <c r="Q631" s="130"/>
      <c r="R631" s="124"/>
      <c r="S631" s="124"/>
      <c r="T631" s="124"/>
      <c r="U631" s="124"/>
      <c r="V631" s="17"/>
      <c r="W631" s="312"/>
      <c r="X631" s="124"/>
      <c r="Y631" s="124"/>
      <c r="Z631" s="124"/>
      <c r="AA631" s="124"/>
    </row>
    <row r="632" spans="1:27" ht="16.5">
      <c r="A632" s="124"/>
      <c r="B632" s="124"/>
      <c r="C632" s="124"/>
      <c r="D632" s="124"/>
      <c r="E632" s="124"/>
      <c r="F632" s="124"/>
      <c r="G632" s="124"/>
      <c r="H632" s="124"/>
      <c r="I632" s="124"/>
      <c r="J632" s="124"/>
      <c r="K632" s="124"/>
      <c r="L632" s="124"/>
      <c r="M632" s="124"/>
      <c r="N632" s="124"/>
      <c r="O632" s="124"/>
      <c r="P632" s="124"/>
      <c r="Q632" s="130"/>
      <c r="R632" s="124"/>
      <c r="S632" s="124"/>
      <c r="T632" s="124"/>
      <c r="U632" s="124"/>
      <c r="V632" s="17"/>
      <c r="W632" s="312"/>
      <c r="X632" s="124"/>
      <c r="Y632" s="124"/>
      <c r="Z632" s="124"/>
      <c r="AA632" s="124"/>
    </row>
    <row r="633" spans="1:27" ht="16.5">
      <c r="A633" s="124"/>
      <c r="B633" s="124"/>
      <c r="C633" s="124"/>
      <c r="D633" s="124"/>
      <c r="E633" s="124"/>
      <c r="F633" s="124"/>
      <c r="G633" s="124"/>
      <c r="H633" s="124"/>
      <c r="I633" s="124"/>
      <c r="J633" s="124"/>
      <c r="K633" s="124"/>
      <c r="L633" s="124"/>
      <c r="M633" s="124"/>
      <c r="N633" s="124"/>
      <c r="O633" s="124"/>
      <c r="P633" s="124"/>
      <c r="Q633" s="130"/>
      <c r="R633" s="124"/>
      <c r="S633" s="124"/>
      <c r="T633" s="124"/>
      <c r="U633" s="124"/>
      <c r="V633" s="17"/>
      <c r="W633" s="312"/>
      <c r="X633" s="124"/>
      <c r="Y633" s="124"/>
      <c r="Z633" s="124"/>
      <c r="AA633" s="124"/>
    </row>
    <row r="634" spans="1:27" ht="16.5">
      <c r="A634" s="124"/>
      <c r="B634" s="124"/>
      <c r="C634" s="124"/>
      <c r="D634" s="124"/>
      <c r="E634" s="124"/>
      <c r="F634" s="124"/>
      <c r="G634" s="124"/>
      <c r="H634" s="124"/>
      <c r="I634" s="124"/>
      <c r="J634" s="124"/>
      <c r="K634" s="124"/>
      <c r="L634" s="124"/>
      <c r="M634" s="124"/>
      <c r="N634" s="124"/>
      <c r="O634" s="124"/>
      <c r="P634" s="124"/>
      <c r="Q634" s="130"/>
      <c r="R634" s="124"/>
      <c r="S634" s="124"/>
      <c r="T634" s="124"/>
      <c r="U634" s="124"/>
      <c r="V634" s="17"/>
      <c r="W634" s="312"/>
      <c r="X634" s="124"/>
      <c r="Y634" s="124"/>
      <c r="Z634" s="124"/>
      <c r="AA634" s="124"/>
    </row>
    <row r="635" spans="1:27" ht="16.5">
      <c r="A635" s="124"/>
      <c r="B635" s="124"/>
      <c r="C635" s="124"/>
      <c r="D635" s="124"/>
      <c r="E635" s="124"/>
      <c r="F635" s="124"/>
      <c r="G635" s="124"/>
      <c r="H635" s="124"/>
      <c r="I635" s="124"/>
      <c r="J635" s="124"/>
      <c r="K635" s="124"/>
      <c r="L635" s="124"/>
      <c r="M635" s="124"/>
      <c r="N635" s="124"/>
      <c r="O635" s="124"/>
      <c r="P635" s="124"/>
      <c r="Q635" s="130"/>
      <c r="R635" s="124"/>
      <c r="S635" s="124"/>
      <c r="T635" s="124"/>
      <c r="U635" s="124"/>
      <c r="V635" s="17"/>
      <c r="W635" s="312"/>
      <c r="X635" s="124"/>
      <c r="Y635" s="124"/>
      <c r="Z635" s="124"/>
      <c r="AA635" s="124"/>
    </row>
    <row r="636" spans="1:27" ht="16.5">
      <c r="A636" s="124"/>
      <c r="B636" s="124"/>
      <c r="C636" s="124"/>
      <c r="D636" s="124"/>
      <c r="E636" s="124"/>
      <c r="F636" s="124"/>
      <c r="G636" s="124"/>
      <c r="H636" s="124"/>
      <c r="I636" s="124"/>
      <c r="J636" s="124"/>
      <c r="K636" s="124"/>
      <c r="L636" s="124"/>
      <c r="M636" s="124"/>
      <c r="N636" s="124"/>
      <c r="O636" s="124"/>
      <c r="P636" s="124"/>
      <c r="Q636" s="130"/>
      <c r="R636" s="124"/>
      <c r="S636" s="124"/>
      <c r="T636" s="124"/>
      <c r="U636" s="124"/>
      <c r="V636" s="17"/>
      <c r="W636" s="312"/>
      <c r="X636" s="124"/>
      <c r="Y636" s="124"/>
      <c r="Z636" s="124"/>
      <c r="AA636" s="124"/>
    </row>
    <row r="637" spans="1:27" ht="16.5">
      <c r="A637" s="124"/>
      <c r="B637" s="124"/>
      <c r="C637" s="124"/>
      <c r="D637" s="124"/>
      <c r="E637" s="124"/>
      <c r="F637" s="124"/>
      <c r="G637" s="124"/>
      <c r="H637" s="124"/>
      <c r="I637" s="124"/>
      <c r="J637" s="124"/>
      <c r="K637" s="124"/>
      <c r="L637" s="124"/>
      <c r="M637" s="124"/>
      <c r="N637" s="124"/>
      <c r="O637" s="124"/>
      <c r="P637" s="124"/>
      <c r="Q637" s="130"/>
      <c r="R637" s="124"/>
      <c r="S637" s="124"/>
      <c r="T637" s="124"/>
      <c r="U637" s="124"/>
      <c r="V637" s="17"/>
      <c r="W637" s="312"/>
      <c r="X637" s="124"/>
      <c r="Y637" s="124"/>
      <c r="Z637" s="124"/>
      <c r="AA637" s="124"/>
    </row>
    <row r="638" spans="1:27" ht="16.5">
      <c r="A638" s="124"/>
      <c r="B638" s="124"/>
      <c r="C638" s="124"/>
      <c r="D638" s="124"/>
      <c r="E638" s="124"/>
      <c r="F638" s="124"/>
      <c r="G638" s="124"/>
      <c r="H638" s="124"/>
      <c r="I638" s="124"/>
      <c r="J638" s="124"/>
      <c r="K638" s="124"/>
      <c r="L638" s="124"/>
      <c r="M638" s="124"/>
      <c r="N638" s="124"/>
      <c r="O638" s="124"/>
      <c r="P638" s="124"/>
      <c r="Q638" s="130"/>
      <c r="R638" s="124"/>
      <c r="S638" s="124"/>
      <c r="T638" s="124"/>
      <c r="U638" s="124"/>
      <c r="V638" s="17"/>
      <c r="W638" s="312"/>
      <c r="X638" s="124"/>
      <c r="Y638" s="124"/>
      <c r="Z638" s="124"/>
      <c r="AA638" s="124"/>
    </row>
    <row r="639" spans="1:27" ht="16.5">
      <c r="A639" s="124"/>
      <c r="B639" s="124"/>
      <c r="C639" s="124"/>
      <c r="D639" s="124"/>
      <c r="E639" s="124"/>
      <c r="F639" s="124"/>
      <c r="G639" s="124"/>
      <c r="H639" s="124"/>
      <c r="I639" s="124"/>
      <c r="J639" s="124"/>
      <c r="K639" s="124"/>
      <c r="L639" s="124"/>
      <c r="M639" s="124"/>
      <c r="N639" s="124"/>
      <c r="O639" s="124"/>
      <c r="P639" s="124"/>
      <c r="Q639" s="130"/>
      <c r="R639" s="124"/>
      <c r="S639" s="124"/>
      <c r="T639" s="124"/>
      <c r="U639" s="124"/>
      <c r="V639" s="17"/>
      <c r="W639" s="312"/>
      <c r="X639" s="124"/>
      <c r="Y639" s="124"/>
      <c r="Z639" s="124"/>
      <c r="AA639" s="124"/>
    </row>
    <row r="640" spans="1:27" ht="16.5">
      <c r="A640" s="124"/>
      <c r="B640" s="124"/>
      <c r="C640" s="124"/>
      <c r="D640" s="124"/>
      <c r="E640" s="124"/>
      <c r="F640" s="124"/>
      <c r="G640" s="124"/>
      <c r="H640" s="124"/>
      <c r="I640" s="124"/>
      <c r="J640" s="124"/>
      <c r="K640" s="124"/>
      <c r="L640" s="124"/>
      <c r="M640" s="124"/>
      <c r="N640" s="124"/>
      <c r="O640" s="124"/>
      <c r="P640" s="124"/>
      <c r="Q640" s="130"/>
      <c r="R640" s="124"/>
      <c r="S640" s="124"/>
      <c r="T640" s="124"/>
      <c r="U640" s="124"/>
      <c r="V640" s="17"/>
      <c r="W640" s="312"/>
      <c r="X640" s="124"/>
      <c r="Y640" s="124"/>
      <c r="Z640" s="124"/>
      <c r="AA640" s="124"/>
    </row>
    <row r="641" spans="1:27" ht="16.5">
      <c r="A641" s="124"/>
      <c r="B641" s="124"/>
      <c r="C641" s="124"/>
      <c r="D641" s="124"/>
      <c r="E641" s="124"/>
      <c r="F641" s="124"/>
      <c r="G641" s="124"/>
      <c r="H641" s="124"/>
      <c r="I641" s="124"/>
      <c r="J641" s="124"/>
      <c r="K641" s="124"/>
      <c r="L641" s="124"/>
      <c r="M641" s="124"/>
      <c r="N641" s="124"/>
      <c r="O641" s="124"/>
      <c r="P641" s="124"/>
      <c r="Q641" s="130"/>
      <c r="R641" s="124"/>
      <c r="S641" s="124"/>
      <c r="T641" s="124"/>
      <c r="U641" s="124"/>
      <c r="V641" s="17"/>
      <c r="W641" s="312"/>
      <c r="X641" s="124"/>
      <c r="Y641" s="124"/>
      <c r="Z641" s="124"/>
      <c r="AA641" s="124"/>
    </row>
    <row r="642" spans="1:27" ht="16.5">
      <c r="A642" s="124"/>
      <c r="B642" s="124"/>
      <c r="C642" s="124"/>
      <c r="D642" s="124"/>
      <c r="E642" s="124"/>
      <c r="F642" s="124"/>
      <c r="G642" s="124"/>
      <c r="H642" s="124"/>
      <c r="I642" s="124"/>
      <c r="J642" s="124"/>
      <c r="K642" s="124"/>
      <c r="L642" s="124"/>
      <c r="M642" s="124"/>
      <c r="N642" s="124"/>
      <c r="O642" s="124"/>
      <c r="P642" s="124"/>
      <c r="Q642" s="130"/>
      <c r="R642" s="124"/>
      <c r="S642" s="124"/>
      <c r="T642" s="124"/>
      <c r="U642" s="124"/>
      <c r="V642" s="17"/>
      <c r="W642" s="312"/>
      <c r="X642" s="124"/>
      <c r="Y642" s="124"/>
      <c r="Z642" s="124"/>
      <c r="AA642" s="124"/>
    </row>
    <row r="643" spans="1:27" ht="16.5">
      <c r="A643" s="124"/>
      <c r="B643" s="124"/>
      <c r="C643" s="124"/>
      <c r="D643" s="124"/>
      <c r="E643" s="124"/>
      <c r="F643" s="124"/>
      <c r="G643" s="124"/>
      <c r="H643" s="124"/>
      <c r="I643" s="124"/>
      <c r="J643" s="124"/>
      <c r="K643" s="124"/>
      <c r="L643" s="124"/>
      <c r="M643" s="124"/>
      <c r="N643" s="124"/>
      <c r="O643" s="124"/>
      <c r="P643" s="124"/>
      <c r="Q643" s="130"/>
      <c r="R643" s="124"/>
      <c r="S643" s="124"/>
      <c r="T643" s="124"/>
      <c r="U643" s="124"/>
      <c r="V643" s="17"/>
      <c r="W643" s="312"/>
      <c r="X643" s="124"/>
      <c r="Y643" s="124"/>
      <c r="Z643" s="124"/>
      <c r="AA643" s="124"/>
    </row>
    <row r="644" spans="1:27" ht="16.5">
      <c r="A644" s="124"/>
      <c r="B644" s="124"/>
      <c r="C644" s="124"/>
      <c r="D644" s="124"/>
      <c r="E644" s="124"/>
      <c r="F644" s="124"/>
      <c r="G644" s="124"/>
      <c r="H644" s="124"/>
      <c r="I644" s="124"/>
      <c r="J644" s="124"/>
      <c r="K644" s="124"/>
      <c r="L644" s="124"/>
      <c r="M644" s="124"/>
      <c r="N644" s="124"/>
      <c r="O644" s="124"/>
      <c r="P644" s="124"/>
      <c r="Q644" s="130"/>
      <c r="R644" s="124"/>
      <c r="S644" s="124"/>
      <c r="T644" s="124"/>
      <c r="U644" s="124"/>
      <c r="V644" s="17"/>
      <c r="W644" s="312"/>
      <c r="X644" s="124"/>
      <c r="Y644" s="124"/>
      <c r="Z644" s="124"/>
      <c r="AA644" s="124"/>
    </row>
    <row r="645" spans="1:27" ht="16.5">
      <c r="A645" s="124"/>
      <c r="B645" s="124"/>
      <c r="C645" s="124"/>
      <c r="D645" s="124"/>
      <c r="E645" s="124"/>
      <c r="F645" s="124"/>
      <c r="G645" s="124"/>
      <c r="H645" s="124"/>
      <c r="I645" s="124"/>
      <c r="J645" s="124"/>
      <c r="K645" s="124"/>
      <c r="L645" s="124"/>
      <c r="M645" s="124"/>
      <c r="N645" s="124"/>
      <c r="O645" s="124"/>
      <c r="P645" s="124"/>
      <c r="Q645" s="130"/>
      <c r="R645" s="124"/>
      <c r="S645" s="124"/>
      <c r="T645" s="124"/>
      <c r="U645" s="124"/>
      <c r="V645" s="17"/>
      <c r="W645" s="312"/>
      <c r="X645" s="124"/>
      <c r="Y645" s="124"/>
      <c r="Z645" s="124"/>
      <c r="AA645" s="124"/>
    </row>
    <row r="646" spans="1:27" ht="16.5">
      <c r="A646" s="124"/>
      <c r="B646" s="124"/>
      <c r="C646" s="124"/>
      <c r="D646" s="124"/>
      <c r="E646" s="124"/>
      <c r="F646" s="124"/>
      <c r="G646" s="124"/>
      <c r="H646" s="124"/>
      <c r="I646" s="124"/>
      <c r="J646" s="124"/>
      <c r="K646" s="124"/>
      <c r="L646" s="124"/>
      <c r="M646" s="124"/>
      <c r="N646" s="124"/>
      <c r="O646" s="124"/>
      <c r="P646" s="124"/>
      <c r="Q646" s="130"/>
      <c r="R646" s="124"/>
      <c r="S646" s="124"/>
      <c r="T646" s="124"/>
      <c r="U646" s="124"/>
      <c r="V646" s="17"/>
      <c r="W646" s="312"/>
      <c r="X646" s="124"/>
      <c r="Y646" s="124"/>
      <c r="Z646" s="124"/>
      <c r="AA646" s="124"/>
    </row>
    <row r="647" spans="1:27" ht="16.5">
      <c r="A647" s="124"/>
      <c r="B647" s="124"/>
      <c r="C647" s="124"/>
      <c r="D647" s="124"/>
      <c r="E647" s="124"/>
      <c r="F647" s="124"/>
      <c r="G647" s="124"/>
      <c r="H647" s="124"/>
      <c r="I647" s="124"/>
      <c r="J647" s="124"/>
      <c r="K647" s="124"/>
      <c r="L647" s="124"/>
      <c r="M647" s="124"/>
      <c r="N647" s="124"/>
      <c r="O647" s="124"/>
      <c r="P647" s="124"/>
      <c r="Q647" s="130"/>
      <c r="R647" s="124"/>
      <c r="S647" s="124"/>
      <c r="T647" s="124"/>
      <c r="U647" s="124"/>
      <c r="V647" s="17"/>
      <c r="W647" s="312"/>
      <c r="X647" s="124"/>
      <c r="Y647" s="124"/>
      <c r="Z647" s="124"/>
      <c r="AA647" s="124"/>
    </row>
    <row r="648" spans="1:27" ht="16.5">
      <c r="A648" s="124"/>
      <c r="B648" s="124"/>
      <c r="C648" s="124"/>
      <c r="D648" s="124"/>
      <c r="E648" s="124"/>
      <c r="F648" s="124"/>
      <c r="G648" s="124"/>
      <c r="H648" s="124"/>
      <c r="I648" s="124"/>
      <c r="J648" s="124"/>
      <c r="K648" s="124"/>
      <c r="L648" s="124"/>
      <c r="M648" s="124"/>
      <c r="N648" s="124"/>
      <c r="O648" s="124"/>
      <c r="P648" s="124"/>
      <c r="Q648" s="130"/>
      <c r="R648" s="124"/>
      <c r="S648" s="124"/>
      <c r="T648" s="124"/>
      <c r="U648" s="124"/>
      <c r="V648" s="17"/>
      <c r="W648" s="312"/>
      <c r="X648" s="124"/>
      <c r="Y648" s="124"/>
      <c r="Z648" s="124"/>
      <c r="AA648" s="124"/>
    </row>
    <row r="649" spans="1:27" ht="16.5">
      <c r="A649" s="124"/>
      <c r="B649" s="124"/>
      <c r="C649" s="124"/>
      <c r="D649" s="124"/>
      <c r="E649" s="124"/>
      <c r="F649" s="124"/>
      <c r="G649" s="124"/>
      <c r="H649" s="124"/>
      <c r="I649" s="124"/>
      <c r="J649" s="124"/>
      <c r="K649" s="124"/>
      <c r="L649" s="124"/>
      <c r="M649" s="124"/>
      <c r="N649" s="124"/>
      <c r="O649" s="124"/>
      <c r="P649" s="124"/>
      <c r="Q649" s="130"/>
      <c r="R649" s="124"/>
      <c r="S649" s="124"/>
      <c r="T649" s="124"/>
      <c r="U649" s="124"/>
      <c r="V649" s="17"/>
      <c r="W649" s="312"/>
      <c r="X649" s="124"/>
      <c r="Y649" s="124"/>
      <c r="Z649" s="124"/>
      <c r="AA649" s="124"/>
    </row>
    <row r="650" spans="1:27" ht="16.5">
      <c r="A650" s="124"/>
      <c r="B650" s="124"/>
      <c r="C650" s="124"/>
      <c r="D650" s="124"/>
      <c r="E650" s="124"/>
      <c r="F650" s="124"/>
      <c r="G650" s="124"/>
      <c r="H650" s="124"/>
      <c r="I650" s="124"/>
      <c r="J650" s="124"/>
      <c r="K650" s="124"/>
      <c r="L650" s="124"/>
      <c r="M650" s="124"/>
      <c r="N650" s="124"/>
      <c r="O650" s="124"/>
      <c r="P650" s="124"/>
      <c r="Q650" s="130"/>
      <c r="R650" s="124"/>
      <c r="S650" s="124"/>
      <c r="T650" s="124"/>
      <c r="U650" s="124"/>
      <c r="V650" s="17"/>
      <c r="W650" s="312"/>
      <c r="X650" s="124"/>
      <c r="Y650" s="124"/>
      <c r="Z650" s="124"/>
      <c r="AA650" s="124"/>
    </row>
    <row r="651" spans="1:27" ht="16.5">
      <c r="A651" s="124"/>
      <c r="B651" s="124"/>
      <c r="C651" s="124"/>
      <c r="D651" s="124"/>
      <c r="E651" s="124"/>
      <c r="F651" s="124"/>
      <c r="G651" s="124"/>
      <c r="H651" s="124"/>
      <c r="I651" s="124"/>
      <c r="J651" s="124"/>
      <c r="K651" s="124"/>
      <c r="L651" s="124"/>
      <c r="M651" s="124"/>
      <c r="N651" s="124"/>
      <c r="O651" s="124"/>
      <c r="P651" s="124"/>
      <c r="Q651" s="130"/>
      <c r="R651" s="124"/>
      <c r="S651" s="124"/>
      <c r="T651" s="124"/>
      <c r="U651" s="124"/>
      <c r="V651" s="17"/>
      <c r="W651" s="312"/>
      <c r="X651" s="124"/>
      <c r="Y651" s="124"/>
      <c r="Z651" s="124"/>
      <c r="AA651" s="124"/>
    </row>
    <row r="652" spans="1:27" ht="16.5">
      <c r="A652" s="124"/>
      <c r="B652" s="124"/>
      <c r="C652" s="124"/>
      <c r="D652" s="124"/>
      <c r="E652" s="124"/>
      <c r="F652" s="124"/>
      <c r="G652" s="124"/>
      <c r="H652" s="124"/>
      <c r="I652" s="124"/>
      <c r="J652" s="124"/>
      <c r="K652" s="124"/>
      <c r="L652" s="124"/>
      <c r="M652" s="124"/>
      <c r="N652" s="124"/>
      <c r="O652" s="124"/>
      <c r="P652" s="124"/>
      <c r="Q652" s="130"/>
      <c r="R652" s="124"/>
      <c r="S652" s="124"/>
      <c r="T652" s="124"/>
      <c r="U652" s="124"/>
      <c r="V652" s="17"/>
      <c r="W652" s="312"/>
      <c r="X652" s="124"/>
      <c r="Y652" s="124"/>
      <c r="Z652" s="124"/>
      <c r="AA652" s="124"/>
    </row>
    <row r="653" spans="1:27" ht="16.5">
      <c r="A653" s="124"/>
      <c r="B653" s="124"/>
      <c r="C653" s="124"/>
      <c r="D653" s="124"/>
      <c r="E653" s="124"/>
      <c r="F653" s="124"/>
      <c r="G653" s="124"/>
      <c r="H653" s="124"/>
      <c r="I653" s="124"/>
      <c r="J653" s="124"/>
      <c r="K653" s="124"/>
      <c r="L653" s="124"/>
      <c r="M653" s="124"/>
      <c r="N653" s="124"/>
      <c r="O653" s="124"/>
      <c r="P653" s="124"/>
      <c r="Q653" s="130"/>
      <c r="R653" s="124"/>
      <c r="S653" s="124"/>
      <c r="T653" s="124"/>
      <c r="U653" s="124"/>
      <c r="V653" s="17"/>
      <c r="W653" s="312"/>
      <c r="X653" s="124"/>
      <c r="Y653" s="124"/>
      <c r="Z653" s="124"/>
      <c r="AA653" s="124"/>
    </row>
    <row r="654" spans="1:27" ht="16.5">
      <c r="A654" s="124"/>
      <c r="B654" s="124"/>
      <c r="C654" s="124"/>
      <c r="D654" s="124"/>
      <c r="E654" s="124"/>
      <c r="F654" s="124"/>
      <c r="G654" s="124"/>
      <c r="H654" s="124"/>
      <c r="I654" s="124"/>
      <c r="J654" s="124"/>
      <c r="K654" s="124"/>
      <c r="L654" s="124"/>
      <c r="M654" s="124"/>
      <c r="N654" s="124"/>
      <c r="O654" s="124"/>
      <c r="P654" s="124"/>
      <c r="Q654" s="130"/>
      <c r="R654" s="124"/>
      <c r="S654" s="124"/>
      <c r="T654" s="124"/>
      <c r="U654" s="124"/>
      <c r="V654" s="17"/>
      <c r="W654" s="312"/>
      <c r="X654" s="124"/>
      <c r="Y654" s="124"/>
      <c r="Z654" s="124"/>
      <c r="AA654" s="124"/>
    </row>
    <row r="655" spans="1:27" ht="16.5">
      <c r="A655" s="124"/>
      <c r="B655" s="124"/>
      <c r="C655" s="124"/>
      <c r="D655" s="124"/>
      <c r="E655" s="124"/>
      <c r="F655" s="124"/>
      <c r="G655" s="124"/>
      <c r="H655" s="124"/>
      <c r="I655" s="124"/>
      <c r="J655" s="124"/>
      <c r="K655" s="124"/>
      <c r="L655" s="124"/>
      <c r="M655" s="124"/>
      <c r="N655" s="124"/>
      <c r="O655" s="124"/>
      <c r="P655" s="124"/>
      <c r="Q655" s="130"/>
      <c r="R655" s="124"/>
      <c r="S655" s="124"/>
      <c r="T655" s="124"/>
      <c r="U655" s="124"/>
      <c r="V655" s="17"/>
      <c r="W655" s="312"/>
      <c r="X655" s="124"/>
      <c r="Y655" s="124"/>
      <c r="Z655" s="124"/>
      <c r="AA655" s="124"/>
    </row>
    <row r="656" spans="1:27" ht="16.5">
      <c r="A656" s="124"/>
      <c r="B656" s="124"/>
      <c r="C656" s="124"/>
      <c r="D656" s="124"/>
      <c r="E656" s="124"/>
      <c r="F656" s="124"/>
      <c r="G656" s="124"/>
      <c r="H656" s="124"/>
      <c r="I656" s="124"/>
      <c r="J656" s="124"/>
      <c r="K656" s="124"/>
      <c r="L656" s="124"/>
      <c r="M656" s="124"/>
      <c r="N656" s="124"/>
      <c r="O656" s="124"/>
      <c r="P656" s="124"/>
      <c r="Q656" s="130"/>
      <c r="R656" s="124"/>
      <c r="S656" s="124"/>
      <c r="T656" s="124"/>
      <c r="U656" s="124"/>
      <c r="V656" s="17"/>
      <c r="W656" s="312"/>
      <c r="X656" s="124"/>
      <c r="Y656" s="124"/>
      <c r="Z656" s="124"/>
      <c r="AA656" s="124"/>
    </row>
    <row r="657" spans="1:27" ht="16.5">
      <c r="A657" s="124"/>
      <c r="B657" s="124"/>
      <c r="C657" s="124"/>
      <c r="D657" s="124"/>
      <c r="E657" s="124"/>
      <c r="F657" s="124"/>
      <c r="G657" s="124"/>
      <c r="H657" s="124"/>
      <c r="I657" s="124"/>
      <c r="J657" s="124"/>
      <c r="K657" s="124"/>
      <c r="L657" s="124"/>
      <c r="M657" s="124"/>
      <c r="N657" s="124"/>
      <c r="O657" s="124"/>
      <c r="P657" s="124"/>
      <c r="Q657" s="130"/>
      <c r="R657" s="124"/>
      <c r="S657" s="124"/>
      <c r="T657" s="124"/>
      <c r="U657" s="124"/>
      <c r="V657" s="17"/>
      <c r="W657" s="312"/>
      <c r="X657" s="124"/>
      <c r="Y657" s="124"/>
      <c r="Z657" s="124"/>
      <c r="AA657" s="124"/>
    </row>
    <row r="658" spans="1:27" ht="16.5">
      <c r="A658" s="124"/>
      <c r="B658" s="124"/>
      <c r="C658" s="124"/>
      <c r="D658" s="124"/>
      <c r="E658" s="124"/>
      <c r="F658" s="124"/>
      <c r="G658" s="124"/>
      <c r="H658" s="124"/>
      <c r="I658" s="124"/>
      <c r="J658" s="124"/>
      <c r="K658" s="124"/>
      <c r="L658" s="124"/>
      <c r="M658" s="124"/>
      <c r="N658" s="124"/>
      <c r="O658" s="124"/>
      <c r="P658" s="124"/>
      <c r="Q658" s="130"/>
      <c r="R658" s="124"/>
      <c r="S658" s="124"/>
      <c r="T658" s="124"/>
      <c r="U658" s="124"/>
      <c r="V658" s="17"/>
      <c r="W658" s="312"/>
      <c r="X658" s="124"/>
      <c r="Y658" s="124"/>
      <c r="Z658" s="124"/>
      <c r="AA658" s="124"/>
    </row>
    <row r="659" spans="1:27" ht="16.5">
      <c r="A659" s="124"/>
      <c r="B659" s="124"/>
      <c r="C659" s="124"/>
      <c r="D659" s="124"/>
      <c r="E659" s="124"/>
      <c r="F659" s="124"/>
      <c r="G659" s="124"/>
      <c r="H659" s="124"/>
      <c r="I659" s="124"/>
      <c r="J659" s="124"/>
      <c r="K659" s="124"/>
      <c r="L659" s="124"/>
      <c r="M659" s="124"/>
      <c r="N659" s="124"/>
      <c r="O659" s="124"/>
      <c r="P659" s="124"/>
      <c r="Q659" s="130"/>
      <c r="R659" s="124"/>
      <c r="S659" s="124"/>
      <c r="T659" s="124"/>
      <c r="U659" s="124"/>
      <c r="V659" s="17"/>
      <c r="W659" s="312"/>
      <c r="X659" s="124"/>
      <c r="Y659" s="124"/>
      <c r="Z659" s="124"/>
      <c r="AA659" s="124"/>
    </row>
    <row r="660" spans="1:27" ht="16.5">
      <c r="A660" s="124"/>
      <c r="B660" s="124"/>
      <c r="C660" s="124"/>
      <c r="D660" s="124"/>
      <c r="E660" s="124"/>
      <c r="F660" s="124"/>
      <c r="G660" s="124"/>
      <c r="H660" s="124"/>
      <c r="I660" s="124"/>
      <c r="J660" s="124"/>
      <c r="K660" s="124"/>
      <c r="L660" s="124"/>
      <c r="M660" s="124"/>
      <c r="N660" s="124"/>
      <c r="O660" s="124"/>
      <c r="P660" s="124"/>
      <c r="Q660" s="130"/>
      <c r="R660" s="124"/>
      <c r="S660" s="124"/>
      <c r="T660" s="124"/>
      <c r="U660" s="124"/>
      <c r="V660" s="17"/>
      <c r="W660" s="312"/>
      <c r="X660" s="124"/>
      <c r="Y660" s="124"/>
      <c r="Z660" s="124"/>
      <c r="AA660" s="124"/>
    </row>
    <row r="661" spans="1:27" ht="16.5">
      <c r="A661" s="124"/>
      <c r="B661" s="124"/>
      <c r="C661" s="124"/>
      <c r="D661" s="124"/>
      <c r="E661" s="124"/>
      <c r="F661" s="124"/>
      <c r="G661" s="124"/>
      <c r="H661" s="124"/>
      <c r="I661" s="124"/>
      <c r="J661" s="124"/>
      <c r="K661" s="124"/>
      <c r="L661" s="124"/>
      <c r="M661" s="124"/>
      <c r="N661" s="124"/>
      <c r="O661" s="124"/>
      <c r="P661" s="124"/>
      <c r="Q661" s="130"/>
      <c r="R661" s="124"/>
      <c r="S661" s="124"/>
      <c r="T661" s="124"/>
      <c r="U661" s="124"/>
      <c r="V661" s="17"/>
      <c r="W661" s="312"/>
      <c r="X661" s="124"/>
      <c r="Y661" s="124"/>
      <c r="Z661" s="124"/>
      <c r="AA661" s="124"/>
    </row>
    <row r="662" spans="1:27" ht="16.5">
      <c r="A662" s="124"/>
      <c r="B662" s="124"/>
      <c r="C662" s="124"/>
      <c r="D662" s="124"/>
      <c r="E662" s="124"/>
      <c r="F662" s="124"/>
      <c r="G662" s="124"/>
      <c r="H662" s="124"/>
      <c r="I662" s="124"/>
      <c r="J662" s="124"/>
      <c r="K662" s="124"/>
      <c r="L662" s="124"/>
      <c r="M662" s="124"/>
      <c r="N662" s="124"/>
      <c r="O662" s="124"/>
      <c r="P662" s="124"/>
      <c r="Q662" s="130"/>
      <c r="R662" s="124"/>
      <c r="S662" s="124"/>
      <c r="T662" s="124"/>
      <c r="U662" s="124"/>
      <c r="V662" s="17"/>
      <c r="W662" s="312"/>
      <c r="X662" s="124"/>
      <c r="Y662" s="124"/>
      <c r="Z662" s="124"/>
      <c r="AA662" s="124"/>
    </row>
    <row r="663" spans="1:27" ht="16.5">
      <c r="A663" s="124"/>
      <c r="B663" s="124"/>
      <c r="C663" s="124"/>
      <c r="D663" s="124"/>
      <c r="E663" s="124"/>
      <c r="F663" s="124"/>
      <c r="G663" s="124"/>
      <c r="H663" s="124"/>
      <c r="I663" s="124"/>
      <c r="J663" s="124"/>
      <c r="K663" s="124"/>
      <c r="L663" s="124"/>
      <c r="M663" s="124"/>
      <c r="N663" s="124"/>
      <c r="O663" s="124"/>
      <c r="P663" s="124"/>
      <c r="Q663" s="130"/>
      <c r="R663" s="124"/>
      <c r="S663" s="124"/>
      <c r="T663" s="124"/>
      <c r="U663" s="124"/>
      <c r="V663" s="17"/>
      <c r="W663" s="312"/>
      <c r="X663" s="124"/>
      <c r="Y663" s="124"/>
      <c r="Z663" s="124"/>
      <c r="AA663" s="124"/>
    </row>
    <row r="664" spans="1:27" ht="16.5">
      <c r="A664" s="124"/>
      <c r="B664" s="124"/>
      <c r="C664" s="124"/>
      <c r="D664" s="124"/>
      <c r="E664" s="124"/>
      <c r="F664" s="124"/>
      <c r="G664" s="124"/>
      <c r="H664" s="124"/>
      <c r="I664" s="124"/>
      <c r="J664" s="124"/>
      <c r="K664" s="124"/>
      <c r="L664" s="124"/>
      <c r="M664" s="124"/>
      <c r="N664" s="124"/>
      <c r="O664" s="124"/>
      <c r="P664" s="124"/>
      <c r="Q664" s="130"/>
      <c r="R664" s="124"/>
      <c r="S664" s="124"/>
      <c r="T664" s="124"/>
      <c r="U664" s="124"/>
      <c r="V664" s="17"/>
      <c r="W664" s="312"/>
      <c r="X664" s="124"/>
      <c r="Y664" s="124"/>
      <c r="Z664" s="124"/>
      <c r="AA664" s="124"/>
    </row>
    <row r="665" spans="1:27" ht="16.5">
      <c r="A665" s="124"/>
      <c r="B665" s="124"/>
      <c r="C665" s="124"/>
      <c r="D665" s="124"/>
      <c r="E665" s="124"/>
      <c r="F665" s="124"/>
      <c r="G665" s="124"/>
      <c r="H665" s="124"/>
      <c r="I665" s="124"/>
      <c r="J665" s="124"/>
      <c r="K665" s="124"/>
      <c r="L665" s="124"/>
      <c r="M665" s="124"/>
      <c r="N665" s="124"/>
      <c r="O665" s="124"/>
      <c r="P665" s="124"/>
      <c r="Q665" s="130"/>
      <c r="R665" s="124"/>
      <c r="S665" s="124"/>
      <c r="T665" s="124"/>
      <c r="U665" s="124"/>
      <c r="V665" s="17"/>
      <c r="W665" s="312"/>
      <c r="X665" s="124"/>
      <c r="Y665" s="124"/>
      <c r="Z665" s="124"/>
      <c r="AA665" s="124"/>
    </row>
    <row r="666" spans="1:27" ht="16.5">
      <c r="A666" s="124"/>
      <c r="B666" s="124"/>
      <c r="C666" s="124"/>
      <c r="D666" s="124"/>
      <c r="E666" s="124"/>
      <c r="F666" s="124"/>
      <c r="G666" s="124"/>
      <c r="H666" s="124"/>
      <c r="I666" s="124"/>
      <c r="J666" s="124"/>
      <c r="K666" s="124"/>
      <c r="L666" s="124"/>
      <c r="M666" s="124"/>
      <c r="N666" s="124"/>
      <c r="O666" s="124"/>
      <c r="P666" s="124"/>
      <c r="Q666" s="130"/>
      <c r="R666" s="124"/>
      <c r="S666" s="124"/>
      <c r="T666" s="124"/>
      <c r="U666" s="124"/>
      <c r="V666" s="17"/>
      <c r="W666" s="312"/>
      <c r="X666" s="124"/>
      <c r="Y666" s="124"/>
      <c r="Z666" s="124"/>
      <c r="AA666" s="124"/>
    </row>
    <row r="667" spans="1:27" ht="16.5">
      <c r="A667" s="124"/>
      <c r="B667" s="124"/>
      <c r="C667" s="124"/>
      <c r="D667" s="124"/>
      <c r="E667" s="124"/>
      <c r="F667" s="124"/>
      <c r="G667" s="124"/>
      <c r="H667" s="124"/>
      <c r="I667" s="124"/>
      <c r="J667" s="124"/>
      <c r="K667" s="124"/>
      <c r="L667" s="124"/>
      <c r="M667" s="124"/>
      <c r="N667" s="124"/>
      <c r="O667" s="124"/>
      <c r="P667" s="124"/>
      <c r="Q667" s="130"/>
      <c r="R667" s="124"/>
      <c r="S667" s="124"/>
      <c r="T667" s="124"/>
      <c r="U667" s="124"/>
      <c r="V667" s="17"/>
      <c r="W667" s="312"/>
      <c r="X667" s="124"/>
      <c r="Y667" s="124"/>
      <c r="Z667" s="124"/>
      <c r="AA667" s="124"/>
    </row>
    <row r="668" spans="1:27" ht="16.5">
      <c r="A668" s="124"/>
      <c r="B668" s="124"/>
      <c r="C668" s="124"/>
      <c r="D668" s="124"/>
      <c r="E668" s="124"/>
      <c r="F668" s="124"/>
      <c r="G668" s="124"/>
      <c r="H668" s="124"/>
      <c r="I668" s="124"/>
      <c r="J668" s="124"/>
      <c r="K668" s="124"/>
      <c r="L668" s="124"/>
      <c r="M668" s="124"/>
      <c r="N668" s="124"/>
      <c r="O668" s="124"/>
      <c r="P668" s="124"/>
      <c r="Q668" s="130"/>
      <c r="R668" s="124"/>
      <c r="S668" s="124"/>
      <c r="T668" s="124"/>
      <c r="U668" s="124"/>
      <c r="V668" s="17"/>
      <c r="W668" s="312"/>
      <c r="X668" s="124"/>
      <c r="Y668" s="124"/>
      <c r="Z668" s="124"/>
      <c r="AA668" s="124"/>
    </row>
    <row r="669" spans="1:27" ht="16.5">
      <c r="A669" s="124"/>
      <c r="B669" s="124"/>
      <c r="C669" s="124"/>
      <c r="D669" s="124"/>
      <c r="E669" s="124"/>
      <c r="F669" s="124"/>
      <c r="G669" s="124"/>
      <c r="H669" s="124"/>
      <c r="I669" s="124"/>
      <c r="J669" s="124"/>
      <c r="K669" s="124"/>
      <c r="L669" s="124"/>
      <c r="M669" s="124"/>
      <c r="N669" s="124"/>
      <c r="O669" s="124"/>
      <c r="P669" s="124"/>
      <c r="Q669" s="130"/>
      <c r="R669" s="124"/>
      <c r="S669" s="124"/>
      <c r="T669" s="124"/>
      <c r="U669" s="124"/>
      <c r="V669" s="17"/>
      <c r="W669" s="312"/>
      <c r="X669" s="124"/>
      <c r="Y669" s="124"/>
      <c r="Z669" s="124"/>
      <c r="AA669" s="124"/>
    </row>
    <row r="670" spans="1:27" ht="16.5">
      <c r="A670" s="124"/>
      <c r="B670" s="124"/>
      <c r="C670" s="124"/>
      <c r="D670" s="124"/>
      <c r="E670" s="124"/>
      <c r="F670" s="124"/>
      <c r="G670" s="124"/>
      <c r="H670" s="124"/>
      <c r="I670" s="124"/>
      <c r="J670" s="124"/>
      <c r="K670" s="124"/>
      <c r="L670" s="124"/>
      <c r="M670" s="124"/>
      <c r="N670" s="124"/>
      <c r="O670" s="124"/>
      <c r="P670" s="124"/>
      <c r="Q670" s="130"/>
      <c r="R670" s="124"/>
      <c r="S670" s="124"/>
      <c r="T670" s="124"/>
      <c r="U670" s="124"/>
      <c r="V670" s="17"/>
      <c r="W670" s="312"/>
      <c r="X670" s="124"/>
      <c r="Y670" s="124"/>
      <c r="Z670" s="124"/>
      <c r="AA670" s="124"/>
    </row>
    <row r="671" spans="1:27" ht="16.5">
      <c r="A671" s="124"/>
      <c r="B671" s="124"/>
      <c r="C671" s="124"/>
      <c r="D671" s="124"/>
      <c r="E671" s="124"/>
      <c r="F671" s="124"/>
      <c r="G671" s="124"/>
      <c r="H671" s="124"/>
      <c r="I671" s="124"/>
      <c r="J671" s="124"/>
      <c r="K671" s="124"/>
      <c r="L671" s="124"/>
      <c r="M671" s="124"/>
      <c r="N671" s="124"/>
      <c r="O671" s="124"/>
      <c r="P671" s="124"/>
      <c r="Q671" s="130"/>
      <c r="R671" s="124"/>
      <c r="S671" s="124"/>
      <c r="T671" s="124"/>
      <c r="U671" s="124"/>
      <c r="V671" s="17"/>
      <c r="W671" s="312"/>
      <c r="X671" s="124"/>
      <c r="Y671" s="124"/>
      <c r="Z671" s="124"/>
      <c r="AA671" s="124"/>
    </row>
    <row r="672" spans="1:27" ht="16.5">
      <c r="A672" s="124"/>
      <c r="B672" s="124"/>
      <c r="C672" s="124"/>
      <c r="D672" s="124"/>
      <c r="E672" s="124"/>
      <c r="F672" s="124"/>
      <c r="G672" s="124"/>
      <c r="H672" s="124"/>
      <c r="I672" s="124"/>
      <c r="J672" s="124"/>
      <c r="K672" s="124"/>
      <c r="L672" s="124"/>
      <c r="M672" s="124"/>
      <c r="N672" s="124"/>
      <c r="O672" s="124"/>
      <c r="P672" s="124"/>
      <c r="Q672" s="130"/>
      <c r="R672" s="124"/>
      <c r="S672" s="124"/>
      <c r="T672" s="124"/>
      <c r="U672" s="124"/>
      <c r="V672" s="17"/>
      <c r="W672" s="312"/>
      <c r="X672" s="124"/>
      <c r="Y672" s="124"/>
      <c r="Z672" s="124"/>
      <c r="AA672" s="124"/>
    </row>
    <row r="673" spans="1:27" ht="16.5">
      <c r="A673" s="124"/>
      <c r="B673" s="124"/>
      <c r="C673" s="124"/>
      <c r="D673" s="124"/>
      <c r="E673" s="124"/>
      <c r="F673" s="124"/>
      <c r="G673" s="124"/>
      <c r="H673" s="124"/>
      <c r="I673" s="124"/>
      <c r="J673" s="124"/>
      <c r="K673" s="124"/>
      <c r="L673" s="124"/>
      <c r="M673" s="124"/>
      <c r="N673" s="124"/>
      <c r="O673" s="124"/>
      <c r="P673" s="124"/>
      <c r="Q673" s="130"/>
      <c r="R673" s="124"/>
      <c r="S673" s="124"/>
      <c r="T673" s="124"/>
      <c r="U673" s="124"/>
      <c r="V673" s="17"/>
      <c r="W673" s="312"/>
      <c r="X673" s="124"/>
      <c r="Y673" s="124"/>
      <c r="Z673" s="124"/>
      <c r="AA673" s="124"/>
    </row>
    <row r="674" spans="1:27" ht="16.5">
      <c r="A674" s="124"/>
      <c r="B674" s="124"/>
      <c r="C674" s="124"/>
      <c r="D674" s="124"/>
      <c r="E674" s="124"/>
      <c r="F674" s="124"/>
      <c r="G674" s="124"/>
      <c r="H674" s="124"/>
      <c r="I674" s="124"/>
      <c r="J674" s="124"/>
      <c r="K674" s="124"/>
      <c r="L674" s="124"/>
      <c r="M674" s="124"/>
      <c r="N674" s="124"/>
      <c r="O674" s="124"/>
      <c r="P674" s="124"/>
      <c r="Q674" s="130"/>
      <c r="R674" s="124"/>
      <c r="S674" s="124"/>
      <c r="T674" s="124"/>
      <c r="U674" s="124"/>
      <c r="V674" s="17"/>
      <c r="W674" s="312"/>
      <c r="X674" s="124"/>
      <c r="Y674" s="124"/>
      <c r="Z674" s="124"/>
      <c r="AA674" s="124"/>
    </row>
    <row r="675" spans="1:27" ht="16.5">
      <c r="A675" s="124"/>
      <c r="B675" s="124"/>
      <c r="C675" s="124"/>
      <c r="D675" s="124"/>
      <c r="E675" s="124"/>
      <c r="F675" s="124"/>
      <c r="G675" s="124"/>
      <c r="H675" s="124"/>
      <c r="I675" s="124"/>
      <c r="J675" s="124"/>
      <c r="K675" s="124"/>
      <c r="L675" s="124"/>
      <c r="M675" s="124"/>
      <c r="N675" s="124"/>
      <c r="O675" s="124"/>
      <c r="P675" s="124"/>
      <c r="Q675" s="130"/>
      <c r="R675" s="124"/>
      <c r="S675" s="124"/>
      <c r="T675" s="124"/>
      <c r="U675" s="124"/>
      <c r="V675" s="17"/>
      <c r="W675" s="312"/>
      <c r="X675" s="124"/>
      <c r="Y675" s="124"/>
      <c r="Z675" s="124"/>
      <c r="AA675" s="124"/>
    </row>
    <row r="676" spans="1:27" ht="16.5">
      <c r="A676" s="124"/>
      <c r="B676" s="124"/>
      <c r="C676" s="124"/>
      <c r="D676" s="124"/>
      <c r="E676" s="124"/>
      <c r="F676" s="124"/>
      <c r="G676" s="124"/>
      <c r="H676" s="124"/>
      <c r="I676" s="124"/>
      <c r="J676" s="124"/>
      <c r="K676" s="124"/>
      <c r="L676" s="124"/>
      <c r="M676" s="124"/>
      <c r="N676" s="124"/>
      <c r="O676" s="124"/>
      <c r="P676" s="124"/>
      <c r="Q676" s="130"/>
      <c r="R676" s="124"/>
      <c r="S676" s="124"/>
      <c r="T676" s="124"/>
      <c r="U676" s="124"/>
      <c r="V676" s="17"/>
      <c r="W676" s="312"/>
      <c r="X676" s="124"/>
      <c r="Y676" s="124"/>
      <c r="Z676" s="124"/>
      <c r="AA676" s="124"/>
    </row>
    <row r="677" spans="1:27" ht="16.5">
      <c r="A677" s="124"/>
      <c r="B677" s="124"/>
      <c r="C677" s="124"/>
      <c r="D677" s="124"/>
      <c r="E677" s="124"/>
      <c r="F677" s="124"/>
      <c r="G677" s="124"/>
      <c r="H677" s="124"/>
      <c r="I677" s="124"/>
      <c r="J677" s="124"/>
      <c r="K677" s="124"/>
      <c r="L677" s="124"/>
      <c r="M677" s="124"/>
      <c r="N677" s="124"/>
      <c r="O677" s="124"/>
      <c r="P677" s="124"/>
      <c r="Q677" s="130"/>
      <c r="R677" s="124"/>
      <c r="S677" s="124"/>
      <c r="T677" s="124"/>
      <c r="U677" s="124"/>
      <c r="V677" s="17"/>
      <c r="W677" s="312"/>
      <c r="X677" s="124"/>
      <c r="Y677" s="124"/>
      <c r="Z677" s="124"/>
      <c r="AA677" s="124"/>
    </row>
    <row r="678" spans="1:27" ht="16.5">
      <c r="A678" s="124"/>
      <c r="B678" s="124"/>
      <c r="C678" s="124"/>
      <c r="D678" s="124"/>
      <c r="E678" s="124"/>
      <c r="F678" s="124"/>
      <c r="G678" s="124"/>
      <c r="H678" s="124"/>
      <c r="I678" s="124"/>
      <c r="J678" s="124"/>
      <c r="K678" s="124"/>
      <c r="L678" s="124"/>
      <c r="M678" s="124"/>
      <c r="N678" s="124"/>
      <c r="O678" s="124"/>
      <c r="P678" s="124"/>
      <c r="Q678" s="130"/>
      <c r="R678" s="124"/>
      <c r="S678" s="124"/>
      <c r="T678" s="124"/>
      <c r="U678" s="124"/>
      <c r="V678" s="17"/>
      <c r="W678" s="312"/>
      <c r="X678" s="124"/>
      <c r="Y678" s="124"/>
      <c r="Z678" s="124"/>
      <c r="AA678" s="124"/>
    </row>
    <row r="679" spans="1:27" ht="16.5">
      <c r="A679" s="124"/>
      <c r="B679" s="124"/>
      <c r="C679" s="124"/>
      <c r="D679" s="124"/>
      <c r="E679" s="124"/>
      <c r="F679" s="124"/>
      <c r="G679" s="124"/>
      <c r="H679" s="124"/>
      <c r="I679" s="124"/>
      <c r="J679" s="124"/>
      <c r="K679" s="124"/>
      <c r="L679" s="124"/>
      <c r="M679" s="124"/>
      <c r="N679" s="124"/>
      <c r="O679" s="124"/>
      <c r="P679" s="124"/>
      <c r="Q679" s="130"/>
      <c r="R679" s="124"/>
      <c r="S679" s="124"/>
      <c r="T679" s="124"/>
      <c r="U679" s="124"/>
      <c r="V679" s="17"/>
      <c r="W679" s="312"/>
      <c r="X679" s="124"/>
      <c r="Y679" s="124"/>
      <c r="Z679" s="124"/>
      <c r="AA679" s="124"/>
    </row>
    <row r="680" spans="1:27" ht="16.5">
      <c r="A680" s="124"/>
      <c r="B680" s="124"/>
      <c r="C680" s="124"/>
      <c r="D680" s="124"/>
      <c r="E680" s="124"/>
      <c r="F680" s="124"/>
      <c r="G680" s="124"/>
      <c r="H680" s="124"/>
      <c r="I680" s="124"/>
      <c r="J680" s="124"/>
      <c r="K680" s="124"/>
      <c r="L680" s="124"/>
      <c r="M680" s="124"/>
      <c r="N680" s="124"/>
      <c r="O680" s="124"/>
      <c r="P680" s="124"/>
      <c r="Q680" s="130"/>
      <c r="R680" s="124"/>
      <c r="S680" s="124"/>
      <c r="T680" s="124"/>
      <c r="U680" s="124"/>
      <c r="V680" s="17"/>
      <c r="W680" s="312"/>
      <c r="X680" s="124"/>
      <c r="Y680" s="124"/>
      <c r="Z680" s="124"/>
      <c r="AA680" s="124"/>
    </row>
    <row r="681" spans="1:27" ht="16.5">
      <c r="A681" s="124"/>
      <c r="B681" s="124"/>
      <c r="C681" s="124"/>
      <c r="D681" s="124"/>
      <c r="E681" s="124"/>
      <c r="F681" s="124"/>
      <c r="G681" s="124"/>
      <c r="H681" s="124"/>
      <c r="I681" s="124"/>
      <c r="J681" s="124"/>
      <c r="K681" s="124"/>
      <c r="L681" s="124"/>
      <c r="M681" s="124"/>
      <c r="N681" s="124"/>
      <c r="O681" s="124"/>
      <c r="P681" s="124"/>
      <c r="Q681" s="130"/>
      <c r="R681" s="124"/>
      <c r="S681" s="124"/>
      <c r="T681" s="124"/>
      <c r="U681" s="124"/>
      <c r="V681" s="17"/>
      <c r="W681" s="312"/>
      <c r="X681" s="124"/>
      <c r="Y681" s="124"/>
      <c r="Z681" s="124"/>
      <c r="AA681" s="124"/>
    </row>
    <row r="682" spans="1:27" ht="16.5">
      <c r="A682" s="124"/>
      <c r="B682" s="124"/>
      <c r="C682" s="124"/>
      <c r="D682" s="124"/>
      <c r="E682" s="124"/>
      <c r="F682" s="124"/>
      <c r="G682" s="124"/>
      <c r="H682" s="124"/>
      <c r="I682" s="124"/>
      <c r="J682" s="124"/>
      <c r="K682" s="124"/>
      <c r="L682" s="124"/>
      <c r="M682" s="124"/>
      <c r="N682" s="124"/>
      <c r="O682" s="124"/>
      <c r="P682" s="124"/>
      <c r="Q682" s="130"/>
      <c r="R682" s="124"/>
      <c r="S682" s="124"/>
      <c r="T682" s="124"/>
      <c r="U682" s="124"/>
      <c r="V682" s="17"/>
      <c r="W682" s="312"/>
      <c r="X682" s="124"/>
      <c r="Y682" s="124"/>
      <c r="Z682" s="124"/>
      <c r="AA682" s="124"/>
    </row>
    <row r="683" spans="1:27" ht="16.5">
      <c r="A683" s="124"/>
      <c r="B683" s="124"/>
      <c r="C683" s="124"/>
      <c r="D683" s="124"/>
      <c r="E683" s="124"/>
      <c r="F683" s="124"/>
      <c r="G683" s="124"/>
      <c r="H683" s="124"/>
      <c r="I683" s="124"/>
      <c r="J683" s="124"/>
      <c r="K683" s="124"/>
      <c r="L683" s="124"/>
      <c r="M683" s="124"/>
      <c r="N683" s="124"/>
      <c r="O683" s="124"/>
      <c r="P683" s="124"/>
      <c r="Q683" s="130"/>
      <c r="R683" s="124"/>
      <c r="S683" s="124"/>
      <c r="T683" s="124"/>
      <c r="U683" s="124"/>
      <c r="V683" s="17"/>
      <c r="W683" s="312"/>
      <c r="X683" s="124"/>
      <c r="Y683" s="124"/>
      <c r="Z683" s="124"/>
      <c r="AA683" s="124"/>
    </row>
    <row r="684" spans="1:27" ht="16.5">
      <c r="A684" s="124"/>
      <c r="B684" s="124"/>
      <c r="C684" s="124"/>
      <c r="D684" s="124"/>
      <c r="E684" s="124"/>
      <c r="F684" s="124"/>
      <c r="G684" s="124"/>
      <c r="H684" s="124"/>
      <c r="I684" s="124"/>
      <c r="J684" s="124"/>
      <c r="K684" s="124"/>
      <c r="L684" s="124"/>
      <c r="M684" s="124"/>
      <c r="N684" s="124"/>
      <c r="O684" s="124"/>
      <c r="P684" s="124"/>
      <c r="Q684" s="130"/>
      <c r="R684" s="124"/>
      <c r="S684" s="124"/>
      <c r="T684" s="124"/>
      <c r="U684" s="124"/>
      <c r="V684" s="17"/>
      <c r="W684" s="312"/>
      <c r="X684" s="124"/>
      <c r="Y684" s="124"/>
      <c r="Z684" s="124"/>
      <c r="AA684" s="124"/>
    </row>
    <row r="685" spans="1:27" ht="16.5">
      <c r="A685" s="124"/>
      <c r="B685" s="124"/>
      <c r="C685" s="124"/>
      <c r="D685" s="124"/>
      <c r="E685" s="124"/>
      <c r="F685" s="124"/>
      <c r="G685" s="124"/>
      <c r="H685" s="124"/>
      <c r="I685" s="124"/>
      <c r="J685" s="124"/>
      <c r="K685" s="124"/>
      <c r="L685" s="124"/>
      <c r="M685" s="124"/>
      <c r="N685" s="124"/>
      <c r="O685" s="124"/>
      <c r="P685" s="124"/>
      <c r="Q685" s="130"/>
      <c r="R685" s="124"/>
      <c r="S685" s="124"/>
      <c r="T685" s="124"/>
      <c r="U685" s="124"/>
      <c r="V685" s="17"/>
      <c r="W685" s="312"/>
      <c r="X685" s="124"/>
      <c r="Y685" s="124"/>
      <c r="Z685" s="124"/>
      <c r="AA685" s="124"/>
    </row>
    <row r="686" spans="1:27" ht="16.5">
      <c r="A686" s="124"/>
      <c r="B686" s="124"/>
      <c r="C686" s="124"/>
      <c r="D686" s="124"/>
      <c r="E686" s="124"/>
      <c r="F686" s="124"/>
      <c r="G686" s="124"/>
      <c r="H686" s="124"/>
      <c r="I686" s="124"/>
      <c r="J686" s="124"/>
      <c r="K686" s="124"/>
      <c r="L686" s="124"/>
      <c r="M686" s="124"/>
      <c r="N686" s="124"/>
      <c r="O686" s="124"/>
      <c r="P686" s="124"/>
      <c r="Q686" s="130"/>
      <c r="R686" s="124"/>
      <c r="S686" s="124"/>
      <c r="T686" s="124"/>
      <c r="U686" s="124"/>
      <c r="V686" s="17"/>
      <c r="W686" s="312"/>
      <c r="X686" s="124"/>
      <c r="Y686" s="124"/>
      <c r="Z686" s="124"/>
      <c r="AA686" s="124"/>
    </row>
    <row r="687" spans="1:27" ht="16.5">
      <c r="A687" s="124"/>
      <c r="B687" s="124"/>
      <c r="C687" s="124"/>
      <c r="D687" s="124"/>
      <c r="E687" s="124"/>
      <c r="F687" s="124"/>
      <c r="G687" s="124"/>
      <c r="H687" s="124"/>
      <c r="I687" s="124"/>
      <c r="J687" s="124"/>
      <c r="K687" s="124"/>
      <c r="L687" s="124"/>
      <c r="M687" s="124"/>
      <c r="N687" s="124"/>
      <c r="O687" s="124"/>
      <c r="P687" s="124"/>
      <c r="Q687" s="130"/>
      <c r="R687" s="124"/>
      <c r="S687" s="124"/>
      <c r="T687" s="124"/>
      <c r="U687" s="124"/>
      <c r="V687" s="17"/>
      <c r="W687" s="312"/>
      <c r="X687" s="124"/>
      <c r="Y687" s="124"/>
      <c r="Z687" s="124"/>
      <c r="AA687" s="124"/>
    </row>
    <row r="688" spans="1:27" ht="16.5">
      <c r="A688" s="124"/>
      <c r="B688" s="124"/>
      <c r="C688" s="124"/>
      <c r="D688" s="124"/>
      <c r="E688" s="124"/>
      <c r="F688" s="124"/>
      <c r="G688" s="124"/>
      <c r="H688" s="124"/>
      <c r="I688" s="124"/>
      <c r="J688" s="124"/>
      <c r="K688" s="124"/>
      <c r="L688" s="124"/>
      <c r="M688" s="124"/>
      <c r="N688" s="124"/>
      <c r="O688" s="124"/>
      <c r="P688" s="124"/>
      <c r="Q688" s="130"/>
      <c r="R688" s="124"/>
      <c r="S688" s="124"/>
      <c r="T688" s="124"/>
      <c r="U688" s="124"/>
      <c r="V688" s="17"/>
      <c r="W688" s="312"/>
      <c r="X688" s="124"/>
      <c r="Y688" s="124"/>
      <c r="Z688" s="124"/>
      <c r="AA688" s="124"/>
    </row>
    <row r="689" spans="1:27" ht="16.5">
      <c r="A689" s="124"/>
      <c r="B689" s="124"/>
      <c r="C689" s="124"/>
      <c r="D689" s="124"/>
      <c r="E689" s="124"/>
      <c r="F689" s="124"/>
      <c r="G689" s="124"/>
      <c r="H689" s="124"/>
      <c r="I689" s="124"/>
      <c r="J689" s="124"/>
      <c r="K689" s="124"/>
      <c r="L689" s="124"/>
      <c r="M689" s="124"/>
      <c r="N689" s="124"/>
      <c r="O689" s="124"/>
      <c r="P689" s="124"/>
      <c r="Q689" s="130"/>
      <c r="R689" s="124"/>
      <c r="S689" s="124"/>
      <c r="T689" s="124"/>
      <c r="U689" s="124"/>
      <c r="V689" s="17"/>
      <c r="W689" s="312"/>
      <c r="X689" s="124"/>
      <c r="Y689" s="124"/>
      <c r="Z689" s="124"/>
      <c r="AA689" s="124"/>
    </row>
    <row r="690" spans="1:27" ht="16.5">
      <c r="A690" s="124"/>
      <c r="B690" s="124"/>
      <c r="C690" s="124"/>
      <c r="D690" s="124"/>
      <c r="E690" s="124"/>
      <c r="F690" s="124"/>
      <c r="G690" s="124"/>
      <c r="H690" s="124"/>
      <c r="I690" s="124"/>
      <c r="J690" s="124"/>
      <c r="K690" s="124"/>
      <c r="L690" s="124"/>
      <c r="M690" s="124"/>
      <c r="N690" s="124"/>
      <c r="O690" s="124"/>
      <c r="P690" s="124"/>
      <c r="Q690" s="130"/>
      <c r="R690" s="124"/>
      <c r="S690" s="124"/>
      <c r="T690" s="124"/>
      <c r="U690" s="124"/>
      <c r="V690" s="17"/>
      <c r="W690" s="312"/>
      <c r="X690" s="124"/>
      <c r="Y690" s="124"/>
      <c r="Z690" s="124"/>
      <c r="AA690" s="124"/>
    </row>
    <row r="691" spans="1:27" ht="16.5">
      <c r="A691" s="124"/>
      <c r="B691" s="124"/>
      <c r="C691" s="124"/>
      <c r="D691" s="124"/>
      <c r="E691" s="124"/>
      <c r="F691" s="124"/>
      <c r="G691" s="124"/>
      <c r="H691" s="124"/>
      <c r="I691" s="124"/>
      <c r="J691" s="124"/>
      <c r="K691" s="124"/>
      <c r="L691" s="124"/>
      <c r="M691" s="124"/>
      <c r="N691" s="124"/>
      <c r="O691" s="124"/>
      <c r="P691" s="124"/>
      <c r="Q691" s="130"/>
      <c r="R691" s="124"/>
      <c r="S691" s="124"/>
      <c r="T691" s="124"/>
      <c r="U691" s="124"/>
      <c r="V691" s="17"/>
      <c r="W691" s="312"/>
      <c r="X691" s="124"/>
      <c r="Y691" s="124"/>
      <c r="Z691" s="124"/>
      <c r="AA691" s="124"/>
    </row>
    <row r="692" spans="1:27" ht="16.5">
      <c r="A692" s="124"/>
      <c r="B692" s="124"/>
      <c r="C692" s="124"/>
      <c r="D692" s="124"/>
      <c r="E692" s="124"/>
      <c r="F692" s="124"/>
      <c r="G692" s="124"/>
      <c r="H692" s="124"/>
      <c r="I692" s="124"/>
      <c r="J692" s="124"/>
      <c r="K692" s="124"/>
      <c r="L692" s="124"/>
      <c r="M692" s="124"/>
      <c r="N692" s="124"/>
      <c r="O692" s="124"/>
      <c r="P692" s="124"/>
      <c r="Q692" s="130"/>
      <c r="R692" s="124"/>
      <c r="S692" s="124"/>
      <c r="T692" s="124"/>
      <c r="U692" s="124"/>
      <c r="V692" s="17"/>
      <c r="W692" s="312"/>
      <c r="X692" s="124"/>
      <c r="Y692" s="124"/>
      <c r="Z692" s="124"/>
      <c r="AA692" s="124"/>
    </row>
    <row r="693" spans="1:27" ht="16.5">
      <c r="A693" s="124"/>
      <c r="B693" s="124"/>
      <c r="C693" s="124"/>
      <c r="D693" s="124"/>
      <c r="E693" s="124"/>
      <c r="F693" s="124"/>
      <c r="G693" s="124"/>
      <c r="H693" s="124"/>
      <c r="I693" s="124"/>
      <c r="J693" s="124"/>
      <c r="K693" s="124"/>
      <c r="L693" s="124"/>
      <c r="M693" s="124"/>
      <c r="N693" s="124"/>
      <c r="O693" s="124"/>
      <c r="P693" s="124"/>
      <c r="Q693" s="130"/>
      <c r="R693" s="124"/>
      <c r="S693" s="124"/>
      <c r="T693" s="124"/>
      <c r="U693" s="124"/>
      <c r="V693" s="17"/>
      <c r="W693" s="312"/>
      <c r="X693" s="124"/>
      <c r="Y693" s="124"/>
      <c r="Z693" s="124"/>
      <c r="AA693" s="124"/>
    </row>
    <row r="694" spans="1:27" ht="16.5">
      <c r="A694" s="124"/>
      <c r="B694" s="124"/>
      <c r="C694" s="124"/>
      <c r="D694" s="124"/>
      <c r="E694" s="124"/>
      <c r="F694" s="124"/>
      <c r="G694" s="124"/>
      <c r="H694" s="124"/>
      <c r="I694" s="124"/>
      <c r="J694" s="124"/>
      <c r="K694" s="124"/>
      <c r="L694" s="124"/>
      <c r="M694" s="124"/>
      <c r="N694" s="124"/>
      <c r="O694" s="124"/>
      <c r="P694" s="124"/>
      <c r="Q694" s="130"/>
      <c r="R694" s="124"/>
      <c r="S694" s="124"/>
      <c r="T694" s="124"/>
      <c r="U694" s="124"/>
      <c r="V694" s="17"/>
      <c r="W694" s="312"/>
      <c r="X694" s="124"/>
      <c r="Y694" s="124"/>
      <c r="Z694" s="124"/>
      <c r="AA694" s="124"/>
    </row>
    <row r="695" spans="1:27" ht="16.5">
      <c r="A695" s="124"/>
      <c r="B695" s="124"/>
      <c r="C695" s="124"/>
      <c r="D695" s="124"/>
      <c r="E695" s="124"/>
      <c r="F695" s="124"/>
      <c r="G695" s="124"/>
      <c r="H695" s="124"/>
      <c r="I695" s="124"/>
      <c r="J695" s="124"/>
      <c r="K695" s="124"/>
      <c r="L695" s="124"/>
      <c r="M695" s="124"/>
      <c r="N695" s="124"/>
      <c r="O695" s="124"/>
      <c r="P695" s="124"/>
      <c r="Q695" s="130"/>
      <c r="R695" s="124"/>
      <c r="S695" s="124"/>
      <c r="T695" s="124"/>
      <c r="U695" s="124"/>
      <c r="V695" s="17"/>
      <c r="W695" s="312"/>
      <c r="X695" s="124"/>
      <c r="Y695" s="124"/>
      <c r="Z695" s="124"/>
      <c r="AA695" s="124"/>
    </row>
    <row r="696" spans="1:27" ht="16.5">
      <c r="A696" s="124"/>
      <c r="B696" s="124"/>
      <c r="C696" s="124"/>
      <c r="D696" s="124"/>
      <c r="E696" s="124"/>
      <c r="F696" s="124"/>
      <c r="G696" s="124"/>
      <c r="H696" s="124"/>
      <c r="I696" s="124"/>
      <c r="J696" s="124"/>
      <c r="K696" s="124"/>
      <c r="L696" s="124"/>
      <c r="M696" s="124"/>
      <c r="N696" s="124"/>
      <c r="O696" s="124"/>
      <c r="P696" s="124"/>
      <c r="Q696" s="130"/>
      <c r="R696" s="124"/>
      <c r="S696" s="124"/>
      <c r="T696" s="124"/>
      <c r="U696" s="124"/>
      <c r="V696" s="17"/>
      <c r="W696" s="312"/>
      <c r="X696" s="124"/>
      <c r="Y696" s="124"/>
      <c r="Z696" s="124"/>
      <c r="AA696" s="124"/>
    </row>
    <row r="697" spans="1:27" ht="16.5">
      <c r="A697" s="124"/>
      <c r="B697" s="124"/>
      <c r="C697" s="124"/>
      <c r="D697" s="124"/>
      <c r="E697" s="124"/>
      <c r="F697" s="124"/>
      <c r="G697" s="124"/>
      <c r="H697" s="124"/>
      <c r="I697" s="124"/>
      <c r="J697" s="124"/>
      <c r="K697" s="124"/>
      <c r="L697" s="124"/>
      <c r="M697" s="124"/>
      <c r="N697" s="124"/>
      <c r="O697" s="124"/>
      <c r="P697" s="124"/>
      <c r="Q697" s="130"/>
      <c r="R697" s="124"/>
      <c r="S697" s="124"/>
      <c r="T697" s="124"/>
      <c r="U697" s="124"/>
      <c r="V697" s="17"/>
      <c r="W697" s="312"/>
      <c r="X697" s="124"/>
      <c r="Y697" s="124"/>
      <c r="Z697" s="124"/>
      <c r="AA697" s="124"/>
    </row>
    <row r="698" spans="1:27" ht="16.5">
      <c r="A698" s="124"/>
      <c r="B698" s="124"/>
      <c r="C698" s="124"/>
      <c r="D698" s="124"/>
      <c r="E698" s="124"/>
      <c r="F698" s="124"/>
      <c r="G698" s="124"/>
      <c r="H698" s="124"/>
      <c r="I698" s="124"/>
      <c r="J698" s="124"/>
      <c r="K698" s="124"/>
      <c r="L698" s="124"/>
      <c r="M698" s="124"/>
      <c r="N698" s="124"/>
      <c r="O698" s="124"/>
      <c r="P698" s="124"/>
      <c r="Q698" s="130"/>
      <c r="R698" s="124"/>
      <c r="S698" s="124"/>
      <c r="T698" s="124"/>
      <c r="U698" s="124"/>
      <c r="V698" s="17"/>
      <c r="W698" s="312"/>
      <c r="X698" s="124"/>
      <c r="Y698" s="124"/>
      <c r="Z698" s="124"/>
      <c r="AA698" s="124"/>
    </row>
    <row r="699" spans="1:27" ht="16.5">
      <c r="A699" s="124"/>
      <c r="B699" s="124"/>
      <c r="C699" s="124"/>
      <c r="D699" s="124"/>
      <c r="E699" s="124"/>
      <c r="F699" s="124"/>
      <c r="G699" s="124"/>
      <c r="H699" s="124"/>
      <c r="I699" s="124"/>
      <c r="J699" s="124"/>
      <c r="K699" s="124"/>
      <c r="L699" s="124"/>
      <c r="M699" s="124"/>
      <c r="N699" s="124"/>
      <c r="O699" s="124"/>
      <c r="P699" s="124"/>
      <c r="Q699" s="130"/>
      <c r="R699" s="124"/>
      <c r="S699" s="124"/>
      <c r="T699" s="124"/>
      <c r="U699" s="124"/>
      <c r="V699" s="17"/>
      <c r="W699" s="312"/>
      <c r="X699" s="124"/>
      <c r="Y699" s="124"/>
      <c r="Z699" s="124"/>
      <c r="AA699" s="124"/>
    </row>
    <row r="700" spans="1:27" ht="16.5">
      <c r="A700" s="124"/>
      <c r="B700" s="124"/>
      <c r="C700" s="124"/>
      <c r="D700" s="124"/>
      <c r="E700" s="124"/>
      <c r="F700" s="124"/>
      <c r="G700" s="124"/>
      <c r="H700" s="124"/>
      <c r="I700" s="124"/>
      <c r="J700" s="124"/>
      <c r="K700" s="124"/>
      <c r="L700" s="124"/>
      <c r="M700" s="124"/>
      <c r="N700" s="124"/>
      <c r="O700" s="124"/>
      <c r="P700" s="124"/>
      <c r="Q700" s="130"/>
      <c r="R700" s="124"/>
      <c r="S700" s="124"/>
      <c r="T700" s="124"/>
      <c r="U700" s="124"/>
      <c r="V700" s="17"/>
      <c r="W700" s="312"/>
      <c r="X700" s="124"/>
      <c r="Y700" s="124"/>
      <c r="Z700" s="124"/>
      <c r="AA700" s="124"/>
    </row>
    <row r="701" spans="1:27" ht="16.5">
      <c r="A701" s="124"/>
      <c r="B701" s="124"/>
      <c r="C701" s="124"/>
      <c r="D701" s="124"/>
      <c r="E701" s="124"/>
      <c r="F701" s="124"/>
      <c r="G701" s="124"/>
      <c r="H701" s="124"/>
      <c r="I701" s="124"/>
      <c r="J701" s="124"/>
      <c r="K701" s="124"/>
      <c r="L701" s="124"/>
      <c r="M701" s="124"/>
      <c r="N701" s="124"/>
      <c r="O701" s="124"/>
      <c r="P701" s="124"/>
      <c r="Q701" s="130"/>
      <c r="R701" s="124"/>
      <c r="S701" s="124"/>
      <c r="T701" s="124"/>
      <c r="U701" s="124"/>
      <c r="V701" s="17"/>
      <c r="W701" s="312"/>
      <c r="X701" s="124"/>
      <c r="Y701" s="124"/>
      <c r="Z701" s="124"/>
      <c r="AA701" s="124"/>
    </row>
    <row r="702" spans="1:27" ht="16.5">
      <c r="A702" s="124"/>
      <c r="B702" s="124"/>
      <c r="C702" s="124"/>
      <c r="D702" s="124"/>
      <c r="E702" s="124"/>
      <c r="F702" s="124"/>
      <c r="G702" s="124"/>
      <c r="H702" s="124"/>
      <c r="I702" s="124"/>
      <c r="J702" s="124"/>
      <c r="K702" s="124"/>
      <c r="L702" s="124"/>
      <c r="M702" s="124"/>
      <c r="N702" s="124"/>
      <c r="O702" s="124"/>
      <c r="P702" s="124"/>
      <c r="Q702" s="130"/>
      <c r="R702" s="124"/>
      <c r="S702" s="124"/>
      <c r="T702" s="124"/>
      <c r="U702" s="124"/>
      <c r="V702" s="17"/>
      <c r="W702" s="312"/>
      <c r="X702" s="124"/>
      <c r="Y702" s="124"/>
      <c r="Z702" s="124"/>
      <c r="AA702" s="124"/>
    </row>
    <row r="703" spans="1:27" ht="16.5">
      <c r="A703" s="124"/>
      <c r="B703" s="124"/>
      <c r="C703" s="124"/>
      <c r="D703" s="124"/>
      <c r="E703" s="124"/>
      <c r="F703" s="124"/>
      <c r="G703" s="124"/>
      <c r="H703" s="124"/>
      <c r="I703" s="124"/>
      <c r="J703" s="124"/>
      <c r="K703" s="124"/>
      <c r="L703" s="124"/>
      <c r="M703" s="124"/>
      <c r="N703" s="124"/>
      <c r="O703" s="124"/>
      <c r="P703" s="124"/>
      <c r="Q703" s="130"/>
      <c r="R703" s="124"/>
      <c r="S703" s="124"/>
      <c r="T703" s="124"/>
      <c r="U703" s="124"/>
      <c r="V703" s="17"/>
      <c r="W703" s="312"/>
      <c r="X703" s="124"/>
      <c r="Y703" s="124"/>
      <c r="Z703" s="124"/>
      <c r="AA703" s="124"/>
    </row>
    <row r="704" spans="1:27" ht="16.5">
      <c r="A704" s="124"/>
      <c r="B704" s="124"/>
      <c r="C704" s="124"/>
      <c r="D704" s="124"/>
      <c r="E704" s="124"/>
      <c r="F704" s="124"/>
      <c r="G704" s="124"/>
      <c r="H704" s="124"/>
      <c r="I704" s="124"/>
      <c r="J704" s="124"/>
      <c r="K704" s="124"/>
      <c r="L704" s="124"/>
      <c r="M704" s="124"/>
      <c r="N704" s="124"/>
      <c r="O704" s="124"/>
      <c r="P704" s="124"/>
      <c r="Q704" s="130"/>
      <c r="R704" s="124"/>
      <c r="S704" s="124"/>
      <c r="T704" s="124"/>
      <c r="U704" s="124"/>
      <c r="V704" s="17"/>
      <c r="W704" s="312"/>
      <c r="X704" s="124"/>
      <c r="Y704" s="124"/>
      <c r="Z704" s="124"/>
      <c r="AA704" s="124"/>
    </row>
    <row r="705" spans="1:27" ht="16.5">
      <c r="A705" s="124"/>
      <c r="B705" s="124"/>
      <c r="C705" s="124"/>
      <c r="D705" s="124"/>
      <c r="E705" s="124"/>
      <c r="F705" s="124"/>
      <c r="G705" s="124"/>
      <c r="H705" s="124"/>
      <c r="I705" s="124"/>
      <c r="J705" s="124"/>
      <c r="K705" s="124"/>
      <c r="L705" s="124"/>
      <c r="M705" s="124"/>
      <c r="N705" s="124"/>
      <c r="O705" s="124"/>
      <c r="P705" s="124"/>
      <c r="Q705" s="130"/>
      <c r="R705" s="124"/>
      <c r="S705" s="124"/>
      <c r="T705" s="124"/>
      <c r="U705" s="124"/>
      <c r="V705" s="17"/>
      <c r="W705" s="312"/>
      <c r="X705" s="124"/>
      <c r="Y705" s="124"/>
      <c r="Z705" s="124"/>
      <c r="AA705" s="124"/>
    </row>
    <row r="706" spans="1:27" ht="16.5">
      <c r="A706" s="124"/>
      <c r="B706" s="124"/>
      <c r="C706" s="124"/>
      <c r="D706" s="124"/>
      <c r="E706" s="124"/>
      <c r="F706" s="124"/>
      <c r="G706" s="124"/>
      <c r="H706" s="124"/>
      <c r="I706" s="124"/>
      <c r="J706" s="124"/>
      <c r="K706" s="124"/>
      <c r="L706" s="124"/>
      <c r="M706" s="124"/>
      <c r="N706" s="124"/>
      <c r="O706" s="124"/>
      <c r="P706" s="124"/>
      <c r="Q706" s="130"/>
      <c r="R706" s="124"/>
      <c r="S706" s="124"/>
      <c r="T706" s="124"/>
      <c r="U706" s="124"/>
      <c r="V706" s="17"/>
      <c r="W706" s="312"/>
      <c r="X706" s="124"/>
      <c r="Y706" s="124"/>
      <c r="Z706" s="124"/>
      <c r="AA706" s="124"/>
    </row>
    <row r="707" spans="1:27" ht="16.5">
      <c r="A707" s="124"/>
      <c r="B707" s="124"/>
      <c r="C707" s="124"/>
      <c r="D707" s="124"/>
      <c r="E707" s="124"/>
      <c r="F707" s="124"/>
      <c r="G707" s="124"/>
      <c r="H707" s="124"/>
      <c r="I707" s="124"/>
      <c r="J707" s="124"/>
      <c r="K707" s="124"/>
      <c r="L707" s="124"/>
      <c r="M707" s="124"/>
      <c r="N707" s="124"/>
      <c r="O707" s="124"/>
      <c r="P707" s="124"/>
      <c r="Q707" s="130"/>
      <c r="R707" s="124"/>
      <c r="S707" s="124"/>
      <c r="T707" s="124"/>
      <c r="U707" s="124"/>
      <c r="V707" s="17"/>
      <c r="W707" s="312"/>
      <c r="X707" s="124"/>
      <c r="Y707" s="124"/>
      <c r="Z707" s="124"/>
      <c r="AA707" s="124"/>
    </row>
    <row r="708" spans="1:27" ht="16.5">
      <c r="A708" s="124"/>
      <c r="B708" s="124"/>
      <c r="C708" s="124"/>
      <c r="D708" s="124"/>
      <c r="E708" s="124"/>
      <c r="F708" s="124"/>
      <c r="G708" s="124"/>
      <c r="H708" s="124"/>
      <c r="I708" s="124"/>
      <c r="J708" s="124"/>
      <c r="K708" s="124"/>
      <c r="L708" s="124"/>
      <c r="M708" s="124"/>
      <c r="N708" s="124"/>
      <c r="O708" s="124"/>
      <c r="P708" s="124"/>
      <c r="Q708" s="130"/>
      <c r="R708" s="124"/>
      <c r="S708" s="124"/>
      <c r="T708" s="124"/>
      <c r="U708" s="124"/>
      <c r="V708" s="17"/>
      <c r="W708" s="312"/>
      <c r="X708" s="124"/>
      <c r="Y708" s="124"/>
      <c r="Z708" s="124"/>
      <c r="AA708" s="124"/>
    </row>
    <row r="709" spans="1:27" ht="16.5">
      <c r="A709" s="124"/>
      <c r="B709" s="124"/>
      <c r="C709" s="124"/>
      <c r="D709" s="124"/>
      <c r="E709" s="124"/>
      <c r="F709" s="124"/>
      <c r="G709" s="124"/>
      <c r="H709" s="124"/>
      <c r="I709" s="124"/>
      <c r="J709" s="124"/>
      <c r="K709" s="124"/>
      <c r="L709" s="124"/>
      <c r="M709" s="124"/>
      <c r="N709" s="124"/>
      <c r="O709" s="124"/>
      <c r="P709" s="124"/>
      <c r="Q709" s="130"/>
      <c r="R709" s="124"/>
      <c r="S709" s="124"/>
      <c r="T709" s="124"/>
      <c r="U709" s="124"/>
      <c r="V709" s="17"/>
      <c r="W709" s="312"/>
      <c r="X709" s="124"/>
      <c r="Y709" s="124"/>
      <c r="Z709" s="124"/>
      <c r="AA709" s="124"/>
    </row>
    <row r="710" spans="1:27" ht="16.5">
      <c r="A710" s="124"/>
      <c r="B710" s="124"/>
      <c r="C710" s="124"/>
      <c r="D710" s="124"/>
      <c r="E710" s="124"/>
      <c r="F710" s="124"/>
      <c r="G710" s="124"/>
      <c r="H710" s="124"/>
      <c r="I710" s="124"/>
      <c r="J710" s="124"/>
      <c r="K710" s="124"/>
      <c r="L710" s="124"/>
      <c r="M710" s="124"/>
      <c r="N710" s="124"/>
      <c r="O710" s="124"/>
      <c r="P710" s="124"/>
      <c r="Q710" s="130"/>
      <c r="R710" s="124"/>
      <c r="S710" s="124"/>
      <c r="T710" s="124"/>
      <c r="U710" s="124"/>
      <c r="V710" s="17"/>
      <c r="W710" s="312"/>
      <c r="X710" s="124"/>
      <c r="Y710" s="124"/>
      <c r="Z710" s="124"/>
      <c r="AA710" s="124"/>
    </row>
    <row r="711" spans="1:27" ht="16.5">
      <c r="A711" s="124"/>
      <c r="B711" s="124"/>
      <c r="C711" s="124"/>
      <c r="D711" s="124"/>
      <c r="E711" s="124"/>
      <c r="F711" s="124"/>
      <c r="G711" s="124"/>
      <c r="H711" s="124"/>
      <c r="I711" s="124"/>
      <c r="J711" s="124"/>
      <c r="K711" s="124"/>
      <c r="L711" s="124"/>
      <c r="M711" s="124"/>
      <c r="N711" s="124"/>
      <c r="O711" s="124"/>
      <c r="P711" s="124"/>
      <c r="Q711" s="130"/>
      <c r="R711" s="124"/>
      <c r="S711" s="124"/>
      <c r="T711" s="124"/>
      <c r="U711" s="124"/>
      <c r="V711" s="17"/>
      <c r="W711" s="312"/>
      <c r="X711" s="124"/>
      <c r="Y711" s="124"/>
      <c r="Z711" s="124"/>
      <c r="AA711" s="124"/>
    </row>
    <row r="712" spans="1:27" ht="16.5">
      <c r="A712" s="124"/>
      <c r="B712" s="124"/>
      <c r="C712" s="124"/>
      <c r="D712" s="124"/>
      <c r="E712" s="124"/>
      <c r="F712" s="124"/>
      <c r="G712" s="124"/>
      <c r="H712" s="124"/>
      <c r="I712" s="124"/>
      <c r="J712" s="124"/>
      <c r="K712" s="124"/>
      <c r="L712" s="124"/>
      <c r="M712" s="124"/>
      <c r="N712" s="124"/>
      <c r="O712" s="124"/>
      <c r="P712" s="124"/>
      <c r="Q712" s="130"/>
      <c r="R712" s="124"/>
      <c r="S712" s="124"/>
      <c r="T712" s="124"/>
      <c r="U712" s="124"/>
      <c r="V712" s="17"/>
      <c r="W712" s="312"/>
      <c r="X712" s="124"/>
      <c r="Y712" s="124"/>
      <c r="Z712" s="124"/>
      <c r="AA712" s="124"/>
    </row>
    <row r="713" spans="1:27" ht="16.5">
      <c r="A713" s="124"/>
      <c r="B713" s="124"/>
      <c r="C713" s="124"/>
      <c r="D713" s="124"/>
      <c r="E713" s="124"/>
      <c r="F713" s="124"/>
      <c r="G713" s="124"/>
      <c r="H713" s="124"/>
      <c r="I713" s="124"/>
      <c r="J713" s="124"/>
      <c r="K713" s="124"/>
      <c r="L713" s="124"/>
      <c r="M713" s="124"/>
      <c r="N713" s="124"/>
      <c r="O713" s="124"/>
      <c r="P713" s="124"/>
      <c r="Q713" s="130"/>
      <c r="R713" s="124"/>
      <c r="S713" s="124"/>
      <c r="T713" s="124"/>
      <c r="U713" s="124"/>
      <c r="V713" s="17"/>
      <c r="W713" s="312"/>
      <c r="X713" s="124"/>
      <c r="Y713" s="124"/>
      <c r="Z713" s="124"/>
      <c r="AA713" s="124"/>
    </row>
    <row r="714" spans="1:27" ht="16.5">
      <c r="A714" s="124"/>
      <c r="B714" s="124"/>
      <c r="C714" s="124"/>
      <c r="D714" s="124"/>
      <c r="E714" s="124"/>
      <c r="F714" s="124"/>
      <c r="G714" s="124"/>
      <c r="H714" s="124"/>
      <c r="I714" s="124"/>
      <c r="J714" s="124"/>
      <c r="K714" s="124"/>
      <c r="L714" s="124"/>
      <c r="M714" s="124"/>
      <c r="N714" s="124"/>
      <c r="O714" s="124"/>
      <c r="P714" s="124"/>
      <c r="Q714" s="130"/>
      <c r="R714" s="124"/>
      <c r="S714" s="124"/>
      <c r="T714" s="124"/>
      <c r="U714" s="124"/>
      <c r="V714" s="17"/>
      <c r="W714" s="312"/>
      <c r="X714" s="124"/>
      <c r="Y714" s="124"/>
      <c r="Z714" s="124"/>
      <c r="AA714" s="124"/>
    </row>
    <row r="715" spans="1:27" ht="16.5">
      <c r="A715" s="124"/>
      <c r="B715" s="124"/>
      <c r="C715" s="124"/>
      <c r="D715" s="124"/>
      <c r="E715" s="124"/>
      <c r="F715" s="124"/>
      <c r="G715" s="124"/>
      <c r="H715" s="124"/>
      <c r="I715" s="124"/>
      <c r="J715" s="124"/>
      <c r="K715" s="124"/>
      <c r="L715" s="124"/>
      <c r="M715" s="124"/>
      <c r="N715" s="124"/>
      <c r="O715" s="124"/>
      <c r="P715" s="124"/>
      <c r="Q715" s="130"/>
      <c r="R715" s="124"/>
      <c r="S715" s="124"/>
      <c r="T715" s="124"/>
      <c r="U715" s="124"/>
      <c r="V715" s="17"/>
      <c r="W715" s="312"/>
      <c r="X715" s="124"/>
      <c r="Y715" s="124"/>
      <c r="Z715" s="124"/>
      <c r="AA715" s="124"/>
    </row>
    <row r="716" spans="1:27" ht="16.5">
      <c r="A716" s="124"/>
      <c r="B716" s="124"/>
      <c r="C716" s="124"/>
      <c r="D716" s="124"/>
      <c r="E716" s="124"/>
      <c r="F716" s="124"/>
      <c r="G716" s="124"/>
      <c r="H716" s="124"/>
      <c r="I716" s="124"/>
      <c r="J716" s="124"/>
      <c r="K716" s="124"/>
      <c r="L716" s="124"/>
      <c r="M716" s="124"/>
      <c r="N716" s="124"/>
      <c r="O716" s="124"/>
      <c r="P716" s="124"/>
      <c r="Q716" s="130"/>
      <c r="R716" s="124"/>
      <c r="S716" s="124"/>
      <c r="T716" s="124"/>
      <c r="U716" s="124"/>
      <c r="V716" s="17"/>
      <c r="W716" s="312"/>
      <c r="X716" s="124"/>
      <c r="Y716" s="124"/>
      <c r="Z716" s="124"/>
      <c r="AA716" s="124"/>
    </row>
    <row r="717" spans="1:27" ht="16.5">
      <c r="A717" s="124"/>
      <c r="B717" s="124"/>
      <c r="C717" s="124"/>
      <c r="D717" s="124"/>
      <c r="E717" s="124"/>
      <c r="F717" s="124"/>
      <c r="G717" s="124"/>
      <c r="H717" s="124"/>
      <c r="I717" s="124"/>
      <c r="J717" s="124"/>
      <c r="K717" s="124"/>
      <c r="L717" s="124"/>
      <c r="M717" s="124"/>
      <c r="N717" s="124"/>
      <c r="O717" s="124"/>
      <c r="P717" s="124"/>
      <c r="Q717" s="130"/>
      <c r="R717" s="124"/>
      <c r="S717" s="124"/>
      <c r="T717" s="124"/>
      <c r="U717" s="124"/>
      <c r="V717" s="17"/>
      <c r="W717" s="312"/>
      <c r="X717" s="124"/>
      <c r="Y717" s="124"/>
      <c r="Z717" s="124"/>
      <c r="AA717" s="124"/>
    </row>
    <row r="718" spans="1:27" ht="16.5">
      <c r="A718" s="124"/>
      <c r="B718" s="124"/>
      <c r="C718" s="124"/>
      <c r="D718" s="124"/>
      <c r="E718" s="124"/>
      <c r="F718" s="124"/>
      <c r="G718" s="124"/>
      <c r="H718" s="124"/>
      <c r="I718" s="124"/>
      <c r="J718" s="124"/>
      <c r="K718" s="124"/>
      <c r="L718" s="124"/>
      <c r="M718" s="124"/>
      <c r="N718" s="124"/>
      <c r="O718" s="124"/>
      <c r="P718" s="124"/>
      <c r="Q718" s="130"/>
      <c r="R718" s="124"/>
      <c r="S718" s="124"/>
      <c r="T718" s="124"/>
      <c r="U718" s="124"/>
      <c r="V718" s="17"/>
      <c r="W718" s="312"/>
      <c r="X718" s="124"/>
      <c r="Y718" s="124"/>
      <c r="Z718" s="124"/>
      <c r="AA718" s="124"/>
    </row>
    <row r="719" spans="1:27" ht="16.5">
      <c r="A719" s="124"/>
      <c r="B719" s="124"/>
      <c r="C719" s="124"/>
      <c r="D719" s="124"/>
      <c r="E719" s="124"/>
      <c r="F719" s="124"/>
      <c r="G719" s="124"/>
      <c r="H719" s="124"/>
      <c r="I719" s="124"/>
      <c r="J719" s="124"/>
      <c r="K719" s="124"/>
      <c r="L719" s="124"/>
      <c r="M719" s="124"/>
      <c r="N719" s="124"/>
      <c r="O719" s="124"/>
      <c r="P719" s="124"/>
      <c r="Q719" s="130"/>
      <c r="R719" s="124"/>
      <c r="S719" s="124"/>
      <c r="T719" s="124"/>
      <c r="U719" s="124"/>
      <c r="V719" s="17"/>
      <c r="W719" s="312"/>
      <c r="X719" s="124"/>
      <c r="Y719" s="124"/>
      <c r="Z719" s="124"/>
      <c r="AA719" s="124"/>
    </row>
    <row r="720" spans="1:27" ht="16.5">
      <c r="A720" s="124"/>
      <c r="B720" s="124"/>
      <c r="C720" s="124"/>
      <c r="D720" s="124"/>
      <c r="E720" s="124"/>
      <c r="F720" s="124"/>
      <c r="G720" s="124"/>
      <c r="H720" s="124"/>
      <c r="I720" s="124"/>
      <c r="J720" s="124"/>
      <c r="K720" s="124"/>
      <c r="L720" s="124"/>
      <c r="M720" s="124"/>
      <c r="N720" s="124"/>
      <c r="O720" s="124"/>
      <c r="P720" s="124"/>
      <c r="Q720" s="130"/>
      <c r="R720" s="124"/>
      <c r="S720" s="124"/>
      <c r="T720" s="124"/>
      <c r="U720" s="124"/>
      <c r="V720" s="17"/>
      <c r="W720" s="312"/>
      <c r="X720" s="124"/>
      <c r="Y720" s="124"/>
      <c r="Z720" s="124"/>
      <c r="AA720" s="124"/>
    </row>
    <row r="721" spans="1:27" ht="16.5">
      <c r="A721" s="124"/>
      <c r="B721" s="124"/>
      <c r="C721" s="124"/>
      <c r="D721" s="124"/>
      <c r="E721" s="124"/>
      <c r="F721" s="124"/>
      <c r="G721" s="124"/>
      <c r="H721" s="124"/>
      <c r="I721" s="124"/>
      <c r="J721" s="124"/>
      <c r="K721" s="124"/>
      <c r="L721" s="124"/>
      <c r="M721" s="124"/>
      <c r="N721" s="124"/>
      <c r="O721" s="124"/>
      <c r="P721" s="124"/>
      <c r="Q721" s="130"/>
      <c r="R721" s="124"/>
      <c r="S721" s="124"/>
      <c r="T721" s="124"/>
      <c r="U721" s="124"/>
      <c r="V721" s="17"/>
      <c r="W721" s="312"/>
      <c r="X721" s="124"/>
      <c r="Y721" s="124"/>
      <c r="Z721" s="124"/>
      <c r="AA721" s="124"/>
    </row>
    <row r="722" spans="1:27" ht="16.5">
      <c r="A722" s="124"/>
      <c r="B722" s="124"/>
      <c r="C722" s="124"/>
      <c r="D722" s="124"/>
      <c r="E722" s="124"/>
      <c r="F722" s="124"/>
      <c r="G722" s="124"/>
      <c r="H722" s="124"/>
      <c r="I722" s="124"/>
      <c r="J722" s="124"/>
      <c r="K722" s="124"/>
      <c r="L722" s="124"/>
      <c r="M722" s="124"/>
      <c r="N722" s="124"/>
      <c r="O722" s="124"/>
      <c r="P722" s="124"/>
      <c r="Q722" s="130"/>
      <c r="R722" s="124"/>
      <c r="S722" s="124"/>
      <c r="T722" s="124"/>
      <c r="U722" s="124"/>
      <c r="V722" s="17"/>
      <c r="W722" s="312"/>
      <c r="X722" s="124"/>
      <c r="Y722" s="124"/>
      <c r="Z722" s="124"/>
      <c r="AA722" s="124"/>
    </row>
    <row r="723" spans="1:27" ht="16.5">
      <c r="A723" s="124"/>
      <c r="B723" s="124"/>
      <c r="C723" s="124"/>
      <c r="D723" s="124"/>
      <c r="E723" s="124"/>
      <c r="F723" s="124"/>
      <c r="G723" s="124"/>
      <c r="H723" s="124"/>
      <c r="I723" s="124"/>
      <c r="J723" s="124"/>
      <c r="K723" s="124"/>
      <c r="L723" s="124"/>
      <c r="M723" s="124"/>
      <c r="N723" s="124"/>
      <c r="O723" s="124"/>
      <c r="P723" s="124"/>
      <c r="Q723" s="130"/>
      <c r="R723" s="124"/>
      <c r="S723" s="124"/>
      <c r="T723" s="124"/>
      <c r="U723" s="124"/>
      <c r="V723" s="17"/>
      <c r="W723" s="312"/>
      <c r="X723" s="124"/>
      <c r="Y723" s="124"/>
      <c r="Z723" s="124"/>
      <c r="AA723" s="124"/>
    </row>
    <row r="724" spans="1:27" ht="16.5">
      <c r="A724" s="124"/>
      <c r="B724" s="124"/>
      <c r="C724" s="124"/>
      <c r="D724" s="124"/>
      <c r="E724" s="124"/>
      <c r="F724" s="124"/>
      <c r="G724" s="124"/>
      <c r="H724" s="124"/>
      <c r="I724" s="124"/>
      <c r="J724" s="124"/>
      <c r="K724" s="124"/>
      <c r="L724" s="124"/>
      <c r="M724" s="124"/>
      <c r="N724" s="124"/>
      <c r="O724" s="124"/>
      <c r="P724" s="124"/>
      <c r="Q724" s="130"/>
      <c r="R724" s="124"/>
      <c r="S724" s="124"/>
      <c r="T724" s="124"/>
      <c r="U724" s="124"/>
      <c r="V724" s="17"/>
      <c r="W724" s="312"/>
      <c r="X724" s="124"/>
      <c r="Y724" s="124"/>
      <c r="Z724" s="124"/>
      <c r="AA724" s="124"/>
    </row>
    <row r="725" spans="1:27" ht="16.5">
      <c r="A725" s="124"/>
      <c r="B725" s="124"/>
      <c r="C725" s="124"/>
      <c r="D725" s="124"/>
      <c r="E725" s="124"/>
      <c r="F725" s="124"/>
      <c r="G725" s="124"/>
      <c r="H725" s="124"/>
      <c r="I725" s="124"/>
      <c r="J725" s="124"/>
      <c r="K725" s="124"/>
      <c r="L725" s="124"/>
      <c r="M725" s="124"/>
      <c r="N725" s="124"/>
      <c r="O725" s="124"/>
      <c r="P725" s="124"/>
      <c r="Q725" s="130"/>
      <c r="R725" s="124"/>
      <c r="S725" s="124"/>
      <c r="T725" s="124"/>
      <c r="U725" s="124"/>
      <c r="V725" s="17"/>
      <c r="W725" s="312"/>
      <c r="X725" s="124"/>
      <c r="Y725" s="124"/>
      <c r="Z725" s="124"/>
      <c r="AA725" s="124"/>
    </row>
    <row r="726" spans="1:27" ht="16.5">
      <c r="A726" s="124"/>
      <c r="B726" s="124"/>
      <c r="C726" s="124"/>
      <c r="D726" s="124"/>
      <c r="E726" s="124"/>
      <c r="F726" s="124"/>
      <c r="G726" s="124"/>
      <c r="H726" s="124"/>
      <c r="I726" s="124"/>
      <c r="J726" s="124"/>
      <c r="K726" s="124"/>
      <c r="L726" s="124"/>
      <c r="M726" s="124"/>
      <c r="N726" s="124"/>
      <c r="O726" s="124"/>
      <c r="P726" s="124"/>
      <c r="Q726" s="130"/>
      <c r="R726" s="124"/>
      <c r="S726" s="124"/>
      <c r="T726" s="124"/>
      <c r="U726" s="124"/>
      <c r="V726" s="17"/>
      <c r="W726" s="312"/>
      <c r="X726" s="124"/>
      <c r="Y726" s="124"/>
      <c r="Z726" s="124"/>
      <c r="AA726" s="124"/>
    </row>
    <row r="727" spans="1:27" ht="16.5">
      <c r="A727" s="124"/>
      <c r="B727" s="124"/>
      <c r="C727" s="124"/>
      <c r="D727" s="124"/>
      <c r="E727" s="124"/>
      <c r="F727" s="124"/>
      <c r="G727" s="124"/>
      <c r="H727" s="124"/>
      <c r="I727" s="124"/>
      <c r="J727" s="124"/>
      <c r="K727" s="124"/>
      <c r="L727" s="124"/>
      <c r="M727" s="124"/>
      <c r="N727" s="124"/>
      <c r="O727" s="124"/>
      <c r="P727" s="124"/>
      <c r="Q727" s="130"/>
      <c r="R727" s="124"/>
      <c r="S727" s="124"/>
      <c r="T727" s="124"/>
      <c r="U727" s="124"/>
      <c r="V727" s="17"/>
      <c r="W727" s="312"/>
      <c r="X727" s="124"/>
      <c r="Y727" s="124"/>
      <c r="Z727" s="124"/>
      <c r="AA727" s="124"/>
    </row>
    <row r="728" spans="1:27" ht="16.5">
      <c r="A728" s="124"/>
      <c r="B728" s="124"/>
      <c r="C728" s="124"/>
      <c r="D728" s="124"/>
      <c r="E728" s="124"/>
      <c r="F728" s="124"/>
      <c r="G728" s="124"/>
      <c r="H728" s="124"/>
      <c r="I728" s="124"/>
      <c r="J728" s="124"/>
      <c r="K728" s="124"/>
      <c r="L728" s="124"/>
      <c r="M728" s="124"/>
      <c r="N728" s="124"/>
      <c r="O728" s="124"/>
      <c r="P728" s="124"/>
      <c r="Q728" s="130"/>
      <c r="R728" s="124"/>
      <c r="S728" s="124"/>
      <c r="T728" s="124"/>
      <c r="U728" s="124"/>
      <c r="V728" s="17"/>
      <c r="W728" s="312"/>
      <c r="X728" s="124"/>
      <c r="Y728" s="124"/>
      <c r="Z728" s="124"/>
      <c r="AA728" s="124"/>
    </row>
    <row r="729" spans="1:27" ht="16.5">
      <c r="A729" s="124"/>
      <c r="B729" s="124"/>
      <c r="C729" s="124"/>
      <c r="D729" s="124"/>
      <c r="E729" s="124"/>
      <c r="F729" s="124"/>
      <c r="G729" s="124"/>
      <c r="H729" s="124"/>
      <c r="I729" s="124"/>
      <c r="J729" s="124"/>
      <c r="K729" s="124"/>
      <c r="L729" s="124"/>
      <c r="M729" s="124"/>
      <c r="N729" s="124"/>
      <c r="O729" s="124"/>
      <c r="P729" s="124"/>
      <c r="Q729" s="130"/>
      <c r="R729" s="124"/>
      <c r="S729" s="124"/>
      <c r="T729" s="124"/>
      <c r="U729" s="124"/>
      <c r="V729" s="17"/>
      <c r="W729" s="312"/>
      <c r="X729" s="124"/>
      <c r="Y729" s="124"/>
      <c r="Z729" s="124"/>
      <c r="AA729" s="124"/>
    </row>
    <row r="730" spans="1:27" ht="16.5">
      <c r="A730" s="124"/>
      <c r="B730" s="124"/>
      <c r="C730" s="124"/>
      <c r="D730" s="124"/>
      <c r="E730" s="124"/>
      <c r="F730" s="124"/>
      <c r="G730" s="124"/>
      <c r="H730" s="124"/>
      <c r="I730" s="124"/>
      <c r="J730" s="124"/>
      <c r="K730" s="124"/>
      <c r="L730" s="124"/>
      <c r="M730" s="124"/>
      <c r="N730" s="124"/>
      <c r="O730" s="124"/>
      <c r="P730" s="124"/>
      <c r="Q730" s="130"/>
      <c r="R730" s="124"/>
      <c r="S730" s="124"/>
      <c r="T730" s="124"/>
      <c r="U730" s="124"/>
      <c r="V730" s="17"/>
      <c r="W730" s="312"/>
      <c r="X730" s="124"/>
      <c r="Y730" s="124"/>
      <c r="Z730" s="124"/>
      <c r="AA730" s="124"/>
    </row>
    <row r="731" spans="1:27" ht="16.5">
      <c r="A731" s="124"/>
      <c r="B731" s="124"/>
      <c r="C731" s="124"/>
      <c r="D731" s="124"/>
      <c r="E731" s="124"/>
      <c r="F731" s="124"/>
      <c r="G731" s="124"/>
      <c r="H731" s="124"/>
      <c r="I731" s="124"/>
      <c r="J731" s="124"/>
      <c r="K731" s="124"/>
      <c r="L731" s="124"/>
      <c r="M731" s="124"/>
      <c r="N731" s="124"/>
      <c r="O731" s="124"/>
      <c r="P731" s="124"/>
      <c r="Q731" s="130"/>
      <c r="R731" s="124"/>
      <c r="S731" s="124"/>
      <c r="T731" s="124"/>
      <c r="U731" s="124"/>
      <c r="V731" s="17"/>
      <c r="W731" s="312"/>
      <c r="X731" s="124"/>
      <c r="Y731" s="124"/>
      <c r="Z731" s="124"/>
      <c r="AA731" s="124"/>
    </row>
    <row r="732" spans="1:27" ht="16.5">
      <c r="A732" s="124"/>
      <c r="B732" s="124"/>
      <c r="C732" s="124"/>
      <c r="D732" s="124"/>
      <c r="E732" s="124"/>
      <c r="F732" s="124"/>
      <c r="G732" s="124"/>
      <c r="H732" s="124"/>
      <c r="I732" s="124"/>
      <c r="J732" s="124"/>
      <c r="K732" s="124"/>
      <c r="L732" s="124"/>
      <c r="M732" s="124"/>
      <c r="N732" s="124"/>
      <c r="O732" s="124"/>
      <c r="P732" s="124"/>
      <c r="Q732" s="130"/>
      <c r="R732" s="124"/>
      <c r="S732" s="124"/>
      <c r="T732" s="124"/>
      <c r="U732" s="124"/>
      <c r="V732" s="17"/>
      <c r="W732" s="312"/>
      <c r="X732" s="124"/>
      <c r="Y732" s="124"/>
      <c r="Z732" s="124"/>
      <c r="AA732" s="124"/>
    </row>
    <row r="733" spans="1:27" ht="16.5">
      <c r="A733" s="124"/>
      <c r="B733" s="124"/>
      <c r="C733" s="124"/>
      <c r="D733" s="124"/>
      <c r="E733" s="124"/>
      <c r="F733" s="124"/>
      <c r="G733" s="124"/>
      <c r="H733" s="124"/>
      <c r="I733" s="124"/>
      <c r="J733" s="124"/>
      <c r="K733" s="124"/>
      <c r="L733" s="124"/>
      <c r="M733" s="124"/>
      <c r="N733" s="124"/>
      <c r="O733" s="124"/>
      <c r="P733" s="124"/>
      <c r="Q733" s="130"/>
      <c r="R733" s="124"/>
      <c r="S733" s="124"/>
      <c r="T733" s="124"/>
      <c r="U733" s="124"/>
      <c r="V733" s="17"/>
      <c r="W733" s="312"/>
      <c r="X733" s="124"/>
      <c r="Y733" s="124"/>
      <c r="Z733" s="124"/>
      <c r="AA733" s="124"/>
    </row>
    <row r="734" spans="1:27" ht="16.5">
      <c r="A734" s="124"/>
      <c r="B734" s="124"/>
      <c r="C734" s="124"/>
      <c r="D734" s="124"/>
      <c r="E734" s="124"/>
      <c r="F734" s="124"/>
      <c r="G734" s="124"/>
      <c r="H734" s="124"/>
      <c r="I734" s="124"/>
      <c r="J734" s="124"/>
      <c r="K734" s="124"/>
      <c r="L734" s="124"/>
      <c r="M734" s="124"/>
      <c r="N734" s="124"/>
      <c r="O734" s="124"/>
      <c r="P734" s="124"/>
      <c r="Q734" s="130"/>
      <c r="R734" s="124"/>
      <c r="S734" s="124"/>
      <c r="T734" s="124"/>
      <c r="U734" s="124"/>
      <c r="V734" s="17"/>
      <c r="W734" s="312"/>
      <c r="X734" s="124"/>
      <c r="Y734" s="124"/>
      <c r="Z734" s="124"/>
      <c r="AA734" s="124"/>
    </row>
    <row r="735" spans="1:27" ht="16.5">
      <c r="A735" s="124"/>
      <c r="B735" s="124"/>
      <c r="C735" s="124"/>
      <c r="D735" s="124"/>
      <c r="E735" s="124"/>
      <c r="F735" s="124"/>
      <c r="G735" s="124"/>
      <c r="H735" s="124"/>
      <c r="I735" s="124"/>
      <c r="J735" s="124"/>
      <c r="K735" s="124"/>
      <c r="L735" s="124"/>
      <c r="M735" s="124"/>
      <c r="N735" s="124"/>
      <c r="O735" s="124"/>
      <c r="P735" s="124"/>
      <c r="Q735" s="130"/>
      <c r="R735" s="124"/>
      <c r="S735" s="124"/>
      <c r="T735" s="124"/>
      <c r="U735" s="124"/>
      <c r="V735" s="17"/>
      <c r="W735" s="312"/>
      <c r="X735" s="124"/>
      <c r="Y735" s="124"/>
      <c r="Z735" s="124"/>
      <c r="AA735" s="124"/>
    </row>
    <row r="736" spans="1:27" ht="16.5">
      <c r="A736" s="124"/>
      <c r="B736" s="124"/>
      <c r="C736" s="124"/>
      <c r="D736" s="124"/>
      <c r="E736" s="124"/>
      <c r="F736" s="124"/>
      <c r="G736" s="124"/>
      <c r="H736" s="124"/>
      <c r="I736" s="124"/>
      <c r="J736" s="124"/>
      <c r="K736" s="124"/>
      <c r="L736" s="124"/>
      <c r="M736" s="124"/>
      <c r="N736" s="124"/>
      <c r="O736" s="124"/>
      <c r="P736" s="124"/>
      <c r="Q736" s="130"/>
      <c r="R736" s="124"/>
      <c r="S736" s="124"/>
      <c r="T736" s="124"/>
      <c r="U736" s="124"/>
      <c r="V736" s="17"/>
      <c r="W736" s="312"/>
      <c r="X736" s="124"/>
      <c r="Y736" s="124"/>
      <c r="Z736" s="124"/>
      <c r="AA736" s="124"/>
    </row>
    <row r="737" spans="1:27" ht="16.5">
      <c r="A737" s="124"/>
      <c r="B737" s="124"/>
      <c r="C737" s="124"/>
      <c r="D737" s="124"/>
      <c r="E737" s="124"/>
      <c r="F737" s="124"/>
      <c r="G737" s="124"/>
      <c r="H737" s="124"/>
      <c r="I737" s="124"/>
      <c r="J737" s="124"/>
      <c r="K737" s="124"/>
      <c r="L737" s="124"/>
      <c r="M737" s="124"/>
      <c r="N737" s="124"/>
      <c r="O737" s="124"/>
      <c r="P737" s="124"/>
      <c r="Q737" s="130"/>
      <c r="R737" s="124"/>
      <c r="S737" s="124"/>
      <c r="T737" s="124"/>
      <c r="U737" s="124"/>
      <c r="V737" s="17"/>
      <c r="W737" s="312"/>
      <c r="X737" s="124"/>
      <c r="Y737" s="124"/>
      <c r="Z737" s="124"/>
      <c r="AA737" s="124"/>
    </row>
    <row r="738" spans="1:27" ht="16.5">
      <c r="A738" s="124"/>
      <c r="B738" s="124"/>
      <c r="C738" s="124"/>
      <c r="D738" s="124"/>
      <c r="E738" s="124"/>
      <c r="F738" s="124"/>
      <c r="G738" s="124"/>
      <c r="H738" s="124"/>
      <c r="I738" s="124"/>
      <c r="J738" s="124"/>
      <c r="K738" s="124"/>
      <c r="L738" s="124"/>
      <c r="M738" s="124"/>
      <c r="N738" s="124"/>
      <c r="O738" s="124"/>
      <c r="P738" s="124"/>
      <c r="Q738" s="130"/>
      <c r="R738" s="124"/>
      <c r="S738" s="124"/>
      <c r="T738" s="124"/>
      <c r="U738" s="124"/>
      <c r="V738" s="17"/>
      <c r="W738" s="312"/>
      <c r="X738" s="124"/>
      <c r="Y738" s="124"/>
      <c r="Z738" s="124"/>
      <c r="AA738" s="124"/>
    </row>
    <row r="739" spans="1:27" ht="16.5">
      <c r="A739" s="124"/>
      <c r="B739" s="124"/>
      <c r="C739" s="124"/>
      <c r="D739" s="124"/>
      <c r="E739" s="124"/>
      <c r="F739" s="124"/>
      <c r="G739" s="124"/>
      <c r="H739" s="124"/>
      <c r="I739" s="124"/>
      <c r="J739" s="124"/>
      <c r="K739" s="124"/>
      <c r="L739" s="124"/>
      <c r="M739" s="124"/>
      <c r="N739" s="124"/>
      <c r="O739" s="124"/>
      <c r="P739" s="124"/>
      <c r="Q739" s="130"/>
      <c r="R739" s="124"/>
      <c r="S739" s="124"/>
      <c r="T739" s="124"/>
      <c r="U739" s="124"/>
      <c r="V739" s="17"/>
      <c r="W739" s="312"/>
      <c r="X739" s="124"/>
      <c r="Y739" s="124"/>
      <c r="Z739" s="124"/>
      <c r="AA739" s="124"/>
    </row>
    <row r="740" spans="1:27" ht="16.5">
      <c r="A740" s="124"/>
      <c r="B740" s="124"/>
      <c r="C740" s="124"/>
      <c r="D740" s="124"/>
      <c r="E740" s="124"/>
      <c r="F740" s="124"/>
      <c r="G740" s="124"/>
      <c r="H740" s="124"/>
      <c r="I740" s="124"/>
      <c r="J740" s="124"/>
      <c r="K740" s="124"/>
      <c r="L740" s="124"/>
      <c r="M740" s="124"/>
      <c r="N740" s="124"/>
      <c r="O740" s="124"/>
      <c r="P740" s="124"/>
      <c r="Q740" s="130"/>
      <c r="R740" s="124"/>
      <c r="S740" s="124"/>
      <c r="T740" s="124"/>
      <c r="U740" s="124"/>
      <c r="V740" s="17"/>
      <c r="W740" s="312"/>
      <c r="X740" s="124"/>
      <c r="Y740" s="124"/>
      <c r="Z740" s="124"/>
      <c r="AA740" s="124"/>
    </row>
    <row r="741" spans="1:27" ht="16.5">
      <c r="A741" s="124"/>
      <c r="B741" s="124"/>
      <c r="C741" s="124"/>
      <c r="D741" s="124"/>
      <c r="E741" s="124"/>
      <c r="F741" s="124"/>
      <c r="G741" s="124"/>
      <c r="H741" s="124"/>
      <c r="I741" s="124"/>
      <c r="J741" s="124"/>
      <c r="K741" s="124"/>
      <c r="L741" s="124"/>
      <c r="M741" s="124"/>
      <c r="N741" s="124"/>
      <c r="O741" s="124"/>
      <c r="P741" s="124"/>
      <c r="Q741" s="130"/>
      <c r="R741" s="124"/>
      <c r="S741" s="124"/>
      <c r="T741" s="124"/>
      <c r="U741" s="124"/>
      <c r="V741" s="17"/>
      <c r="W741" s="312"/>
      <c r="X741" s="124"/>
      <c r="Y741" s="124"/>
      <c r="Z741" s="124"/>
      <c r="AA741" s="124"/>
    </row>
    <row r="742" spans="1:27" ht="16.5">
      <c r="A742" s="124"/>
      <c r="B742" s="124"/>
      <c r="C742" s="124"/>
      <c r="D742" s="124"/>
      <c r="E742" s="124"/>
      <c r="F742" s="124"/>
      <c r="G742" s="124"/>
      <c r="H742" s="124"/>
      <c r="I742" s="124"/>
      <c r="J742" s="124"/>
      <c r="K742" s="124"/>
      <c r="L742" s="124"/>
      <c r="M742" s="124"/>
      <c r="N742" s="124"/>
      <c r="O742" s="124"/>
      <c r="P742" s="124"/>
      <c r="Q742" s="130"/>
      <c r="R742" s="124"/>
      <c r="S742" s="124"/>
      <c r="T742" s="124"/>
      <c r="U742" s="124"/>
      <c r="V742" s="17"/>
      <c r="W742" s="312"/>
      <c r="X742" s="124"/>
      <c r="Y742" s="124"/>
      <c r="Z742" s="124"/>
      <c r="AA742" s="124"/>
    </row>
    <row r="743" spans="1:27" ht="16.5">
      <c r="A743" s="124"/>
      <c r="B743" s="124"/>
      <c r="C743" s="124"/>
      <c r="D743" s="124"/>
      <c r="E743" s="124"/>
      <c r="F743" s="124"/>
      <c r="G743" s="124"/>
      <c r="H743" s="124"/>
      <c r="I743" s="124"/>
      <c r="J743" s="124"/>
      <c r="K743" s="124"/>
      <c r="L743" s="124"/>
      <c r="M743" s="124"/>
      <c r="N743" s="124"/>
      <c r="O743" s="124"/>
      <c r="P743" s="124"/>
      <c r="Q743" s="130"/>
      <c r="R743" s="124"/>
      <c r="S743" s="124"/>
      <c r="T743" s="124"/>
      <c r="U743" s="124"/>
      <c r="V743" s="17"/>
      <c r="W743" s="312"/>
      <c r="X743" s="124"/>
      <c r="Y743" s="124"/>
      <c r="Z743" s="124"/>
      <c r="AA743" s="124"/>
    </row>
    <row r="744" spans="1:27" ht="16.5">
      <c r="A744" s="124"/>
      <c r="B744" s="124"/>
      <c r="C744" s="124"/>
      <c r="D744" s="124"/>
      <c r="E744" s="124"/>
      <c r="F744" s="124"/>
      <c r="G744" s="124"/>
      <c r="H744" s="124"/>
      <c r="I744" s="124"/>
      <c r="J744" s="124"/>
      <c r="K744" s="124"/>
      <c r="L744" s="124"/>
      <c r="M744" s="124"/>
      <c r="N744" s="124"/>
      <c r="O744" s="124"/>
      <c r="P744" s="124"/>
      <c r="Q744" s="130"/>
      <c r="R744" s="124"/>
      <c r="S744" s="124"/>
      <c r="T744" s="124"/>
      <c r="U744" s="124"/>
      <c r="V744" s="17"/>
      <c r="W744" s="312"/>
      <c r="X744" s="124"/>
      <c r="Y744" s="124"/>
      <c r="Z744" s="124"/>
      <c r="AA744" s="124"/>
    </row>
    <row r="745" spans="1:27" ht="16.5">
      <c r="A745" s="124"/>
      <c r="B745" s="124"/>
      <c r="C745" s="124"/>
      <c r="D745" s="124"/>
      <c r="E745" s="124"/>
      <c r="F745" s="124"/>
      <c r="G745" s="124"/>
      <c r="H745" s="124"/>
      <c r="I745" s="124"/>
      <c r="J745" s="124"/>
      <c r="K745" s="124"/>
      <c r="L745" s="124"/>
      <c r="M745" s="124"/>
      <c r="N745" s="124"/>
      <c r="O745" s="124"/>
      <c r="P745" s="124"/>
      <c r="Q745" s="130"/>
      <c r="R745" s="124"/>
      <c r="S745" s="124"/>
      <c r="T745" s="124"/>
      <c r="U745" s="124"/>
      <c r="V745" s="17"/>
      <c r="W745" s="312"/>
      <c r="X745" s="124"/>
      <c r="Y745" s="124"/>
      <c r="Z745" s="124"/>
      <c r="AA745" s="124"/>
    </row>
    <row r="746" spans="1:27" ht="16.5">
      <c r="A746" s="124"/>
      <c r="B746" s="124"/>
      <c r="C746" s="124"/>
      <c r="D746" s="124"/>
      <c r="E746" s="124"/>
      <c r="F746" s="124"/>
      <c r="G746" s="124"/>
      <c r="H746" s="124"/>
      <c r="I746" s="124"/>
      <c r="J746" s="124"/>
      <c r="K746" s="124"/>
      <c r="L746" s="124"/>
      <c r="M746" s="124"/>
      <c r="N746" s="124"/>
      <c r="O746" s="124"/>
      <c r="P746" s="124"/>
      <c r="Q746" s="130"/>
      <c r="R746" s="124"/>
      <c r="S746" s="124"/>
      <c r="T746" s="124"/>
      <c r="U746" s="124"/>
      <c r="V746" s="17"/>
      <c r="W746" s="312"/>
      <c r="X746" s="124"/>
      <c r="Y746" s="124"/>
      <c r="Z746" s="124"/>
      <c r="AA746" s="124"/>
    </row>
    <row r="747" spans="1:27" ht="16.5">
      <c r="A747" s="124"/>
      <c r="B747" s="124"/>
      <c r="C747" s="124"/>
      <c r="D747" s="124"/>
      <c r="E747" s="124"/>
      <c r="F747" s="124"/>
      <c r="G747" s="124"/>
      <c r="H747" s="124"/>
      <c r="I747" s="124"/>
      <c r="J747" s="124"/>
      <c r="K747" s="124"/>
      <c r="L747" s="124"/>
      <c r="M747" s="124"/>
      <c r="N747" s="124"/>
      <c r="O747" s="124"/>
      <c r="P747" s="124"/>
      <c r="Q747" s="130"/>
      <c r="R747" s="124"/>
      <c r="S747" s="124"/>
      <c r="T747" s="124"/>
      <c r="U747" s="124"/>
      <c r="V747" s="17"/>
      <c r="W747" s="312"/>
      <c r="X747" s="124"/>
      <c r="Y747" s="124"/>
      <c r="Z747" s="124"/>
      <c r="AA747" s="124"/>
    </row>
    <row r="748" spans="1:27" ht="16.5">
      <c r="A748" s="124"/>
      <c r="B748" s="124"/>
      <c r="C748" s="124"/>
      <c r="D748" s="124"/>
      <c r="E748" s="124"/>
      <c r="F748" s="124"/>
      <c r="G748" s="124"/>
      <c r="H748" s="124"/>
      <c r="I748" s="124"/>
      <c r="J748" s="124"/>
      <c r="K748" s="124"/>
      <c r="L748" s="124"/>
      <c r="M748" s="124"/>
      <c r="N748" s="124"/>
      <c r="O748" s="124"/>
      <c r="P748" s="124"/>
      <c r="Q748" s="130"/>
      <c r="R748" s="124"/>
      <c r="S748" s="124"/>
      <c r="T748" s="124"/>
      <c r="U748" s="124"/>
      <c r="V748" s="17"/>
      <c r="W748" s="312"/>
      <c r="X748" s="124"/>
      <c r="Y748" s="124"/>
      <c r="Z748" s="124"/>
      <c r="AA748" s="124"/>
    </row>
    <row r="749" spans="1:27" ht="16.5">
      <c r="A749" s="124"/>
      <c r="B749" s="124"/>
      <c r="C749" s="124"/>
      <c r="D749" s="124"/>
      <c r="E749" s="124"/>
      <c r="F749" s="124"/>
      <c r="G749" s="124"/>
      <c r="H749" s="124"/>
      <c r="I749" s="124"/>
      <c r="J749" s="124"/>
      <c r="K749" s="124"/>
      <c r="L749" s="124"/>
      <c r="M749" s="124"/>
      <c r="N749" s="124"/>
      <c r="O749" s="124"/>
      <c r="P749" s="124"/>
      <c r="Q749" s="130"/>
      <c r="R749" s="124"/>
      <c r="S749" s="124"/>
      <c r="T749" s="124"/>
      <c r="U749" s="124"/>
      <c r="V749" s="17"/>
      <c r="W749" s="312"/>
      <c r="X749" s="124"/>
      <c r="Y749" s="124"/>
      <c r="Z749" s="124"/>
      <c r="AA749" s="124"/>
    </row>
    <row r="750" spans="1:27" ht="16.5">
      <c r="A750" s="124"/>
      <c r="B750" s="124"/>
      <c r="C750" s="124"/>
      <c r="D750" s="124"/>
      <c r="E750" s="124"/>
      <c r="F750" s="124"/>
      <c r="G750" s="124"/>
      <c r="H750" s="124"/>
      <c r="I750" s="124"/>
      <c r="J750" s="124"/>
      <c r="K750" s="124"/>
      <c r="L750" s="124"/>
      <c r="M750" s="124"/>
      <c r="N750" s="124"/>
      <c r="O750" s="124"/>
      <c r="P750" s="124"/>
      <c r="Q750" s="130"/>
      <c r="R750" s="124"/>
      <c r="S750" s="124"/>
      <c r="T750" s="124"/>
      <c r="U750" s="124"/>
      <c r="V750" s="17"/>
      <c r="W750" s="312"/>
      <c r="X750" s="124"/>
      <c r="Y750" s="124"/>
      <c r="Z750" s="124"/>
      <c r="AA750" s="124"/>
    </row>
    <row r="751" spans="1:27" ht="16.5">
      <c r="A751" s="124"/>
      <c r="B751" s="124"/>
      <c r="C751" s="124"/>
      <c r="D751" s="124"/>
      <c r="E751" s="124"/>
      <c r="F751" s="124"/>
      <c r="G751" s="124"/>
      <c r="H751" s="124"/>
      <c r="I751" s="124"/>
      <c r="J751" s="124"/>
      <c r="K751" s="124"/>
      <c r="L751" s="124"/>
      <c r="M751" s="124"/>
      <c r="N751" s="124"/>
      <c r="O751" s="124"/>
      <c r="P751" s="124"/>
      <c r="Q751" s="130"/>
      <c r="R751" s="124"/>
      <c r="S751" s="124"/>
      <c r="T751" s="124"/>
      <c r="U751" s="124"/>
      <c r="V751" s="17"/>
      <c r="W751" s="312"/>
      <c r="X751" s="124"/>
      <c r="Y751" s="124"/>
      <c r="Z751" s="124"/>
      <c r="AA751" s="124"/>
    </row>
    <row r="752" spans="1:27" ht="16.5">
      <c r="A752" s="124"/>
      <c r="B752" s="124"/>
      <c r="C752" s="124"/>
      <c r="D752" s="124"/>
      <c r="E752" s="124"/>
      <c r="F752" s="124"/>
      <c r="G752" s="124"/>
      <c r="H752" s="124"/>
      <c r="I752" s="124"/>
      <c r="J752" s="124"/>
      <c r="K752" s="124"/>
      <c r="L752" s="124"/>
      <c r="M752" s="124"/>
      <c r="N752" s="124"/>
      <c r="O752" s="124"/>
      <c r="P752" s="124"/>
      <c r="Q752" s="130"/>
      <c r="R752" s="124"/>
      <c r="S752" s="124"/>
      <c r="T752" s="124"/>
      <c r="U752" s="124"/>
      <c r="V752" s="17"/>
      <c r="W752" s="312"/>
      <c r="X752" s="124"/>
      <c r="Y752" s="124"/>
      <c r="Z752" s="124"/>
      <c r="AA752" s="124"/>
    </row>
    <row r="753" spans="1:27" ht="16.5">
      <c r="A753" s="124"/>
      <c r="B753" s="124"/>
      <c r="C753" s="124"/>
      <c r="D753" s="124"/>
      <c r="E753" s="124"/>
      <c r="F753" s="124"/>
      <c r="G753" s="124"/>
      <c r="H753" s="124"/>
      <c r="I753" s="124"/>
      <c r="J753" s="124"/>
      <c r="K753" s="124"/>
      <c r="L753" s="124"/>
      <c r="M753" s="124"/>
      <c r="N753" s="124"/>
      <c r="O753" s="124"/>
      <c r="P753" s="124"/>
      <c r="Q753" s="130"/>
      <c r="R753" s="124"/>
      <c r="S753" s="124"/>
      <c r="T753" s="124"/>
      <c r="U753" s="124"/>
      <c r="V753" s="17"/>
      <c r="W753" s="312"/>
      <c r="X753" s="124"/>
      <c r="Y753" s="124"/>
      <c r="Z753" s="124"/>
      <c r="AA753" s="124"/>
    </row>
    <row r="754" spans="1:27" ht="16.5">
      <c r="A754" s="124"/>
      <c r="B754" s="124"/>
      <c r="C754" s="124"/>
      <c r="D754" s="124"/>
      <c r="E754" s="124"/>
      <c r="F754" s="124"/>
      <c r="G754" s="124"/>
      <c r="H754" s="124"/>
      <c r="I754" s="124"/>
      <c r="J754" s="124"/>
      <c r="K754" s="124"/>
      <c r="L754" s="124"/>
      <c r="M754" s="124"/>
      <c r="N754" s="124"/>
      <c r="O754" s="124"/>
      <c r="P754" s="124"/>
      <c r="Q754" s="130"/>
      <c r="R754" s="124"/>
      <c r="S754" s="124"/>
      <c r="T754" s="124"/>
      <c r="U754" s="124"/>
      <c r="V754" s="17"/>
      <c r="W754" s="312"/>
      <c r="X754" s="124"/>
      <c r="Y754" s="124"/>
      <c r="Z754" s="124"/>
      <c r="AA754" s="124"/>
    </row>
    <row r="755" spans="1:27" ht="16.5">
      <c r="A755" s="124"/>
      <c r="B755" s="124"/>
      <c r="C755" s="124"/>
      <c r="D755" s="124"/>
      <c r="E755" s="124"/>
      <c r="F755" s="124"/>
      <c r="G755" s="124"/>
      <c r="H755" s="124"/>
      <c r="I755" s="124"/>
      <c r="J755" s="124"/>
      <c r="K755" s="124"/>
      <c r="L755" s="124"/>
      <c r="M755" s="124"/>
      <c r="N755" s="124"/>
      <c r="O755" s="124"/>
      <c r="P755" s="124"/>
      <c r="Q755" s="130"/>
      <c r="R755" s="124"/>
      <c r="S755" s="124"/>
      <c r="T755" s="124"/>
      <c r="U755" s="124"/>
      <c r="V755" s="17"/>
      <c r="W755" s="312"/>
      <c r="X755" s="124"/>
      <c r="Y755" s="124"/>
      <c r="Z755" s="124"/>
      <c r="AA755" s="124"/>
    </row>
    <row r="756" spans="1:27" ht="16.5">
      <c r="A756" s="124"/>
      <c r="B756" s="124"/>
      <c r="C756" s="124"/>
      <c r="D756" s="124"/>
      <c r="E756" s="124"/>
      <c r="F756" s="124"/>
      <c r="G756" s="124"/>
      <c r="H756" s="124"/>
      <c r="I756" s="124"/>
      <c r="J756" s="124"/>
      <c r="K756" s="124"/>
      <c r="L756" s="124"/>
      <c r="M756" s="124"/>
      <c r="N756" s="124"/>
      <c r="O756" s="124"/>
      <c r="P756" s="124"/>
      <c r="Q756" s="130"/>
      <c r="R756" s="124"/>
      <c r="S756" s="124"/>
      <c r="T756" s="124"/>
      <c r="U756" s="124"/>
      <c r="V756" s="17"/>
      <c r="W756" s="312"/>
      <c r="X756" s="124"/>
      <c r="Y756" s="124"/>
      <c r="Z756" s="124"/>
      <c r="AA756" s="124"/>
    </row>
    <row r="757" spans="1:27" ht="16.5">
      <c r="A757" s="124"/>
      <c r="B757" s="124"/>
      <c r="C757" s="124"/>
      <c r="D757" s="124"/>
      <c r="E757" s="124"/>
      <c r="F757" s="124"/>
      <c r="G757" s="124"/>
      <c r="H757" s="124"/>
      <c r="I757" s="124"/>
      <c r="J757" s="124"/>
      <c r="K757" s="124"/>
      <c r="L757" s="124"/>
      <c r="M757" s="124"/>
      <c r="N757" s="124"/>
      <c r="O757" s="124"/>
      <c r="P757" s="124"/>
      <c r="Q757" s="130"/>
      <c r="R757" s="124"/>
      <c r="S757" s="124"/>
      <c r="T757" s="124"/>
      <c r="U757" s="124"/>
      <c r="V757" s="17"/>
      <c r="W757" s="312"/>
      <c r="X757" s="124"/>
      <c r="Y757" s="124"/>
      <c r="Z757" s="124"/>
      <c r="AA757" s="124"/>
    </row>
    <row r="758" spans="1:27" ht="16.5">
      <c r="A758" s="124"/>
      <c r="B758" s="124"/>
      <c r="C758" s="124"/>
      <c r="D758" s="124"/>
      <c r="E758" s="124"/>
      <c r="F758" s="124"/>
      <c r="G758" s="124"/>
      <c r="H758" s="124"/>
      <c r="I758" s="124"/>
      <c r="J758" s="124"/>
      <c r="K758" s="124"/>
      <c r="L758" s="124"/>
      <c r="M758" s="124"/>
      <c r="N758" s="124"/>
      <c r="O758" s="124"/>
      <c r="P758" s="124"/>
      <c r="Q758" s="130"/>
      <c r="R758" s="124"/>
      <c r="S758" s="124"/>
      <c r="T758" s="124"/>
      <c r="U758" s="124"/>
      <c r="V758" s="17"/>
      <c r="W758" s="312"/>
      <c r="X758" s="124"/>
      <c r="Y758" s="124"/>
      <c r="Z758" s="124"/>
      <c r="AA758" s="124"/>
    </row>
    <row r="759" spans="1:27" ht="16.5">
      <c r="A759" s="124"/>
      <c r="B759" s="124"/>
      <c r="C759" s="124"/>
      <c r="D759" s="124"/>
      <c r="E759" s="124"/>
      <c r="F759" s="124"/>
      <c r="G759" s="124"/>
      <c r="H759" s="124"/>
      <c r="I759" s="124"/>
      <c r="J759" s="124"/>
      <c r="K759" s="124"/>
      <c r="L759" s="124"/>
      <c r="M759" s="124"/>
      <c r="N759" s="124"/>
      <c r="O759" s="124"/>
      <c r="P759" s="124"/>
      <c r="Q759" s="130"/>
      <c r="R759" s="124"/>
      <c r="S759" s="124"/>
      <c r="T759" s="124"/>
      <c r="U759" s="124"/>
      <c r="V759" s="17"/>
      <c r="W759" s="312"/>
      <c r="X759" s="124"/>
      <c r="Y759" s="124"/>
      <c r="Z759" s="124"/>
      <c r="AA759" s="124"/>
    </row>
    <row r="760" spans="1:27" ht="16.5">
      <c r="A760" s="124"/>
      <c r="B760" s="124"/>
      <c r="C760" s="124"/>
      <c r="D760" s="124"/>
      <c r="E760" s="124"/>
      <c r="F760" s="124"/>
      <c r="G760" s="124"/>
      <c r="H760" s="124"/>
      <c r="I760" s="124"/>
      <c r="J760" s="124"/>
      <c r="K760" s="124"/>
      <c r="L760" s="124"/>
      <c r="M760" s="124"/>
      <c r="N760" s="124"/>
      <c r="O760" s="124"/>
      <c r="P760" s="124"/>
      <c r="Q760" s="130"/>
      <c r="R760" s="124"/>
      <c r="S760" s="124"/>
      <c r="T760" s="124"/>
      <c r="U760" s="124"/>
      <c r="V760" s="17"/>
      <c r="W760" s="312"/>
      <c r="X760" s="124"/>
      <c r="Y760" s="124"/>
      <c r="Z760" s="124"/>
      <c r="AA760" s="124"/>
    </row>
    <row r="761" spans="1:27" ht="16.5">
      <c r="A761" s="124"/>
      <c r="B761" s="124"/>
      <c r="C761" s="124"/>
      <c r="D761" s="124"/>
      <c r="E761" s="124"/>
      <c r="F761" s="124"/>
      <c r="G761" s="124"/>
      <c r="H761" s="124"/>
      <c r="I761" s="124"/>
      <c r="J761" s="124"/>
      <c r="K761" s="124"/>
      <c r="L761" s="124"/>
      <c r="M761" s="124"/>
      <c r="N761" s="124"/>
      <c r="O761" s="124"/>
      <c r="P761" s="124"/>
      <c r="Q761" s="130"/>
      <c r="R761" s="124"/>
      <c r="S761" s="124"/>
      <c r="T761" s="124"/>
      <c r="U761" s="124"/>
      <c r="V761" s="17"/>
      <c r="W761" s="312"/>
      <c r="X761" s="124"/>
      <c r="Y761" s="124"/>
      <c r="Z761" s="124"/>
      <c r="AA761" s="124"/>
    </row>
    <row r="762" spans="1:27" ht="16.5">
      <c r="A762" s="124"/>
      <c r="B762" s="124"/>
      <c r="C762" s="124"/>
      <c r="D762" s="124"/>
      <c r="E762" s="124"/>
      <c r="F762" s="124"/>
      <c r="G762" s="124"/>
      <c r="H762" s="124"/>
      <c r="I762" s="124"/>
      <c r="J762" s="124"/>
      <c r="K762" s="124"/>
      <c r="L762" s="124"/>
      <c r="M762" s="124"/>
      <c r="N762" s="124"/>
      <c r="O762" s="124"/>
      <c r="P762" s="124"/>
      <c r="Q762" s="130"/>
      <c r="R762" s="124"/>
      <c r="S762" s="124"/>
      <c r="T762" s="124"/>
      <c r="U762" s="124"/>
      <c r="V762" s="17"/>
      <c r="W762" s="312"/>
      <c r="X762" s="124"/>
      <c r="Y762" s="124"/>
      <c r="Z762" s="124"/>
      <c r="AA762" s="124"/>
    </row>
    <row r="763" spans="1:27" ht="16.5">
      <c r="A763" s="124"/>
      <c r="B763" s="124"/>
      <c r="C763" s="124"/>
      <c r="D763" s="124"/>
      <c r="E763" s="124"/>
      <c r="F763" s="124"/>
      <c r="G763" s="124"/>
      <c r="H763" s="124"/>
      <c r="I763" s="124"/>
      <c r="J763" s="124"/>
      <c r="K763" s="124"/>
      <c r="L763" s="124"/>
      <c r="M763" s="124"/>
      <c r="N763" s="124"/>
      <c r="O763" s="124"/>
      <c r="P763" s="124"/>
      <c r="Q763" s="130"/>
      <c r="R763" s="124"/>
      <c r="S763" s="124"/>
      <c r="T763" s="124"/>
      <c r="U763" s="124"/>
      <c r="V763" s="17"/>
      <c r="W763" s="312"/>
      <c r="X763" s="124"/>
      <c r="Y763" s="124"/>
      <c r="Z763" s="124"/>
      <c r="AA763" s="124"/>
    </row>
    <row r="764" spans="1:27" ht="16.5">
      <c r="A764" s="124"/>
      <c r="B764" s="124"/>
      <c r="C764" s="124"/>
      <c r="D764" s="124"/>
      <c r="E764" s="124"/>
      <c r="F764" s="124"/>
      <c r="G764" s="124"/>
      <c r="H764" s="124"/>
      <c r="I764" s="124"/>
      <c r="J764" s="124"/>
      <c r="K764" s="124"/>
      <c r="L764" s="124"/>
      <c r="M764" s="124"/>
      <c r="N764" s="124"/>
      <c r="O764" s="124"/>
      <c r="P764" s="124"/>
      <c r="Q764" s="130"/>
      <c r="R764" s="124"/>
      <c r="S764" s="124"/>
      <c r="T764" s="124"/>
      <c r="U764" s="124"/>
      <c r="V764" s="17"/>
      <c r="W764" s="312"/>
      <c r="X764" s="124"/>
      <c r="Y764" s="124"/>
      <c r="Z764" s="124"/>
      <c r="AA764" s="124"/>
    </row>
    <row r="765" spans="1:27" ht="16.5">
      <c r="A765" s="124"/>
      <c r="B765" s="124"/>
      <c r="C765" s="124"/>
      <c r="D765" s="124"/>
      <c r="E765" s="124"/>
      <c r="F765" s="124"/>
      <c r="G765" s="124"/>
      <c r="H765" s="124"/>
      <c r="I765" s="124"/>
      <c r="J765" s="124"/>
      <c r="K765" s="124"/>
      <c r="L765" s="124"/>
      <c r="M765" s="124"/>
      <c r="N765" s="124"/>
      <c r="O765" s="124"/>
      <c r="P765" s="124"/>
      <c r="Q765" s="130"/>
      <c r="R765" s="124"/>
      <c r="S765" s="124"/>
      <c r="T765" s="124"/>
      <c r="U765" s="124"/>
      <c r="V765" s="17"/>
      <c r="W765" s="312"/>
      <c r="X765" s="124"/>
      <c r="Y765" s="124"/>
      <c r="Z765" s="124"/>
      <c r="AA765" s="124"/>
    </row>
    <row r="766" spans="1:27" ht="16.5">
      <c r="A766" s="124"/>
      <c r="B766" s="124"/>
      <c r="C766" s="124"/>
      <c r="D766" s="124"/>
      <c r="E766" s="124"/>
      <c r="F766" s="124"/>
      <c r="G766" s="124"/>
      <c r="H766" s="124"/>
      <c r="I766" s="124"/>
      <c r="J766" s="124"/>
      <c r="K766" s="124"/>
      <c r="L766" s="124"/>
      <c r="M766" s="124"/>
      <c r="N766" s="124"/>
      <c r="O766" s="124"/>
      <c r="P766" s="124"/>
      <c r="Q766" s="130"/>
      <c r="R766" s="124"/>
      <c r="S766" s="124"/>
      <c r="T766" s="124"/>
      <c r="U766" s="124"/>
      <c r="V766" s="17"/>
      <c r="W766" s="312"/>
      <c r="X766" s="124"/>
      <c r="Y766" s="124"/>
      <c r="Z766" s="124"/>
      <c r="AA766" s="124"/>
    </row>
    <row r="767" spans="1:27" ht="16.5">
      <c r="A767" s="124"/>
      <c r="B767" s="124"/>
      <c r="C767" s="124"/>
      <c r="D767" s="124"/>
      <c r="E767" s="124"/>
      <c r="F767" s="124"/>
      <c r="G767" s="124"/>
      <c r="H767" s="124"/>
      <c r="I767" s="124"/>
      <c r="J767" s="124"/>
      <c r="K767" s="124"/>
      <c r="L767" s="124"/>
      <c r="M767" s="124"/>
      <c r="N767" s="124"/>
      <c r="O767" s="124"/>
      <c r="P767" s="124"/>
      <c r="Q767" s="130"/>
      <c r="R767" s="124"/>
      <c r="S767" s="124"/>
      <c r="T767" s="124"/>
      <c r="U767" s="124"/>
      <c r="V767" s="17"/>
      <c r="W767" s="312"/>
      <c r="X767" s="124"/>
      <c r="Y767" s="124"/>
      <c r="Z767" s="124"/>
      <c r="AA767" s="124"/>
    </row>
    <row r="768" spans="1:27" ht="16.5">
      <c r="A768" s="124"/>
      <c r="B768" s="124"/>
      <c r="C768" s="124"/>
      <c r="D768" s="124"/>
      <c r="E768" s="124"/>
      <c r="F768" s="124"/>
      <c r="G768" s="124"/>
      <c r="H768" s="124"/>
      <c r="I768" s="124"/>
      <c r="J768" s="124"/>
      <c r="K768" s="124"/>
      <c r="L768" s="124"/>
      <c r="M768" s="124"/>
      <c r="N768" s="124"/>
      <c r="O768" s="124"/>
      <c r="P768" s="124"/>
      <c r="Q768" s="130"/>
      <c r="R768" s="124"/>
      <c r="S768" s="124"/>
      <c r="T768" s="124"/>
      <c r="U768" s="124"/>
      <c r="V768" s="17"/>
      <c r="W768" s="312"/>
      <c r="X768" s="124"/>
      <c r="Y768" s="124"/>
      <c r="Z768" s="124"/>
      <c r="AA768" s="124"/>
    </row>
    <row r="769" spans="1:27" ht="16.5">
      <c r="A769" s="124"/>
      <c r="B769" s="124"/>
      <c r="C769" s="124"/>
      <c r="D769" s="124"/>
      <c r="E769" s="124"/>
      <c r="F769" s="124"/>
      <c r="G769" s="124"/>
      <c r="H769" s="124"/>
      <c r="I769" s="124"/>
      <c r="J769" s="124"/>
      <c r="K769" s="124"/>
      <c r="L769" s="124"/>
      <c r="M769" s="124"/>
      <c r="N769" s="124"/>
      <c r="O769" s="124"/>
      <c r="P769" s="124"/>
      <c r="Q769" s="130"/>
      <c r="R769" s="124"/>
      <c r="S769" s="124"/>
      <c r="T769" s="124"/>
      <c r="U769" s="124"/>
      <c r="V769" s="17"/>
      <c r="W769" s="312"/>
      <c r="X769" s="124"/>
      <c r="Y769" s="124"/>
      <c r="Z769" s="124"/>
      <c r="AA769" s="124"/>
    </row>
    <row r="770" spans="1:27" ht="16.5">
      <c r="A770" s="124"/>
      <c r="B770" s="124"/>
      <c r="C770" s="124"/>
      <c r="D770" s="124"/>
      <c r="E770" s="124"/>
      <c r="F770" s="124"/>
      <c r="G770" s="124"/>
      <c r="H770" s="124"/>
      <c r="I770" s="124"/>
      <c r="J770" s="124"/>
      <c r="K770" s="124"/>
      <c r="L770" s="124"/>
      <c r="M770" s="124"/>
      <c r="N770" s="124"/>
      <c r="O770" s="124"/>
      <c r="P770" s="124"/>
      <c r="Q770" s="130"/>
      <c r="R770" s="124"/>
      <c r="S770" s="124"/>
      <c r="T770" s="124"/>
      <c r="U770" s="124"/>
      <c r="V770" s="17"/>
      <c r="W770" s="312"/>
      <c r="X770" s="124"/>
      <c r="Y770" s="124"/>
      <c r="Z770" s="124"/>
      <c r="AA770" s="124"/>
    </row>
    <row r="771" spans="1:27" ht="16.5">
      <c r="A771" s="124"/>
      <c r="B771" s="124"/>
      <c r="C771" s="124"/>
      <c r="D771" s="124"/>
      <c r="E771" s="124"/>
      <c r="F771" s="124"/>
      <c r="G771" s="124"/>
      <c r="H771" s="124"/>
      <c r="I771" s="124"/>
      <c r="J771" s="124"/>
      <c r="K771" s="124"/>
      <c r="L771" s="124"/>
      <c r="M771" s="124"/>
      <c r="N771" s="124"/>
      <c r="O771" s="124"/>
      <c r="P771" s="124"/>
      <c r="Q771" s="130"/>
      <c r="R771" s="124"/>
      <c r="S771" s="124"/>
      <c r="T771" s="124"/>
      <c r="U771" s="124"/>
      <c r="V771" s="17"/>
      <c r="W771" s="312"/>
      <c r="X771" s="124"/>
      <c r="Y771" s="124"/>
      <c r="Z771" s="124"/>
      <c r="AA771" s="124"/>
    </row>
    <row r="772" spans="1:27" ht="16.5">
      <c r="A772" s="124"/>
      <c r="B772" s="124"/>
      <c r="C772" s="124"/>
      <c r="D772" s="124"/>
      <c r="E772" s="124"/>
      <c r="F772" s="124"/>
      <c r="G772" s="124"/>
      <c r="H772" s="124"/>
      <c r="I772" s="124"/>
      <c r="J772" s="124"/>
      <c r="K772" s="124"/>
      <c r="L772" s="124"/>
      <c r="M772" s="124"/>
      <c r="N772" s="124"/>
      <c r="O772" s="124"/>
      <c r="P772" s="124"/>
      <c r="Q772" s="130"/>
      <c r="R772" s="124"/>
      <c r="S772" s="124"/>
      <c r="T772" s="124"/>
      <c r="U772" s="124"/>
      <c r="V772" s="17"/>
      <c r="W772" s="312"/>
      <c r="X772" s="124"/>
      <c r="Y772" s="124"/>
      <c r="Z772" s="124"/>
      <c r="AA772" s="124"/>
    </row>
    <row r="773" spans="1:27" ht="16.5">
      <c r="A773" s="124"/>
      <c r="B773" s="124"/>
      <c r="C773" s="124"/>
      <c r="D773" s="124"/>
      <c r="E773" s="124"/>
      <c r="F773" s="124"/>
      <c r="G773" s="124"/>
      <c r="H773" s="124"/>
      <c r="I773" s="124"/>
      <c r="J773" s="124"/>
      <c r="K773" s="124"/>
      <c r="L773" s="124"/>
      <c r="M773" s="124"/>
      <c r="N773" s="124"/>
      <c r="O773" s="124"/>
      <c r="P773" s="124"/>
      <c r="Q773" s="130"/>
      <c r="R773" s="124"/>
      <c r="S773" s="124"/>
      <c r="T773" s="124"/>
      <c r="U773" s="124"/>
      <c r="V773" s="17"/>
      <c r="W773" s="312"/>
      <c r="X773" s="124"/>
      <c r="Y773" s="124"/>
      <c r="Z773" s="124"/>
      <c r="AA773" s="124"/>
    </row>
    <row r="774" spans="1:27" ht="16.5">
      <c r="A774" s="124"/>
      <c r="B774" s="124"/>
      <c r="C774" s="124"/>
      <c r="D774" s="124"/>
      <c r="E774" s="124"/>
      <c r="F774" s="124"/>
      <c r="G774" s="124"/>
      <c r="H774" s="124"/>
      <c r="I774" s="124"/>
      <c r="J774" s="124"/>
      <c r="K774" s="124"/>
      <c r="L774" s="124"/>
      <c r="M774" s="124"/>
      <c r="N774" s="124"/>
      <c r="O774" s="124"/>
      <c r="P774" s="124"/>
      <c r="Q774" s="130"/>
      <c r="R774" s="124"/>
      <c r="S774" s="124"/>
      <c r="T774" s="124"/>
      <c r="U774" s="124"/>
      <c r="V774" s="17"/>
      <c r="W774" s="312"/>
      <c r="X774" s="124"/>
      <c r="Y774" s="124"/>
      <c r="Z774" s="124"/>
      <c r="AA774" s="124"/>
    </row>
    <row r="775" spans="1:27" ht="16.5">
      <c r="A775" s="124"/>
      <c r="B775" s="124"/>
      <c r="C775" s="124"/>
      <c r="D775" s="124"/>
      <c r="E775" s="124"/>
      <c r="F775" s="124"/>
      <c r="G775" s="124"/>
      <c r="H775" s="124"/>
      <c r="I775" s="124"/>
      <c r="J775" s="124"/>
      <c r="K775" s="124"/>
      <c r="L775" s="124"/>
      <c r="M775" s="124"/>
      <c r="N775" s="124"/>
      <c r="O775" s="124"/>
      <c r="P775" s="124"/>
      <c r="Q775" s="130"/>
      <c r="R775" s="124"/>
      <c r="S775" s="124"/>
      <c r="T775" s="124"/>
      <c r="U775" s="124"/>
      <c r="V775" s="17"/>
      <c r="W775" s="312"/>
      <c r="X775" s="124"/>
      <c r="Y775" s="124"/>
      <c r="Z775" s="124"/>
      <c r="AA775" s="124"/>
    </row>
    <row r="776" spans="1:27" ht="16.5">
      <c r="A776" s="124"/>
      <c r="B776" s="124"/>
      <c r="C776" s="124"/>
      <c r="D776" s="124"/>
      <c r="E776" s="124"/>
      <c r="F776" s="124"/>
      <c r="G776" s="124"/>
      <c r="H776" s="124"/>
      <c r="I776" s="124"/>
      <c r="J776" s="124"/>
      <c r="K776" s="124"/>
      <c r="L776" s="124"/>
      <c r="M776" s="124"/>
      <c r="N776" s="124"/>
      <c r="O776" s="124"/>
      <c r="P776" s="124"/>
      <c r="Q776" s="130"/>
      <c r="R776" s="124"/>
      <c r="S776" s="124"/>
      <c r="T776" s="124"/>
      <c r="U776" s="124"/>
      <c r="V776" s="17"/>
      <c r="W776" s="312"/>
      <c r="X776" s="124"/>
      <c r="Y776" s="124"/>
      <c r="Z776" s="124"/>
      <c r="AA776" s="124"/>
    </row>
    <row r="777" spans="1:27" ht="16.5">
      <c r="A777" s="124"/>
      <c r="B777" s="124"/>
      <c r="C777" s="124"/>
      <c r="D777" s="124"/>
      <c r="E777" s="124"/>
      <c r="F777" s="124"/>
      <c r="G777" s="124"/>
      <c r="H777" s="124"/>
      <c r="I777" s="124"/>
      <c r="J777" s="124"/>
      <c r="K777" s="124"/>
      <c r="L777" s="124"/>
      <c r="M777" s="124"/>
      <c r="N777" s="124"/>
      <c r="O777" s="124"/>
      <c r="P777" s="124"/>
      <c r="Q777" s="130"/>
      <c r="R777" s="124"/>
      <c r="S777" s="124"/>
      <c r="T777" s="124"/>
      <c r="U777" s="124"/>
      <c r="V777" s="17"/>
      <c r="W777" s="312"/>
      <c r="X777" s="124"/>
      <c r="Y777" s="124"/>
      <c r="Z777" s="124"/>
      <c r="AA777" s="124"/>
    </row>
    <row r="778" spans="1:27" ht="16.5">
      <c r="A778" s="124"/>
      <c r="B778" s="124"/>
      <c r="C778" s="124"/>
      <c r="D778" s="124"/>
      <c r="E778" s="124"/>
      <c r="F778" s="124"/>
      <c r="G778" s="124"/>
      <c r="H778" s="124"/>
      <c r="I778" s="124"/>
      <c r="J778" s="124"/>
      <c r="K778" s="124"/>
      <c r="L778" s="124"/>
      <c r="M778" s="124"/>
      <c r="N778" s="124"/>
      <c r="O778" s="124"/>
      <c r="P778" s="124"/>
      <c r="Q778" s="130"/>
      <c r="R778" s="124"/>
      <c r="S778" s="124"/>
      <c r="T778" s="124"/>
      <c r="U778" s="124"/>
      <c r="V778" s="17"/>
      <c r="W778" s="312"/>
      <c r="X778" s="124"/>
      <c r="Y778" s="124"/>
      <c r="Z778" s="124"/>
      <c r="AA778" s="124"/>
    </row>
    <row r="779" spans="1:27" ht="16.5">
      <c r="A779" s="124"/>
      <c r="B779" s="124"/>
      <c r="C779" s="124"/>
      <c r="D779" s="124"/>
      <c r="E779" s="124"/>
      <c r="F779" s="124"/>
      <c r="G779" s="124"/>
      <c r="H779" s="124"/>
      <c r="I779" s="124"/>
      <c r="J779" s="124"/>
      <c r="K779" s="124"/>
      <c r="L779" s="124"/>
      <c r="M779" s="124"/>
      <c r="N779" s="124"/>
      <c r="O779" s="124"/>
      <c r="P779" s="124"/>
      <c r="Q779" s="130"/>
      <c r="R779" s="124"/>
      <c r="S779" s="124"/>
      <c r="T779" s="124"/>
      <c r="U779" s="124"/>
      <c r="V779" s="17"/>
      <c r="W779" s="312"/>
      <c r="X779" s="124"/>
      <c r="Y779" s="124"/>
      <c r="Z779" s="124"/>
      <c r="AA779" s="124"/>
    </row>
    <row r="780" spans="1:27" ht="16.5">
      <c r="A780" s="124"/>
      <c r="B780" s="124"/>
      <c r="C780" s="124"/>
      <c r="D780" s="124"/>
      <c r="E780" s="124"/>
      <c r="F780" s="124"/>
      <c r="G780" s="124"/>
      <c r="H780" s="124"/>
      <c r="I780" s="124"/>
      <c r="J780" s="124"/>
      <c r="K780" s="124"/>
      <c r="L780" s="124"/>
      <c r="M780" s="124"/>
      <c r="N780" s="124"/>
      <c r="O780" s="124"/>
      <c r="P780" s="124"/>
      <c r="Q780" s="130"/>
      <c r="R780" s="124"/>
      <c r="S780" s="124"/>
      <c r="T780" s="124"/>
      <c r="U780" s="124"/>
      <c r="V780" s="17"/>
      <c r="W780" s="312"/>
      <c r="X780" s="124"/>
      <c r="Y780" s="124"/>
      <c r="Z780" s="124"/>
      <c r="AA780" s="124"/>
    </row>
    <row r="781" spans="1:27" ht="16.5">
      <c r="A781" s="124"/>
      <c r="B781" s="124"/>
      <c r="C781" s="124"/>
      <c r="D781" s="124"/>
      <c r="E781" s="124"/>
      <c r="F781" s="124"/>
      <c r="G781" s="124"/>
      <c r="H781" s="124"/>
      <c r="I781" s="124"/>
      <c r="J781" s="124"/>
      <c r="K781" s="124"/>
      <c r="L781" s="124"/>
      <c r="M781" s="124"/>
      <c r="N781" s="124"/>
      <c r="O781" s="124"/>
      <c r="P781" s="124"/>
      <c r="Q781" s="130"/>
      <c r="R781" s="124"/>
      <c r="S781" s="124"/>
      <c r="T781" s="124"/>
      <c r="U781" s="124"/>
      <c r="V781" s="17"/>
      <c r="W781" s="312"/>
      <c r="X781" s="124"/>
      <c r="Y781" s="124"/>
      <c r="Z781" s="124"/>
      <c r="AA781" s="124"/>
    </row>
    <row r="782" spans="1:27" ht="16.5">
      <c r="A782" s="124"/>
      <c r="B782" s="124"/>
      <c r="C782" s="124"/>
      <c r="D782" s="124"/>
      <c r="E782" s="124"/>
      <c r="F782" s="124"/>
      <c r="G782" s="124"/>
      <c r="H782" s="124"/>
      <c r="I782" s="124"/>
      <c r="J782" s="124"/>
      <c r="K782" s="124"/>
      <c r="L782" s="124"/>
      <c r="M782" s="124"/>
      <c r="N782" s="124"/>
      <c r="O782" s="124"/>
      <c r="P782" s="124"/>
      <c r="Q782" s="130"/>
      <c r="R782" s="124"/>
      <c r="S782" s="124"/>
      <c r="T782" s="124"/>
      <c r="U782" s="124"/>
      <c r="V782" s="17"/>
      <c r="W782" s="312"/>
      <c r="X782" s="124"/>
      <c r="Y782" s="124"/>
      <c r="Z782" s="124"/>
      <c r="AA782" s="124"/>
    </row>
    <row r="783" spans="1:27" ht="16.5">
      <c r="A783" s="124"/>
      <c r="B783" s="124"/>
      <c r="C783" s="124"/>
      <c r="D783" s="124"/>
      <c r="E783" s="124"/>
      <c r="F783" s="124"/>
      <c r="G783" s="124"/>
      <c r="H783" s="124"/>
      <c r="I783" s="124"/>
      <c r="J783" s="124"/>
      <c r="K783" s="124"/>
      <c r="L783" s="124"/>
      <c r="M783" s="124"/>
      <c r="N783" s="124"/>
      <c r="O783" s="124"/>
      <c r="P783" s="124"/>
      <c r="Q783" s="130"/>
      <c r="R783" s="124"/>
      <c r="S783" s="124"/>
      <c r="T783" s="124"/>
      <c r="U783" s="124"/>
      <c r="V783" s="17"/>
      <c r="W783" s="312"/>
      <c r="X783" s="124"/>
      <c r="Y783" s="124"/>
      <c r="Z783" s="124"/>
      <c r="AA783" s="124"/>
    </row>
    <row r="784" spans="1:27" ht="16.5">
      <c r="A784" s="124"/>
      <c r="B784" s="124"/>
      <c r="C784" s="124"/>
      <c r="D784" s="124"/>
      <c r="E784" s="124"/>
      <c r="F784" s="124"/>
      <c r="G784" s="124"/>
      <c r="H784" s="124"/>
      <c r="I784" s="124"/>
      <c r="J784" s="124"/>
      <c r="K784" s="124"/>
      <c r="L784" s="124"/>
      <c r="M784" s="124"/>
      <c r="N784" s="124"/>
      <c r="O784" s="124"/>
      <c r="P784" s="124"/>
      <c r="Q784" s="130"/>
      <c r="R784" s="124"/>
      <c r="S784" s="124"/>
      <c r="T784" s="124"/>
      <c r="U784" s="124"/>
      <c r="V784" s="17"/>
      <c r="W784" s="312"/>
      <c r="X784" s="124"/>
      <c r="Y784" s="124"/>
      <c r="Z784" s="124"/>
      <c r="AA784" s="124"/>
    </row>
    <row r="785" spans="1:27" ht="16.5">
      <c r="A785" s="124"/>
      <c r="B785" s="124"/>
      <c r="C785" s="124"/>
      <c r="D785" s="124"/>
      <c r="E785" s="124"/>
      <c r="F785" s="124"/>
      <c r="G785" s="124"/>
      <c r="H785" s="124"/>
      <c r="I785" s="124"/>
      <c r="J785" s="124"/>
      <c r="K785" s="124"/>
      <c r="L785" s="124"/>
      <c r="M785" s="124"/>
      <c r="N785" s="124"/>
      <c r="O785" s="124"/>
      <c r="P785" s="124"/>
      <c r="Q785" s="130"/>
      <c r="R785" s="124"/>
      <c r="S785" s="124"/>
      <c r="T785" s="124"/>
      <c r="U785" s="124"/>
      <c r="V785" s="17"/>
      <c r="W785" s="312"/>
      <c r="X785" s="124"/>
      <c r="Y785" s="124"/>
      <c r="Z785" s="124"/>
      <c r="AA785" s="124"/>
    </row>
    <row r="786" spans="1:27" ht="16.5">
      <c r="A786" s="124"/>
      <c r="B786" s="124"/>
      <c r="C786" s="124"/>
      <c r="D786" s="124"/>
      <c r="E786" s="124"/>
      <c r="F786" s="124"/>
      <c r="G786" s="124"/>
      <c r="H786" s="124"/>
      <c r="I786" s="124"/>
      <c r="J786" s="124"/>
      <c r="K786" s="124"/>
      <c r="L786" s="124"/>
      <c r="M786" s="124"/>
      <c r="N786" s="124"/>
      <c r="O786" s="124"/>
      <c r="P786" s="124"/>
      <c r="Q786" s="130"/>
      <c r="R786" s="124"/>
      <c r="S786" s="124"/>
      <c r="T786" s="124"/>
      <c r="U786" s="124"/>
      <c r="V786" s="17"/>
      <c r="W786" s="312"/>
      <c r="X786" s="124"/>
      <c r="Y786" s="124"/>
      <c r="Z786" s="124"/>
      <c r="AA786" s="124"/>
    </row>
    <row r="787" spans="1:27" ht="16.5">
      <c r="A787" s="124"/>
      <c r="B787" s="124"/>
      <c r="C787" s="124"/>
      <c r="D787" s="124"/>
      <c r="E787" s="124"/>
      <c r="F787" s="124"/>
      <c r="G787" s="124"/>
      <c r="H787" s="124"/>
      <c r="I787" s="124"/>
      <c r="J787" s="124"/>
      <c r="K787" s="124"/>
      <c r="L787" s="124"/>
      <c r="M787" s="124"/>
      <c r="N787" s="124"/>
      <c r="O787" s="124"/>
      <c r="P787" s="124"/>
      <c r="Q787" s="130"/>
      <c r="R787" s="124"/>
      <c r="S787" s="124"/>
      <c r="T787" s="124"/>
      <c r="U787" s="124"/>
      <c r="V787" s="17"/>
      <c r="W787" s="312"/>
      <c r="X787" s="124"/>
      <c r="Y787" s="124"/>
      <c r="Z787" s="124"/>
      <c r="AA787" s="124"/>
    </row>
    <row r="788" spans="1:27" ht="16.5">
      <c r="A788" s="124"/>
      <c r="B788" s="124"/>
      <c r="C788" s="124"/>
      <c r="D788" s="124"/>
      <c r="E788" s="124"/>
      <c r="F788" s="124"/>
      <c r="G788" s="124"/>
      <c r="H788" s="124"/>
      <c r="I788" s="124"/>
      <c r="J788" s="124"/>
      <c r="K788" s="124"/>
      <c r="L788" s="124"/>
      <c r="M788" s="124"/>
      <c r="N788" s="124"/>
      <c r="O788" s="124"/>
      <c r="P788" s="124"/>
      <c r="Q788" s="130"/>
      <c r="R788" s="124"/>
      <c r="S788" s="124"/>
      <c r="T788" s="124"/>
      <c r="U788" s="124"/>
      <c r="V788" s="17"/>
      <c r="W788" s="312"/>
      <c r="X788" s="124"/>
      <c r="Y788" s="124"/>
      <c r="Z788" s="124"/>
      <c r="AA788" s="124"/>
    </row>
    <row r="789" spans="1:27" ht="16.5">
      <c r="A789" s="124"/>
      <c r="B789" s="124"/>
      <c r="C789" s="124"/>
      <c r="D789" s="124"/>
      <c r="E789" s="124"/>
      <c r="F789" s="124"/>
      <c r="G789" s="124"/>
      <c r="H789" s="124"/>
      <c r="I789" s="124"/>
      <c r="J789" s="124"/>
      <c r="K789" s="124"/>
      <c r="L789" s="124"/>
      <c r="M789" s="124"/>
      <c r="N789" s="124"/>
      <c r="O789" s="124"/>
      <c r="P789" s="124"/>
      <c r="Q789" s="130"/>
      <c r="R789" s="124"/>
      <c r="S789" s="124"/>
      <c r="T789" s="124"/>
      <c r="U789" s="124"/>
      <c r="V789" s="17"/>
      <c r="W789" s="312"/>
      <c r="X789" s="124"/>
      <c r="Y789" s="124"/>
      <c r="Z789" s="124"/>
      <c r="AA789" s="124"/>
    </row>
    <row r="790" spans="1:27" ht="16.5">
      <c r="A790" s="124"/>
      <c r="B790" s="124"/>
      <c r="C790" s="124"/>
      <c r="D790" s="124"/>
      <c r="E790" s="124"/>
      <c r="F790" s="124"/>
      <c r="G790" s="124"/>
      <c r="H790" s="124"/>
      <c r="I790" s="124"/>
      <c r="J790" s="124"/>
      <c r="K790" s="124"/>
      <c r="L790" s="124"/>
      <c r="M790" s="124"/>
      <c r="N790" s="124"/>
      <c r="O790" s="124"/>
      <c r="P790" s="124"/>
      <c r="Q790" s="130"/>
      <c r="R790" s="124"/>
      <c r="S790" s="124"/>
      <c r="T790" s="124"/>
      <c r="U790" s="124"/>
      <c r="V790" s="17"/>
      <c r="W790" s="312"/>
      <c r="X790" s="124"/>
      <c r="Y790" s="124"/>
      <c r="Z790" s="124"/>
      <c r="AA790" s="124"/>
    </row>
    <row r="791" spans="1:27" ht="16.5">
      <c r="A791" s="124"/>
      <c r="B791" s="124"/>
      <c r="C791" s="124"/>
      <c r="D791" s="124"/>
      <c r="E791" s="124"/>
      <c r="F791" s="124"/>
      <c r="G791" s="124"/>
      <c r="H791" s="124"/>
      <c r="I791" s="124"/>
      <c r="J791" s="124"/>
      <c r="K791" s="124"/>
      <c r="L791" s="124"/>
      <c r="M791" s="124"/>
      <c r="N791" s="124"/>
      <c r="O791" s="124"/>
      <c r="P791" s="124"/>
      <c r="Q791" s="130"/>
      <c r="R791" s="124"/>
      <c r="S791" s="124"/>
      <c r="T791" s="124"/>
      <c r="U791" s="124"/>
      <c r="V791" s="17"/>
      <c r="W791" s="312"/>
      <c r="X791" s="124"/>
      <c r="Y791" s="124"/>
      <c r="Z791" s="124"/>
      <c r="AA791" s="124"/>
    </row>
    <row r="792" spans="1:27" ht="16.5">
      <c r="A792" s="124"/>
      <c r="B792" s="124"/>
      <c r="C792" s="124"/>
      <c r="D792" s="124"/>
      <c r="E792" s="124"/>
      <c r="F792" s="124"/>
      <c r="G792" s="124"/>
      <c r="H792" s="124"/>
      <c r="I792" s="124"/>
      <c r="J792" s="124"/>
      <c r="K792" s="124"/>
      <c r="L792" s="124"/>
      <c r="M792" s="124"/>
      <c r="N792" s="124"/>
      <c r="O792" s="124"/>
      <c r="P792" s="124"/>
      <c r="Q792" s="130"/>
      <c r="R792" s="124"/>
      <c r="S792" s="124"/>
      <c r="T792" s="124"/>
      <c r="U792" s="124"/>
      <c r="V792" s="17"/>
      <c r="W792" s="312"/>
      <c r="X792" s="124"/>
      <c r="Y792" s="124"/>
      <c r="Z792" s="124"/>
      <c r="AA792" s="124"/>
    </row>
    <row r="793" spans="1:27" ht="16.5">
      <c r="A793" s="124"/>
      <c r="B793" s="124"/>
      <c r="C793" s="124"/>
      <c r="D793" s="124"/>
      <c r="E793" s="124"/>
      <c r="F793" s="124"/>
      <c r="G793" s="124"/>
      <c r="H793" s="124"/>
      <c r="I793" s="124"/>
      <c r="J793" s="124"/>
      <c r="K793" s="124"/>
      <c r="L793" s="124"/>
      <c r="M793" s="124"/>
      <c r="N793" s="124"/>
      <c r="O793" s="124"/>
      <c r="P793" s="124"/>
      <c r="Q793" s="130"/>
      <c r="R793" s="124"/>
      <c r="S793" s="124"/>
      <c r="T793" s="124"/>
      <c r="U793" s="124"/>
      <c r="V793" s="17"/>
      <c r="W793" s="312"/>
      <c r="X793" s="124"/>
      <c r="Y793" s="124"/>
      <c r="Z793" s="124"/>
      <c r="AA793" s="124"/>
    </row>
    <row r="794" spans="1:27" ht="16.5">
      <c r="A794" s="124"/>
      <c r="B794" s="124"/>
      <c r="C794" s="124"/>
      <c r="D794" s="124"/>
      <c r="E794" s="124"/>
      <c r="F794" s="124"/>
      <c r="G794" s="124"/>
      <c r="H794" s="124"/>
      <c r="I794" s="124"/>
      <c r="J794" s="124"/>
      <c r="K794" s="124"/>
      <c r="L794" s="124"/>
      <c r="M794" s="124"/>
      <c r="N794" s="124"/>
      <c r="O794" s="124"/>
      <c r="P794" s="124"/>
      <c r="Q794" s="130"/>
      <c r="R794" s="124"/>
      <c r="S794" s="124"/>
      <c r="T794" s="124"/>
      <c r="U794" s="124"/>
      <c r="V794" s="17"/>
      <c r="W794" s="312"/>
      <c r="X794" s="124"/>
      <c r="Y794" s="124"/>
      <c r="Z794" s="124"/>
      <c r="AA794" s="124"/>
    </row>
    <row r="795" spans="1:27" ht="16.5">
      <c r="A795" s="124"/>
      <c r="B795" s="124"/>
      <c r="C795" s="124"/>
      <c r="D795" s="124"/>
      <c r="E795" s="124"/>
      <c r="F795" s="124"/>
      <c r="G795" s="124"/>
      <c r="H795" s="124"/>
      <c r="I795" s="124"/>
      <c r="J795" s="124"/>
      <c r="K795" s="124"/>
      <c r="L795" s="124"/>
      <c r="M795" s="124"/>
      <c r="N795" s="124"/>
      <c r="O795" s="124"/>
      <c r="P795" s="124"/>
      <c r="Q795" s="130"/>
      <c r="R795" s="124"/>
      <c r="S795" s="124"/>
      <c r="T795" s="124"/>
      <c r="U795" s="124"/>
      <c r="V795" s="17"/>
      <c r="W795" s="312"/>
      <c r="X795" s="124"/>
      <c r="Y795" s="124"/>
      <c r="Z795" s="124"/>
      <c r="AA795" s="124"/>
    </row>
    <row r="796" spans="1:27" ht="16.5">
      <c r="A796" s="124"/>
      <c r="B796" s="124"/>
      <c r="C796" s="124"/>
      <c r="D796" s="124"/>
      <c r="E796" s="124"/>
      <c r="F796" s="124"/>
      <c r="G796" s="124"/>
      <c r="H796" s="124"/>
      <c r="I796" s="124"/>
      <c r="J796" s="124"/>
      <c r="K796" s="124"/>
      <c r="L796" s="124"/>
      <c r="M796" s="124"/>
      <c r="N796" s="124"/>
      <c r="O796" s="124"/>
      <c r="P796" s="124"/>
      <c r="Q796" s="130"/>
      <c r="R796" s="124"/>
      <c r="S796" s="124"/>
      <c r="T796" s="124"/>
      <c r="U796" s="124"/>
      <c r="V796" s="17"/>
      <c r="W796" s="312"/>
      <c r="X796" s="124"/>
      <c r="Y796" s="124"/>
      <c r="Z796" s="124"/>
      <c r="AA796" s="124"/>
    </row>
    <row r="797" spans="1:27" ht="16.5">
      <c r="A797" s="124"/>
      <c r="B797" s="124"/>
      <c r="C797" s="124"/>
      <c r="D797" s="124"/>
      <c r="E797" s="124"/>
      <c r="F797" s="124"/>
      <c r="G797" s="124"/>
      <c r="H797" s="124"/>
      <c r="I797" s="124"/>
      <c r="J797" s="124"/>
      <c r="K797" s="124"/>
      <c r="L797" s="124"/>
      <c r="M797" s="124"/>
      <c r="N797" s="124"/>
      <c r="O797" s="124"/>
      <c r="P797" s="124"/>
      <c r="Q797" s="130"/>
      <c r="R797" s="124"/>
      <c r="S797" s="124"/>
      <c r="T797" s="124"/>
      <c r="U797" s="124"/>
      <c r="V797" s="17"/>
      <c r="W797" s="312"/>
      <c r="X797" s="124"/>
      <c r="Y797" s="124"/>
      <c r="Z797" s="124"/>
      <c r="AA797" s="124"/>
    </row>
    <row r="798" spans="1:27" ht="16.5">
      <c r="A798" s="124"/>
      <c r="B798" s="124"/>
      <c r="C798" s="124"/>
      <c r="D798" s="124"/>
      <c r="E798" s="124"/>
      <c r="F798" s="124"/>
      <c r="G798" s="124"/>
      <c r="H798" s="124"/>
      <c r="I798" s="124"/>
      <c r="J798" s="124"/>
      <c r="K798" s="124"/>
      <c r="L798" s="124"/>
      <c r="M798" s="124"/>
      <c r="N798" s="124"/>
      <c r="O798" s="124"/>
      <c r="P798" s="124"/>
      <c r="Q798" s="130"/>
      <c r="R798" s="124"/>
      <c r="S798" s="124"/>
      <c r="T798" s="124"/>
      <c r="U798" s="124"/>
      <c r="V798" s="17"/>
      <c r="W798" s="312"/>
      <c r="X798" s="124"/>
      <c r="Y798" s="124"/>
      <c r="Z798" s="124"/>
      <c r="AA798" s="124"/>
    </row>
    <row r="799" spans="1:27" ht="16.5">
      <c r="A799" s="124"/>
      <c r="B799" s="124"/>
      <c r="C799" s="124"/>
      <c r="D799" s="124"/>
      <c r="E799" s="124"/>
      <c r="F799" s="124"/>
      <c r="G799" s="124"/>
      <c r="H799" s="124"/>
      <c r="I799" s="124"/>
      <c r="J799" s="124"/>
      <c r="K799" s="124"/>
      <c r="L799" s="124"/>
      <c r="M799" s="124"/>
      <c r="N799" s="124"/>
      <c r="O799" s="124"/>
      <c r="P799" s="124"/>
      <c r="Q799" s="130"/>
      <c r="R799" s="124"/>
      <c r="S799" s="124"/>
      <c r="T799" s="124"/>
      <c r="U799" s="124"/>
      <c r="V799" s="17"/>
      <c r="W799" s="312"/>
      <c r="X799" s="124"/>
      <c r="Y799" s="124"/>
      <c r="Z799" s="124"/>
      <c r="AA799" s="124"/>
    </row>
    <row r="800" spans="1:27" ht="16.5">
      <c r="A800" s="124"/>
      <c r="B800" s="124"/>
      <c r="C800" s="124"/>
      <c r="D800" s="124"/>
      <c r="E800" s="124"/>
      <c r="F800" s="124"/>
      <c r="G800" s="124"/>
      <c r="H800" s="124"/>
      <c r="I800" s="124"/>
      <c r="J800" s="124"/>
      <c r="K800" s="124"/>
      <c r="L800" s="124"/>
      <c r="M800" s="124"/>
      <c r="N800" s="124"/>
      <c r="O800" s="124"/>
      <c r="P800" s="124"/>
      <c r="Q800" s="130"/>
      <c r="R800" s="124"/>
      <c r="S800" s="124"/>
      <c r="T800" s="124"/>
      <c r="U800" s="124"/>
      <c r="V800" s="17"/>
      <c r="W800" s="312"/>
      <c r="X800" s="124"/>
      <c r="Y800" s="124"/>
      <c r="Z800" s="124"/>
      <c r="AA800" s="124"/>
    </row>
    <row r="801" spans="1:27" ht="16.5">
      <c r="A801" s="124"/>
      <c r="B801" s="124"/>
      <c r="C801" s="124"/>
      <c r="D801" s="124"/>
      <c r="E801" s="124"/>
      <c r="F801" s="124"/>
      <c r="G801" s="124"/>
      <c r="H801" s="124"/>
      <c r="I801" s="124"/>
      <c r="J801" s="124"/>
      <c r="K801" s="124"/>
      <c r="L801" s="124"/>
      <c r="M801" s="124"/>
      <c r="N801" s="124"/>
      <c r="O801" s="124"/>
      <c r="P801" s="124"/>
      <c r="Q801" s="130"/>
      <c r="R801" s="124"/>
      <c r="S801" s="124"/>
      <c r="T801" s="124"/>
      <c r="U801" s="124"/>
      <c r="V801" s="17"/>
      <c r="W801" s="312"/>
      <c r="X801" s="124"/>
      <c r="Y801" s="124"/>
      <c r="Z801" s="124"/>
      <c r="AA801" s="124"/>
    </row>
    <row r="802" spans="1:27" ht="16.5">
      <c r="A802" s="124"/>
      <c r="B802" s="124"/>
      <c r="C802" s="124"/>
      <c r="D802" s="124"/>
      <c r="E802" s="124"/>
      <c r="F802" s="124"/>
      <c r="G802" s="124"/>
      <c r="H802" s="124"/>
      <c r="I802" s="124"/>
      <c r="J802" s="124"/>
      <c r="K802" s="124"/>
      <c r="L802" s="124"/>
      <c r="M802" s="124"/>
      <c r="N802" s="124"/>
      <c r="O802" s="124"/>
      <c r="P802" s="124"/>
      <c r="Q802" s="130"/>
      <c r="R802" s="124"/>
      <c r="S802" s="124"/>
      <c r="T802" s="124"/>
      <c r="U802" s="124"/>
      <c r="V802" s="17"/>
      <c r="W802" s="312"/>
      <c r="X802" s="124"/>
      <c r="Y802" s="124"/>
      <c r="Z802" s="124"/>
      <c r="AA802" s="124"/>
    </row>
    <row r="803" spans="1:27" ht="16.5">
      <c r="A803" s="124"/>
      <c r="B803" s="124"/>
      <c r="C803" s="124"/>
      <c r="D803" s="124"/>
      <c r="E803" s="124"/>
      <c r="F803" s="124"/>
      <c r="G803" s="124"/>
      <c r="H803" s="124"/>
      <c r="I803" s="124"/>
      <c r="J803" s="124"/>
      <c r="K803" s="124"/>
      <c r="L803" s="124"/>
      <c r="M803" s="124"/>
      <c r="N803" s="124"/>
      <c r="O803" s="124"/>
      <c r="P803" s="124"/>
      <c r="Q803" s="130"/>
      <c r="R803" s="124"/>
      <c r="S803" s="124"/>
      <c r="T803" s="124"/>
      <c r="U803" s="124"/>
      <c r="V803" s="17"/>
      <c r="W803" s="312"/>
      <c r="X803" s="124"/>
      <c r="Y803" s="124"/>
      <c r="Z803" s="124"/>
      <c r="AA803" s="124"/>
    </row>
    <row r="804" spans="1:27" ht="16.5">
      <c r="A804" s="124"/>
      <c r="B804" s="124"/>
      <c r="C804" s="124"/>
      <c r="D804" s="124"/>
      <c r="E804" s="124"/>
      <c r="F804" s="124"/>
      <c r="G804" s="124"/>
      <c r="H804" s="124"/>
      <c r="I804" s="124"/>
      <c r="J804" s="124"/>
      <c r="K804" s="124"/>
      <c r="L804" s="124"/>
      <c r="M804" s="124"/>
      <c r="N804" s="124"/>
      <c r="O804" s="124"/>
      <c r="P804" s="124"/>
      <c r="Q804" s="130"/>
      <c r="R804" s="124"/>
      <c r="S804" s="124"/>
      <c r="T804" s="124"/>
      <c r="U804" s="124"/>
      <c r="V804" s="17"/>
      <c r="W804" s="312"/>
      <c r="X804" s="124"/>
      <c r="Y804" s="124"/>
      <c r="Z804" s="124"/>
      <c r="AA804" s="124"/>
    </row>
    <row r="805" spans="1:27" ht="16.5">
      <c r="A805" s="124"/>
      <c r="B805" s="124"/>
      <c r="C805" s="124"/>
      <c r="D805" s="124"/>
      <c r="E805" s="124"/>
      <c r="F805" s="124"/>
      <c r="G805" s="124"/>
      <c r="H805" s="124"/>
      <c r="I805" s="124"/>
      <c r="J805" s="124"/>
      <c r="K805" s="124"/>
      <c r="L805" s="124"/>
      <c r="M805" s="124"/>
      <c r="N805" s="124"/>
      <c r="O805" s="124"/>
      <c r="P805" s="124"/>
      <c r="Q805" s="130"/>
      <c r="R805" s="124"/>
      <c r="S805" s="124"/>
      <c r="T805" s="124"/>
      <c r="U805" s="124"/>
      <c r="V805" s="17"/>
      <c r="W805" s="312"/>
      <c r="X805" s="124"/>
      <c r="Y805" s="124"/>
      <c r="Z805" s="124"/>
      <c r="AA805" s="124"/>
    </row>
    <row r="806" spans="1:27" ht="16.5">
      <c r="A806" s="124"/>
      <c r="B806" s="124"/>
      <c r="C806" s="124"/>
      <c r="D806" s="124"/>
      <c r="E806" s="124"/>
      <c r="F806" s="124"/>
      <c r="G806" s="124"/>
      <c r="H806" s="124"/>
      <c r="I806" s="124"/>
      <c r="J806" s="124"/>
      <c r="K806" s="124"/>
      <c r="L806" s="124"/>
      <c r="M806" s="124"/>
      <c r="N806" s="124"/>
      <c r="O806" s="124"/>
      <c r="P806" s="124"/>
      <c r="Q806" s="130"/>
      <c r="R806" s="124"/>
      <c r="S806" s="124"/>
      <c r="T806" s="124"/>
      <c r="U806" s="124"/>
      <c r="V806" s="17"/>
      <c r="W806" s="312"/>
      <c r="X806" s="124"/>
      <c r="Y806" s="124"/>
      <c r="Z806" s="124"/>
      <c r="AA806" s="124"/>
    </row>
    <row r="807" spans="1:27" ht="16.5">
      <c r="A807" s="124"/>
      <c r="B807" s="124"/>
      <c r="C807" s="124"/>
      <c r="D807" s="124"/>
      <c r="E807" s="124"/>
      <c r="F807" s="124"/>
      <c r="G807" s="124"/>
      <c r="H807" s="124"/>
      <c r="I807" s="124"/>
      <c r="J807" s="124"/>
      <c r="K807" s="124"/>
      <c r="L807" s="124"/>
      <c r="M807" s="124"/>
      <c r="N807" s="124"/>
      <c r="O807" s="124"/>
      <c r="P807" s="124"/>
      <c r="Q807" s="130"/>
      <c r="R807" s="124"/>
      <c r="S807" s="124"/>
      <c r="T807" s="124"/>
      <c r="U807" s="124"/>
      <c r="V807" s="17"/>
      <c r="W807" s="312"/>
      <c r="X807" s="124"/>
      <c r="Y807" s="124"/>
      <c r="Z807" s="124"/>
      <c r="AA807" s="124"/>
    </row>
    <row r="808" spans="1:27" ht="16.5">
      <c r="A808" s="124"/>
      <c r="B808" s="124"/>
      <c r="C808" s="124"/>
      <c r="D808" s="124"/>
      <c r="E808" s="124"/>
      <c r="F808" s="124"/>
      <c r="G808" s="124"/>
      <c r="H808" s="124"/>
      <c r="I808" s="124"/>
      <c r="J808" s="124"/>
      <c r="K808" s="124"/>
      <c r="L808" s="124"/>
      <c r="M808" s="124"/>
      <c r="N808" s="124"/>
      <c r="O808" s="124"/>
      <c r="P808" s="124"/>
      <c r="Q808" s="130"/>
      <c r="R808" s="124"/>
      <c r="S808" s="124"/>
      <c r="T808" s="124"/>
      <c r="U808" s="124"/>
      <c r="V808" s="17"/>
      <c r="W808" s="312"/>
      <c r="X808" s="124"/>
      <c r="Y808" s="124"/>
      <c r="Z808" s="124"/>
      <c r="AA808" s="124"/>
    </row>
    <row r="809" spans="1:27" ht="16.5">
      <c r="A809" s="124"/>
      <c r="B809" s="124"/>
      <c r="C809" s="124"/>
      <c r="D809" s="124"/>
      <c r="E809" s="124"/>
      <c r="F809" s="124"/>
      <c r="G809" s="124"/>
      <c r="H809" s="124"/>
      <c r="I809" s="124"/>
      <c r="J809" s="124"/>
      <c r="K809" s="124"/>
      <c r="L809" s="124"/>
      <c r="M809" s="124"/>
      <c r="N809" s="124"/>
      <c r="O809" s="124"/>
      <c r="P809" s="124"/>
      <c r="Q809" s="130"/>
      <c r="R809" s="124"/>
      <c r="S809" s="124"/>
      <c r="T809" s="124"/>
      <c r="U809" s="124"/>
      <c r="V809" s="17"/>
      <c r="W809" s="312"/>
      <c r="X809" s="124"/>
      <c r="Y809" s="124"/>
      <c r="Z809" s="124"/>
      <c r="AA809" s="124"/>
    </row>
    <row r="810" spans="1:27" ht="16.5">
      <c r="A810" s="124"/>
      <c r="B810" s="124"/>
      <c r="C810" s="124"/>
      <c r="D810" s="124"/>
      <c r="E810" s="124"/>
      <c r="F810" s="124"/>
      <c r="G810" s="124"/>
      <c r="H810" s="124"/>
      <c r="I810" s="124"/>
      <c r="J810" s="124"/>
      <c r="K810" s="124"/>
      <c r="L810" s="124"/>
      <c r="M810" s="124"/>
      <c r="N810" s="124"/>
      <c r="O810" s="124"/>
      <c r="P810" s="124"/>
      <c r="Q810" s="130"/>
      <c r="R810" s="124"/>
      <c r="S810" s="124"/>
      <c r="T810" s="124"/>
      <c r="U810" s="124"/>
      <c r="V810" s="17"/>
      <c r="W810" s="312"/>
      <c r="X810" s="124"/>
      <c r="Y810" s="124"/>
      <c r="Z810" s="124"/>
      <c r="AA810" s="124"/>
    </row>
    <row r="811" spans="1:27" ht="16.5">
      <c r="A811" s="124"/>
      <c r="B811" s="124"/>
      <c r="C811" s="124"/>
      <c r="D811" s="124"/>
      <c r="E811" s="124"/>
      <c r="F811" s="124"/>
      <c r="G811" s="124"/>
      <c r="H811" s="124"/>
      <c r="I811" s="124"/>
      <c r="J811" s="124"/>
      <c r="K811" s="124"/>
      <c r="L811" s="124"/>
      <c r="M811" s="124"/>
      <c r="N811" s="124"/>
      <c r="O811" s="124"/>
      <c r="P811" s="124"/>
      <c r="Q811" s="130"/>
      <c r="R811" s="124"/>
      <c r="S811" s="124"/>
      <c r="T811" s="124"/>
      <c r="U811" s="124"/>
      <c r="V811" s="17"/>
      <c r="W811" s="312"/>
      <c r="X811" s="124"/>
      <c r="Y811" s="124"/>
      <c r="Z811" s="124"/>
      <c r="AA811" s="124"/>
    </row>
    <row r="812" spans="1:27" ht="16.5">
      <c r="A812" s="124"/>
      <c r="B812" s="124"/>
      <c r="C812" s="124"/>
      <c r="D812" s="124"/>
      <c r="E812" s="124"/>
      <c r="F812" s="124"/>
      <c r="G812" s="124"/>
      <c r="H812" s="124"/>
      <c r="I812" s="124"/>
      <c r="J812" s="124"/>
      <c r="K812" s="124"/>
      <c r="L812" s="124"/>
      <c r="M812" s="124"/>
      <c r="N812" s="124"/>
      <c r="O812" s="124"/>
      <c r="P812" s="124"/>
      <c r="Q812" s="130"/>
      <c r="R812" s="124"/>
      <c r="S812" s="124"/>
      <c r="T812" s="124"/>
      <c r="U812" s="124"/>
      <c r="V812" s="17"/>
      <c r="W812" s="312"/>
      <c r="X812" s="124"/>
      <c r="Y812" s="124"/>
      <c r="Z812" s="124"/>
      <c r="AA812" s="124"/>
    </row>
    <row r="813" spans="1:27" ht="16.5">
      <c r="A813" s="124"/>
      <c r="B813" s="124"/>
      <c r="C813" s="124"/>
      <c r="D813" s="124"/>
      <c r="E813" s="124"/>
      <c r="F813" s="124"/>
      <c r="G813" s="124"/>
      <c r="H813" s="124"/>
      <c r="I813" s="124"/>
      <c r="J813" s="124"/>
      <c r="K813" s="124"/>
      <c r="L813" s="124"/>
      <c r="M813" s="124"/>
      <c r="N813" s="124"/>
      <c r="O813" s="124"/>
      <c r="P813" s="124"/>
      <c r="Q813" s="130"/>
      <c r="R813" s="124"/>
      <c r="S813" s="124"/>
      <c r="T813" s="124"/>
      <c r="U813" s="124"/>
      <c r="V813" s="17"/>
      <c r="W813" s="312"/>
      <c r="X813" s="124"/>
      <c r="Y813" s="124"/>
      <c r="Z813" s="124"/>
      <c r="AA813" s="124"/>
    </row>
    <row r="814" spans="1:27" ht="16.5">
      <c r="A814" s="124"/>
      <c r="B814" s="124"/>
      <c r="C814" s="124"/>
      <c r="D814" s="124"/>
      <c r="E814" s="124"/>
      <c r="F814" s="124"/>
      <c r="G814" s="124"/>
      <c r="H814" s="124"/>
      <c r="I814" s="124"/>
      <c r="J814" s="124"/>
      <c r="K814" s="124"/>
      <c r="L814" s="124"/>
      <c r="M814" s="124"/>
      <c r="N814" s="124"/>
      <c r="O814" s="124"/>
      <c r="P814" s="124"/>
      <c r="Q814" s="130"/>
      <c r="R814" s="124"/>
      <c r="S814" s="124"/>
      <c r="T814" s="124"/>
      <c r="U814" s="124"/>
      <c r="V814" s="17"/>
      <c r="W814" s="312"/>
      <c r="X814" s="124"/>
      <c r="Y814" s="124"/>
      <c r="Z814" s="124"/>
      <c r="AA814" s="124"/>
    </row>
    <row r="815" spans="1:27" ht="16.5">
      <c r="A815" s="124"/>
      <c r="B815" s="124"/>
      <c r="C815" s="124"/>
      <c r="D815" s="124"/>
      <c r="E815" s="124"/>
      <c r="F815" s="124"/>
      <c r="G815" s="124"/>
      <c r="H815" s="124"/>
      <c r="I815" s="124"/>
      <c r="J815" s="124"/>
      <c r="K815" s="124"/>
      <c r="L815" s="124"/>
      <c r="M815" s="124"/>
      <c r="N815" s="124"/>
      <c r="O815" s="124"/>
      <c r="P815" s="124"/>
      <c r="Q815" s="130"/>
      <c r="R815" s="124"/>
      <c r="S815" s="124"/>
      <c r="T815" s="124"/>
      <c r="U815" s="124"/>
      <c r="V815" s="17"/>
      <c r="W815" s="312"/>
      <c r="X815" s="124"/>
      <c r="Y815" s="124"/>
      <c r="Z815" s="124"/>
      <c r="AA815" s="124"/>
    </row>
    <row r="816" spans="1:27" ht="16.5">
      <c r="A816" s="124"/>
      <c r="B816" s="124"/>
      <c r="C816" s="124"/>
      <c r="D816" s="124"/>
      <c r="E816" s="124"/>
      <c r="F816" s="124"/>
      <c r="G816" s="124"/>
      <c r="H816" s="124"/>
      <c r="I816" s="124"/>
      <c r="J816" s="124"/>
      <c r="K816" s="124"/>
      <c r="L816" s="124"/>
      <c r="M816" s="124"/>
      <c r="N816" s="124"/>
      <c r="O816" s="124"/>
      <c r="P816" s="124"/>
      <c r="Q816" s="130"/>
      <c r="R816" s="124"/>
      <c r="S816" s="124"/>
      <c r="T816" s="124"/>
      <c r="U816" s="124"/>
      <c r="V816" s="17"/>
      <c r="W816" s="312"/>
      <c r="X816" s="124"/>
      <c r="Y816" s="124"/>
      <c r="Z816" s="124"/>
      <c r="AA816" s="124"/>
    </row>
    <row r="817" spans="1:27" ht="16.5">
      <c r="A817" s="124"/>
      <c r="B817" s="124"/>
      <c r="C817" s="124"/>
      <c r="D817" s="124"/>
      <c r="E817" s="124"/>
      <c r="F817" s="124"/>
      <c r="G817" s="124"/>
      <c r="H817" s="124"/>
      <c r="I817" s="124"/>
      <c r="J817" s="124"/>
      <c r="K817" s="124"/>
      <c r="L817" s="124"/>
      <c r="M817" s="124"/>
      <c r="N817" s="124"/>
      <c r="O817" s="124"/>
      <c r="P817" s="124"/>
      <c r="Q817" s="130"/>
      <c r="R817" s="124"/>
      <c r="S817" s="124"/>
      <c r="T817" s="124"/>
      <c r="U817" s="124"/>
      <c r="V817" s="17"/>
      <c r="W817" s="312"/>
      <c r="X817" s="124"/>
      <c r="Y817" s="124"/>
      <c r="Z817" s="124"/>
      <c r="AA817" s="124"/>
    </row>
    <row r="818" spans="1:27" ht="16.5">
      <c r="A818" s="124"/>
      <c r="B818" s="124"/>
      <c r="C818" s="124"/>
      <c r="D818" s="124"/>
      <c r="E818" s="124"/>
      <c r="F818" s="124"/>
      <c r="G818" s="124"/>
      <c r="H818" s="124"/>
      <c r="I818" s="124"/>
      <c r="J818" s="124"/>
      <c r="K818" s="124"/>
      <c r="L818" s="124"/>
      <c r="M818" s="124"/>
      <c r="N818" s="124"/>
      <c r="O818" s="124"/>
      <c r="P818" s="124"/>
      <c r="Q818" s="130"/>
      <c r="R818" s="124"/>
      <c r="S818" s="124"/>
      <c r="T818" s="124"/>
      <c r="U818" s="124"/>
      <c r="V818" s="17"/>
      <c r="W818" s="312"/>
      <c r="X818" s="124"/>
      <c r="Y818" s="124"/>
      <c r="Z818" s="124"/>
      <c r="AA818" s="124"/>
    </row>
    <row r="819" spans="1:27" ht="16.5">
      <c r="A819" s="124"/>
      <c r="B819" s="124"/>
      <c r="C819" s="124"/>
      <c r="D819" s="124"/>
      <c r="E819" s="124"/>
      <c r="F819" s="124"/>
      <c r="G819" s="124"/>
      <c r="H819" s="124"/>
      <c r="I819" s="124"/>
      <c r="J819" s="124"/>
      <c r="K819" s="124"/>
      <c r="L819" s="124"/>
      <c r="M819" s="124"/>
      <c r="N819" s="124"/>
      <c r="O819" s="124"/>
      <c r="P819" s="124"/>
      <c r="Q819" s="130"/>
      <c r="R819" s="124"/>
      <c r="S819" s="124"/>
      <c r="T819" s="124"/>
      <c r="U819" s="124"/>
      <c r="V819" s="17"/>
      <c r="W819" s="312"/>
      <c r="X819" s="124"/>
      <c r="Y819" s="124"/>
      <c r="Z819" s="124"/>
      <c r="AA819" s="124"/>
    </row>
    <row r="820" spans="1:27" ht="16.5">
      <c r="A820" s="124"/>
      <c r="B820" s="124"/>
      <c r="C820" s="124"/>
      <c r="D820" s="124"/>
      <c r="E820" s="124"/>
      <c r="F820" s="124"/>
      <c r="G820" s="124"/>
      <c r="H820" s="124"/>
      <c r="I820" s="124"/>
      <c r="J820" s="124"/>
      <c r="K820" s="124"/>
      <c r="L820" s="124"/>
      <c r="M820" s="124"/>
      <c r="N820" s="124"/>
      <c r="O820" s="124"/>
      <c r="P820" s="124"/>
      <c r="Q820" s="130"/>
      <c r="R820" s="124"/>
      <c r="S820" s="124"/>
      <c r="T820" s="124"/>
      <c r="U820" s="124"/>
      <c r="V820" s="17"/>
      <c r="W820" s="312"/>
      <c r="X820" s="124"/>
      <c r="Y820" s="124"/>
      <c r="Z820" s="124"/>
      <c r="AA820" s="124"/>
    </row>
    <row r="821" spans="1:27" ht="16.5">
      <c r="A821" s="124"/>
      <c r="B821" s="124"/>
      <c r="C821" s="124"/>
      <c r="D821" s="124"/>
      <c r="E821" s="124"/>
      <c r="F821" s="124"/>
      <c r="G821" s="124"/>
      <c r="H821" s="124"/>
      <c r="I821" s="124"/>
      <c r="J821" s="124"/>
      <c r="K821" s="124"/>
      <c r="L821" s="124"/>
      <c r="M821" s="124"/>
      <c r="N821" s="124"/>
      <c r="O821" s="124"/>
      <c r="P821" s="124"/>
      <c r="Q821" s="130"/>
      <c r="R821" s="124"/>
      <c r="S821" s="124"/>
      <c r="T821" s="124"/>
      <c r="U821" s="124"/>
      <c r="V821" s="17"/>
      <c r="W821" s="312"/>
      <c r="X821" s="124"/>
      <c r="Y821" s="124"/>
      <c r="Z821" s="124"/>
      <c r="AA821" s="124"/>
    </row>
    <row r="822" spans="1:27" ht="16.5">
      <c r="A822" s="124"/>
      <c r="B822" s="124"/>
      <c r="C822" s="124"/>
      <c r="D822" s="124"/>
      <c r="E822" s="124"/>
      <c r="F822" s="124"/>
      <c r="G822" s="124"/>
      <c r="H822" s="124"/>
      <c r="I822" s="124"/>
      <c r="J822" s="124"/>
      <c r="K822" s="124"/>
      <c r="L822" s="124"/>
      <c r="M822" s="124"/>
      <c r="N822" s="124"/>
      <c r="O822" s="124"/>
      <c r="P822" s="124"/>
      <c r="Q822" s="130"/>
      <c r="R822" s="124"/>
      <c r="S822" s="124"/>
      <c r="T822" s="124"/>
      <c r="U822" s="124"/>
      <c r="V822" s="17"/>
      <c r="W822" s="312"/>
      <c r="X822" s="124"/>
      <c r="Y822" s="124"/>
      <c r="Z822" s="124"/>
      <c r="AA822" s="124"/>
    </row>
    <row r="823" spans="1:27" ht="16.5">
      <c r="A823" s="124"/>
      <c r="B823" s="124"/>
      <c r="C823" s="124"/>
      <c r="D823" s="124"/>
      <c r="E823" s="124"/>
      <c r="F823" s="124"/>
      <c r="G823" s="124"/>
      <c r="H823" s="124"/>
      <c r="I823" s="124"/>
      <c r="J823" s="124"/>
      <c r="K823" s="124"/>
      <c r="L823" s="124"/>
      <c r="M823" s="124"/>
      <c r="N823" s="124"/>
      <c r="O823" s="124"/>
      <c r="P823" s="124"/>
      <c r="Q823" s="130"/>
      <c r="R823" s="124"/>
      <c r="S823" s="124"/>
      <c r="T823" s="124"/>
      <c r="U823" s="124"/>
      <c r="V823" s="17"/>
      <c r="W823" s="312"/>
      <c r="X823" s="124"/>
      <c r="Y823" s="124"/>
      <c r="Z823" s="124"/>
      <c r="AA823" s="124"/>
    </row>
    <row r="824" spans="1:27" ht="16.5">
      <c r="A824" s="124"/>
      <c r="B824" s="124"/>
      <c r="C824" s="124"/>
      <c r="D824" s="124"/>
      <c r="E824" s="124"/>
      <c r="F824" s="124"/>
      <c r="G824" s="124"/>
      <c r="H824" s="124"/>
      <c r="I824" s="124"/>
      <c r="J824" s="124"/>
      <c r="K824" s="124"/>
      <c r="L824" s="124"/>
      <c r="M824" s="124"/>
      <c r="N824" s="124"/>
      <c r="O824" s="124"/>
      <c r="P824" s="124"/>
      <c r="Q824" s="130"/>
      <c r="R824" s="124"/>
      <c r="S824" s="124"/>
      <c r="T824" s="124"/>
      <c r="U824" s="124"/>
      <c r="V824" s="17"/>
      <c r="W824" s="312"/>
      <c r="X824" s="124"/>
      <c r="Y824" s="124"/>
      <c r="Z824" s="124"/>
      <c r="AA824" s="124"/>
    </row>
    <row r="825" spans="1:27" ht="16.5">
      <c r="A825" s="124"/>
      <c r="B825" s="124"/>
      <c r="C825" s="124"/>
      <c r="D825" s="124"/>
      <c r="E825" s="124"/>
      <c r="F825" s="124"/>
      <c r="G825" s="124"/>
      <c r="H825" s="124"/>
      <c r="I825" s="124"/>
      <c r="J825" s="124"/>
      <c r="K825" s="124"/>
      <c r="L825" s="124"/>
      <c r="M825" s="124"/>
      <c r="N825" s="124"/>
      <c r="O825" s="124"/>
      <c r="P825" s="124"/>
      <c r="Q825" s="130"/>
      <c r="R825" s="124"/>
      <c r="S825" s="124"/>
      <c r="T825" s="124"/>
      <c r="U825" s="124"/>
      <c r="V825" s="17"/>
      <c r="W825" s="312"/>
      <c r="X825" s="124"/>
      <c r="Y825" s="124"/>
      <c r="Z825" s="124"/>
      <c r="AA825" s="124"/>
    </row>
    <row r="826" spans="1:27" ht="16.5">
      <c r="A826" s="124"/>
      <c r="B826" s="124"/>
      <c r="C826" s="124"/>
      <c r="D826" s="124"/>
      <c r="E826" s="124"/>
      <c r="F826" s="124"/>
      <c r="G826" s="124"/>
      <c r="H826" s="124"/>
      <c r="I826" s="124"/>
      <c r="J826" s="124"/>
      <c r="K826" s="124"/>
      <c r="L826" s="124"/>
      <c r="M826" s="124"/>
      <c r="N826" s="124"/>
      <c r="O826" s="124"/>
      <c r="P826" s="124"/>
      <c r="Q826" s="130"/>
      <c r="R826" s="124"/>
      <c r="S826" s="124"/>
      <c r="T826" s="124"/>
      <c r="U826" s="124"/>
      <c r="V826" s="17"/>
      <c r="W826" s="312"/>
      <c r="X826" s="124"/>
      <c r="Y826" s="124"/>
      <c r="Z826" s="124"/>
      <c r="AA826" s="124"/>
    </row>
    <row r="827" spans="1:27" ht="16.5">
      <c r="A827" s="124"/>
      <c r="B827" s="124"/>
      <c r="C827" s="124"/>
      <c r="D827" s="124"/>
      <c r="E827" s="124"/>
      <c r="F827" s="124"/>
      <c r="G827" s="124"/>
      <c r="H827" s="124"/>
      <c r="I827" s="124"/>
      <c r="J827" s="124"/>
      <c r="K827" s="124"/>
      <c r="L827" s="124"/>
      <c r="M827" s="124"/>
      <c r="N827" s="124"/>
      <c r="O827" s="124"/>
      <c r="P827" s="124"/>
      <c r="Q827" s="130"/>
      <c r="R827" s="124"/>
      <c r="S827" s="124"/>
      <c r="T827" s="124"/>
      <c r="U827" s="124"/>
      <c r="V827" s="17"/>
      <c r="W827" s="312"/>
      <c r="X827" s="124"/>
      <c r="Y827" s="124"/>
      <c r="Z827" s="124"/>
      <c r="AA827" s="124"/>
    </row>
    <row r="828" spans="1:27" ht="16.5">
      <c r="A828" s="124"/>
      <c r="B828" s="124"/>
      <c r="C828" s="124"/>
      <c r="D828" s="124"/>
      <c r="E828" s="124"/>
      <c r="F828" s="124"/>
      <c r="G828" s="124"/>
      <c r="H828" s="124"/>
      <c r="I828" s="124"/>
      <c r="J828" s="124"/>
      <c r="K828" s="124"/>
      <c r="L828" s="124"/>
      <c r="M828" s="124"/>
      <c r="N828" s="124"/>
      <c r="O828" s="124"/>
      <c r="P828" s="124"/>
      <c r="Q828" s="130"/>
      <c r="R828" s="124"/>
      <c r="S828" s="124"/>
      <c r="T828" s="124"/>
      <c r="U828" s="124"/>
      <c r="V828" s="17"/>
      <c r="W828" s="312"/>
      <c r="X828" s="124"/>
      <c r="Y828" s="124"/>
      <c r="Z828" s="124"/>
      <c r="AA828" s="124"/>
    </row>
    <row r="829" spans="1:27" ht="16.5">
      <c r="A829" s="124"/>
      <c r="B829" s="124"/>
      <c r="C829" s="124"/>
      <c r="D829" s="124"/>
      <c r="E829" s="124"/>
      <c r="F829" s="124"/>
      <c r="G829" s="124"/>
      <c r="H829" s="124"/>
      <c r="I829" s="124"/>
      <c r="J829" s="124"/>
      <c r="K829" s="124"/>
      <c r="L829" s="124"/>
      <c r="M829" s="124"/>
      <c r="N829" s="124"/>
      <c r="O829" s="124"/>
      <c r="P829" s="124"/>
      <c r="Q829" s="130"/>
      <c r="R829" s="124"/>
      <c r="S829" s="124"/>
      <c r="T829" s="124"/>
      <c r="U829" s="124"/>
      <c r="V829" s="17"/>
      <c r="W829" s="312"/>
      <c r="X829" s="124"/>
      <c r="Y829" s="124"/>
      <c r="Z829" s="124"/>
      <c r="AA829" s="124"/>
    </row>
    <row r="830" spans="1:27" ht="16.5">
      <c r="A830" s="124"/>
      <c r="B830" s="124"/>
      <c r="C830" s="124"/>
      <c r="D830" s="124"/>
      <c r="E830" s="124"/>
      <c r="F830" s="124"/>
      <c r="G830" s="124"/>
      <c r="H830" s="124"/>
      <c r="I830" s="124"/>
      <c r="J830" s="124"/>
      <c r="K830" s="124"/>
      <c r="L830" s="124"/>
      <c r="M830" s="124"/>
      <c r="N830" s="124"/>
      <c r="O830" s="124"/>
      <c r="P830" s="124"/>
      <c r="Q830" s="130"/>
      <c r="R830" s="124"/>
      <c r="S830" s="124"/>
      <c r="T830" s="124"/>
      <c r="U830" s="124"/>
      <c r="V830" s="17"/>
      <c r="W830" s="312"/>
      <c r="X830" s="124"/>
      <c r="Y830" s="124"/>
      <c r="Z830" s="124"/>
      <c r="AA830" s="124"/>
    </row>
    <row r="831" spans="1:27" ht="16.5">
      <c r="A831" s="124"/>
      <c r="B831" s="124"/>
      <c r="C831" s="124"/>
      <c r="D831" s="124"/>
      <c r="E831" s="124"/>
      <c r="F831" s="124"/>
      <c r="G831" s="124"/>
      <c r="H831" s="124"/>
      <c r="I831" s="124"/>
      <c r="J831" s="124"/>
      <c r="K831" s="124"/>
      <c r="L831" s="124"/>
      <c r="M831" s="124"/>
      <c r="N831" s="124"/>
      <c r="O831" s="124"/>
      <c r="P831" s="124"/>
      <c r="Q831" s="130"/>
      <c r="R831" s="124"/>
      <c r="S831" s="124"/>
      <c r="T831" s="124"/>
      <c r="U831" s="124"/>
      <c r="V831" s="17"/>
      <c r="W831" s="312"/>
      <c r="X831" s="124"/>
      <c r="Y831" s="124"/>
      <c r="Z831" s="124"/>
      <c r="AA831" s="124"/>
    </row>
    <row r="832" spans="1:27" ht="16.5">
      <c r="A832" s="124"/>
      <c r="B832" s="124"/>
      <c r="C832" s="124"/>
      <c r="D832" s="124"/>
      <c r="E832" s="124"/>
      <c r="F832" s="124"/>
      <c r="G832" s="124"/>
      <c r="H832" s="124"/>
      <c r="I832" s="124"/>
      <c r="J832" s="124"/>
      <c r="K832" s="124"/>
      <c r="L832" s="124"/>
      <c r="M832" s="124"/>
      <c r="N832" s="124"/>
      <c r="O832" s="124"/>
      <c r="P832" s="124"/>
      <c r="Q832" s="130"/>
      <c r="R832" s="124"/>
      <c r="S832" s="124"/>
      <c r="T832" s="124"/>
      <c r="U832" s="124"/>
      <c r="V832" s="17"/>
      <c r="W832" s="312"/>
      <c r="X832" s="124"/>
      <c r="Y832" s="124"/>
      <c r="Z832" s="124"/>
      <c r="AA832" s="124"/>
    </row>
    <row r="833" spans="1:27" ht="16.5">
      <c r="A833" s="124"/>
      <c r="B833" s="124"/>
      <c r="C833" s="124"/>
      <c r="D833" s="124"/>
      <c r="E833" s="124"/>
      <c r="F833" s="124"/>
      <c r="G833" s="124"/>
      <c r="H833" s="124"/>
      <c r="I833" s="124"/>
      <c r="J833" s="124"/>
      <c r="K833" s="124"/>
      <c r="L833" s="124"/>
      <c r="M833" s="124"/>
      <c r="N833" s="124"/>
      <c r="O833" s="124"/>
      <c r="P833" s="124"/>
      <c r="Q833" s="130"/>
      <c r="R833" s="124"/>
      <c r="S833" s="124"/>
      <c r="T833" s="124"/>
      <c r="U833" s="124"/>
      <c r="V833" s="17"/>
      <c r="W833" s="312"/>
      <c r="X833" s="124"/>
      <c r="Y833" s="124"/>
      <c r="Z833" s="124"/>
      <c r="AA833" s="124"/>
    </row>
    <row r="834" spans="1:27" ht="16.5">
      <c r="A834" s="124"/>
      <c r="B834" s="124"/>
      <c r="C834" s="124"/>
      <c r="D834" s="124"/>
      <c r="E834" s="124"/>
      <c r="F834" s="124"/>
      <c r="G834" s="124"/>
      <c r="H834" s="124"/>
      <c r="I834" s="124"/>
      <c r="J834" s="124"/>
      <c r="K834" s="124"/>
      <c r="L834" s="124"/>
      <c r="M834" s="124"/>
      <c r="N834" s="124"/>
      <c r="O834" s="124"/>
      <c r="P834" s="124"/>
      <c r="Q834" s="130"/>
      <c r="R834" s="124"/>
      <c r="S834" s="124"/>
      <c r="T834" s="124"/>
      <c r="U834" s="124"/>
      <c r="V834" s="17"/>
      <c r="W834" s="312"/>
      <c r="X834" s="124"/>
      <c r="Y834" s="124"/>
      <c r="Z834" s="124"/>
      <c r="AA834" s="124"/>
    </row>
    <row r="835" spans="1:27" ht="16.5">
      <c r="A835" s="124"/>
      <c r="B835" s="124"/>
      <c r="C835" s="124"/>
      <c r="D835" s="124"/>
      <c r="E835" s="124"/>
      <c r="F835" s="124"/>
      <c r="G835" s="124"/>
      <c r="H835" s="124"/>
      <c r="I835" s="124"/>
      <c r="J835" s="124"/>
      <c r="K835" s="124"/>
      <c r="L835" s="124"/>
      <c r="M835" s="124"/>
      <c r="N835" s="124"/>
      <c r="O835" s="124"/>
      <c r="P835" s="124"/>
      <c r="Q835" s="130"/>
      <c r="R835" s="124"/>
      <c r="S835" s="124"/>
      <c r="T835" s="124"/>
      <c r="U835" s="124"/>
      <c r="V835" s="17"/>
      <c r="W835" s="312"/>
      <c r="X835" s="124"/>
      <c r="Y835" s="124"/>
      <c r="Z835" s="124"/>
      <c r="AA835" s="124"/>
    </row>
    <row r="836" spans="1:27" ht="16.5">
      <c r="A836" s="124"/>
      <c r="B836" s="124"/>
      <c r="C836" s="124"/>
      <c r="D836" s="124"/>
      <c r="E836" s="124"/>
      <c r="F836" s="124"/>
      <c r="G836" s="124"/>
      <c r="H836" s="124"/>
      <c r="I836" s="124"/>
      <c r="J836" s="124"/>
      <c r="K836" s="124"/>
      <c r="L836" s="124"/>
      <c r="M836" s="124"/>
      <c r="N836" s="124"/>
      <c r="O836" s="124"/>
      <c r="P836" s="124"/>
      <c r="Q836" s="130"/>
      <c r="R836" s="124"/>
      <c r="S836" s="124"/>
      <c r="T836" s="124"/>
      <c r="U836" s="124"/>
      <c r="V836" s="17"/>
      <c r="W836" s="312"/>
      <c r="X836" s="124"/>
      <c r="Y836" s="124"/>
      <c r="Z836" s="124"/>
      <c r="AA836" s="124"/>
    </row>
    <row r="837" spans="1:27" ht="16.5">
      <c r="A837" s="124"/>
      <c r="B837" s="124"/>
      <c r="C837" s="124"/>
      <c r="D837" s="124"/>
      <c r="E837" s="124"/>
      <c r="F837" s="124"/>
      <c r="G837" s="124"/>
      <c r="H837" s="124"/>
      <c r="I837" s="124"/>
      <c r="J837" s="124"/>
      <c r="K837" s="124"/>
      <c r="L837" s="124"/>
      <c r="M837" s="124"/>
      <c r="N837" s="124"/>
      <c r="O837" s="124"/>
      <c r="P837" s="124"/>
      <c r="Q837" s="130"/>
      <c r="R837" s="124"/>
      <c r="S837" s="124"/>
      <c r="T837" s="124"/>
      <c r="U837" s="124"/>
      <c r="V837" s="17"/>
      <c r="W837" s="312"/>
      <c r="X837" s="124"/>
      <c r="Y837" s="124"/>
      <c r="Z837" s="124"/>
      <c r="AA837" s="124"/>
    </row>
    <row r="838" spans="1:27" ht="16.5">
      <c r="A838" s="124"/>
      <c r="B838" s="124"/>
      <c r="C838" s="124"/>
      <c r="D838" s="124"/>
      <c r="E838" s="124"/>
      <c r="F838" s="124"/>
      <c r="G838" s="124"/>
      <c r="H838" s="124"/>
      <c r="I838" s="124"/>
      <c r="J838" s="124"/>
      <c r="K838" s="124"/>
      <c r="L838" s="124"/>
      <c r="M838" s="124"/>
      <c r="N838" s="124"/>
      <c r="O838" s="124"/>
      <c r="P838" s="124"/>
      <c r="Q838" s="130"/>
      <c r="R838" s="124"/>
      <c r="S838" s="124"/>
      <c r="T838" s="124"/>
      <c r="U838" s="124"/>
      <c r="V838" s="17"/>
      <c r="W838" s="312"/>
      <c r="X838" s="124"/>
      <c r="Y838" s="124"/>
      <c r="Z838" s="124"/>
      <c r="AA838" s="124"/>
    </row>
    <row r="839" spans="1:27" ht="16.5">
      <c r="A839" s="124"/>
      <c r="B839" s="124"/>
      <c r="C839" s="124"/>
      <c r="D839" s="124"/>
      <c r="E839" s="124"/>
      <c r="F839" s="124"/>
      <c r="G839" s="124"/>
      <c r="H839" s="124"/>
      <c r="I839" s="124"/>
      <c r="J839" s="124"/>
      <c r="K839" s="124"/>
      <c r="L839" s="124"/>
      <c r="M839" s="124"/>
      <c r="N839" s="124"/>
      <c r="O839" s="124"/>
      <c r="P839" s="124"/>
      <c r="Q839" s="130"/>
      <c r="R839" s="124"/>
      <c r="S839" s="124"/>
      <c r="T839" s="124"/>
      <c r="U839" s="124"/>
      <c r="V839" s="17"/>
      <c r="W839" s="312"/>
      <c r="X839" s="124"/>
      <c r="Y839" s="124"/>
      <c r="Z839" s="124"/>
      <c r="AA839" s="124"/>
    </row>
    <row r="840" spans="1:27" ht="16.5">
      <c r="A840" s="124"/>
      <c r="B840" s="124"/>
      <c r="C840" s="124"/>
      <c r="D840" s="124"/>
      <c r="E840" s="124"/>
      <c r="F840" s="124"/>
      <c r="G840" s="124"/>
      <c r="H840" s="124"/>
      <c r="I840" s="124"/>
      <c r="J840" s="124"/>
      <c r="K840" s="124"/>
      <c r="L840" s="124"/>
      <c r="M840" s="124"/>
      <c r="N840" s="124"/>
      <c r="O840" s="124"/>
      <c r="P840" s="124"/>
      <c r="Q840" s="130"/>
      <c r="R840" s="124"/>
      <c r="S840" s="124"/>
      <c r="T840" s="124"/>
      <c r="U840" s="124"/>
      <c r="V840" s="17"/>
      <c r="W840" s="312"/>
      <c r="X840" s="124"/>
      <c r="Y840" s="124"/>
      <c r="Z840" s="124"/>
      <c r="AA840" s="124"/>
    </row>
    <row r="841" spans="1:27" ht="16.5">
      <c r="A841" s="124"/>
      <c r="B841" s="124"/>
      <c r="C841" s="124"/>
      <c r="D841" s="124"/>
      <c r="E841" s="124"/>
      <c r="F841" s="124"/>
      <c r="G841" s="124"/>
      <c r="H841" s="124"/>
      <c r="I841" s="124"/>
      <c r="J841" s="124"/>
      <c r="K841" s="124"/>
      <c r="L841" s="124"/>
      <c r="M841" s="124"/>
      <c r="N841" s="124"/>
      <c r="O841" s="124"/>
      <c r="P841" s="124"/>
      <c r="Q841" s="130"/>
      <c r="R841" s="124"/>
      <c r="S841" s="124"/>
      <c r="T841" s="124"/>
      <c r="U841" s="124"/>
      <c r="V841" s="17"/>
      <c r="W841" s="312"/>
      <c r="X841" s="124"/>
      <c r="Y841" s="124"/>
      <c r="Z841" s="124"/>
      <c r="AA841" s="124"/>
    </row>
    <row r="842" spans="1:27" ht="16.5">
      <c r="A842" s="124"/>
      <c r="B842" s="124"/>
      <c r="C842" s="124"/>
      <c r="D842" s="124"/>
      <c r="E842" s="124"/>
      <c r="F842" s="124"/>
      <c r="G842" s="124"/>
      <c r="H842" s="124"/>
      <c r="I842" s="124"/>
      <c r="J842" s="124"/>
      <c r="K842" s="124"/>
      <c r="L842" s="124"/>
      <c r="M842" s="124"/>
      <c r="N842" s="124"/>
      <c r="O842" s="124"/>
      <c r="P842" s="124"/>
      <c r="Q842" s="130"/>
      <c r="R842" s="124"/>
      <c r="S842" s="124"/>
      <c r="T842" s="124"/>
      <c r="U842" s="124"/>
      <c r="V842" s="17"/>
      <c r="W842" s="312"/>
      <c r="X842" s="124"/>
      <c r="Y842" s="124"/>
      <c r="Z842" s="124"/>
      <c r="AA842" s="124"/>
    </row>
    <row r="843" spans="1:27" ht="16.5">
      <c r="A843" s="124"/>
      <c r="B843" s="124"/>
      <c r="C843" s="124"/>
      <c r="D843" s="124"/>
      <c r="E843" s="124"/>
      <c r="F843" s="124"/>
      <c r="G843" s="124"/>
      <c r="H843" s="124"/>
      <c r="I843" s="124"/>
      <c r="J843" s="124"/>
      <c r="K843" s="124"/>
      <c r="L843" s="124"/>
      <c r="M843" s="124"/>
      <c r="N843" s="124"/>
      <c r="O843" s="124"/>
      <c r="P843" s="124"/>
      <c r="Q843" s="130"/>
      <c r="R843" s="124"/>
      <c r="S843" s="124"/>
      <c r="T843" s="124"/>
      <c r="U843" s="124"/>
      <c r="V843" s="17"/>
      <c r="W843" s="312"/>
      <c r="X843" s="124"/>
      <c r="Y843" s="124"/>
      <c r="Z843" s="124"/>
      <c r="AA843" s="124"/>
    </row>
    <row r="844" spans="1:27" ht="16.5">
      <c r="A844" s="124"/>
      <c r="B844" s="124"/>
      <c r="C844" s="124"/>
      <c r="D844" s="124"/>
      <c r="E844" s="124"/>
      <c r="F844" s="124"/>
      <c r="G844" s="124"/>
      <c r="H844" s="124"/>
      <c r="I844" s="124"/>
      <c r="J844" s="124"/>
      <c r="K844" s="124"/>
      <c r="L844" s="124"/>
      <c r="M844" s="124"/>
      <c r="N844" s="124"/>
      <c r="O844" s="124"/>
      <c r="P844" s="124"/>
      <c r="Q844" s="130"/>
      <c r="R844" s="124"/>
      <c r="S844" s="124"/>
      <c r="T844" s="124"/>
      <c r="U844" s="124"/>
      <c r="V844" s="17"/>
      <c r="W844" s="312"/>
      <c r="X844" s="124"/>
      <c r="Y844" s="124"/>
      <c r="Z844" s="124"/>
      <c r="AA844" s="124"/>
    </row>
    <row r="845" spans="1:27" ht="16.5">
      <c r="A845" s="124"/>
      <c r="B845" s="124"/>
      <c r="C845" s="124"/>
      <c r="D845" s="124"/>
      <c r="E845" s="124"/>
      <c r="F845" s="124"/>
      <c r="G845" s="124"/>
      <c r="H845" s="124"/>
      <c r="I845" s="124"/>
      <c r="J845" s="124"/>
      <c r="K845" s="124"/>
      <c r="L845" s="124"/>
      <c r="M845" s="124"/>
      <c r="N845" s="124"/>
      <c r="O845" s="124"/>
      <c r="P845" s="124"/>
      <c r="Q845" s="130"/>
      <c r="R845" s="124"/>
      <c r="S845" s="124"/>
      <c r="T845" s="124"/>
      <c r="U845" s="124"/>
      <c r="V845" s="17"/>
      <c r="W845" s="312"/>
      <c r="X845" s="124"/>
      <c r="Y845" s="124"/>
      <c r="Z845" s="124"/>
      <c r="AA845" s="124"/>
    </row>
    <row r="846" spans="1:27" ht="16.5">
      <c r="A846" s="124"/>
      <c r="B846" s="124"/>
      <c r="C846" s="124"/>
      <c r="D846" s="124"/>
      <c r="E846" s="124"/>
      <c r="F846" s="124"/>
      <c r="G846" s="124"/>
      <c r="H846" s="124"/>
      <c r="I846" s="124"/>
      <c r="J846" s="124"/>
      <c r="K846" s="124"/>
      <c r="L846" s="124"/>
      <c r="M846" s="124"/>
      <c r="N846" s="124"/>
      <c r="O846" s="124"/>
      <c r="P846" s="124"/>
      <c r="Q846" s="130"/>
      <c r="R846" s="124"/>
      <c r="S846" s="124"/>
      <c r="T846" s="124"/>
      <c r="U846" s="124"/>
      <c r="V846" s="17"/>
      <c r="W846" s="312"/>
      <c r="X846" s="124"/>
      <c r="Y846" s="124"/>
      <c r="Z846" s="124"/>
      <c r="AA846" s="124"/>
    </row>
    <row r="847" spans="1:27" ht="16.5">
      <c r="A847" s="124"/>
      <c r="B847" s="124"/>
      <c r="C847" s="124"/>
      <c r="D847" s="124"/>
      <c r="E847" s="124"/>
      <c r="F847" s="124"/>
      <c r="G847" s="124"/>
      <c r="H847" s="124"/>
      <c r="I847" s="124"/>
      <c r="J847" s="124"/>
      <c r="K847" s="124"/>
      <c r="L847" s="124"/>
      <c r="M847" s="124"/>
      <c r="N847" s="124"/>
      <c r="O847" s="124"/>
      <c r="P847" s="124"/>
      <c r="Q847" s="130"/>
      <c r="R847" s="124"/>
      <c r="S847" s="124"/>
      <c r="T847" s="124"/>
      <c r="U847" s="124"/>
      <c r="V847" s="17"/>
      <c r="W847" s="312"/>
      <c r="X847" s="124"/>
      <c r="Y847" s="124"/>
      <c r="Z847" s="124"/>
      <c r="AA847" s="124"/>
    </row>
    <row r="848" spans="1:27" ht="16.5">
      <c r="A848" s="124"/>
      <c r="B848" s="124"/>
      <c r="C848" s="124"/>
      <c r="D848" s="124"/>
      <c r="E848" s="124"/>
      <c r="F848" s="124"/>
      <c r="G848" s="124"/>
      <c r="H848" s="124"/>
      <c r="I848" s="124"/>
      <c r="J848" s="124"/>
      <c r="K848" s="124"/>
      <c r="L848" s="124"/>
      <c r="M848" s="124"/>
      <c r="N848" s="124"/>
      <c r="O848" s="124"/>
      <c r="P848" s="124"/>
      <c r="Q848" s="130"/>
      <c r="R848" s="124"/>
      <c r="S848" s="124"/>
      <c r="T848" s="124"/>
      <c r="U848" s="124"/>
      <c r="V848" s="17"/>
      <c r="W848" s="312"/>
      <c r="X848" s="124"/>
      <c r="Y848" s="124"/>
      <c r="Z848" s="124"/>
      <c r="AA848" s="124"/>
    </row>
    <row r="849" spans="1:27" ht="16.5">
      <c r="A849" s="124"/>
      <c r="B849" s="124"/>
      <c r="C849" s="124"/>
      <c r="D849" s="124"/>
      <c r="E849" s="124"/>
      <c r="F849" s="124"/>
      <c r="G849" s="124"/>
      <c r="H849" s="124"/>
      <c r="I849" s="124"/>
      <c r="J849" s="124"/>
      <c r="K849" s="124"/>
      <c r="L849" s="124"/>
      <c r="M849" s="124"/>
      <c r="N849" s="124"/>
      <c r="O849" s="124"/>
      <c r="P849" s="124"/>
      <c r="Q849" s="130"/>
      <c r="R849" s="124"/>
      <c r="S849" s="124"/>
      <c r="T849" s="124"/>
      <c r="U849" s="124"/>
      <c r="V849" s="17"/>
      <c r="W849" s="312"/>
      <c r="X849" s="124"/>
      <c r="Y849" s="124"/>
      <c r="Z849" s="124"/>
      <c r="AA849" s="124"/>
    </row>
    <row r="850" spans="1:27" ht="16.5">
      <c r="A850" s="124"/>
      <c r="B850" s="124"/>
      <c r="C850" s="124"/>
      <c r="D850" s="124"/>
      <c r="E850" s="124"/>
      <c r="F850" s="124"/>
      <c r="G850" s="124"/>
      <c r="H850" s="124"/>
      <c r="I850" s="124"/>
      <c r="J850" s="124"/>
      <c r="K850" s="124"/>
      <c r="L850" s="124"/>
      <c r="M850" s="124"/>
      <c r="N850" s="124"/>
      <c r="O850" s="124"/>
      <c r="P850" s="124"/>
      <c r="Q850" s="130"/>
      <c r="R850" s="124"/>
      <c r="S850" s="124"/>
      <c r="T850" s="124"/>
      <c r="U850" s="124"/>
      <c r="V850" s="17"/>
      <c r="W850" s="312"/>
      <c r="X850" s="124"/>
      <c r="Y850" s="124"/>
      <c r="Z850" s="124"/>
      <c r="AA850" s="124"/>
    </row>
    <row r="851" spans="1:27" ht="16.5">
      <c r="A851" s="124"/>
      <c r="B851" s="124"/>
      <c r="C851" s="124"/>
      <c r="D851" s="124"/>
      <c r="E851" s="124"/>
      <c r="F851" s="124"/>
      <c r="G851" s="124"/>
      <c r="H851" s="124"/>
      <c r="I851" s="124"/>
      <c r="J851" s="124"/>
      <c r="K851" s="124"/>
      <c r="L851" s="124"/>
      <c r="M851" s="124"/>
      <c r="N851" s="124"/>
      <c r="O851" s="124"/>
      <c r="P851" s="124"/>
      <c r="Q851" s="130"/>
      <c r="R851" s="124"/>
      <c r="S851" s="124"/>
      <c r="T851" s="124"/>
      <c r="U851" s="124"/>
      <c r="V851" s="17"/>
      <c r="W851" s="312"/>
      <c r="X851" s="124"/>
      <c r="Y851" s="124"/>
      <c r="Z851" s="124"/>
      <c r="AA851" s="124"/>
    </row>
    <row r="852" spans="1:27" ht="16.5">
      <c r="A852" s="124"/>
      <c r="B852" s="124"/>
      <c r="C852" s="124"/>
      <c r="D852" s="124"/>
      <c r="E852" s="124"/>
      <c r="F852" s="124"/>
      <c r="G852" s="124"/>
      <c r="H852" s="124"/>
      <c r="I852" s="124"/>
      <c r="J852" s="124"/>
      <c r="K852" s="124"/>
      <c r="L852" s="124"/>
      <c r="M852" s="124"/>
      <c r="N852" s="124"/>
      <c r="O852" s="124"/>
      <c r="P852" s="124"/>
      <c r="Q852" s="130"/>
      <c r="R852" s="124"/>
      <c r="S852" s="124"/>
      <c r="T852" s="124"/>
      <c r="U852" s="124"/>
      <c r="V852" s="17"/>
      <c r="W852" s="312"/>
      <c r="X852" s="124"/>
      <c r="Y852" s="124"/>
      <c r="Z852" s="124"/>
      <c r="AA852" s="124"/>
    </row>
    <row r="853" spans="1:27" ht="16.5">
      <c r="A853" s="124"/>
      <c r="B853" s="124"/>
      <c r="C853" s="124"/>
      <c r="D853" s="124"/>
      <c r="E853" s="124"/>
      <c r="F853" s="124"/>
      <c r="G853" s="124"/>
      <c r="H853" s="124"/>
      <c r="I853" s="124"/>
      <c r="J853" s="124"/>
      <c r="K853" s="124"/>
      <c r="L853" s="124"/>
      <c r="M853" s="124"/>
      <c r="N853" s="124"/>
      <c r="O853" s="124"/>
      <c r="P853" s="124"/>
      <c r="Q853" s="130"/>
      <c r="R853" s="124"/>
      <c r="S853" s="124"/>
      <c r="T853" s="124"/>
      <c r="U853" s="124"/>
      <c r="V853" s="17"/>
      <c r="W853" s="312"/>
      <c r="X853" s="124"/>
      <c r="Y853" s="124"/>
      <c r="Z853" s="124"/>
      <c r="AA853" s="124"/>
    </row>
    <row r="854" spans="1:27" ht="16.5">
      <c r="A854" s="124"/>
      <c r="B854" s="124"/>
      <c r="C854" s="124"/>
      <c r="D854" s="124"/>
      <c r="E854" s="124"/>
      <c r="F854" s="124"/>
      <c r="G854" s="124"/>
      <c r="H854" s="124"/>
      <c r="I854" s="124"/>
      <c r="J854" s="124"/>
      <c r="K854" s="124"/>
      <c r="L854" s="124"/>
      <c r="M854" s="124"/>
      <c r="N854" s="124"/>
      <c r="O854" s="124"/>
      <c r="P854" s="124"/>
      <c r="Q854" s="130"/>
      <c r="R854" s="124"/>
      <c r="S854" s="124"/>
      <c r="T854" s="124"/>
      <c r="U854" s="124"/>
      <c r="V854" s="17"/>
      <c r="W854" s="312"/>
      <c r="X854" s="124"/>
      <c r="Y854" s="124"/>
      <c r="Z854" s="124"/>
      <c r="AA854" s="124"/>
    </row>
    <row r="855" spans="1:27" ht="16.5">
      <c r="A855" s="124"/>
      <c r="B855" s="124"/>
      <c r="C855" s="124"/>
      <c r="D855" s="124"/>
      <c r="E855" s="124"/>
      <c r="F855" s="124"/>
      <c r="G855" s="124"/>
      <c r="H855" s="124"/>
      <c r="I855" s="124"/>
      <c r="J855" s="124"/>
      <c r="K855" s="124"/>
      <c r="L855" s="124"/>
      <c r="M855" s="124"/>
      <c r="N855" s="124"/>
      <c r="O855" s="124"/>
      <c r="P855" s="124"/>
      <c r="Q855" s="130"/>
      <c r="R855" s="124"/>
      <c r="S855" s="124"/>
      <c r="T855" s="124"/>
      <c r="U855" s="124"/>
      <c r="V855" s="17"/>
      <c r="W855" s="312"/>
      <c r="X855" s="124"/>
      <c r="Y855" s="124"/>
      <c r="Z855" s="124"/>
      <c r="AA855" s="124"/>
    </row>
    <row r="856" spans="1:27" ht="16.5">
      <c r="A856" s="124"/>
      <c r="B856" s="124"/>
      <c r="C856" s="124"/>
      <c r="D856" s="124"/>
      <c r="E856" s="124"/>
      <c r="F856" s="124"/>
      <c r="G856" s="124"/>
      <c r="H856" s="124"/>
      <c r="I856" s="124"/>
      <c r="J856" s="124"/>
      <c r="K856" s="124"/>
      <c r="L856" s="124"/>
      <c r="M856" s="124"/>
      <c r="N856" s="124"/>
      <c r="O856" s="124"/>
      <c r="P856" s="124"/>
      <c r="Q856" s="130"/>
      <c r="R856" s="124"/>
      <c r="S856" s="124"/>
      <c r="T856" s="124"/>
      <c r="U856" s="124"/>
      <c r="V856" s="17"/>
      <c r="W856" s="312"/>
      <c r="X856" s="124"/>
      <c r="Y856" s="124"/>
      <c r="Z856" s="124"/>
      <c r="AA856" s="124"/>
    </row>
    <row r="857" spans="1:27" ht="16.5">
      <c r="A857" s="124"/>
      <c r="B857" s="124"/>
      <c r="C857" s="124"/>
      <c r="D857" s="124"/>
      <c r="E857" s="124"/>
      <c r="F857" s="124"/>
      <c r="G857" s="124"/>
      <c r="H857" s="124"/>
      <c r="I857" s="124"/>
      <c r="J857" s="124"/>
      <c r="K857" s="124"/>
      <c r="L857" s="124"/>
      <c r="M857" s="124"/>
      <c r="N857" s="124"/>
      <c r="O857" s="124"/>
      <c r="P857" s="124"/>
      <c r="Q857" s="130"/>
      <c r="R857" s="124"/>
      <c r="S857" s="124"/>
      <c r="T857" s="124"/>
      <c r="U857" s="124"/>
      <c r="V857" s="17"/>
      <c r="W857" s="312"/>
      <c r="X857" s="124"/>
      <c r="Y857" s="124"/>
      <c r="Z857" s="124"/>
      <c r="AA857" s="124"/>
    </row>
    <row r="858" spans="1:27" ht="16.5">
      <c r="A858" s="124"/>
      <c r="B858" s="124"/>
      <c r="C858" s="124"/>
      <c r="D858" s="124"/>
      <c r="E858" s="124"/>
      <c r="F858" s="124"/>
      <c r="G858" s="124"/>
      <c r="H858" s="124"/>
      <c r="I858" s="124"/>
      <c r="J858" s="124"/>
      <c r="K858" s="124"/>
      <c r="L858" s="124"/>
      <c r="M858" s="124"/>
      <c r="N858" s="124"/>
      <c r="O858" s="124"/>
      <c r="P858" s="124"/>
      <c r="Q858" s="130"/>
      <c r="R858" s="124"/>
      <c r="S858" s="124"/>
      <c r="T858" s="124"/>
      <c r="U858" s="124"/>
      <c r="V858" s="17"/>
      <c r="W858" s="312"/>
      <c r="X858" s="124"/>
      <c r="Y858" s="124"/>
      <c r="Z858" s="124"/>
      <c r="AA858" s="124"/>
    </row>
    <row r="859" spans="1:27" ht="16.5">
      <c r="A859" s="124"/>
      <c r="B859" s="124"/>
      <c r="C859" s="124"/>
      <c r="D859" s="124"/>
      <c r="E859" s="124"/>
      <c r="F859" s="124"/>
      <c r="G859" s="124"/>
      <c r="H859" s="124"/>
      <c r="I859" s="124"/>
      <c r="J859" s="124"/>
      <c r="K859" s="124"/>
      <c r="L859" s="124"/>
      <c r="M859" s="124"/>
      <c r="N859" s="124"/>
      <c r="O859" s="124"/>
      <c r="P859" s="124"/>
      <c r="Q859" s="130"/>
      <c r="R859" s="124"/>
      <c r="S859" s="124"/>
      <c r="T859" s="124"/>
      <c r="U859" s="124"/>
      <c r="V859" s="17"/>
      <c r="W859" s="312"/>
      <c r="X859" s="124"/>
      <c r="Y859" s="124"/>
      <c r="Z859" s="124"/>
      <c r="AA859" s="124"/>
    </row>
    <row r="860" spans="1:27" ht="16.5">
      <c r="A860" s="124"/>
      <c r="B860" s="124"/>
      <c r="C860" s="124"/>
      <c r="D860" s="124"/>
      <c r="E860" s="124"/>
      <c r="F860" s="124"/>
      <c r="G860" s="124"/>
      <c r="H860" s="124"/>
      <c r="I860" s="124"/>
      <c r="J860" s="124"/>
      <c r="K860" s="124"/>
      <c r="L860" s="124"/>
      <c r="M860" s="124"/>
      <c r="N860" s="124"/>
      <c r="O860" s="124"/>
      <c r="P860" s="124"/>
      <c r="Q860" s="130"/>
      <c r="R860" s="124"/>
      <c r="S860" s="124"/>
      <c r="T860" s="124"/>
      <c r="U860" s="124"/>
      <c r="V860" s="17"/>
      <c r="W860" s="312"/>
      <c r="X860" s="124"/>
      <c r="Y860" s="124"/>
      <c r="Z860" s="124"/>
      <c r="AA860" s="124"/>
    </row>
    <row r="861" spans="1:27" ht="16.5">
      <c r="A861" s="124"/>
      <c r="B861" s="124"/>
      <c r="C861" s="124"/>
      <c r="D861" s="124"/>
      <c r="E861" s="124"/>
      <c r="F861" s="124"/>
      <c r="G861" s="124"/>
      <c r="H861" s="124"/>
      <c r="I861" s="124"/>
      <c r="J861" s="124"/>
      <c r="K861" s="124"/>
      <c r="L861" s="124"/>
      <c r="M861" s="124"/>
      <c r="N861" s="124"/>
      <c r="O861" s="124"/>
      <c r="P861" s="124"/>
      <c r="Q861" s="130"/>
      <c r="R861" s="124"/>
      <c r="S861" s="124"/>
      <c r="T861" s="124"/>
      <c r="U861" s="124"/>
      <c r="V861" s="17"/>
      <c r="W861" s="312"/>
      <c r="X861" s="124"/>
      <c r="Y861" s="124"/>
      <c r="Z861" s="124"/>
      <c r="AA861" s="124"/>
    </row>
    <row r="862" spans="1:27" ht="16.5">
      <c r="A862" s="124"/>
      <c r="B862" s="124"/>
      <c r="C862" s="124"/>
      <c r="D862" s="124"/>
      <c r="E862" s="124"/>
      <c r="F862" s="124"/>
      <c r="G862" s="124"/>
      <c r="H862" s="124"/>
      <c r="I862" s="124"/>
      <c r="J862" s="124"/>
      <c r="K862" s="124"/>
      <c r="L862" s="124"/>
      <c r="M862" s="124"/>
      <c r="N862" s="124"/>
      <c r="O862" s="124"/>
      <c r="P862" s="124"/>
      <c r="Q862" s="130"/>
      <c r="R862" s="124"/>
      <c r="S862" s="124"/>
      <c r="T862" s="124"/>
      <c r="U862" s="124"/>
      <c r="V862" s="17"/>
      <c r="W862" s="312"/>
      <c r="X862" s="124"/>
      <c r="Y862" s="124"/>
      <c r="Z862" s="124"/>
      <c r="AA862" s="124"/>
    </row>
    <row r="863" spans="1:27" ht="16.5">
      <c r="A863" s="124"/>
      <c r="B863" s="124"/>
      <c r="C863" s="124"/>
      <c r="D863" s="124"/>
      <c r="E863" s="124"/>
      <c r="F863" s="124"/>
      <c r="G863" s="124"/>
      <c r="H863" s="124"/>
      <c r="I863" s="124"/>
      <c r="J863" s="124"/>
      <c r="K863" s="124"/>
      <c r="L863" s="124"/>
      <c r="M863" s="124"/>
      <c r="N863" s="124"/>
      <c r="O863" s="124"/>
      <c r="P863" s="124"/>
      <c r="Q863" s="130"/>
      <c r="R863" s="124"/>
      <c r="S863" s="124"/>
      <c r="T863" s="124"/>
      <c r="U863" s="124"/>
      <c r="V863" s="17"/>
      <c r="W863" s="312"/>
      <c r="X863" s="124"/>
      <c r="Y863" s="124"/>
      <c r="Z863" s="124"/>
      <c r="AA863" s="124"/>
    </row>
    <row r="864" spans="1:27" ht="16.5">
      <c r="A864" s="124"/>
      <c r="B864" s="124"/>
      <c r="C864" s="124"/>
      <c r="D864" s="124"/>
      <c r="E864" s="124"/>
      <c r="F864" s="124"/>
      <c r="G864" s="124"/>
      <c r="H864" s="124"/>
      <c r="I864" s="124"/>
      <c r="J864" s="124"/>
      <c r="K864" s="124"/>
      <c r="L864" s="124"/>
      <c r="M864" s="124"/>
      <c r="N864" s="124"/>
      <c r="O864" s="124"/>
      <c r="P864" s="124"/>
      <c r="Q864" s="130"/>
      <c r="R864" s="124"/>
      <c r="S864" s="124"/>
      <c r="T864" s="124"/>
      <c r="U864" s="124"/>
      <c r="V864" s="17"/>
      <c r="W864" s="312"/>
      <c r="X864" s="124"/>
      <c r="Y864" s="124"/>
      <c r="Z864" s="124"/>
      <c r="AA864" s="124"/>
    </row>
    <row r="865" spans="1:27" ht="16.5">
      <c r="A865" s="124"/>
      <c r="B865" s="124"/>
      <c r="C865" s="124"/>
      <c r="D865" s="124"/>
      <c r="E865" s="124"/>
      <c r="F865" s="124"/>
      <c r="G865" s="124"/>
      <c r="H865" s="124"/>
      <c r="I865" s="124"/>
      <c r="J865" s="124"/>
      <c r="K865" s="124"/>
      <c r="L865" s="124"/>
      <c r="M865" s="124"/>
      <c r="N865" s="124"/>
      <c r="O865" s="124"/>
      <c r="P865" s="124"/>
      <c r="Q865" s="130"/>
      <c r="R865" s="124"/>
      <c r="S865" s="124"/>
      <c r="T865" s="124"/>
      <c r="U865" s="124"/>
      <c r="V865" s="17"/>
      <c r="W865" s="312"/>
      <c r="X865" s="124"/>
      <c r="Y865" s="124"/>
      <c r="Z865" s="124"/>
      <c r="AA865" s="124"/>
    </row>
    <row r="866" spans="1:27" ht="16.5">
      <c r="A866" s="124"/>
      <c r="B866" s="124"/>
      <c r="C866" s="124"/>
      <c r="D866" s="124"/>
      <c r="E866" s="124"/>
      <c r="F866" s="124"/>
      <c r="G866" s="124"/>
      <c r="H866" s="124"/>
      <c r="I866" s="124"/>
      <c r="J866" s="124"/>
      <c r="K866" s="124"/>
      <c r="L866" s="124"/>
      <c r="M866" s="124"/>
      <c r="N866" s="124"/>
      <c r="O866" s="124"/>
      <c r="P866" s="124"/>
      <c r="Q866" s="130"/>
      <c r="R866" s="124"/>
      <c r="S866" s="124"/>
      <c r="T866" s="124"/>
      <c r="U866" s="124"/>
      <c r="V866" s="17"/>
      <c r="W866" s="312"/>
      <c r="X866" s="124"/>
      <c r="Y866" s="124"/>
      <c r="Z866" s="124"/>
      <c r="AA866" s="124"/>
    </row>
    <row r="867" spans="1:27" ht="16.5">
      <c r="A867" s="124"/>
      <c r="B867" s="124"/>
      <c r="C867" s="124"/>
      <c r="D867" s="124"/>
      <c r="E867" s="124"/>
      <c r="F867" s="124"/>
      <c r="G867" s="124"/>
      <c r="H867" s="124"/>
      <c r="I867" s="124"/>
      <c r="J867" s="124"/>
      <c r="K867" s="124"/>
      <c r="L867" s="124"/>
      <c r="M867" s="124"/>
      <c r="N867" s="124"/>
      <c r="O867" s="124"/>
      <c r="P867" s="124"/>
      <c r="Q867" s="130"/>
      <c r="R867" s="124"/>
      <c r="S867" s="124"/>
      <c r="T867" s="124"/>
      <c r="U867" s="124"/>
      <c r="V867" s="17"/>
      <c r="W867" s="312"/>
      <c r="X867" s="124"/>
      <c r="Y867" s="124"/>
      <c r="Z867" s="124"/>
      <c r="AA867" s="124"/>
    </row>
    <row r="868" spans="1:27" ht="16.5">
      <c r="A868" s="124"/>
      <c r="B868" s="124"/>
      <c r="C868" s="124"/>
      <c r="D868" s="124"/>
      <c r="E868" s="124"/>
      <c r="F868" s="124"/>
      <c r="G868" s="124"/>
      <c r="H868" s="124"/>
      <c r="I868" s="124"/>
      <c r="J868" s="124"/>
      <c r="K868" s="124"/>
      <c r="L868" s="124"/>
      <c r="M868" s="124"/>
      <c r="N868" s="124"/>
      <c r="O868" s="124"/>
      <c r="P868" s="124"/>
      <c r="Q868" s="130"/>
      <c r="R868" s="124"/>
      <c r="S868" s="124"/>
      <c r="T868" s="124"/>
      <c r="U868" s="124"/>
      <c r="V868" s="17"/>
      <c r="W868" s="312"/>
      <c r="X868" s="124"/>
      <c r="Y868" s="124"/>
      <c r="Z868" s="124"/>
      <c r="AA868" s="124"/>
    </row>
    <row r="869" spans="1:27" ht="16.5">
      <c r="A869" s="124"/>
      <c r="B869" s="124"/>
      <c r="C869" s="124"/>
      <c r="D869" s="124"/>
      <c r="E869" s="124"/>
      <c r="F869" s="124"/>
      <c r="G869" s="124"/>
      <c r="H869" s="124"/>
      <c r="I869" s="124"/>
      <c r="J869" s="124"/>
      <c r="K869" s="124"/>
      <c r="L869" s="124"/>
      <c r="M869" s="124"/>
      <c r="N869" s="124"/>
      <c r="O869" s="124"/>
      <c r="P869" s="124"/>
      <c r="Q869" s="130"/>
      <c r="R869" s="124"/>
      <c r="S869" s="124"/>
      <c r="T869" s="124"/>
      <c r="U869" s="124"/>
      <c r="V869" s="17"/>
      <c r="W869" s="312"/>
      <c r="X869" s="124"/>
      <c r="Y869" s="124"/>
      <c r="Z869" s="124"/>
      <c r="AA869" s="124"/>
    </row>
    <row r="870" spans="1:27" ht="16.5">
      <c r="A870" s="124"/>
      <c r="B870" s="124"/>
      <c r="C870" s="124"/>
      <c r="D870" s="124"/>
      <c r="E870" s="124"/>
      <c r="F870" s="124"/>
      <c r="G870" s="124"/>
      <c r="H870" s="124"/>
      <c r="I870" s="124"/>
      <c r="J870" s="124"/>
      <c r="K870" s="124"/>
      <c r="L870" s="124"/>
      <c r="M870" s="124"/>
      <c r="N870" s="124"/>
      <c r="O870" s="124"/>
      <c r="P870" s="124"/>
      <c r="Q870" s="130"/>
      <c r="R870" s="124"/>
      <c r="S870" s="124"/>
      <c r="T870" s="124"/>
      <c r="U870" s="124"/>
      <c r="V870" s="17"/>
      <c r="W870" s="312"/>
      <c r="X870" s="124"/>
      <c r="Y870" s="124"/>
      <c r="Z870" s="124"/>
      <c r="AA870" s="124"/>
    </row>
    <row r="871" spans="1:27" ht="16.5">
      <c r="A871" s="124"/>
      <c r="B871" s="124"/>
      <c r="C871" s="124"/>
      <c r="D871" s="124"/>
      <c r="E871" s="124"/>
      <c r="F871" s="124"/>
      <c r="G871" s="124"/>
      <c r="H871" s="124"/>
      <c r="I871" s="124"/>
      <c r="J871" s="124"/>
      <c r="K871" s="124"/>
      <c r="L871" s="124"/>
      <c r="M871" s="124"/>
      <c r="N871" s="124"/>
      <c r="O871" s="124"/>
      <c r="P871" s="124"/>
      <c r="Q871" s="130"/>
      <c r="R871" s="124"/>
      <c r="S871" s="124"/>
      <c r="T871" s="124"/>
      <c r="U871" s="124"/>
      <c r="V871" s="17"/>
      <c r="W871" s="312"/>
      <c r="X871" s="124"/>
      <c r="Y871" s="124"/>
      <c r="Z871" s="124"/>
      <c r="AA871" s="124"/>
    </row>
    <row r="872" spans="1:27" ht="16.5">
      <c r="A872" s="124"/>
      <c r="B872" s="124"/>
      <c r="C872" s="124"/>
      <c r="D872" s="124"/>
      <c r="E872" s="124"/>
      <c r="F872" s="124"/>
      <c r="G872" s="124"/>
      <c r="H872" s="124"/>
      <c r="I872" s="124"/>
      <c r="J872" s="124"/>
      <c r="K872" s="124"/>
      <c r="L872" s="124"/>
      <c r="M872" s="124"/>
      <c r="N872" s="124"/>
      <c r="O872" s="124"/>
      <c r="P872" s="124"/>
      <c r="Q872" s="130"/>
      <c r="R872" s="124"/>
      <c r="S872" s="124"/>
      <c r="T872" s="124"/>
      <c r="U872" s="124"/>
      <c r="V872" s="17"/>
      <c r="W872" s="312"/>
      <c r="X872" s="124"/>
      <c r="Y872" s="124"/>
      <c r="Z872" s="124"/>
      <c r="AA872" s="124"/>
    </row>
    <row r="873" spans="1:27" ht="16.5">
      <c r="A873" s="124"/>
      <c r="B873" s="124"/>
      <c r="C873" s="124"/>
      <c r="D873" s="124"/>
      <c r="E873" s="124"/>
      <c r="F873" s="124"/>
      <c r="G873" s="124"/>
      <c r="H873" s="124"/>
      <c r="I873" s="124"/>
      <c r="J873" s="124"/>
      <c r="K873" s="124"/>
      <c r="L873" s="124"/>
      <c r="M873" s="124"/>
      <c r="N873" s="124"/>
      <c r="O873" s="124"/>
      <c r="P873" s="124"/>
      <c r="Q873" s="130"/>
      <c r="R873" s="124"/>
      <c r="S873" s="124"/>
      <c r="T873" s="124"/>
      <c r="U873" s="124"/>
      <c r="V873" s="17"/>
      <c r="W873" s="312"/>
      <c r="X873" s="124"/>
      <c r="Y873" s="124"/>
      <c r="Z873" s="124"/>
      <c r="AA873" s="124"/>
    </row>
    <row r="874" spans="1:27" ht="16.5">
      <c r="A874" s="124"/>
      <c r="B874" s="124"/>
      <c r="C874" s="124"/>
      <c r="D874" s="124"/>
      <c r="E874" s="124"/>
      <c r="F874" s="124"/>
      <c r="G874" s="124"/>
      <c r="H874" s="124"/>
      <c r="I874" s="124"/>
      <c r="J874" s="124"/>
      <c r="K874" s="124"/>
      <c r="L874" s="124"/>
      <c r="M874" s="124"/>
      <c r="N874" s="124"/>
      <c r="O874" s="124"/>
      <c r="P874" s="124"/>
      <c r="Q874" s="130"/>
      <c r="R874" s="124"/>
      <c r="S874" s="124"/>
      <c r="T874" s="124"/>
      <c r="U874" s="124"/>
      <c r="V874" s="17"/>
      <c r="W874" s="312"/>
      <c r="X874" s="124"/>
      <c r="Y874" s="124"/>
      <c r="Z874" s="124"/>
      <c r="AA874" s="124"/>
    </row>
    <row r="875" spans="1:27" ht="16.5">
      <c r="A875" s="124"/>
      <c r="B875" s="124"/>
      <c r="C875" s="124"/>
      <c r="D875" s="124"/>
      <c r="E875" s="124"/>
      <c r="F875" s="124"/>
      <c r="G875" s="124"/>
      <c r="H875" s="124"/>
      <c r="I875" s="124"/>
      <c r="J875" s="124"/>
      <c r="K875" s="124"/>
      <c r="L875" s="124"/>
      <c r="M875" s="124"/>
      <c r="N875" s="124"/>
      <c r="O875" s="124"/>
      <c r="P875" s="124"/>
      <c r="Q875" s="130"/>
      <c r="R875" s="124"/>
      <c r="S875" s="124"/>
      <c r="T875" s="124"/>
      <c r="U875" s="124"/>
      <c r="V875" s="17"/>
      <c r="W875" s="312"/>
      <c r="X875" s="124"/>
      <c r="Y875" s="124"/>
      <c r="Z875" s="124"/>
      <c r="AA875" s="124"/>
    </row>
    <row r="876" spans="1:27" ht="16.5">
      <c r="A876" s="124"/>
      <c r="B876" s="124"/>
      <c r="C876" s="124"/>
      <c r="D876" s="124"/>
      <c r="E876" s="124"/>
      <c r="F876" s="124"/>
      <c r="G876" s="124"/>
      <c r="H876" s="124"/>
      <c r="I876" s="124"/>
      <c r="J876" s="124"/>
      <c r="K876" s="124"/>
      <c r="L876" s="124"/>
      <c r="M876" s="124"/>
      <c r="N876" s="124"/>
      <c r="O876" s="124"/>
      <c r="P876" s="124"/>
      <c r="Q876" s="130"/>
      <c r="R876" s="124"/>
      <c r="S876" s="124"/>
      <c r="T876" s="124"/>
      <c r="U876" s="124"/>
      <c r="V876" s="17"/>
      <c r="W876" s="312"/>
      <c r="X876" s="124"/>
      <c r="Y876" s="124"/>
      <c r="Z876" s="124"/>
      <c r="AA876" s="124"/>
    </row>
    <row r="877" spans="1:27" ht="16.5">
      <c r="A877" s="124"/>
      <c r="B877" s="124"/>
      <c r="C877" s="124"/>
      <c r="D877" s="124"/>
      <c r="E877" s="124"/>
      <c r="F877" s="124"/>
      <c r="G877" s="124"/>
      <c r="H877" s="124"/>
      <c r="I877" s="124"/>
      <c r="J877" s="124"/>
      <c r="K877" s="124"/>
      <c r="L877" s="124"/>
      <c r="M877" s="124"/>
      <c r="N877" s="124"/>
      <c r="O877" s="124"/>
      <c r="P877" s="124"/>
      <c r="Q877" s="130"/>
      <c r="R877" s="124"/>
      <c r="S877" s="124"/>
      <c r="T877" s="124"/>
      <c r="U877" s="124"/>
      <c r="V877" s="17"/>
      <c r="W877" s="312"/>
      <c r="X877" s="124"/>
      <c r="Y877" s="124"/>
      <c r="Z877" s="124"/>
      <c r="AA877" s="124"/>
    </row>
    <row r="878" spans="1:27" ht="16.5">
      <c r="A878" s="124"/>
      <c r="B878" s="124"/>
      <c r="C878" s="124"/>
      <c r="D878" s="124"/>
      <c r="E878" s="124"/>
      <c r="F878" s="124"/>
      <c r="G878" s="124"/>
      <c r="H878" s="124"/>
      <c r="I878" s="124"/>
      <c r="J878" s="124"/>
      <c r="K878" s="124"/>
      <c r="L878" s="124"/>
      <c r="M878" s="124"/>
      <c r="N878" s="124"/>
      <c r="O878" s="124"/>
      <c r="P878" s="124"/>
      <c r="Q878" s="130"/>
      <c r="R878" s="124"/>
      <c r="S878" s="124"/>
      <c r="T878" s="124"/>
      <c r="U878" s="124"/>
      <c r="V878" s="17"/>
      <c r="W878" s="312"/>
      <c r="X878" s="124"/>
      <c r="Y878" s="124"/>
      <c r="Z878" s="124"/>
      <c r="AA878" s="124"/>
    </row>
    <row r="879" spans="1:27" ht="16.5">
      <c r="A879" s="124"/>
      <c r="B879" s="124"/>
      <c r="C879" s="124"/>
      <c r="D879" s="124"/>
      <c r="E879" s="124"/>
      <c r="F879" s="124"/>
      <c r="G879" s="124"/>
      <c r="H879" s="124"/>
      <c r="I879" s="124"/>
      <c r="J879" s="124"/>
      <c r="K879" s="124"/>
      <c r="L879" s="124"/>
      <c r="M879" s="124"/>
      <c r="N879" s="124"/>
      <c r="O879" s="124"/>
      <c r="P879" s="124"/>
      <c r="Q879" s="130"/>
      <c r="R879" s="124"/>
      <c r="S879" s="124"/>
      <c r="T879" s="124"/>
      <c r="U879" s="124"/>
      <c r="V879" s="17"/>
      <c r="W879" s="312"/>
      <c r="X879" s="124"/>
      <c r="Y879" s="124"/>
      <c r="Z879" s="124"/>
      <c r="AA879" s="124"/>
    </row>
    <row r="880" spans="1:27" ht="16.5">
      <c r="A880" s="124"/>
      <c r="B880" s="124"/>
      <c r="C880" s="124"/>
      <c r="D880" s="124"/>
      <c r="E880" s="124"/>
      <c r="F880" s="124"/>
      <c r="G880" s="124"/>
      <c r="H880" s="124"/>
      <c r="I880" s="124"/>
      <c r="J880" s="124"/>
      <c r="K880" s="124"/>
      <c r="L880" s="124"/>
      <c r="M880" s="124"/>
      <c r="N880" s="124"/>
      <c r="O880" s="124"/>
      <c r="P880" s="124"/>
      <c r="Q880" s="130"/>
      <c r="R880" s="124"/>
      <c r="S880" s="124"/>
      <c r="T880" s="124"/>
      <c r="U880" s="124"/>
      <c r="V880" s="17"/>
      <c r="W880" s="312"/>
      <c r="X880" s="124"/>
      <c r="Y880" s="124"/>
      <c r="Z880" s="124"/>
      <c r="AA880" s="124"/>
    </row>
    <row r="881" spans="1:27" ht="16.5">
      <c r="A881" s="124"/>
      <c r="B881" s="124"/>
      <c r="C881" s="124"/>
      <c r="D881" s="124"/>
      <c r="E881" s="124"/>
      <c r="F881" s="124"/>
      <c r="G881" s="124"/>
      <c r="H881" s="124"/>
      <c r="I881" s="124"/>
      <c r="J881" s="124"/>
      <c r="K881" s="124"/>
      <c r="L881" s="124"/>
      <c r="M881" s="124"/>
      <c r="N881" s="124"/>
      <c r="O881" s="124"/>
      <c r="P881" s="124"/>
      <c r="Q881" s="130"/>
      <c r="R881" s="124"/>
      <c r="S881" s="124"/>
      <c r="T881" s="124"/>
      <c r="U881" s="124"/>
      <c r="V881" s="17"/>
      <c r="W881" s="312"/>
      <c r="X881" s="124"/>
      <c r="Y881" s="124"/>
      <c r="Z881" s="124"/>
      <c r="AA881" s="124"/>
    </row>
    <row r="882" spans="1:27" ht="16.5">
      <c r="A882" s="124"/>
      <c r="B882" s="124"/>
      <c r="C882" s="124"/>
      <c r="D882" s="124"/>
      <c r="E882" s="124"/>
      <c r="F882" s="124"/>
      <c r="G882" s="124"/>
      <c r="H882" s="124"/>
      <c r="I882" s="124"/>
      <c r="J882" s="124"/>
      <c r="K882" s="124"/>
      <c r="L882" s="124"/>
      <c r="M882" s="124"/>
      <c r="N882" s="124"/>
      <c r="O882" s="124"/>
      <c r="P882" s="124"/>
      <c r="Q882" s="130"/>
      <c r="R882" s="124"/>
      <c r="S882" s="124"/>
      <c r="T882" s="124"/>
      <c r="U882" s="124"/>
      <c r="V882" s="17"/>
      <c r="W882" s="312"/>
      <c r="X882" s="124"/>
      <c r="Y882" s="124"/>
      <c r="Z882" s="124"/>
      <c r="AA882" s="124"/>
    </row>
    <row r="883" spans="1:27" ht="16.5">
      <c r="A883" s="124"/>
      <c r="B883" s="124"/>
      <c r="C883" s="124"/>
      <c r="D883" s="124"/>
      <c r="E883" s="124"/>
      <c r="F883" s="124"/>
      <c r="G883" s="124"/>
      <c r="H883" s="124"/>
      <c r="I883" s="124"/>
      <c r="J883" s="124"/>
      <c r="K883" s="124"/>
      <c r="L883" s="124"/>
      <c r="M883" s="124"/>
      <c r="N883" s="124"/>
      <c r="O883" s="124"/>
      <c r="P883" s="124"/>
      <c r="Q883" s="130"/>
      <c r="R883" s="124"/>
      <c r="S883" s="124"/>
      <c r="T883" s="124"/>
      <c r="U883" s="124"/>
      <c r="V883" s="17"/>
      <c r="W883" s="312"/>
      <c r="X883" s="124"/>
      <c r="Y883" s="124"/>
      <c r="Z883" s="124"/>
      <c r="AA883" s="124"/>
    </row>
    <row r="884" spans="1:27" ht="16.5">
      <c r="A884" s="124"/>
      <c r="B884" s="124"/>
      <c r="C884" s="124"/>
      <c r="D884" s="124"/>
      <c r="E884" s="124"/>
      <c r="F884" s="124"/>
      <c r="G884" s="124"/>
      <c r="H884" s="124"/>
      <c r="I884" s="124"/>
      <c r="J884" s="124"/>
      <c r="K884" s="124"/>
      <c r="L884" s="124"/>
      <c r="M884" s="124"/>
      <c r="N884" s="124"/>
      <c r="O884" s="124"/>
      <c r="P884" s="124"/>
      <c r="Q884" s="130"/>
      <c r="R884" s="124"/>
      <c r="S884" s="124"/>
      <c r="T884" s="124"/>
      <c r="U884" s="124"/>
      <c r="V884" s="17"/>
      <c r="W884" s="312"/>
      <c r="X884" s="124"/>
      <c r="Y884" s="124"/>
      <c r="Z884" s="124"/>
      <c r="AA884" s="124"/>
    </row>
    <row r="885" spans="1:27" ht="16.5">
      <c r="A885" s="124"/>
      <c r="B885" s="124"/>
      <c r="C885" s="124"/>
      <c r="D885" s="124"/>
      <c r="E885" s="124"/>
      <c r="F885" s="124"/>
      <c r="G885" s="124"/>
      <c r="H885" s="124"/>
      <c r="I885" s="124"/>
      <c r="J885" s="124"/>
      <c r="K885" s="124"/>
      <c r="L885" s="124"/>
      <c r="M885" s="124"/>
      <c r="N885" s="124"/>
      <c r="O885" s="124"/>
      <c r="P885" s="124"/>
      <c r="Q885" s="130"/>
      <c r="R885" s="124"/>
      <c r="S885" s="124"/>
      <c r="T885" s="124"/>
      <c r="U885" s="124"/>
      <c r="V885" s="17"/>
      <c r="W885" s="312"/>
      <c r="X885" s="124"/>
      <c r="Y885" s="124"/>
      <c r="Z885" s="124"/>
      <c r="AA885" s="124"/>
    </row>
    <row r="886" spans="1:27" ht="16.5">
      <c r="A886" s="124"/>
      <c r="B886" s="124"/>
      <c r="C886" s="124"/>
      <c r="D886" s="124"/>
      <c r="E886" s="124"/>
      <c r="F886" s="124"/>
      <c r="G886" s="124"/>
      <c r="H886" s="124"/>
      <c r="I886" s="124"/>
      <c r="J886" s="124"/>
      <c r="K886" s="124"/>
      <c r="L886" s="124"/>
      <c r="M886" s="124"/>
      <c r="N886" s="124"/>
      <c r="O886" s="124"/>
      <c r="P886" s="124"/>
      <c r="Q886" s="130"/>
      <c r="R886" s="124"/>
      <c r="S886" s="124"/>
      <c r="T886" s="124"/>
      <c r="U886" s="124"/>
      <c r="V886" s="17"/>
      <c r="W886" s="312"/>
      <c r="X886" s="124"/>
      <c r="Y886" s="124"/>
      <c r="Z886" s="124"/>
      <c r="AA886" s="124"/>
    </row>
    <row r="887" spans="1:27" ht="16.5">
      <c r="A887" s="124"/>
      <c r="B887" s="124"/>
      <c r="C887" s="124"/>
      <c r="D887" s="124"/>
      <c r="E887" s="124"/>
      <c r="F887" s="124"/>
      <c r="G887" s="124"/>
      <c r="H887" s="124"/>
      <c r="I887" s="124"/>
      <c r="J887" s="124"/>
      <c r="K887" s="124"/>
      <c r="L887" s="124"/>
      <c r="M887" s="124"/>
      <c r="N887" s="124"/>
      <c r="O887" s="124"/>
      <c r="P887" s="124"/>
      <c r="Q887" s="130"/>
      <c r="R887" s="124"/>
      <c r="S887" s="124"/>
      <c r="T887" s="124"/>
      <c r="U887" s="124"/>
      <c r="V887" s="17"/>
      <c r="W887" s="312"/>
      <c r="X887" s="124"/>
      <c r="Y887" s="124"/>
      <c r="Z887" s="124"/>
      <c r="AA887" s="124"/>
    </row>
    <row r="888" spans="1:27" ht="16.5">
      <c r="A888" s="124"/>
      <c r="B888" s="124"/>
      <c r="C888" s="124"/>
      <c r="D888" s="124"/>
      <c r="E888" s="124"/>
      <c r="F888" s="124"/>
      <c r="G888" s="124"/>
      <c r="H888" s="124"/>
      <c r="I888" s="124"/>
      <c r="J888" s="124"/>
      <c r="K888" s="124"/>
      <c r="L888" s="124"/>
      <c r="M888" s="124"/>
      <c r="N888" s="124"/>
      <c r="O888" s="124"/>
      <c r="P888" s="124"/>
      <c r="Q888" s="130"/>
      <c r="R888" s="124"/>
      <c r="S888" s="124"/>
      <c r="T888" s="124"/>
      <c r="U888" s="124"/>
      <c r="V888" s="17"/>
      <c r="W888" s="312"/>
      <c r="X888" s="124"/>
      <c r="Y888" s="124"/>
      <c r="Z888" s="124"/>
      <c r="AA888" s="124"/>
    </row>
    <row r="889" spans="1:27" ht="16.5">
      <c r="A889" s="124"/>
      <c r="B889" s="124"/>
      <c r="C889" s="124"/>
      <c r="D889" s="124"/>
      <c r="E889" s="124"/>
      <c r="F889" s="124"/>
      <c r="G889" s="124"/>
      <c r="H889" s="124"/>
      <c r="I889" s="124"/>
      <c r="J889" s="124"/>
      <c r="K889" s="124"/>
      <c r="L889" s="124"/>
      <c r="M889" s="124"/>
      <c r="N889" s="124"/>
      <c r="O889" s="124"/>
      <c r="P889" s="124"/>
      <c r="Q889" s="130"/>
      <c r="R889" s="124"/>
      <c r="S889" s="124"/>
      <c r="T889" s="124"/>
      <c r="U889" s="124"/>
      <c r="V889" s="17"/>
      <c r="W889" s="312"/>
      <c r="X889" s="124"/>
      <c r="Y889" s="124"/>
      <c r="Z889" s="124"/>
      <c r="AA889" s="124"/>
    </row>
    <row r="890" spans="1:27" ht="16.5">
      <c r="A890" s="124"/>
      <c r="B890" s="124"/>
      <c r="C890" s="124"/>
      <c r="D890" s="124"/>
      <c r="E890" s="124"/>
      <c r="F890" s="124"/>
      <c r="G890" s="124"/>
      <c r="H890" s="124"/>
      <c r="I890" s="124"/>
      <c r="J890" s="124"/>
      <c r="K890" s="124"/>
      <c r="L890" s="124"/>
      <c r="M890" s="124"/>
      <c r="N890" s="124"/>
      <c r="O890" s="124"/>
      <c r="P890" s="124"/>
      <c r="Q890" s="130"/>
      <c r="R890" s="124"/>
      <c r="S890" s="124"/>
      <c r="T890" s="124"/>
      <c r="U890" s="124"/>
      <c r="V890" s="17"/>
      <c r="W890" s="312"/>
      <c r="X890" s="124"/>
      <c r="Y890" s="124"/>
      <c r="Z890" s="124"/>
      <c r="AA890" s="124"/>
    </row>
    <row r="891" spans="1:27" ht="16.5">
      <c r="A891" s="124"/>
      <c r="B891" s="124"/>
      <c r="C891" s="124"/>
      <c r="D891" s="124"/>
      <c r="E891" s="124"/>
      <c r="F891" s="124"/>
      <c r="G891" s="124"/>
      <c r="H891" s="124"/>
      <c r="I891" s="124"/>
      <c r="J891" s="124"/>
      <c r="K891" s="124"/>
      <c r="L891" s="124"/>
      <c r="M891" s="124"/>
      <c r="N891" s="124"/>
      <c r="O891" s="124"/>
      <c r="P891" s="124"/>
      <c r="Q891" s="130"/>
      <c r="R891" s="124"/>
      <c r="S891" s="124"/>
      <c r="T891" s="124"/>
      <c r="U891" s="124"/>
      <c r="V891" s="17"/>
      <c r="W891" s="312"/>
      <c r="X891" s="124"/>
      <c r="Y891" s="124"/>
      <c r="Z891" s="124"/>
      <c r="AA891" s="124"/>
    </row>
    <row r="892" spans="1:27" ht="16.5">
      <c r="A892" s="124"/>
      <c r="B892" s="124"/>
      <c r="C892" s="124"/>
      <c r="D892" s="124"/>
      <c r="E892" s="124"/>
      <c r="F892" s="124"/>
      <c r="G892" s="124"/>
      <c r="H892" s="124"/>
      <c r="I892" s="124"/>
      <c r="J892" s="124"/>
      <c r="K892" s="124"/>
      <c r="L892" s="124"/>
      <c r="M892" s="124"/>
      <c r="N892" s="124"/>
      <c r="O892" s="124"/>
      <c r="P892" s="124"/>
      <c r="Q892" s="130"/>
      <c r="R892" s="124"/>
      <c r="S892" s="124"/>
      <c r="T892" s="124"/>
      <c r="U892" s="124"/>
      <c r="V892" s="17"/>
      <c r="W892" s="312"/>
      <c r="X892" s="124"/>
      <c r="Y892" s="124"/>
      <c r="Z892" s="124"/>
      <c r="AA892" s="124"/>
    </row>
    <row r="893" spans="1:27" ht="16.5">
      <c r="A893" s="124"/>
      <c r="B893" s="124"/>
      <c r="C893" s="124"/>
      <c r="D893" s="124"/>
      <c r="E893" s="124"/>
      <c r="F893" s="124"/>
      <c r="G893" s="124"/>
      <c r="H893" s="124"/>
      <c r="I893" s="124"/>
      <c r="J893" s="124"/>
      <c r="K893" s="124"/>
      <c r="L893" s="124"/>
      <c r="M893" s="124"/>
      <c r="N893" s="124"/>
      <c r="O893" s="124"/>
      <c r="P893" s="124"/>
      <c r="Q893" s="130"/>
      <c r="R893" s="124"/>
      <c r="S893" s="124"/>
      <c r="T893" s="124"/>
      <c r="U893" s="124"/>
      <c r="V893" s="17"/>
      <c r="W893" s="312"/>
      <c r="X893" s="124"/>
      <c r="Y893" s="124"/>
      <c r="Z893" s="124"/>
      <c r="AA893" s="124"/>
    </row>
    <row r="894" spans="1:27" ht="16.5">
      <c r="A894" s="124"/>
      <c r="B894" s="124"/>
      <c r="C894" s="124"/>
      <c r="D894" s="124"/>
      <c r="E894" s="124"/>
      <c r="F894" s="124"/>
      <c r="G894" s="124"/>
      <c r="H894" s="124"/>
      <c r="I894" s="124"/>
      <c r="J894" s="124"/>
      <c r="K894" s="124"/>
      <c r="L894" s="124"/>
      <c r="M894" s="124"/>
      <c r="N894" s="124"/>
      <c r="O894" s="124"/>
      <c r="P894" s="124"/>
      <c r="Q894" s="130"/>
      <c r="R894" s="124"/>
      <c r="S894" s="124"/>
      <c r="T894" s="124"/>
      <c r="U894" s="124"/>
      <c r="V894" s="17"/>
      <c r="W894" s="312"/>
      <c r="X894" s="124"/>
      <c r="Y894" s="124"/>
      <c r="Z894" s="124"/>
      <c r="AA894" s="124"/>
    </row>
    <row r="895" spans="1:27" ht="16.5">
      <c r="A895" s="124"/>
      <c r="B895" s="124"/>
      <c r="C895" s="124"/>
      <c r="D895" s="124"/>
      <c r="E895" s="124"/>
      <c r="F895" s="124"/>
      <c r="G895" s="124"/>
      <c r="H895" s="124"/>
      <c r="I895" s="124"/>
      <c r="J895" s="124"/>
      <c r="K895" s="124"/>
      <c r="L895" s="124"/>
      <c r="M895" s="124"/>
      <c r="N895" s="124"/>
      <c r="O895" s="124"/>
      <c r="P895" s="124"/>
      <c r="Q895" s="130"/>
      <c r="R895" s="124"/>
      <c r="S895" s="124"/>
      <c r="T895" s="124"/>
      <c r="U895" s="124"/>
      <c r="V895" s="17"/>
      <c r="W895" s="312"/>
      <c r="X895" s="124"/>
      <c r="Y895" s="124"/>
      <c r="Z895" s="124"/>
      <c r="AA895" s="124"/>
    </row>
    <row r="896" spans="1:27" ht="16.5">
      <c r="A896" s="124"/>
      <c r="B896" s="124"/>
      <c r="C896" s="124"/>
      <c r="D896" s="124"/>
      <c r="E896" s="124"/>
      <c r="F896" s="124"/>
      <c r="G896" s="124"/>
      <c r="H896" s="124"/>
      <c r="I896" s="124"/>
      <c r="J896" s="124"/>
      <c r="K896" s="124"/>
      <c r="L896" s="124"/>
      <c r="M896" s="124"/>
      <c r="N896" s="124"/>
      <c r="O896" s="124"/>
      <c r="P896" s="124"/>
      <c r="Q896" s="130"/>
      <c r="R896" s="124"/>
      <c r="S896" s="124"/>
      <c r="T896" s="124"/>
      <c r="U896" s="124"/>
      <c r="V896" s="17"/>
      <c r="W896" s="312"/>
      <c r="X896" s="124"/>
      <c r="Y896" s="124"/>
      <c r="Z896" s="124"/>
      <c r="AA896" s="124"/>
    </row>
    <row r="897" spans="1:27" ht="16.5">
      <c r="A897" s="124"/>
      <c r="B897" s="124"/>
      <c r="C897" s="124"/>
      <c r="D897" s="124"/>
      <c r="E897" s="124"/>
      <c r="F897" s="124"/>
      <c r="G897" s="124"/>
      <c r="H897" s="124"/>
      <c r="I897" s="124"/>
      <c r="J897" s="124"/>
      <c r="K897" s="124"/>
      <c r="L897" s="124"/>
      <c r="M897" s="124"/>
      <c r="N897" s="124"/>
      <c r="O897" s="124"/>
      <c r="P897" s="124"/>
      <c r="Q897" s="130"/>
      <c r="R897" s="124"/>
      <c r="S897" s="124"/>
      <c r="T897" s="124"/>
      <c r="U897" s="124"/>
      <c r="V897" s="17"/>
      <c r="W897" s="312"/>
      <c r="X897" s="124"/>
      <c r="Y897" s="124"/>
      <c r="Z897" s="124"/>
      <c r="AA897" s="124"/>
    </row>
    <row r="898" spans="1:27" ht="16.5">
      <c r="A898" s="124"/>
      <c r="B898" s="124"/>
      <c r="C898" s="124"/>
      <c r="D898" s="124"/>
      <c r="E898" s="124"/>
      <c r="F898" s="124"/>
      <c r="G898" s="124"/>
      <c r="H898" s="124"/>
      <c r="I898" s="124"/>
      <c r="J898" s="124"/>
      <c r="K898" s="124"/>
      <c r="L898" s="124"/>
      <c r="M898" s="124"/>
      <c r="N898" s="124"/>
      <c r="O898" s="124"/>
      <c r="P898" s="124"/>
      <c r="Q898" s="130"/>
      <c r="R898" s="124"/>
      <c r="S898" s="124"/>
      <c r="T898" s="124"/>
      <c r="U898" s="124"/>
      <c r="V898" s="17"/>
      <c r="W898" s="312"/>
      <c r="X898" s="124"/>
      <c r="Y898" s="124"/>
      <c r="Z898" s="124"/>
      <c r="AA898" s="124"/>
    </row>
    <row r="899" spans="1:27" ht="16.5">
      <c r="A899" s="124"/>
      <c r="B899" s="124"/>
      <c r="C899" s="124"/>
      <c r="D899" s="124"/>
      <c r="E899" s="124"/>
      <c r="F899" s="124"/>
      <c r="G899" s="124"/>
      <c r="H899" s="124"/>
      <c r="I899" s="124"/>
      <c r="J899" s="124"/>
      <c r="K899" s="124"/>
      <c r="L899" s="124"/>
      <c r="M899" s="124"/>
      <c r="N899" s="124"/>
      <c r="O899" s="124"/>
      <c r="P899" s="124"/>
      <c r="Q899" s="130"/>
      <c r="R899" s="124"/>
      <c r="S899" s="124"/>
      <c r="T899" s="124"/>
      <c r="U899" s="124"/>
      <c r="V899" s="17"/>
      <c r="W899" s="312"/>
      <c r="X899" s="124"/>
      <c r="Y899" s="124"/>
      <c r="Z899" s="124"/>
      <c r="AA899" s="124"/>
    </row>
    <row r="900" spans="1:27" ht="16.5">
      <c r="A900" s="124"/>
      <c r="B900" s="124"/>
      <c r="C900" s="124"/>
      <c r="D900" s="124"/>
      <c r="E900" s="124"/>
      <c r="F900" s="124"/>
      <c r="G900" s="124"/>
      <c r="H900" s="124"/>
      <c r="I900" s="124"/>
      <c r="J900" s="124"/>
      <c r="K900" s="124"/>
      <c r="L900" s="124"/>
      <c r="M900" s="124"/>
      <c r="N900" s="124"/>
      <c r="O900" s="124"/>
      <c r="P900" s="124"/>
      <c r="Q900" s="130"/>
      <c r="R900" s="124"/>
      <c r="S900" s="124"/>
      <c r="T900" s="124"/>
      <c r="U900" s="124"/>
      <c r="V900" s="17"/>
      <c r="W900" s="312"/>
      <c r="X900" s="124"/>
      <c r="Y900" s="124"/>
      <c r="Z900" s="124"/>
      <c r="AA900" s="124"/>
    </row>
    <row r="901" spans="1:27" ht="16.5">
      <c r="A901" s="124"/>
      <c r="B901" s="124"/>
      <c r="C901" s="124"/>
      <c r="D901" s="124"/>
      <c r="E901" s="124"/>
      <c r="F901" s="124"/>
      <c r="G901" s="124"/>
      <c r="H901" s="124"/>
      <c r="I901" s="124"/>
      <c r="J901" s="124"/>
      <c r="K901" s="124"/>
      <c r="L901" s="124"/>
      <c r="M901" s="124"/>
      <c r="N901" s="124"/>
      <c r="O901" s="124"/>
      <c r="P901" s="124"/>
      <c r="Q901" s="130"/>
      <c r="R901" s="124"/>
      <c r="S901" s="124"/>
      <c r="T901" s="124"/>
      <c r="U901" s="124"/>
      <c r="V901" s="17"/>
      <c r="W901" s="312"/>
      <c r="X901" s="124"/>
      <c r="Y901" s="124"/>
      <c r="Z901" s="124"/>
      <c r="AA901" s="124"/>
    </row>
    <row r="902" spans="1:27" ht="16.5">
      <c r="A902" s="124"/>
      <c r="B902" s="124"/>
      <c r="C902" s="124"/>
      <c r="D902" s="124"/>
      <c r="E902" s="124"/>
      <c r="F902" s="124"/>
      <c r="G902" s="124"/>
      <c r="H902" s="124"/>
      <c r="I902" s="124"/>
      <c r="J902" s="124"/>
      <c r="K902" s="124"/>
      <c r="L902" s="124"/>
      <c r="M902" s="124"/>
      <c r="N902" s="124"/>
      <c r="O902" s="124"/>
      <c r="P902" s="124"/>
      <c r="Q902" s="130"/>
      <c r="R902" s="124"/>
      <c r="S902" s="124"/>
      <c r="T902" s="124"/>
      <c r="U902" s="124"/>
      <c r="V902" s="17"/>
      <c r="W902" s="312"/>
      <c r="X902" s="124"/>
      <c r="Y902" s="124"/>
      <c r="Z902" s="124"/>
      <c r="AA902" s="124"/>
    </row>
    <row r="903" spans="1:27" ht="16.5">
      <c r="A903" s="124"/>
      <c r="B903" s="124"/>
      <c r="C903" s="124"/>
      <c r="D903" s="124"/>
      <c r="E903" s="124"/>
      <c r="F903" s="124"/>
      <c r="G903" s="124"/>
      <c r="H903" s="124"/>
      <c r="I903" s="124"/>
      <c r="J903" s="124"/>
      <c r="K903" s="124"/>
      <c r="L903" s="124"/>
      <c r="M903" s="124"/>
      <c r="N903" s="124"/>
      <c r="O903" s="124"/>
      <c r="P903" s="124"/>
      <c r="Q903" s="130"/>
      <c r="R903" s="124"/>
      <c r="S903" s="124"/>
      <c r="T903" s="124"/>
      <c r="U903" s="124"/>
      <c r="V903" s="17"/>
      <c r="W903" s="312"/>
      <c r="X903" s="124"/>
      <c r="Y903" s="124"/>
      <c r="Z903" s="124"/>
      <c r="AA903" s="124"/>
    </row>
    <row r="904" spans="1:27" ht="16.5">
      <c r="A904" s="124"/>
      <c r="B904" s="124"/>
      <c r="C904" s="124"/>
      <c r="D904" s="124"/>
      <c r="E904" s="124"/>
      <c r="F904" s="124"/>
      <c r="G904" s="124"/>
      <c r="H904" s="124"/>
      <c r="I904" s="124"/>
      <c r="J904" s="124"/>
      <c r="K904" s="124"/>
      <c r="L904" s="124"/>
      <c r="M904" s="124"/>
      <c r="N904" s="124"/>
      <c r="O904" s="124"/>
      <c r="P904" s="124"/>
      <c r="Q904" s="130"/>
      <c r="R904" s="124"/>
      <c r="S904" s="124"/>
      <c r="T904" s="124"/>
      <c r="U904" s="124"/>
      <c r="V904" s="17"/>
      <c r="W904" s="312"/>
      <c r="X904" s="124"/>
      <c r="Y904" s="124"/>
      <c r="Z904" s="124"/>
      <c r="AA904" s="124"/>
    </row>
    <row r="905" spans="1:27" ht="16.5">
      <c r="A905" s="124"/>
      <c r="B905" s="124"/>
      <c r="C905" s="124"/>
      <c r="D905" s="124"/>
      <c r="E905" s="124"/>
      <c r="F905" s="124"/>
      <c r="G905" s="124"/>
      <c r="H905" s="124"/>
      <c r="I905" s="124"/>
      <c r="J905" s="124"/>
      <c r="K905" s="124"/>
      <c r="L905" s="124"/>
      <c r="M905" s="124"/>
      <c r="N905" s="124"/>
      <c r="O905" s="124"/>
      <c r="P905" s="124"/>
      <c r="Q905" s="130"/>
      <c r="R905" s="124"/>
      <c r="S905" s="124"/>
      <c r="T905" s="124"/>
      <c r="U905" s="124"/>
      <c r="V905" s="17"/>
      <c r="W905" s="312"/>
      <c r="X905" s="124"/>
      <c r="Y905" s="124"/>
      <c r="Z905" s="124"/>
      <c r="AA905" s="124"/>
    </row>
    <row r="906" spans="1:27" ht="16.5">
      <c r="A906" s="124"/>
      <c r="B906" s="124"/>
      <c r="C906" s="124"/>
      <c r="D906" s="124"/>
      <c r="E906" s="124"/>
      <c r="F906" s="124"/>
      <c r="G906" s="124"/>
      <c r="H906" s="124"/>
      <c r="I906" s="124"/>
      <c r="J906" s="124"/>
      <c r="K906" s="124"/>
      <c r="L906" s="124"/>
      <c r="M906" s="124"/>
      <c r="N906" s="124"/>
      <c r="O906" s="124"/>
      <c r="P906" s="124"/>
      <c r="Q906" s="130"/>
      <c r="R906" s="124"/>
      <c r="S906" s="124"/>
      <c r="T906" s="124"/>
      <c r="U906" s="124"/>
      <c r="V906" s="17"/>
      <c r="W906" s="312"/>
      <c r="X906" s="124"/>
      <c r="Y906" s="124"/>
      <c r="Z906" s="124"/>
      <c r="AA906" s="124"/>
    </row>
    <row r="907" spans="1:27" ht="16.5">
      <c r="A907" s="124"/>
      <c r="B907" s="124"/>
      <c r="C907" s="124"/>
      <c r="D907" s="124"/>
      <c r="E907" s="124"/>
      <c r="F907" s="124"/>
      <c r="G907" s="124"/>
      <c r="H907" s="124"/>
      <c r="I907" s="124"/>
      <c r="J907" s="124"/>
      <c r="K907" s="124"/>
      <c r="L907" s="124"/>
      <c r="M907" s="124"/>
      <c r="N907" s="124"/>
      <c r="O907" s="124"/>
      <c r="P907" s="124"/>
      <c r="Q907" s="130"/>
      <c r="R907" s="124"/>
      <c r="S907" s="124"/>
      <c r="T907" s="124"/>
      <c r="U907" s="124"/>
      <c r="V907" s="17"/>
      <c r="W907" s="312"/>
      <c r="X907" s="124"/>
      <c r="Y907" s="124"/>
      <c r="Z907" s="124"/>
      <c r="AA907" s="124"/>
    </row>
    <row r="908" spans="1:27" ht="16.5">
      <c r="A908" s="124"/>
      <c r="B908" s="124"/>
      <c r="C908" s="124"/>
      <c r="D908" s="124"/>
      <c r="E908" s="124"/>
      <c r="F908" s="124"/>
      <c r="G908" s="124"/>
      <c r="H908" s="124"/>
      <c r="I908" s="124"/>
      <c r="J908" s="124"/>
      <c r="K908" s="124"/>
      <c r="L908" s="124"/>
      <c r="M908" s="124"/>
      <c r="N908" s="124"/>
      <c r="O908" s="124"/>
      <c r="P908" s="124"/>
      <c r="Q908" s="130"/>
      <c r="R908" s="124"/>
      <c r="S908" s="124"/>
      <c r="T908" s="124"/>
      <c r="U908" s="124"/>
      <c r="V908" s="17"/>
      <c r="W908" s="312"/>
      <c r="X908" s="124"/>
      <c r="Y908" s="124"/>
      <c r="Z908" s="124"/>
      <c r="AA908" s="124"/>
    </row>
    <row r="909" spans="1:27" ht="16.5">
      <c r="A909" s="124"/>
      <c r="B909" s="124"/>
      <c r="C909" s="124"/>
      <c r="D909" s="124"/>
      <c r="E909" s="124"/>
      <c r="F909" s="124"/>
      <c r="G909" s="124"/>
      <c r="H909" s="124"/>
      <c r="I909" s="124"/>
      <c r="J909" s="124"/>
      <c r="K909" s="124"/>
      <c r="L909" s="124"/>
      <c r="M909" s="124"/>
      <c r="N909" s="124"/>
      <c r="O909" s="124"/>
      <c r="P909" s="124"/>
      <c r="Q909" s="130"/>
      <c r="R909" s="124"/>
      <c r="S909" s="124"/>
      <c r="T909" s="124"/>
      <c r="U909" s="124"/>
      <c r="V909" s="17"/>
      <c r="W909" s="312"/>
      <c r="X909" s="124"/>
      <c r="Y909" s="124"/>
      <c r="Z909" s="124"/>
      <c r="AA909" s="124"/>
    </row>
    <row r="910" spans="1:27" ht="16.5">
      <c r="A910" s="124"/>
      <c r="B910" s="124"/>
      <c r="C910" s="124"/>
      <c r="D910" s="124"/>
      <c r="E910" s="124"/>
      <c r="F910" s="124"/>
      <c r="G910" s="124"/>
      <c r="H910" s="124"/>
      <c r="I910" s="124"/>
      <c r="J910" s="124"/>
      <c r="K910" s="124"/>
      <c r="L910" s="124"/>
      <c r="M910" s="124"/>
      <c r="N910" s="124"/>
      <c r="O910" s="124"/>
      <c r="P910" s="124"/>
      <c r="Q910" s="130"/>
      <c r="R910" s="124"/>
      <c r="S910" s="124"/>
      <c r="T910" s="124"/>
      <c r="U910" s="124"/>
      <c r="V910" s="17"/>
      <c r="W910" s="312"/>
      <c r="X910" s="124"/>
      <c r="Y910" s="124"/>
      <c r="Z910" s="124"/>
      <c r="AA910" s="124"/>
    </row>
    <row r="911" spans="1:27" ht="16.5">
      <c r="A911" s="124"/>
      <c r="B911" s="124"/>
      <c r="C911" s="124"/>
      <c r="D911" s="124"/>
      <c r="E911" s="124"/>
      <c r="F911" s="124"/>
      <c r="G911" s="124"/>
      <c r="H911" s="124"/>
      <c r="I911" s="124"/>
      <c r="J911" s="124"/>
      <c r="K911" s="124"/>
      <c r="L911" s="124"/>
      <c r="M911" s="124"/>
      <c r="N911" s="124"/>
      <c r="O911" s="124"/>
      <c r="P911" s="124"/>
      <c r="Q911" s="130"/>
      <c r="R911" s="124"/>
      <c r="S911" s="124"/>
      <c r="T911" s="124"/>
      <c r="U911" s="124"/>
      <c r="V911" s="17"/>
      <c r="W911" s="312"/>
      <c r="X911" s="124"/>
      <c r="Y911" s="124"/>
      <c r="Z911" s="124"/>
      <c r="AA911" s="124"/>
    </row>
    <row r="912" spans="1:27" ht="16.5">
      <c r="A912" s="124"/>
      <c r="B912" s="124"/>
      <c r="C912" s="124"/>
      <c r="D912" s="124"/>
      <c r="E912" s="124"/>
      <c r="F912" s="124"/>
      <c r="G912" s="124"/>
      <c r="H912" s="124"/>
      <c r="I912" s="124"/>
      <c r="J912" s="124"/>
      <c r="K912" s="124"/>
      <c r="L912" s="124"/>
      <c r="M912" s="124"/>
      <c r="N912" s="124"/>
      <c r="O912" s="124"/>
      <c r="P912" s="124"/>
      <c r="Q912" s="130"/>
      <c r="R912" s="124"/>
      <c r="S912" s="124"/>
      <c r="T912" s="124"/>
      <c r="U912" s="124"/>
      <c r="V912" s="17"/>
      <c r="W912" s="312"/>
      <c r="X912" s="124"/>
      <c r="Y912" s="124"/>
      <c r="Z912" s="124"/>
      <c r="AA912" s="124"/>
    </row>
    <row r="913" spans="1:27" ht="16.5">
      <c r="A913" s="124"/>
      <c r="B913" s="124"/>
      <c r="C913" s="124"/>
      <c r="D913" s="124"/>
      <c r="E913" s="124"/>
      <c r="F913" s="124"/>
      <c r="G913" s="124"/>
      <c r="H913" s="124"/>
      <c r="I913" s="124"/>
      <c r="J913" s="124"/>
      <c r="K913" s="124"/>
      <c r="L913" s="124"/>
      <c r="M913" s="124"/>
      <c r="N913" s="124"/>
      <c r="O913" s="124"/>
      <c r="P913" s="124"/>
      <c r="Q913" s="130"/>
      <c r="R913" s="124"/>
      <c r="S913" s="124"/>
      <c r="T913" s="124"/>
      <c r="U913" s="124"/>
      <c r="V913" s="17"/>
      <c r="W913" s="312"/>
      <c r="X913" s="124"/>
      <c r="Y913" s="124"/>
      <c r="Z913" s="124"/>
      <c r="AA913" s="124"/>
    </row>
    <row r="914" spans="1:27" ht="16.5">
      <c r="A914" s="124"/>
      <c r="B914" s="124"/>
      <c r="C914" s="124"/>
      <c r="D914" s="124"/>
      <c r="E914" s="124"/>
      <c r="F914" s="124"/>
      <c r="G914" s="124"/>
      <c r="H914" s="124"/>
      <c r="I914" s="124"/>
      <c r="J914" s="124"/>
      <c r="K914" s="124"/>
      <c r="L914" s="124"/>
      <c r="M914" s="124"/>
      <c r="N914" s="124"/>
      <c r="O914" s="124"/>
      <c r="P914" s="124"/>
      <c r="Q914" s="130"/>
      <c r="R914" s="124"/>
      <c r="S914" s="124"/>
      <c r="T914" s="124"/>
      <c r="U914" s="124"/>
      <c r="V914" s="17"/>
      <c r="W914" s="312"/>
      <c r="X914" s="124"/>
      <c r="Y914" s="124"/>
      <c r="Z914" s="124"/>
      <c r="AA914" s="124"/>
    </row>
    <row r="915" spans="1:27" ht="16.5">
      <c r="A915" s="124"/>
      <c r="B915" s="124"/>
      <c r="C915" s="124"/>
      <c r="D915" s="124"/>
      <c r="E915" s="124"/>
      <c r="F915" s="124"/>
      <c r="G915" s="124"/>
      <c r="H915" s="124"/>
      <c r="I915" s="124"/>
      <c r="J915" s="124"/>
      <c r="K915" s="124"/>
      <c r="L915" s="124"/>
      <c r="M915" s="124"/>
      <c r="N915" s="124"/>
      <c r="O915" s="124"/>
      <c r="P915" s="124"/>
      <c r="Q915" s="130"/>
      <c r="R915" s="124"/>
      <c r="S915" s="124"/>
      <c r="T915" s="124"/>
      <c r="U915" s="124"/>
      <c r="V915" s="17"/>
      <c r="W915" s="312"/>
      <c r="X915" s="124"/>
      <c r="Y915" s="124"/>
      <c r="Z915" s="124"/>
      <c r="AA915" s="124"/>
    </row>
    <row r="916" spans="1:27" ht="16.5">
      <c r="A916" s="124"/>
      <c r="B916" s="124"/>
      <c r="C916" s="124"/>
      <c r="D916" s="124"/>
      <c r="E916" s="124"/>
      <c r="F916" s="124"/>
      <c r="G916" s="124"/>
      <c r="H916" s="124"/>
      <c r="I916" s="124"/>
      <c r="J916" s="124"/>
      <c r="K916" s="124"/>
      <c r="L916" s="124"/>
      <c r="M916" s="124"/>
      <c r="N916" s="124"/>
      <c r="O916" s="124"/>
      <c r="P916" s="124"/>
      <c r="Q916" s="130"/>
      <c r="R916" s="124"/>
      <c r="S916" s="124"/>
      <c r="T916" s="124"/>
      <c r="U916" s="124"/>
      <c r="V916" s="17"/>
      <c r="W916" s="312"/>
      <c r="X916" s="124"/>
      <c r="Y916" s="124"/>
      <c r="Z916" s="124"/>
      <c r="AA916" s="124"/>
    </row>
    <row r="917" spans="1:27" ht="16.5">
      <c r="A917" s="124"/>
      <c r="B917" s="124"/>
      <c r="C917" s="124"/>
      <c r="D917" s="124"/>
      <c r="E917" s="124"/>
      <c r="F917" s="124"/>
      <c r="G917" s="124"/>
      <c r="H917" s="124"/>
      <c r="I917" s="124"/>
      <c r="J917" s="124"/>
      <c r="K917" s="124"/>
      <c r="L917" s="124"/>
      <c r="M917" s="124"/>
      <c r="N917" s="124"/>
      <c r="O917" s="124"/>
      <c r="P917" s="124"/>
      <c r="Q917" s="130"/>
      <c r="R917" s="124"/>
      <c r="S917" s="124"/>
      <c r="T917" s="124"/>
      <c r="U917" s="124"/>
      <c r="V917" s="17"/>
      <c r="W917" s="312"/>
      <c r="X917" s="124"/>
      <c r="Y917" s="124"/>
      <c r="Z917" s="124"/>
      <c r="AA917" s="124"/>
    </row>
    <row r="918" spans="1:27" ht="16.5">
      <c r="A918" s="124"/>
      <c r="B918" s="124"/>
      <c r="C918" s="124"/>
      <c r="D918" s="124"/>
      <c r="E918" s="124"/>
      <c r="F918" s="124"/>
      <c r="G918" s="124"/>
      <c r="H918" s="124"/>
      <c r="I918" s="124"/>
      <c r="J918" s="124"/>
      <c r="K918" s="124"/>
      <c r="L918" s="124"/>
      <c r="M918" s="124"/>
      <c r="N918" s="124"/>
      <c r="O918" s="124"/>
      <c r="P918" s="124"/>
      <c r="Q918" s="130"/>
      <c r="R918" s="124"/>
      <c r="S918" s="124"/>
      <c r="T918" s="124"/>
      <c r="U918" s="124"/>
      <c r="V918" s="17"/>
      <c r="W918" s="312"/>
      <c r="X918" s="124"/>
      <c r="Y918" s="124"/>
      <c r="Z918" s="124"/>
      <c r="AA918" s="124"/>
    </row>
    <row r="919" spans="1:27" ht="16.5">
      <c r="A919" s="124"/>
      <c r="B919" s="124"/>
      <c r="C919" s="124"/>
      <c r="D919" s="124"/>
      <c r="E919" s="124"/>
      <c r="F919" s="124"/>
      <c r="G919" s="124"/>
      <c r="H919" s="124"/>
      <c r="I919" s="124"/>
      <c r="J919" s="124"/>
      <c r="K919" s="124"/>
      <c r="L919" s="124"/>
      <c r="M919" s="124"/>
      <c r="N919" s="124"/>
      <c r="O919" s="124"/>
      <c r="P919" s="124"/>
      <c r="Q919" s="130"/>
      <c r="R919" s="124"/>
      <c r="S919" s="124"/>
      <c r="T919" s="124"/>
      <c r="U919" s="124"/>
      <c r="V919" s="17"/>
      <c r="W919" s="312"/>
      <c r="X919" s="124"/>
      <c r="Y919" s="124"/>
      <c r="Z919" s="124"/>
      <c r="AA919" s="124"/>
    </row>
    <row r="920" spans="1:27" ht="16.5">
      <c r="A920" s="124"/>
      <c r="B920" s="124"/>
      <c r="C920" s="124"/>
      <c r="D920" s="124"/>
      <c r="E920" s="124"/>
      <c r="F920" s="124"/>
      <c r="G920" s="124"/>
      <c r="H920" s="124"/>
      <c r="I920" s="124"/>
      <c r="J920" s="124"/>
      <c r="K920" s="124"/>
      <c r="L920" s="124"/>
      <c r="M920" s="124"/>
      <c r="N920" s="124"/>
      <c r="O920" s="124"/>
      <c r="P920" s="124"/>
      <c r="Q920" s="130"/>
      <c r="R920" s="124"/>
      <c r="S920" s="124"/>
      <c r="T920" s="124"/>
      <c r="U920" s="124"/>
      <c r="V920" s="17"/>
      <c r="W920" s="312"/>
      <c r="X920" s="124"/>
      <c r="Y920" s="124"/>
      <c r="Z920" s="124"/>
      <c r="AA920" s="124"/>
    </row>
    <row r="921" spans="1:27" ht="16.5">
      <c r="A921" s="124"/>
      <c r="B921" s="124"/>
      <c r="C921" s="124"/>
      <c r="D921" s="124"/>
      <c r="E921" s="124"/>
      <c r="F921" s="124"/>
      <c r="G921" s="124"/>
      <c r="H921" s="124"/>
      <c r="I921" s="124"/>
      <c r="J921" s="124"/>
      <c r="K921" s="124"/>
      <c r="L921" s="124"/>
      <c r="M921" s="124"/>
      <c r="N921" s="124"/>
      <c r="O921" s="124"/>
      <c r="P921" s="124"/>
      <c r="Q921" s="130"/>
      <c r="R921" s="124"/>
      <c r="S921" s="124"/>
      <c r="T921" s="124"/>
      <c r="U921" s="124"/>
      <c r="V921" s="17"/>
      <c r="W921" s="312"/>
      <c r="X921" s="124"/>
      <c r="Y921" s="124"/>
      <c r="Z921" s="124"/>
      <c r="AA921" s="124"/>
    </row>
    <row r="922" spans="1:27" ht="16.5">
      <c r="A922" s="124"/>
      <c r="B922" s="124"/>
      <c r="C922" s="124"/>
      <c r="D922" s="124"/>
      <c r="E922" s="124"/>
      <c r="F922" s="124"/>
      <c r="G922" s="124"/>
      <c r="H922" s="124"/>
      <c r="I922" s="124"/>
      <c r="J922" s="124"/>
      <c r="K922" s="124"/>
      <c r="L922" s="124"/>
      <c r="M922" s="124"/>
      <c r="N922" s="124"/>
      <c r="O922" s="124"/>
      <c r="P922" s="124"/>
      <c r="Q922" s="130"/>
      <c r="R922" s="124"/>
      <c r="S922" s="124"/>
      <c r="T922" s="124"/>
      <c r="U922" s="124"/>
      <c r="V922" s="17"/>
      <c r="W922" s="312"/>
      <c r="X922" s="124"/>
      <c r="Y922" s="124"/>
      <c r="Z922" s="124"/>
      <c r="AA922" s="124"/>
    </row>
    <row r="923" spans="1:27" ht="16.5">
      <c r="A923" s="124"/>
      <c r="B923" s="124"/>
      <c r="C923" s="124"/>
      <c r="D923" s="124"/>
      <c r="E923" s="124"/>
      <c r="F923" s="124"/>
      <c r="G923" s="124"/>
      <c r="H923" s="124"/>
      <c r="I923" s="124"/>
      <c r="J923" s="124"/>
      <c r="K923" s="124"/>
      <c r="L923" s="124"/>
      <c r="M923" s="124"/>
      <c r="N923" s="124"/>
      <c r="O923" s="124"/>
      <c r="P923" s="124"/>
      <c r="Q923" s="130"/>
      <c r="R923" s="124"/>
      <c r="S923" s="124"/>
      <c r="T923" s="124"/>
      <c r="U923" s="124"/>
      <c r="V923" s="17"/>
      <c r="W923" s="312"/>
      <c r="X923" s="124"/>
      <c r="Y923" s="124"/>
      <c r="Z923" s="124"/>
      <c r="AA923" s="124"/>
    </row>
    <row r="924" spans="1:27" ht="16.5">
      <c r="A924" s="124"/>
      <c r="B924" s="124"/>
      <c r="C924" s="124"/>
      <c r="D924" s="124"/>
      <c r="E924" s="124"/>
      <c r="F924" s="124"/>
      <c r="G924" s="124"/>
      <c r="H924" s="124"/>
      <c r="I924" s="124"/>
      <c r="J924" s="124"/>
      <c r="K924" s="124"/>
      <c r="L924" s="124"/>
      <c r="M924" s="124"/>
      <c r="N924" s="124"/>
      <c r="O924" s="124"/>
      <c r="P924" s="124"/>
      <c r="Q924" s="130"/>
      <c r="R924" s="124"/>
      <c r="S924" s="124"/>
      <c r="T924" s="124"/>
      <c r="U924" s="124"/>
      <c r="V924" s="17"/>
      <c r="W924" s="312"/>
      <c r="X924" s="124"/>
      <c r="Y924" s="124"/>
      <c r="Z924" s="124"/>
      <c r="AA924" s="124"/>
    </row>
    <row r="925" spans="1:27" ht="16.5">
      <c r="A925" s="124"/>
      <c r="B925" s="124"/>
      <c r="C925" s="124"/>
      <c r="D925" s="124"/>
      <c r="E925" s="124"/>
      <c r="F925" s="124"/>
      <c r="G925" s="124"/>
      <c r="H925" s="124"/>
      <c r="I925" s="124"/>
      <c r="J925" s="124"/>
      <c r="K925" s="124"/>
      <c r="L925" s="124"/>
      <c r="M925" s="124"/>
      <c r="N925" s="124"/>
      <c r="O925" s="124"/>
      <c r="P925" s="124"/>
      <c r="Q925" s="130"/>
      <c r="R925" s="124"/>
      <c r="S925" s="124"/>
      <c r="T925" s="124"/>
      <c r="U925" s="124"/>
      <c r="V925" s="17"/>
      <c r="W925" s="312"/>
      <c r="X925" s="124"/>
      <c r="Y925" s="124"/>
      <c r="Z925" s="124"/>
      <c r="AA925" s="124"/>
    </row>
    <row r="926" spans="1:27" ht="16.5">
      <c r="A926" s="124"/>
      <c r="B926" s="124"/>
      <c r="C926" s="124"/>
      <c r="D926" s="124"/>
      <c r="E926" s="124"/>
      <c r="F926" s="124"/>
      <c r="G926" s="124"/>
      <c r="H926" s="124"/>
      <c r="I926" s="124"/>
      <c r="J926" s="124"/>
      <c r="K926" s="124"/>
      <c r="L926" s="124"/>
      <c r="M926" s="124"/>
      <c r="N926" s="124"/>
      <c r="O926" s="124"/>
      <c r="P926" s="124"/>
      <c r="Q926" s="130"/>
      <c r="R926" s="124"/>
      <c r="S926" s="124"/>
      <c r="T926" s="124"/>
      <c r="U926" s="124"/>
      <c r="V926" s="17"/>
      <c r="W926" s="312"/>
      <c r="X926" s="124"/>
      <c r="Y926" s="124"/>
      <c r="Z926" s="124"/>
      <c r="AA926" s="124"/>
    </row>
    <row r="927" spans="1:27" ht="16.5">
      <c r="A927" s="124"/>
      <c r="B927" s="124"/>
      <c r="C927" s="124"/>
      <c r="D927" s="124"/>
      <c r="E927" s="124"/>
      <c r="F927" s="124"/>
      <c r="G927" s="124"/>
      <c r="H927" s="124"/>
      <c r="I927" s="124"/>
      <c r="J927" s="124"/>
      <c r="K927" s="124"/>
      <c r="L927" s="124"/>
      <c r="M927" s="124"/>
      <c r="N927" s="124"/>
      <c r="O927" s="124"/>
      <c r="P927" s="124"/>
      <c r="Q927" s="130"/>
      <c r="R927" s="124"/>
      <c r="S927" s="124"/>
      <c r="T927" s="124"/>
      <c r="U927" s="124"/>
      <c r="V927" s="17"/>
      <c r="W927" s="312"/>
      <c r="X927" s="124"/>
      <c r="Y927" s="124"/>
      <c r="Z927" s="124"/>
      <c r="AA927" s="124"/>
    </row>
    <row r="928" spans="1:27" ht="16.5">
      <c r="A928" s="124"/>
      <c r="B928" s="124"/>
      <c r="C928" s="124"/>
      <c r="D928" s="124"/>
      <c r="E928" s="124"/>
      <c r="F928" s="124"/>
      <c r="G928" s="124"/>
      <c r="H928" s="124"/>
      <c r="I928" s="124"/>
      <c r="J928" s="124"/>
      <c r="K928" s="124"/>
      <c r="L928" s="124"/>
      <c r="M928" s="124"/>
      <c r="N928" s="124"/>
      <c r="O928" s="124"/>
      <c r="P928" s="124"/>
      <c r="Q928" s="130"/>
      <c r="R928" s="124"/>
      <c r="S928" s="124"/>
      <c r="T928" s="124"/>
      <c r="U928" s="124"/>
      <c r="V928" s="17"/>
      <c r="W928" s="312"/>
      <c r="X928" s="124"/>
      <c r="Y928" s="124"/>
      <c r="Z928" s="124"/>
      <c r="AA928" s="124"/>
    </row>
    <row r="929" spans="1:27" ht="16.5">
      <c r="A929" s="124"/>
      <c r="B929" s="124"/>
      <c r="C929" s="124"/>
      <c r="D929" s="124"/>
      <c r="E929" s="124"/>
      <c r="F929" s="124"/>
      <c r="G929" s="124"/>
      <c r="H929" s="124"/>
      <c r="I929" s="124"/>
      <c r="J929" s="124"/>
      <c r="K929" s="124"/>
      <c r="L929" s="124"/>
      <c r="M929" s="124"/>
      <c r="N929" s="124"/>
      <c r="O929" s="124"/>
      <c r="P929" s="124"/>
      <c r="Q929" s="130"/>
      <c r="R929" s="124"/>
      <c r="S929" s="124"/>
      <c r="T929" s="124"/>
      <c r="U929" s="124"/>
      <c r="V929" s="17"/>
      <c r="W929" s="312"/>
      <c r="X929" s="124"/>
      <c r="Y929" s="124"/>
      <c r="Z929" s="124"/>
      <c r="AA929" s="124"/>
    </row>
    <row r="930" spans="1:27" ht="16.5">
      <c r="A930" s="124"/>
      <c r="B930" s="124"/>
      <c r="C930" s="124"/>
      <c r="D930" s="124"/>
      <c r="E930" s="124"/>
      <c r="F930" s="124"/>
      <c r="G930" s="124"/>
      <c r="H930" s="124"/>
      <c r="I930" s="124"/>
      <c r="J930" s="124"/>
      <c r="K930" s="124"/>
      <c r="L930" s="124"/>
      <c r="M930" s="124"/>
      <c r="N930" s="124"/>
      <c r="O930" s="124"/>
      <c r="P930" s="124"/>
      <c r="Q930" s="130"/>
      <c r="R930" s="124"/>
      <c r="S930" s="124"/>
      <c r="T930" s="124"/>
      <c r="U930" s="124"/>
      <c r="V930" s="17"/>
      <c r="W930" s="312"/>
      <c r="X930" s="124"/>
      <c r="Y930" s="124"/>
      <c r="Z930" s="124"/>
      <c r="AA930" s="124"/>
    </row>
    <row r="931" spans="1:27" ht="16.5">
      <c r="A931" s="124"/>
      <c r="B931" s="124"/>
      <c r="C931" s="124"/>
      <c r="D931" s="124"/>
      <c r="E931" s="124"/>
      <c r="F931" s="124"/>
      <c r="G931" s="124"/>
      <c r="H931" s="124"/>
      <c r="I931" s="124"/>
      <c r="J931" s="124"/>
      <c r="K931" s="124"/>
      <c r="L931" s="124"/>
      <c r="M931" s="124"/>
      <c r="N931" s="124"/>
      <c r="O931" s="124"/>
      <c r="P931" s="124"/>
      <c r="Q931" s="130"/>
      <c r="R931" s="124"/>
      <c r="S931" s="124"/>
      <c r="T931" s="124"/>
      <c r="U931" s="124"/>
      <c r="V931" s="17"/>
      <c r="W931" s="312"/>
      <c r="X931" s="124"/>
      <c r="Y931" s="124"/>
      <c r="Z931" s="124"/>
      <c r="AA931" s="124"/>
    </row>
    <row r="932" spans="1:27" ht="16.5">
      <c r="A932" s="124"/>
      <c r="B932" s="124"/>
      <c r="C932" s="124"/>
      <c r="D932" s="124"/>
      <c r="E932" s="124"/>
      <c r="F932" s="124"/>
      <c r="G932" s="124"/>
      <c r="H932" s="124"/>
      <c r="I932" s="124"/>
      <c r="J932" s="124"/>
      <c r="K932" s="124"/>
      <c r="L932" s="124"/>
      <c r="M932" s="124"/>
      <c r="N932" s="124"/>
      <c r="O932" s="124"/>
      <c r="P932" s="124"/>
      <c r="Q932" s="130"/>
      <c r="R932" s="124"/>
      <c r="S932" s="124"/>
      <c r="T932" s="124"/>
      <c r="U932" s="124"/>
      <c r="V932" s="17"/>
      <c r="W932" s="312"/>
      <c r="X932" s="124"/>
      <c r="Y932" s="124"/>
      <c r="Z932" s="124"/>
      <c r="AA932" s="124"/>
    </row>
    <row r="933" spans="1:27" ht="16.5">
      <c r="A933" s="124"/>
      <c r="B933" s="124"/>
      <c r="C933" s="124"/>
      <c r="D933" s="124"/>
      <c r="E933" s="124"/>
      <c r="F933" s="124"/>
      <c r="G933" s="124"/>
      <c r="H933" s="124"/>
      <c r="I933" s="124"/>
      <c r="J933" s="124"/>
      <c r="K933" s="124"/>
      <c r="L933" s="124"/>
      <c r="M933" s="124"/>
      <c r="N933" s="124"/>
      <c r="O933" s="124"/>
      <c r="P933" s="124"/>
      <c r="Q933" s="130"/>
      <c r="R933" s="124"/>
      <c r="S933" s="124"/>
      <c r="T933" s="124"/>
      <c r="U933" s="124"/>
      <c r="V933" s="17"/>
      <c r="W933" s="312"/>
      <c r="X933" s="124"/>
      <c r="Y933" s="124"/>
      <c r="Z933" s="124"/>
      <c r="AA933" s="124"/>
    </row>
    <row r="934" spans="1:27" ht="16.5">
      <c r="A934" s="124"/>
      <c r="B934" s="124"/>
      <c r="C934" s="124"/>
      <c r="D934" s="124"/>
      <c r="E934" s="124"/>
      <c r="F934" s="124"/>
      <c r="G934" s="124"/>
      <c r="H934" s="124"/>
      <c r="I934" s="124"/>
      <c r="J934" s="124"/>
      <c r="K934" s="124"/>
      <c r="L934" s="124"/>
      <c r="M934" s="124"/>
      <c r="N934" s="124"/>
      <c r="O934" s="124"/>
      <c r="P934" s="124"/>
      <c r="Q934" s="130"/>
      <c r="R934" s="124"/>
      <c r="S934" s="124"/>
      <c r="T934" s="124"/>
      <c r="U934" s="124"/>
      <c r="V934" s="17"/>
      <c r="W934" s="312"/>
      <c r="X934" s="124"/>
      <c r="Y934" s="124"/>
      <c r="Z934" s="124"/>
      <c r="AA934" s="124"/>
    </row>
    <row r="935" spans="1:27" ht="16.5">
      <c r="A935" s="124"/>
      <c r="B935" s="124"/>
      <c r="C935" s="124"/>
      <c r="D935" s="124"/>
      <c r="E935" s="124"/>
      <c r="F935" s="124"/>
      <c r="G935" s="124"/>
      <c r="H935" s="124"/>
      <c r="I935" s="124"/>
      <c r="J935" s="124"/>
      <c r="K935" s="124"/>
      <c r="L935" s="124"/>
      <c r="M935" s="124"/>
      <c r="N935" s="124"/>
      <c r="O935" s="124"/>
      <c r="P935" s="124"/>
      <c r="Q935" s="130"/>
      <c r="R935" s="124"/>
      <c r="S935" s="124"/>
      <c r="T935" s="124"/>
      <c r="U935" s="124"/>
      <c r="V935" s="17"/>
      <c r="W935" s="312"/>
      <c r="X935" s="124"/>
      <c r="Y935" s="124"/>
      <c r="Z935" s="124"/>
      <c r="AA935" s="124"/>
    </row>
    <row r="936" spans="1:27" ht="16.5">
      <c r="A936" s="124"/>
      <c r="B936" s="124"/>
      <c r="C936" s="124"/>
      <c r="D936" s="124"/>
      <c r="E936" s="124"/>
      <c r="F936" s="124"/>
      <c r="G936" s="124"/>
      <c r="H936" s="124"/>
      <c r="I936" s="124"/>
      <c r="J936" s="124"/>
      <c r="K936" s="124"/>
      <c r="L936" s="124"/>
      <c r="M936" s="124"/>
      <c r="N936" s="124"/>
      <c r="O936" s="124"/>
      <c r="P936" s="124"/>
      <c r="Q936" s="130"/>
      <c r="R936" s="124"/>
      <c r="S936" s="124"/>
      <c r="T936" s="124"/>
      <c r="U936" s="124"/>
      <c r="V936" s="17"/>
      <c r="W936" s="312"/>
      <c r="X936" s="124"/>
      <c r="Y936" s="124"/>
      <c r="Z936" s="124"/>
      <c r="AA936" s="124"/>
    </row>
    <row r="937" spans="1:27" ht="16.5">
      <c r="A937" s="124"/>
      <c r="B937" s="124"/>
      <c r="C937" s="124"/>
      <c r="D937" s="124"/>
      <c r="E937" s="124"/>
      <c r="F937" s="124"/>
      <c r="G937" s="124"/>
      <c r="H937" s="124"/>
      <c r="I937" s="124"/>
      <c r="J937" s="124"/>
      <c r="K937" s="124"/>
      <c r="L937" s="124"/>
      <c r="M937" s="124"/>
      <c r="N937" s="124"/>
      <c r="O937" s="124"/>
      <c r="P937" s="124"/>
      <c r="Q937" s="130"/>
      <c r="R937" s="124"/>
      <c r="S937" s="124"/>
      <c r="T937" s="124"/>
      <c r="U937" s="124"/>
      <c r="V937" s="17"/>
      <c r="W937" s="312"/>
      <c r="X937" s="124"/>
      <c r="Y937" s="124"/>
      <c r="Z937" s="124"/>
      <c r="AA937" s="124"/>
    </row>
    <row r="938" spans="1:27" ht="16.5">
      <c r="A938" s="124"/>
      <c r="B938" s="124"/>
      <c r="C938" s="124"/>
      <c r="D938" s="124"/>
      <c r="E938" s="124"/>
      <c r="F938" s="124"/>
      <c r="G938" s="124"/>
      <c r="H938" s="124"/>
      <c r="I938" s="124"/>
      <c r="J938" s="124"/>
      <c r="K938" s="124"/>
      <c r="L938" s="124"/>
      <c r="M938" s="124"/>
      <c r="N938" s="124"/>
      <c r="O938" s="124"/>
      <c r="P938" s="124"/>
      <c r="Q938" s="130"/>
      <c r="R938" s="124"/>
      <c r="S938" s="124"/>
      <c r="T938" s="124"/>
      <c r="U938" s="124"/>
      <c r="V938" s="17"/>
      <c r="W938" s="312"/>
      <c r="X938" s="124"/>
      <c r="Y938" s="124"/>
      <c r="Z938" s="124"/>
      <c r="AA938" s="124"/>
    </row>
    <row r="939" spans="1:27" ht="16.5">
      <c r="A939" s="124"/>
      <c r="B939" s="124"/>
      <c r="C939" s="124"/>
      <c r="D939" s="124"/>
      <c r="E939" s="124"/>
      <c r="F939" s="124"/>
      <c r="G939" s="124"/>
      <c r="H939" s="124"/>
      <c r="I939" s="124"/>
      <c r="J939" s="124"/>
      <c r="K939" s="124"/>
      <c r="L939" s="124"/>
      <c r="M939" s="124"/>
      <c r="N939" s="124"/>
      <c r="O939" s="124"/>
      <c r="P939" s="124"/>
      <c r="Q939" s="130"/>
      <c r="R939" s="124"/>
      <c r="S939" s="124"/>
      <c r="T939" s="124"/>
      <c r="U939" s="124"/>
      <c r="V939" s="17"/>
      <c r="W939" s="312"/>
      <c r="X939" s="124"/>
      <c r="Y939" s="124"/>
      <c r="Z939" s="124"/>
      <c r="AA939" s="124"/>
    </row>
    <row r="940" spans="1:27" ht="16.5">
      <c r="A940" s="124"/>
      <c r="B940" s="124"/>
      <c r="C940" s="124"/>
      <c r="D940" s="124"/>
      <c r="E940" s="124"/>
      <c r="F940" s="124"/>
      <c r="G940" s="124"/>
      <c r="H940" s="124"/>
      <c r="I940" s="124"/>
      <c r="J940" s="124"/>
      <c r="K940" s="124"/>
      <c r="L940" s="124"/>
      <c r="M940" s="124"/>
      <c r="N940" s="124"/>
      <c r="O940" s="124"/>
      <c r="P940" s="124"/>
      <c r="Q940" s="130"/>
      <c r="R940" s="124"/>
      <c r="S940" s="124"/>
      <c r="T940" s="124"/>
      <c r="U940" s="124"/>
      <c r="V940" s="17"/>
      <c r="W940" s="312"/>
      <c r="X940" s="124"/>
      <c r="Y940" s="124"/>
      <c r="Z940" s="124"/>
      <c r="AA940" s="124"/>
    </row>
    <row r="941" spans="1:27" ht="16.5">
      <c r="A941" s="124"/>
      <c r="B941" s="124"/>
      <c r="C941" s="124"/>
      <c r="D941" s="124"/>
      <c r="E941" s="124"/>
      <c r="F941" s="124"/>
      <c r="G941" s="124"/>
      <c r="H941" s="124"/>
      <c r="I941" s="124"/>
      <c r="J941" s="124"/>
      <c r="K941" s="124"/>
      <c r="L941" s="124"/>
      <c r="M941" s="124"/>
      <c r="N941" s="124"/>
      <c r="O941" s="124"/>
      <c r="P941" s="124"/>
      <c r="Q941" s="130"/>
      <c r="R941" s="124"/>
      <c r="S941" s="124"/>
      <c r="T941" s="124"/>
      <c r="U941" s="124"/>
      <c r="V941" s="17"/>
      <c r="W941" s="312"/>
      <c r="X941" s="124"/>
      <c r="Y941" s="124"/>
      <c r="Z941" s="124"/>
      <c r="AA941" s="124"/>
    </row>
    <row r="942" spans="1:27" ht="16.5">
      <c r="A942" s="124"/>
      <c r="B942" s="124"/>
      <c r="C942" s="124"/>
      <c r="D942" s="124"/>
      <c r="E942" s="124"/>
      <c r="F942" s="124"/>
      <c r="G942" s="124"/>
      <c r="H942" s="124"/>
      <c r="I942" s="124"/>
      <c r="J942" s="124"/>
      <c r="K942" s="124"/>
      <c r="L942" s="124"/>
      <c r="M942" s="124"/>
      <c r="N942" s="124"/>
      <c r="O942" s="124"/>
      <c r="P942" s="124"/>
      <c r="Q942" s="130"/>
      <c r="R942" s="124"/>
      <c r="S942" s="124"/>
      <c r="T942" s="124"/>
      <c r="U942" s="124"/>
      <c r="V942" s="17"/>
      <c r="W942" s="312"/>
      <c r="X942" s="124"/>
      <c r="Y942" s="124"/>
      <c r="Z942" s="124"/>
      <c r="AA942" s="124"/>
    </row>
    <row r="943" spans="1:27" ht="16.5">
      <c r="A943" s="124"/>
      <c r="B943" s="124"/>
      <c r="C943" s="124"/>
      <c r="D943" s="124"/>
      <c r="E943" s="124"/>
      <c r="F943" s="124"/>
      <c r="G943" s="124"/>
      <c r="H943" s="124"/>
      <c r="I943" s="124"/>
      <c r="J943" s="124"/>
      <c r="K943" s="124"/>
      <c r="L943" s="124"/>
      <c r="M943" s="124"/>
      <c r="N943" s="124"/>
      <c r="O943" s="124"/>
      <c r="P943" s="124"/>
      <c r="Q943" s="130"/>
      <c r="R943" s="124"/>
      <c r="S943" s="124"/>
      <c r="T943" s="124"/>
      <c r="U943" s="124"/>
      <c r="V943" s="17"/>
      <c r="W943" s="312"/>
      <c r="X943" s="124"/>
      <c r="Y943" s="124"/>
      <c r="Z943" s="124"/>
      <c r="AA943" s="124"/>
    </row>
    <row r="944" spans="1:27" ht="16.5">
      <c r="A944" s="124"/>
      <c r="B944" s="124"/>
      <c r="C944" s="124"/>
      <c r="D944" s="124"/>
      <c r="E944" s="124"/>
      <c r="F944" s="124"/>
      <c r="G944" s="124"/>
      <c r="H944" s="124"/>
      <c r="I944" s="124"/>
      <c r="J944" s="124"/>
      <c r="K944" s="124"/>
      <c r="L944" s="124"/>
      <c r="M944" s="124"/>
      <c r="N944" s="124"/>
      <c r="O944" s="124"/>
      <c r="P944" s="124"/>
      <c r="Q944" s="130"/>
      <c r="R944" s="124"/>
      <c r="S944" s="124"/>
      <c r="T944" s="124"/>
      <c r="U944" s="124"/>
      <c r="V944" s="17"/>
      <c r="W944" s="312"/>
      <c r="X944" s="124"/>
      <c r="Y944" s="124"/>
      <c r="Z944" s="124"/>
      <c r="AA944" s="124"/>
    </row>
    <row r="945" spans="1:27" ht="16.5">
      <c r="A945" s="124"/>
      <c r="B945" s="124"/>
      <c r="C945" s="124"/>
      <c r="D945" s="124"/>
      <c r="E945" s="124"/>
      <c r="F945" s="124"/>
      <c r="G945" s="124"/>
      <c r="H945" s="124"/>
      <c r="I945" s="124"/>
      <c r="J945" s="124"/>
      <c r="K945" s="124"/>
      <c r="L945" s="124"/>
      <c r="M945" s="124"/>
      <c r="N945" s="124"/>
      <c r="O945" s="124"/>
      <c r="P945" s="124"/>
      <c r="Q945" s="130"/>
      <c r="R945" s="124"/>
      <c r="S945" s="124"/>
      <c r="T945" s="124"/>
      <c r="U945" s="124"/>
      <c r="V945" s="17"/>
      <c r="W945" s="312"/>
      <c r="X945" s="124"/>
      <c r="Y945" s="124"/>
      <c r="Z945" s="124"/>
      <c r="AA945" s="124"/>
    </row>
    <row r="946" spans="1:27" ht="16.5">
      <c r="A946" s="124"/>
      <c r="B946" s="124"/>
      <c r="C946" s="124"/>
      <c r="D946" s="124"/>
      <c r="E946" s="124"/>
      <c r="F946" s="124"/>
      <c r="G946" s="124"/>
      <c r="H946" s="124"/>
      <c r="I946" s="124"/>
      <c r="J946" s="124"/>
      <c r="K946" s="124"/>
      <c r="L946" s="124"/>
      <c r="M946" s="124"/>
      <c r="N946" s="124"/>
      <c r="O946" s="124"/>
      <c r="P946" s="124"/>
      <c r="Q946" s="130"/>
      <c r="R946" s="124"/>
      <c r="S946" s="124"/>
      <c r="T946" s="124"/>
      <c r="U946" s="124"/>
      <c r="V946" s="17"/>
      <c r="W946" s="312"/>
      <c r="X946" s="124"/>
      <c r="Y946" s="124"/>
      <c r="Z946" s="124"/>
      <c r="AA946" s="124"/>
    </row>
    <row r="947" spans="1:27" ht="16.5">
      <c r="A947" s="124"/>
      <c r="B947" s="124"/>
      <c r="C947" s="124"/>
      <c r="D947" s="124"/>
      <c r="E947" s="124"/>
      <c r="F947" s="124"/>
      <c r="G947" s="124"/>
      <c r="H947" s="124"/>
      <c r="I947" s="124"/>
      <c r="J947" s="124"/>
      <c r="K947" s="124"/>
      <c r="L947" s="124"/>
      <c r="M947" s="124"/>
      <c r="N947" s="124"/>
      <c r="O947" s="124"/>
      <c r="P947" s="124"/>
      <c r="Q947" s="130"/>
      <c r="R947" s="124"/>
      <c r="S947" s="124"/>
      <c r="T947" s="124"/>
      <c r="U947" s="124"/>
      <c r="V947" s="17"/>
      <c r="W947" s="312"/>
      <c r="X947" s="124"/>
      <c r="Y947" s="124"/>
      <c r="Z947" s="124"/>
      <c r="AA947" s="124"/>
    </row>
    <row r="948" spans="1:27" ht="16.5">
      <c r="A948" s="124"/>
      <c r="B948" s="124"/>
      <c r="C948" s="124"/>
      <c r="D948" s="124"/>
      <c r="E948" s="124"/>
      <c r="F948" s="124"/>
      <c r="G948" s="124"/>
      <c r="H948" s="124"/>
      <c r="I948" s="124"/>
      <c r="J948" s="124"/>
      <c r="K948" s="124"/>
      <c r="L948" s="124"/>
      <c r="M948" s="124"/>
      <c r="N948" s="124"/>
      <c r="O948" s="124"/>
      <c r="P948" s="124"/>
      <c r="Q948" s="130"/>
      <c r="R948" s="124"/>
      <c r="S948" s="124"/>
      <c r="T948" s="124"/>
      <c r="U948" s="124"/>
      <c r="V948" s="17"/>
      <c r="W948" s="312"/>
      <c r="X948" s="124"/>
      <c r="Y948" s="124"/>
      <c r="Z948" s="124"/>
      <c r="AA948" s="124"/>
    </row>
    <row r="949" spans="1:27" ht="16.5">
      <c r="A949" s="124"/>
      <c r="B949" s="124"/>
      <c r="C949" s="124"/>
      <c r="D949" s="124"/>
      <c r="E949" s="124"/>
      <c r="F949" s="124"/>
      <c r="G949" s="124"/>
      <c r="H949" s="124"/>
      <c r="I949" s="124"/>
      <c r="J949" s="124"/>
      <c r="K949" s="124"/>
      <c r="L949" s="124"/>
      <c r="M949" s="124"/>
      <c r="N949" s="124"/>
      <c r="O949" s="124"/>
      <c r="P949" s="124"/>
      <c r="Q949" s="130"/>
      <c r="R949" s="124"/>
      <c r="S949" s="124"/>
      <c r="T949" s="124"/>
      <c r="U949" s="124"/>
      <c r="V949" s="17"/>
      <c r="W949" s="312"/>
      <c r="X949" s="124"/>
      <c r="Y949" s="124"/>
      <c r="Z949" s="124"/>
      <c r="AA949" s="124"/>
    </row>
    <row r="950" spans="1:27" ht="16.5">
      <c r="A950" s="124"/>
      <c r="B950" s="124"/>
      <c r="C950" s="124"/>
      <c r="D950" s="124"/>
      <c r="E950" s="124"/>
      <c r="F950" s="124"/>
      <c r="G950" s="124"/>
      <c r="H950" s="124"/>
      <c r="I950" s="124"/>
      <c r="J950" s="124"/>
      <c r="K950" s="124"/>
      <c r="L950" s="124"/>
      <c r="M950" s="124"/>
      <c r="N950" s="124"/>
      <c r="O950" s="124"/>
      <c r="P950" s="124"/>
      <c r="Q950" s="130"/>
      <c r="R950" s="124"/>
      <c r="S950" s="124"/>
      <c r="T950" s="124"/>
      <c r="U950" s="124"/>
      <c r="V950" s="17"/>
      <c r="W950" s="312"/>
      <c r="X950" s="124"/>
      <c r="Y950" s="124"/>
      <c r="Z950" s="124"/>
      <c r="AA950" s="124"/>
    </row>
    <row r="951" spans="1:27" ht="16.5">
      <c r="A951" s="124"/>
      <c r="B951" s="124"/>
      <c r="C951" s="124"/>
      <c r="D951" s="124"/>
      <c r="E951" s="124"/>
      <c r="F951" s="124"/>
      <c r="G951" s="124"/>
      <c r="H951" s="124"/>
      <c r="I951" s="124"/>
      <c r="J951" s="124"/>
      <c r="K951" s="124"/>
      <c r="L951" s="124"/>
      <c r="M951" s="124"/>
      <c r="N951" s="124"/>
      <c r="O951" s="124"/>
      <c r="P951" s="124"/>
      <c r="Q951" s="130"/>
      <c r="R951" s="124"/>
      <c r="S951" s="124"/>
      <c r="T951" s="124"/>
      <c r="U951" s="124"/>
      <c r="V951" s="17"/>
      <c r="W951" s="312"/>
      <c r="X951" s="124"/>
      <c r="Y951" s="124"/>
      <c r="Z951" s="124"/>
      <c r="AA951" s="124"/>
    </row>
    <row r="952" spans="1:27" ht="16.5">
      <c r="A952" s="124"/>
      <c r="B952" s="124"/>
      <c r="C952" s="124"/>
      <c r="D952" s="124"/>
      <c r="E952" s="124"/>
      <c r="F952" s="124"/>
      <c r="G952" s="124"/>
      <c r="H952" s="124"/>
      <c r="I952" s="124"/>
      <c r="J952" s="124"/>
      <c r="K952" s="124"/>
      <c r="L952" s="124"/>
      <c r="M952" s="124"/>
      <c r="N952" s="124"/>
      <c r="O952" s="124"/>
      <c r="P952" s="124"/>
      <c r="Q952" s="130"/>
      <c r="R952" s="124"/>
      <c r="S952" s="124"/>
      <c r="T952" s="124"/>
      <c r="U952" s="124"/>
      <c r="V952" s="17"/>
      <c r="W952" s="312"/>
      <c r="X952" s="124"/>
      <c r="Y952" s="124"/>
      <c r="Z952" s="124"/>
      <c r="AA952" s="124"/>
    </row>
    <row r="953" spans="1:27" ht="16.5">
      <c r="A953" s="124"/>
      <c r="B953" s="124"/>
      <c r="C953" s="124"/>
      <c r="D953" s="124"/>
      <c r="E953" s="124"/>
      <c r="F953" s="124"/>
      <c r="G953" s="124"/>
      <c r="H953" s="124"/>
      <c r="I953" s="124"/>
      <c r="J953" s="124"/>
      <c r="K953" s="124"/>
      <c r="L953" s="124"/>
      <c r="M953" s="124"/>
      <c r="N953" s="124"/>
      <c r="O953" s="124"/>
      <c r="P953" s="124"/>
      <c r="Q953" s="130"/>
      <c r="R953" s="124"/>
      <c r="S953" s="124"/>
      <c r="T953" s="124"/>
      <c r="U953" s="124"/>
      <c r="V953" s="17"/>
      <c r="W953" s="312"/>
      <c r="X953" s="124"/>
      <c r="Y953" s="124"/>
      <c r="Z953" s="124"/>
      <c r="AA953" s="124"/>
    </row>
    <row r="954" spans="1:27" ht="16.5">
      <c r="A954" s="124"/>
      <c r="B954" s="124"/>
      <c r="C954" s="124"/>
      <c r="D954" s="124"/>
      <c r="E954" s="124"/>
      <c r="F954" s="124"/>
      <c r="G954" s="124"/>
      <c r="H954" s="124"/>
      <c r="I954" s="124"/>
      <c r="J954" s="124"/>
      <c r="K954" s="124"/>
      <c r="L954" s="124"/>
      <c r="M954" s="124"/>
      <c r="N954" s="124"/>
      <c r="O954" s="124"/>
      <c r="P954" s="124"/>
      <c r="Q954" s="130"/>
      <c r="R954" s="124"/>
      <c r="S954" s="124"/>
      <c r="T954" s="124"/>
      <c r="U954" s="124"/>
      <c r="V954" s="17"/>
      <c r="W954" s="312"/>
      <c r="X954" s="124"/>
      <c r="Y954" s="124"/>
      <c r="Z954" s="124"/>
      <c r="AA954" s="124"/>
    </row>
    <row r="955" spans="1:27" ht="16.5">
      <c r="A955" s="124"/>
      <c r="B955" s="124"/>
      <c r="C955" s="124"/>
      <c r="D955" s="124"/>
      <c r="E955" s="124"/>
      <c r="F955" s="124"/>
      <c r="G955" s="124"/>
      <c r="H955" s="124"/>
      <c r="I955" s="124"/>
      <c r="J955" s="124"/>
      <c r="K955" s="124"/>
      <c r="L955" s="124"/>
      <c r="M955" s="124"/>
      <c r="N955" s="124"/>
      <c r="O955" s="124"/>
      <c r="P955" s="124"/>
      <c r="Q955" s="130"/>
      <c r="R955" s="124"/>
      <c r="S955" s="124"/>
      <c r="T955" s="124"/>
      <c r="U955" s="124"/>
      <c r="V955" s="17"/>
      <c r="W955" s="312"/>
      <c r="X955" s="124"/>
      <c r="Y955" s="124"/>
      <c r="Z955" s="124"/>
      <c r="AA955" s="124"/>
    </row>
    <row r="956" spans="1:27" ht="16.5">
      <c r="A956" s="124"/>
      <c r="B956" s="124"/>
      <c r="C956" s="124"/>
      <c r="D956" s="124"/>
      <c r="E956" s="124"/>
      <c r="F956" s="124"/>
      <c r="G956" s="124"/>
      <c r="H956" s="124"/>
      <c r="I956" s="124"/>
      <c r="J956" s="124"/>
      <c r="K956" s="124"/>
      <c r="L956" s="124"/>
      <c r="M956" s="124"/>
      <c r="N956" s="124"/>
      <c r="O956" s="124"/>
      <c r="P956" s="124"/>
      <c r="Q956" s="130"/>
      <c r="R956" s="124"/>
      <c r="S956" s="124"/>
      <c r="T956" s="124"/>
      <c r="U956" s="124"/>
      <c r="V956" s="17"/>
      <c r="W956" s="312"/>
      <c r="X956" s="124"/>
      <c r="Y956" s="124"/>
      <c r="Z956" s="124"/>
      <c r="AA956" s="124"/>
    </row>
    <row r="957" spans="1:27" ht="16.5">
      <c r="A957" s="124"/>
      <c r="B957" s="124"/>
      <c r="C957" s="124"/>
      <c r="D957" s="124"/>
      <c r="E957" s="124"/>
      <c r="F957" s="124"/>
      <c r="G957" s="124"/>
      <c r="H957" s="124"/>
      <c r="I957" s="124"/>
      <c r="J957" s="124"/>
      <c r="K957" s="124"/>
      <c r="L957" s="124"/>
      <c r="M957" s="124"/>
      <c r="N957" s="124"/>
      <c r="O957" s="124"/>
      <c r="P957" s="124"/>
      <c r="Q957" s="130"/>
      <c r="R957" s="124"/>
      <c r="S957" s="124"/>
      <c r="T957" s="124"/>
      <c r="U957" s="124"/>
      <c r="V957" s="17"/>
      <c r="W957" s="312"/>
      <c r="X957" s="124"/>
      <c r="Y957" s="124"/>
      <c r="Z957" s="124"/>
      <c r="AA957" s="124"/>
    </row>
    <row r="958" spans="1:27" ht="16.5">
      <c r="A958" s="124"/>
      <c r="B958" s="124"/>
      <c r="C958" s="124"/>
      <c r="D958" s="124"/>
      <c r="E958" s="124"/>
      <c r="F958" s="124"/>
      <c r="G958" s="124"/>
      <c r="H958" s="124"/>
      <c r="I958" s="124"/>
      <c r="J958" s="124"/>
      <c r="K958" s="124"/>
      <c r="L958" s="124"/>
      <c r="M958" s="124"/>
      <c r="N958" s="124"/>
      <c r="O958" s="124"/>
      <c r="P958" s="124"/>
      <c r="Q958" s="130"/>
      <c r="R958" s="124"/>
      <c r="S958" s="124"/>
      <c r="T958" s="124"/>
      <c r="U958" s="124"/>
      <c r="V958" s="17"/>
      <c r="W958" s="312"/>
      <c r="X958" s="124"/>
      <c r="Y958" s="124"/>
      <c r="Z958" s="124"/>
      <c r="AA958" s="124"/>
    </row>
    <row r="959" spans="1:27" ht="16.5">
      <c r="A959" s="124"/>
      <c r="B959" s="124"/>
      <c r="C959" s="124"/>
      <c r="D959" s="124"/>
      <c r="E959" s="124"/>
      <c r="F959" s="124"/>
      <c r="G959" s="124"/>
      <c r="H959" s="124"/>
      <c r="I959" s="124"/>
      <c r="J959" s="124"/>
      <c r="K959" s="124"/>
      <c r="L959" s="124"/>
      <c r="M959" s="124"/>
      <c r="N959" s="124"/>
      <c r="O959" s="124"/>
      <c r="P959" s="124"/>
      <c r="Q959" s="130"/>
      <c r="R959" s="124"/>
      <c r="S959" s="124"/>
      <c r="T959" s="124"/>
      <c r="U959" s="124"/>
      <c r="V959" s="17"/>
      <c r="W959" s="312"/>
      <c r="X959" s="124"/>
      <c r="Y959" s="124"/>
      <c r="Z959" s="124"/>
      <c r="AA959" s="124"/>
    </row>
    <row r="960" spans="1:27" ht="16.5">
      <c r="A960" s="124"/>
      <c r="B960" s="124"/>
      <c r="C960" s="124"/>
      <c r="D960" s="124"/>
      <c r="E960" s="124"/>
      <c r="F960" s="124"/>
      <c r="G960" s="124"/>
      <c r="H960" s="124"/>
      <c r="I960" s="124"/>
      <c r="J960" s="124"/>
      <c r="K960" s="124"/>
      <c r="L960" s="124"/>
      <c r="M960" s="124"/>
      <c r="N960" s="124"/>
      <c r="O960" s="124"/>
      <c r="P960" s="124"/>
      <c r="Q960" s="130"/>
      <c r="R960" s="124"/>
      <c r="S960" s="124"/>
      <c r="T960" s="124"/>
      <c r="U960" s="124"/>
      <c r="V960" s="17"/>
      <c r="W960" s="312"/>
      <c r="X960" s="124"/>
      <c r="Y960" s="124"/>
      <c r="Z960" s="124"/>
      <c r="AA960" s="124"/>
    </row>
    <row r="961" spans="1:27" ht="16.5">
      <c r="A961" s="124"/>
      <c r="B961" s="124"/>
      <c r="C961" s="124"/>
      <c r="D961" s="124"/>
      <c r="E961" s="124"/>
      <c r="F961" s="124"/>
      <c r="G961" s="124"/>
      <c r="H961" s="124"/>
      <c r="I961" s="124"/>
      <c r="J961" s="124"/>
      <c r="K961" s="124"/>
      <c r="L961" s="124"/>
      <c r="M961" s="124"/>
      <c r="N961" s="124"/>
      <c r="O961" s="124"/>
      <c r="P961" s="124"/>
      <c r="Q961" s="130"/>
      <c r="R961" s="124"/>
      <c r="S961" s="124"/>
      <c r="T961" s="124"/>
      <c r="U961" s="124"/>
      <c r="V961" s="17"/>
      <c r="W961" s="312"/>
      <c r="X961" s="124"/>
      <c r="Y961" s="124"/>
      <c r="Z961" s="124"/>
      <c r="AA961" s="124"/>
    </row>
    <row r="962" spans="1:27" ht="16.5">
      <c r="A962" s="124"/>
      <c r="B962" s="124"/>
      <c r="C962" s="124"/>
      <c r="D962" s="124"/>
      <c r="E962" s="124"/>
      <c r="F962" s="124"/>
      <c r="G962" s="124"/>
      <c r="H962" s="124"/>
      <c r="I962" s="124"/>
      <c r="J962" s="124"/>
      <c r="K962" s="124"/>
      <c r="L962" s="124"/>
      <c r="M962" s="124"/>
      <c r="N962" s="124"/>
      <c r="O962" s="124"/>
      <c r="P962" s="124"/>
      <c r="Q962" s="130"/>
      <c r="R962" s="124"/>
      <c r="S962" s="124"/>
      <c r="T962" s="124"/>
      <c r="U962" s="124"/>
      <c r="V962" s="17"/>
      <c r="W962" s="312"/>
      <c r="X962" s="124"/>
      <c r="Y962" s="124"/>
      <c r="Z962" s="124"/>
      <c r="AA962" s="124"/>
    </row>
    <row r="963" spans="1:27" ht="16.5">
      <c r="A963" s="124"/>
      <c r="B963" s="124"/>
      <c r="C963" s="124"/>
      <c r="D963" s="124"/>
      <c r="E963" s="124"/>
      <c r="F963" s="124"/>
      <c r="G963" s="124"/>
      <c r="H963" s="124"/>
      <c r="I963" s="124"/>
      <c r="J963" s="124"/>
      <c r="K963" s="124"/>
      <c r="L963" s="124"/>
      <c r="M963" s="124"/>
      <c r="N963" s="124"/>
      <c r="O963" s="124"/>
      <c r="P963" s="124"/>
      <c r="Q963" s="130"/>
      <c r="R963" s="124"/>
      <c r="S963" s="124"/>
      <c r="T963" s="124"/>
      <c r="U963" s="124"/>
      <c r="V963" s="17"/>
      <c r="W963" s="312"/>
      <c r="X963" s="124"/>
      <c r="Y963" s="124"/>
      <c r="Z963" s="124"/>
      <c r="AA963" s="124"/>
    </row>
    <row r="964" spans="1:27" ht="16.5">
      <c r="A964" s="124"/>
      <c r="B964" s="124"/>
      <c r="C964" s="124"/>
      <c r="D964" s="124"/>
      <c r="E964" s="124"/>
      <c r="F964" s="124"/>
      <c r="G964" s="124"/>
      <c r="H964" s="124"/>
      <c r="I964" s="124"/>
      <c r="J964" s="124"/>
      <c r="K964" s="124"/>
      <c r="L964" s="124"/>
      <c r="M964" s="124"/>
      <c r="N964" s="124"/>
      <c r="O964" s="124"/>
      <c r="P964" s="124"/>
      <c r="Q964" s="130"/>
      <c r="R964" s="124"/>
      <c r="S964" s="124"/>
      <c r="T964" s="124"/>
      <c r="U964" s="124"/>
      <c r="V964" s="17"/>
      <c r="W964" s="312"/>
      <c r="X964" s="124"/>
      <c r="Y964" s="124"/>
      <c r="Z964" s="124"/>
      <c r="AA964" s="124"/>
    </row>
    <row r="965" spans="1:27" ht="16.5">
      <c r="A965" s="124"/>
      <c r="B965" s="124"/>
      <c r="C965" s="124"/>
      <c r="D965" s="124"/>
      <c r="E965" s="124"/>
      <c r="F965" s="124"/>
      <c r="G965" s="124"/>
      <c r="H965" s="124"/>
      <c r="I965" s="124"/>
      <c r="J965" s="124"/>
      <c r="K965" s="124"/>
      <c r="L965" s="124"/>
      <c r="M965" s="124"/>
      <c r="N965" s="124"/>
      <c r="O965" s="124"/>
      <c r="P965" s="124"/>
      <c r="Q965" s="130"/>
      <c r="R965" s="124"/>
      <c r="S965" s="124"/>
      <c r="T965" s="124"/>
      <c r="U965" s="124"/>
      <c r="V965" s="17"/>
      <c r="W965" s="312"/>
      <c r="X965" s="124"/>
      <c r="Y965" s="124"/>
      <c r="Z965" s="124"/>
      <c r="AA965" s="124"/>
    </row>
    <row r="966" spans="1:27" ht="16.5">
      <c r="A966" s="124"/>
      <c r="B966" s="124"/>
      <c r="C966" s="124"/>
      <c r="D966" s="124"/>
      <c r="E966" s="124"/>
      <c r="F966" s="124"/>
      <c r="G966" s="124"/>
      <c r="H966" s="124"/>
      <c r="I966" s="124"/>
      <c r="J966" s="124"/>
      <c r="K966" s="124"/>
      <c r="L966" s="124"/>
      <c r="M966" s="124"/>
      <c r="N966" s="124"/>
      <c r="O966" s="124"/>
      <c r="P966" s="124"/>
      <c r="Q966" s="130"/>
      <c r="R966" s="124"/>
      <c r="S966" s="124"/>
      <c r="T966" s="124"/>
      <c r="U966" s="124"/>
      <c r="V966" s="17"/>
      <c r="W966" s="312"/>
      <c r="X966" s="124"/>
      <c r="Y966" s="124"/>
      <c r="Z966" s="124"/>
      <c r="AA966" s="124"/>
    </row>
    <row r="967" spans="1:27" ht="16.5">
      <c r="A967" s="124"/>
      <c r="B967" s="124"/>
      <c r="C967" s="124"/>
      <c r="D967" s="124"/>
      <c r="E967" s="124"/>
      <c r="F967" s="124"/>
      <c r="G967" s="124"/>
      <c r="H967" s="124"/>
      <c r="I967" s="124"/>
      <c r="J967" s="124"/>
      <c r="K967" s="124"/>
      <c r="L967" s="124"/>
      <c r="M967" s="124"/>
      <c r="N967" s="124"/>
      <c r="O967" s="124"/>
      <c r="P967" s="124"/>
      <c r="Q967" s="130"/>
      <c r="R967" s="124"/>
      <c r="S967" s="124"/>
      <c r="T967" s="124"/>
      <c r="U967" s="124"/>
      <c r="V967" s="17"/>
      <c r="W967" s="312"/>
      <c r="X967" s="124"/>
      <c r="Y967" s="124"/>
      <c r="Z967" s="124"/>
      <c r="AA967" s="124"/>
    </row>
    <row r="968" spans="1:27" ht="16.5">
      <c r="A968" s="124"/>
      <c r="B968" s="124"/>
      <c r="C968" s="124"/>
      <c r="D968" s="124"/>
      <c r="E968" s="124"/>
      <c r="F968" s="124"/>
      <c r="G968" s="124"/>
      <c r="H968" s="124"/>
      <c r="I968" s="124"/>
      <c r="J968" s="124"/>
      <c r="K968" s="124"/>
      <c r="L968" s="124"/>
      <c r="M968" s="124"/>
      <c r="N968" s="124"/>
      <c r="O968" s="124"/>
      <c r="P968" s="124"/>
      <c r="Q968" s="130"/>
      <c r="R968" s="124"/>
      <c r="S968" s="124"/>
      <c r="T968" s="124"/>
      <c r="U968" s="124"/>
      <c r="V968" s="17"/>
      <c r="W968" s="312"/>
      <c r="X968" s="124"/>
      <c r="Y968" s="124"/>
      <c r="Z968" s="124"/>
      <c r="AA968" s="124"/>
    </row>
    <row r="969" spans="1:27" ht="16.5">
      <c r="A969" s="124"/>
      <c r="B969" s="124"/>
      <c r="C969" s="124"/>
      <c r="D969" s="124"/>
      <c r="E969" s="124"/>
      <c r="F969" s="124"/>
      <c r="G969" s="124"/>
      <c r="H969" s="124"/>
      <c r="I969" s="124"/>
      <c r="J969" s="124"/>
      <c r="K969" s="124"/>
      <c r="L969" s="124"/>
      <c r="M969" s="124"/>
      <c r="N969" s="124"/>
      <c r="O969" s="124"/>
      <c r="P969" s="124"/>
      <c r="Q969" s="130"/>
      <c r="R969" s="124"/>
      <c r="S969" s="124"/>
      <c r="T969" s="124"/>
      <c r="U969" s="124"/>
      <c r="V969" s="17"/>
      <c r="W969" s="312"/>
      <c r="X969" s="124"/>
      <c r="Y969" s="124"/>
      <c r="Z969" s="124"/>
      <c r="AA969" s="124"/>
    </row>
    <row r="970" spans="1:27" ht="16.5">
      <c r="A970" s="124"/>
      <c r="B970" s="124"/>
      <c r="C970" s="124"/>
      <c r="D970" s="124"/>
      <c r="E970" s="124"/>
      <c r="F970" s="124"/>
      <c r="G970" s="124"/>
      <c r="H970" s="124"/>
      <c r="I970" s="124"/>
      <c r="J970" s="124"/>
      <c r="K970" s="124"/>
      <c r="L970" s="124"/>
      <c r="M970" s="124"/>
      <c r="N970" s="124"/>
      <c r="O970" s="124"/>
      <c r="P970" s="124"/>
      <c r="Q970" s="130"/>
      <c r="R970" s="124"/>
      <c r="S970" s="124"/>
      <c r="T970" s="124"/>
      <c r="U970" s="124"/>
      <c r="V970" s="17"/>
      <c r="W970" s="312"/>
      <c r="X970" s="124"/>
      <c r="Y970" s="124"/>
      <c r="Z970" s="124"/>
      <c r="AA970" s="124"/>
    </row>
    <row r="971" spans="1:27" ht="16.5">
      <c r="A971" s="124"/>
      <c r="B971" s="124"/>
      <c r="C971" s="124"/>
      <c r="D971" s="124"/>
      <c r="E971" s="124"/>
      <c r="F971" s="124"/>
      <c r="G971" s="124"/>
      <c r="H971" s="124"/>
      <c r="I971" s="124"/>
      <c r="J971" s="124"/>
      <c r="K971" s="124"/>
      <c r="L971" s="124"/>
      <c r="M971" s="124"/>
      <c r="N971" s="124"/>
      <c r="O971" s="124"/>
      <c r="P971" s="124"/>
      <c r="Q971" s="130"/>
      <c r="R971" s="124"/>
      <c r="S971" s="124"/>
      <c r="T971" s="124"/>
      <c r="U971" s="124"/>
      <c r="V971" s="17"/>
      <c r="W971" s="312"/>
      <c r="X971" s="124"/>
      <c r="Y971" s="124"/>
      <c r="Z971" s="124"/>
      <c r="AA971" s="124"/>
    </row>
    <row r="972" spans="1:27" ht="16.5">
      <c r="A972" s="124"/>
      <c r="B972" s="124"/>
      <c r="C972" s="124"/>
      <c r="D972" s="124"/>
      <c r="E972" s="124"/>
      <c r="F972" s="124"/>
      <c r="G972" s="124"/>
      <c r="H972" s="124"/>
      <c r="I972" s="124"/>
      <c r="J972" s="124"/>
      <c r="K972" s="124"/>
      <c r="L972" s="124"/>
      <c r="M972" s="124"/>
      <c r="N972" s="124"/>
      <c r="O972" s="124"/>
      <c r="P972" s="124"/>
      <c r="Q972" s="130"/>
      <c r="R972" s="124"/>
      <c r="S972" s="124"/>
      <c r="T972" s="124"/>
      <c r="U972" s="124"/>
      <c r="V972" s="17"/>
      <c r="W972" s="312"/>
      <c r="X972" s="124"/>
      <c r="Y972" s="124"/>
      <c r="Z972" s="124"/>
      <c r="AA972" s="124"/>
    </row>
    <row r="973" spans="1:27" ht="16.5">
      <c r="A973" s="124"/>
      <c r="B973" s="124"/>
      <c r="C973" s="124"/>
      <c r="D973" s="124"/>
      <c r="E973" s="124"/>
      <c r="F973" s="124"/>
      <c r="G973" s="124"/>
      <c r="H973" s="124"/>
      <c r="I973" s="124"/>
      <c r="J973" s="124"/>
      <c r="K973" s="124"/>
      <c r="L973" s="124"/>
      <c r="M973" s="124"/>
      <c r="N973" s="124"/>
      <c r="O973" s="124"/>
      <c r="P973" s="124"/>
      <c r="Q973" s="130"/>
      <c r="R973" s="124"/>
      <c r="S973" s="124"/>
      <c r="T973" s="124"/>
      <c r="U973" s="124"/>
      <c r="V973" s="17"/>
      <c r="W973" s="312"/>
      <c r="X973" s="124"/>
      <c r="Y973" s="124"/>
      <c r="Z973" s="124"/>
      <c r="AA973" s="124"/>
    </row>
    <row r="974" spans="1:27" ht="16.5">
      <c r="A974" s="124"/>
      <c r="B974" s="124"/>
      <c r="C974" s="124"/>
      <c r="D974" s="124"/>
      <c r="E974" s="124"/>
      <c r="F974" s="124"/>
      <c r="G974" s="124"/>
      <c r="H974" s="124"/>
      <c r="I974" s="124"/>
      <c r="J974" s="124"/>
      <c r="K974" s="124"/>
      <c r="L974" s="124"/>
      <c r="M974" s="124"/>
      <c r="N974" s="124"/>
      <c r="O974" s="124"/>
      <c r="P974" s="124"/>
      <c r="Q974" s="130"/>
      <c r="R974" s="124"/>
      <c r="S974" s="124"/>
      <c r="T974" s="124"/>
      <c r="U974" s="124"/>
      <c r="V974" s="17"/>
      <c r="W974" s="312"/>
      <c r="X974" s="124"/>
      <c r="Y974" s="124"/>
      <c r="Z974" s="124"/>
      <c r="AA974" s="124"/>
    </row>
    <row r="975" spans="1:27" ht="16.5">
      <c r="A975" s="124"/>
      <c r="B975" s="124"/>
      <c r="C975" s="124"/>
      <c r="D975" s="124"/>
      <c r="E975" s="124"/>
      <c r="F975" s="124"/>
      <c r="G975" s="124"/>
      <c r="H975" s="124"/>
      <c r="I975" s="124"/>
      <c r="J975" s="124"/>
      <c r="K975" s="124"/>
      <c r="L975" s="124"/>
      <c r="M975" s="124"/>
      <c r="N975" s="124"/>
      <c r="O975" s="124"/>
      <c r="P975" s="124"/>
      <c r="Q975" s="130"/>
      <c r="R975" s="124"/>
      <c r="S975" s="124"/>
      <c r="T975" s="124"/>
      <c r="U975" s="124"/>
      <c r="V975" s="17"/>
      <c r="W975" s="312"/>
      <c r="X975" s="124"/>
      <c r="Y975" s="124"/>
      <c r="Z975" s="124"/>
      <c r="AA975" s="124"/>
    </row>
    <row r="976" spans="1:27" ht="16.5">
      <c r="A976" s="124"/>
      <c r="B976" s="124"/>
      <c r="C976" s="124"/>
      <c r="D976" s="124"/>
      <c r="E976" s="124"/>
      <c r="F976" s="124"/>
      <c r="G976" s="124"/>
      <c r="H976" s="124"/>
      <c r="I976" s="124"/>
      <c r="J976" s="124"/>
      <c r="K976" s="124"/>
      <c r="L976" s="124"/>
      <c r="M976" s="124"/>
      <c r="N976" s="124"/>
      <c r="O976" s="124"/>
      <c r="P976" s="124"/>
      <c r="Q976" s="130"/>
      <c r="R976" s="124"/>
      <c r="S976" s="124"/>
      <c r="T976" s="124"/>
      <c r="U976" s="124"/>
      <c r="V976" s="17"/>
      <c r="W976" s="312"/>
      <c r="X976" s="124"/>
      <c r="Y976" s="124"/>
      <c r="Z976" s="124"/>
      <c r="AA976" s="124"/>
    </row>
    <row r="977" spans="1:27" ht="16.5">
      <c r="A977" s="124"/>
      <c r="B977" s="124"/>
      <c r="C977" s="124"/>
      <c r="D977" s="124"/>
      <c r="E977" s="124"/>
      <c r="F977" s="124"/>
      <c r="G977" s="124"/>
      <c r="H977" s="124"/>
      <c r="I977" s="124"/>
      <c r="J977" s="124"/>
      <c r="K977" s="124"/>
      <c r="L977" s="124"/>
      <c r="M977" s="124"/>
      <c r="N977" s="124"/>
      <c r="O977" s="124"/>
      <c r="P977" s="124"/>
      <c r="Q977" s="130"/>
      <c r="R977" s="124"/>
      <c r="S977" s="124"/>
      <c r="T977" s="124"/>
      <c r="U977" s="124"/>
      <c r="V977" s="17"/>
      <c r="W977" s="312"/>
      <c r="X977" s="124"/>
      <c r="Y977" s="124"/>
      <c r="Z977" s="124"/>
      <c r="AA977" s="124"/>
    </row>
    <row r="978" spans="1:27" ht="16.5">
      <c r="A978" s="124"/>
      <c r="B978" s="124"/>
      <c r="C978" s="124"/>
      <c r="D978" s="124"/>
      <c r="E978" s="124"/>
      <c r="F978" s="124"/>
      <c r="G978" s="124"/>
      <c r="H978" s="124"/>
      <c r="I978" s="124"/>
      <c r="J978" s="124"/>
      <c r="K978" s="124"/>
      <c r="L978" s="124"/>
      <c r="M978" s="124"/>
      <c r="N978" s="124"/>
      <c r="O978" s="124"/>
      <c r="P978" s="124"/>
      <c r="Q978" s="130"/>
      <c r="R978" s="124"/>
      <c r="S978" s="124"/>
      <c r="T978" s="124"/>
      <c r="U978" s="124"/>
      <c r="V978" s="17"/>
      <c r="W978" s="312"/>
      <c r="X978" s="124"/>
      <c r="Y978" s="124"/>
      <c r="Z978" s="124"/>
      <c r="AA978" s="124"/>
    </row>
    <row r="979" spans="1:27" ht="16.5">
      <c r="A979" s="124"/>
      <c r="B979" s="124"/>
      <c r="C979" s="124"/>
      <c r="D979" s="124"/>
      <c r="E979" s="124"/>
      <c r="F979" s="124"/>
      <c r="G979" s="124"/>
      <c r="H979" s="124"/>
      <c r="I979" s="124"/>
      <c r="J979" s="124"/>
      <c r="K979" s="124"/>
      <c r="L979" s="124"/>
      <c r="M979" s="124"/>
      <c r="N979" s="124"/>
      <c r="O979" s="124"/>
      <c r="P979" s="124"/>
      <c r="Q979" s="130"/>
      <c r="R979" s="124"/>
      <c r="S979" s="124"/>
      <c r="T979" s="124"/>
      <c r="U979" s="124"/>
      <c r="V979" s="17"/>
      <c r="W979" s="312"/>
      <c r="X979" s="124"/>
      <c r="Y979" s="124"/>
      <c r="Z979" s="124"/>
      <c r="AA979" s="124"/>
    </row>
    <row r="980" spans="1:27" ht="16.5">
      <c r="A980" s="124"/>
      <c r="B980" s="124"/>
      <c r="C980" s="124"/>
      <c r="D980" s="124"/>
      <c r="E980" s="124"/>
      <c r="F980" s="124"/>
      <c r="G980" s="124"/>
      <c r="H980" s="124"/>
      <c r="I980" s="124"/>
      <c r="J980" s="124"/>
      <c r="K980" s="124"/>
      <c r="L980" s="124"/>
      <c r="M980" s="124"/>
      <c r="N980" s="124"/>
      <c r="O980" s="124"/>
      <c r="P980" s="124"/>
      <c r="Q980" s="130"/>
      <c r="R980" s="124"/>
      <c r="S980" s="124"/>
      <c r="T980" s="124"/>
      <c r="U980" s="124"/>
      <c r="V980" s="17"/>
      <c r="W980" s="312"/>
      <c r="X980" s="124"/>
      <c r="Y980" s="124"/>
      <c r="Z980" s="124"/>
      <c r="AA980" s="124"/>
    </row>
    <row r="981" spans="1:27" ht="16.5">
      <c r="A981" s="124"/>
      <c r="B981" s="124"/>
      <c r="C981" s="124"/>
      <c r="D981" s="124"/>
      <c r="E981" s="124"/>
      <c r="F981" s="124"/>
      <c r="G981" s="124"/>
      <c r="H981" s="124"/>
      <c r="I981" s="124"/>
      <c r="J981" s="124"/>
      <c r="K981" s="124"/>
      <c r="L981" s="124"/>
      <c r="M981" s="124"/>
      <c r="N981" s="124"/>
      <c r="O981" s="124"/>
      <c r="P981" s="124"/>
      <c r="Q981" s="130"/>
      <c r="R981" s="124"/>
      <c r="S981" s="124"/>
      <c r="T981" s="124"/>
      <c r="U981" s="124"/>
      <c r="V981" s="17"/>
      <c r="W981" s="312"/>
      <c r="X981" s="124"/>
      <c r="Y981" s="124"/>
      <c r="Z981" s="124"/>
      <c r="AA981" s="124"/>
    </row>
    <row r="982" spans="1:27" ht="16.5">
      <c r="A982" s="124"/>
      <c r="B982" s="124"/>
      <c r="C982" s="124"/>
      <c r="D982" s="124"/>
      <c r="E982" s="124"/>
      <c r="F982" s="124"/>
      <c r="G982" s="124"/>
      <c r="H982" s="124"/>
      <c r="I982" s="124"/>
      <c r="J982" s="124"/>
      <c r="K982" s="124"/>
      <c r="L982" s="124"/>
      <c r="M982" s="124"/>
      <c r="N982" s="124"/>
      <c r="O982" s="124"/>
      <c r="P982" s="124"/>
      <c r="Q982" s="130"/>
      <c r="R982" s="124"/>
      <c r="S982" s="124"/>
      <c r="T982" s="124"/>
      <c r="U982" s="124"/>
      <c r="V982" s="17"/>
      <c r="W982" s="312"/>
      <c r="X982" s="124"/>
      <c r="Y982" s="124"/>
      <c r="Z982" s="124"/>
      <c r="AA982" s="124"/>
    </row>
    <row r="983" spans="1:27" ht="16.5">
      <c r="A983" s="124"/>
      <c r="B983" s="124"/>
      <c r="C983" s="124"/>
      <c r="D983" s="124"/>
      <c r="E983" s="124"/>
      <c r="F983" s="124"/>
      <c r="G983" s="124"/>
      <c r="H983" s="124"/>
      <c r="I983" s="124"/>
      <c r="J983" s="124"/>
      <c r="K983" s="124"/>
      <c r="L983" s="124"/>
      <c r="M983" s="124"/>
      <c r="N983" s="124"/>
      <c r="O983" s="124"/>
      <c r="P983" s="124"/>
      <c r="Q983" s="130"/>
      <c r="R983" s="124"/>
      <c r="S983" s="124"/>
      <c r="T983" s="124"/>
      <c r="U983" s="124"/>
      <c r="V983" s="17"/>
      <c r="W983" s="312"/>
      <c r="X983" s="124"/>
      <c r="Y983" s="124"/>
      <c r="Z983" s="124"/>
      <c r="AA983" s="124"/>
    </row>
    <row r="984" spans="1:27" ht="16.5">
      <c r="A984" s="124"/>
      <c r="B984" s="124"/>
      <c r="C984" s="124"/>
      <c r="D984" s="124"/>
      <c r="E984" s="124"/>
      <c r="F984" s="124"/>
      <c r="G984" s="124"/>
      <c r="H984" s="124"/>
      <c r="I984" s="124"/>
      <c r="J984" s="124"/>
      <c r="K984" s="124"/>
      <c r="L984" s="124"/>
      <c r="M984" s="124"/>
      <c r="N984" s="124"/>
      <c r="O984" s="124"/>
      <c r="P984" s="124"/>
      <c r="Q984" s="130"/>
      <c r="R984" s="124"/>
      <c r="S984" s="124"/>
      <c r="T984" s="124"/>
      <c r="U984" s="124"/>
      <c r="V984" s="17"/>
      <c r="W984" s="312"/>
      <c r="X984" s="124"/>
      <c r="Y984" s="124"/>
      <c r="Z984" s="124"/>
      <c r="AA984" s="124"/>
    </row>
    <row r="985" spans="1:27" ht="16.5">
      <c r="A985" s="124"/>
      <c r="B985" s="124"/>
      <c r="C985" s="124"/>
      <c r="D985" s="124"/>
      <c r="E985" s="124"/>
      <c r="F985" s="124"/>
      <c r="G985" s="124"/>
      <c r="H985" s="124"/>
      <c r="I985" s="124"/>
      <c r="J985" s="124"/>
      <c r="K985" s="124"/>
      <c r="L985" s="124"/>
      <c r="M985" s="124"/>
      <c r="N985" s="124"/>
      <c r="O985" s="124"/>
      <c r="P985" s="124"/>
      <c r="Q985" s="130"/>
      <c r="R985" s="124"/>
      <c r="S985" s="124"/>
      <c r="T985" s="124"/>
      <c r="U985" s="124"/>
      <c r="V985" s="17"/>
      <c r="W985" s="312"/>
      <c r="X985" s="124"/>
      <c r="Y985" s="124"/>
      <c r="Z985" s="124"/>
      <c r="AA985" s="124"/>
    </row>
    <row r="986" spans="1:27" ht="16.5">
      <c r="A986" s="124"/>
      <c r="B986" s="124"/>
      <c r="C986" s="124"/>
      <c r="D986" s="124"/>
      <c r="E986" s="124"/>
      <c r="F986" s="124"/>
      <c r="G986" s="124"/>
      <c r="H986" s="124"/>
      <c r="I986" s="124"/>
      <c r="J986" s="124"/>
      <c r="K986" s="124"/>
      <c r="L986" s="124"/>
      <c r="M986" s="124"/>
      <c r="N986" s="124"/>
      <c r="O986" s="124"/>
      <c r="P986" s="124"/>
      <c r="Q986" s="130"/>
      <c r="R986" s="124"/>
      <c r="S986" s="124"/>
      <c r="T986" s="124"/>
      <c r="U986" s="124"/>
      <c r="V986" s="17"/>
      <c r="W986" s="312"/>
      <c r="X986" s="124"/>
      <c r="Y986" s="124"/>
      <c r="Z986" s="124"/>
      <c r="AA986" s="124"/>
    </row>
    <row r="987" spans="1:27" ht="16.5">
      <c r="A987" s="124"/>
      <c r="B987" s="124"/>
      <c r="C987" s="124"/>
      <c r="D987" s="124"/>
      <c r="E987" s="124"/>
      <c r="F987" s="124"/>
      <c r="G987" s="124"/>
      <c r="H987" s="124"/>
      <c r="I987" s="124"/>
      <c r="J987" s="124"/>
      <c r="K987" s="124"/>
      <c r="L987" s="124"/>
      <c r="M987" s="124"/>
      <c r="N987" s="124"/>
      <c r="O987" s="124"/>
      <c r="P987" s="124"/>
      <c r="Q987" s="130"/>
      <c r="R987" s="124"/>
      <c r="S987" s="124"/>
      <c r="T987" s="124"/>
      <c r="U987" s="124"/>
      <c r="V987" s="17"/>
      <c r="W987" s="312"/>
      <c r="X987" s="124"/>
      <c r="Y987" s="124"/>
      <c r="Z987" s="124"/>
      <c r="AA987" s="124"/>
    </row>
  </sheetData>
  <mergeCells count="100">
    <mergeCell ref="C204:C206"/>
    <mergeCell ref="B210:D210"/>
    <mergeCell ref="A211:D211"/>
    <mergeCell ref="B135:B136"/>
    <mergeCell ref="B138:B144"/>
    <mergeCell ref="B145:B146"/>
    <mergeCell ref="B147:B149"/>
    <mergeCell ref="B150:B153"/>
    <mergeCell ref="C150:C153"/>
    <mergeCell ref="B158:D158"/>
    <mergeCell ref="C202:C203"/>
    <mergeCell ref="C187:C192"/>
    <mergeCell ref="B194:B199"/>
    <mergeCell ref="C194:C199"/>
    <mergeCell ref="B200:B201"/>
    <mergeCell ref="C200:C201"/>
    <mergeCell ref="A94:A134"/>
    <mergeCell ref="A135:A158"/>
    <mergeCell ref="A159:A210"/>
    <mergeCell ref="B75:B78"/>
    <mergeCell ref="B79:B85"/>
    <mergeCell ref="B94:B103"/>
    <mergeCell ref="B104:B105"/>
    <mergeCell ref="B106:B110"/>
    <mergeCell ref="B111:B113"/>
    <mergeCell ref="B131:B132"/>
    <mergeCell ref="B204:B206"/>
    <mergeCell ref="A69:A93"/>
    <mergeCell ref="B70:B74"/>
    <mergeCell ref="B202:B203"/>
    <mergeCell ref="B184:B186"/>
    <mergeCell ref="B187:B192"/>
    <mergeCell ref="C70:C74"/>
    <mergeCell ref="C75:C78"/>
    <mergeCell ref="B93:D93"/>
    <mergeCell ref="C79:C85"/>
    <mergeCell ref="B86:B89"/>
    <mergeCell ref="C86:C89"/>
    <mergeCell ref="C184:C186"/>
    <mergeCell ref="B173:B179"/>
    <mergeCell ref="B180:B183"/>
    <mergeCell ref="B159:B162"/>
    <mergeCell ref="C159:C162"/>
    <mergeCell ref="B163:B167"/>
    <mergeCell ref="C163:C167"/>
    <mergeCell ref="B168:B172"/>
    <mergeCell ref="C168:C172"/>
    <mergeCell ref="C173:C179"/>
    <mergeCell ref="C180:C183"/>
    <mergeCell ref="C147:C149"/>
    <mergeCell ref="C114:C118"/>
    <mergeCell ref="C119:C120"/>
    <mergeCell ref="C122:C125"/>
    <mergeCell ref="C128:C130"/>
    <mergeCell ref="C131:C132"/>
    <mergeCell ref="C135:C136"/>
    <mergeCell ref="C138:C144"/>
    <mergeCell ref="B134:D134"/>
    <mergeCell ref="B40:B46"/>
    <mergeCell ref="C40:C46"/>
    <mergeCell ref="B47:B56"/>
    <mergeCell ref="C47:C56"/>
    <mergeCell ref="C145:C146"/>
    <mergeCell ref="B57:B66"/>
    <mergeCell ref="C57:C66"/>
    <mergeCell ref="B68:D68"/>
    <mergeCell ref="B114:B118"/>
    <mergeCell ref="B119:B120"/>
    <mergeCell ref="C94:C103"/>
    <mergeCell ref="C104:C105"/>
    <mergeCell ref="C106:C110"/>
    <mergeCell ref="C111:C113"/>
    <mergeCell ref="B122:B125"/>
    <mergeCell ref="B128:B130"/>
    <mergeCell ref="B24:B25"/>
    <mergeCell ref="C24:C25"/>
    <mergeCell ref="C26:C36"/>
    <mergeCell ref="B26:B36"/>
    <mergeCell ref="B37:B39"/>
    <mergeCell ref="C37:C39"/>
    <mergeCell ref="V4:V5"/>
    <mergeCell ref="G4:H4"/>
    <mergeCell ref="I4:I5"/>
    <mergeCell ref="B6:B23"/>
    <mergeCell ref="C6:C23"/>
    <mergeCell ref="Q4:Q5"/>
    <mergeCell ref="R4:R5"/>
    <mergeCell ref="S4:S5"/>
    <mergeCell ref="A1:E1"/>
    <mergeCell ref="T1:U1"/>
    <mergeCell ref="B4:B5"/>
    <mergeCell ref="C4:C5"/>
    <mergeCell ref="D4:D5"/>
    <mergeCell ref="E4:E5"/>
    <mergeCell ref="F4:F5"/>
    <mergeCell ref="J4:L4"/>
    <mergeCell ref="M4:M5"/>
    <mergeCell ref="N4:N5"/>
    <mergeCell ref="O4:O5"/>
    <mergeCell ref="P4:P5"/>
  </mergeCells>
  <pageMargins left="0.7" right="0.7" top="0.75" bottom="0.75" header="0" footer="0"/>
  <pageSetup orientation="landscape" r:id="rId1"/>
  <legacyDrawing r:id="rId2"/>
</worksheet>
</file>

<file path=xl/worksheets/sheet16.xml><?xml version="1.0" encoding="utf-8"?>
<worksheet xmlns="http://schemas.openxmlformats.org/spreadsheetml/2006/main" xmlns:r="http://schemas.openxmlformats.org/officeDocument/2006/relationships">
  <dimension ref="A1:AB947"/>
  <sheetViews>
    <sheetView workbookViewId="0">
      <pane xSplit="5" ySplit="5" topLeftCell="H206" activePane="bottomRight" state="frozen"/>
      <selection pane="topRight" activeCell="F1" sqref="F1"/>
      <selection pane="bottomLeft" activeCell="A6" sqref="A6"/>
      <selection pane="bottomRight" activeCell="O217" sqref="O217"/>
    </sheetView>
  </sheetViews>
  <sheetFormatPr defaultColWidth="14.42578125" defaultRowHeight="15" customHeight="1"/>
  <cols>
    <col min="1" max="1" width="5.5703125" customWidth="1"/>
    <col min="2" max="2" width="7.28515625" customWidth="1"/>
    <col min="3" max="3" width="9.42578125" customWidth="1"/>
    <col min="4" max="4" width="6.140625" customWidth="1"/>
    <col min="5" max="5" width="17.7109375" customWidth="1"/>
    <col min="6" max="6" width="11.28515625" customWidth="1"/>
    <col min="7" max="7" width="9.42578125" customWidth="1"/>
    <col min="8" max="8" width="10.140625" bestFit="1" customWidth="1"/>
    <col min="9" max="9" width="12.42578125" customWidth="1"/>
    <col min="10" max="10" width="11.85546875" customWidth="1"/>
    <col min="11" max="11" width="10" customWidth="1"/>
    <col min="12" max="12" width="9.28515625" customWidth="1"/>
    <col min="13" max="13" width="10.7109375" customWidth="1"/>
    <col min="14" max="14" width="9.7109375" customWidth="1"/>
    <col min="15" max="15" width="12.42578125" customWidth="1"/>
    <col min="16" max="16" width="12.140625" customWidth="1"/>
    <col min="17" max="17" width="9.7109375" customWidth="1"/>
    <col min="18" max="18" width="10" customWidth="1"/>
    <col min="19" max="19" width="10.42578125" customWidth="1"/>
    <col min="20" max="20" width="13.42578125" customWidth="1"/>
    <col min="21" max="21" width="13" customWidth="1"/>
    <col min="22" max="22" width="73.85546875" customWidth="1"/>
    <col min="23" max="23" width="71.140625" customWidth="1"/>
    <col min="24" max="28" width="14.42578125" customWidth="1"/>
  </cols>
  <sheetData>
    <row r="1" spans="1:28" ht="39.75" hidden="1" customHeight="1">
      <c r="A1" s="719" t="s">
        <v>516</v>
      </c>
      <c r="B1" s="689"/>
      <c r="C1" s="689"/>
      <c r="D1" s="689"/>
      <c r="E1" s="689"/>
      <c r="F1" s="314"/>
      <c r="G1" s="314"/>
      <c r="H1" s="314"/>
      <c r="I1" s="314"/>
      <c r="J1" s="314"/>
      <c r="K1" s="314"/>
      <c r="L1" s="314"/>
      <c r="M1" s="314"/>
      <c r="N1" s="314"/>
      <c r="O1" s="314"/>
      <c r="P1" s="314"/>
      <c r="Q1" s="314"/>
      <c r="R1" s="314"/>
      <c r="S1" s="314"/>
      <c r="T1" s="314"/>
      <c r="U1" s="313"/>
      <c r="V1" s="315"/>
      <c r="W1" s="316"/>
      <c r="X1" s="314"/>
      <c r="Y1" s="314"/>
      <c r="Z1" s="314"/>
      <c r="AA1" s="314"/>
      <c r="AB1" s="314"/>
    </row>
    <row r="2" spans="1:28" ht="21" hidden="1" customHeight="1">
      <c r="A2" s="314"/>
      <c r="B2" s="314"/>
      <c r="C2" s="314"/>
      <c r="D2" s="314"/>
      <c r="E2" s="314"/>
      <c r="F2" s="314"/>
      <c r="G2" s="314"/>
      <c r="H2" s="314"/>
      <c r="I2" s="314"/>
      <c r="J2" s="314"/>
      <c r="K2" s="314"/>
      <c r="L2" s="314"/>
      <c r="M2" s="314"/>
      <c r="N2" s="314"/>
      <c r="O2" s="314"/>
      <c r="P2" s="314"/>
      <c r="Q2" s="314"/>
      <c r="R2" s="314"/>
      <c r="S2" s="314"/>
      <c r="T2" s="314"/>
      <c r="U2" s="313"/>
      <c r="V2" s="315"/>
      <c r="W2" s="316"/>
      <c r="X2" s="314"/>
      <c r="Y2" s="314"/>
      <c r="Z2" s="314"/>
      <c r="AA2" s="314"/>
      <c r="AB2" s="314"/>
    </row>
    <row r="3" spans="1:28" ht="29.25" hidden="1" customHeight="1">
      <c r="A3" s="314"/>
      <c r="B3" s="317"/>
      <c r="C3" s="317"/>
      <c r="D3" s="317"/>
      <c r="E3" s="317"/>
      <c r="F3" s="317"/>
      <c r="G3" s="317"/>
      <c r="H3" s="317"/>
      <c r="I3" s="317"/>
      <c r="J3" s="317"/>
      <c r="K3" s="317"/>
      <c r="L3" s="317"/>
      <c r="M3" s="317"/>
      <c r="N3" s="317"/>
      <c r="O3" s="317"/>
      <c r="P3" s="317"/>
      <c r="Q3" s="317"/>
      <c r="R3" s="317"/>
      <c r="S3" s="317"/>
      <c r="T3" s="318" t="s">
        <v>2</v>
      </c>
      <c r="U3" s="317" t="s">
        <v>2</v>
      </c>
      <c r="V3" s="319"/>
      <c r="W3" s="316"/>
      <c r="X3" s="314"/>
      <c r="Y3" s="314"/>
      <c r="Z3" s="314"/>
      <c r="AA3" s="314"/>
      <c r="AB3" s="314"/>
    </row>
    <row r="4" spans="1:28" ht="39.75" customHeight="1">
      <c r="A4" s="718" t="s">
        <v>3</v>
      </c>
      <c r="B4" s="718" t="s">
        <v>4</v>
      </c>
      <c r="C4" s="718" t="s">
        <v>5</v>
      </c>
      <c r="D4" s="718" t="s">
        <v>6</v>
      </c>
      <c r="E4" s="718" t="s">
        <v>388</v>
      </c>
      <c r="F4" s="718" t="s">
        <v>8</v>
      </c>
      <c r="G4" s="717" t="s">
        <v>9</v>
      </c>
      <c r="H4" s="710"/>
      <c r="I4" s="718" t="s">
        <v>10</v>
      </c>
      <c r="J4" s="717" t="s">
        <v>11</v>
      </c>
      <c r="K4" s="709"/>
      <c r="L4" s="710"/>
      <c r="M4" s="718" t="s">
        <v>12</v>
      </c>
      <c r="N4" s="718" t="s">
        <v>13</v>
      </c>
      <c r="O4" s="718" t="s">
        <v>14</v>
      </c>
      <c r="P4" s="718" t="s">
        <v>445</v>
      </c>
      <c r="Q4" s="718" t="s">
        <v>16</v>
      </c>
      <c r="R4" s="718" t="s">
        <v>17</v>
      </c>
      <c r="S4" s="718" t="s">
        <v>18</v>
      </c>
      <c r="T4" s="320" t="s">
        <v>19</v>
      </c>
      <c r="U4" s="320" t="s">
        <v>19</v>
      </c>
      <c r="V4" s="716" t="s">
        <v>1298</v>
      </c>
      <c r="W4" s="716" t="s">
        <v>1299</v>
      </c>
      <c r="X4" s="314"/>
      <c r="Y4" s="314"/>
      <c r="Z4" s="314"/>
      <c r="AA4" s="314"/>
      <c r="AB4" s="314"/>
    </row>
    <row r="5" spans="1:28" ht="63.75" customHeight="1">
      <c r="A5" s="707"/>
      <c r="B5" s="707"/>
      <c r="C5" s="707"/>
      <c r="D5" s="707"/>
      <c r="E5" s="707"/>
      <c r="F5" s="707"/>
      <c r="G5" s="320" t="s">
        <v>21</v>
      </c>
      <c r="H5" s="320" t="s">
        <v>22</v>
      </c>
      <c r="I5" s="707"/>
      <c r="J5" s="320" t="s">
        <v>1300</v>
      </c>
      <c r="K5" s="320" t="s">
        <v>23</v>
      </c>
      <c r="L5" s="320" t="s">
        <v>24</v>
      </c>
      <c r="M5" s="707"/>
      <c r="N5" s="707"/>
      <c r="O5" s="707"/>
      <c r="P5" s="707"/>
      <c r="Q5" s="707"/>
      <c r="R5" s="707"/>
      <c r="S5" s="707"/>
      <c r="T5" s="320" t="s">
        <v>25</v>
      </c>
      <c r="U5" s="320" t="s">
        <v>26</v>
      </c>
      <c r="V5" s="707"/>
      <c r="W5" s="707"/>
      <c r="X5" s="322" t="s">
        <v>1301</v>
      </c>
      <c r="Y5" s="322" t="s">
        <v>1302</v>
      </c>
      <c r="Z5" s="314"/>
      <c r="AA5" s="314"/>
      <c r="AB5" s="314"/>
    </row>
    <row r="6" spans="1:28" ht="39.75" customHeight="1">
      <c r="A6" s="720" t="s">
        <v>27</v>
      </c>
      <c r="B6" s="718" t="s">
        <v>28</v>
      </c>
      <c r="C6" s="718" t="s">
        <v>29</v>
      </c>
      <c r="D6" s="320">
        <v>1</v>
      </c>
      <c r="E6" s="320" t="s">
        <v>30</v>
      </c>
      <c r="F6" s="323">
        <f>TVM!F6+KLM!F6+PTA!F6+ALP!F6+KTM!F6+IDK!F6+EKM!F6+TSR!F6+PKD!F6+MLPM!F6+KKD!F6+WYD!F6+KNR!F6+KSD!F6+SHS!F6</f>
        <v>0</v>
      </c>
      <c r="G6" s="323">
        <f>TVM!G6+KLM!G6+PTA!G6+ALP!G6+KTM!G6+IDK!G6+EKM!G6+TSR!G6+PKD!G6+MLPM!G6+KKD!G6+WYD!G6+KNR!G6+KSD!G6+SHS!G6</f>
        <v>0</v>
      </c>
      <c r="H6" s="323">
        <f>TVM!H6+KLM!H6+PTA!H6+ALP!H6+KTM!H6+IDK!H6+EKM!H6+TSR!H6+PKD!H6+MLPM!H6+KKD!H6+WYD!H6+KNR!H6+KSD!H6+SHS!H6</f>
        <v>0</v>
      </c>
      <c r="I6" s="323">
        <f>TVM!I6+KLM!I6+PTA!I6+ALP!I6+KTM!I6+IDK!I6+EKM!I6+TSR!I6+PKD!I6+MLPM!I6+KKD!I6+WYD!I6+KNR!I6+KSD!I6+SHS!I6</f>
        <v>0</v>
      </c>
      <c r="J6" s="323">
        <f>TVM!J6+KLM!J6+PTA!J6+ALP!J6+KTM!J6+IDK!J6+EKM!J6+TSR!J6+PKD!J6+MLPM!J6+KKD!J6+WYD!J6+KNR!J6+KSD!J6+SHS!J6</f>
        <v>0</v>
      </c>
      <c r="K6" s="323">
        <f>TVM!K6+KLM!K6+PTA!K6+ALP!K6+KTM!K6+IDK!K6+EKM!K6+TSR!K6+PKD!K6+MLPM!K6+KKD!K6+WYD!K6+KNR!K6+KSD!K6+SHS!K6</f>
        <v>0</v>
      </c>
      <c r="L6" s="323">
        <f>TVM!L6+KLM!L6+PTA!L6+ALP!L6+KTM!L6+IDK!L6+EKM!L6+TSR!L6+PKD!L6+MLPM!L6+KKD!L6+WYD!L6+KNR!L6+KSD!L6+SHS!L6</f>
        <v>0</v>
      </c>
      <c r="M6" s="323">
        <f>TVM!M6+KLM!M6+PTA!M6+ALP!M6+KTM!M6+IDK!M6+EKM!M6+TSR!M6+PKD!M6+MLPM!M6+KKD!M6+WYD!M6+KNR!M6+KSD!M6+SHS!M6</f>
        <v>0</v>
      </c>
      <c r="N6" s="323">
        <f>TVM!N6+KLM!N6+PTA!N6+ALP!N6+KTM!N6+IDK!N6+EKM!N6+TSR!N6+PKD!N6+MLPM!N6+KKD!N6+WYD!N6+KNR!N6+KSD!N6+SHS!N6</f>
        <v>0</v>
      </c>
      <c r="O6" s="323">
        <f>TVM!O6+KLM!O6+PTA!O6+ALP!O6+KTM!O6+IDK!O6+EKM!O6+TSR!O6+PKD!O6+MLPM!O6+KKD!O6+WYD!O6+KNR!O6+KSD!O6+SHS!O6</f>
        <v>0</v>
      </c>
      <c r="P6" s="323">
        <f>TVM!P6+KLM!P6+PTA!P6+ALP!P6+KTM!P6+IDK!P6+EKM!P6+TSR!P6+PKD!P6+MLPM!P6+KKD!P6+WYD!P6+KNR!P6+KSD!P6+SHS!P6</f>
        <v>0</v>
      </c>
      <c r="Q6" s="323">
        <f>TVM!Q6+KLM!Q6+PTA!Q6+ALP!Q6+KTM!Q6+IDK!Q6+EKM!Q6+TSR!Q6+PKD!Q6+MLPM!Q6+KKD!Q6+WYD!Q6+KNR!Q6+KSD!Q6+SHS!Q6</f>
        <v>0</v>
      </c>
      <c r="R6" s="323">
        <f>TVM!R6+KLM!R6+PTA!R6+ALP!R6+KTM!R6+IDK!R6+EKM!R6+TSR!R6+PKD!R6+MLPM!R6+KKD!R6+WYD!R6+KNR!R6+KSD!R6+SHS!R6</f>
        <v>0</v>
      </c>
      <c r="S6" s="323">
        <f>TVM!S6+KLM!S6+PTA!S6+ALP!S6+KTM!S6+IDK!S6+EKM!S6+TSR!S6+PKD!S6+MLPM!S6+KKD!S6+WYD!S6+KNR!S6+KSD!S6+SHS!S6</f>
        <v>0</v>
      </c>
      <c r="T6" s="324">
        <f t="shared" ref="T6:T67" si="0">SUM(F6:S6)</f>
        <v>0</v>
      </c>
      <c r="U6" s="324">
        <f>TVM!U6+KLM!U6+PTA!U6+ALP!U6+KTM!U6+IDK!U6+EKM!U6+TSR!U6+PKD!U6+MLPM!U6+KKD!U6+WYD!U6+KNR!U6+KSD!U6+SHS!U6</f>
        <v>0</v>
      </c>
      <c r="V6" s="325"/>
      <c r="W6" s="326"/>
      <c r="X6" s="327">
        <v>0</v>
      </c>
      <c r="Y6" s="328">
        <f t="shared" ref="Y6:Y211" si="1">T6-X6</f>
        <v>0</v>
      </c>
      <c r="Z6" s="314"/>
      <c r="AA6" s="314"/>
      <c r="AB6" s="314"/>
    </row>
    <row r="7" spans="1:28" ht="86.25" customHeight="1">
      <c r="A7" s="712"/>
      <c r="B7" s="712"/>
      <c r="C7" s="712"/>
      <c r="D7" s="320">
        <v>2</v>
      </c>
      <c r="E7" s="320" t="s">
        <v>31</v>
      </c>
      <c r="F7" s="323">
        <f>TVM!F7+KLM!F7+PTA!F7+ALP!F7+KTM!F7+IDK!F7+EKM!F7+TSR!F7+PKD!F7+MLPM!F7+KKD!F7+WYD!F7+KNR!F7+KSD!F7+SHS!F7</f>
        <v>0</v>
      </c>
      <c r="G7" s="323">
        <f>TVM!G7+KLM!G7+PTA!G7+ALP!G7+KTM!G7+IDK!G7+EKM!G7+TSR!G7+PKD!G7+MLPM!G7+KKD!G7+WYD!G7+KNR!G7+KSD!G7+SHS!G7</f>
        <v>0</v>
      </c>
      <c r="H7" s="323">
        <f>TVM!H7+KLM!H7+PTA!H7+ALP!H7+KTM!H7+IDK!H7+EKM!H7+TSR!H7+PKD!H7+MLPM!H7+KKD!H7+WYD!H7+KNR!H7+KSD!H7+SHS!H7</f>
        <v>0</v>
      </c>
      <c r="I7" s="323">
        <f>TVM!I7+KLM!I7+PTA!I7+ALP!I7+KTM!I7+IDK!I7+EKM!I7+TSR!I7+PKD!I7+MLPM!I7+KKD!I7+WYD!I7+KNR!I7+KSD!I7+SHS!I7</f>
        <v>0</v>
      </c>
      <c r="J7" s="323">
        <f>TVM!J7+KLM!J7+PTA!J7+ALP!J7+KTM!J7+IDK!J7+EKM!J7+TSR!J7+PKD!J7+MLPM!J7+KKD!J7+WYD!J7+KNR!J7+KSD!J7+SHS!J7</f>
        <v>0</v>
      </c>
      <c r="K7" s="329">
        <f>TVM!K7+KLM!K7+PTA!K7+ALP!K7+KTM!K7+IDK!K7+EKM!K7+TSR!K7+PKD!K7+MLPM!K7+KKD!K7+WYD!K7+KNR!K7+KSD!K7+SHS!K7</f>
        <v>626.84496000000001</v>
      </c>
      <c r="L7" s="323">
        <f>TVM!L7+KLM!L7+PTA!L7+ALP!L7+KTM!L7+IDK!L7+EKM!L7+TSR!L7+PKD!L7+MLPM!L7+KKD!L7+WYD!L7+KNR!L7+KSD!L7+SHS!L7</f>
        <v>0</v>
      </c>
      <c r="M7" s="323">
        <f>TVM!M7+KLM!M7+PTA!M7+ALP!M7+KTM!M7+IDK!M7+EKM!M7+TSR!M7+PKD!M7+MLPM!M7+KKD!M7+WYD!M7+KNR!M7+KSD!M7+SHS!M7</f>
        <v>0</v>
      </c>
      <c r="N7" s="323">
        <f>TVM!N7+KLM!N7+PTA!N7+ALP!N7+KTM!N7+IDK!N7+EKM!N7+TSR!N7+PKD!N7+MLPM!N7+KKD!N7+WYD!N7+KNR!N7+KSD!N7+SHS!N7</f>
        <v>0</v>
      </c>
      <c r="O7" s="323">
        <f>TVM!O7+KLM!O7+PTA!O7+ALP!O7+KTM!O7+IDK!O7+EKM!O7+TSR!O7+PKD!O7+MLPM!O7+KKD!O7+WYD!O7+KNR!O7+KSD!O7+SHS!O7</f>
        <v>0</v>
      </c>
      <c r="P7" s="330">
        <f>TVM!P7+KLM!P7+PTA!P7+ALP!P7+KTM!P7+IDK!P7+EKM!P7+TSR!P7+PKD!P7+MLPM!P7+KKD!P7+WYD!P7+KNR!P7+KSD!P7+SHS!P7</f>
        <v>0</v>
      </c>
      <c r="Q7" s="330">
        <f>TVM!Q7+KLM!Q7+PTA!Q7+ALP!Q7+KTM!Q7+IDK!Q7+EKM!Q7+TSR!Q7+PKD!Q7+MLPM!Q7+KKD!Q7+WYD!Q7+KNR!Q7+KSD!Q7+SHS!Q7</f>
        <v>142.5</v>
      </c>
      <c r="R7" s="323">
        <f>TVM!R7+KLM!R7+PTA!R7+ALP!R7+KTM!R7+IDK!R7+EKM!R7+TSR!R7+PKD!R7+MLPM!R7+KKD!R7+WYD!R7+KNR!R7+KSD!R7+SHS!R7</f>
        <v>0</v>
      </c>
      <c r="S7" s="323">
        <f>TVM!S7+KLM!S7+PTA!S7+ALP!S7+KTM!S7+IDK!S7+EKM!S7+TSR!S7+PKD!S7+MLPM!S7+KKD!S7+WYD!S7+KNR!S7+KSD!S7+SHS!S7</f>
        <v>0</v>
      </c>
      <c r="T7" s="324">
        <f t="shared" si="0"/>
        <v>769.34496000000001</v>
      </c>
      <c r="U7" s="324">
        <f>TVM!U7+KLM!U7+PTA!U7+ALP!U7+KTM!U7+IDK!U7+EKM!U7+TSR!U7+PKD!U7+MLPM!U7+KKD!U7+WYD!U7+KNR!U7+KSD!U7+SHS!U7</f>
        <v>769.34496000000001</v>
      </c>
      <c r="V7" s="331" t="s">
        <v>1303</v>
      </c>
      <c r="W7" s="331" t="s">
        <v>1304</v>
      </c>
      <c r="X7" s="332">
        <v>1910.97</v>
      </c>
      <c r="Y7" s="328">
        <f t="shared" si="1"/>
        <v>-1141.6250399999999</v>
      </c>
      <c r="Z7" s="314"/>
      <c r="AA7" s="314"/>
      <c r="AB7" s="314"/>
    </row>
    <row r="8" spans="1:28" ht="66" customHeight="1">
      <c r="A8" s="712"/>
      <c r="B8" s="712"/>
      <c r="C8" s="712"/>
      <c r="D8" s="320">
        <v>3</v>
      </c>
      <c r="E8" s="320" t="s">
        <v>32</v>
      </c>
      <c r="F8" s="330">
        <f>TVM!F8+KLM!F8+PTA!F8+ALP!F8+KTM!F8+IDK!F8+EKM!F8+TSR!F8+PKD!F8+MLPM!F8+KKD!F8+WYD!F8+KNR!F8+KSD!F8+SHS!F8</f>
        <v>870.46999999999991</v>
      </c>
      <c r="G8" s="323">
        <f>TVM!G8+KLM!G8+PTA!G8+ALP!G8+KTM!G8+IDK!G8+EKM!G8+TSR!G8+PKD!G8+MLPM!G8+KKD!G8+WYD!G8+KNR!G8+KSD!G8+SHS!G8</f>
        <v>0</v>
      </c>
      <c r="H8" s="323">
        <f>TVM!H8+KLM!H8+PTA!H8+ALP!H8+KTM!H8+IDK!H8+EKM!H8+TSR!H8+PKD!H8+MLPM!H8+KKD!H8+WYD!H8+KNR!H8+KSD!H8+SHS!H8</f>
        <v>0</v>
      </c>
      <c r="I8" s="323">
        <f>TVM!I8+KLM!I8+PTA!I8+ALP!I8+KTM!I8+IDK!I8+EKM!I8+TSR!I8+PKD!I8+MLPM!I8+KKD!I8+WYD!I8+KNR!I8+KSD!I8+SHS!I8</f>
        <v>0</v>
      </c>
      <c r="J8" s="323">
        <f>TVM!J8+KLM!J8+PTA!J8+ALP!J8+KTM!J8+IDK!J8+EKM!J8+TSR!J8+PKD!J8+MLPM!J8+KKD!J8+WYD!J8+KNR!J8+KSD!J8+SHS!J8</f>
        <v>0</v>
      </c>
      <c r="K8" s="323">
        <f>TVM!K8+KLM!K8+PTA!K8+ALP!K8+KTM!K8+IDK!K8+EKM!K8+TSR!K8+PKD!K8+MLPM!K8+KKD!K8+WYD!K8+KNR!K8+KSD!K8+SHS!K8</f>
        <v>0</v>
      </c>
      <c r="L8" s="323">
        <f>TVM!L8+KLM!L8+PTA!L8+ALP!L8+KTM!L8+IDK!L8+EKM!L8+TSR!L8+PKD!L8+MLPM!L8+KKD!L8+WYD!L8+KNR!L8+KSD!L8+SHS!L8</f>
        <v>0</v>
      </c>
      <c r="M8" s="323">
        <f>TVM!M8+KLM!M8+PTA!M8+ALP!M8+KTM!M8+IDK!M8+EKM!M8+TSR!M8+PKD!M8+MLPM!M8+KKD!M8+WYD!M8+KNR!M8+KSD!M8+SHS!M8</f>
        <v>0</v>
      </c>
      <c r="N8" s="323">
        <f>TVM!N8+KLM!N8+PTA!N8+ALP!N8+KTM!N8+IDK!N8+EKM!N8+TSR!N8+PKD!N8+MLPM!N8+KKD!N8+WYD!N8+KNR!N8+KSD!N8+SHS!N8</f>
        <v>0</v>
      </c>
      <c r="O8" s="330">
        <f>TVM!O8+KLM!O8+PTA!O8+ALP!O8+KTM!O8+IDK!O8+EKM!O8+TSR!O8+PKD!O8+MLPM!O8+KKD!O8+WYD!O8+KNR!O8+KSD!O8+SHS!O8</f>
        <v>709.94</v>
      </c>
      <c r="P8" s="323">
        <f>TVM!P8+KLM!P8+PTA!P8+ALP!P8+KTM!P8+IDK!P8+EKM!P8+TSR!P8+PKD!P8+MLPM!P8+KKD!P8+WYD!P8+KNR!P8+KSD!P8+SHS!P8</f>
        <v>0</v>
      </c>
      <c r="Q8" s="323">
        <f>TVM!Q8+KLM!Q8+PTA!Q8+ALP!Q8+KTM!Q8+IDK!Q8+EKM!Q8+TSR!Q8+PKD!Q8+MLPM!Q8+KKD!Q8+WYD!Q8+KNR!Q8+KSD!Q8+SHS!Q8</f>
        <v>0</v>
      </c>
      <c r="R8" s="330">
        <f>TVM!R8+KLM!R8+PTA!R8+ALP!R8+KTM!R8+IDK!R8+EKM!R8+TSR!R8+PKD!R8+MLPM!R8+KKD!R8+WYD!R8+KNR!R8+KSD!R8+SHS!R8</f>
        <v>34.81</v>
      </c>
      <c r="S8" s="323">
        <f>TVM!S8+KLM!S8+PTA!S8+ALP!S8+KTM!S8+IDK!S8+EKM!S8+TSR!S8+PKD!S8+MLPM!S8+KKD!S8+WYD!S8+KNR!S8+KSD!S8+SHS!S8</f>
        <v>0</v>
      </c>
      <c r="T8" s="324">
        <f t="shared" si="0"/>
        <v>1615.2199999999998</v>
      </c>
      <c r="U8" s="324">
        <f>TVM!U8+KLM!U8+PTA!U8+ALP!U8+KTM!U8+IDK!U8+EKM!U8+TSR!U8+PKD!U8+MLPM!U8+KKD!U8+WYD!U8+KNR!U8+KSD!U8+SHS!U8</f>
        <v>1615.22</v>
      </c>
      <c r="V8" s="13" t="s">
        <v>1305</v>
      </c>
      <c r="W8" s="13" t="s">
        <v>1306</v>
      </c>
      <c r="X8" s="332">
        <v>1480.31</v>
      </c>
      <c r="Y8" s="328">
        <f t="shared" si="1"/>
        <v>134.90999999999985</v>
      </c>
      <c r="Z8" s="314">
        <f>98675*600+29475*400</f>
        <v>70995000</v>
      </c>
      <c r="AA8" s="314"/>
      <c r="AB8" s="314"/>
    </row>
    <row r="9" spans="1:28" ht="51" customHeight="1">
      <c r="A9" s="712"/>
      <c r="B9" s="712"/>
      <c r="C9" s="712"/>
      <c r="D9" s="320">
        <v>4</v>
      </c>
      <c r="E9" s="320" t="s">
        <v>34</v>
      </c>
      <c r="F9" s="323">
        <f>TVM!F9+KLM!F9+PTA!F9+ALP!F9+KTM!F9+IDK!F9+EKM!F9+TSR!F9+PKD!F9+MLPM!F9+KKD!F9+WYD!F9+KNR!F9+KSD!F9+SHS!F9</f>
        <v>0</v>
      </c>
      <c r="G9" s="323">
        <f>TVM!G9+KLM!G9+PTA!G9+ALP!G9+KTM!G9+IDK!G9+EKM!G9+TSR!G9+PKD!G9+MLPM!G9+KKD!G9+WYD!G9+KNR!G9+KSD!G9+SHS!G9</f>
        <v>0</v>
      </c>
      <c r="H9" s="323">
        <f>TVM!H9+KLM!H9+PTA!H9+ALP!H9+KTM!H9+IDK!H9+EKM!H9+TSR!H9+PKD!H9+MLPM!H9+KKD!H9+WYD!H9+KNR!H9+KSD!H9+SHS!H9</f>
        <v>0</v>
      </c>
      <c r="I9" s="323">
        <f>TVM!I9+KLM!I9+PTA!I9+ALP!I9+KTM!I9+IDK!I9+EKM!I9+TSR!I9+PKD!I9+MLPM!I9+KKD!I9+WYD!I9+KNR!I9+KSD!I9+SHS!I9</f>
        <v>0</v>
      </c>
      <c r="J9" s="323">
        <f>TVM!J9+KLM!J9+PTA!J9+ALP!J9+KTM!J9+IDK!J9+EKM!J9+TSR!J9+PKD!J9+MLPM!J9+KKD!J9+WYD!J9+KNR!J9+KSD!J9+SHS!J9</f>
        <v>0</v>
      </c>
      <c r="K9" s="329">
        <f>TVM!K9+KLM!K9+PTA!K9+ALP!K9+KTM!K9+IDK!K9+EKM!K9+TSR!K9+PKD!K9+MLPM!K9+KKD!K9+WYD!K9+KNR!K9+KSD!K9+SHS!K9</f>
        <v>1138.8850000000002</v>
      </c>
      <c r="L9" s="323">
        <f>TVM!L9+KLM!L9+PTA!L9+ALP!L9+KTM!L9+IDK!L9+EKM!L9+TSR!L9+PKD!L9+MLPM!L9+KKD!L9+WYD!L9+KNR!L9+KSD!L9+SHS!L9</f>
        <v>0</v>
      </c>
      <c r="M9" s="329">
        <f>TVM!M9+KLM!M9+PTA!M9+ALP!M9+KTM!M9+IDK!M9+EKM!M9+TSR!M9+PKD!M9+MLPM!M9+KKD!M9+WYD!M9+KNR!M9+KSD!M9+SHS!M9</f>
        <v>256.30199999999996</v>
      </c>
      <c r="N9" s="323">
        <f>TVM!N9+KLM!N9+PTA!N9+ALP!N9+KTM!N9+IDK!N9+EKM!N9+TSR!N9+PKD!N9+MLPM!N9+KKD!N9+WYD!N9+KNR!N9+KSD!N9+SHS!N9</f>
        <v>0</v>
      </c>
      <c r="O9" s="323">
        <f>TVM!O9+KLM!O9+PTA!O9+ALP!O9+KTM!O9+IDK!O9+EKM!O9+TSR!O9+PKD!O9+MLPM!O9+KKD!O9+WYD!O9+KNR!O9+KSD!O9+SHS!O9</f>
        <v>0</v>
      </c>
      <c r="P9" s="330">
        <f>TVM!P9+KLM!P9+PTA!P9+ALP!P9+KTM!P9+IDK!P9+EKM!P9+TSR!P9+PKD!P9+MLPM!P9+KKD!P9+WYD!P9+KNR!P9+KSD!P9+SHS!P9</f>
        <v>643.82299999999998</v>
      </c>
      <c r="Q9" s="323">
        <f>TVM!Q9+KLM!Q9+PTA!Q9+ALP!Q9+KTM!Q9+IDK!Q9+EKM!Q9+TSR!Q9+PKD!Q9+MLPM!Q9+KKD!Q9+WYD!Q9+KNR!Q9+KSD!Q9+SHS!Q9</f>
        <v>0</v>
      </c>
      <c r="R9" s="323">
        <f>TVM!R9+KLM!R9+PTA!R9+ALP!R9+KTM!R9+IDK!R9+EKM!R9+TSR!R9+PKD!R9+MLPM!R9+KKD!R9+WYD!R9+KNR!R9+KSD!R9+SHS!R9</f>
        <v>0</v>
      </c>
      <c r="S9" s="323">
        <f>TVM!S9+KLM!S9+PTA!S9+ALP!S9+KTM!S9+IDK!S9+EKM!S9+TSR!S9+PKD!S9+MLPM!S9+KKD!S9+WYD!S9+KNR!S9+KSD!S9+SHS!S9</f>
        <v>0</v>
      </c>
      <c r="T9" s="324">
        <f t="shared" si="0"/>
        <v>2039.0100000000002</v>
      </c>
      <c r="U9" s="324">
        <f>TVM!U9+KLM!U9+PTA!U9+ALP!U9+KTM!U9+IDK!U9+EKM!U9+TSR!U9+PKD!U9+MLPM!U9+KKD!U9+WYD!U9+KNR!U9+KSD!U9+SHS!U9</f>
        <v>2039.0080000000003</v>
      </c>
      <c r="V9" s="13" t="s">
        <v>1307</v>
      </c>
      <c r="W9" s="13" t="s">
        <v>1307</v>
      </c>
      <c r="X9" s="332">
        <v>706.58</v>
      </c>
      <c r="Y9" s="328">
        <f t="shared" si="1"/>
        <v>1332.4300000000003</v>
      </c>
      <c r="Z9" s="314"/>
      <c r="AA9" s="314"/>
      <c r="AB9" s="314"/>
    </row>
    <row r="10" spans="1:28" ht="78" customHeight="1">
      <c r="A10" s="712"/>
      <c r="B10" s="712"/>
      <c r="C10" s="712"/>
      <c r="D10" s="320">
        <v>5</v>
      </c>
      <c r="E10" s="320" t="s">
        <v>36</v>
      </c>
      <c r="F10" s="323">
        <f>TVM!F10+KLM!F10+PTA!F10+ALP!F10+KTM!F10+IDK!F10+EKM!F10+TSR!F10+PKD!F10+MLPM!F10+KKD!F10+WYD!F10+KNR!F10+KSD!F10+SHS!F10</f>
        <v>0</v>
      </c>
      <c r="G10" s="323">
        <f>TVM!G10+KLM!G10+PTA!G10+ALP!G10+KTM!G10+IDK!G10+EKM!G10+TSR!G10+PKD!G10+MLPM!G10+KKD!G10+WYD!G10+KNR!G10+KSD!G10+SHS!G10</f>
        <v>0</v>
      </c>
      <c r="H10" s="323">
        <f>TVM!H10+KLM!H10+PTA!H10+ALP!H10+KTM!H10+IDK!H10+EKM!H10+TSR!H10+PKD!H10+MLPM!H10+KKD!H10+WYD!H10+KNR!H10+KSD!H10+SHS!H10</f>
        <v>0</v>
      </c>
      <c r="I10" s="323">
        <f>TVM!I10+KLM!I10+PTA!I10+ALP!I10+KTM!I10+IDK!I10+EKM!I10+TSR!I10+PKD!I10+MLPM!I10+KKD!I10+WYD!I10+KNR!I10+KSD!I10+SHS!I10</f>
        <v>0</v>
      </c>
      <c r="J10" s="323">
        <f>TVM!J10+KLM!J10+PTA!J10+ALP!J10+KTM!J10+IDK!J10+EKM!J10+TSR!J10+PKD!J10+MLPM!J10+KKD!J10+WYD!J10+KNR!J10+KSD!J10+SHS!J10</f>
        <v>0</v>
      </c>
      <c r="K10" s="323">
        <f>TVM!K10+KLM!K10+PTA!K10+ALP!K10+KTM!K10+IDK!K10+EKM!K10+TSR!K10+PKD!K10+MLPM!K10+KKD!K10+WYD!K10+KNR!K10+KSD!K10+SHS!K10</f>
        <v>0</v>
      </c>
      <c r="L10" s="323">
        <f>TVM!L10+KLM!L10+PTA!L10+ALP!L10+KTM!L10+IDK!L10+EKM!L10+TSR!L10+PKD!L10+MLPM!L10+KKD!L10+WYD!L10+KNR!L10+KSD!L10+SHS!L10</f>
        <v>0</v>
      </c>
      <c r="M10" s="323">
        <f>TVM!M10+KLM!M10+PTA!M10+ALP!M10+KTM!M10+IDK!M10+EKM!M10+TSR!M10+PKD!M10+MLPM!M10+KKD!M10+WYD!M10+KNR!M10+KSD!M10+SHS!M10</f>
        <v>0</v>
      </c>
      <c r="N10" s="323">
        <f>TVM!N10+KLM!N10+PTA!N10+ALP!N10+KTM!N10+IDK!N10+EKM!N10+TSR!N10+PKD!N10+MLPM!N10+KKD!N10+WYD!N10+KNR!N10+KSD!N10+SHS!N10</f>
        <v>0</v>
      </c>
      <c r="O10" s="323">
        <f>TVM!O10+KLM!O10+PTA!O10+ALP!O10+KTM!O10+IDK!O10+EKM!O10+TSR!O10+PKD!O10+MLPM!O10+KKD!O10+WYD!O10+KNR!O10+KSD!O10+SHS!O10</f>
        <v>0</v>
      </c>
      <c r="P10" s="329">
        <f>TVM!P10+KLM!P10+PTA!P10+ALP!P10+KTM!P10+IDK!P10+EKM!P10+TSR!P10+PKD!P10+MLPM!P10+KKD!P10+WYD!P10+KNR!P10+KSD!P10+SHS!P10</f>
        <v>640.74999999999989</v>
      </c>
      <c r="Q10" s="323">
        <f>TVM!Q10+KLM!Q10+PTA!Q10+ALP!Q10+KTM!Q10+IDK!Q10+EKM!Q10+TSR!Q10+PKD!Q10+MLPM!Q10+KKD!Q10+WYD!Q10+KNR!Q10+KSD!Q10+SHS!Q10</f>
        <v>0</v>
      </c>
      <c r="R10" s="323">
        <f>TVM!R10+KLM!R10+PTA!R10+ALP!R10+KTM!R10+IDK!R10+EKM!R10+TSR!R10+PKD!R10+MLPM!R10+KKD!R10+WYD!R10+KNR!R10+KSD!R10+SHS!R10</f>
        <v>0</v>
      </c>
      <c r="S10" s="323">
        <f>TVM!S10+KLM!S10+PTA!S10+ALP!S10+KTM!S10+IDK!S10+EKM!S10+TSR!S10+PKD!S10+MLPM!S10+KKD!S10+WYD!S10+KNR!S10+KSD!S10+SHS!S10</f>
        <v>0</v>
      </c>
      <c r="T10" s="324">
        <f t="shared" si="0"/>
        <v>640.74999999999989</v>
      </c>
      <c r="U10" s="324">
        <f>TVM!U10+KLM!U10+PTA!U10+ALP!U10+KTM!U10+IDK!U10+EKM!U10+TSR!U10+PKD!U10+MLPM!U10+KKD!U10+WYD!U10+KNR!U10+KSD!U10+SHS!U10</f>
        <v>640.74999999999989</v>
      </c>
      <c r="V10" s="13" t="s">
        <v>1308</v>
      </c>
      <c r="W10" s="13" t="s">
        <v>1308</v>
      </c>
      <c r="X10" s="332">
        <v>670.2</v>
      </c>
      <c r="Y10" s="328">
        <f t="shared" si="1"/>
        <v>-29.450000000000159</v>
      </c>
      <c r="Z10" s="314">
        <f>(72921+55229)*500</f>
        <v>64075000</v>
      </c>
      <c r="AA10" s="314"/>
      <c r="AB10" s="314"/>
    </row>
    <row r="11" spans="1:28" ht="94.5">
      <c r="A11" s="712"/>
      <c r="B11" s="712"/>
      <c r="C11" s="712"/>
      <c r="D11" s="320">
        <v>6</v>
      </c>
      <c r="E11" s="320" t="s">
        <v>38</v>
      </c>
      <c r="F11" s="323">
        <f>TVM!F11+KLM!F11+PTA!F11+ALP!F11+KTM!F11+IDK!F11+EKM!F11+TSR!F11+PKD!F11+MLPM!F11+KKD!F11+WYD!F11+KNR!F11+KSD!F11+SHS!F11</f>
        <v>12.439999999999998</v>
      </c>
      <c r="G11" s="323">
        <f>TVM!G11+KLM!G11+PTA!G11+ALP!G11+KTM!G11+IDK!G11+EKM!G11+TSR!G11+PKD!G11+MLPM!G11+KKD!G11+WYD!G11+KNR!G11+KSD!G11+SHS!G11</f>
        <v>0</v>
      </c>
      <c r="H11" s="323">
        <f>TVM!H11+KLM!H11+PTA!H11+ALP!H11+KTM!H11+IDK!H11+EKM!H11+TSR!H11+PKD!H11+MLPM!H11+KKD!H11+WYD!H11+KNR!H11+KSD!H11+SHS!H11</f>
        <v>0</v>
      </c>
      <c r="I11" s="323">
        <f>TVM!I11+KLM!I11+PTA!I11+ALP!I11+KTM!I11+IDK!I11+EKM!I11+TSR!I11+PKD!I11+MLPM!I11+KKD!I11+WYD!I11+KNR!I11+KSD!I11+SHS!I11</f>
        <v>0</v>
      </c>
      <c r="J11" s="323">
        <f>TVM!J11+KLM!J11+PTA!J11+ALP!J11+KTM!J11+IDK!J11+EKM!J11+TSR!J11+PKD!J11+MLPM!J11+KKD!J11+WYD!J11+KNR!J11+KSD!J11+SHS!J11</f>
        <v>0</v>
      </c>
      <c r="K11" s="323">
        <f>TVM!K11+KLM!K11+PTA!K11+ALP!K11+KTM!K11+IDK!K11+EKM!K11+TSR!K11+PKD!K11+MLPM!K11+KKD!K11+WYD!K11+KNR!K11+KSD!K11+SHS!K11</f>
        <v>0</v>
      </c>
      <c r="L11" s="323">
        <f>TVM!L11+KLM!L11+PTA!L11+ALP!L11+KTM!L11+IDK!L11+EKM!L11+TSR!L11+PKD!L11+MLPM!L11+KKD!L11+WYD!L11+KNR!L11+KSD!L11+SHS!L11</f>
        <v>0</v>
      </c>
      <c r="M11" s="323">
        <f>TVM!M11+KLM!M11+PTA!M11+ALP!M11+KTM!M11+IDK!M11+EKM!M11+TSR!M11+PKD!M11+MLPM!M11+KKD!M11+WYD!M11+KNR!M11+KSD!M11+SHS!M11</f>
        <v>0</v>
      </c>
      <c r="N11" s="330">
        <f>TVM!N11+KLM!N11+PTA!N11+ALP!N11+KTM!N11+IDK!N11+EKM!N11+TSR!N11+PKD!N11+MLPM!N11+KKD!N11+WYD!N11+KNR!N11+KSD!N11+SHS!N11</f>
        <v>0</v>
      </c>
      <c r="O11" s="323">
        <f>TVM!O11+KLM!O11+PTA!O11+ALP!O11+KTM!O11+IDK!O11+EKM!O11+TSR!O11+PKD!O11+MLPM!O11+KKD!O11+WYD!O11+KNR!O11+KSD!O11+SHS!O11</f>
        <v>38.35</v>
      </c>
      <c r="P11" s="330">
        <f>TVM!P11+KLM!P11+PTA!P11+ALP!P11+KTM!P11+IDK!P11+EKM!P11+TSR!P11+PKD!P11+MLPM!P11+KKD!P11+WYD!P11+KNR!P11+KSD!P11+SHS!P11</f>
        <v>18.21</v>
      </c>
      <c r="Q11" s="323">
        <f>TVM!Q11+KLM!Q11+PTA!Q11+ALP!Q11+KTM!Q11+IDK!Q11+EKM!Q11+TSR!Q11+PKD!Q11+MLPM!Q11+KKD!Q11+WYD!Q11+KNR!Q11+KSD!Q11+SHS!Q11</f>
        <v>0</v>
      </c>
      <c r="R11" s="323">
        <f>TVM!R11+KLM!R11+PTA!R11+ALP!R11+KTM!R11+IDK!R11+EKM!R11+TSR!R11+PKD!R11+MLPM!R11+KKD!R11+WYD!R11+KNR!R11+KSD!R11+SHS!R11</f>
        <v>0</v>
      </c>
      <c r="S11" s="323">
        <f>TVM!S11+KLM!S11+PTA!S11+ALP!S11+KTM!S11+IDK!S11+EKM!S11+TSR!S11+PKD!S11+MLPM!S11+KKD!S11+WYD!S11+KNR!S11+KSD!S11+SHS!S11</f>
        <v>0</v>
      </c>
      <c r="T11" s="324">
        <f t="shared" si="0"/>
        <v>69</v>
      </c>
      <c r="U11" s="324">
        <f>TVM!U11+KLM!U11+PTA!U11+ALP!U11+KTM!U11+IDK!U11+EKM!U11+TSR!U11+PKD!U11+MLPM!U11+KKD!U11+WYD!U11+KNR!U11+KSD!U11+SHS!U11</f>
        <v>69</v>
      </c>
      <c r="V11" s="13" t="s">
        <v>1309</v>
      </c>
      <c r="W11" s="13" t="s">
        <v>1310</v>
      </c>
      <c r="X11" s="332">
        <v>11.97</v>
      </c>
      <c r="Y11" s="328">
        <f t="shared" si="1"/>
        <v>57.03</v>
      </c>
      <c r="Z11" s="314"/>
      <c r="AA11" s="314"/>
      <c r="AB11" s="314"/>
    </row>
    <row r="12" spans="1:28" ht="118.5" customHeight="1">
      <c r="A12" s="712"/>
      <c r="B12" s="712"/>
      <c r="C12" s="712"/>
      <c r="D12" s="320">
        <v>7</v>
      </c>
      <c r="E12" s="320" t="s">
        <v>40</v>
      </c>
      <c r="F12" s="323">
        <f>TVM!F12+KLM!F12+PTA!F12+ALP!F12+KTM!F12+IDK!F12+EKM!F12+TSR!F12+PKD!F12+MLPM!F12+KKD!F12+WYD!F12+KNR!F12+KSD!F12+SHS!F12</f>
        <v>0</v>
      </c>
      <c r="G12" s="323">
        <f>TVM!G12+KLM!G12+PTA!G12+ALP!G12+KTM!G12+IDK!G12+EKM!G12+TSR!G12+PKD!G12+MLPM!G12+KKD!G12+WYD!G12+KNR!G12+KSD!G12+SHS!G12</f>
        <v>0</v>
      </c>
      <c r="H12" s="323">
        <f>TVM!H12+KLM!H12+PTA!H12+ALP!H12+KTM!H12+IDK!H12+EKM!H12+TSR!H12+PKD!H12+MLPM!H12+KKD!H12+WYD!H12+KNR!H12+KSD!H12+SHS!H12</f>
        <v>0</v>
      </c>
      <c r="I12" s="323">
        <f>TVM!I12+KLM!I12+PTA!I12+ALP!I12+KTM!I12+IDK!I12+EKM!I12+TSR!I12+PKD!I12+MLPM!I12+KKD!I12+WYD!I12+KNR!I12+KSD!I12+SHS!I12</f>
        <v>0</v>
      </c>
      <c r="J12" s="323">
        <f>TVM!J12+KLM!J12+PTA!J12+ALP!J12+KTM!J12+IDK!J12+EKM!J12+TSR!J12+PKD!J12+MLPM!J12+KKD!J12+WYD!J12+KNR!J12+KSD!J12+SHS!J12</f>
        <v>0</v>
      </c>
      <c r="K12" s="323">
        <f>TVM!K12+KLM!K12+PTA!K12+ALP!K12+KTM!K12+IDK!K12+EKM!K12+TSR!K12+PKD!K12+MLPM!K12+KKD!K12+WYD!K12+KNR!K12+KSD!K12+SHS!K12</f>
        <v>0</v>
      </c>
      <c r="L12" s="323">
        <f>TVM!L12+KLM!L12+PTA!L12+ALP!L12+KTM!L12+IDK!L12+EKM!L12+TSR!L12+PKD!L12+MLPM!L12+KKD!L12+WYD!L12+KNR!L12+KSD!L12+SHS!L12</f>
        <v>0</v>
      </c>
      <c r="M12" s="323">
        <f>TVM!M12+KLM!M12+PTA!M12+ALP!M12+KTM!M12+IDK!M12+EKM!M12+TSR!M12+PKD!M12+MLPM!M12+KKD!M12+WYD!M12+KNR!M12+KSD!M12+SHS!M12</f>
        <v>0</v>
      </c>
      <c r="N12" s="323">
        <f>TVM!N12+KLM!N12+PTA!N12+ALP!N12+KTM!N12+IDK!N12+EKM!N12+TSR!N12+PKD!N12+MLPM!N12+KKD!N12+WYD!N12+KNR!N12+KSD!N12+SHS!N12</f>
        <v>0</v>
      </c>
      <c r="O12" s="323">
        <f>TVM!O12+KLM!O12+PTA!O12+ALP!O12+KTM!O12+IDK!O12+EKM!O12+TSR!O12+PKD!O12+MLPM!O12+KKD!O12+WYD!O12+KNR!O12+KSD!O12+SHS!O12</f>
        <v>0</v>
      </c>
      <c r="P12" s="330">
        <f>TVM!P12+KLM!P12+PTA!P12+ALP!P12+KTM!P12+IDK!P12+EKM!P12+TSR!P12+PKD!P12+MLPM!P12+KKD!P12+WYD!P12+KNR!P12+KSD!P12+SHS!P12</f>
        <v>0</v>
      </c>
      <c r="Q12" s="330">
        <f>TVM!Q12+KLM!Q12+PTA!Q12+ALP!Q12+KTM!Q12+IDK!Q12+EKM!Q12+TSR!Q12+PKD!Q12+MLPM!Q12+KKD!Q12+WYD!Q12+KNR!Q12+KSD!Q12+SHS!Q12</f>
        <v>25</v>
      </c>
      <c r="R12" s="323">
        <f>TVM!R12+KLM!R12+PTA!R12+ALP!R12+KTM!R12+IDK!R12+EKM!R12+TSR!R12+PKD!R12+MLPM!R12+KKD!R12+WYD!R12+KNR!R12+KSD!R12+SHS!R12</f>
        <v>1.5000000000000002</v>
      </c>
      <c r="S12" s="323">
        <f>TVM!S12+KLM!S12+PTA!S12+ALP!S12+KTM!S12+IDK!S12+EKM!S12+TSR!S12+PKD!S12+MLPM!S12+KKD!S12+WYD!S12+KNR!S12+KSD!S12+SHS!S12</f>
        <v>0</v>
      </c>
      <c r="T12" s="324">
        <f t="shared" si="0"/>
        <v>26.5</v>
      </c>
      <c r="U12" s="324">
        <f>TVM!U12+KLM!U12+PTA!U12+ALP!U12+KTM!U12+IDK!U12+EKM!U12+TSR!U12+PKD!U12+MLPM!U12+KKD!U12+WYD!U12+KNR!U12+KSD!U12+SHS!U12</f>
        <v>26.500000000000007</v>
      </c>
      <c r="V12" s="13" t="s">
        <v>1311</v>
      </c>
      <c r="W12" s="13" t="s">
        <v>1312</v>
      </c>
      <c r="X12" s="332">
        <v>158</v>
      </c>
      <c r="Y12" s="328">
        <f t="shared" si="1"/>
        <v>-131.5</v>
      </c>
      <c r="Z12" s="314"/>
      <c r="AA12" s="314"/>
      <c r="AB12" s="314"/>
    </row>
    <row r="13" spans="1:28" ht="39.75" customHeight="1">
      <c r="A13" s="712"/>
      <c r="B13" s="712"/>
      <c r="C13" s="712"/>
      <c r="D13" s="320">
        <v>8</v>
      </c>
      <c r="E13" s="320" t="s">
        <v>42</v>
      </c>
      <c r="F13" s="323">
        <f>TVM!F13+KLM!F13+PTA!F13+ALP!F13+KTM!F13+IDK!F13+EKM!F13+TSR!F13+PKD!F13+MLPM!F13+KKD!F13+WYD!F13+KNR!F13+KSD!F13+SHS!F13</f>
        <v>0</v>
      </c>
      <c r="G13" s="323">
        <f>TVM!G13+KLM!G13+PTA!G13+ALP!G13+KTM!G13+IDK!G13+EKM!G13+TSR!G13+PKD!G13+MLPM!G13+KKD!G13+WYD!G13+KNR!G13+KSD!G13+SHS!G13</f>
        <v>0</v>
      </c>
      <c r="H13" s="323">
        <f>TVM!H13+KLM!H13+PTA!H13+ALP!H13+KTM!H13+IDK!H13+EKM!H13+TSR!H13+PKD!H13+MLPM!H13+KKD!H13+WYD!H13+KNR!H13+KSD!H13+SHS!H13</f>
        <v>0</v>
      </c>
      <c r="I13" s="323">
        <f>TVM!I13+KLM!I13+PTA!I13+ALP!I13+KTM!I13+IDK!I13+EKM!I13+TSR!I13+PKD!I13+MLPM!I13+KKD!I13+WYD!I13+KNR!I13+KSD!I13+SHS!I13</f>
        <v>0</v>
      </c>
      <c r="J13" s="323">
        <f>TVM!J13+KLM!J13+PTA!J13+ALP!J13+KTM!J13+IDK!J13+EKM!J13+TSR!J13+PKD!J13+MLPM!J13+KKD!J13+WYD!J13+KNR!J13+KSD!J13+SHS!J13</f>
        <v>0</v>
      </c>
      <c r="K13" s="323">
        <f>TVM!K13+KLM!K13+PTA!K13+ALP!K13+KTM!K13+IDK!K13+EKM!K13+TSR!K13+PKD!K13+MLPM!K13+KKD!K13+WYD!K13+KNR!K13+KSD!K13+SHS!K13</f>
        <v>0</v>
      </c>
      <c r="L13" s="323">
        <f>TVM!L13+KLM!L13+PTA!L13+ALP!L13+KTM!L13+IDK!L13+EKM!L13+TSR!L13+PKD!L13+MLPM!L13+KKD!L13+WYD!L13+KNR!L13+KSD!L13+SHS!L13</f>
        <v>0</v>
      </c>
      <c r="M13" s="323">
        <f>TVM!M13+KLM!M13+PTA!M13+ALP!M13+KTM!M13+IDK!M13+EKM!M13+TSR!M13+PKD!M13+MLPM!M13+KKD!M13+WYD!M13+KNR!M13+KSD!M13+SHS!M13</f>
        <v>0</v>
      </c>
      <c r="N13" s="329">
        <f>TVM!N13+KLM!N13+PTA!N13+ALP!N13+KTM!N13+IDK!N13+EKM!N13+TSR!N13+PKD!N13+MLPM!N13+KKD!N13+WYD!N13+KNR!N13+KSD!N13+SHS!N13</f>
        <v>0</v>
      </c>
      <c r="O13" s="323">
        <f>TVM!O13+KLM!O13+PTA!O13+ALP!O13+KTM!O13+IDK!O13+EKM!O13+TSR!O13+PKD!O13+MLPM!O13+KKD!O13+WYD!O13+KNR!O13+KSD!O13+SHS!O13</f>
        <v>0</v>
      </c>
      <c r="P13" s="323">
        <f>TVM!P13+KLM!P13+PTA!P13+ALP!P13+KTM!P13+IDK!P13+EKM!P13+TSR!P13+PKD!P13+MLPM!P13+KKD!P13+WYD!P13+KNR!P13+KSD!P13+SHS!P13</f>
        <v>0</v>
      </c>
      <c r="Q13" s="323">
        <f>TVM!Q13+KLM!Q13+PTA!Q13+ALP!Q13+KTM!Q13+IDK!Q13+EKM!Q13+TSR!Q13+PKD!Q13+MLPM!Q13+KKD!Q13+WYD!Q13+KNR!Q13+KSD!Q13+SHS!Q13</f>
        <v>0</v>
      </c>
      <c r="R13" s="323">
        <f>TVM!R13+KLM!R13+PTA!R13+ALP!R13+KTM!R13+IDK!R13+EKM!R13+TSR!R13+PKD!R13+MLPM!R13+KKD!R13+WYD!R13+KNR!R13+KSD!R13+SHS!R13</f>
        <v>0</v>
      </c>
      <c r="S13" s="323">
        <f>TVM!S13+KLM!S13+PTA!S13+ALP!S13+KTM!S13+IDK!S13+EKM!S13+TSR!S13+PKD!S13+MLPM!S13+KKD!S13+WYD!S13+KNR!S13+KSD!S13+SHS!S13</f>
        <v>0</v>
      </c>
      <c r="T13" s="324">
        <f t="shared" si="0"/>
        <v>0</v>
      </c>
      <c r="U13" s="324">
        <f>TVM!U13+KLM!U13+PTA!U13+ALP!U13+KTM!U13+IDK!U13+EKM!U13+TSR!U13+PKD!U13+MLPM!U13+KKD!U13+WYD!U13+KNR!U13+KSD!U13+SHS!U13</f>
        <v>0</v>
      </c>
      <c r="V13" s="325"/>
      <c r="W13" s="333"/>
      <c r="X13" s="332">
        <v>6.94</v>
      </c>
      <c r="Y13" s="334">
        <f t="shared" si="1"/>
        <v>-6.94</v>
      </c>
      <c r="Z13" s="314"/>
      <c r="AA13" s="314"/>
      <c r="AB13" s="314"/>
    </row>
    <row r="14" spans="1:28" ht="102" customHeight="1">
      <c r="A14" s="712"/>
      <c r="B14" s="712"/>
      <c r="C14" s="712"/>
      <c r="D14" s="320">
        <v>9</v>
      </c>
      <c r="E14" s="320" t="s">
        <v>43</v>
      </c>
      <c r="F14" s="323">
        <f>TVM!F14+KLM!F14+PTA!F14+ALP!F14+KTM!F14+IDK!F14+EKM!F14+TSR!F14+PKD!F14+MLPM!F14+KKD!F14+WYD!F14+KNR!F14+KSD!F14+SHS!F14</f>
        <v>0</v>
      </c>
      <c r="G14" s="323">
        <f>TVM!G14+KLM!G14+PTA!G14+ALP!G14+KTM!G14+IDK!G14+EKM!G14+TSR!G14+PKD!G14+MLPM!G14+KKD!G14+WYD!G14+KNR!G14+KSD!G14+SHS!G14</f>
        <v>0</v>
      </c>
      <c r="H14" s="323">
        <f>TVM!H14+KLM!H14+PTA!H14+ALP!H14+KTM!H14+IDK!H14+EKM!H14+TSR!H14+PKD!H14+MLPM!H14+KKD!H14+WYD!H14+KNR!H14+KSD!H14+SHS!H14</f>
        <v>0</v>
      </c>
      <c r="I14" s="323">
        <f>TVM!I14+KLM!I14+PTA!I14+ALP!I14+KTM!I14+IDK!I14+EKM!I14+TSR!I14+PKD!I14+MLPM!I14+KKD!I14+WYD!I14+KNR!I14+KSD!I14+SHS!I14</f>
        <v>0</v>
      </c>
      <c r="J14" s="323">
        <f>TVM!J14+KLM!J14+PTA!J14+ALP!J14+KTM!J14+IDK!J14+EKM!J14+TSR!J14+PKD!J14+MLPM!J14+KKD!J14+WYD!J14+KNR!J14+KSD!J14+SHS!J14</f>
        <v>0</v>
      </c>
      <c r="K14" s="323">
        <f>TVM!K14+KLM!K14+PTA!K14+ALP!K14+KTM!K14+IDK!K14+EKM!K14+TSR!K14+PKD!K14+MLPM!K14+KKD!K14+WYD!K14+KNR!K14+KSD!K14+SHS!K14</f>
        <v>0</v>
      </c>
      <c r="L14" s="323">
        <f>TVM!L14+KLM!L14+PTA!L14+ALP!L14+KTM!L14+IDK!L14+EKM!L14+TSR!L14+PKD!L14+MLPM!L14+KKD!L14+WYD!L14+KNR!L14+KSD!L14+SHS!L14</f>
        <v>0</v>
      </c>
      <c r="M14" s="323">
        <f>TVM!M14+KLM!M14+PTA!M14+ALP!M14+KTM!M14+IDK!M14+EKM!M14+TSR!M14+PKD!M14+MLPM!M14+KKD!M14+WYD!M14+KNR!M14+KSD!M14+SHS!M14</f>
        <v>0</v>
      </c>
      <c r="N14" s="329">
        <f>TVM!N14+KLM!N14+PTA!N14+ALP!N14+KTM!N14+IDK!N14+EKM!N14+TSR!N14+PKD!N14+MLPM!N14+KKD!N14+WYD!N14+KNR!N14+KSD!N14+SHS!N14</f>
        <v>0</v>
      </c>
      <c r="O14" s="323">
        <f>TVM!O14+KLM!O14+PTA!O14+ALP!O14+KTM!O14+IDK!O14+EKM!O14+TSR!O14+PKD!O14+MLPM!O14+KKD!O14+WYD!O14+KNR!O14+KSD!O14+SHS!O14</f>
        <v>0</v>
      </c>
      <c r="P14" s="329">
        <f>TVM!P14+KLM!P14+PTA!P14+ALP!P14+KTM!P14+IDK!P14+EKM!P14+TSR!P14+PKD!P14+MLPM!P14+KKD!P14+WYD!P14+KNR!P14+KSD!P14+SHS!P14</f>
        <v>2.2192800000000004</v>
      </c>
      <c r="Q14" s="330">
        <f>TVM!Q14+KLM!Q14+PTA!Q14+ALP!Q14+KTM!Q14+IDK!Q14+EKM!Q14+TSR!Q14+PKD!Q14+MLPM!Q14+KKD!Q14+WYD!Q14+KNR!Q14+KSD!Q14+SHS!Q14</f>
        <v>0.5</v>
      </c>
      <c r="R14" s="330">
        <f>TVM!R14+KLM!R14+PTA!R14+ALP!R14+KTM!R14+IDK!R14+EKM!R14+TSR!R14+PKD!R14+MLPM!R14+KKD!R14+WYD!R14+KNR!R14+KSD!R14+SHS!R14</f>
        <v>5.76</v>
      </c>
      <c r="S14" s="330">
        <f>TVM!S14+KLM!S14+PTA!S14+ALP!S14+KTM!S14+IDK!S14+EKM!S14+TSR!S14+PKD!S14+MLPM!S14+KKD!S14+WYD!S14+KNR!S14+KSD!S14+SHS!S14</f>
        <v>0</v>
      </c>
      <c r="T14" s="324">
        <f t="shared" si="0"/>
        <v>8.4792799999999993</v>
      </c>
      <c r="U14" s="324">
        <f>TVM!U14+KLM!U14+PTA!U14+ALP!U14+KTM!U14+IDK!U14+EKM!U14+TSR!U14+PKD!U14+MLPM!U14+KKD!U14+WYD!U14+KNR!U14+KSD!U14+SHS!U14</f>
        <v>8.4792799999999993</v>
      </c>
      <c r="V14" s="13" t="s">
        <v>1313</v>
      </c>
      <c r="W14" s="13" t="s">
        <v>1314</v>
      </c>
      <c r="X14" s="332">
        <v>8.1300000000000008</v>
      </c>
      <c r="Y14" s="328">
        <f t="shared" si="1"/>
        <v>0.34927999999999848</v>
      </c>
      <c r="Z14" s="314"/>
      <c r="AA14" s="314"/>
      <c r="AB14" s="314"/>
    </row>
    <row r="15" spans="1:28" ht="116.25" customHeight="1">
      <c r="A15" s="712"/>
      <c r="B15" s="712"/>
      <c r="C15" s="712"/>
      <c r="D15" s="320">
        <v>10</v>
      </c>
      <c r="E15" s="320" t="s">
        <v>44</v>
      </c>
      <c r="F15" s="323">
        <f>TVM!F15+KLM!F15+PTA!F15+ALP!F15+KTM!F15+IDK!F15+EKM!F15+TSR!F15+PKD!F15+MLPM!F15+KKD!F15+WYD!F15+KNR!F15+KSD!F15+SHS!F15</f>
        <v>0</v>
      </c>
      <c r="G15" s="323">
        <f>TVM!G15+KLM!G15+PTA!G15+ALP!G15+KTM!G15+IDK!G15+EKM!G15+TSR!G15+PKD!G15+MLPM!G15+KKD!G15+WYD!G15+KNR!G15+KSD!G15+SHS!G15</f>
        <v>0</v>
      </c>
      <c r="H15" s="323">
        <f>TVM!H15+KLM!H15+PTA!H15+ALP!H15+KTM!H15+IDK!H15+EKM!H15+TSR!H15+PKD!H15+MLPM!H15+KKD!H15+WYD!H15+KNR!H15+KSD!H15+SHS!H15</f>
        <v>0</v>
      </c>
      <c r="I15" s="329">
        <f>TVM!I15+KLM!I15+PTA!I15+ALP!I15+KTM!I15+IDK!I15+EKM!I15+TSR!I15+PKD!I15+MLPM!I15+KKD!I15+WYD!I15+KNR!I15+KSD!I15+SHS!I15</f>
        <v>0.40000000000000013</v>
      </c>
      <c r="J15" s="323">
        <f>TVM!J15+KLM!J15+PTA!J15+ALP!J15+KTM!J15+IDK!J15+EKM!J15+TSR!J15+PKD!J15+MLPM!J15+KKD!J15+WYD!J15+KNR!J15+KSD!J15+SHS!J15</f>
        <v>0</v>
      </c>
      <c r="K15" s="323">
        <f>TVM!K15+KLM!K15+PTA!K15+ALP!K15+KTM!K15+IDK!K15+EKM!K15+TSR!K15+PKD!K15+MLPM!K15+KKD!K15+WYD!K15+KNR!K15+KSD!K15+SHS!K15</f>
        <v>0</v>
      </c>
      <c r="L15" s="323">
        <f>TVM!L15+KLM!L15+PTA!L15+ALP!L15+KTM!L15+IDK!L15+EKM!L15+TSR!L15+PKD!L15+MLPM!L15+KKD!L15+WYD!L15+KNR!L15+KSD!L15+SHS!L15</f>
        <v>0</v>
      </c>
      <c r="M15" s="323">
        <f>TVM!M15+KLM!M15+PTA!M15+ALP!M15+KTM!M15+IDK!M15+EKM!M15+TSR!M15+PKD!M15+MLPM!M15+KKD!M15+WYD!M15+KNR!M15+KSD!M15+SHS!M15</f>
        <v>0</v>
      </c>
      <c r="N15" s="329">
        <f>TVM!N15+KLM!N15+PTA!N15+ALP!N15+KTM!N15+IDK!N15+EKM!N15+TSR!N15+PKD!N15+MLPM!N15+KKD!N15+WYD!N15+KNR!N15+KSD!N15+SHS!N15</f>
        <v>12.300000000000002</v>
      </c>
      <c r="O15" s="323">
        <f>TVM!O15+KLM!O15+PTA!O15+ALP!O15+KTM!O15+IDK!O15+EKM!O15+TSR!O15+PKD!O15+MLPM!O15+KKD!O15+WYD!O15+KNR!O15+KSD!O15+SHS!O15</f>
        <v>0</v>
      </c>
      <c r="P15" s="323">
        <f>TVM!P15+KLM!P15+PTA!P15+ALP!P15+KTM!P15+IDK!P15+EKM!P15+TSR!P15+PKD!P15+MLPM!P15+KKD!P15+WYD!P15+KNR!P15+KSD!P15+SHS!P15</f>
        <v>0</v>
      </c>
      <c r="Q15" s="323">
        <f>TVM!Q15+KLM!Q15+PTA!Q15+ALP!Q15+KTM!Q15+IDK!Q15+EKM!Q15+TSR!Q15+PKD!Q15+MLPM!Q15+KKD!Q15+WYD!Q15+KNR!Q15+KSD!Q15+SHS!Q15</f>
        <v>0</v>
      </c>
      <c r="R15" s="323">
        <f>TVM!R15+KLM!R15+PTA!R15+ALP!R15+KTM!R15+IDK!R15+EKM!R15+TSR!R15+PKD!R15+MLPM!R15+KKD!R15+WYD!R15+KNR!R15+KSD!R15+SHS!R15</f>
        <v>0</v>
      </c>
      <c r="S15" s="323">
        <f>TVM!S15+KLM!S15+PTA!S15+ALP!S15+KTM!S15+IDK!S15+EKM!S15+TSR!S15+PKD!S15+MLPM!S15+KKD!S15+WYD!S15+KNR!S15+KSD!S15+SHS!S15</f>
        <v>0</v>
      </c>
      <c r="T15" s="324">
        <f t="shared" si="0"/>
        <v>12.700000000000003</v>
      </c>
      <c r="U15" s="324">
        <f>TVM!U15+KLM!U15+PTA!U15+ALP!U15+KTM!U15+IDK!U15+EKM!U15+TSR!U15+PKD!U15+MLPM!U15+KKD!U15+WYD!U15+KNR!U15+KSD!U15+SHS!U15</f>
        <v>12.700000000000003</v>
      </c>
      <c r="V15" s="335" t="s">
        <v>1315</v>
      </c>
      <c r="W15" s="335" t="s">
        <v>1316</v>
      </c>
      <c r="X15" s="332">
        <v>8.5399999999999991</v>
      </c>
      <c r="Y15" s="328">
        <f t="shared" si="1"/>
        <v>4.1600000000000037</v>
      </c>
      <c r="Z15" s="314"/>
      <c r="AA15" s="314"/>
      <c r="AB15" s="314"/>
    </row>
    <row r="16" spans="1:28" ht="85.5" customHeight="1">
      <c r="A16" s="712"/>
      <c r="B16" s="712"/>
      <c r="C16" s="712"/>
      <c r="D16" s="320">
        <v>11</v>
      </c>
      <c r="E16" s="320" t="s">
        <v>45</v>
      </c>
      <c r="F16" s="323">
        <f>TVM!F16+KLM!F16+PTA!F16+ALP!F16+KTM!F16+IDK!F16+EKM!F16+TSR!F16+PKD!F16+MLPM!F16+KKD!F16+WYD!F16+KNR!F16+KSD!F16+SHS!F16</f>
        <v>0</v>
      </c>
      <c r="G16" s="330">
        <f>TVM!G16+KLM!G16+PTA!G16+ALP!G16+KTM!G16+IDK!G16+EKM!G16+TSR!G16+PKD!G16+MLPM!G16+KKD!G16+WYD!G16+KNR!G16+KSD!G16+SHS!G16</f>
        <v>0</v>
      </c>
      <c r="H16" s="330">
        <f>TVM!H16+KLM!H16+PTA!H16+ALP!H16+KTM!H16+IDK!H16+EKM!H16+TSR!H16+PKD!H16+MLPM!H16+KKD!H16+WYD!H16+KNR!H16+KSD!H16+SHS!H16</f>
        <v>0</v>
      </c>
      <c r="I16" s="323">
        <f>TVM!I16+KLM!I16+PTA!I16+ALP!I16+KTM!I16+IDK!I16+EKM!I16+TSR!I16+PKD!I16+MLPM!I16+KKD!I16+WYD!I16+KNR!I16+KSD!I16+SHS!I16</f>
        <v>0</v>
      </c>
      <c r="J16" s="323">
        <f>TVM!J16+KLM!J16+PTA!J16+ALP!J16+KTM!J16+IDK!J16+EKM!J16+TSR!J16+PKD!J16+MLPM!J16+KKD!J16+WYD!J16+KNR!J16+KSD!J16+SHS!J16</f>
        <v>0</v>
      </c>
      <c r="K16" s="323">
        <f>TVM!K16+KLM!K16+PTA!K16+ALP!K16+KTM!K16+IDK!K16+EKM!K16+TSR!K16+PKD!K16+MLPM!K16+KKD!K16+WYD!K16+KNR!K16+KSD!K16+SHS!K16</f>
        <v>0</v>
      </c>
      <c r="L16" s="323">
        <f>TVM!L16+KLM!L16+PTA!L16+ALP!L16+KTM!L16+IDK!L16+EKM!L16+TSR!L16+PKD!L16+MLPM!L16+KKD!L16+WYD!L16+KNR!L16+KSD!L16+SHS!L16</f>
        <v>0</v>
      </c>
      <c r="M16" s="323">
        <f>TVM!M16+KLM!M16+PTA!M16+ALP!M16+KTM!M16+IDK!M16+EKM!M16+TSR!M16+PKD!M16+MLPM!M16+KKD!M16+WYD!M16+KNR!M16+KSD!M16+SHS!M16</f>
        <v>0</v>
      </c>
      <c r="N16" s="323">
        <f>TVM!N16+KLM!N16+PTA!N16+ALP!N16+KTM!N16+IDK!N16+EKM!N16+TSR!N16+PKD!N16+MLPM!N16+KKD!N16+WYD!N16+KNR!N16+KSD!N16+SHS!N16</f>
        <v>0</v>
      </c>
      <c r="O16" s="323">
        <f>TVM!O16+KLM!O16+PTA!O16+ALP!O16+KTM!O16+IDK!O16+EKM!O16+TSR!O16+PKD!O16+MLPM!O16+KKD!O16+WYD!O16+KNR!O16+KSD!O16+SHS!O16</f>
        <v>0</v>
      </c>
      <c r="P16" s="323">
        <f>TVM!P16+KLM!P16+PTA!P16+ALP!P16+KTM!P16+IDK!P16+EKM!P16+TSR!P16+PKD!P16+MLPM!P16+KKD!P16+WYD!P16+KNR!P16+KSD!P16+SHS!P16</f>
        <v>0</v>
      </c>
      <c r="Q16" s="323">
        <f>TVM!Q16+KLM!Q16+PTA!Q16+ALP!Q16+KTM!Q16+IDK!Q16+EKM!Q16+TSR!Q16+PKD!Q16+MLPM!Q16+KKD!Q16+WYD!Q16+KNR!Q16+KSD!Q16+SHS!Q16</f>
        <v>0</v>
      </c>
      <c r="R16" s="323">
        <f>TVM!R16+KLM!R16+PTA!R16+ALP!R16+KTM!R16+IDK!R16+EKM!R16+TSR!R16+PKD!R16+MLPM!R16+KKD!R16+WYD!R16+KNR!R16+KSD!R16+SHS!R16</f>
        <v>0</v>
      </c>
      <c r="S16" s="323">
        <f>TVM!S16+KLM!S16+PTA!S16+ALP!S16+KTM!S16+IDK!S16+EKM!S16+TSR!S16+PKD!S16+MLPM!S16+KKD!S16+WYD!S16+KNR!S16+KSD!S16+SHS!S16</f>
        <v>0</v>
      </c>
      <c r="T16" s="324">
        <f t="shared" si="0"/>
        <v>0</v>
      </c>
      <c r="U16" s="324">
        <f>TVM!U16+KLM!U16+PTA!U16+ALP!U16+KTM!U16+IDK!U16+EKM!U16+TSR!U16+PKD!U16+MLPM!U16+KKD!U16+WYD!U16+KNR!U16+KSD!U16+SHS!U16</f>
        <v>0</v>
      </c>
      <c r="V16" s="336"/>
      <c r="W16" s="336"/>
      <c r="X16" s="332">
        <v>848.95</v>
      </c>
      <c r="Y16" s="334">
        <f t="shared" si="1"/>
        <v>-848.95</v>
      </c>
      <c r="Z16" s="314"/>
      <c r="AA16" s="314"/>
      <c r="AB16" s="314"/>
    </row>
    <row r="17" spans="1:28" ht="77.25" customHeight="1">
      <c r="A17" s="712"/>
      <c r="B17" s="712"/>
      <c r="C17" s="712"/>
      <c r="D17" s="320">
        <v>12</v>
      </c>
      <c r="E17" s="320" t="s">
        <v>46</v>
      </c>
      <c r="F17" s="323">
        <f>TVM!F17+KLM!F17+PTA!F17+ALP!F17+KTM!F17+IDK!F17+EKM!F17+TSR!F17+PKD!F17+MLPM!F17+KKD!F17+WYD!F17+KNR!F17+KSD!F17+SHS!F17</f>
        <v>0</v>
      </c>
      <c r="G17" s="323">
        <f>TVM!G17+KLM!G17+PTA!G17+ALP!G17+KTM!G17+IDK!G17+EKM!G17+TSR!G17+PKD!G17+MLPM!G17+KKD!G17+WYD!G17+KNR!G17+KSD!G17+SHS!G17</f>
        <v>0</v>
      </c>
      <c r="H17" s="323">
        <f>TVM!H17+KLM!H17+PTA!H17+ALP!H17+KTM!H17+IDK!H17+EKM!H17+TSR!H17+PKD!H17+MLPM!H17+KKD!H17+WYD!H17+KNR!H17+KSD!H17+SHS!H17</f>
        <v>0</v>
      </c>
      <c r="I17" s="323">
        <f>TVM!I17+KLM!I17+PTA!I17+ALP!I17+KTM!I17+IDK!I17+EKM!I17+TSR!I17+PKD!I17+MLPM!I17+KKD!I17+WYD!I17+KNR!I17+KSD!I17+SHS!I17</f>
        <v>0</v>
      </c>
      <c r="J17" s="323">
        <f>TVM!J17+KLM!J17+PTA!J17+ALP!J17+KTM!J17+IDK!J17+EKM!J17+TSR!J17+PKD!J17+MLPM!J17+KKD!J17+WYD!J17+KNR!J17+KSD!J17+SHS!J17</f>
        <v>0</v>
      </c>
      <c r="K17" s="323">
        <f>TVM!K17+KLM!K17+PTA!K17+ALP!K17+KTM!K17+IDK!K17+EKM!K17+TSR!K17+PKD!K17+MLPM!K17+KKD!K17+WYD!K17+KNR!K17+KSD!K17+SHS!K17</f>
        <v>0</v>
      </c>
      <c r="L17" s="323">
        <f>TVM!L17+KLM!L17+PTA!L17+ALP!L17+KTM!L17+IDK!L17+EKM!L17+TSR!L17+PKD!L17+MLPM!L17+KKD!L17+WYD!L17+KNR!L17+KSD!L17+SHS!L17</f>
        <v>0</v>
      </c>
      <c r="M17" s="323">
        <f>TVM!M17+KLM!M17+PTA!M17+ALP!M17+KTM!M17+IDK!M17+EKM!M17+TSR!M17+PKD!M17+MLPM!M17+KKD!M17+WYD!M17+KNR!M17+KSD!M17+SHS!M17</f>
        <v>0</v>
      </c>
      <c r="N17" s="329">
        <f>TVM!N17+KLM!N17+PTA!N17+ALP!N17+KTM!N17+IDK!N17+EKM!N17+TSR!N17+PKD!N17+MLPM!N17+KKD!N17+WYD!N17+KNR!N17+KSD!N17+SHS!N17</f>
        <v>22.5</v>
      </c>
      <c r="O17" s="323">
        <f>TVM!O17+KLM!O17+PTA!O17+ALP!O17+KTM!O17+IDK!O17+EKM!O17+TSR!O17+PKD!O17+MLPM!O17+KKD!O17+WYD!O17+KNR!O17+KSD!O17+SHS!O17</f>
        <v>0</v>
      </c>
      <c r="P17" s="323">
        <f>TVM!P17+KLM!P17+PTA!P17+ALP!P17+KTM!P17+IDK!P17+EKM!P17+TSR!P17+PKD!P17+MLPM!P17+KKD!P17+WYD!P17+KNR!P17+KSD!P17+SHS!P17</f>
        <v>0</v>
      </c>
      <c r="Q17" s="323">
        <f>TVM!Q17+KLM!Q17+PTA!Q17+ALP!Q17+KTM!Q17+IDK!Q17+EKM!Q17+TSR!Q17+PKD!Q17+MLPM!Q17+KKD!Q17+WYD!Q17+KNR!Q17+KSD!Q17+SHS!Q17</f>
        <v>0</v>
      </c>
      <c r="R17" s="323">
        <f>TVM!R17+KLM!R17+PTA!R17+ALP!R17+KTM!R17+IDK!R17+EKM!R17+TSR!R17+PKD!R17+MLPM!R17+KKD!R17+WYD!R17+KNR!R17+KSD!R17+SHS!R17</f>
        <v>0</v>
      </c>
      <c r="S17" s="323">
        <f>TVM!S17+KLM!S17+PTA!S17+ALP!S17+KTM!S17+IDK!S17+EKM!S17+TSR!S17+PKD!S17+MLPM!S17+KKD!S17+WYD!S17+KNR!S17+KSD!S17+SHS!S17</f>
        <v>0</v>
      </c>
      <c r="T17" s="324">
        <f t="shared" si="0"/>
        <v>22.5</v>
      </c>
      <c r="U17" s="324">
        <f>TVM!U17+KLM!U17+PTA!U17+ALP!U17+KTM!U17+IDK!U17+EKM!U17+TSR!U17+PKD!U17+MLPM!U17+KKD!U17+WYD!U17+KNR!U17+KSD!U17+SHS!U17</f>
        <v>22.5</v>
      </c>
      <c r="V17" s="13" t="s">
        <v>1317</v>
      </c>
      <c r="W17" s="13" t="s">
        <v>1318</v>
      </c>
      <c r="X17" s="332">
        <v>55.35</v>
      </c>
      <c r="Y17" s="328">
        <f t="shared" si="1"/>
        <v>-32.85</v>
      </c>
      <c r="Z17" s="314"/>
      <c r="AA17" s="314"/>
      <c r="AB17" s="314"/>
    </row>
    <row r="18" spans="1:28" ht="39.75" customHeight="1">
      <c r="A18" s="712"/>
      <c r="B18" s="712"/>
      <c r="C18" s="712"/>
      <c r="D18" s="320">
        <v>13</v>
      </c>
      <c r="E18" s="320" t="s">
        <v>48</v>
      </c>
      <c r="F18" s="323">
        <f>TVM!F18+KLM!F18+PTA!F18+ALP!F18+KTM!F18+IDK!F18+EKM!F18+TSR!F18+PKD!F18+MLPM!F18+KKD!F18+WYD!F18+KNR!F18+KSD!F18+SHS!F18</f>
        <v>0</v>
      </c>
      <c r="G18" s="323">
        <f>TVM!G18+KLM!G18+PTA!G18+ALP!G18+KTM!G18+IDK!G18+EKM!G18+TSR!G18+PKD!G18+MLPM!G18+KKD!G18+WYD!G18+KNR!G18+KSD!G18+SHS!G18</f>
        <v>0</v>
      </c>
      <c r="H18" s="323">
        <f>TVM!H18+KLM!H18+PTA!H18+ALP!H18+KTM!H18+IDK!H18+EKM!H18+TSR!H18+PKD!H18+MLPM!H18+KKD!H18+WYD!H18+KNR!H18+KSD!H18+SHS!H18</f>
        <v>0</v>
      </c>
      <c r="I18" s="323">
        <f>TVM!I18+KLM!I18+PTA!I18+ALP!I18+KTM!I18+IDK!I18+EKM!I18+TSR!I18+PKD!I18+MLPM!I18+KKD!I18+WYD!I18+KNR!I18+KSD!I18+SHS!I18</f>
        <v>0</v>
      </c>
      <c r="J18" s="323">
        <f>TVM!J18+KLM!J18+PTA!J18+ALP!J18+KTM!J18+IDK!J18+EKM!J18+TSR!J18+PKD!J18+MLPM!J18+KKD!J18+WYD!J18+KNR!J18+KSD!J18+SHS!J18</f>
        <v>0</v>
      </c>
      <c r="K18" s="323">
        <f>TVM!K18+KLM!K18+PTA!K18+ALP!K18+KTM!K18+IDK!K18+EKM!K18+TSR!K18+PKD!K18+MLPM!K18+KKD!K18+WYD!K18+KNR!K18+KSD!K18+SHS!K18</f>
        <v>0</v>
      </c>
      <c r="L18" s="323">
        <f>TVM!L18+KLM!L18+PTA!L18+ALP!L18+KTM!L18+IDK!L18+EKM!L18+TSR!L18+PKD!L18+MLPM!L18+KKD!L18+WYD!L18+KNR!L18+KSD!L18+SHS!L18</f>
        <v>0</v>
      </c>
      <c r="M18" s="323">
        <f>TVM!M18+KLM!M18+PTA!M18+ALP!M18+KTM!M18+IDK!M18+EKM!M18+TSR!M18+PKD!M18+MLPM!M18+KKD!M18+WYD!M18+KNR!M18+KSD!M18+SHS!M18</f>
        <v>0</v>
      </c>
      <c r="N18" s="323">
        <f>TVM!N18+KLM!N18+PTA!N18+ALP!N18+KTM!N18+IDK!N18+EKM!N18+TSR!N18+PKD!N18+MLPM!N18+KKD!N18+WYD!N18+KNR!N18+KSD!N18+SHS!N18</f>
        <v>0</v>
      </c>
      <c r="O18" s="323">
        <f>TVM!O18+KLM!O18+PTA!O18+ALP!O18+KTM!O18+IDK!O18+EKM!O18+TSR!O18+PKD!O18+MLPM!O18+KKD!O18+WYD!O18+KNR!O18+KSD!O18+SHS!O18</f>
        <v>0</v>
      </c>
      <c r="P18" s="330">
        <f>TVM!P18+KLM!P18+PTA!P18+ALP!P18+KTM!P18+IDK!P18+EKM!P18+TSR!P18+PKD!P18+MLPM!P18+KKD!P18+WYD!P18+KNR!P18+KSD!P18+SHS!P18</f>
        <v>0</v>
      </c>
      <c r="Q18" s="323">
        <f>TVM!Q18+KLM!Q18+PTA!Q18+ALP!Q18+KTM!Q18+IDK!Q18+EKM!Q18+TSR!Q18+PKD!Q18+MLPM!Q18+KKD!Q18+WYD!Q18+KNR!Q18+KSD!Q18+SHS!Q18</f>
        <v>0</v>
      </c>
      <c r="R18" s="323">
        <f>TVM!R18+KLM!R18+PTA!R18+ALP!R18+KTM!R18+IDK!R18+EKM!R18+TSR!R18+PKD!R18+MLPM!R18+KKD!R18+WYD!R18+KNR!R18+KSD!R18+SHS!R18</f>
        <v>0</v>
      </c>
      <c r="S18" s="323">
        <f>TVM!S18+KLM!S18+PTA!S18+ALP!S18+KTM!S18+IDK!S18+EKM!S18+TSR!S18+PKD!S18+MLPM!S18+KKD!S18+WYD!S18+KNR!S18+KSD!S18+SHS!S18</f>
        <v>0</v>
      </c>
      <c r="T18" s="324">
        <f t="shared" si="0"/>
        <v>0</v>
      </c>
      <c r="U18" s="324">
        <f>TVM!U18+KLM!U18+PTA!U18+ALP!U18+KTM!U18+IDK!U18+EKM!U18+TSR!U18+PKD!U18+MLPM!U18+KKD!U18+WYD!U18+KNR!U18+KSD!U18+SHS!U18</f>
        <v>0</v>
      </c>
      <c r="V18" s="325"/>
      <c r="W18" s="337"/>
      <c r="X18" s="332">
        <v>0</v>
      </c>
      <c r="Y18" s="328">
        <f t="shared" si="1"/>
        <v>0</v>
      </c>
      <c r="Z18" s="314"/>
      <c r="AA18" s="314"/>
      <c r="AB18" s="314"/>
    </row>
    <row r="19" spans="1:28" ht="39.75" customHeight="1">
      <c r="A19" s="712"/>
      <c r="B19" s="712"/>
      <c r="C19" s="712"/>
      <c r="D19" s="320">
        <v>14</v>
      </c>
      <c r="E19" s="320" t="s">
        <v>49</v>
      </c>
      <c r="F19" s="323">
        <f>TVM!F19+KLM!F19+PTA!F19+ALP!F19+KTM!F19+IDK!F19+EKM!F19+TSR!F19+PKD!F19+MLPM!F19+KKD!F19+WYD!F19+KNR!F19+KSD!F19+SHS!F19</f>
        <v>0</v>
      </c>
      <c r="G19" s="323">
        <f>TVM!G19+KLM!G19+PTA!G19+ALP!G19+KTM!G19+IDK!G19+EKM!G19+TSR!G19+PKD!G19+MLPM!G19+KKD!G19+WYD!G19+KNR!G19+KSD!G19+SHS!G19</f>
        <v>0</v>
      </c>
      <c r="H19" s="323">
        <f>TVM!H19+KLM!H19+PTA!H19+ALP!H19+KTM!H19+IDK!H19+EKM!H19+TSR!H19+PKD!H19+MLPM!H19+KKD!H19+WYD!H19+KNR!H19+KSD!H19+SHS!H19</f>
        <v>0</v>
      </c>
      <c r="I19" s="323">
        <f>TVM!I19+KLM!I19+PTA!I19+ALP!I19+KTM!I19+IDK!I19+EKM!I19+TSR!I19+PKD!I19+MLPM!I19+KKD!I19+WYD!I19+KNR!I19+KSD!I19+SHS!I19</f>
        <v>0</v>
      </c>
      <c r="J19" s="323">
        <f>TVM!J19+KLM!J19+PTA!J19+ALP!J19+KTM!J19+IDK!J19+EKM!J19+TSR!J19+PKD!J19+MLPM!J19+KKD!J19+WYD!J19+KNR!J19+KSD!J19+SHS!J19</f>
        <v>0</v>
      </c>
      <c r="K19" s="323">
        <f>TVM!K19+KLM!K19+PTA!K19+ALP!K19+KTM!K19+IDK!K19+EKM!K19+TSR!K19+PKD!K19+MLPM!K19+KKD!K19+WYD!K19+KNR!K19+KSD!K19+SHS!K19</f>
        <v>0</v>
      </c>
      <c r="L19" s="323">
        <f>TVM!L19+KLM!L19+PTA!L19+ALP!L19+KTM!L19+IDK!L19+EKM!L19+TSR!L19+PKD!L19+MLPM!L19+KKD!L19+WYD!L19+KNR!L19+KSD!L19+SHS!L19</f>
        <v>0</v>
      </c>
      <c r="M19" s="323">
        <f>TVM!M19+KLM!M19+PTA!M19+ALP!M19+KTM!M19+IDK!M19+EKM!M19+TSR!M19+PKD!M19+MLPM!M19+KKD!M19+WYD!M19+KNR!M19+KSD!M19+SHS!M19</f>
        <v>0</v>
      </c>
      <c r="N19" s="323">
        <f>TVM!N19+KLM!N19+PTA!N19+ALP!N19+KTM!N19+IDK!N19+EKM!N19+TSR!N19+PKD!N19+MLPM!N19+KKD!N19+WYD!N19+KNR!N19+KSD!N19+SHS!N19</f>
        <v>0</v>
      </c>
      <c r="O19" s="323">
        <f>TVM!O19+KLM!O19+PTA!O19+ALP!O19+KTM!O19+IDK!O19+EKM!O19+TSR!O19+PKD!O19+MLPM!O19+KKD!O19+WYD!O19+KNR!O19+KSD!O19+SHS!O19</f>
        <v>0</v>
      </c>
      <c r="P19" s="323">
        <f>TVM!P19+KLM!P19+PTA!P19+ALP!P19+KTM!P19+IDK!P19+EKM!P19+TSR!P19+PKD!P19+MLPM!P19+KKD!P19+WYD!P19+KNR!P19+KSD!P19+SHS!P19</f>
        <v>0</v>
      </c>
      <c r="Q19" s="323">
        <f>TVM!Q19+KLM!Q19+PTA!Q19+ALP!Q19+KTM!Q19+IDK!Q19+EKM!Q19+TSR!Q19+PKD!Q19+MLPM!Q19+KKD!Q19+WYD!Q19+KNR!Q19+KSD!Q19+SHS!Q19</f>
        <v>0</v>
      </c>
      <c r="R19" s="323">
        <f>TVM!R19+KLM!R19+PTA!R19+ALP!R19+KTM!R19+IDK!R19+EKM!R19+TSR!R19+PKD!R19+MLPM!R19+KKD!R19+WYD!R19+KNR!R19+KSD!R19+SHS!R19</f>
        <v>0</v>
      </c>
      <c r="S19" s="323">
        <f>TVM!S19+KLM!S19+PTA!S19+ALP!S19+KTM!S19+IDK!S19+EKM!S19+TSR!S19+PKD!S19+MLPM!S19+KKD!S19+WYD!S19+KNR!S19+KSD!S19+SHS!S19</f>
        <v>0</v>
      </c>
      <c r="T19" s="324">
        <f t="shared" si="0"/>
        <v>0</v>
      </c>
      <c r="U19" s="324">
        <f>TVM!U19+KLM!U19+PTA!U19+ALP!U19+KTM!U19+IDK!U19+EKM!U19+TSR!U19+PKD!U19+MLPM!U19+KKD!U19+WYD!U19+KNR!U19+KSD!U19+SHS!U19</f>
        <v>0</v>
      </c>
      <c r="V19" s="325"/>
      <c r="W19" s="337"/>
      <c r="X19" s="332">
        <v>0</v>
      </c>
      <c r="Y19" s="328">
        <f t="shared" si="1"/>
        <v>0</v>
      </c>
      <c r="Z19" s="314"/>
      <c r="AA19" s="314"/>
      <c r="AB19" s="314"/>
    </row>
    <row r="20" spans="1:28" ht="362.25">
      <c r="A20" s="712"/>
      <c r="B20" s="712"/>
      <c r="C20" s="712"/>
      <c r="D20" s="320">
        <v>15</v>
      </c>
      <c r="E20" s="320" t="s">
        <v>50</v>
      </c>
      <c r="F20" s="323">
        <f>TVM!F20+KLM!F20+PTA!F20+ALP!F20+KTM!F20+IDK!F20+EKM!F20+TSR!F20+PKD!F20+MLPM!F20+KKD!F20+WYD!F20+KNR!F20+KSD!F20+SHS!F20</f>
        <v>0</v>
      </c>
      <c r="G20" s="323">
        <f>TVM!G20+KLM!G20+PTA!G20+ALP!G20+KTM!G20+IDK!G20+EKM!G20+TSR!G20+PKD!G20+MLPM!G20+KKD!G20+WYD!G20+KNR!G20+KSD!G20+SHS!G20</f>
        <v>0</v>
      </c>
      <c r="H20" s="323">
        <f>TVM!H20+KLM!H20+PTA!H20+ALP!H20+KTM!H20+IDK!H20+EKM!H20+TSR!H20+PKD!H20+MLPM!H20+KKD!H20+WYD!H20+KNR!H20+KSD!H20+SHS!H20</f>
        <v>0</v>
      </c>
      <c r="I20" s="338">
        <f>TVM!I20+KLM!I20+PTA!I20+ALP!I20+KTM!I20+IDK!I20+EKM!I20+TSR!I20+PKD!I20+MLPM!I20+KKD!I20+WYD!I20+KNR!I20+KSD!I20+SHS!I20</f>
        <v>321.72000000000003</v>
      </c>
      <c r="J20" s="323">
        <f>TVM!J20+KLM!J20+PTA!J20+ALP!J20+KTM!J20+IDK!J20+EKM!J20+TSR!J20+PKD!J20+MLPM!J20+KKD!J20+WYD!J20+KNR!J20+KSD!J20+SHS!J20</f>
        <v>0</v>
      </c>
      <c r="K20" s="323">
        <f>TVM!K20+KLM!K20+PTA!K20+ALP!K20+KTM!K20+IDK!K20+EKM!K20+TSR!K20+PKD!K20+MLPM!K20+KKD!K20+WYD!K20+KNR!K20+KSD!K20+SHS!K20</f>
        <v>0</v>
      </c>
      <c r="L20" s="323">
        <f>TVM!L20+KLM!L20+PTA!L20+ALP!L20+KTM!L20+IDK!L20+EKM!L20+TSR!L20+PKD!L20+MLPM!L20+KKD!L20+WYD!L20+KNR!L20+KSD!L20+SHS!L20</f>
        <v>0</v>
      </c>
      <c r="M20" s="323">
        <f>TVM!M20+KLM!M20+PTA!M20+ALP!M20+KTM!M20+IDK!M20+EKM!M20+TSR!M20+PKD!M20+MLPM!M20+KKD!M20+WYD!M20+KNR!M20+KSD!M20+SHS!M20</f>
        <v>0</v>
      </c>
      <c r="N20" s="329">
        <f>TVM!N20+KLM!N20+PTA!N20+ALP!N20+KTM!N20+IDK!N20+EKM!N20+TSR!N20+PKD!N20+MLPM!N20+KKD!N20+WYD!N20+KNR!N20+KSD!N20+SHS!N20</f>
        <v>10.5</v>
      </c>
      <c r="O20" s="323">
        <f>TVM!O20+KLM!O20+PTA!O20+ALP!O20+KTM!O20+IDK!O20+EKM!O20+TSR!O20+PKD!O20+MLPM!O20+KKD!O20+WYD!O20+KNR!O20+KSD!O20+SHS!O20</f>
        <v>0</v>
      </c>
      <c r="P20" s="330">
        <f>TVM!P20+KLM!P20+PTA!P20+ALP!P20+KTM!P20+IDK!P20+EKM!P20+TSR!P20+PKD!P20+MLPM!P20+KKD!P20+WYD!P20+KNR!P20+KSD!P20+SHS!P20</f>
        <v>48.3</v>
      </c>
      <c r="Q20" s="330">
        <f>TVM!Q20+KLM!Q20+PTA!Q20+ALP!Q20+KTM!Q20+IDK!Q20+EKM!Q20+TSR!Q20+PKD!Q20+MLPM!Q20+KKD!Q20+WYD!Q20+KNR!Q20+KSD!Q20+SHS!Q20</f>
        <v>1.6</v>
      </c>
      <c r="R20" s="323">
        <f>TVM!R20+KLM!R20+PTA!R20+ALP!R20+KTM!R20+IDK!R20+EKM!R20+TSR!R20+PKD!R20+MLPM!R20+KKD!R20+WYD!R20+KNR!R20+KSD!R20+SHS!R20</f>
        <v>0</v>
      </c>
      <c r="S20" s="323">
        <f>TVM!S20+KLM!S20+PTA!S20+ALP!S20+KTM!S20+IDK!S20+EKM!S20+TSR!S20+PKD!S20+MLPM!S20+KKD!S20+WYD!S20+KNR!S20+KSD!S20+SHS!S20</f>
        <v>0</v>
      </c>
      <c r="T20" s="324">
        <f t="shared" si="0"/>
        <v>382.12000000000006</v>
      </c>
      <c r="U20" s="324">
        <f>TVM!U20+KLM!U20+PTA!U20+ALP!U20+KTM!U20+IDK!U20+EKM!U20+TSR!U20+PKD!U20+MLPM!U20+KKD!U20+WYD!U20+KNR!U20+KSD!U20+SHS!U20</f>
        <v>111.96000000000001</v>
      </c>
      <c r="V20" s="14" t="s">
        <v>1319</v>
      </c>
      <c r="W20" s="339" t="s">
        <v>1320</v>
      </c>
      <c r="X20" s="332">
        <v>113.64</v>
      </c>
      <c r="Y20" s="334">
        <f t="shared" si="1"/>
        <v>268.48000000000008</v>
      </c>
      <c r="Z20" s="314"/>
      <c r="AA20" s="314"/>
      <c r="AB20" s="314"/>
    </row>
    <row r="21" spans="1:28" ht="39.75" customHeight="1">
      <c r="A21" s="712"/>
      <c r="B21" s="712"/>
      <c r="C21" s="712"/>
      <c r="D21" s="320">
        <v>16</v>
      </c>
      <c r="E21" s="320" t="s">
        <v>51</v>
      </c>
      <c r="F21" s="323">
        <f>TVM!F21+KLM!F21+PTA!F21+ALP!F21+KTM!F21+IDK!F21+EKM!F21+TSR!F21+PKD!F21+MLPM!F21+KKD!F21+WYD!F21+KNR!F21+KSD!F21+SHS!F21</f>
        <v>0</v>
      </c>
      <c r="G21" s="323">
        <f>TVM!G21+KLM!G21+PTA!G21+ALP!G21+KTM!G21+IDK!G21+EKM!G21+TSR!G21+PKD!G21+MLPM!G21+KKD!G21+WYD!G21+KNR!G21+KSD!G21+SHS!G21</f>
        <v>0</v>
      </c>
      <c r="H21" s="323">
        <f>TVM!H21+KLM!H21+PTA!H21+ALP!H21+KTM!H21+IDK!H21+EKM!H21+TSR!H21+PKD!H21+MLPM!H21+KKD!H21+WYD!H21+KNR!H21+KSD!H21+SHS!H21</f>
        <v>0</v>
      </c>
      <c r="I21" s="323">
        <f>TVM!I21+KLM!I21+PTA!I21+ALP!I21+KTM!I21+IDK!I21+EKM!I21+TSR!I21+PKD!I21+MLPM!I21+KKD!I21+WYD!I21+KNR!I21+KSD!I21+SHS!I21</f>
        <v>0</v>
      </c>
      <c r="J21" s="323">
        <f>TVM!J21+KLM!J21+PTA!J21+ALP!J21+KTM!J21+IDK!J21+EKM!J21+TSR!J21+PKD!J21+MLPM!J21+KKD!J21+WYD!J21+KNR!J21+KSD!J21+SHS!J21</f>
        <v>0</v>
      </c>
      <c r="K21" s="323">
        <f>TVM!K21+KLM!K21+PTA!K21+ALP!K21+KTM!K21+IDK!K21+EKM!K21+TSR!K21+PKD!K21+MLPM!K21+KKD!K21+WYD!K21+KNR!K21+KSD!K21+SHS!K21</f>
        <v>0</v>
      </c>
      <c r="L21" s="323">
        <f>TVM!L21+KLM!L21+PTA!L21+ALP!L21+KTM!L21+IDK!L21+EKM!L21+TSR!L21+PKD!L21+MLPM!L21+KKD!L21+WYD!L21+KNR!L21+KSD!L21+SHS!L21</f>
        <v>0</v>
      </c>
      <c r="M21" s="323">
        <f>TVM!M21+KLM!M21+PTA!M21+ALP!M21+KTM!M21+IDK!M21+EKM!M21+TSR!M21+PKD!M21+MLPM!M21+KKD!M21+WYD!M21+KNR!M21+KSD!M21+SHS!M21</f>
        <v>0</v>
      </c>
      <c r="N21" s="323">
        <f>TVM!N21+KLM!N21+PTA!N21+ALP!N21+KTM!N21+IDK!N21+EKM!N21+TSR!N21+PKD!N21+MLPM!N21+KKD!N21+WYD!N21+KNR!N21+KSD!N21+SHS!N21</f>
        <v>0</v>
      </c>
      <c r="O21" s="323">
        <f>TVM!O21+KLM!O21+PTA!O21+ALP!O21+KTM!O21+IDK!O21+EKM!O21+TSR!O21+PKD!O21+MLPM!O21+KKD!O21+WYD!O21+KNR!O21+KSD!O21+SHS!O21</f>
        <v>0</v>
      </c>
      <c r="P21" s="323">
        <f>TVM!P21+KLM!P21+PTA!P21+ALP!P21+KTM!P21+IDK!P21+EKM!P21+TSR!P21+PKD!P21+MLPM!P21+KKD!P21+WYD!P21+KNR!P21+KSD!P21+SHS!P21</f>
        <v>0</v>
      </c>
      <c r="Q21" s="323">
        <f>TVM!Q21+KLM!Q21+PTA!Q21+ALP!Q21+KTM!Q21+IDK!Q21+EKM!Q21+TSR!Q21+PKD!Q21+MLPM!Q21+KKD!Q21+WYD!Q21+KNR!Q21+KSD!Q21+SHS!Q21</f>
        <v>0</v>
      </c>
      <c r="R21" s="323">
        <f>TVM!R21+KLM!R21+PTA!R21+ALP!R21+KTM!R21+IDK!R21+EKM!R21+TSR!R21+PKD!R21+MLPM!R21+KKD!R21+WYD!R21+KNR!R21+KSD!R21+SHS!R21</f>
        <v>0</v>
      </c>
      <c r="S21" s="323">
        <f>TVM!S21+KLM!S21+PTA!S21+ALP!S21+KTM!S21+IDK!S21+EKM!S21+TSR!S21+PKD!S21+MLPM!S21+KKD!S21+WYD!S21+KNR!S21+KSD!S21+SHS!S21</f>
        <v>0</v>
      </c>
      <c r="T21" s="324">
        <f t="shared" si="0"/>
        <v>0</v>
      </c>
      <c r="U21" s="324">
        <f>TVM!U21+KLM!U21+PTA!U21+ALP!U21+KTM!U21+IDK!U21+EKM!U21+TSR!U21+PKD!U21+MLPM!U21+KKD!U21+WYD!U21+KNR!U21+KSD!U21+SHS!U21</f>
        <v>0</v>
      </c>
      <c r="V21" s="325"/>
      <c r="W21" s="333"/>
      <c r="X21" s="332">
        <v>0</v>
      </c>
      <c r="Y21" s="328">
        <f t="shared" si="1"/>
        <v>0</v>
      </c>
      <c r="Z21" s="314"/>
      <c r="AA21" s="314"/>
      <c r="AB21" s="314"/>
    </row>
    <row r="22" spans="1:28" ht="217.5" customHeight="1">
      <c r="A22" s="712"/>
      <c r="B22" s="712"/>
      <c r="C22" s="712"/>
      <c r="D22" s="320">
        <v>17</v>
      </c>
      <c r="E22" s="320" t="s">
        <v>52</v>
      </c>
      <c r="F22" s="323">
        <f>TVM!F22+KLM!F22+PTA!F22+ALP!F22+KTM!F22+IDK!F22+EKM!F22+TSR!F22+PKD!F22+MLPM!F22+KKD!F22+WYD!F22+KNR!F22+KSD!F22+SHS!F22</f>
        <v>0</v>
      </c>
      <c r="G22" s="323">
        <f>TVM!G22+KLM!G22+PTA!G22+ALP!G22+KTM!G22+IDK!G22+EKM!G22+TSR!G22+PKD!G22+MLPM!G22+KKD!G22+WYD!G22+KNR!G22+KSD!G22+SHS!G22</f>
        <v>0</v>
      </c>
      <c r="H22" s="323">
        <f>TVM!H22+KLM!H22+PTA!H22+ALP!H22+KTM!H22+IDK!H22+EKM!H22+TSR!H22+PKD!H22+MLPM!H22+KKD!H22+WYD!H22+KNR!H22+KSD!H22+SHS!H22</f>
        <v>0</v>
      </c>
      <c r="I22" s="329">
        <f>TVM!I22+KLM!I22+PTA!I22+ALP!I22+KTM!I22+IDK!I22+EKM!I22+TSR!I22+PKD!I22+MLPM!I22+KKD!I22+WYD!I22+KNR!I22+KSD!I22+SHS!I22</f>
        <v>786.61900000000003</v>
      </c>
      <c r="J22" s="323">
        <f>TVM!J22+KLM!J22+PTA!J22+ALP!J22+KTM!J22+IDK!J22+EKM!J22+TSR!J22+PKD!J22+MLPM!J22+KKD!J22+WYD!J22+KNR!J22+KSD!J22+SHS!J22</f>
        <v>0</v>
      </c>
      <c r="K22" s="323">
        <f>TVM!K22+KLM!K22+PTA!K22+ALP!K22+KTM!K22+IDK!K22+EKM!K22+TSR!K22+PKD!K22+MLPM!K22+KKD!K22+WYD!K22+KNR!K22+KSD!K22+SHS!K22</f>
        <v>0</v>
      </c>
      <c r="L22" s="323">
        <f>TVM!L22+KLM!L22+PTA!L22+ALP!L22+KTM!L22+IDK!L22+EKM!L22+TSR!L22+PKD!L22+MLPM!L22+KKD!L22+WYD!L22+KNR!L22+KSD!L22+SHS!L22</f>
        <v>0</v>
      </c>
      <c r="M22" s="323">
        <f>TVM!M22+KLM!M22+PTA!M22+ALP!M22+KTM!M22+IDK!M22+EKM!M22+TSR!M22+PKD!M22+MLPM!M22+KKD!M22+WYD!M22+KNR!M22+KSD!M22+SHS!M22</f>
        <v>0</v>
      </c>
      <c r="N22" s="329">
        <f>TVM!N22+KLM!N22+PTA!N22+ALP!N22+KTM!N22+IDK!N22+EKM!N22+TSR!N22+PKD!N22+MLPM!N22+KKD!N22+WYD!N22+KNR!N22+KSD!N22+SHS!N22</f>
        <v>0</v>
      </c>
      <c r="O22" s="323">
        <f>TVM!O22+KLM!O22+PTA!O22+ALP!O22+KTM!O22+IDK!O22+EKM!O22+TSR!O22+PKD!O22+MLPM!O22+KKD!O22+WYD!O22+KNR!O22+KSD!O22+SHS!O22</f>
        <v>0</v>
      </c>
      <c r="P22" s="330">
        <f>TVM!P22+KLM!P22+PTA!P22+ALP!P22+KTM!P22+IDK!P22+EKM!P22+TSR!P22+PKD!P22+MLPM!P22+KKD!P22+WYD!P22+KNR!P22+KSD!P22+SHS!P22</f>
        <v>15.750000000000002</v>
      </c>
      <c r="Q22" s="329">
        <f>TVM!Q22+KLM!Q22+PTA!Q22+ALP!Q22+KTM!Q22+IDK!Q22+EKM!Q22+TSR!Q22+PKD!Q22+MLPM!Q22+KKD!Q22+WYD!Q22+KNR!Q22+KSD!Q22+SHS!Q22</f>
        <v>85</v>
      </c>
      <c r="R22" s="323">
        <f>TVM!R22+KLM!R22+PTA!R22+ALP!R22+KTM!R22+IDK!R22+EKM!R22+TSR!R22+PKD!R22+MLPM!R22+KKD!R22+WYD!R22+KNR!R22+KSD!R22+SHS!R22</f>
        <v>1.5</v>
      </c>
      <c r="S22" s="330">
        <f>TVM!S22+KLM!S22+PTA!S22+ALP!S22+KTM!S22+IDK!S22+EKM!S22+TSR!S22+PKD!S22+MLPM!S22+KKD!S22+WYD!S22+KNR!S22+KSD!S22+SHS!S22</f>
        <v>0</v>
      </c>
      <c r="T22" s="324">
        <f t="shared" si="0"/>
        <v>888.86900000000003</v>
      </c>
      <c r="U22" s="324">
        <f>TVM!U22+KLM!U22+PTA!U22+ALP!U22+KTM!U22+IDK!U22+EKM!U22+TSR!U22+PKD!U22+MLPM!U22+KKD!U22+WYD!U22+KNR!U22+KSD!U22+SHS!U22</f>
        <v>850.08</v>
      </c>
      <c r="V22" s="14" t="s">
        <v>1321</v>
      </c>
      <c r="W22" s="339" t="s">
        <v>1322</v>
      </c>
      <c r="X22" s="332">
        <v>959.34</v>
      </c>
      <c r="Y22" s="328">
        <f t="shared" si="1"/>
        <v>-70.471000000000004</v>
      </c>
      <c r="Z22" s="314"/>
      <c r="AA22" s="314"/>
      <c r="AB22" s="314"/>
    </row>
    <row r="23" spans="1:28" ht="75" customHeight="1">
      <c r="A23" s="712"/>
      <c r="B23" s="707"/>
      <c r="C23" s="707"/>
      <c r="D23" s="320">
        <v>18</v>
      </c>
      <c r="E23" s="320" t="s">
        <v>53</v>
      </c>
      <c r="F23" s="323">
        <f>TVM!F23+KLM!F23+PTA!F23+ALP!F23+KTM!F23+IDK!F23+EKM!F23+TSR!F23+PKD!F23+MLPM!F23+KKD!F23+WYD!F23+KNR!F23+KSD!F23+SHS!F23</f>
        <v>0</v>
      </c>
      <c r="G23" s="323">
        <f>TVM!G23+KLM!G23+PTA!G23+ALP!G23+KTM!G23+IDK!G23+EKM!G23+TSR!G23+PKD!G23+MLPM!G23+KKD!G23+WYD!G23+KNR!G23+KSD!G23+SHS!G23</f>
        <v>0</v>
      </c>
      <c r="H23" s="323">
        <f>TVM!H23+KLM!H23+PTA!H23+ALP!H23+KTM!H23+IDK!H23+EKM!H23+TSR!H23+PKD!H23+MLPM!H23+KKD!H23+WYD!H23+KNR!H23+KSD!H23+SHS!H23</f>
        <v>0</v>
      </c>
      <c r="I23" s="323">
        <f>TVM!I23+KLM!I23+PTA!I23+ALP!I23+KTM!I23+IDK!I23+EKM!I23+TSR!I23+PKD!I23+MLPM!I23+KKD!I23+WYD!I23+KNR!I23+KSD!I23+SHS!I23</f>
        <v>0</v>
      </c>
      <c r="J23" s="323">
        <f>TVM!J23+KLM!J23+PTA!J23+ALP!J23+KTM!J23+IDK!J23+EKM!J23+TSR!J23+PKD!J23+MLPM!J23+KKD!J23+WYD!J23+KNR!J23+KSD!J23+SHS!J23</f>
        <v>0</v>
      </c>
      <c r="K23" s="323">
        <f>TVM!K23+KLM!K23+PTA!K23+ALP!K23+KTM!K23+IDK!K23+EKM!K23+TSR!K23+PKD!K23+MLPM!K23+KKD!K23+WYD!K23+KNR!K23+KSD!K23+SHS!K23</f>
        <v>0</v>
      </c>
      <c r="L23" s="323">
        <f>TVM!L23+KLM!L23+PTA!L23+ALP!L23+KTM!L23+IDK!L23+EKM!L23+TSR!L23+PKD!L23+MLPM!L23+KKD!L23+WYD!L23+KNR!L23+KSD!L23+SHS!L23</f>
        <v>0</v>
      </c>
      <c r="M23" s="323">
        <f>TVM!M23+KLM!M23+PTA!M23+ALP!M23+KTM!M23+IDK!M23+EKM!M23+TSR!M23+PKD!M23+MLPM!M23+KKD!M23+WYD!M23+KNR!M23+KSD!M23+SHS!M23</f>
        <v>0</v>
      </c>
      <c r="N23" s="323">
        <f>TVM!N23+KLM!N23+PTA!N23+ALP!N23+KTM!N23+IDK!N23+EKM!N23+TSR!N23+PKD!N23+MLPM!N23+KKD!N23+WYD!N23+KNR!N23+KSD!N23+SHS!N23</f>
        <v>0</v>
      </c>
      <c r="O23" s="323">
        <f>TVM!O23+KLM!O23+PTA!O23+ALP!O23+KTM!O23+IDK!O23+EKM!O23+TSR!O23+PKD!O23+MLPM!O23+KKD!O23+WYD!O23+KNR!O23+KSD!O23+SHS!O23</f>
        <v>0</v>
      </c>
      <c r="P23" s="330">
        <f>TVM!P23+KLM!P23+PTA!P23+ALP!P23+KTM!P23+IDK!P23+EKM!P23+TSR!P23+PKD!P23+MLPM!P23+KKD!P23+WYD!P23+KNR!P23+KSD!P23+SHS!P23</f>
        <v>21.535</v>
      </c>
      <c r="Q23" s="330">
        <f>TVM!Q23+KLM!Q23+PTA!Q23+ALP!Q23+KTM!Q23+IDK!Q23+EKM!Q23+TSR!Q23+PKD!Q23+MLPM!Q23+KKD!Q23+WYD!Q23+KNR!Q23+KSD!Q23+SHS!Q23</f>
        <v>0</v>
      </c>
      <c r="R23" s="323">
        <f>TVM!R23+KLM!R23+PTA!R23+ALP!R23+KTM!R23+IDK!R23+EKM!R23+TSR!R23+PKD!R23+MLPM!R23+KKD!R23+WYD!R23+KNR!R23+KSD!R23+SHS!R23</f>
        <v>0</v>
      </c>
      <c r="S23" s="330">
        <f>TVM!S23+KLM!S23+PTA!S23+ALP!S23+KTM!S23+IDK!S23+EKM!S23+TSR!S23+PKD!S23+MLPM!S23+KKD!S23+WYD!S23+KNR!S23+KSD!S23+SHS!S23</f>
        <v>0</v>
      </c>
      <c r="T23" s="324">
        <f t="shared" si="0"/>
        <v>21.535</v>
      </c>
      <c r="U23" s="324">
        <f>TVM!U23+KLM!U23+PTA!U23+ALP!U23+KTM!U23+IDK!U23+EKM!U23+TSR!U23+PKD!U23+MLPM!U23+KKD!U23+WYD!U23+KNR!U23+KSD!U23+SHS!U23</f>
        <v>21.535</v>
      </c>
      <c r="V23" s="13" t="s">
        <v>1323</v>
      </c>
      <c r="W23" s="13" t="s">
        <v>1324</v>
      </c>
      <c r="X23" s="332">
        <v>19.420000000000002</v>
      </c>
      <c r="Y23" s="328">
        <f t="shared" si="1"/>
        <v>2.1149999999999984</v>
      </c>
      <c r="Z23" s="314"/>
      <c r="AA23" s="314"/>
      <c r="AB23" s="314"/>
    </row>
    <row r="24" spans="1:28" ht="39.75" customHeight="1">
      <c r="A24" s="712"/>
      <c r="B24" s="718" t="s">
        <v>54</v>
      </c>
      <c r="C24" s="718" t="s">
        <v>55</v>
      </c>
      <c r="D24" s="320">
        <v>19</v>
      </c>
      <c r="E24" s="320" t="s">
        <v>55</v>
      </c>
      <c r="F24" s="323">
        <f>TVM!F24+KLM!F24+PTA!F24+ALP!F24+KTM!F24+IDK!F24+EKM!F24+TSR!F24+PKD!F24+MLPM!F24+KKD!F24+WYD!F24+KNR!F24+KSD!F24+SHS!F24</f>
        <v>0</v>
      </c>
      <c r="G24" s="323">
        <f>TVM!G24+KLM!G24+PTA!G24+ALP!G24+KTM!G24+IDK!G24+EKM!G24+TSR!G24+PKD!G24+MLPM!G24+KKD!G24+WYD!G24+KNR!G24+KSD!G24+SHS!G24</f>
        <v>0</v>
      </c>
      <c r="H24" s="323">
        <f>TVM!H24+KLM!H24+PTA!H24+ALP!H24+KTM!H24+IDK!H24+EKM!H24+TSR!H24+PKD!H24+MLPM!H24+KKD!H24+WYD!H24+KNR!H24+KSD!H24+SHS!H24</f>
        <v>0</v>
      </c>
      <c r="I24" s="323">
        <f>TVM!I24+KLM!I24+PTA!I24+ALP!I24+KTM!I24+IDK!I24+EKM!I24+TSR!I24+PKD!I24+MLPM!I24+KKD!I24+WYD!I24+KNR!I24+KSD!I24+SHS!I24</f>
        <v>0</v>
      </c>
      <c r="J24" s="323">
        <f>TVM!J24+KLM!J24+PTA!J24+ALP!J24+KTM!J24+IDK!J24+EKM!J24+TSR!J24+PKD!J24+MLPM!J24+KKD!J24+WYD!J24+KNR!J24+KSD!J24+SHS!J24</f>
        <v>0</v>
      </c>
      <c r="K24" s="323">
        <f>TVM!K24+KLM!K24+PTA!K24+ALP!K24+KTM!K24+IDK!K24+EKM!K24+TSR!K24+PKD!K24+MLPM!K24+KKD!K24+WYD!K24+KNR!K24+KSD!K24+SHS!K24</f>
        <v>0</v>
      </c>
      <c r="L24" s="323">
        <f>TVM!L24+KLM!L24+PTA!L24+ALP!L24+KTM!L24+IDK!L24+EKM!L24+TSR!L24+PKD!L24+MLPM!L24+KKD!L24+WYD!L24+KNR!L24+KSD!L24+SHS!L24</f>
        <v>0</v>
      </c>
      <c r="M24" s="323">
        <f>TVM!M24+KLM!M24+PTA!M24+ALP!M24+KTM!M24+IDK!M24+EKM!M24+TSR!M24+PKD!M24+MLPM!M24+KKD!M24+WYD!M24+KNR!M24+KSD!M24+SHS!M24</f>
        <v>0</v>
      </c>
      <c r="N24" s="323">
        <f>TVM!N24+KLM!N24+PTA!N24+ALP!N24+KTM!N24+IDK!N24+EKM!N24+TSR!N24+PKD!N24+MLPM!N24+KKD!N24+WYD!N24+KNR!N24+KSD!N24+SHS!N24</f>
        <v>0</v>
      </c>
      <c r="O24" s="323">
        <f>TVM!O24+KLM!O24+PTA!O24+ALP!O24+KTM!O24+IDK!O24+EKM!O24+TSR!O24+PKD!O24+MLPM!O24+KKD!O24+WYD!O24+KNR!O24+KSD!O24+SHS!O24</f>
        <v>0</v>
      </c>
      <c r="P24" s="323">
        <f>TVM!P24+KLM!P24+PTA!P24+ALP!P24+KTM!P24+IDK!P24+EKM!P24+TSR!P24+PKD!P24+MLPM!P24+KKD!P24+WYD!P24+KNR!P24+KSD!P24+SHS!P24</f>
        <v>0</v>
      </c>
      <c r="Q24" s="323">
        <f>TVM!Q24+KLM!Q24+PTA!Q24+ALP!Q24+KTM!Q24+IDK!Q24+EKM!Q24+TSR!Q24+PKD!Q24+MLPM!Q24+KKD!Q24+WYD!Q24+KNR!Q24+KSD!Q24+SHS!Q24</f>
        <v>0</v>
      </c>
      <c r="R24" s="323">
        <f>TVM!R24+KLM!R24+PTA!R24+ALP!R24+KTM!R24+IDK!R24+EKM!R24+TSR!R24+PKD!R24+MLPM!R24+KKD!R24+WYD!R24+KNR!R24+KSD!R24+SHS!R24</f>
        <v>0</v>
      </c>
      <c r="S24" s="323">
        <f>TVM!S24+KLM!S24+PTA!S24+ALP!S24+KTM!S24+IDK!S24+EKM!S24+TSR!S24+PKD!S24+MLPM!S24+KKD!S24+WYD!S24+KNR!S24+KSD!S24+SHS!S24</f>
        <v>0</v>
      </c>
      <c r="T24" s="324">
        <f t="shared" si="0"/>
        <v>0</v>
      </c>
      <c r="U24" s="324">
        <f>TVM!U24+KLM!U24+PTA!U24+ALP!U24+KTM!U24+IDK!U24+EKM!U24+TSR!U24+PKD!U24+MLPM!U24+KKD!U24+WYD!U24+KNR!U24+KSD!U24+SHS!U24</f>
        <v>0</v>
      </c>
      <c r="V24" s="340"/>
      <c r="W24" s="333"/>
      <c r="X24" s="332">
        <v>0</v>
      </c>
      <c r="Y24" s="328">
        <f t="shared" si="1"/>
        <v>0</v>
      </c>
      <c r="Z24" s="314"/>
      <c r="AA24" s="314"/>
      <c r="AB24" s="314"/>
    </row>
    <row r="25" spans="1:28" ht="141.75" customHeight="1">
      <c r="A25" s="712"/>
      <c r="B25" s="707"/>
      <c r="C25" s="707"/>
      <c r="D25" s="320">
        <v>20</v>
      </c>
      <c r="E25" s="320" t="s">
        <v>56</v>
      </c>
      <c r="F25" s="323">
        <f>TVM!F25+KLM!F25+PTA!F25+ALP!F25+KTM!F25+IDK!F25+EKM!F25+TSR!F25+PKD!F25+MLPM!F25+KKD!F25+WYD!F25+KNR!F25+KSD!F25+SHS!F25</f>
        <v>0</v>
      </c>
      <c r="G25" s="323">
        <f>TVM!G25+KLM!G25+PTA!G25+ALP!G25+KTM!G25+IDK!G25+EKM!G25+TSR!G25+PKD!G25+MLPM!G25+KKD!G25+WYD!G25+KNR!G25+KSD!G25+SHS!G25</f>
        <v>0</v>
      </c>
      <c r="H25" s="323">
        <f>TVM!H25+KLM!H25+PTA!H25+ALP!H25+KTM!H25+IDK!H25+EKM!H25+TSR!H25+PKD!H25+MLPM!H25+KKD!H25+WYD!H25+KNR!H25+KSD!H25+SHS!H25</f>
        <v>0</v>
      </c>
      <c r="I25" s="323">
        <f>TVM!I25+KLM!I25+PTA!I25+ALP!I25+KTM!I25+IDK!I25+EKM!I25+TSR!I25+PKD!I25+MLPM!I25+KKD!I25+WYD!I25+KNR!I25+KSD!I25+SHS!I25</f>
        <v>0</v>
      </c>
      <c r="J25" s="323">
        <f>TVM!J25+KLM!J25+PTA!J25+ALP!J25+KTM!J25+IDK!J25+EKM!J25+TSR!J25+PKD!J25+MLPM!J25+KKD!J25+WYD!J25+KNR!J25+KSD!J25+SHS!J25</f>
        <v>0</v>
      </c>
      <c r="K25" s="323">
        <f>TVM!K25+KLM!K25+PTA!K25+ALP!K25+KTM!K25+IDK!K25+EKM!K25+TSR!K25+PKD!K25+MLPM!K25+KKD!K25+WYD!K25+KNR!K25+KSD!K25+SHS!K25</f>
        <v>0</v>
      </c>
      <c r="L25" s="323">
        <f>TVM!L25+KLM!L25+PTA!L25+ALP!L25+KTM!L25+IDK!L25+EKM!L25+TSR!L25+PKD!L25+MLPM!L25+KKD!L25+WYD!L25+KNR!L25+KSD!L25+SHS!L25</f>
        <v>0</v>
      </c>
      <c r="M25" s="323">
        <f>TVM!M25+KLM!M25+PTA!M25+ALP!M25+KTM!M25+IDK!M25+EKM!M25+TSR!M25+PKD!M25+MLPM!M25+KKD!M25+WYD!M25+KNR!M25+KSD!M25+SHS!M25</f>
        <v>0</v>
      </c>
      <c r="N25" s="330">
        <f>TVM!N25+KLM!N25+PTA!N25+ALP!N25+KTM!N25+IDK!N25+EKM!N25+TSR!N25+PKD!N25+MLPM!N25+KKD!N25+WYD!N25+KNR!N25+KSD!N25+SHS!N25</f>
        <v>0</v>
      </c>
      <c r="O25" s="323">
        <f>TVM!O25+KLM!O25+PTA!O25+ALP!O25+KTM!O25+IDK!O25+EKM!O25+TSR!O25+PKD!O25+MLPM!O25+KKD!O25+WYD!O25+KNR!O25+KSD!O25+SHS!O25</f>
        <v>0</v>
      </c>
      <c r="P25" s="330">
        <f>TVM!P25+KLM!P25+PTA!P25+ALP!P25+KTM!P25+IDK!P25+EKM!P25+TSR!P25+PKD!P25+MLPM!P25+KKD!P25+WYD!P25+KNR!P25+KSD!P25+SHS!P25</f>
        <v>0</v>
      </c>
      <c r="Q25" s="329">
        <f>TVM!Q25+KLM!Q25+PTA!Q25+ALP!Q25+KTM!Q25+IDK!Q25+EKM!Q25+TSR!Q25+PKD!Q25+MLPM!Q25+KKD!Q25+WYD!Q25+KNR!Q25+KSD!Q25+SHS!Q25</f>
        <v>25.72</v>
      </c>
      <c r="R25" s="323">
        <f>TVM!R25+KLM!R25+PTA!R25+ALP!R25+KTM!R25+IDK!R25+EKM!R25+TSR!R25+PKD!R25+MLPM!R25+KKD!R25+WYD!R25+KNR!R25+KSD!R25+SHS!R25</f>
        <v>0</v>
      </c>
      <c r="S25" s="323">
        <f>TVM!S25+KLM!S25+PTA!S25+ALP!S25+KTM!S25+IDK!S25+EKM!S25+TSR!S25+PKD!S25+MLPM!S25+KKD!S25+WYD!S25+KNR!S25+KSD!S25+SHS!S25</f>
        <v>8</v>
      </c>
      <c r="T25" s="324">
        <f t="shared" si="0"/>
        <v>33.72</v>
      </c>
      <c r="U25" s="324">
        <f>TVM!U25+KLM!U25+PTA!U25+ALP!U25+KTM!U25+IDK!U25+EKM!U25+TSR!U25+PKD!U25+MLPM!U25+KKD!U25+WYD!U25+KNR!U25+KSD!U25+SHS!U25</f>
        <v>25.72</v>
      </c>
      <c r="V25" s="14" t="s">
        <v>1325</v>
      </c>
      <c r="W25" s="339" t="s">
        <v>1326</v>
      </c>
      <c r="X25" s="332">
        <v>44.47</v>
      </c>
      <c r="Y25" s="328">
        <f t="shared" si="1"/>
        <v>-10.75</v>
      </c>
      <c r="Z25" s="314"/>
      <c r="AA25" s="314"/>
      <c r="AB25" s="314"/>
    </row>
    <row r="26" spans="1:28" ht="229.5" customHeight="1">
      <c r="A26" s="712"/>
      <c r="B26" s="718" t="s">
        <v>58</v>
      </c>
      <c r="C26" s="718" t="s">
        <v>59</v>
      </c>
      <c r="D26" s="320">
        <v>21</v>
      </c>
      <c r="E26" s="320" t="s">
        <v>60</v>
      </c>
      <c r="F26" s="323">
        <f>TVM!F26+KLM!F26+PTA!F26+ALP!F26+KTM!F26+IDK!F26+EKM!F26+TSR!F26+PKD!F26+MLPM!F26+KKD!F26+WYD!F26+KNR!F26+KSD!F26+SHS!F26</f>
        <v>0</v>
      </c>
      <c r="G26" s="323">
        <f>TVM!G26+KLM!G26+PTA!G26+ALP!G26+KTM!G26+IDK!G26+EKM!G26+TSR!G26+PKD!G26+MLPM!G26+KKD!G26+WYD!G26+KNR!G26+KSD!G26+SHS!G26</f>
        <v>0</v>
      </c>
      <c r="H26" s="330">
        <f>TVM!H26+KLM!H26+PTA!H26+ALP!H26+KTM!H26+IDK!H26+EKM!H26+TSR!H26+PKD!H26+MLPM!H26+KKD!H26+WYD!H26+KNR!H26+KSD!H26+SHS!H26</f>
        <v>0</v>
      </c>
      <c r="I26" s="329">
        <f>TVM!I26+KLM!I26+PTA!I26+ALP!I26+KTM!I26+IDK!I26+EKM!I26+TSR!I26+PKD!I26+MLPM!I26+KKD!I26+WYD!I26+KNR!I26+KSD!I26+SHS!I26</f>
        <v>23.479999999999997</v>
      </c>
      <c r="J26" s="323">
        <f>TVM!J26+KLM!J26+PTA!J26+ALP!J26+KTM!J26+IDK!J26+EKM!J26+TSR!J26+PKD!J26+MLPM!J26+KKD!J26+WYD!J26+KNR!J26+KSD!J26+SHS!J26</f>
        <v>0</v>
      </c>
      <c r="K26" s="329">
        <f>TVM!K26+KLM!K26+PTA!K26+ALP!K26+KTM!K26+IDK!K26+EKM!K26+TSR!K26+PKD!K26+MLPM!K26+KKD!K26+WYD!K26+KNR!K26+KSD!K26+SHS!K26</f>
        <v>0</v>
      </c>
      <c r="L26" s="323">
        <f>TVM!L26+KLM!L26+PTA!L26+ALP!L26+KTM!L26+IDK!L26+EKM!L26+TSR!L26+PKD!L26+MLPM!L26+KKD!L26+WYD!L26+KNR!L26+KSD!L26+SHS!L26</f>
        <v>0</v>
      </c>
      <c r="M26" s="323">
        <f>TVM!M26+KLM!M26+PTA!M26+ALP!M26+KTM!M26+IDK!M26+EKM!M26+TSR!M26+PKD!M26+MLPM!M26+KKD!M26+WYD!M26+KNR!M26+KSD!M26+SHS!M26</f>
        <v>0</v>
      </c>
      <c r="N26" s="341">
        <f>TVM!N26+KLM!N26+PTA!N26+ALP!N26+KTM!N26+IDK!N26+EKM!N26+TSR!N26+PKD!N26+MLPM!N26+KKD!N26+WYD!N26+KNR!N26+KSD!N26+SHS!N26</f>
        <v>27.529999999999998</v>
      </c>
      <c r="O26" s="323">
        <f>TVM!O26+KLM!O26+PTA!O26+ALP!O26+KTM!O26+IDK!O26+EKM!O26+TSR!O26+PKD!O26+MLPM!O26+KKD!O26+WYD!O26+KNR!O26+KSD!O26+SHS!O26</f>
        <v>0</v>
      </c>
      <c r="P26" s="330">
        <f>TVM!P26+KLM!P26+PTA!P26+ALP!P26+KTM!P26+IDK!P26+EKM!P26+TSR!P26+PKD!P26+MLPM!P26+KKD!P26+WYD!P26+KNR!P26+KSD!P26+SHS!P26</f>
        <v>289.23599999999999</v>
      </c>
      <c r="Q26" s="330">
        <f>TVM!Q26+KLM!Q26+PTA!Q26+ALP!Q26+KTM!Q26+IDK!Q26+EKM!Q26+TSR!Q26+PKD!Q26+MLPM!Q26+KKD!Q26+WYD!Q26+KNR!Q26+KSD!Q26+SHS!Q26</f>
        <v>2.9349999999999996</v>
      </c>
      <c r="R26" s="329">
        <f>TVM!R26+KLM!R26+PTA!R26+ALP!R26+KTM!R26+IDK!R26+EKM!R26+TSR!R26+PKD!R26+MLPM!R26+KKD!R26+WYD!R26+KNR!R26+KSD!R26+SHS!R26</f>
        <v>10.35</v>
      </c>
      <c r="S26" s="323">
        <f>TVM!S26+KLM!S26+PTA!S26+ALP!S26+KTM!S26+IDK!S26+EKM!S26+TSR!S26+PKD!S26+MLPM!S26+KKD!S26+WYD!S26+KNR!S26+KSD!S26+SHS!S26</f>
        <v>0</v>
      </c>
      <c r="T26" s="324">
        <f t="shared" si="0"/>
        <v>353.53100000000001</v>
      </c>
      <c r="U26" s="324">
        <f>TVM!U26+KLM!U26+PTA!U26+ALP!U26+KTM!U26+IDK!U26+EKM!U26+TSR!U26+PKD!U26+MLPM!U26+KKD!U26+WYD!U26+KNR!U26+KSD!U26+SHS!U26</f>
        <v>353.53099999999995</v>
      </c>
      <c r="V26" s="14" t="s">
        <v>1327</v>
      </c>
      <c r="W26" s="14" t="s">
        <v>1328</v>
      </c>
      <c r="X26" s="332">
        <v>409.2</v>
      </c>
      <c r="Y26" s="328">
        <f t="shared" si="1"/>
        <v>-55.668999999999983</v>
      </c>
      <c r="Z26" s="314"/>
      <c r="AA26" s="314"/>
      <c r="AB26" s="314"/>
    </row>
    <row r="27" spans="1:28" ht="236.25">
      <c r="A27" s="712"/>
      <c r="B27" s="712"/>
      <c r="C27" s="712"/>
      <c r="D27" s="320">
        <v>22</v>
      </c>
      <c r="E27" s="320" t="s">
        <v>62</v>
      </c>
      <c r="F27" s="330">
        <f>TVM!F27+KLM!F27+PTA!F27+ALP!F27+KTM!F27+IDK!F27+EKM!F27+TSR!F27+PKD!F27+MLPM!F27+KKD!F27+WYD!F27+KNR!F27+KSD!F27+SHS!F27</f>
        <v>0</v>
      </c>
      <c r="G27" s="323">
        <f>TVM!G27+KLM!G27+PTA!G27+ALP!G27+KTM!G27+IDK!G27+EKM!G27+TSR!G27+PKD!G27+MLPM!G27+KKD!G27+WYD!G27+KNR!G27+KSD!G27+SHS!G27</f>
        <v>0</v>
      </c>
      <c r="H27" s="330">
        <f>TVM!H27+KLM!H27+PTA!H27+ALP!H27+KTM!H27+IDK!H27+EKM!H27+TSR!H27+PKD!H27+MLPM!H27+KKD!H27+WYD!H27+KNR!H27+KSD!H27+SHS!H27</f>
        <v>0</v>
      </c>
      <c r="I27" s="329">
        <f>TVM!I27+KLM!I27+PTA!I27+ALP!I27+KTM!I27+IDK!I27+EKM!I27+TSR!I27+PKD!I27+MLPM!I27+KKD!I27+WYD!I27+KNR!I27+KSD!I27+SHS!I27</f>
        <v>69.999999999999986</v>
      </c>
      <c r="J27" s="323">
        <f>TVM!J27+KLM!J27+PTA!J27+ALP!J27+KTM!J27+IDK!J27+EKM!J27+TSR!J27+PKD!J27+MLPM!J27+KKD!J27+WYD!J27+KNR!J27+KSD!J27+SHS!J27</f>
        <v>0</v>
      </c>
      <c r="K27" s="323">
        <f>TVM!K27+KLM!K27+PTA!K27+ALP!K27+KTM!K27+IDK!K27+EKM!K27+TSR!K27+PKD!K27+MLPM!K27+KKD!K27+WYD!K27+KNR!K27+KSD!K27+SHS!K27</f>
        <v>0</v>
      </c>
      <c r="L27" s="323">
        <f>TVM!L27+KLM!L27+PTA!L27+ALP!L27+KTM!L27+IDK!L27+EKM!L27+TSR!L27+PKD!L27+MLPM!L27+KKD!L27+WYD!L27+KNR!L27+KSD!L27+SHS!L27</f>
        <v>0</v>
      </c>
      <c r="M27" s="330">
        <f>TVM!M27+KLM!M27+PTA!M27+ALP!M27+KTM!M27+IDK!M27+EKM!M27+TSR!M27+PKD!M27+MLPM!M27+KKD!M27+WYD!M27+KNR!M27+KSD!M27+SHS!M27</f>
        <v>14</v>
      </c>
      <c r="N27" s="323">
        <f>TVM!N27+KLM!N27+PTA!N27+ALP!N27+KTM!N27+IDK!N27+EKM!N27+TSR!N27+PKD!N27+MLPM!N27+KKD!N27+WYD!N27+KNR!N27+KSD!N27+SHS!N27</f>
        <v>26.84</v>
      </c>
      <c r="O27" s="323">
        <f>TVM!O27+KLM!O27+PTA!O27+ALP!O27+KTM!O27+IDK!O27+EKM!O27+TSR!O27+PKD!O27+MLPM!O27+KKD!O27+WYD!O27+KNR!O27+KSD!O27+SHS!O27</f>
        <v>0</v>
      </c>
      <c r="P27" s="330">
        <f>TVM!P27+KLM!P27+PTA!P27+ALP!P27+KTM!P27+IDK!P27+EKM!P27+TSR!P27+PKD!P27+MLPM!P27+KKD!P27+WYD!P27+KNR!P27+KSD!P27+SHS!P27</f>
        <v>2384.6010000000001</v>
      </c>
      <c r="Q27" s="330">
        <f>TVM!Q27+KLM!Q27+PTA!Q27+ALP!Q27+KTM!Q27+IDK!Q27+EKM!Q27+TSR!Q27+PKD!Q27+MLPM!Q27+KKD!Q27+WYD!Q27+KNR!Q27+KSD!Q27+SHS!Q27</f>
        <v>14</v>
      </c>
      <c r="R27" s="329">
        <f>TVM!R27+KLM!R27+PTA!R27+ALP!R27+KTM!R27+IDK!R27+EKM!R27+TSR!R27+PKD!R27+MLPM!R27+KKD!R27+WYD!R27+KNR!R27+KSD!R27+SHS!R27</f>
        <v>0</v>
      </c>
      <c r="S27" s="323">
        <f>TVM!S27+KLM!S27+PTA!S27+ALP!S27+KTM!S27+IDK!S27+EKM!S27+TSR!S27+PKD!S27+MLPM!S27+KKD!S27+WYD!S27+KNR!S27+KSD!S27+SHS!S27</f>
        <v>0</v>
      </c>
      <c r="T27" s="324">
        <f t="shared" si="0"/>
        <v>2509.4410000000003</v>
      </c>
      <c r="U27" s="324">
        <f>TVM!U27+KLM!U27+PTA!U27+ALP!U27+KTM!U27+IDK!U27+EKM!U27+TSR!U27+PKD!U27+MLPM!U27+KKD!U27+WYD!U27+KNR!U27+KSD!U27+SHS!U27</f>
        <v>2412.6010000000001</v>
      </c>
      <c r="V27" s="342" t="s">
        <v>1329</v>
      </c>
      <c r="W27" s="342" t="s">
        <v>1330</v>
      </c>
      <c r="X27" s="332">
        <v>3957.86</v>
      </c>
      <c r="Y27" s="334">
        <f t="shared" si="1"/>
        <v>-1448.4189999999999</v>
      </c>
      <c r="Z27" s="314"/>
      <c r="AA27" s="314"/>
      <c r="AB27" s="314"/>
    </row>
    <row r="28" spans="1:28" ht="288" customHeight="1">
      <c r="A28" s="712"/>
      <c r="B28" s="712"/>
      <c r="C28" s="712"/>
      <c r="D28" s="320">
        <v>23</v>
      </c>
      <c r="E28" s="320" t="s">
        <v>64</v>
      </c>
      <c r="F28" s="323">
        <f>TVM!F28+KLM!F28+PTA!F28+ALP!F28+KTM!F28+IDK!F28+EKM!F28+TSR!F28+PKD!F28+MLPM!F28+KKD!F28+WYD!F28+KNR!F28+KSD!F28+SHS!F28</f>
        <v>0</v>
      </c>
      <c r="G28" s="323">
        <f>TVM!G28+KLM!G28+PTA!G28+ALP!G28+KTM!G28+IDK!G28+EKM!G28+TSR!G28+PKD!G28+MLPM!G28+KKD!G28+WYD!G28+KNR!G28+KSD!G28+SHS!G28</f>
        <v>0</v>
      </c>
      <c r="H28" s="323">
        <f>TVM!H28+KLM!H28+PTA!H28+ALP!H28+KTM!H28+IDK!H28+EKM!H28+TSR!H28+PKD!H28+MLPM!H28+KKD!H28+WYD!H28+KNR!H28+KSD!H28+SHS!H28</f>
        <v>0</v>
      </c>
      <c r="I28" s="323">
        <f>TVM!I28+KLM!I28+PTA!I28+ALP!I28+KTM!I28+IDK!I28+EKM!I28+TSR!I28+PKD!I28+MLPM!I28+KKD!I28+WYD!I28+KNR!I28+KSD!I28+SHS!I28</f>
        <v>0</v>
      </c>
      <c r="J28" s="323">
        <f>TVM!J28+KLM!J28+PTA!J28+ALP!J28+KTM!J28+IDK!J28+EKM!J28+TSR!J28+PKD!J28+MLPM!J28+KKD!J28+WYD!J28+KNR!J28+KSD!J28+SHS!J28</f>
        <v>0</v>
      </c>
      <c r="K28" s="329">
        <f>TVM!K28+KLM!K28+PTA!K28+ALP!K28+KTM!K28+IDK!K28+EKM!K28+TSR!K28+PKD!K28+MLPM!K28+KKD!K28+WYD!K28+KNR!K28+KSD!K28+SHS!K28</f>
        <v>0</v>
      </c>
      <c r="L28" s="323">
        <f>TVM!L28+KLM!L28+PTA!L28+ALP!L28+KTM!L28+IDK!L28+EKM!L28+TSR!L28+PKD!L28+MLPM!L28+KKD!L28+WYD!L28+KNR!L28+KSD!L28+SHS!L28</f>
        <v>0</v>
      </c>
      <c r="M28" s="323">
        <f>TVM!M28+KLM!M28+PTA!M28+ALP!M28+KTM!M28+IDK!M28+EKM!M28+TSR!M28+PKD!M28+MLPM!M28+KKD!M28+WYD!M28+KNR!M28+KSD!M28+SHS!M28</f>
        <v>0</v>
      </c>
      <c r="N28" s="323">
        <f>TVM!N28+KLM!N28+PTA!N28+ALP!N28+KTM!N28+IDK!N28+EKM!N28+TSR!N28+PKD!N28+MLPM!N28+KKD!N28+WYD!N28+KNR!N28+KSD!N28+SHS!N28</f>
        <v>3.3200000000000003</v>
      </c>
      <c r="O28" s="330">
        <f>TVM!O28+KLM!O28+PTA!O28+ALP!O28+KTM!O28+IDK!O28+EKM!O28+TSR!O28+PKD!O28+MLPM!O28+KKD!O28+WYD!O28+KNR!O28+KSD!O28+SHS!O28</f>
        <v>785.29999999999984</v>
      </c>
      <c r="P28" s="323">
        <f>TVM!P28+KLM!P28+PTA!P28+ALP!P28+KTM!P28+IDK!P28+EKM!P28+TSR!P28+PKD!P28+MLPM!P28+KKD!P28+WYD!P28+KNR!P28+KSD!P28+SHS!P28</f>
        <v>0</v>
      </c>
      <c r="Q28" s="330">
        <f>TVM!Q28+KLM!Q28+PTA!Q28+ALP!Q28+KTM!Q28+IDK!Q28+EKM!Q28+TSR!Q28+PKD!Q28+MLPM!Q28+KKD!Q28+WYD!Q28+KNR!Q28+KSD!Q28+SHS!Q28</f>
        <v>0</v>
      </c>
      <c r="R28" s="323">
        <f>TVM!R28+KLM!R28+PTA!R28+ALP!R28+KTM!R28+IDK!R28+EKM!R28+TSR!R28+PKD!R28+MLPM!R28+KKD!R28+WYD!R28+KNR!R28+KSD!R28+SHS!R28</f>
        <v>0</v>
      </c>
      <c r="S28" s="323">
        <f>TVM!S28+KLM!S28+PTA!S28+ALP!S28+KTM!S28+IDK!S28+EKM!S28+TSR!S28+PKD!S28+MLPM!S28+KKD!S28+WYD!S28+KNR!S28+KSD!S28+SHS!S28</f>
        <v>0</v>
      </c>
      <c r="T28" s="324">
        <f t="shared" si="0"/>
        <v>788.61999999999989</v>
      </c>
      <c r="U28" s="324">
        <f>TVM!U28+KLM!U28+PTA!U28+ALP!U28+KTM!U28+IDK!U28+EKM!U28+TSR!U28+PKD!U28+MLPM!U28+KKD!U28+WYD!U28+KNR!U28+KSD!U28+SHS!U28</f>
        <v>788.62</v>
      </c>
      <c r="V28" s="13" t="s">
        <v>1331</v>
      </c>
      <c r="W28" s="13" t="s">
        <v>1332</v>
      </c>
      <c r="X28" s="332">
        <v>774.94</v>
      </c>
      <c r="Y28" s="328">
        <f t="shared" si="1"/>
        <v>13.679999999999836</v>
      </c>
      <c r="Z28" s="314"/>
      <c r="AA28" s="314"/>
      <c r="AB28" s="314"/>
    </row>
    <row r="29" spans="1:28" ht="409.5">
      <c r="A29" s="712"/>
      <c r="B29" s="712"/>
      <c r="C29" s="712"/>
      <c r="D29" s="320">
        <v>24</v>
      </c>
      <c r="E29" s="320" t="s">
        <v>66</v>
      </c>
      <c r="F29" s="323">
        <f>TVM!F29+KLM!F29+PTA!F29+ALP!F29+KTM!F29+IDK!F29+EKM!F29+TSR!F29+PKD!F29+MLPM!F29+KKD!F29+WYD!F29+KNR!F29+KSD!F29+SHS!F29</f>
        <v>0</v>
      </c>
      <c r="G29" s="323">
        <f>TVM!G29+KLM!G29+PTA!G29+ALP!G29+KTM!G29+IDK!G29+EKM!G29+TSR!G29+PKD!G29+MLPM!G29+KKD!G29+WYD!G29+KNR!G29+KSD!G29+SHS!G29</f>
        <v>0</v>
      </c>
      <c r="H29" s="330">
        <f>TVM!H29+KLM!H29+PTA!H29+ALP!H29+KTM!H29+IDK!H29+EKM!H29+TSR!H29+PKD!H29+MLPM!H29+KKD!H29+WYD!H29+KNR!H29+KSD!H29+SHS!H29</f>
        <v>100.2</v>
      </c>
      <c r="I29" s="323">
        <f>TVM!I29+KLM!I29+PTA!I29+ALP!I29+KTM!I29+IDK!I29+EKM!I29+TSR!I29+PKD!I29+MLPM!I29+KKD!I29+WYD!I29+KNR!I29+KSD!I29+SHS!I29</f>
        <v>178.827</v>
      </c>
      <c r="J29" s="323">
        <f>TVM!J29+KLM!J29+PTA!J29+ALP!J29+KTM!J29+IDK!J29+EKM!J29+TSR!J29+PKD!J29+MLPM!J29+KKD!J29+WYD!J29+KNR!J29+KSD!J29+SHS!J29</f>
        <v>0</v>
      </c>
      <c r="K29" s="323">
        <f>TVM!K29+KLM!K29+PTA!K29+ALP!K29+KTM!K29+IDK!K29+EKM!K29+TSR!K29+PKD!K29+MLPM!K29+KKD!K29+WYD!K29+KNR!K29+KSD!K29+SHS!K29</f>
        <v>0</v>
      </c>
      <c r="L29" s="323">
        <f>TVM!L29+KLM!L29+PTA!L29+ALP!L29+KTM!L29+IDK!L29+EKM!L29+TSR!L29+PKD!L29+MLPM!L29+KKD!L29+WYD!L29+KNR!L29+KSD!L29+SHS!L29</f>
        <v>0</v>
      </c>
      <c r="M29" s="323">
        <f>TVM!M29+KLM!M29+PTA!M29+ALP!M29+KTM!M29+IDK!M29+EKM!M29+TSR!M29+PKD!M29+MLPM!M29+KKD!M29+WYD!M29+KNR!M29+KSD!M29+SHS!M29</f>
        <v>0</v>
      </c>
      <c r="N29" s="343">
        <f>TVM!N29+KLM!N29+PTA!N29+ALP!N29+KTM!N29+IDK!N29+EKM!N29+TSR!N29+PKD!N29+MLPM!N29+KKD!N29+WYD!N29+KNR!N29+KSD!N29+SHS!N29</f>
        <v>130.67400000000001</v>
      </c>
      <c r="O29" s="330">
        <f>TVM!O29+KLM!O29+PTA!O29+ALP!O29+KTM!O29+IDK!O29+EKM!O29+TSR!O29+PKD!O29+MLPM!O29+KKD!O29+WYD!O29+KNR!O29+KSD!O29+SHS!O29</f>
        <v>0</v>
      </c>
      <c r="P29" s="323">
        <f>TVM!P29+KLM!P29+PTA!P29+ALP!P29+KTM!P29+IDK!P29+EKM!P29+TSR!P29+PKD!P29+MLPM!P29+KKD!P29+WYD!P29+KNR!P29+KSD!P29+SHS!P29</f>
        <v>180.75000000000006</v>
      </c>
      <c r="Q29" s="329">
        <f>TVM!Q29+KLM!Q29+PTA!Q29+ALP!Q29+KTM!Q29+IDK!Q29+EKM!Q29+TSR!Q29+PKD!Q29+MLPM!Q29+KKD!Q29+WYD!Q29+KNR!Q29+KSD!Q29+SHS!Q29</f>
        <v>40.17</v>
      </c>
      <c r="R29" s="323">
        <f>TVM!R29+KLM!R29+PTA!R29+ALP!R29+KTM!R29+IDK!R29+EKM!R29+TSR!R29+PKD!R29+MLPM!R29+KKD!R29+WYD!R29+KNR!R29+KSD!R29+SHS!R29</f>
        <v>0</v>
      </c>
      <c r="S29" s="323">
        <f>TVM!S29+KLM!S29+PTA!S29+ALP!S29+KTM!S29+IDK!S29+EKM!S29+TSR!S29+PKD!S29+MLPM!S29+KKD!S29+WYD!S29+KNR!S29+KSD!S29+SHS!S29</f>
        <v>0</v>
      </c>
      <c r="T29" s="324">
        <f t="shared" si="0"/>
        <v>630.62099999999998</v>
      </c>
      <c r="U29" s="344">
        <f>TVM!U29+KLM!U29+PTA!U29+ALP!U29+KTM!U29+IDK!U29+EKM!U29+TSR!U29+PKD!U29+MLPM!U29+KKD!U29+WYD!U29+KNR!U29+KSD!U29+SHS!U29</f>
        <v>401.91250000000002</v>
      </c>
      <c r="V29" s="13" t="s">
        <v>1333</v>
      </c>
      <c r="W29" s="345" t="s">
        <v>1334</v>
      </c>
      <c r="X29" s="332">
        <v>707.89</v>
      </c>
      <c r="Y29" s="334">
        <f t="shared" si="1"/>
        <v>-77.269000000000005</v>
      </c>
      <c r="Z29" s="314"/>
      <c r="AA29" s="314"/>
      <c r="AB29" s="314"/>
    </row>
    <row r="30" spans="1:28" ht="261.75" customHeight="1">
      <c r="A30" s="712"/>
      <c r="B30" s="712"/>
      <c r="C30" s="712"/>
      <c r="D30" s="320">
        <v>25</v>
      </c>
      <c r="E30" s="320" t="s">
        <v>68</v>
      </c>
      <c r="F30" s="323">
        <f>TVM!F30+KLM!F30+PTA!F30+ALP!F30+KTM!F30+IDK!F30+EKM!F30+TSR!F30+PKD!F30+MLPM!F30+KKD!F30+WYD!F30+KNR!F30+KSD!F30+SHS!F30</f>
        <v>0</v>
      </c>
      <c r="G30" s="323">
        <f>TVM!G30+KLM!G30+PTA!G30+ALP!G30+KTM!G30+IDK!G30+EKM!G30+TSR!G30+PKD!G30+MLPM!G30+KKD!G30+WYD!G30+KNR!G30+KSD!G30+SHS!G30</f>
        <v>0</v>
      </c>
      <c r="H30" s="323">
        <f>TVM!H30+KLM!H30+PTA!H30+ALP!H30+KTM!H30+IDK!H30+EKM!H30+TSR!H30+PKD!H30+MLPM!H30+KKD!H30+WYD!H30+KNR!H30+KSD!H30+SHS!H30</f>
        <v>0</v>
      </c>
      <c r="I30" s="323">
        <f>TVM!I30+KLM!I30+PTA!I30+ALP!I30+KTM!I30+IDK!I30+EKM!I30+TSR!I30+PKD!I30+MLPM!I30+KKD!I30+WYD!I30+KNR!I30+KSD!I30+SHS!I30</f>
        <v>0</v>
      </c>
      <c r="J30" s="323">
        <f>TVM!J30+KLM!J30+PTA!J30+ALP!J30+KTM!J30+IDK!J30+EKM!J30+TSR!J30+PKD!J30+MLPM!J30+KKD!J30+WYD!J30+KNR!J30+KSD!J30+SHS!J30</f>
        <v>0</v>
      </c>
      <c r="K30" s="323">
        <f>TVM!K30+KLM!K30+PTA!K30+ALP!K30+KTM!K30+IDK!K30+EKM!K30+TSR!K30+PKD!K30+MLPM!K30+KKD!K30+WYD!K30+KNR!K30+KSD!K30+SHS!K30</f>
        <v>0</v>
      </c>
      <c r="L30" s="323">
        <f>TVM!L30+KLM!L30+PTA!L30+ALP!L30+KTM!L30+IDK!L30+EKM!L30+TSR!L30+PKD!L30+MLPM!L30+KKD!L30+WYD!L30+KNR!L30+KSD!L30+SHS!L30</f>
        <v>0</v>
      </c>
      <c r="M30" s="323">
        <f>TVM!M30+KLM!M30+PTA!M30+ALP!M30+KTM!M30+IDK!M30+EKM!M30+TSR!M30+PKD!M30+MLPM!M30+KKD!M30+WYD!M30+KNR!M30+KSD!M30+SHS!M30</f>
        <v>0</v>
      </c>
      <c r="N30" s="329">
        <f>TVM!N30+KLM!N30+PTA!N30+ALP!N30+KTM!N30+IDK!N30+EKM!N30+TSR!N30+PKD!N30+MLPM!N30+KKD!N30+WYD!N30+KNR!N30+KSD!N30+SHS!N30</f>
        <v>14</v>
      </c>
      <c r="O30" s="341">
        <f>TVM!O30+KLM!O30+PTA!O30+ALP!O30+KTM!O30+IDK!O30+EKM!O30+TSR!O30+PKD!O30+MLPM!O30+KKD!O30+WYD!O30+KNR!O30+KSD!O30+SHS!O30</f>
        <v>0.9</v>
      </c>
      <c r="P30" s="323">
        <f>TVM!P30+KLM!P30+PTA!P30+ALP!P30+KTM!P30+IDK!P30+EKM!P30+TSR!P30+PKD!P30+MLPM!P30+KKD!P30+WYD!P30+KNR!P30+KSD!P30+SHS!P30</f>
        <v>12.510000000000003</v>
      </c>
      <c r="Q30" s="323">
        <f>TVM!Q30+KLM!Q30+PTA!Q30+ALP!Q30+KTM!Q30+IDK!Q30+EKM!Q30+TSR!Q30+PKD!Q30+MLPM!Q30+KKD!Q30+WYD!Q30+KNR!Q30+KSD!Q30+SHS!Q30</f>
        <v>0</v>
      </c>
      <c r="R30" s="323">
        <f>TVM!R30+KLM!R30+PTA!R30+ALP!R30+KTM!R30+IDK!R30+EKM!R30+TSR!R30+PKD!R30+MLPM!R30+KKD!R30+WYD!R30+KNR!R30+KSD!R30+SHS!R30</f>
        <v>0</v>
      </c>
      <c r="S30" s="323">
        <f>TVM!S30+KLM!S30+PTA!S30+ALP!S30+KTM!S30+IDK!S30+EKM!S30+TSR!S30+PKD!S30+MLPM!S30+KKD!S30+WYD!S30+KNR!S30+KSD!S30+SHS!S30</f>
        <v>0</v>
      </c>
      <c r="T30" s="324">
        <f t="shared" si="0"/>
        <v>27.410000000000004</v>
      </c>
      <c r="U30" s="324">
        <f>TVM!U30+KLM!U30+PTA!U30+ALP!U30+KTM!U30+IDK!U30+EKM!U30+TSR!U30+PKD!U30+MLPM!U30+KKD!U30+WYD!U30+KNR!U30+KSD!U30+SHS!U30</f>
        <v>27.409999999999997</v>
      </c>
      <c r="V30" s="13" t="s">
        <v>1335</v>
      </c>
      <c r="W30" s="13" t="s">
        <v>1336</v>
      </c>
      <c r="X30" s="332">
        <v>14</v>
      </c>
      <c r="Y30" s="328">
        <f t="shared" si="1"/>
        <v>13.410000000000004</v>
      </c>
      <c r="Z30" s="314"/>
      <c r="AA30" s="314"/>
      <c r="AB30" s="314"/>
    </row>
    <row r="31" spans="1:28" ht="189">
      <c r="A31" s="712"/>
      <c r="B31" s="712"/>
      <c r="C31" s="712"/>
      <c r="D31" s="320">
        <v>26</v>
      </c>
      <c r="E31" s="320" t="s">
        <v>70</v>
      </c>
      <c r="F31" s="323">
        <f>TVM!F31+KLM!F31+PTA!F31+ALP!F31+KTM!F31+IDK!F31+EKM!F31+TSR!F31+PKD!F31+MLPM!F31+KKD!F31+WYD!F31+KNR!F31+KSD!F31+SHS!F31</f>
        <v>0</v>
      </c>
      <c r="G31" s="323">
        <f>TVM!G31+KLM!G31+PTA!G31+ALP!G31+KTM!G31+IDK!G31+EKM!G31+TSR!G31+PKD!G31+MLPM!G31+KKD!G31+WYD!G31+KNR!G31+KSD!G31+SHS!G31</f>
        <v>0</v>
      </c>
      <c r="H31" s="323">
        <f>TVM!H31+KLM!H31+PTA!H31+ALP!H31+KTM!H31+IDK!H31+EKM!H31+TSR!H31+PKD!H31+MLPM!H31+KKD!H31+WYD!H31+KNR!H31+KSD!H31+SHS!H31</f>
        <v>0</v>
      </c>
      <c r="I31" s="329">
        <f>TVM!I31+KLM!I31+PTA!I31+ALP!I31+KTM!I31+IDK!I31+EKM!I31+TSR!I31+PKD!I31+MLPM!I31+KKD!I31+WYD!I31+KNR!I31+KSD!I31+SHS!I31</f>
        <v>0</v>
      </c>
      <c r="J31" s="323">
        <f>TVM!J31+KLM!J31+PTA!J31+ALP!J31+KTM!J31+IDK!J31+EKM!J31+TSR!J31+PKD!J31+MLPM!J31+KKD!J31+WYD!J31+KNR!J31+KSD!J31+SHS!J31</f>
        <v>0</v>
      </c>
      <c r="K31" s="323">
        <f>TVM!K31+KLM!K31+PTA!K31+ALP!K31+KTM!K31+IDK!K31+EKM!K31+TSR!K31+PKD!K31+MLPM!K31+KKD!K31+WYD!K31+KNR!K31+KSD!K31+SHS!K31</f>
        <v>0</v>
      </c>
      <c r="L31" s="323">
        <f>TVM!L31+KLM!L31+PTA!L31+ALP!L31+KTM!L31+IDK!L31+EKM!L31+TSR!L31+PKD!L31+MLPM!L31+KKD!L31+WYD!L31+KNR!L31+KSD!L31+SHS!L31</f>
        <v>0</v>
      </c>
      <c r="M31" s="323">
        <f>TVM!M31+KLM!M31+PTA!M31+ALP!M31+KTM!M31+IDK!M31+EKM!M31+TSR!M31+PKD!M31+MLPM!M31+KKD!M31+WYD!M31+KNR!M31+KSD!M31+SHS!M31</f>
        <v>0</v>
      </c>
      <c r="N31" s="329">
        <f>TVM!N31+KLM!N31+PTA!N31+ALP!N31+KTM!N31+IDK!N31+EKM!N31+TSR!N31+PKD!N31+MLPM!N31+KKD!N31+WYD!N31+KNR!N31+KSD!N31+SHS!N31</f>
        <v>48.3</v>
      </c>
      <c r="O31" s="323">
        <f>TVM!O31+KLM!O31+PTA!O31+ALP!O31+KTM!O31+IDK!O31+EKM!O31+TSR!O31+PKD!O31+MLPM!O31+KKD!O31+WYD!O31+KNR!O31+KSD!O31+SHS!O31</f>
        <v>0</v>
      </c>
      <c r="P31" s="323">
        <f>TVM!P31+KLM!P31+PTA!P31+ALP!P31+KTM!P31+IDK!P31+EKM!P31+TSR!P31+PKD!P31+MLPM!P31+KKD!P31+WYD!P31+KNR!P31+KSD!P31+SHS!P31</f>
        <v>0</v>
      </c>
      <c r="Q31" s="329">
        <f>TVM!Q31+KLM!Q31+PTA!Q31+ALP!Q31+KTM!Q31+IDK!Q31+EKM!Q31+TSR!Q31+PKD!Q31+MLPM!Q31+KKD!Q31+WYD!Q31+KNR!Q31+KSD!Q31+SHS!Q31</f>
        <v>50.250000000000007</v>
      </c>
      <c r="R31" s="330">
        <f>TVM!R31+KLM!R31+PTA!R31+ALP!R31+KTM!R31+IDK!R31+EKM!R31+TSR!R31+PKD!R31+MLPM!R31+KKD!R31+WYD!R31+KNR!R31+KSD!R31+SHS!R31</f>
        <v>3.0000000000000004</v>
      </c>
      <c r="S31" s="323">
        <f>TVM!S31+KLM!S31+PTA!S31+ALP!S31+KTM!S31+IDK!S31+EKM!S31+TSR!S31+PKD!S31+MLPM!S31+KKD!S31+WYD!S31+KNR!S31+KSD!S31+SHS!S31</f>
        <v>0</v>
      </c>
      <c r="T31" s="324">
        <f t="shared" si="0"/>
        <v>101.55000000000001</v>
      </c>
      <c r="U31" s="324">
        <f>TVM!U31+KLM!U31+PTA!U31+ALP!U31+KTM!U31+IDK!U31+EKM!U31+TSR!U31+PKD!U31+MLPM!U31+KKD!U31+WYD!U31+KNR!U31+KSD!U31+SHS!U31</f>
        <v>98.549999999999983</v>
      </c>
      <c r="V31" s="14" t="s">
        <v>1337</v>
      </c>
      <c r="W31" s="14" t="s">
        <v>1338</v>
      </c>
      <c r="X31" s="332">
        <v>108.3</v>
      </c>
      <c r="Y31" s="328">
        <f t="shared" si="1"/>
        <v>-6.7499999999999858</v>
      </c>
      <c r="Z31" s="314"/>
      <c r="AA31" s="314"/>
      <c r="AB31" s="314"/>
    </row>
    <row r="32" spans="1:28" ht="100.5" customHeight="1">
      <c r="A32" s="712"/>
      <c r="B32" s="712"/>
      <c r="C32" s="712"/>
      <c r="D32" s="320">
        <v>27</v>
      </c>
      <c r="E32" s="320" t="s">
        <v>72</v>
      </c>
      <c r="F32" s="323">
        <f>TVM!F32+KLM!F32+PTA!F32+ALP!F32+KTM!F32+IDK!F32+EKM!F32+TSR!F32+PKD!F32+MLPM!F32+KKD!F32+WYD!F32+KNR!F32+KSD!F32+SHS!F32</f>
        <v>0</v>
      </c>
      <c r="G32" s="323">
        <f>TVM!G32+KLM!G32+PTA!G32+ALP!G32+KTM!G32+IDK!G32+EKM!G32+TSR!G32+PKD!G32+MLPM!G32+KKD!G32+WYD!G32+KNR!G32+KSD!G32+SHS!G32</f>
        <v>0</v>
      </c>
      <c r="H32" s="330">
        <f>TVM!H32+KLM!H32+PTA!H32+ALP!H32+KTM!H32+IDK!H32+EKM!H32+TSR!H32+PKD!H32+MLPM!H32+KKD!H32+WYD!H32+KNR!H32+KSD!H32+SHS!H32</f>
        <v>0</v>
      </c>
      <c r="I32" s="329">
        <f>TVM!I32+KLM!I32+PTA!I32+ALP!I32+KTM!I32+IDK!I32+EKM!I32+TSR!I32+PKD!I32+MLPM!I32+KKD!I32+WYD!I32+KNR!I32+KSD!I32+SHS!I32</f>
        <v>0</v>
      </c>
      <c r="J32" s="323">
        <f>TVM!J32+KLM!J32+PTA!J32+ALP!J32+KTM!J32+IDK!J32+EKM!J32+TSR!J32+PKD!J32+MLPM!J32+KKD!J32+WYD!J32+KNR!J32+KSD!J32+SHS!J32</f>
        <v>0</v>
      </c>
      <c r="K32" s="323">
        <f>TVM!K32+KLM!K32+PTA!K32+ALP!K32+KTM!K32+IDK!K32+EKM!K32+TSR!K32+PKD!K32+MLPM!K32+KKD!K32+WYD!K32+KNR!K32+KSD!K32+SHS!K32</f>
        <v>0</v>
      </c>
      <c r="L32" s="323">
        <f>TVM!L32+KLM!L32+PTA!L32+ALP!L32+KTM!L32+IDK!L32+EKM!L32+TSR!L32+PKD!L32+MLPM!L32+KKD!L32+WYD!L32+KNR!L32+KSD!L32+SHS!L32</f>
        <v>0</v>
      </c>
      <c r="M32" s="323">
        <f>TVM!M32+KLM!M32+PTA!M32+ALP!M32+KTM!M32+IDK!M32+EKM!M32+TSR!M32+PKD!M32+MLPM!M32+KKD!M32+WYD!M32+KNR!M32+KSD!M32+SHS!M32</f>
        <v>0</v>
      </c>
      <c r="N32" s="329">
        <f>TVM!N32+KLM!N32+PTA!N32+ALP!N32+KTM!N32+IDK!N32+EKM!N32+TSR!N32+PKD!N32+MLPM!N32+KKD!N32+WYD!N32+KNR!N32+KSD!N32+SHS!N32</f>
        <v>17.5</v>
      </c>
      <c r="O32" s="330">
        <f>TVM!O32+KLM!O32+PTA!O32+ALP!O32+KTM!O32+IDK!O32+EKM!O32+TSR!O32+PKD!O32+MLPM!O32+KKD!O32+WYD!O32+KNR!O32+KSD!O32+SHS!O32</f>
        <v>0</v>
      </c>
      <c r="P32" s="330">
        <f>TVM!P32+KLM!P32+PTA!P32+ALP!P32+KTM!P32+IDK!P32+EKM!P32+TSR!P32+PKD!P32+MLPM!P32+KKD!P32+WYD!P32+KNR!P32+KSD!P32+SHS!P32</f>
        <v>43.5</v>
      </c>
      <c r="Q32" s="323">
        <f>TVM!Q32+KLM!Q32+PTA!Q32+ALP!Q32+KTM!Q32+IDK!Q32+EKM!Q32+TSR!Q32+PKD!Q32+MLPM!Q32+KKD!Q32+WYD!Q32+KNR!Q32+KSD!Q32+SHS!Q32</f>
        <v>0</v>
      </c>
      <c r="R32" s="323">
        <f>TVM!R32+KLM!R32+PTA!R32+ALP!R32+KTM!R32+IDK!R32+EKM!R32+TSR!R32+PKD!R32+MLPM!R32+KKD!R32+WYD!R32+KNR!R32+KSD!R32+SHS!R32</f>
        <v>0</v>
      </c>
      <c r="S32" s="323">
        <f>TVM!S32+KLM!S32+PTA!S32+ALP!S32+KTM!S32+IDK!S32+EKM!S32+TSR!S32+PKD!S32+MLPM!S32+KKD!S32+WYD!S32+KNR!S32+KSD!S32+SHS!S32</f>
        <v>0</v>
      </c>
      <c r="T32" s="324">
        <f t="shared" si="0"/>
        <v>61</v>
      </c>
      <c r="U32" s="324">
        <f>TVM!U32+KLM!U32+PTA!U32+ALP!U32+KTM!U32+IDK!U32+EKM!U32+TSR!U32+PKD!U32+MLPM!U32+KKD!U32+WYD!U32+KNR!U32+KSD!U32+SHS!U32</f>
        <v>273.45</v>
      </c>
      <c r="V32" s="13" t="s">
        <v>1339</v>
      </c>
      <c r="W32" s="346" t="s">
        <v>1340</v>
      </c>
      <c r="X32" s="332">
        <v>636.52</v>
      </c>
      <c r="Y32" s="328">
        <f t="shared" si="1"/>
        <v>-575.52</v>
      </c>
      <c r="Z32" s="314"/>
      <c r="AA32" s="314"/>
      <c r="AB32" s="314"/>
    </row>
    <row r="33" spans="1:28" ht="59.25" customHeight="1">
      <c r="A33" s="712"/>
      <c r="B33" s="712"/>
      <c r="C33" s="712"/>
      <c r="D33" s="320">
        <v>28</v>
      </c>
      <c r="E33" s="320" t="s">
        <v>34</v>
      </c>
      <c r="F33" s="323">
        <f>TVM!F33+KLM!F33+PTA!F33+ALP!F33+KTM!F33+IDK!F33+EKM!F33+TSR!F33+PKD!F33+MLPM!F33+KKD!F33+WYD!F33+KNR!F33+KSD!F33+SHS!F33</f>
        <v>0</v>
      </c>
      <c r="G33" s="323">
        <f>TVM!G33+KLM!G33+PTA!G33+ALP!G33+KTM!G33+IDK!G33+EKM!G33+TSR!G33+PKD!G33+MLPM!G33+KKD!G33+WYD!G33+KNR!G33+KSD!G33+SHS!G33</f>
        <v>0</v>
      </c>
      <c r="H33" s="323">
        <f>TVM!H33+KLM!H33+PTA!H33+ALP!H33+KTM!H33+IDK!H33+EKM!H33+TSR!H33+PKD!H33+MLPM!H33+KKD!H33+WYD!H33+KNR!H33+KSD!H33+SHS!H33</f>
        <v>0</v>
      </c>
      <c r="I33" s="323">
        <f>TVM!I33+KLM!I33+PTA!I33+ALP!I33+KTM!I33+IDK!I33+EKM!I33+TSR!I33+PKD!I33+MLPM!I33+KKD!I33+WYD!I33+KNR!I33+KSD!I33+SHS!I33</f>
        <v>0</v>
      </c>
      <c r="J33" s="323">
        <f>TVM!J33+KLM!J33+PTA!J33+ALP!J33+KTM!J33+IDK!J33+EKM!J33+TSR!J33+PKD!J33+MLPM!J33+KKD!J33+WYD!J33+KNR!J33+KSD!J33+SHS!J33</f>
        <v>0</v>
      </c>
      <c r="K33" s="329">
        <f>TVM!K33+KLM!K33+PTA!K33+ALP!K33+KTM!K33+IDK!K33+EKM!K33+TSR!K33+PKD!K33+MLPM!K33+KKD!K33+WYD!K33+KNR!K33+KSD!K33+SHS!K33</f>
        <v>38.446000000000005</v>
      </c>
      <c r="L33" s="323">
        <f>TVM!L33+KLM!L33+PTA!L33+ALP!L33+KTM!L33+IDK!L33+EKM!L33+TSR!L33+PKD!L33+MLPM!L33+KKD!L33+WYD!L33+KNR!L33+KSD!L33+SHS!L33</f>
        <v>0</v>
      </c>
      <c r="M33" s="329">
        <f>TVM!M33+KLM!M33+PTA!M33+ALP!M33+KTM!M33+IDK!M33+EKM!M33+TSR!M33+PKD!M33+MLPM!M33+KKD!M33+WYD!M33+KNR!M33+KSD!M33+SHS!M33</f>
        <v>38.446000000000005</v>
      </c>
      <c r="N33" s="323">
        <f>TVM!N33+KLM!N33+PTA!N33+ALP!N33+KTM!N33+IDK!N33+EKM!N33+TSR!N33+PKD!N33+MLPM!N33+KKD!N33+WYD!N33+KNR!N33+KSD!N33+SHS!N33</f>
        <v>0</v>
      </c>
      <c r="O33" s="323">
        <f>TVM!O33+KLM!O33+PTA!O33+ALP!O33+KTM!O33+IDK!O33+EKM!O33+TSR!O33+PKD!O33+MLPM!O33+KKD!O33+WYD!O33+KNR!O33+KSD!O33+SHS!O33</f>
        <v>0</v>
      </c>
      <c r="P33" s="323">
        <f>TVM!P33+KLM!P33+PTA!P33+ALP!P33+KTM!P33+IDK!P33+EKM!P33+TSR!P33+PKD!P33+MLPM!P33+KKD!P33+WYD!P33+KNR!P33+KSD!P33+SHS!P33</f>
        <v>0</v>
      </c>
      <c r="Q33" s="323">
        <f>TVM!Q33+KLM!Q33+PTA!Q33+ALP!Q33+KTM!Q33+IDK!Q33+EKM!Q33+TSR!Q33+PKD!Q33+MLPM!Q33+KKD!Q33+WYD!Q33+KNR!Q33+KSD!Q33+SHS!Q33</f>
        <v>0</v>
      </c>
      <c r="R33" s="323">
        <f>TVM!R33+KLM!R33+PTA!R33+ALP!R33+KTM!R33+IDK!R33+EKM!R33+TSR!R33+PKD!R33+MLPM!R33+KKD!R33+WYD!R33+KNR!R33+KSD!R33+SHS!R33</f>
        <v>0</v>
      </c>
      <c r="S33" s="323">
        <f>TVM!S33+KLM!S33+PTA!S33+ALP!S33+KTM!S33+IDK!S33+EKM!S33+TSR!S33+PKD!S33+MLPM!S33+KKD!S33+WYD!S33+KNR!S33+KSD!S33+SHS!S33</f>
        <v>0</v>
      </c>
      <c r="T33" s="324">
        <f t="shared" si="0"/>
        <v>76.89200000000001</v>
      </c>
      <c r="U33" s="324">
        <f>TVM!U33+KLM!U33+PTA!U33+ALP!U33+KTM!U33+IDK!U33+EKM!U33+TSR!U33+PKD!U33+MLPM!U33+KKD!U33+WYD!U33+KNR!U33+KSD!U33+SHS!U33</f>
        <v>76.889999999999986</v>
      </c>
      <c r="V33" s="14" t="s">
        <v>1341</v>
      </c>
      <c r="W33" s="13" t="s">
        <v>1342</v>
      </c>
      <c r="X33" s="332">
        <v>80.42</v>
      </c>
      <c r="Y33" s="328">
        <f t="shared" si="1"/>
        <v>-3.5279999999999916</v>
      </c>
      <c r="Z33" s="314"/>
      <c r="AA33" s="314"/>
      <c r="AB33" s="314"/>
    </row>
    <row r="34" spans="1:28" ht="62.25" customHeight="1">
      <c r="A34" s="712"/>
      <c r="B34" s="712"/>
      <c r="C34" s="712"/>
      <c r="D34" s="320">
        <v>29</v>
      </c>
      <c r="E34" s="320" t="s">
        <v>36</v>
      </c>
      <c r="F34" s="323">
        <f>TVM!F34+KLM!F34+PTA!F34+ALP!F34+KTM!F34+IDK!F34+EKM!F34+TSR!F34+PKD!F34+MLPM!F34+KKD!F34+WYD!F34+KNR!F34+KSD!F34+SHS!F34</f>
        <v>0</v>
      </c>
      <c r="G34" s="323">
        <f>TVM!G34+KLM!G34+PTA!G34+ALP!G34+KTM!G34+IDK!G34+EKM!G34+TSR!G34+PKD!G34+MLPM!G34+KKD!G34+WYD!G34+KNR!G34+KSD!G34+SHS!G34</f>
        <v>0</v>
      </c>
      <c r="H34" s="323">
        <f>TVM!H34+KLM!H34+PTA!H34+ALP!H34+KTM!H34+IDK!H34+EKM!H34+TSR!H34+PKD!H34+MLPM!H34+KKD!H34+WYD!H34+KNR!H34+KSD!H34+SHS!H34</f>
        <v>0</v>
      </c>
      <c r="I34" s="323">
        <f>TVM!I34+KLM!I34+PTA!I34+ALP!I34+KTM!I34+IDK!I34+EKM!I34+TSR!I34+PKD!I34+MLPM!I34+KKD!I34+WYD!I34+KNR!I34+KSD!I34+SHS!I34</f>
        <v>0</v>
      </c>
      <c r="J34" s="323">
        <f>TVM!J34+KLM!J34+PTA!J34+ALP!J34+KTM!J34+IDK!J34+EKM!J34+TSR!J34+PKD!J34+MLPM!J34+KKD!J34+WYD!J34+KNR!J34+KSD!J34+SHS!J34</f>
        <v>0</v>
      </c>
      <c r="K34" s="323">
        <f>TVM!K34+KLM!K34+PTA!K34+ALP!K34+KTM!K34+IDK!K34+EKM!K34+TSR!K34+PKD!K34+MLPM!K34+KKD!K34+WYD!K34+KNR!K34+KSD!K34+SHS!K34</f>
        <v>0</v>
      </c>
      <c r="L34" s="323">
        <f>TVM!L34+KLM!L34+PTA!L34+ALP!L34+KTM!L34+IDK!L34+EKM!L34+TSR!L34+PKD!L34+MLPM!L34+KKD!L34+WYD!L34+KNR!L34+KSD!L34+SHS!L34</f>
        <v>0</v>
      </c>
      <c r="M34" s="323">
        <f>TVM!M34+KLM!M34+PTA!M34+ALP!M34+KTM!M34+IDK!M34+EKM!M34+TSR!M34+PKD!M34+MLPM!M34+KKD!M34+WYD!M34+KNR!M34+KSD!M34+SHS!M34</f>
        <v>0</v>
      </c>
      <c r="N34" s="323">
        <f>TVM!N34+KLM!N34+PTA!N34+ALP!N34+KTM!N34+IDK!N34+EKM!N34+TSR!N34+PKD!N34+MLPM!N34+KKD!N34+WYD!N34+KNR!N34+KSD!N34+SHS!N34</f>
        <v>0</v>
      </c>
      <c r="O34" s="323">
        <f>TVM!O34+KLM!O34+PTA!O34+ALP!O34+KTM!O34+IDK!O34+EKM!O34+TSR!O34+PKD!O34+MLPM!O34+KKD!O34+WYD!O34+KNR!O34+KSD!O34+SHS!O34</f>
        <v>0</v>
      </c>
      <c r="P34" s="329">
        <f>TVM!P34+KLM!P34+PTA!P34+ALP!P34+KTM!P34+IDK!P34+EKM!P34+TSR!P34+PKD!P34+MLPM!P34+KKD!P34+WYD!P34+KNR!P34+KSD!P34+SHS!P34</f>
        <v>96.114999999999995</v>
      </c>
      <c r="Q34" s="323">
        <f>TVM!Q34+KLM!Q34+PTA!Q34+ALP!Q34+KTM!Q34+IDK!Q34+EKM!Q34+TSR!Q34+PKD!Q34+MLPM!Q34+KKD!Q34+WYD!Q34+KNR!Q34+KSD!Q34+SHS!Q34</f>
        <v>0</v>
      </c>
      <c r="R34" s="323">
        <f>TVM!R34+KLM!R34+PTA!R34+ALP!R34+KTM!R34+IDK!R34+EKM!R34+TSR!R34+PKD!R34+MLPM!R34+KKD!R34+WYD!R34+KNR!R34+KSD!R34+SHS!R34</f>
        <v>0</v>
      </c>
      <c r="S34" s="323">
        <f>TVM!S34+KLM!S34+PTA!S34+ALP!S34+KTM!S34+IDK!S34+EKM!S34+TSR!S34+PKD!S34+MLPM!S34+KKD!S34+WYD!S34+KNR!S34+KSD!S34+SHS!S34</f>
        <v>0</v>
      </c>
      <c r="T34" s="324">
        <f t="shared" si="0"/>
        <v>96.114999999999995</v>
      </c>
      <c r="U34" s="324">
        <f>TVM!U34+KLM!U34+PTA!U34+ALP!U34+KTM!U34+IDK!U34+EKM!U34+TSR!U34+PKD!U34+MLPM!U34+KKD!U34+WYD!U34+KNR!U34+KSD!U34+SHS!U34</f>
        <v>96.11999999999999</v>
      </c>
      <c r="V34" s="14" t="s">
        <v>1343</v>
      </c>
      <c r="W34" s="13" t="s">
        <v>1344</v>
      </c>
      <c r="X34" s="332">
        <v>100.53</v>
      </c>
      <c r="Y34" s="328">
        <f t="shared" si="1"/>
        <v>-4.4150000000000063</v>
      </c>
      <c r="Z34" s="314"/>
      <c r="AA34" s="314"/>
      <c r="AB34" s="314"/>
    </row>
    <row r="35" spans="1:28" ht="102" customHeight="1">
      <c r="A35" s="712"/>
      <c r="B35" s="712"/>
      <c r="C35" s="712"/>
      <c r="D35" s="320">
        <v>30</v>
      </c>
      <c r="E35" s="320" t="s">
        <v>74</v>
      </c>
      <c r="F35" s="323">
        <f>TVM!F35+KLM!F35+PTA!F35+ALP!F35+KTM!F35+IDK!F35+EKM!F35+TSR!F35+PKD!F35+MLPM!F35+KKD!F35+WYD!F35+KNR!F35+KSD!F35+SHS!F35</f>
        <v>0</v>
      </c>
      <c r="G35" s="323">
        <f>TVM!G35+KLM!G35+PTA!G35+ALP!G35+KTM!G35+IDK!G35+EKM!G35+TSR!G35+PKD!G35+MLPM!G35+KKD!G35+WYD!G35+KNR!G35+KSD!G35+SHS!G35</f>
        <v>0</v>
      </c>
      <c r="H35" s="323">
        <f>TVM!H35+KLM!H35+PTA!H35+ALP!H35+KTM!H35+IDK!H35+EKM!H35+TSR!H35+PKD!H35+MLPM!H35+KKD!H35+WYD!H35+KNR!H35+KSD!H35+SHS!H35</f>
        <v>0</v>
      </c>
      <c r="I35" s="329">
        <f>TVM!I35+KLM!I35+PTA!I35+ALP!I35+KTM!I35+IDK!I35+EKM!I35+TSR!I35+PKD!I35+MLPM!I35+KKD!I35+WYD!I35+KNR!I35+KSD!I35+SHS!I35</f>
        <v>0</v>
      </c>
      <c r="J35" s="323">
        <f>TVM!J35+KLM!J35+PTA!J35+ALP!J35+KTM!J35+IDK!J35+EKM!J35+TSR!J35+PKD!J35+MLPM!J35+KKD!J35+WYD!J35+KNR!J35+KSD!J35+SHS!J35</f>
        <v>0</v>
      </c>
      <c r="K35" s="323">
        <f>TVM!K35+KLM!K35+PTA!K35+ALP!K35+KTM!K35+IDK!K35+EKM!K35+TSR!K35+PKD!K35+MLPM!K35+KKD!K35+WYD!K35+KNR!K35+KSD!K35+SHS!K35</f>
        <v>0</v>
      </c>
      <c r="L35" s="323">
        <f>TVM!L35+KLM!L35+PTA!L35+ALP!L35+KTM!L35+IDK!L35+EKM!L35+TSR!L35+PKD!L35+MLPM!L35+KKD!L35+WYD!L35+KNR!L35+KSD!L35+SHS!L35</f>
        <v>0</v>
      </c>
      <c r="M35" s="323">
        <f>TVM!M35+KLM!M35+PTA!M35+ALP!M35+KTM!M35+IDK!M35+EKM!M35+TSR!M35+PKD!M35+MLPM!M35+KKD!M35+WYD!M35+KNR!M35+KSD!M35+SHS!M35</f>
        <v>0</v>
      </c>
      <c r="N35" s="323">
        <f>TVM!N35+KLM!N35+PTA!N35+ALP!N35+KTM!N35+IDK!N35+EKM!N35+TSR!N35+PKD!N35+MLPM!N35+KKD!N35+WYD!N35+KNR!N35+KSD!N35+SHS!N35</f>
        <v>0</v>
      </c>
      <c r="O35" s="323">
        <f>TVM!O35+KLM!O35+PTA!O35+ALP!O35+KTM!O35+IDK!O35+EKM!O35+TSR!O35+PKD!O35+MLPM!O35+KKD!O35+WYD!O35+KNR!O35+KSD!O35+SHS!O35</f>
        <v>0</v>
      </c>
      <c r="P35" s="323">
        <f>TVM!P35+KLM!P35+PTA!P35+ALP!P35+KTM!P35+IDK!P35+EKM!P35+TSR!P35+PKD!P35+MLPM!P35+KKD!P35+WYD!P35+KNR!P35+KSD!P35+SHS!P35</f>
        <v>0</v>
      </c>
      <c r="Q35" s="329">
        <f>TVM!Q35+KLM!Q35+PTA!Q35+ALP!Q35+KTM!Q35+IDK!Q35+EKM!Q35+TSR!Q35+PKD!Q35+MLPM!Q35+KKD!Q35+WYD!Q35+KNR!Q35+KSD!Q35+SHS!Q35</f>
        <v>100</v>
      </c>
      <c r="R35" s="330">
        <f>TVM!R35+KLM!R35+PTA!R35+ALP!R35+KTM!R35+IDK!R35+EKM!R35+TSR!R35+PKD!R35+MLPM!R35+KKD!R35+WYD!R35+KNR!R35+KSD!R35+SHS!R35</f>
        <v>29.95</v>
      </c>
      <c r="S35" s="323">
        <f>TVM!S35+KLM!S35+PTA!S35+ALP!S35+KTM!S35+IDK!S35+EKM!S35+TSR!S35+PKD!S35+MLPM!S35+KKD!S35+WYD!S35+KNR!S35+KSD!S35+SHS!S35</f>
        <v>0</v>
      </c>
      <c r="T35" s="324">
        <f t="shared" si="0"/>
        <v>129.94999999999999</v>
      </c>
      <c r="U35" s="324">
        <f>TVM!U35+KLM!U35+PTA!U35+ALP!U35+KTM!U35+IDK!U35+EKM!U35+TSR!U35+PKD!U35+MLPM!U35+KKD!U35+WYD!U35+KNR!U35+KSD!U35+SHS!U35</f>
        <v>129.95000000000002</v>
      </c>
      <c r="V35" s="13" t="s">
        <v>1345</v>
      </c>
      <c r="W35" s="13" t="s">
        <v>1346</v>
      </c>
      <c r="X35" s="332">
        <v>148.81</v>
      </c>
      <c r="Y35" s="328">
        <f t="shared" si="1"/>
        <v>-18.860000000000014</v>
      </c>
      <c r="Z35" s="322" t="s">
        <v>1347</v>
      </c>
      <c r="AA35" s="314"/>
      <c r="AB35" s="314"/>
    </row>
    <row r="36" spans="1:28" ht="39.75" customHeight="1">
      <c r="A36" s="712"/>
      <c r="B36" s="707"/>
      <c r="C36" s="707"/>
      <c r="D36" s="320">
        <v>31</v>
      </c>
      <c r="E36" s="320" t="s">
        <v>53</v>
      </c>
      <c r="F36" s="323">
        <f>TVM!F36+KLM!F36+PTA!F36+ALP!F36+KTM!F36+IDK!F36+EKM!F36+TSR!F36+PKD!F36+MLPM!F36+KKD!F36+WYD!F36+KNR!F36+KSD!F36+SHS!F36</f>
        <v>0</v>
      </c>
      <c r="G36" s="323">
        <f>TVM!G36+KLM!G36+PTA!G36+ALP!G36+KTM!G36+IDK!G36+EKM!G36+TSR!G36+PKD!G36+MLPM!G36+KKD!G36+WYD!G36+KNR!G36+KSD!G36+SHS!G36</f>
        <v>0</v>
      </c>
      <c r="H36" s="323">
        <f>TVM!H36+KLM!H36+PTA!H36+ALP!H36+KTM!H36+IDK!H36+EKM!H36+TSR!H36+PKD!H36+MLPM!H36+KKD!H36+WYD!H36+KNR!H36+KSD!H36+SHS!H36</f>
        <v>0</v>
      </c>
      <c r="I36" s="323">
        <f>TVM!I36+KLM!I36+PTA!I36+ALP!I36+KTM!I36+IDK!I36+EKM!I36+TSR!I36+PKD!I36+MLPM!I36+KKD!I36+WYD!I36+KNR!I36+KSD!I36+SHS!I36</f>
        <v>0</v>
      </c>
      <c r="J36" s="323">
        <f>TVM!J36+KLM!J36+PTA!J36+ALP!J36+KTM!J36+IDK!J36+EKM!J36+TSR!J36+PKD!J36+MLPM!J36+KKD!J36+WYD!J36+KNR!J36+KSD!J36+SHS!J36</f>
        <v>0</v>
      </c>
      <c r="K36" s="323">
        <f>TVM!K36+KLM!K36+PTA!K36+ALP!K36+KTM!K36+IDK!K36+EKM!K36+TSR!K36+PKD!K36+MLPM!K36+KKD!K36+WYD!K36+KNR!K36+KSD!K36+SHS!K36</f>
        <v>0</v>
      </c>
      <c r="L36" s="323">
        <f>TVM!L36+KLM!L36+PTA!L36+ALP!L36+KTM!L36+IDK!L36+EKM!L36+TSR!L36+PKD!L36+MLPM!L36+KKD!L36+WYD!L36+KNR!L36+KSD!L36+SHS!L36</f>
        <v>0</v>
      </c>
      <c r="M36" s="323">
        <f>TVM!M36+KLM!M36+PTA!M36+ALP!M36+KTM!M36+IDK!M36+EKM!M36+TSR!M36+PKD!M36+MLPM!M36+KKD!M36+WYD!M36+KNR!M36+KSD!M36+SHS!M36</f>
        <v>0</v>
      </c>
      <c r="N36" s="323">
        <f>TVM!N36+KLM!N36+PTA!N36+ALP!N36+KTM!N36+IDK!N36+EKM!N36+TSR!N36+PKD!N36+MLPM!N36+KKD!N36+WYD!N36+KNR!N36+KSD!N36+SHS!N36</f>
        <v>0</v>
      </c>
      <c r="O36" s="323">
        <f>TVM!O36+KLM!O36+PTA!O36+ALP!O36+KTM!O36+IDK!O36+EKM!O36+TSR!O36+PKD!O36+MLPM!O36+KKD!O36+WYD!O36+KNR!O36+KSD!O36+SHS!O36</f>
        <v>0</v>
      </c>
      <c r="P36" s="323">
        <f>TVM!P36+KLM!P36+PTA!P36+ALP!P36+KTM!P36+IDK!P36+EKM!P36+TSR!P36+PKD!P36+MLPM!P36+KKD!P36+WYD!P36+KNR!P36+KSD!P36+SHS!P36</f>
        <v>0</v>
      </c>
      <c r="Q36" s="323">
        <f>TVM!Q36+KLM!Q36+PTA!Q36+ALP!Q36+KTM!Q36+IDK!Q36+EKM!Q36+TSR!Q36+PKD!Q36+MLPM!Q36+KKD!Q36+WYD!Q36+KNR!Q36+KSD!Q36+SHS!Q36</f>
        <v>0</v>
      </c>
      <c r="R36" s="323">
        <f>TVM!R36+KLM!R36+PTA!R36+ALP!R36+KTM!R36+IDK!R36+EKM!R36+TSR!R36+PKD!R36+MLPM!R36+KKD!R36+WYD!R36+KNR!R36+KSD!R36+SHS!R36</f>
        <v>0</v>
      </c>
      <c r="S36" s="323">
        <f>TVM!S36+KLM!S36+PTA!S36+ALP!S36+KTM!S36+IDK!S36+EKM!S36+TSR!S36+PKD!S36+MLPM!S36+KKD!S36+WYD!S36+KNR!S36+KSD!S36+SHS!S36</f>
        <v>0</v>
      </c>
      <c r="T36" s="324">
        <f t="shared" si="0"/>
        <v>0</v>
      </c>
      <c r="U36" s="324">
        <f>TVM!U36+KLM!U36+PTA!U36+ALP!U36+KTM!U36+IDK!U36+EKM!U36+TSR!U36+PKD!U36+MLPM!U36+KKD!U36+WYD!U36+KNR!U36+KSD!U36+SHS!U36</f>
        <v>0</v>
      </c>
      <c r="V36" s="325"/>
      <c r="W36" s="333"/>
      <c r="X36" s="332">
        <v>0</v>
      </c>
      <c r="Y36" s="328">
        <f t="shared" si="1"/>
        <v>0</v>
      </c>
      <c r="Z36" s="314"/>
      <c r="AA36" s="314"/>
      <c r="AB36" s="314"/>
    </row>
    <row r="37" spans="1:28" ht="409.5">
      <c r="A37" s="712"/>
      <c r="B37" s="723" t="s">
        <v>76</v>
      </c>
      <c r="C37" s="723" t="s">
        <v>77</v>
      </c>
      <c r="D37" s="347">
        <v>32</v>
      </c>
      <c r="E37" s="347" t="s">
        <v>78</v>
      </c>
      <c r="F37" s="323">
        <f>TVM!F37+KLM!F37+PTA!F37+ALP!F37+KTM!F37+IDK!F37+EKM!F37+TSR!F37+PKD!F37+MLPM!F37+KKD!F37+WYD!F37+KNR!F37+KSD!F37+SHS!F37</f>
        <v>0</v>
      </c>
      <c r="G37" s="323">
        <f>TVM!G37+KLM!G37+PTA!G37+ALP!G37+KTM!G37+IDK!G37+EKM!G37+TSR!G37+PKD!G37+MLPM!G37+KKD!G37+WYD!G37+KNR!G37+KSD!G37+SHS!G37</f>
        <v>0</v>
      </c>
      <c r="H37" s="323">
        <f>TVM!H37+KLM!H37+PTA!H37+ALP!H37+KTM!H37+IDK!H37+EKM!H37+TSR!H37+PKD!H37+MLPM!H37+KKD!H37+WYD!H37+KNR!H37+KSD!H37+SHS!H37</f>
        <v>0</v>
      </c>
      <c r="I37" s="329">
        <f>TVM!I37+KLM!I37+PTA!I37+ALP!I37+KTM!I37+IDK!I37+EKM!I37+TSR!I37+PKD!I37+MLPM!I37+KKD!I37+WYD!I37+KNR!I37+KSD!I37+SHS!I37</f>
        <v>0</v>
      </c>
      <c r="J37" s="323">
        <f>TVM!J37+KLM!J37+PTA!J37+ALP!J37+KTM!J37+IDK!J37+EKM!J37+TSR!J37+PKD!J37+MLPM!J37+KKD!J37+WYD!J37+KNR!J37+KSD!J37+SHS!J37</f>
        <v>0</v>
      </c>
      <c r="K37" s="323">
        <f>TVM!K37+KLM!K37+PTA!K37+ALP!K37+KTM!K37+IDK!K37+EKM!K37+TSR!K37+PKD!K37+MLPM!K37+KKD!K37+WYD!K37+KNR!K37+KSD!K37+SHS!K37</f>
        <v>0</v>
      </c>
      <c r="L37" s="323">
        <f>TVM!L37+KLM!L37+PTA!L37+ALP!L37+KTM!L37+IDK!L37+EKM!L37+TSR!L37+PKD!L37+MLPM!L37+KKD!L37+WYD!L37+KNR!L37+KSD!L37+SHS!L37</f>
        <v>0</v>
      </c>
      <c r="M37" s="329">
        <f>TVM!M37+KLM!M37+PTA!M37+ALP!M37+KTM!M37+IDK!M37+EKM!M37+TSR!M37+PKD!M37+MLPM!M37+KKD!M37+WYD!M37+KNR!M37+KSD!M37+SHS!M37</f>
        <v>0</v>
      </c>
      <c r="N37" s="348">
        <f>TVM!N37+KLM!N37+PTA!N37+ALP!N37+KTM!N37+IDK!N37+EKM!N37+TSR!N37+PKD!N37+MLPM!N37+KKD!N37+WYD!N37+KNR!N37+KSD!N37+SHS!N37</f>
        <v>83.578699999999998</v>
      </c>
      <c r="O37" s="349">
        <f>TVM!O37+KLM!O37+PTA!O37+ALP!O37+KTM!O37+IDK!O37+EKM!O37+TSR!O37+PKD!O37+MLPM!O37+KKD!O37+WYD!O37+KNR!O37+KSD!O37+SHS!O37</f>
        <v>1036.1613500000001</v>
      </c>
      <c r="P37" s="349">
        <f>TVM!P37+KLM!P37+PTA!P37+ALP!P37+KTM!P37+IDK!P37+EKM!P37+TSR!P37+PKD!P37+MLPM!P37+KKD!P37+WYD!P37+KNR!P37+KSD!P37+SHS!P37</f>
        <v>213.76760000000002</v>
      </c>
      <c r="Q37" s="348">
        <f>TVM!Q37+KLM!Q37+PTA!Q37+ALP!Q37+KTM!Q37+IDK!Q37+EKM!Q37+TSR!Q37+PKD!Q37+MLPM!Q37+KKD!Q37+WYD!Q37+KNR!Q37+KSD!Q37+SHS!Q37</f>
        <v>88.905000000000001</v>
      </c>
      <c r="R37" s="330">
        <f>TVM!R37+KLM!R37+PTA!R37+ALP!R37+KTM!R37+IDK!R37+EKM!R37+TSR!R37+PKD!R37+MLPM!R37+KKD!R37+WYD!R37+KNR!R37+KSD!R37+SHS!R37</f>
        <v>69.796499999999995</v>
      </c>
      <c r="S37" s="329">
        <f>TVM!S37+KLM!S37+PTA!S37+ALP!S37+KTM!S37+IDK!S37+EKM!S37+TSR!S37+PKD!S37+MLPM!S37+KKD!S37+WYD!S37+KNR!S37+KSD!S37+SHS!S37</f>
        <v>53.709999999999994</v>
      </c>
      <c r="T37" s="324">
        <f t="shared" si="0"/>
        <v>1545.9191499999999</v>
      </c>
      <c r="U37" s="324">
        <f>TVM!U37+KLM!U37+PTA!U37+ALP!U37+KTM!U37+IDK!U37+EKM!U37+TSR!U37+PKD!U37+MLPM!U37+KKD!U37+WYD!U37+KNR!U37+KSD!U37+SHS!U37</f>
        <v>1529.4551499999998</v>
      </c>
      <c r="V37" s="14" t="s">
        <v>1348</v>
      </c>
      <c r="W37" s="14" t="s">
        <v>1349</v>
      </c>
      <c r="X37" s="332">
        <v>1473.79</v>
      </c>
      <c r="Y37" s="350">
        <f t="shared" si="1"/>
        <v>72.129149999999981</v>
      </c>
      <c r="Z37" s="351"/>
      <c r="AA37" s="351"/>
      <c r="AB37" s="351"/>
    </row>
    <row r="38" spans="1:28" ht="39.75" customHeight="1">
      <c r="A38" s="712"/>
      <c r="B38" s="712"/>
      <c r="C38" s="712"/>
      <c r="D38" s="320">
        <v>33</v>
      </c>
      <c r="E38" s="320" t="s">
        <v>80</v>
      </c>
      <c r="F38" s="323">
        <f>TVM!F38+KLM!F38+PTA!F38+ALP!F38+KTM!F38+IDK!F38+EKM!F38+TSR!F38+PKD!F38+MLPM!F38+KKD!F38+WYD!F38+KNR!F38+KSD!F38+SHS!F38</f>
        <v>0</v>
      </c>
      <c r="G38" s="323">
        <f>TVM!G38+KLM!G38+PTA!G38+ALP!G38+KTM!G38+IDK!G38+EKM!G38+TSR!G38+PKD!G38+MLPM!G38+KKD!G38+WYD!G38+KNR!G38+KSD!G38+SHS!G38</f>
        <v>0</v>
      </c>
      <c r="H38" s="323">
        <f>TVM!H38+KLM!H38+PTA!H38+ALP!H38+KTM!H38+IDK!H38+EKM!H38+TSR!H38+PKD!H38+MLPM!H38+KKD!H38+WYD!H38+KNR!H38+KSD!H38+SHS!H38</f>
        <v>0</v>
      </c>
      <c r="I38" s="323">
        <f>TVM!I38+KLM!I38+PTA!I38+ALP!I38+KTM!I38+IDK!I38+EKM!I38+TSR!I38+PKD!I38+MLPM!I38+KKD!I38+WYD!I38+KNR!I38+KSD!I38+SHS!I38</f>
        <v>0</v>
      </c>
      <c r="J38" s="323">
        <f>TVM!J38+KLM!J38+PTA!J38+ALP!J38+KTM!J38+IDK!J38+EKM!J38+TSR!J38+PKD!J38+MLPM!J38+KKD!J38+WYD!J38+KNR!J38+KSD!J38+SHS!J38</f>
        <v>0</v>
      </c>
      <c r="K38" s="323">
        <f>TVM!K38+KLM!K38+PTA!K38+ALP!K38+KTM!K38+IDK!K38+EKM!K38+TSR!K38+PKD!K38+MLPM!K38+KKD!K38+WYD!K38+KNR!K38+KSD!K38+SHS!K38</f>
        <v>0</v>
      </c>
      <c r="L38" s="323">
        <f>TVM!L38+KLM!L38+PTA!L38+ALP!L38+KTM!L38+IDK!L38+EKM!L38+TSR!L38+PKD!L38+MLPM!L38+KKD!L38+WYD!L38+KNR!L38+KSD!L38+SHS!L38</f>
        <v>0</v>
      </c>
      <c r="M38" s="323">
        <f>TVM!M38+KLM!M38+PTA!M38+ALP!M38+KTM!M38+IDK!M38+EKM!M38+TSR!M38+PKD!M38+MLPM!M38+KKD!M38+WYD!M38+KNR!M38+KSD!M38+SHS!M38</f>
        <v>0</v>
      </c>
      <c r="N38" s="323">
        <f>TVM!N38+KLM!N38+PTA!N38+ALP!N38+KTM!N38+IDK!N38+EKM!N38+TSR!N38+PKD!N38+MLPM!N38+KKD!N38+WYD!N38+KNR!N38+KSD!N38+SHS!N38</f>
        <v>0</v>
      </c>
      <c r="O38" s="323">
        <f>TVM!O38+KLM!O38+PTA!O38+ALP!O38+KTM!O38+IDK!O38+EKM!O38+TSR!O38+PKD!O38+MLPM!O38+KKD!O38+WYD!O38+KNR!O38+KSD!O38+SHS!O38</f>
        <v>0</v>
      </c>
      <c r="P38" s="323">
        <f>TVM!P38+KLM!P38+PTA!P38+ALP!P38+KTM!P38+IDK!P38+EKM!P38+TSR!P38+PKD!P38+MLPM!P38+KKD!P38+WYD!P38+KNR!P38+KSD!P38+SHS!P38</f>
        <v>202.99</v>
      </c>
      <c r="Q38" s="323">
        <f>TVM!Q38+KLM!Q38+PTA!Q38+ALP!Q38+KTM!Q38+IDK!Q38+EKM!Q38+TSR!Q38+PKD!Q38+MLPM!Q38+KKD!Q38+WYD!Q38+KNR!Q38+KSD!Q38+SHS!Q38</f>
        <v>0</v>
      </c>
      <c r="R38" s="323">
        <f>TVM!R38+KLM!R38+PTA!R38+ALP!R38+KTM!R38+IDK!R38+EKM!R38+TSR!R38+PKD!R38+MLPM!R38+KKD!R38+WYD!R38+KNR!R38+KSD!R38+SHS!R38</f>
        <v>0</v>
      </c>
      <c r="S38" s="323">
        <f>TVM!S38+KLM!S38+PTA!S38+ALP!S38+KTM!S38+IDK!S38+EKM!S38+TSR!S38+PKD!S38+MLPM!S38+KKD!S38+WYD!S38+KNR!S38+KSD!S38+SHS!S38</f>
        <v>0</v>
      </c>
      <c r="T38" s="324">
        <f t="shared" si="0"/>
        <v>202.99</v>
      </c>
      <c r="U38" s="324">
        <f>TVM!U38+KLM!U38+PTA!U38+ALP!U38+KTM!U38+IDK!U38+EKM!U38+TSR!U38+PKD!U38+MLPM!U38+KKD!U38+WYD!U38+KNR!U38+KSD!U38+SHS!U38</f>
        <v>202.99</v>
      </c>
      <c r="V38" s="13" t="s">
        <v>1350</v>
      </c>
      <c r="W38" s="13" t="s">
        <v>1350</v>
      </c>
      <c r="X38" s="332">
        <v>267.88</v>
      </c>
      <c r="Y38" s="334">
        <f t="shared" si="1"/>
        <v>-64.889999999999986</v>
      </c>
      <c r="Z38" s="314"/>
      <c r="AA38" s="314"/>
      <c r="AB38" s="314"/>
    </row>
    <row r="39" spans="1:28" ht="96" customHeight="1">
      <c r="A39" s="712"/>
      <c r="B39" s="707"/>
      <c r="C39" s="707"/>
      <c r="D39" s="320">
        <v>34</v>
      </c>
      <c r="E39" s="320" t="s">
        <v>81</v>
      </c>
      <c r="F39" s="323">
        <f>TVM!F39+KLM!F39+PTA!F39+ALP!F39+KTM!F39+IDK!F39+EKM!F39+TSR!F39+PKD!F39+MLPM!F39+KKD!F39+WYD!F39+KNR!F39+KSD!F39+SHS!F39</f>
        <v>0</v>
      </c>
      <c r="G39" s="323">
        <f>TVM!G39+KLM!G39+PTA!G39+ALP!G39+KTM!G39+IDK!G39+EKM!G39+TSR!G39+PKD!G39+MLPM!G39+KKD!G39+WYD!G39+KNR!G39+KSD!G39+SHS!G39</f>
        <v>0</v>
      </c>
      <c r="H39" s="323">
        <f>TVM!H39+KLM!H39+PTA!H39+ALP!H39+KTM!H39+IDK!H39+EKM!H39+TSR!H39+PKD!H39+MLPM!H39+KKD!H39+WYD!H39+KNR!H39+KSD!H39+SHS!H39</f>
        <v>0</v>
      </c>
      <c r="I39" s="323">
        <f>TVM!I39+KLM!I39+PTA!I39+ALP!I39+KTM!I39+IDK!I39+EKM!I39+TSR!I39+PKD!I39+MLPM!I39+KKD!I39+WYD!I39+KNR!I39+KSD!I39+SHS!I39</f>
        <v>28</v>
      </c>
      <c r="J39" s="323">
        <f>TVM!J39+KLM!J39+PTA!J39+ALP!J39+KTM!J39+IDK!J39+EKM!J39+TSR!J39+PKD!J39+MLPM!J39+KKD!J39+WYD!J39+KNR!J39+KSD!J39+SHS!J39</f>
        <v>0</v>
      </c>
      <c r="K39" s="323">
        <f>TVM!K39+KLM!K39+PTA!K39+ALP!K39+KTM!K39+IDK!K39+EKM!K39+TSR!K39+PKD!K39+MLPM!K39+KKD!K39+WYD!K39+KNR!K39+KSD!K39+SHS!K39</f>
        <v>0</v>
      </c>
      <c r="L39" s="323">
        <f>TVM!L39+KLM!L39+PTA!L39+ALP!L39+KTM!L39+IDK!L39+EKM!L39+TSR!L39+PKD!L39+MLPM!L39+KKD!L39+WYD!L39+KNR!L39+KSD!L39+SHS!L39</f>
        <v>0</v>
      </c>
      <c r="M39" s="323">
        <f>TVM!M39+KLM!M39+PTA!M39+ALP!M39+KTM!M39+IDK!M39+EKM!M39+TSR!M39+PKD!M39+MLPM!M39+KKD!M39+WYD!M39+KNR!M39+KSD!M39+SHS!M39</f>
        <v>0</v>
      </c>
      <c r="N39" s="329">
        <f>TVM!N39+KLM!N39+PTA!N39+ALP!N39+KTM!N39+IDK!N39+EKM!N39+TSR!N39+PKD!N39+MLPM!N39+KKD!N39+WYD!N39+KNR!N39+KSD!N39+SHS!N39</f>
        <v>8.1999999999999993</v>
      </c>
      <c r="O39" s="323">
        <f>TVM!O39+KLM!O39+PTA!O39+ALP!O39+KTM!O39+IDK!O39+EKM!O39+TSR!O39+PKD!O39+MLPM!O39+KKD!O39+WYD!O39+KNR!O39+KSD!O39+SHS!O39</f>
        <v>0</v>
      </c>
      <c r="P39" s="330">
        <f>TVM!P39+KLM!P39+PTA!P39+ALP!P39+KTM!P39+IDK!P39+EKM!P39+TSR!P39+PKD!P39+MLPM!P39+KKD!P39+WYD!P39+KNR!P39+KSD!P39+SHS!P39</f>
        <v>118.22</v>
      </c>
      <c r="Q39" s="323">
        <f>TVM!Q39+KLM!Q39+PTA!Q39+ALP!Q39+KTM!Q39+IDK!Q39+EKM!Q39+TSR!Q39+PKD!Q39+MLPM!Q39+KKD!Q39+WYD!Q39+KNR!Q39+KSD!Q39+SHS!Q39</f>
        <v>0</v>
      </c>
      <c r="R39" s="323">
        <f>TVM!R39+KLM!R39+PTA!R39+ALP!R39+KTM!R39+IDK!R39+EKM!R39+TSR!R39+PKD!R39+MLPM!R39+KKD!R39+WYD!R39+KNR!R39+KSD!R39+SHS!R39</f>
        <v>0</v>
      </c>
      <c r="S39" s="323">
        <f>TVM!S39+KLM!S39+PTA!S39+ALP!S39+KTM!S39+IDK!S39+EKM!S39+TSR!S39+PKD!S39+MLPM!S39+KKD!S39+WYD!S39+KNR!S39+KSD!S39+SHS!S39</f>
        <v>0</v>
      </c>
      <c r="T39" s="324">
        <f t="shared" si="0"/>
        <v>154.42000000000002</v>
      </c>
      <c r="U39" s="324">
        <f>TVM!U39+KLM!U39+PTA!U39+ALP!U39+KTM!U39+IDK!U39+EKM!U39+TSR!U39+PKD!U39+MLPM!U39+KKD!U39+WYD!U39+KNR!U39+KSD!U39+SHS!U39</f>
        <v>154.42000000000002</v>
      </c>
      <c r="V39" s="13" t="s">
        <v>1351</v>
      </c>
      <c r="W39" s="13" t="s">
        <v>1352</v>
      </c>
      <c r="X39" s="332">
        <v>115.21</v>
      </c>
      <c r="Y39" s="334">
        <f t="shared" si="1"/>
        <v>39.210000000000022</v>
      </c>
      <c r="Z39" s="314"/>
      <c r="AA39" s="314"/>
      <c r="AB39" s="314"/>
    </row>
    <row r="40" spans="1:28" ht="375">
      <c r="A40" s="712"/>
      <c r="B40" s="718" t="s">
        <v>82</v>
      </c>
      <c r="C40" s="718" t="s">
        <v>83</v>
      </c>
      <c r="D40" s="320">
        <v>35</v>
      </c>
      <c r="E40" s="320" t="s">
        <v>84</v>
      </c>
      <c r="F40" s="323">
        <f>TVM!F40+KLM!F40+PTA!F40+ALP!F40+KTM!F40+IDK!F40+EKM!F40+TSR!F40+PKD!F40+MLPM!F40+KKD!F40+WYD!F40+KNR!F40+KSD!F40+SHS!F40</f>
        <v>0</v>
      </c>
      <c r="G40" s="323">
        <f>TVM!G40+KLM!G40+PTA!G40+ALP!G40+KTM!G40+IDK!G40+EKM!G40+TSR!G40+PKD!G40+MLPM!G40+KKD!G40+WYD!G40+KNR!G40+KSD!G40+SHS!G40</f>
        <v>0</v>
      </c>
      <c r="H40" s="323">
        <f>TVM!H40+KLM!H40+PTA!H40+ALP!H40+KTM!H40+IDK!H40+EKM!H40+TSR!H40+PKD!H40+MLPM!H40+KKD!H40+WYD!H40+KNR!H40+KSD!H40+SHS!H40</f>
        <v>0</v>
      </c>
      <c r="I40" s="329">
        <f>TVM!I40+KLM!I40+PTA!I40+ALP!I40+KTM!I40+IDK!I40+EKM!I40+TSR!I40+PKD!I40+MLPM!I40+KKD!I40+WYD!I40+KNR!I40+KSD!I40+SHS!I40</f>
        <v>0</v>
      </c>
      <c r="J40" s="323">
        <f>TVM!J40+KLM!J40+PTA!J40+ALP!J40+KTM!J40+IDK!J40+EKM!J40+TSR!J40+PKD!J40+MLPM!J40+KKD!J40+WYD!J40+KNR!J40+KSD!J40+SHS!J40</f>
        <v>0</v>
      </c>
      <c r="K40" s="323">
        <f>TVM!K40+KLM!K40+PTA!K40+ALP!K40+KTM!K40+IDK!K40+EKM!K40+TSR!K40+PKD!K40+MLPM!K40+KKD!K40+WYD!K40+KNR!K40+KSD!K40+SHS!K40</f>
        <v>0</v>
      </c>
      <c r="L40" s="323">
        <f>TVM!L40+KLM!L40+PTA!L40+ALP!L40+KTM!L40+IDK!L40+EKM!L40+TSR!L40+PKD!L40+MLPM!L40+KKD!L40+WYD!L40+KNR!L40+KSD!L40+SHS!L40</f>
        <v>0</v>
      </c>
      <c r="M40" s="323">
        <f>TVM!M40+KLM!M40+PTA!M40+ALP!M40+KTM!M40+IDK!M40+EKM!M40+TSR!M40+PKD!M40+MLPM!M40+KKD!M40+WYD!M40+KNR!M40+KSD!M40+SHS!M40</f>
        <v>0</v>
      </c>
      <c r="N40" s="329">
        <f>TVM!N40+KLM!N40+PTA!N40+ALP!N40+KTM!N40+IDK!N40+EKM!N40+TSR!N40+PKD!N40+MLPM!N40+KKD!N40+WYD!N40+KNR!N40+KSD!N40+SHS!N40</f>
        <v>24.799999999999997</v>
      </c>
      <c r="O40" s="323">
        <f>TVM!O40+KLM!O40+PTA!O40+ALP!O40+KTM!O40+IDK!O40+EKM!O40+TSR!O40+PKD!O40+MLPM!O40+KKD!O40+WYD!O40+KNR!O40+KSD!O40+SHS!O40</f>
        <v>0</v>
      </c>
      <c r="P40" s="330">
        <f>TVM!P40+KLM!P40+PTA!P40+ALP!P40+KTM!P40+IDK!P40+EKM!P40+TSR!P40+PKD!P40+MLPM!P40+KKD!P40+WYD!P40+KNR!P40+KSD!P40+SHS!P40</f>
        <v>62.664000000000001</v>
      </c>
      <c r="Q40" s="330">
        <f>TVM!Q40+KLM!Q40+PTA!Q40+ALP!Q40+KTM!Q40+IDK!Q40+EKM!Q40+TSR!Q40+PKD!Q40+MLPM!Q40+KKD!Q40+WYD!Q40+KNR!Q40+KSD!Q40+SHS!Q40</f>
        <v>3.5</v>
      </c>
      <c r="R40" s="330">
        <f>TVM!R40+KLM!R40+PTA!R40+ALP!R40+KTM!R40+IDK!R40+EKM!R40+TSR!R40+PKD!R40+MLPM!R40+KKD!R40+WYD!R40+KNR!R40+KSD!R40+SHS!R40</f>
        <v>0</v>
      </c>
      <c r="S40" s="323">
        <f>TVM!S40+KLM!S40+PTA!S40+ALP!S40+KTM!S40+IDK!S40+EKM!S40+TSR!S40+PKD!S40+MLPM!S40+KKD!S40+WYD!S40+KNR!S40+KSD!S40+SHS!S40</f>
        <v>0</v>
      </c>
      <c r="T40" s="324">
        <f t="shared" si="0"/>
        <v>90.963999999999999</v>
      </c>
      <c r="U40" s="324">
        <f>TVM!U40+KLM!U40+PTA!U40+ALP!U40+KTM!U40+IDK!U40+EKM!U40+TSR!U40+PKD!U40+MLPM!U40+KKD!U40+WYD!U40+KNR!U40+KSD!U40+SHS!U40</f>
        <v>90.963999999999999</v>
      </c>
      <c r="V40" s="22" t="s">
        <v>1353</v>
      </c>
      <c r="W40" s="22" t="s">
        <v>1354</v>
      </c>
      <c r="X40" s="332">
        <v>90.96</v>
      </c>
      <c r="Y40" s="328">
        <f t="shared" si="1"/>
        <v>4.0000000000048885E-3</v>
      </c>
      <c r="Z40" s="314"/>
      <c r="AA40" s="314"/>
      <c r="AB40" s="314"/>
    </row>
    <row r="41" spans="1:28" ht="145.5" customHeight="1">
      <c r="A41" s="712"/>
      <c r="B41" s="712"/>
      <c r="C41" s="712"/>
      <c r="D41" s="320">
        <v>36</v>
      </c>
      <c r="E41" s="320" t="s">
        <v>85</v>
      </c>
      <c r="F41" s="323">
        <f>TVM!F41+KLM!F41+PTA!F41+ALP!F41+KTM!F41+IDK!F41+EKM!F41+TSR!F41+PKD!F41+MLPM!F41+KKD!F41+WYD!F41+KNR!F41+KSD!F41+SHS!F41</f>
        <v>0</v>
      </c>
      <c r="G41" s="323">
        <f>TVM!G41+KLM!G41+PTA!G41+ALP!G41+KTM!G41+IDK!G41+EKM!G41+TSR!G41+PKD!G41+MLPM!G41+KKD!G41+WYD!G41+KNR!G41+KSD!G41+SHS!G41</f>
        <v>0</v>
      </c>
      <c r="H41" s="323">
        <f>TVM!H41+KLM!H41+PTA!H41+ALP!H41+KTM!H41+IDK!H41+EKM!H41+TSR!H41+PKD!H41+MLPM!H41+KKD!H41+WYD!H41+KNR!H41+KSD!H41+SHS!H41</f>
        <v>0</v>
      </c>
      <c r="I41" s="323">
        <f>TVM!I41+KLM!I41+PTA!I41+ALP!I41+KTM!I41+IDK!I41+EKM!I41+TSR!I41+PKD!I41+MLPM!I41+KKD!I41+WYD!I41+KNR!I41+KSD!I41+SHS!I41</f>
        <v>0</v>
      </c>
      <c r="J41" s="323">
        <f>TVM!J41+KLM!J41+PTA!J41+ALP!J41+KTM!J41+IDK!J41+EKM!J41+TSR!J41+PKD!J41+MLPM!J41+KKD!J41+WYD!J41+KNR!J41+KSD!J41+SHS!J41</f>
        <v>0</v>
      </c>
      <c r="K41" s="329">
        <f>TVM!K41+KLM!K41+PTA!K41+ALP!K41+KTM!K41+IDK!K41+EKM!K41+TSR!K41+PKD!K41+MLPM!K41+KKD!K41+WYD!K41+KNR!K41+KSD!K41+SHS!K41</f>
        <v>182.37</v>
      </c>
      <c r="L41" s="323">
        <f>TVM!L41+KLM!L41+PTA!L41+ALP!L41+KTM!L41+IDK!L41+EKM!L41+TSR!L41+PKD!L41+MLPM!L41+KKD!L41+WYD!L41+KNR!L41+KSD!L41+SHS!L41</f>
        <v>0</v>
      </c>
      <c r="M41" s="323">
        <f>TVM!M41+KLM!M41+PTA!M41+ALP!M41+KTM!M41+IDK!M41+EKM!M41+TSR!M41+PKD!M41+MLPM!M41+KKD!M41+WYD!M41+KNR!M41+KSD!M41+SHS!M41</f>
        <v>0</v>
      </c>
      <c r="N41" s="329">
        <f>TVM!N41+KLM!N41+PTA!N41+ALP!N41+KTM!N41+IDK!N41+EKM!N41+TSR!N41+PKD!N41+MLPM!N41+KKD!N41+WYD!N41+KNR!N41+KSD!N41+SHS!N41</f>
        <v>9.3000000000000007</v>
      </c>
      <c r="O41" s="323">
        <f>TVM!O41+KLM!O41+PTA!O41+ALP!O41+KTM!O41+IDK!O41+EKM!O41+TSR!O41+PKD!O41+MLPM!O41+KKD!O41+WYD!O41+KNR!O41+KSD!O41+SHS!O41</f>
        <v>0</v>
      </c>
      <c r="P41" s="323">
        <f>TVM!P41+KLM!P41+PTA!P41+ALP!P41+KTM!P41+IDK!P41+EKM!P41+TSR!P41+PKD!P41+MLPM!P41+KKD!P41+WYD!P41+KNR!P41+KSD!P41+SHS!P41</f>
        <v>0</v>
      </c>
      <c r="Q41" s="323">
        <f>TVM!Q41+KLM!Q41+PTA!Q41+ALP!Q41+KTM!Q41+IDK!Q41+EKM!Q41+TSR!Q41+PKD!Q41+MLPM!Q41+KKD!Q41+WYD!Q41+KNR!Q41+KSD!Q41+SHS!Q41</f>
        <v>0</v>
      </c>
      <c r="R41" s="323">
        <f>TVM!R41+KLM!R41+PTA!R41+ALP!R41+KTM!R41+IDK!R41+EKM!R41+TSR!R41+PKD!R41+MLPM!R41+KKD!R41+WYD!R41+KNR!R41+KSD!R41+SHS!R41</f>
        <v>0</v>
      </c>
      <c r="S41" s="323">
        <f>TVM!S41+KLM!S41+PTA!S41+ALP!S41+KTM!S41+IDK!S41+EKM!S41+TSR!S41+PKD!S41+MLPM!S41+KKD!S41+WYD!S41+KNR!S41+KSD!S41+SHS!S41</f>
        <v>0</v>
      </c>
      <c r="T41" s="324">
        <f t="shared" si="0"/>
        <v>191.67000000000002</v>
      </c>
      <c r="U41" s="324">
        <f>TVM!U41+KLM!U41+PTA!U41+ALP!U41+KTM!U41+IDK!U41+EKM!U41+TSR!U41+PKD!U41+MLPM!U41+KKD!U41+WYD!U41+KNR!U41+KSD!U41+SHS!U41</f>
        <v>191.67000000000002</v>
      </c>
      <c r="V41" s="22" t="s">
        <v>1355</v>
      </c>
      <c r="W41" s="22" t="s">
        <v>1356</v>
      </c>
      <c r="X41" s="332">
        <v>191.67</v>
      </c>
      <c r="Y41" s="328">
        <f t="shared" si="1"/>
        <v>0</v>
      </c>
      <c r="Z41" s="314"/>
      <c r="AA41" s="314"/>
      <c r="AB41" s="314"/>
    </row>
    <row r="42" spans="1:28" ht="61.5" customHeight="1">
      <c r="A42" s="712"/>
      <c r="B42" s="712"/>
      <c r="C42" s="712"/>
      <c r="D42" s="320">
        <v>37</v>
      </c>
      <c r="E42" s="320" t="s">
        <v>86</v>
      </c>
      <c r="F42" s="323">
        <f>TVM!F42+KLM!F42+PTA!F42+ALP!F42+KTM!F42+IDK!F42+EKM!F42+TSR!F42+PKD!F42+MLPM!F42+KKD!F42+WYD!F42+KNR!F42+KSD!F42+SHS!F42</f>
        <v>0</v>
      </c>
      <c r="G42" s="323">
        <f>TVM!G42+KLM!G42+PTA!G42+ALP!G42+KTM!G42+IDK!G42+EKM!G42+TSR!G42+PKD!G42+MLPM!G42+KKD!G42+WYD!G42+KNR!G42+KSD!G42+SHS!G42</f>
        <v>0</v>
      </c>
      <c r="H42" s="323">
        <f>TVM!H42+KLM!H42+PTA!H42+ALP!H42+KTM!H42+IDK!H42+EKM!H42+TSR!H42+PKD!H42+MLPM!H42+KKD!H42+WYD!H42+KNR!H42+KSD!H42+SHS!H42</f>
        <v>0</v>
      </c>
      <c r="I42" s="323">
        <f>TVM!I42+KLM!I42+PTA!I42+ALP!I42+KTM!I42+IDK!I42+EKM!I42+TSR!I42+PKD!I42+MLPM!I42+KKD!I42+WYD!I42+KNR!I42+KSD!I42+SHS!I42</f>
        <v>0</v>
      </c>
      <c r="J42" s="323">
        <f>TVM!J42+KLM!J42+PTA!J42+ALP!J42+KTM!J42+IDK!J42+EKM!J42+TSR!J42+PKD!J42+MLPM!J42+KKD!J42+WYD!J42+KNR!J42+KSD!J42+SHS!J42</f>
        <v>0</v>
      </c>
      <c r="K42" s="329">
        <f>TVM!K42+KLM!K42+PTA!K42+ALP!K42+KTM!K42+IDK!K42+EKM!K42+TSR!K42+PKD!K42+MLPM!K42+KKD!K42+WYD!K42+KNR!K42+KSD!K42+SHS!K42</f>
        <v>200</v>
      </c>
      <c r="L42" s="323">
        <f>TVM!L42+KLM!L42+PTA!L42+ALP!L42+KTM!L42+IDK!L42+EKM!L42+TSR!L42+PKD!L42+MLPM!L42+KKD!L42+WYD!L42+KNR!L42+KSD!L42+SHS!L42</f>
        <v>0</v>
      </c>
      <c r="M42" s="323">
        <f>TVM!M42+KLM!M42+PTA!M42+ALP!M42+KTM!M42+IDK!M42+EKM!M42+TSR!M42+PKD!M42+MLPM!M42+KKD!M42+WYD!M42+KNR!M42+KSD!M42+SHS!M42</f>
        <v>0</v>
      </c>
      <c r="N42" s="323">
        <f>TVM!N42+KLM!N42+PTA!N42+ALP!N42+KTM!N42+IDK!N42+EKM!N42+TSR!N42+PKD!N42+MLPM!N42+KKD!N42+WYD!N42+KNR!N42+KSD!N42+SHS!N42</f>
        <v>0</v>
      </c>
      <c r="O42" s="323">
        <f>TVM!O42+KLM!O42+PTA!O42+ALP!O42+KTM!O42+IDK!O42+EKM!O42+TSR!O42+PKD!O42+MLPM!O42+KKD!O42+WYD!O42+KNR!O42+KSD!O42+SHS!O42</f>
        <v>0</v>
      </c>
      <c r="P42" s="323">
        <f>TVM!P42+KLM!P42+PTA!P42+ALP!P42+KTM!P42+IDK!P42+EKM!P42+TSR!P42+PKD!P42+MLPM!P42+KKD!P42+WYD!P42+KNR!P42+KSD!P42+SHS!P42</f>
        <v>0</v>
      </c>
      <c r="Q42" s="323">
        <f>TVM!Q42+KLM!Q42+PTA!Q42+ALP!Q42+KTM!Q42+IDK!Q42+EKM!Q42+TSR!Q42+PKD!Q42+MLPM!Q42+KKD!Q42+WYD!Q42+KNR!Q42+KSD!Q42+SHS!Q42</f>
        <v>0</v>
      </c>
      <c r="R42" s="323">
        <f>TVM!R42+KLM!R42+PTA!R42+ALP!R42+KTM!R42+IDK!R42+EKM!R42+TSR!R42+PKD!R42+MLPM!R42+KKD!R42+WYD!R42+KNR!R42+KSD!R42+SHS!R42</f>
        <v>0</v>
      </c>
      <c r="S42" s="323">
        <f>TVM!S42+KLM!S42+PTA!S42+ALP!S42+KTM!S42+IDK!S42+EKM!S42+TSR!S42+PKD!S42+MLPM!S42+KKD!S42+WYD!S42+KNR!S42+KSD!S42+SHS!S42</f>
        <v>0</v>
      </c>
      <c r="T42" s="324">
        <f t="shared" si="0"/>
        <v>200</v>
      </c>
      <c r="U42" s="324">
        <f>TVM!U42+KLM!U42+PTA!U42+ALP!U42+KTM!U42+IDK!U42+EKM!U42+TSR!U42+PKD!U42+MLPM!U42+KKD!U42+WYD!U42+KNR!U42+KSD!U42+SHS!U42</f>
        <v>200</v>
      </c>
      <c r="V42" s="22" t="s">
        <v>1357</v>
      </c>
      <c r="W42" s="22" t="s">
        <v>1358</v>
      </c>
      <c r="X42" s="332">
        <v>200</v>
      </c>
      <c r="Y42" s="328">
        <f t="shared" si="1"/>
        <v>0</v>
      </c>
      <c r="Z42" s="314"/>
      <c r="AA42" s="314"/>
      <c r="AB42" s="314"/>
    </row>
    <row r="43" spans="1:28" ht="259.5" customHeight="1">
      <c r="A43" s="712"/>
      <c r="B43" s="712"/>
      <c r="C43" s="712"/>
      <c r="D43" s="320">
        <v>38</v>
      </c>
      <c r="E43" s="320" t="s">
        <v>87</v>
      </c>
      <c r="F43" s="323">
        <f>TVM!F43+KLM!F43+PTA!F43+ALP!F43+KTM!F43+IDK!F43+EKM!F43+TSR!F43+PKD!F43+MLPM!F43+KKD!F43+WYD!F43+KNR!F43+KSD!F43+SHS!F43</f>
        <v>0</v>
      </c>
      <c r="G43" s="323">
        <f>TVM!G43+KLM!G43+PTA!G43+ALP!G43+KTM!G43+IDK!G43+EKM!G43+TSR!G43+PKD!G43+MLPM!G43+KKD!G43+WYD!G43+KNR!G43+KSD!G43+SHS!G43</f>
        <v>0</v>
      </c>
      <c r="H43" s="323">
        <f>TVM!H43+KLM!H43+PTA!H43+ALP!H43+KTM!H43+IDK!H43+EKM!H43+TSR!H43+PKD!H43+MLPM!H43+KKD!H43+WYD!H43+KNR!H43+KSD!H43+SHS!H43</f>
        <v>0</v>
      </c>
      <c r="I43" s="323">
        <f>TVM!I43+KLM!I43+PTA!I43+ALP!I43+KTM!I43+IDK!I43+EKM!I43+TSR!I43+PKD!I43+MLPM!I43+KKD!I43+WYD!I43+KNR!I43+KSD!I43+SHS!I43</f>
        <v>0</v>
      </c>
      <c r="J43" s="323">
        <f>TVM!J43+KLM!J43+PTA!J43+ALP!J43+KTM!J43+IDK!J43+EKM!J43+TSR!J43+PKD!J43+MLPM!J43+KKD!J43+WYD!J43+KNR!J43+KSD!J43+SHS!J43</f>
        <v>0</v>
      </c>
      <c r="K43" s="323">
        <f>TVM!K43+KLM!K43+PTA!K43+ALP!K43+KTM!K43+IDK!K43+EKM!K43+TSR!K43+PKD!K43+MLPM!K43+KKD!K43+WYD!K43+KNR!K43+KSD!K43+SHS!K43</f>
        <v>0</v>
      </c>
      <c r="L43" s="323">
        <f>TVM!L43+KLM!L43+PTA!L43+ALP!L43+KTM!L43+IDK!L43+EKM!L43+TSR!L43+PKD!L43+MLPM!L43+KKD!L43+WYD!L43+KNR!L43+KSD!L43+SHS!L43</f>
        <v>0</v>
      </c>
      <c r="M43" s="323">
        <f>TVM!M43+KLM!M43+PTA!M43+ALP!M43+KTM!M43+IDK!M43+EKM!M43+TSR!M43+PKD!M43+MLPM!M43+KKD!M43+WYD!M43+KNR!M43+KSD!M43+SHS!M43</f>
        <v>0</v>
      </c>
      <c r="N43" s="343">
        <f>TVM!N43+KLM!N43+PTA!N43+ALP!N43+KTM!N43+IDK!N43+EKM!N43+TSR!N43+PKD!N43+MLPM!N43+KKD!N43+WYD!N43+KNR!N43+KSD!N43+SHS!N43</f>
        <v>101.5</v>
      </c>
      <c r="O43" s="330">
        <f>TVM!O43+KLM!O43+PTA!O43+ALP!O43+KTM!O43+IDK!O43+EKM!O43+TSR!O43+PKD!O43+MLPM!O43+KKD!O43+WYD!O43+KNR!O43+KSD!O43+SHS!O43</f>
        <v>3.49</v>
      </c>
      <c r="P43" s="330">
        <f>TVM!P43+KLM!P43+PTA!P43+ALP!P43+KTM!P43+IDK!P43+EKM!P43+TSR!P43+PKD!P43+MLPM!P43+KKD!P43+WYD!P43+KNR!P43+KSD!P43+SHS!P43</f>
        <v>159.39999999999998</v>
      </c>
      <c r="Q43" s="330">
        <f>TVM!Q43+KLM!Q43+PTA!Q43+ALP!Q43+KTM!Q43+IDK!Q43+EKM!Q43+TSR!Q43+PKD!Q43+MLPM!Q43+KKD!Q43+WYD!Q43+KNR!Q43+KSD!Q43+SHS!Q43</f>
        <v>20.3</v>
      </c>
      <c r="R43" s="330">
        <f>TVM!R43+KLM!R43+PTA!R43+ALP!R43+KTM!R43+IDK!R43+EKM!R43+TSR!R43+PKD!R43+MLPM!R43+KKD!R43+WYD!R43+KNR!R43+KSD!R43+SHS!R43</f>
        <v>0</v>
      </c>
      <c r="S43" s="323">
        <f>TVM!S43+KLM!S43+PTA!S43+ALP!S43+KTM!S43+IDK!S43+EKM!S43+TSR!S43+PKD!S43+MLPM!S43+KKD!S43+WYD!S43+KNR!S43+KSD!S43+SHS!S43</f>
        <v>0</v>
      </c>
      <c r="T43" s="324">
        <f t="shared" si="0"/>
        <v>284.69</v>
      </c>
      <c r="U43" s="324">
        <f>TVM!U43+KLM!U43+PTA!U43+ALP!U43+KTM!U43+IDK!U43+EKM!U43+TSR!U43+PKD!U43+MLPM!U43+KKD!U43+WYD!U43+KNR!U43+KSD!U43+SHS!U43</f>
        <v>284.69</v>
      </c>
      <c r="V43" s="22" t="s">
        <v>1359</v>
      </c>
      <c r="W43" s="22" t="s">
        <v>1360</v>
      </c>
      <c r="X43" s="332">
        <v>284.69</v>
      </c>
      <c r="Y43" s="328">
        <f t="shared" si="1"/>
        <v>0</v>
      </c>
      <c r="Z43" s="314"/>
      <c r="AA43" s="314"/>
      <c r="AB43" s="314"/>
    </row>
    <row r="44" spans="1:28" ht="330">
      <c r="A44" s="712"/>
      <c r="B44" s="712"/>
      <c r="C44" s="712"/>
      <c r="D44" s="320">
        <v>39</v>
      </c>
      <c r="E44" s="320" t="s">
        <v>88</v>
      </c>
      <c r="F44" s="323">
        <f>TVM!F44+KLM!F44+PTA!F44+ALP!F44+KTM!F44+IDK!F44+EKM!F44+TSR!F44+PKD!F44+MLPM!F44+KKD!F44+WYD!F44+KNR!F44+KSD!F44+SHS!F44</f>
        <v>0</v>
      </c>
      <c r="G44" s="323">
        <f>TVM!G44+KLM!G44+PTA!G44+ALP!G44+KTM!G44+IDK!G44+EKM!G44+TSR!G44+PKD!G44+MLPM!G44+KKD!G44+WYD!G44+KNR!G44+KSD!G44+SHS!G44</f>
        <v>0</v>
      </c>
      <c r="H44" s="323">
        <f>TVM!H44+KLM!H44+PTA!H44+ALP!H44+KTM!H44+IDK!H44+EKM!H44+TSR!H44+PKD!H44+MLPM!H44+KKD!H44+WYD!H44+KNR!H44+KSD!H44+SHS!H44</f>
        <v>0</v>
      </c>
      <c r="I44" s="323">
        <f>TVM!I44+KLM!I44+PTA!I44+ALP!I44+KTM!I44+IDK!I44+EKM!I44+TSR!I44+PKD!I44+MLPM!I44+KKD!I44+WYD!I44+KNR!I44+KSD!I44+SHS!I44</f>
        <v>0</v>
      </c>
      <c r="J44" s="323">
        <f>TVM!J44+KLM!J44+PTA!J44+ALP!J44+KTM!J44+IDK!J44+EKM!J44+TSR!J44+PKD!J44+MLPM!J44+KKD!J44+WYD!J44+KNR!J44+KSD!J44+SHS!J44</f>
        <v>0</v>
      </c>
      <c r="K44" s="323">
        <f>TVM!K44+KLM!K44+PTA!K44+ALP!K44+KTM!K44+IDK!K44+EKM!K44+TSR!K44+PKD!K44+MLPM!K44+KKD!K44+WYD!K44+KNR!K44+KSD!K44+SHS!K44</f>
        <v>0</v>
      </c>
      <c r="L44" s="323">
        <f>TVM!L44+KLM!L44+PTA!L44+ALP!L44+KTM!L44+IDK!L44+EKM!L44+TSR!L44+PKD!L44+MLPM!L44+KKD!L44+WYD!L44+KNR!L44+KSD!L44+SHS!L44</f>
        <v>0</v>
      </c>
      <c r="M44" s="323">
        <f>TVM!M44+KLM!M44+PTA!M44+ALP!M44+KTM!M44+IDK!M44+EKM!M44+TSR!M44+PKD!M44+MLPM!M44+KKD!M44+WYD!M44+KNR!M44+KSD!M44+SHS!M44</f>
        <v>0</v>
      </c>
      <c r="N44" s="329">
        <f>TVM!N44+KLM!N44+PTA!N44+ALP!N44+KTM!N44+IDK!N44+EKM!N44+TSR!N44+PKD!N44+MLPM!N44+KKD!N44+WYD!N44+KNR!N44+KSD!N44+SHS!N44</f>
        <v>150</v>
      </c>
      <c r="O44" s="323">
        <f>TVM!O44+KLM!O44+PTA!O44+ALP!O44+KTM!O44+IDK!O44+EKM!O44+TSR!O44+PKD!O44+MLPM!O44+KKD!O44+WYD!O44+KNR!O44+KSD!O44+SHS!O44</f>
        <v>0</v>
      </c>
      <c r="P44" s="330">
        <f>TVM!P44+KLM!P44+PTA!P44+ALP!P44+KTM!P44+IDK!P44+EKM!P44+TSR!P44+PKD!P44+MLPM!P44+KKD!P44+WYD!P44+KNR!P44+KSD!P44+SHS!P44</f>
        <v>116.16</v>
      </c>
      <c r="Q44" s="330">
        <f>TVM!Q44+KLM!Q44+PTA!Q44+ALP!Q44+KTM!Q44+IDK!Q44+EKM!Q44+TSR!Q44+PKD!Q44+MLPM!Q44+KKD!Q44+WYD!Q44+KNR!Q44+KSD!Q44+SHS!Q44</f>
        <v>51.22</v>
      </c>
      <c r="R44" s="323">
        <f>TVM!R44+KLM!R44+PTA!R44+ALP!R44+KTM!R44+IDK!R44+EKM!R44+TSR!R44+PKD!R44+MLPM!R44+KKD!R44+WYD!R44+KNR!R44+KSD!R44+SHS!R44</f>
        <v>0</v>
      </c>
      <c r="S44" s="323">
        <f>TVM!S44+KLM!S44+PTA!S44+ALP!S44+KTM!S44+IDK!S44+EKM!S44+TSR!S44+PKD!S44+MLPM!S44+KKD!S44+WYD!S44+KNR!S44+KSD!S44+SHS!S44</f>
        <v>0</v>
      </c>
      <c r="T44" s="324">
        <f t="shared" si="0"/>
        <v>317.38</v>
      </c>
      <c r="U44" s="324">
        <f>TVM!U44+KLM!U44+PTA!U44+ALP!U44+KTM!U44+IDK!U44+EKM!U44+TSR!U44+PKD!U44+MLPM!U44+KKD!U44+WYD!U44+KNR!U44+KSD!U44+SHS!U44</f>
        <v>317.38</v>
      </c>
      <c r="V44" s="22" t="s">
        <v>1361</v>
      </c>
      <c r="W44" s="22" t="s">
        <v>1362</v>
      </c>
      <c r="X44" s="332">
        <v>311.77999999999997</v>
      </c>
      <c r="Y44" s="328">
        <f t="shared" si="1"/>
        <v>5.6000000000000227</v>
      </c>
      <c r="Z44" s="314"/>
      <c r="AA44" s="314"/>
      <c r="AB44" s="314"/>
    </row>
    <row r="45" spans="1:28" ht="351.75" customHeight="1">
      <c r="A45" s="712"/>
      <c r="B45" s="712"/>
      <c r="C45" s="712"/>
      <c r="D45" s="320">
        <v>40</v>
      </c>
      <c r="E45" s="320" t="s">
        <v>89</v>
      </c>
      <c r="F45" s="323">
        <f>TVM!F45+KLM!F45+PTA!F45+ALP!F45+KTM!F45+IDK!F45+EKM!F45+TSR!F45+PKD!F45+MLPM!F45+KKD!F45+WYD!F45+KNR!F45+KSD!F45+SHS!F45</f>
        <v>0</v>
      </c>
      <c r="G45" s="323">
        <f>TVM!G45+KLM!G45+PTA!G45+ALP!G45+KTM!G45+IDK!G45+EKM!G45+TSR!G45+PKD!G45+MLPM!G45+KKD!G45+WYD!G45+KNR!G45+KSD!G45+SHS!G45</f>
        <v>0</v>
      </c>
      <c r="H45" s="323">
        <f>TVM!H45+KLM!H45+PTA!H45+ALP!H45+KTM!H45+IDK!H45+EKM!H45+TSR!H45+PKD!H45+MLPM!H45+KKD!H45+WYD!H45+KNR!H45+KSD!H45+SHS!H45</f>
        <v>0</v>
      </c>
      <c r="I45" s="323">
        <f>TVM!I45+KLM!I45+PTA!I45+ALP!I45+KTM!I45+IDK!I45+EKM!I45+TSR!I45+PKD!I45+MLPM!I45+KKD!I45+WYD!I45+KNR!I45+KSD!I45+SHS!I45</f>
        <v>0</v>
      </c>
      <c r="J45" s="323">
        <f>TVM!J45+KLM!J45+PTA!J45+ALP!J45+KTM!J45+IDK!J45+EKM!J45+TSR!J45+PKD!J45+MLPM!J45+KKD!J45+WYD!J45+KNR!J45+KSD!J45+SHS!J45</f>
        <v>0</v>
      </c>
      <c r="K45" s="323">
        <f>TVM!K45+KLM!K45+PTA!K45+ALP!K45+KTM!K45+IDK!K45+EKM!K45+TSR!K45+PKD!K45+MLPM!K45+KKD!K45+WYD!K45+KNR!K45+KSD!K45+SHS!K45</f>
        <v>0</v>
      </c>
      <c r="L45" s="323">
        <f>TVM!L45+KLM!L45+PTA!L45+ALP!L45+KTM!L45+IDK!L45+EKM!L45+TSR!L45+PKD!L45+MLPM!L45+KKD!L45+WYD!L45+KNR!L45+KSD!L45+SHS!L45</f>
        <v>0</v>
      </c>
      <c r="M45" s="323">
        <f>TVM!M45+KLM!M45+PTA!M45+ALP!M45+KTM!M45+IDK!M45+EKM!M45+TSR!M45+PKD!M45+MLPM!M45+KKD!M45+WYD!M45+KNR!M45+KSD!M45+SHS!M45</f>
        <v>0</v>
      </c>
      <c r="N45" s="329">
        <f>TVM!N45+KLM!N45+PTA!N45+ALP!N45+KTM!N45+IDK!N45+EKM!N45+TSR!N45+PKD!N45+MLPM!N45+KKD!N45+WYD!N45+KNR!N45+KSD!N45+SHS!N45</f>
        <v>1.5301999999999998</v>
      </c>
      <c r="O45" s="323">
        <f>TVM!O45+KLM!O45+PTA!O45+ALP!O45+KTM!O45+IDK!O45+EKM!O45+TSR!O45+PKD!O45+MLPM!O45+KKD!O45+WYD!O45+KNR!O45+KSD!O45+SHS!O45</f>
        <v>0</v>
      </c>
      <c r="P45" s="330">
        <f>TVM!P45+KLM!P45+PTA!P45+ALP!P45+KTM!P45+IDK!P45+EKM!P45+TSR!P45+PKD!P45+MLPM!P45+KKD!P45+WYD!P45+KNR!P45+KSD!P45+SHS!P45</f>
        <v>32.1</v>
      </c>
      <c r="Q45" s="329">
        <f>TVM!Q45+KLM!Q45+PTA!Q45+ALP!Q45+KTM!Q45+IDK!Q45+EKM!Q45+TSR!Q45+PKD!Q45+MLPM!Q45+KKD!Q45+WYD!Q45+KNR!Q45+KSD!Q45+SHS!Q45</f>
        <v>56.655000000000001</v>
      </c>
      <c r="R45" s="330">
        <f>TVM!R45+KLM!R45+PTA!R45+ALP!R45+KTM!R45+IDK!R45+EKM!R45+TSR!R45+PKD!R45+MLPM!R45+KKD!R45+WYD!R45+KNR!R45+KSD!R45+SHS!R45</f>
        <v>0</v>
      </c>
      <c r="S45" s="323">
        <f>TVM!S45+KLM!S45+PTA!S45+ALP!S45+KTM!S45+IDK!S45+EKM!S45+TSR!S45+PKD!S45+MLPM!S45+KKD!S45+WYD!S45+KNR!S45+KSD!S45+SHS!S45</f>
        <v>0</v>
      </c>
      <c r="T45" s="324">
        <f t="shared" si="0"/>
        <v>90.285200000000003</v>
      </c>
      <c r="U45" s="324">
        <f>TVM!U45+KLM!U45+PTA!U45+ALP!U45+KTM!U45+IDK!U45+EKM!U45+TSR!U45+PKD!U45+MLPM!U45+KKD!U45+WYD!U45+KNR!U45+KSD!U45+SHS!U45</f>
        <v>75.290000000000006</v>
      </c>
      <c r="V45" s="352" t="s">
        <v>1363</v>
      </c>
      <c r="W45" s="352" t="s">
        <v>1364</v>
      </c>
      <c r="X45" s="332">
        <v>90.46</v>
      </c>
      <c r="Y45" s="328">
        <f t="shared" si="1"/>
        <v>-0.17479999999999052</v>
      </c>
      <c r="Z45" s="322" t="s">
        <v>1347</v>
      </c>
      <c r="AA45" s="314"/>
      <c r="AB45" s="314"/>
    </row>
    <row r="46" spans="1:28" ht="60">
      <c r="A46" s="712"/>
      <c r="B46" s="707"/>
      <c r="C46" s="707"/>
      <c r="D46" s="320">
        <v>41</v>
      </c>
      <c r="E46" s="320" t="s">
        <v>53</v>
      </c>
      <c r="F46" s="323">
        <f>TVM!F46+KLM!F46+PTA!F46+ALP!F46+KTM!F46+IDK!F46+EKM!F46+TSR!F46+PKD!F46+MLPM!F46+KKD!F46+WYD!F46+KNR!F46+KSD!F46+SHS!F46</f>
        <v>0</v>
      </c>
      <c r="G46" s="323">
        <f>TVM!G46+KLM!G46+PTA!G46+ALP!G46+KTM!G46+IDK!G46+EKM!G46+TSR!G46+PKD!G46+MLPM!G46+KKD!G46+WYD!G46+KNR!G46+KSD!G46+SHS!G46</f>
        <v>0</v>
      </c>
      <c r="H46" s="323">
        <f>TVM!H46+KLM!H46+PTA!H46+ALP!H46+KTM!H46+IDK!H46+EKM!H46+TSR!H46+PKD!H46+MLPM!H46+KKD!H46+WYD!H46+KNR!H46+KSD!H46+SHS!H46</f>
        <v>0</v>
      </c>
      <c r="I46" s="323">
        <f>TVM!I46+KLM!I46+PTA!I46+ALP!I46+KTM!I46+IDK!I46+EKM!I46+TSR!I46+PKD!I46+MLPM!I46+KKD!I46+WYD!I46+KNR!I46+KSD!I46+SHS!I46</f>
        <v>0</v>
      </c>
      <c r="J46" s="323">
        <f>TVM!J46+KLM!J46+PTA!J46+ALP!J46+KTM!J46+IDK!J46+EKM!J46+TSR!J46+PKD!J46+MLPM!J46+KKD!J46+WYD!J46+KNR!J46+KSD!J46+SHS!J46</f>
        <v>0</v>
      </c>
      <c r="K46" s="323">
        <f>TVM!K46+KLM!K46+PTA!K46+ALP!K46+KTM!K46+IDK!K46+EKM!K46+TSR!K46+PKD!K46+MLPM!K46+KKD!K46+WYD!K46+KNR!K46+KSD!K46+SHS!K46</f>
        <v>0</v>
      </c>
      <c r="L46" s="323">
        <f>TVM!L46+KLM!L46+PTA!L46+ALP!L46+KTM!L46+IDK!L46+EKM!L46+TSR!L46+PKD!L46+MLPM!L46+KKD!L46+WYD!L46+KNR!L46+KSD!L46+SHS!L46</f>
        <v>0</v>
      </c>
      <c r="M46" s="323">
        <f>TVM!M46+KLM!M46+PTA!M46+ALP!M46+KTM!M46+IDK!M46+EKM!M46+TSR!M46+PKD!M46+MLPM!M46+KKD!M46+WYD!M46+KNR!M46+KSD!M46+SHS!M46</f>
        <v>0</v>
      </c>
      <c r="N46" s="323">
        <f>TVM!N46+KLM!N46+PTA!N46+ALP!N46+KTM!N46+IDK!N46+EKM!N46+TSR!N46+PKD!N46+MLPM!N46+KKD!N46+WYD!N46+KNR!N46+KSD!N46+SHS!N46</f>
        <v>0</v>
      </c>
      <c r="O46" s="323">
        <f>TVM!O46+KLM!O46+PTA!O46+ALP!O46+KTM!O46+IDK!O46+EKM!O46+TSR!O46+PKD!O46+MLPM!O46+KKD!O46+WYD!O46+KNR!O46+KSD!O46+SHS!O46</f>
        <v>0</v>
      </c>
      <c r="P46" s="323">
        <f>TVM!P46+KLM!P46+PTA!P46+ALP!P46+KTM!P46+IDK!P46+EKM!P46+TSR!P46+PKD!P46+MLPM!P46+KKD!P46+WYD!P46+KNR!P46+KSD!P46+SHS!P46</f>
        <v>2.5</v>
      </c>
      <c r="Q46" s="323">
        <f>TVM!Q46+KLM!Q46+PTA!Q46+ALP!Q46+KTM!Q46+IDK!Q46+EKM!Q46+TSR!Q46+PKD!Q46+MLPM!Q46+KKD!Q46+WYD!Q46+KNR!Q46+KSD!Q46+SHS!Q46</f>
        <v>0</v>
      </c>
      <c r="R46" s="323">
        <f>TVM!R46+KLM!R46+PTA!R46+ALP!R46+KTM!R46+IDK!R46+EKM!R46+TSR!R46+PKD!R46+MLPM!R46+KKD!R46+WYD!R46+KNR!R46+KSD!R46+SHS!R46</f>
        <v>0</v>
      </c>
      <c r="S46" s="323">
        <f>TVM!S46+KLM!S46+PTA!S46+ALP!S46+KTM!S46+IDK!S46+EKM!S46+TSR!S46+PKD!S46+MLPM!S46+KKD!S46+WYD!S46+KNR!S46+KSD!S46+SHS!S46</f>
        <v>0</v>
      </c>
      <c r="T46" s="324">
        <f t="shared" si="0"/>
        <v>2.5</v>
      </c>
      <c r="U46" s="324">
        <f>TVM!U46+KLM!U46+PTA!U46+ALP!U46+KTM!U46+IDK!U46+EKM!U46+TSR!U46+PKD!U46+MLPM!U46+KKD!U46+WYD!U46+KNR!U46+KSD!U46+SHS!U46</f>
        <v>2.5</v>
      </c>
      <c r="V46" s="22" t="s">
        <v>1365</v>
      </c>
      <c r="W46" s="22" t="s">
        <v>1366</v>
      </c>
      <c r="X46" s="332">
        <v>2.5</v>
      </c>
      <c r="Y46" s="328">
        <f t="shared" si="1"/>
        <v>0</v>
      </c>
      <c r="Z46" s="314"/>
      <c r="AA46" s="314"/>
      <c r="AB46" s="314"/>
    </row>
    <row r="47" spans="1:28" ht="134.25" customHeight="1">
      <c r="A47" s="712"/>
      <c r="B47" s="718" t="s">
        <v>90</v>
      </c>
      <c r="C47" s="718" t="s">
        <v>91</v>
      </c>
      <c r="D47" s="320">
        <v>42</v>
      </c>
      <c r="E47" s="320" t="s">
        <v>92</v>
      </c>
      <c r="F47" s="330">
        <f>TVM!F47+KLM!F47+PTA!F47+ALP!F47+KTM!F47+IDK!F47+EKM!F47+TSR!F47+PKD!F47+MLPM!F47+KKD!F47+WYD!F47+KNR!F47+KSD!F47+SHS!F47</f>
        <v>114.04100000000001</v>
      </c>
      <c r="G47" s="323">
        <f>TVM!G47+KLM!G47+PTA!G47+ALP!G47+KTM!G47+IDK!G47+EKM!G47+TSR!G47+PKD!G47+MLPM!G47+KKD!G47+WYD!G47+KNR!G47+KSD!G47+SHS!G47</f>
        <v>0</v>
      </c>
      <c r="H47" s="323">
        <f>TVM!H47+KLM!H47+PTA!H47+ALP!H47+KTM!H47+IDK!H47+EKM!H47+TSR!H47+PKD!H47+MLPM!H47+KKD!H47+WYD!H47+KNR!H47+KSD!H47+SHS!H47</f>
        <v>0</v>
      </c>
      <c r="I47" s="329">
        <f>TVM!I47+KLM!I47+PTA!I47+ALP!I47+KTM!I47+IDK!I47+EKM!I47+TSR!I47+PKD!I47+MLPM!I47+KKD!I47+WYD!I47+KNR!I47+KSD!I47+SHS!I47</f>
        <v>0</v>
      </c>
      <c r="J47" s="323">
        <f>TVM!J47+KLM!J47+PTA!J47+ALP!J47+KTM!J47+IDK!J47+EKM!J47+TSR!J47+PKD!J47+MLPM!J47+KKD!J47+WYD!J47+KNR!J47+KSD!J47+SHS!J47</f>
        <v>0</v>
      </c>
      <c r="K47" s="323">
        <f>TVM!K47+KLM!K47+PTA!K47+ALP!K47+KTM!K47+IDK!K47+EKM!K47+TSR!K47+PKD!K47+MLPM!K47+KKD!K47+WYD!K47+KNR!K47+KSD!K47+SHS!K47</f>
        <v>0</v>
      </c>
      <c r="L47" s="323">
        <f>TVM!L47+KLM!L47+PTA!L47+ALP!L47+KTM!L47+IDK!L47+EKM!L47+TSR!L47+PKD!L47+MLPM!L47+KKD!L47+WYD!L47+KNR!L47+KSD!L47+SHS!L47</f>
        <v>0</v>
      </c>
      <c r="M47" s="323">
        <f>TVM!M47+KLM!M47+PTA!M47+ALP!M47+KTM!M47+IDK!M47+EKM!M47+TSR!M47+PKD!M47+MLPM!M47+KKD!M47+WYD!M47+KNR!M47+KSD!M47+SHS!M47</f>
        <v>0</v>
      </c>
      <c r="N47" s="329">
        <f>TVM!N47+KLM!N47+PTA!N47+ALP!N47+KTM!N47+IDK!N47+EKM!N47+TSR!N47+PKD!N47+MLPM!N47+KKD!N47+WYD!N47+KNR!N47+KSD!N47+SHS!N47</f>
        <v>15.399999999999997</v>
      </c>
      <c r="O47" s="323">
        <f>TVM!O47+KLM!O47+PTA!O47+ALP!O47+KTM!O47+IDK!O47+EKM!O47+TSR!O47+PKD!O47+MLPM!O47+KKD!O47+WYD!O47+KNR!O47+KSD!O47+SHS!O47</f>
        <v>0</v>
      </c>
      <c r="P47" s="330">
        <f>TVM!P47+KLM!P47+PTA!P47+ALP!P47+KTM!P47+IDK!P47+EKM!P47+TSR!P47+PKD!P47+MLPM!P47+KKD!P47+WYD!P47+KNR!P47+KSD!P47+SHS!P47</f>
        <v>0</v>
      </c>
      <c r="Q47" s="323">
        <f>TVM!Q47+KLM!Q47+PTA!Q47+ALP!Q47+KTM!Q47+IDK!Q47+EKM!Q47+TSR!Q47+PKD!Q47+MLPM!Q47+KKD!Q47+WYD!Q47+KNR!Q47+KSD!Q47+SHS!Q47</f>
        <v>0</v>
      </c>
      <c r="R47" s="323">
        <f>TVM!R47+KLM!R47+PTA!R47+ALP!R47+KTM!R47+IDK!R47+EKM!R47+TSR!R47+PKD!R47+MLPM!R47+KKD!R47+WYD!R47+KNR!R47+KSD!R47+SHS!R47</f>
        <v>0</v>
      </c>
      <c r="S47" s="323">
        <f>TVM!S47+KLM!S47+PTA!S47+ALP!S47+KTM!S47+IDK!S47+EKM!S47+TSR!S47+PKD!S47+MLPM!S47+KKD!S47+WYD!S47+KNR!S47+KSD!S47+SHS!S47</f>
        <v>0</v>
      </c>
      <c r="T47" s="324">
        <f t="shared" si="0"/>
        <v>129.441</v>
      </c>
      <c r="U47" s="324">
        <f>TVM!U47+KLM!U47+PTA!U47+ALP!U47+KTM!U47+IDK!U47+EKM!U47+TSR!U47+PKD!U47+MLPM!U47+KKD!U47+WYD!U47+KNR!U47+KSD!U47+SHS!U47</f>
        <v>201.441</v>
      </c>
      <c r="V47" s="13" t="s">
        <v>1367</v>
      </c>
      <c r="W47" s="13" t="s">
        <v>1368</v>
      </c>
      <c r="X47" s="332">
        <v>196.77</v>
      </c>
      <c r="Y47" s="334">
        <f t="shared" si="1"/>
        <v>-67.329000000000008</v>
      </c>
      <c r="Z47" s="314"/>
      <c r="AA47" s="314"/>
      <c r="AB47" s="314"/>
    </row>
    <row r="48" spans="1:28" ht="51.75" customHeight="1">
      <c r="A48" s="712"/>
      <c r="B48" s="712"/>
      <c r="C48" s="712"/>
      <c r="D48" s="320">
        <v>43</v>
      </c>
      <c r="E48" s="320" t="s">
        <v>93</v>
      </c>
      <c r="F48" s="330">
        <f>TVM!F48+KLM!F48+PTA!F48+ALP!F48+KTM!F48+IDK!F48+EKM!F48+TSR!F48+PKD!F48+MLPM!F48+KKD!F48+WYD!F48+KNR!F48+KSD!F48+SHS!F48</f>
        <v>10.279499999999999</v>
      </c>
      <c r="G48" s="323">
        <f>TVM!G48+KLM!G48+PTA!G48+ALP!G48+KTM!G48+IDK!G48+EKM!G48+TSR!G48+PKD!G48+MLPM!G48+KKD!G48+WYD!G48+KNR!G48+KSD!G48+SHS!G48</f>
        <v>0</v>
      </c>
      <c r="H48" s="323">
        <f>TVM!H48+KLM!H48+PTA!H48+ALP!H48+KTM!H48+IDK!H48+EKM!H48+TSR!H48+PKD!H48+MLPM!H48+KKD!H48+WYD!H48+KNR!H48+KSD!H48+SHS!H48</f>
        <v>0</v>
      </c>
      <c r="I48" s="329">
        <f>TVM!I48+KLM!I48+PTA!I48+ALP!I48+KTM!I48+IDK!I48+EKM!I48+TSR!I48+PKD!I48+MLPM!I48+KKD!I48+WYD!I48+KNR!I48+KSD!I48+SHS!I48</f>
        <v>0</v>
      </c>
      <c r="J48" s="323">
        <f>TVM!J48+KLM!J48+PTA!J48+ALP!J48+KTM!J48+IDK!J48+EKM!J48+TSR!J48+PKD!J48+MLPM!J48+KKD!J48+WYD!J48+KNR!J48+KSD!J48+SHS!J48</f>
        <v>0</v>
      </c>
      <c r="K48" s="323">
        <f>TVM!K48+KLM!K48+PTA!K48+ALP!K48+KTM!K48+IDK!K48+EKM!K48+TSR!K48+PKD!K48+MLPM!K48+KKD!K48+WYD!K48+KNR!K48+KSD!K48+SHS!K48</f>
        <v>0</v>
      </c>
      <c r="L48" s="323">
        <f>TVM!L48+KLM!L48+PTA!L48+ALP!L48+KTM!L48+IDK!L48+EKM!L48+TSR!L48+PKD!L48+MLPM!L48+KKD!L48+WYD!L48+KNR!L48+KSD!L48+SHS!L48</f>
        <v>0</v>
      </c>
      <c r="M48" s="323">
        <f>TVM!M48+KLM!M48+PTA!M48+ALP!M48+KTM!M48+IDK!M48+EKM!M48+TSR!M48+PKD!M48+MLPM!M48+KKD!M48+WYD!M48+KNR!M48+KSD!M48+SHS!M48</f>
        <v>0</v>
      </c>
      <c r="N48" s="329">
        <f>TVM!N48+KLM!N48+PTA!N48+ALP!N48+KTM!N48+IDK!N48+EKM!N48+TSR!N48+PKD!N48+MLPM!N48+KKD!N48+WYD!N48+KNR!N48+KSD!N48+SHS!N48</f>
        <v>4.8299999999999983</v>
      </c>
      <c r="O48" s="323">
        <f>TVM!O48+KLM!O48+PTA!O48+ALP!O48+KTM!O48+IDK!O48+EKM!O48+TSR!O48+PKD!O48+MLPM!O48+KKD!O48+WYD!O48+KNR!O48+KSD!O48+SHS!O48</f>
        <v>0</v>
      </c>
      <c r="P48" s="330">
        <f>TVM!P48+KLM!P48+PTA!P48+ALP!P48+KTM!P48+IDK!P48+EKM!P48+TSR!P48+PKD!P48+MLPM!P48+KKD!P48+WYD!P48+KNR!P48+KSD!P48+SHS!P48</f>
        <v>0</v>
      </c>
      <c r="Q48" s="323">
        <f>TVM!Q48+KLM!Q48+PTA!Q48+ALP!Q48+KTM!Q48+IDK!Q48+EKM!Q48+TSR!Q48+PKD!Q48+MLPM!Q48+KKD!Q48+WYD!Q48+KNR!Q48+KSD!Q48+SHS!Q48</f>
        <v>0</v>
      </c>
      <c r="R48" s="323">
        <f>TVM!R48+KLM!R48+PTA!R48+ALP!R48+KTM!R48+IDK!R48+EKM!R48+TSR!R48+PKD!R48+MLPM!R48+KKD!R48+WYD!R48+KNR!R48+KSD!R48+SHS!R48</f>
        <v>0</v>
      </c>
      <c r="S48" s="323">
        <f>TVM!S48+KLM!S48+PTA!S48+ALP!S48+KTM!S48+IDK!S48+EKM!S48+TSR!S48+PKD!S48+MLPM!S48+KKD!S48+WYD!S48+KNR!S48+KSD!S48+SHS!S48</f>
        <v>0</v>
      </c>
      <c r="T48" s="324">
        <f t="shared" si="0"/>
        <v>15.109499999999997</v>
      </c>
      <c r="U48" s="324">
        <f>TVM!U48+KLM!U48+PTA!U48+ALP!U48+KTM!U48+IDK!U48+EKM!U48+TSR!U48+PKD!U48+MLPM!U48+KKD!U48+WYD!U48+KNR!U48+KSD!U48+SHS!U48</f>
        <v>15.109500000000002</v>
      </c>
      <c r="V48" s="13" t="s">
        <v>1369</v>
      </c>
      <c r="W48" s="13" t="s">
        <v>1369</v>
      </c>
      <c r="X48" s="332">
        <v>37.729999999999997</v>
      </c>
      <c r="Y48" s="328">
        <f t="shared" si="1"/>
        <v>-22.6205</v>
      </c>
      <c r="Z48" s="314"/>
      <c r="AA48" s="314"/>
      <c r="AB48" s="314"/>
    </row>
    <row r="49" spans="1:28" ht="102" customHeight="1">
      <c r="A49" s="712"/>
      <c r="B49" s="712"/>
      <c r="C49" s="712"/>
      <c r="D49" s="320">
        <v>44</v>
      </c>
      <c r="E49" s="320" t="s">
        <v>95</v>
      </c>
      <c r="F49" s="330">
        <f>TVM!F49+KLM!F49+PTA!F49+ALP!F49+KTM!F49+IDK!F49+EKM!F49+TSR!F49+PKD!F49+MLPM!F49+KKD!F49+WYD!F49+KNR!F49+KSD!F49+SHS!F49</f>
        <v>10.316599999999999</v>
      </c>
      <c r="G49" s="323">
        <f>TVM!G49+KLM!G49+PTA!G49+ALP!G49+KTM!G49+IDK!G49+EKM!G49+TSR!G49+PKD!G49+MLPM!G49+KKD!G49+WYD!G49+KNR!G49+KSD!G49+SHS!G49</f>
        <v>0</v>
      </c>
      <c r="H49" s="323">
        <f>TVM!H49+KLM!H49+PTA!H49+ALP!H49+KTM!H49+IDK!H49+EKM!H49+TSR!H49+PKD!H49+MLPM!H49+KKD!H49+WYD!H49+KNR!H49+KSD!H49+SHS!H49</f>
        <v>0</v>
      </c>
      <c r="I49" s="329">
        <f>TVM!I49+KLM!I49+PTA!I49+ALP!I49+KTM!I49+IDK!I49+EKM!I49+TSR!I49+PKD!I49+MLPM!I49+KKD!I49+WYD!I49+KNR!I49+KSD!I49+SHS!I49</f>
        <v>0</v>
      </c>
      <c r="J49" s="323">
        <f>TVM!J49+KLM!J49+PTA!J49+ALP!J49+KTM!J49+IDK!J49+EKM!J49+TSR!J49+PKD!J49+MLPM!J49+KKD!J49+WYD!J49+KNR!J49+KSD!J49+SHS!J49</f>
        <v>0</v>
      </c>
      <c r="K49" s="323">
        <f>TVM!K49+KLM!K49+PTA!K49+ALP!K49+KTM!K49+IDK!K49+EKM!K49+TSR!K49+PKD!K49+MLPM!K49+KKD!K49+WYD!K49+KNR!K49+KSD!K49+SHS!K49</f>
        <v>0</v>
      </c>
      <c r="L49" s="323">
        <f>TVM!L49+KLM!L49+PTA!L49+ALP!L49+KTM!L49+IDK!L49+EKM!L49+TSR!L49+PKD!L49+MLPM!L49+KKD!L49+WYD!L49+KNR!L49+KSD!L49+SHS!L49</f>
        <v>0</v>
      </c>
      <c r="M49" s="323">
        <f>TVM!M49+KLM!M49+PTA!M49+ALP!M49+KTM!M49+IDK!M49+EKM!M49+TSR!M49+PKD!M49+MLPM!M49+KKD!M49+WYD!M49+KNR!M49+KSD!M49+SHS!M49</f>
        <v>0</v>
      </c>
      <c r="N49" s="329">
        <f>TVM!N49+KLM!N49+PTA!N49+ALP!N49+KTM!N49+IDK!N49+EKM!N49+TSR!N49+PKD!N49+MLPM!N49+KKD!N49+WYD!N49+KNR!N49+KSD!N49+SHS!N49</f>
        <v>12</v>
      </c>
      <c r="O49" s="330">
        <f>TVM!O49+KLM!O49+PTA!O49+ALP!O49+KTM!O49+IDK!O49+EKM!O49+TSR!O49+PKD!O49+MLPM!O49+KKD!O49+WYD!O49+KNR!O49+KSD!O49+SHS!O49</f>
        <v>2.9140000000000001</v>
      </c>
      <c r="P49" s="330">
        <f>TVM!P49+KLM!P49+PTA!P49+ALP!P49+KTM!P49+IDK!P49+EKM!P49+TSR!P49+PKD!P49+MLPM!P49+KKD!P49+WYD!P49+KNR!P49+KSD!P49+SHS!P49</f>
        <v>0</v>
      </c>
      <c r="Q49" s="323">
        <f>TVM!Q49+KLM!Q49+PTA!Q49+ALP!Q49+KTM!Q49+IDK!Q49+EKM!Q49+TSR!Q49+PKD!Q49+MLPM!Q49+KKD!Q49+WYD!Q49+KNR!Q49+KSD!Q49+SHS!Q49</f>
        <v>0</v>
      </c>
      <c r="R49" s="323">
        <f>TVM!R49+KLM!R49+PTA!R49+ALP!R49+KTM!R49+IDK!R49+EKM!R49+TSR!R49+PKD!R49+MLPM!R49+KKD!R49+WYD!R49+KNR!R49+KSD!R49+SHS!R49</f>
        <v>0</v>
      </c>
      <c r="S49" s="323">
        <f>TVM!S49+KLM!S49+PTA!S49+ALP!S49+KTM!S49+IDK!S49+EKM!S49+TSR!S49+PKD!S49+MLPM!S49+KKD!S49+WYD!S49+KNR!S49+KSD!S49+SHS!S49</f>
        <v>0</v>
      </c>
      <c r="T49" s="324">
        <f t="shared" si="0"/>
        <v>25.230600000000003</v>
      </c>
      <c r="U49" s="324">
        <f>TVM!U49+KLM!U49+PTA!U49+ALP!U49+KTM!U49+IDK!U49+EKM!U49+TSR!U49+PKD!U49+MLPM!U49+KKD!U49+WYD!U49+KNR!U49+KSD!U49+SHS!U49</f>
        <v>25.230599999999995</v>
      </c>
      <c r="V49" s="13" t="s">
        <v>1370</v>
      </c>
      <c r="W49" s="13" t="s">
        <v>1371</v>
      </c>
      <c r="X49" s="332">
        <v>66.75</v>
      </c>
      <c r="Y49" s="328">
        <f t="shared" si="1"/>
        <v>-41.519399999999997</v>
      </c>
      <c r="Z49" s="314"/>
      <c r="AA49" s="314"/>
      <c r="AB49" s="314"/>
    </row>
    <row r="50" spans="1:28" ht="63.75" customHeight="1">
      <c r="A50" s="712"/>
      <c r="B50" s="712"/>
      <c r="C50" s="712"/>
      <c r="D50" s="320">
        <v>45</v>
      </c>
      <c r="E50" s="320" t="s">
        <v>96</v>
      </c>
      <c r="F50" s="330">
        <f>TVM!F50+KLM!F50+PTA!F50+ALP!F50+KTM!F50+IDK!F50+EKM!F50+TSR!F50+PKD!F50+MLPM!F50+KKD!F50+WYD!F50+KNR!F50+KSD!F50+SHS!F50</f>
        <v>1.931</v>
      </c>
      <c r="G50" s="323">
        <f>TVM!G50+KLM!G50+PTA!G50+ALP!G50+KTM!G50+IDK!G50+EKM!G50+TSR!G50+PKD!G50+MLPM!G50+KKD!G50+WYD!G50+KNR!G50+KSD!G50+SHS!G50</f>
        <v>0</v>
      </c>
      <c r="H50" s="323">
        <f>TVM!H50+KLM!H50+PTA!H50+ALP!H50+KTM!H50+IDK!H50+EKM!H50+TSR!H50+PKD!H50+MLPM!H50+KKD!H50+WYD!H50+KNR!H50+KSD!H50+SHS!H50</f>
        <v>0</v>
      </c>
      <c r="I50" s="323">
        <f>TVM!I50+KLM!I50+PTA!I50+ALP!I50+KTM!I50+IDK!I50+EKM!I50+TSR!I50+PKD!I50+MLPM!I50+KKD!I50+WYD!I50+KNR!I50+KSD!I50+SHS!I50</f>
        <v>0</v>
      </c>
      <c r="J50" s="323">
        <f>TVM!J50+KLM!J50+PTA!J50+ALP!J50+KTM!J50+IDK!J50+EKM!J50+TSR!J50+PKD!J50+MLPM!J50+KKD!J50+WYD!J50+KNR!J50+KSD!J50+SHS!J50</f>
        <v>0</v>
      </c>
      <c r="K50" s="323">
        <f>TVM!K50+KLM!K50+PTA!K50+ALP!K50+KTM!K50+IDK!K50+EKM!K50+TSR!K50+PKD!K50+MLPM!K50+KKD!K50+WYD!K50+KNR!K50+KSD!K50+SHS!K50</f>
        <v>0</v>
      </c>
      <c r="L50" s="323">
        <f>TVM!L50+KLM!L50+PTA!L50+ALP!L50+KTM!L50+IDK!L50+EKM!L50+TSR!L50+PKD!L50+MLPM!L50+KKD!L50+WYD!L50+KNR!L50+KSD!L50+SHS!L50</f>
        <v>0</v>
      </c>
      <c r="M50" s="323">
        <f>TVM!M50+KLM!M50+PTA!M50+ALP!M50+KTM!M50+IDK!M50+EKM!M50+TSR!M50+PKD!M50+MLPM!M50+KKD!M50+WYD!M50+KNR!M50+KSD!M50+SHS!M50</f>
        <v>0</v>
      </c>
      <c r="N50" s="329">
        <f>TVM!N50+KLM!N50+PTA!N50+ALP!N50+KTM!N50+IDK!N50+EKM!N50+TSR!N50+PKD!N50+MLPM!N50+KKD!N50+WYD!N50+KNR!N50+KSD!N50+SHS!N50</f>
        <v>0</v>
      </c>
      <c r="O50" s="330">
        <f>TVM!O50+KLM!O50+PTA!O50+ALP!O50+KTM!O50+IDK!O50+EKM!O50+TSR!O50+PKD!O50+MLPM!O50+KKD!O50+WYD!O50+KNR!O50+KSD!O50+SHS!O50</f>
        <v>1.931</v>
      </c>
      <c r="P50" s="323">
        <f>TVM!P50+KLM!P50+PTA!P50+ALP!P50+KTM!P50+IDK!P50+EKM!P50+TSR!P50+PKD!P50+MLPM!P50+KKD!P50+WYD!P50+KNR!P50+KSD!P50+SHS!P50</f>
        <v>0</v>
      </c>
      <c r="Q50" s="323">
        <f>TVM!Q50+KLM!Q50+PTA!Q50+ALP!Q50+KTM!Q50+IDK!Q50+EKM!Q50+TSR!Q50+PKD!Q50+MLPM!Q50+KKD!Q50+WYD!Q50+KNR!Q50+KSD!Q50+SHS!Q50</f>
        <v>0</v>
      </c>
      <c r="R50" s="323">
        <f>TVM!R50+KLM!R50+PTA!R50+ALP!R50+KTM!R50+IDK!R50+EKM!R50+TSR!R50+PKD!R50+MLPM!R50+KKD!R50+WYD!R50+KNR!R50+KSD!R50+SHS!R50</f>
        <v>0</v>
      </c>
      <c r="S50" s="323">
        <f>TVM!S50+KLM!S50+PTA!S50+ALP!S50+KTM!S50+IDK!S50+EKM!S50+TSR!S50+PKD!S50+MLPM!S50+KKD!S50+WYD!S50+KNR!S50+KSD!S50+SHS!S50</f>
        <v>0</v>
      </c>
      <c r="T50" s="324">
        <f t="shared" si="0"/>
        <v>3.8620000000000001</v>
      </c>
      <c r="U50" s="324">
        <f>TVM!U50+KLM!U50+PTA!U50+ALP!U50+KTM!U50+IDK!U50+EKM!U50+TSR!U50+PKD!U50+MLPM!U50+KKD!U50+WYD!U50+KNR!U50+KSD!U50+SHS!U50</f>
        <v>3.8620000000000001</v>
      </c>
      <c r="V50" s="13" t="s">
        <v>1372</v>
      </c>
      <c r="W50" s="13" t="s">
        <v>1372</v>
      </c>
      <c r="X50" s="332">
        <v>17.8</v>
      </c>
      <c r="Y50" s="328">
        <f t="shared" si="1"/>
        <v>-13.938000000000001</v>
      </c>
      <c r="Z50" s="314"/>
      <c r="AA50" s="314"/>
      <c r="AB50" s="314"/>
    </row>
    <row r="51" spans="1:28" ht="39.75" customHeight="1">
      <c r="A51" s="712"/>
      <c r="B51" s="712"/>
      <c r="C51" s="712"/>
      <c r="D51" s="320">
        <v>46</v>
      </c>
      <c r="E51" s="320" t="s">
        <v>98</v>
      </c>
      <c r="F51" s="323">
        <f>TVM!F51+KLM!F51+PTA!F51+ALP!F51+KTM!F51+IDK!F51+EKM!F51+TSR!F51+PKD!F51+MLPM!F51+KKD!F51+WYD!F51+KNR!F51+KSD!F51+SHS!F51</f>
        <v>0</v>
      </c>
      <c r="G51" s="323">
        <f>TVM!G51+KLM!G51+PTA!G51+ALP!G51+KTM!G51+IDK!G51+EKM!G51+TSR!G51+PKD!G51+MLPM!G51+KKD!G51+WYD!G51+KNR!G51+KSD!G51+SHS!G51</f>
        <v>0</v>
      </c>
      <c r="H51" s="323">
        <f>TVM!H51+KLM!H51+PTA!H51+ALP!H51+KTM!H51+IDK!H51+EKM!H51+TSR!H51+PKD!H51+MLPM!H51+KKD!H51+WYD!H51+KNR!H51+KSD!H51+SHS!H51</f>
        <v>0</v>
      </c>
      <c r="I51" s="323">
        <f>TVM!I51+KLM!I51+PTA!I51+ALP!I51+KTM!I51+IDK!I51+EKM!I51+TSR!I51+PKD!I51+MLPM!I51+KKD!I51+WYD!I51+KNR!I51+KSD!I51+SHS!I51</f>
        <v>0</v>
      </c>
      <c r="J51" s="323">
        <f>TVM!J51+KLM!J51+PTA!J51+ALP!J51+KTM!J51+IDK!J51+EKM!J51+TSR!J51+PKD!J51+MLPM!J51+KKD!J51+WYD!J51+KNR!J51+KSD!J51+SHS!J51</f>
        <v>0</v>
      </c>
      <c r="K51" s="323">
        <f>TVM!K51+KLM!K51+PTA!K51+ALP!K51+KTM!K51+IDK!K51+EKM!K51+TSR!K51+PKD!K51+MLPM!K51+KKD!K51+WYD!K51+KNR!K51+KSD!K51+SHS!K51</f>
        <v>0</v>
      </c>
      <c r="L51" s="323">
        <f>TVM!L51+KLM!L51+PTA!L51+ALP!L51+KTM!L51+IDK!L51+EKM!L51+TSR!L51+PKD!L51+MLPM!L51+KKD!L51+WYD!L51+KNR!L51+KSD!L51+SHS!L51</f>
        <v>0</v>
      </c>
      <c r="M51" s="323">
        <f>TVM!M51+KLM!M51+PTA!M51+ALP!M51+KTM!M51+IDK!M51+EKM!M51+TSR!M51+PKD!M51+MLPM!M51+KKD!M51+WYD!M51+KNR!M51+KSD!M51+SHS!M51</f>
        <v>0</v>
      </c>
      <c r="N51" s="323">
        <f>TVM!N51+KLM!N51+PTA!N51+ALP!N51+KTM!N51+IDK!N51+EKM!N51+TSR!N51+PKD!N51+MLPM!N51+KKD!N51+WYD!N51+KNR!N51+KSD!N51+SHS!N51</f>
        <v>0</v>
      </c>
      <c r="O51" s="323">
        <f>TVM!O51+KLM!O51+PTA!O51+ALP!O51+KTM!O51+IDK!O51+EKM!O51+TSR!O51+PKD!O51+MLPM!O51+KKD!O51+WYD!O51+KNR!O51+KSD!O51+SHS!O51</f>
        <v>0</v>
      </c>
      <c r="P51" s="323">
        <f>TVM!P51+KLM!P51+PTA!P51+ALP!P51+KTM!P51+IDK!P51+EKM!P51+TSR!P51+PKD!P51+MLPM!P51+KKD!P51+WYD!P51+KNR!P51+KSD!P51+SHS!P51</f>
        <v>0</v>
      </c>
      <c r="Q51" s="323">
        <f>TVM!Q51+KLM!Q51+PTA!Q51+ALP!Q51+KTM!Q51+IDK!Q51+EKM!Q51+TSR!Q51+PKD!Q51+MLPM!Q51+KKD!Q51+WYD!Q51+KNR!Q51+KSD!Q51+SHS!Q51</f>
        <v>0</v>
      </c>
      <c r="R51" s="323">
        <f>TVM!R51+KLM!R51+PTA!R51+ALP!R51+KTM!R51+IDK!R51+EKM!R51+TSR!R51+PKD!R51+MLPM!R51+KKD!R51+WYD!R51+KNR!R51+KSD!R51+SHS!R51</f>
        <v>0</v>
      </c>
      <c r="S51" s="323">
        <f>TVM!S51+KLM!S51+PTA!S51+ALP!S51+KTM!S51+IDK!S51+EKM!S51+TSR!S51+PKD!S51+MLPM!S51+KKD!S51+WYD!S51+KNR!S51+KSD!S51+SHS!S51</f>
        <v>0</v>
      </c>
      <c r="T51" s="324">
        <f t="shared" si="0"/>
        <v>0</v>
      </c>
      <c r="U51" s="324">
        <f>TVM!U51+KLM!U51+PTA!U51+ALP!U51+KTM!U51+IDK!U51+EKM!U51+TSR!U51+PKD!U51+MLPM!U51+KKD!U51+WYD!U51+KNR!U51+KSD!U51+SHS!U51</f>
        <v>0</v>
      </c>
      <c r="V51" s="325"/>
      <c r="W51" s="325"/>
      <c r="X51" s="332">
        <v>0</v>
      </c>
      <c r="Y51" s="328">
        <f t="shared" si="1"/>
        <v>0</v>
      </c>
      <c r="Z51" s="314"/>
      <c r="AA51" s="314"/>
      <c r="AB51" s="314"/>
    </row>
    <row r="52" spans="1:28" ht="39.75" customHeight="1">
      <c r="A52" s="712"/>
      <c r="B52" s="712"/>
      <c r="C52" s="712"/>
      <c r="D52" s="320">
        <v>47</v>
      </c>
      <c r="E52" s="320" t="s">
        <v>99</v>
      </c>
      <c r="F52" s="330">
        <f>TVM!F52+KLM!F52+PTA!F52+ALP!F52+KTM!F52+IDK!F52+EKM!F52+TSR!F52+PKD!F52+MLPM!F52+KKD!F52+WYD!F52+KNR!F52+KSD!F52+SHS!F52</f>
        <v>35.000000000000007</v>
      </c>
      <c r="G52" s="323">
        <f>TVM!G52+KLM!G52+PTA!G52+ALP!G52+KTM!G52+IDK!G52+EKM!G52+TSR!G52+PKD!G52+MLPM!G52+KKD!G52+WYD!G52+KNR!G52+KSD!G52+SHS!G52</f>
        <v>0</v>
      </c>
      <c r="H52" s="323">
        <f>TVM!H52+KLM!H52+PTA!H52+ALP!H52+KTM!H52+IDK!H52+EKM!H52+TSR!H52+PKD!H52+MLPM!H52+KKD!H52+WYD!H52+KNR!H52+KSD!H52+SHS!H52</f>
        <v>0</v>
      </c>
      <c r="I52" s="323">
        <f>TVM!I52+KLM!I52+PTA!I52+ALP!I52+KTM!I52+IDK!I52+EKM!I52+TSR!I52+PKD!I52+MLPM!I52+KKD!I52+WYD!I52+KNR!I52+KSD!I52+SHS!I52</f>
        <v>0</v>
      </c>
      <c r="J52" s="323">
        <f>TVM!J52+KLM!J52+PTA!J52+ALP!J52+KTM!J52+IDK!J52+EKM!J52+TSR!J52+PKD!J52+MLPM!J52+KKD!J52+WYD!J52+KNR!J52+KSD!J52+SHS!J52</f>
        <v>0</v>
      </c>
      <c r="K52" s="323">
        <f>TVM!K52+KLM!K52+PTA!K52+ALP!K52+KTM!K52+IDK!K52+EKM!K52+TSR!K52+PKD!K52+MLPM!K52+KKD!K52+WYD!K52+KNR!K52+KSD!K52+SHS!K52</f>
        <v>0</v>
      </c>
      <c r="L52" s="323">
        <f>TVM!L52+KLM!L52+PTA!L52+ALP!L52+KTM!L52+IDK!L52+EKM!L52+TSR!L52+PKD!L52+MLPM!L52+KKD!L52+WYD!L52+KNR!L52+KSD!L52+SHS!L52</f>
        <v>0</v>
      </c>
      <c r="M52" s="323">
        <f>TVM!M52+KLM!M52+PTA!M52+ALP!M52+KTM!M52+IDK!M52+EKM!M52+TSR!M52+PKD!M52+MLPM!M52+KKD!M52+WYD!M52+KNR!M52+KSD!M52+SHS!M52</f>
        <v>0</v>
      </c>
      <c r="N52" s="323">
        <f>TVM!N52+KLM!N52+PTA!N52+ALP!N52+KTM!N52+IDK!N52+EKM!N52+TSR!N52+PKD!N52+MLPM!N52+KKD!N52+WYD!N52+KNR!N52+KSD!N52+SHS!N52</f>
        <v>0</v>
      </c>
      <c r="O52" s="323">
        <f>TVM!O52+KLM!O52+PTA!O52+ALP!O52+KTM!O52+IDK!O52+EKM!O52+TSR!O52+PKD!O52+MLPM!O52+KKD!O52+WYD!O52+KNR!O52+KSD!O52+SHS!O52</f>
        <v>0</v>
      </c>
      <c r="P52" s="323">
        <f>TVM!P52+KLM!P52+PTA!P52+ALP!P52+KTM!P52+IDK!P52+EKM!P52+TSR!P52+PKD!P52+MLPM!P52+KKD!P52+WYD!P52+KNR!P52+KSD!P52+SHS!P52</f>
        <v>0</v>
      </c>
      <c r="Q52" s="323">
        <f>TVM!Q52+KLM!Q52+PTA!Q52+ALP!Q52+KTM!Q52+IDK!Q52+EKM!Q52+TSR!Q52+PKD!Q52+MLPM!Q52+KKD!Q52+WYD!Q52+KNR!Q52+KSD!Q52+SHS!Q52</f>
        <v>0</v>
      </c>
      <c r="R52" s="323">
        <f>TVM!R52+KLM!R52+PTA!R52+ALP!R52+KTM!R52+IDK!R52+EKM!R52+TSR!R52+PKD!R52+MLPM!R52+KKD!R52+WYD!R52+KNR!R52+KSD!R52+SHS!R52</f>
        <v>0</v>
      </c>
      <c r="S52" s="323">
        <f>TVM!S52+KLM!S52+PTA!S52+ALP!S52+KTM!S52+IDK!S52+EKM!S52+TSR!S52+PKD!S52+MLPM!S52+KKD!S52+WYD!S52+KNR!S52+KSD!S52+SHS!S52</f>
        <v>0</v>
      </c>
      <c r="T52" s="324">
        <f t="shared" si="0"/>
        <v>35.000000000000007</v>
      </c>
      <c r="U52" s="324">
        <f>TVM!U52+KLM!U52+PTA!U52+ALP!U52+KTM!U52+IDK!U52+EKM!U52+TSR!U52+PKD!U52+MLPM!U52+KKD!U52+WYD!U52+KNR!U52+KSD!U52+SHS!U52</f>
        <v>35.000000000000007</v>
      </c>
      <c r="V52" s="353" t="s">
        <v>1373</v>
      </c>
      <c r="W52" s="13" t="s">
        <v>1374</v>
      </c>
      <c r="X52" s="332">
        <v>35</v>
      </c>
      <c r="Y52" s="334">
        <f t="shared" si="1"/>
        <v>0</v>
      </c>
      <c r="Z52" s="314"/>
      <c r="AA52" s="314"/>
      <c r="AB52" s="314"/>
    </row>
    <row r="53" spans="1:28" ht="39.75" customHeight="1">
      <c r="A53" s="712"/>
      <c r="B53" s="712"/>
      <c r="C53" s="712"/>
      <c r="D53" s="320">
        <v>48</v>
      </c>
      <c r="E53" s="320" t="s">
        <v>101</v>
      </c>
      <c r="F53" s="323">
        <f>TVM!F53+KLM!F53+PTA!F53+ALP!F53+KTM!F53+IDK!F53+EKM!F53+TSR!F53+PKD!F53+MLPM!F53+KKD!F53+WYD!F53+KNR!F53+KSD!F53+SHS!F53</f>
        <v>0</v>
      </c>
      <c r="G53" s="323">
        <f>TVM!G53+KLM!G53+PTA!G53+ALP!G53+KTM!G53+IDK!G53+EKM!G53+TSR!G53+PKD!G53+MLPM!G53+KKD!G53+WYD!G53+KNR!G53+KSD!G53+SHS!G53</f>
        <v>0</v>
      </c>
      <c r="H53" s="323">
        <f>TVM!H53+KLM!H53+PTA!H53+ALP!H53+KTM!H53+IDK!H53+EKM!H53+TSR!H53+PKD!H53+MLPM!H53+KKD!H53+WYD!H53+KNR!H53+KSD!H53+SHS!H53</f>
        <v>0</v>
      </c>
      <c r="I53" s="323">
        <f>TVM!I53+KLM!I53+PTA!I53+ALP!I53+KTM!I53+IDK!I53+EKM!I53+TSR!I53+PKD!H52+MLPM!I53+KKD!I53+WYD!I53+KNR!I53+KSD!I53+SHS!I53</f>
        <v>0</v>
      </c>
      <c r="J53" s="323">
        <f>TVM!J53+KLM!J53+PTA!J53+ALP!J53+KTM!J53+IDK!J53+EKM!J53+TSR!J53+PKD!J53+MLPM!J53+KKD!J53+WYD!J53+KNR!J53+KSD!J53+SHS!J53</f>
        <v>0</v>
      </c>
      <c r="K53" s="323">
        <f>TVM!K53+KLM!K53+PTA!K53+ALP!K53+KTM!K53+IDK!K53+EKM!K53+TSR!K53+PKD!K53+MLPM!K53+KKD!K53+WYD!K53+KNR!K53+KSD!K53+SHS!K53</f>
        <v>0</v>
      </c>
      <c r="L53" s="323">
        <f>TVM!L53+KLM!L53+PTA!L53+ALP!L53+KTM!L53+IDK!L53+EKM!L53+TSR!L53+PKD!L53+MLPM!L53+KKD!L53+WYD!L53+KNR!L53+KSD!L53+SHS!L53</f>
        <v>0</v>
      </c>
      <c r="M53" s="323">
        <f>TVM!M53+KLM!M53+PTA!M53+ALP!M53+KTM!M53+IDK!M53+EKM!M53+TSR!M53+PKD!M53+MLPM!M53+KKD!M53+WYD!M53+KNR!M53+KSD!M53+SHS!M53</f>
        <v>0</v>
      </c>
      <c r="N53" s="329">
        <f>TVM!N53+KLM!N53+PTA!N53+ALP!N53+KTM!N53+IDK!N53+EKM!N53+TSR!N53+PKD!N53+MLPM!N53+KKD!N53+WYD!N53+KNR!N53+KSD!N53+SHS!N53</f>
        <v>4.0460000000000003</v>
      </c>
      <c r="O53" s="323">
        <f>TVM!O53+KLM!O53+PTA!O53+ALP!O53+KTM!O53+IDK!O53+EKM!O53+TSR!O53+PKD!O53+MLPM!O53+KKD!O53+WYD!O53+KNR!O53+KSD!O53+SHS!O53</f>
        <v>0</v>
      </c>
      <c r="P53" s="330">
        <f>TVM!P53+KLM!P53+PTA!P53+ALP!P53+KTM!P53+IDK!P53+EKM!P53+TSR!P53+PKD!P53+MLPM!P53+KKD!P53+WYD!P53+KNR!P53+KSD!P53+SHS!P53</f>
        <v>0</v>
      </c>
      <c r="Q53" s="323">
        <f>TVM!Q53+KLM!Q53+PTA!Q53+ALP!Q53+KTM!Q53+IDK!Q53+EKM!Q53+TSR!Q53+PKD!Q53+MLPM!Q53+KKD!Q53+WYD!Q53+KNR!Q53+KSD!Q53+SHS!Q53</f>
        <v>0</v>
      </c>
      <c r="R53" s="323">
        <f>TVM!R53+KLM!R53+PTA!R53+ALP!R53+KTM!R53+IDK!R53+EKM!R53+TSR!R53+PKD!R53+MLPM!R53+KKD!R53+WYD!R53+KNR!R53+KSD!R53+SHS!R53</f>
        <v>0</v>
      </c>
      <c r="S53" s="323">
        <f>TVM!S53+KLM!S53+PTA!S53+ALP!S53+KTM!S53+IDK!S53+EKM!S53+TSR!S53+PKD!S53+MLPM!S53+KKD!S53+WYD!S53+KNR!S53+KSD!S53+SHS!S53</f>
        <v>0</v>
      </c>
      <c r="T53" s="324">
        <f t="shared" si="0"/>
        <v>4.0460000000000003</v>
      </c>
      <c r="U53" s="324">
        <f>TVM!U53+KLM!U53+PTA!U53+ALP!U53+KTM!U53+IDK!U53+EKM!U53+TSR!U53+PKD!U53+MLPM!U53+KKD!U53+WYD!U53+KNR!U53+KSD!U53+SHS!U53</f>
        <v>4.0460000000000003</v>
      </c>
      <c r="V53" s="13" t="s">
        <v>1375</v>
      </c>
      <c r="W53" s="13" t="s">
        <v>1376</v>
      </c>
      <c r="X53" s="332">
        <v>2.0499999999999998</v>
      </c>
      <c r="Y53" s="328">
        <f t="shared" si="1"/>
        <v>1.9960000000000004</v>
      </c>
      <c r="Z53" s="314"/>
      <c r="AA53" s="314"/>
      <c r="AB53" s="314"/>
    </row>
    <row r="54" spans="1:28" ht="111.75" customHeight="1">
      <c r="A54" s="712"/>
      <c r="B54" s="712"/>
      <c r="C54" s="712"/>
      <c r="D54" s="320">
        <v>49</v>
      </c>
      <c r="E54" s="320" t="s">
        <v>103</v>
      </c>
      <c r="F54" s="323">
        <f>TVM!F54+KLM!F54+PTA!F54+ALP!F54+KTM!F54+IDK!F54+EKM!F54+TSR!F54+PKD!F54+MLPM!F54+KKD!F54+WYD!F54+KNR!F54+KSD!F54+SHS!F54</f>
        <v>0</v>
      </c>
      <c r="G54" s="323">
        <f>TVM!G54+KLM!G54+PTA!G54+ALP!G54+KTM!G54+IDK!G54+EKM!G54+TSR!G54+PKD!G54+MLPM!G54+KKD!G54+WYD!G54+KNR!G54+KSD!G54+SHS!G54</f>
        <v>0</v>
      </c>
      <c r="H54" s="323">
        <f>TVM!H54+KLM!H54+PTA!H54+ALP!H54+KTM!H54+IDK!H54+EKM!H54+TSR!H54+PKD!H54+MLPM!H54+KKD!H54+WYD!H54+KNR!H54+KSD!H54+SHS!H54</f>
        <v>0</v>
      </c>
      <c r="I54" s="323">
        <f>TVM!I54+KLM!I54+PTA!I54+ALP!I54+KTM!I54+IDK!I54+EKM!I54+TSR!I54+PKD!I54+MLPM!I54+KKD!I54+WYD!I54+KNR!I54+KSD!I54+SHS!I54</f>
        <v>0</v>
      </c>
      <c r="J54" s="323">
        <f>TVM!J54+KLM!J54+PTA!J54+ALP!J54+KTM!J54+IDK!J54+EKM!J54+TSR!J54+PKD!J54+MLPM!J54+KKD!J54+WYD!J54+KNR!J54+KSD!J54+SHS!J54</f>
        <v>0</v>
      </c>
      <c r="K54" s="323">
        <f>TVM!K54+KLM!K54+PTA!K54+ALP!K54+KTM!K54+IDK!K54+EKM!K54+TSR!K54+PKD!K54+MLPM!K54+KKD!K54+WYD!K54+KNR!K54+KSD!K54+SHS!K54</f>
        <v>0</v>
      </c>
      <c r="L54" s="323">
        <f>TVM!L54+KLM!L54+PTA!L54+ALP!L54+KTM!L54+IDK!L54+EKM!L54+TSR!L54+PKD!L54+MLPM!L54+KKD!L54+WYD!L54+KNR!L54+KSD!L54+SHS!L54</f>
        <v>0</v>
      </c>
      <c r="M54" s="323">
        <f>TVM!M54+KLM!M54+PTA!M54+ALP!M54+KTM!M54+IDK!M54+EKM!M54+TSR!M54+PKD!M54+MLPM!M54+KKD!M54+WYD!M54+KNR!M54+KSD!M54+SHS!M54</f>
        <v>0</v>
      </c>
      <c r="N54" s="323">
        <f>TVM!N54+KLM!N54+PTA!N54+ALP!N54+KTM!N54+IDK!N54+EKM!N54+TSR!N54+PKD!N54+MLPM!N54+KKD!N54+WYD!N54+KNR!N54+KSD!N54+SHS!N54</f>
        <v>0</v>
      </c>
      <c r="O54" s="323">
        <f>TVM!O54+KLM!O54+PTA!O54+ALP!O54+KTM!O54+IDK!O54+EKM!O54+TSR!O54+PKD!O54+MLPM!O54+KKD!O54+WYD!O54+KNR!O54+KSD!O54+SHS!O54</f>
        <v>0</v>
      </c>
      <c r="P54" s="323">
        <f>TVM!P54+KLM!P54+PTA!P54+ALP!P54+KTM!P54+IDK!P54+EKM!P54+TSR!P54+PKD!P54+MLPM!P54+KKD!P54+WYD!P54+KNR!P54+KSD!P54+SHS!P54</f>
        <v>0</v>
      </c>
      <c r="Q54" s="329">
        <f>TVM!Q54+KLM!Q54+PTA!Q54+ALP!Q54+KTM!Q54+IDK!Q54+EKM!Q54+TSR!Q54+PKD!Q54+MLPM!Q54+KKD!Q54+WYD!Q54+KNR!Q54+KSD!Q54+SHS!Q54</f>
        <v>61</v>
      </c>
      <c r="R54" s="330">
        <f>TVM!R54+KLM!R54+PTA!R54+ALP!R54+KTM!R54+IDK!R54+EKM!R54+TSR!R54+PKD!R54+MLPM!R54+KKD!R54+WYD!R54+KNR!R54+KSD!R54+SHS!R54</f>
        <v>14</v>
      </c>
      <c r="S54" s="323">
        <f>TVM!S54+KLM!S54+PTA!S54+ALP!S54+KTM!S54+IDK!S54+EKM!S54+TSR!S54+PKD!S54+MLPM!S54+KKD!S54+WYD!S54+KNR!S54+KSD!S54+SHS!S54</f>
        <v>0</v>
      </c>
      <c r="T54" s="324">
        <f t="shared" si="0"/>
        <v>75</v>
      </c>
      <c r="U54" s="324">
        <f>TVM!U54+KLM!U54+PTA!U54+ALP!U54+KTM!U54+IDK!U54+EKM!U54+TSR!U54+PKD!U54+MLPM!U54+KKD!U54+WYD!U54+KNR!U54+KSD!U54+SHS!U54</f>
        <v>75</v>
      </c>
      <c r="V54" s="354" t="s">
        <v>1377</v>
      </c>
      <c r="W54" s="354" t="s">
        <v>1378</v>
      </c>
      <c r="X54" s="332">
        <v>78.319999999999993</v>
      </c>
      <c r="Y54" s="328">
        <f t="shared" si="1"/>
        <v>-3.3199999999999932</v>
      </c>
      <c r="Z54" s="314"/>
      <c r="AA54" s="314"/>
      <c r="AB54" s="314"/>
    </row>
    <row r="55" spans="1:28" ht="170.25" customHeight="1">
      <c r="A55" s="712"/>
      <c r="B55" s="712"/>
      <c r="C55" s="712"/>
      <c r="D55" s="320">
        <v>50</v>
      </c>
      <c r="E55" s="320" t="s">
        <v>105</v>
      </c>
      <c r="F55" s="323">
        <f>TVM!F55+KLM!F55+PTA!F55+ALP!F55+KTM!F55+IDK!F55+EKM!F55+TSR!F55+PKD!F55+MLPM!F55+KKD!F55+WYD!F55+KNR!F55+KSD!F55+SHS!F55</f>
        <v>0</v>
      </c>
      <c r="G55" s="323">
        <f>TVM!G55+KLM!G55+PTA!G55+ALP!G55+KTM!G55+IDK!G55+EKM!G55+TSR!G55+PKD!G55+MLPM!G55+KKD!G55+WYD!G55+KNR!G55+KSD!G55+SHS!G55</f>
        <v>0</v>
      </c>
      <c r="H55" s="323">
        <f>TVM!H55+KLM!H55+PTA!H55+ALP!H55+KTM!H55+IDK!H55+EKM!H55+TSR!H55+PKD!H55+MLPM!H55+KKD!H55+WYD!H55+KNR!H55+KSD!H55+SHS!H55</f>
        <v>0</v>
      </c>
      <c r="I55" s="329">
        <f>TVM!I55+KLM!I55+PTA!I55+ALP!I55+KTM!I55+IDK!I55+EKM!I55+TSR!I55+PKD!I55+MLPM!I55+KKD!I55+WYD!I55+KNR!I55+KSD!I55+SHS!I55</f>
        <v>0</v>
      </c>
      <c r="J55" s="323">
        <f>TVM!J55+KLM!J55+PTA!J55+ALP!J55+KTM!J55+IDK!J55+EKM!J55+TSR!J55+PKD!J55+MLPM!J55+KKD!J55+WYD!J55+KNR!J55+KSD!J55+SHS!J55</f>
        <v>0</v>
      </c>
      <c r="K55" s="329">
        <f>TVM!K55+KLM!K55+PTA!K55+ALP!K55+KTM!K55+IDK!K55+EKM!K55+TSR!K55+PKD!K55+MLPM!K55+KKD!K55+WYD!K55+KNR!K55+KSD!K55+SHS!K55</f>
        <v>4.9999999999999991</v>
      </c>
      <c r="L55" s="323">
        <f>TVM!L55+KLM!L55+PTA!L55+ALP!L55+KTM!L55+IDK!L55+EKM!L55+TSR!L55+PKD!L55+MLPM!L55+KKD!L55+WYD!L55+KNR!L55+KSD!L55+SHS!L55</f>
        <v>0</v>
      </c>
      <c r="M55" s="323">
        <f>TVM!M55+KLM!M55+PTA!M55+ALP!M55+KTM!M55+IDK!M55+EKM!M55+TSR!M55+PKD!M55+MLPM!M55+KKD!M55+WYD!M55+KNR!M55+KSD!M55+SHS!M55</f>
        <v>0</v>
      </c>
      <c r="N55" s="329">
        <f>TVM!N55+KLM!N55+PTA!N55+ALP!N55+KTM!N55+IDK!N55+EKM!N55+TSR!N55+PKD!N55+MLPM!N55+KKD!N55+WYD!N55+KNR!N55+KSD!N55+SHS!N55</f>
        <v>0</v>
      </c>
      <c r="O55" s="323">
        <f>TVM!O55+KLM!O55+PTA!O55+ALP!O55+KTM!O55+IDK!O55+EKM!O55+TSR!O55+PKD!O55+MLPM!O55+KKD!O55+WYD!O55+KNR!O55+KSD!O55+SHS!O55</f>
        <v>0</v>
      </c>
      <c r="P55" s="330">
        <f>TVM!P55+KLM!P55+PTA!P55+ALP!P55+KTM!P55+IDK!P55+EKM!P55+TSR!P55+PKD!P55+MLPM!P55+KKD!P55+WYD!P55+KNR!P55+KSD!P55+SHS!P55</f>
        <v>0</v>
      </c>
      <c r="Q55" s="329">
        <f>TVM!Q55+KLM!Q55+PTA!Q55+ALP!Q55+KTM!Q55+IDK!Q55+EKM!Q55+TSR!Q55+PKD!Q55+MLPM!Q55+KKD!Q55+WYD!Q55+KNR!Q55+KSD!Q55+SHS!Q55</f>
        <v>100.53</v>
      </c>
      <c r="R55" s="330">
        <f>TVM!R55+KLM!R55+PTA!R55+ALP!R55+KTM!R55+IDK!R55+EKM!R55+TSR!R55+PKD!R55+MLPM!R55+KKD!R55+WYD!R55+KNR!R55+KSD!R55+SHS!R55</f>
        <v>1.5</v>
      </c>
      <c r="S55" s="323">
        <f>TVM!S55+KLM!S55+PTA!S55+ALP!S55+KTM!S55+IDK!S55+EKM!S55+TSR!S55+PKD!S55+MLPM!S55+KKD!S55+WYD!S55+KNR!S55+KSD!S55+SHS!S55</f>
        <v>0</v>
      </c>
      <c r="T55" s="324">
        <f t="shared" si="0"/>
        <v>107.03</v>
      </c>
      <c r="U55" s="324">
        <f>TVM!U55+KLM!U55+PTA!U55+ALP!U55+KTM!U55+IDK!U55+EKM!U55+TSR!U55+PKD!U55+MLPM!U55+KKD!U55+WYD!U55+KNR!U55+KSD!U55+SHS!U55</f>
        <v>107.03</v>
      </c>
      <c r="V55" s="354" t="s">
        <v>1379</v>
      </c>
      <c r="W55" s="354" t="s">
        <v>1380</v>
      </c>
      <c r="X55" s="332">
        <v>128</v>
      </c>
      <c r="Y55" s="328">
        <f t="shared" si="1"/>
        <v>-20.97</v>
      </c>
      <c r="Z55" s="314"/>
      <c r="AA55" s="314"/>
      <c r="AB55" s="314"/>
    </row>
    <row r="56" spans="1:28" ht="57" customHeight="1">
      <c r="A56" s="712"/>
      <c r="B56" s="707"/>
      <c r="C56" s="707"/>
      <c r="D56" s="320">
        <v>51</v>
      </c>
      <c r="E56" s="320" t="s">
        <v>53</v>
      </c>
      <c r="F56" s="323">
        <f>TVM!F56+KLM!F56+PTA!F56+ALP!F56+KTM!F56+IDK!F56+EKM!F56+TSR!F56+PKD!F56+MLPM!F56+KKD!F56+WYD!F56+KNR!F56+KSD!F56+SHS!F56</f>
        <v>0</v>
      </c>
      <c r="G56" s="323">
        <f>TVM!G56+KLM!G56+PTA!G56+ALP!G56+KTM!G56+IDK!G56+EKM!G56+TSR!G56+PKD!G56+MLPM!G56+KKD!G56+WYD!G56+KNR!G56+KSD!G56+SHS!G56</f>
        <v>0</v>
      </c>
      <c r="H56" s="323">
        <f>TVM!H56+KLM!H56+PTA!H56+ALP!H56+KTM!H56+IDK!H56+EKM!H56+TSR!H56+PKD!H56+MLPM!H56+KKD!H56+WYD!H56+KNR!H56+KSD!H56+SHS!H56</f>
        <v>0</v>
      </c>
      <c r="I56" s="323">
        <f>TVM!I56+KLM!I56+PTA!I56+ALP!I56+KTM!I56+IDK!I56+EKM!I56+TSR!I56+PKD!I56+MLPM!I56+KKD!I56+WYD!I56+KNR!I56+KSD!I56+SHS!I56</f>
        <v>0</v>
      </c>
      <c r="J56" s="323">
        <f>TVM!J56+KLM!J56+PTA!J56+ALP!J56+KTM!J56+IDK!J56+EKM!J56+TSR!J56+PKD!J56+MLPM!J56+KKD!J56+WYD!J56+KNR!J56+KSD!J56+SHS!J56</f>
        <v>0</v>
      </c>
      <c r="K56" s="323">
        <f>TVM!K56+KLM!K56+PTA!K56+ALP!K56+KTM!K56+IDK!K56+EKM!K56+TSR!K56+PKD!K56+MLPM!K56+KKD!K56+WYD!K56+KNR!K56+KSD!K56+SHS!K56</f>
        <v>0</v>
      </c>
      <c r="L56" s="323">
        <f>TVM!L56+KLM!L56+PTA!L56+ALP!L56+KTM!L56+IDK!L56+EKM!L56+TSR!L56+PKD!L56+MLPM!L56+KKD!L56+WYD!L56+KNR!L56+KSD!L56+SHS!L56</f>
        <v>0</v>
      </c>
      <c r="M56" s="323">
        <f>TVM!M56+KLM!M56+PTA!M56+ALP!M56+KTM!M56+IDK!M56+EKM!M56+TSR!M56+PKD!M56+MLPM!M56+KKD!M56+WYD!M56+KNR!M56+KSD!M56+SHS!M56</f>
        <v>0</v>
      </c>
      <c r="N56" s="330">
        <f>TVM!N56+KLM!N56+PTA!N56+ALP!N56+KTM!N56+IDK!N56+EKM!N56+TSR!N56+PKD!N56+MLPM!N56+KKD!N56+WYD!N56+KNR!N56+KSD!N56+SHS!N56</f>
        <v>0</v>
      </c>
      <c r="O56" s="323">
        <f>TVM!O56+KLM!O56+PTA!O56+ALP!O56+KTM!O56+IDK!O56+EKM!O56+TSR!O56+PKD!O56+MLPM!O56+KKD!O56+WYD!O56+KNR!O56+KSD!O56+SHS!O56</f>
        <v>0</v>
      </c>
      <c r="P56" s="329">
        <f>TVM!P56+KLM!P56+PTA!P56+ALP!P56+KTM!P56+IDK!P56+EKM!P56+TSR!P56+PKD!P56+MLPM!P56+KKD!P56+WYD!P56+KNR!P56+KSD!P56+SHS!P56</f>
        <v>0</v>
      </c>
      <c r="Q56" s="323">
        <f>TVM!Q56+KLM!Q56+PTA!Q56+ALP!Q56+KTM!Q56+IDK!Q56+EKM!Q56+TSR!Q56+PKD!Q56+MLPM!Q56+KKD!Q56+WYD!Q56+KNR!Q56+KSD!Q56+SHS!Q56</f>
        <v>0</v>
      </c>
      <c r="R56" s="323">
        <f>TVM!R56+KLM!R56+PTA!R56+ALP!R56+KTM!R56+IDK!R56+EKM!R56+TSR!R56+PKD!R56+MLPM!R56+KKD!R56+WYD!R56+KNR!R56+KSD!R56+SHS!R56</f>
        <v>0</v>
      </c>
      <c r="S56" s="323">
        <f>TVM!S56+KLM!S56+PTA!S56+ALP!S56+KTM!S56+IDK!S56+EKM!S56+TSR!S56+PKD!S56+MLPM!S56+KKD!S56+WYD!S56+KNR!S56+KSD!S56+SHS!S56</f>
        <v>0</v>
      </c>
      <c r="T56" s="324">
        <f t="shared" si="0"/>
        <v>0</v>
      </c>
      <c r="U56" s="324">
        <f>TVM!U56+KLM!U56+PTA!U56+ALP!U56+KTM!U56+IDK!U56+EKM!U56+TSR!U56+PKD!U56+MLPM!U56+KKD!U56+WYD!U56+KNR!U56+KSD!U56+SHS!U56</f>
        <v>0</v>
      </c>
      <c r="V56" s="355"/>
      <c r="W56" s="333"/>
      <c r="X56" s="332">
        <v>14</v>
      </c>
      <c r="Y56" s="328">
        <f t="shared" si="1"/>
        <v>-14</v>
      </c>
      <c r="Z56" s="314"/>
      <c r="AA56" s="314"/>
      <c r="AB56" s="314"/>
    </row>
    <row r="57" spans="1:28" ht="365.25" customHeight="1">
      <c r="A57" s="712"/>
      <c r="B57" s="718" t="s">
        <v>107</v>
      </c>
      <c r="C57" s="718" t="s">
        <v>108</v>
      </c>
      <c r="D57" s="320">
        <v>52</v>
      </c>
      <c r="E57" s="320" t="s">
        <v>109</v>
      </c>
      <c r="F57" s="323">
        <f>TVM!F57+KLM!F57+PTA!F57+ALP!F57+KTM!F57+IDK!F57+EKM!F57+TSR!F57+PKD!F57+MLPM!F57+KKD!F57+WYD!F57+KNR!F57+KSD!F57+SHS!F57</f>
        <v>0</v>
      </c>
      <c r="G57" s="323">
        <f>TVM!G57+KLM!G57+PTA!G57+ALP!G57+KTM!G57+IDK!G57+EKM!G57+TSR!G57+PKD!G57+MLPM!G57+KKD!G57+WYD!G57+KNR!G57+KSD!G57+SHS!G57</f>
        <v>0</v>
      </c>
      <c r="H57" s="323">
        <f>TVM!H57+KLM!H57+PTA!H57+ALP!H57+KTM!H57+IDK!H57+EKM!H57+TSR!H57+PKD!H57+MLPM!H57+KKD!H57+WYD!H57+KNR!H57+KSD!H57+SHS!H57</f>
        <v>0</v>
      </c>
      <c r="I57" s="329">
        <f>TVM!I57+KLM!I57+PTA!I57+ALP!I57+KTM!I57+IDK!I57+EKM!I57+TSR!I57+PKD!I57+MLPM!I57+KKD!I57+WYD!I57+KNR!I57+KSD!I57+SHS!I57</f>
        <v>151.22999999999999</v>
      </c>
      <c r="J57" s="323">
        <f>TVM!J57+KLM!J57+PTA!J57+ALP!J57+KTM!J57+IDK!J57+EKM!J57+TSR!J57+PKD!J57+MLPM!J57+KKD!J57+WYD!J57+KNR!J57+KSD!J57+SHS!J57</f>
        <v>0</v>
      </c>
      <c r="K57" s="329">
        <f>TVM!K57+KLM!K57+PTA!K57+ALP!K57+KTM!K57+IDK!K57+EKM!K57+TSR!K57+PKD!K57+MLPM!K57+KKD!K57+WYD!K57+KNR!K57+KSD!K57+SHS!K57</f>
        <v>1017.6041300000001</v>
      </c>
      <c r="L57" s="323">
        <f>TVM!L57+KLM!L57+PTA!L57+ALP!L57+KTM!L57+IDK!L57+EKM!L57+TSR!L57+PKD!L57+MLPM!L57+KKD!L57+WYD!L57+KNR!L57+KSD!L57+SHS!L57</f>
        <v>0</v>
      </c>
      <c r="M57" s="323">
        <f>TVM!M57+KLM!M57+PTA!M57+ALP!M57+KTM!M57+IDK!M57+EKM!M57+TSR!M57+PKD!M57+MLPM!M57+KKD!M57+WYD!M57+KNR!M57+KSD!M57+SHS!M57</f>
        <v>0</v>
      </c>
      <c r="N57" s="329">
        <f>TVM!N57+KLM!N57+PTA!N57+ALP!N57+KTM!N57+IDK!N57+EKM!N57+TSR!N57+PKD!N57+MLPM!N57+KKD!N57+WYD!N57+KNR!N57+KSD!N57+SHS!N57</f>
        <v>28</v>
      </c>
      <c r="O57" s="330">
        <f>TVM!O57+KLM!O57+PTA!O57+ALP!O57+KTM!O57+IDK!O57+EKM!O57+TSR!O57+PKD!O57+MLPM!O57+KKD!O57+WYD!O57+KNR!O57+KSD!O57+SHS!O57</f>
        <v>471.18599999999998</v>
      </c>
      <c r="P57" s="323">
        <f>TVM!P57+KLM!P57+PTA!P57+ALP!P57+KTM!P57+IDK!P57+EKM!P57+TSR!P57+PKD!P57+MLPM!P57+KKD!P57+WYD!P57+KNR!P57+KSD!P57+SHS!P57</f>
        <v>0</v>
      </c>
      <c r="Q57" s="323">
        <f>TVM!Q57+KLM!Q57+PTA!Q57+ALP!Q57+KTM!Q57+IDK!Q57+EKM!Q57+TSR!Q57+PKD!Q57+MLPM!Q57+KKD!Q57+WYD!Q57+KNR!Q57+KSD!Q57+SHS!Q57</f>
        <v>0</v>
      </c>
      <c r="R57" s="323">
        <f>TVM!R57+KLM!R57+PTA!R57+ALP!R57+KTM!R57+IDK!R57+EKM!R57+TSR!R57+PKD!R57+MLPM!R57+KKD!R57+WYD!R57+KNR!R57+KSD!R57+SHS!R57</f>
        <v>0</v>
      </c>
      <c r="S57" s="323">
        <f>TVM!S57+KLM!S57+PTA!S57+ALP!S57+KTM!S57+IDK!S57+EKM!S57+TSR!S57+PKD!S57+MLPM!S57+KKD!S57+WYD!S57+KNR!S57+KSD!S57+SHS!S57</f>
        <v>0</v>
      </c>
      <c r="T57" s="324">
        <f t="shared" si="0"/>
        <v>1668.0201299999999</v>
      </c>
      <c r="U57" s="324">
        <f>TVM!U57+KLM!U57+PTA!U57+ALP!U57+KTM!U57+IDK!U57+EKM!U57+TSR!U57+PKD!U57+MLPM!U57+KKD!U57+WYD!U57+KNR!U57+KSD!U57+SHS!U57</f>
        <v>1665.6751299999999</v>
      </c>
      <c r="V57" s="354" t="s">
        <v>1381</v>
      </c>
      <c r="W57" s="354" t="s">
        <v>1382</v>
      </c>
      <c r="X57" s="332">
        <v>2214.73</v>
      </c>
      <c r="Y57" s="334">
        <f t="shared" si="1"/>
        <v>-546.70987000000014</v>
      </c>
      <c r="Z57" s="314"/>
      <c r="AA57" s="314"/>
      <c r="AB57" s="314"/>
    </row>
    <row r="58" spans="1:28" ht="204.75" customHeight="1">
      <c r="A58" s="712"/>
      <c r="B58" s="712"/>
      <c r="C58" s="712"/>
      <c r="D58" s="320">
        <v>53</v>
      </c>
      <c r="E58" s="320" t="s">
        <v>111</v>
      </c>
      <c r="F58" s="323">
        <f>TVM!F58+KLM!F58+PTA!F58+ALP!F58+KTM!F58+IDK!F58+EKM!F58+TSR!F58+PKD!F58+MLPM!F58+KKD!F58+WYD!F58+KNR!F58+KSD!F58+SHS!F58</f>
        <v>0</v>
      </c>
      <c r="G58" s="323">
        <f>TVM!G58+KLM!G58+PTA!G58+ALP!G58+KTM!G58+IDK!G58+EKM!G58+TSR!G58+PKD!G58+MLPM!G58+KKD!G58+WYD!G58+KNR!G58+KSD!G58+SHS!G58</f>
        <v>0</v>
      </c>
      <c r="H58" s="323">
        <f>TVM!H58+KLM!H58+PTA!H58+ALP!H58+KTM!H58+IDK!H58+EKM!H58+TSR!H58+PKD!H58+MLPM!H58+KKD!H58+WYD!H58+KNR!H58+KSD!H58+SHS!H58</f>
        <v>0</v>
      </c>
      <c r="I58" s="323">
        <f>TVM!I58+KLM!I58+PTA!I58+ALP!I58+KTM!I58+IDK!I58+EKM!I58+TSR!I58+PKD!I58+MLPM!I58+KKD!I58+WYD!I58+KNR!I58+KSD!I58+SHS!I58</f>
        <v>0</v>
      </c>
      <c r="J58" s="323">
        <f>TVM!J58+KLM!J58+PTA!J58+ALP!J58+KTM!J58+IDK!J58+EKM!J58+TSR!J58+PKD!J58+MLPM!J58+KKD!J58+WYD!J58+KNR!J58+KSD!J58+SHS!J58</f>
        <v>0</v>
      </c>
      <c r="K58" s="329">
        <f>TVM!K58+KLM!K58+PTA!K58+ALP!K58+KTM!K58+IDK!K58+EKM!K58+TSR!K58+PKD!K58+MLPM!K58+KKD!K58+WYD!K58+KNR!K58+KSD!K58+SHS!K58</f>
        <v>223.49</v>
      </c>
      <c r="L58" s="323">
        <f>TVM!L58+KLM!L58+PTA!L58+ALP!L58+KTM!L58+IDK!L58+EKM!L58+TSR!L58+PKD!L58+MLPM!L58+KKD!L58+WYD!L58+KNR!L58+KSD!L58+SHS!L58</f>
        <v>0</v>
      </c>
      <c r="M58" s="323">
        <f>TVM!M58+KLM!M58+PTA!M58+ALP!M58+KTM!M58+IDK!M58+EKM!M58+TSR!M58+PKD!M58+MLPM!M58+KKD!M58+WYD!M58+KNR!M58+KSD!M58+SHS!M58</f>
        <v>0</v>
      </c>
      <c r="N58" s="329">
        <f>TVM!N58+KLM!N58+PTA!N58+ALP!N58+KTM!N58+IDK!N58+EKM!N58+TSR!N58+PKD!N58+MLPM!N58+KKD!N58+WYD!N58+KNR!N58+KSD!N58+SHS!N58</f>
        <v>82.995000000000005</v>
      </c>
      <c r="O58" s="330">
        <f>TVM!O58+KLM!O58+PTA!O58+ALP!O58+KTM!O58+IDK!O58+EKM!O58+TSR!O58+PKD!O58+MLPM!O58+KKD!O58+WYD!O58+KNR!O58+KSD!O58+SHS!O58</f>
        <v>52.353999999999999</v>
      </c>
      <c r="P58" s="323">
        <f>TVM!P58+KLM!P58+PTA!P58+ALP!P58+KTM!P58+IDK!P58+EKM!P58+TSR!P58+PKD!P58+MLPM!P58+KKD!P58+WYD!P58+KNR!P58+KSD!P58+SHS!P58</f>
        <v>0</v>
      </c>
      <c r="Q58" s="330">
        <f>TVM!Q58+KLM!Q58+PTA!Q58+ALP!Q58+KTM!Q58+IDK!Q58+EKM!Q58+TSR!Q58+PKD!Q58+MLPM!Q58+KKD!Q58+WYD!Q58+KNR!Q58+KSD!Q58+SHS!Q58</f>
        <v>42</v>
      </c>
      <c r="R58" s="323">
        <f>TVM!R58+KLM!R58+PTA!R58+ALP!R58+KTM!R58+IDK!R58+EKM!R58+TSR!R58+PKD!R58+MLPM!R58+KKD!R58+WYD!R58+KNR!R58+KSD!R58+SHS!R58</f>
        <v>0</v>
      </c>
      <c r="S58" s="323">
        <f>TVM!S58+KLM!S58+PTA!S58+ALP!S58+KTM!S58+IDK!S58+EKM!S58+TSR!S58+PKD!S58+MLPM!S58+KKD!S58+WYD!S58+KNR!S58+KSD!S58+SHS!S58</f>
        <v>0</v>
      </c>
      <c r="T58" s="356">
        <f t="shared" si="0"/>
        <v>400.839</v>
      </c>
      <c r="U58" s="356">
        <f>TVM!U58+KLM!U58+PTA!U58+ALP!U58+KTM!U58+IDK!U58+EKM!U58+TSR!U58+PKD!U58+MLPM!U58+KKD!U58+WYD!U58+KNR!U58+KSD!U58+SHS!U58</f>
        <v>400.83900000000006</v>
      </c>
      <c r="V58" s="14" t="s">
        <v>1383</v>
      </c>
      <c r="W58" s="14" t="s">
        <v>1384</v>
      </c>
      <c r="X58" s="332">
        <v>581</v>
      </c>
      <c r="Y58" s="328">
        <f t="shared" si="1"/>
        <v>-180.161</v>
      </c>
      <c r="Z58" s="314"/>
      <c r="AA58" s="314"/>
      <c r="AB58" s="314"/>
    </row>
    <row r="59" spans="1:28" ht="131.25" customHeight="1">
      <c r="A59" s="712"/>
      <c r="B59" s="712"/>
      <c r="C59" s="712"/>
      <c r="D59" s="320">
        <v>54</v>
      </c>
      <c r="E59" s="320" t="s">
        <v>113</v>
      </c>
      <c r="F59" s="323">
        <f>TVM!F59+KLM!F59+PTA!F59+ALP!F59+KTM!F59+IDK!F59+EKM!F59+TSR!F59+PKD!F59+MLPM!F59+KKD!F59+WYD!F59+KNR!F59+KSD!F59+SHS!F59</f>
        <v>0</v>
      </c>
      <c r="G59" s="323">
        <f>TVM!G59+KLM!G59+PTA!G59+ALP!G59+KTM!G59+IDK!G59+EKM!G59+TSR!G59+PKD!G59+MLPM!G59+KKD!G59+WYD!G59+KNR!G59+KSD!G59+SHS!G59</f>
        <v>0</v>
      </c>
      <c r="H59" s="330">
        <f>TVM!H59+KLM!H59+PTA!H59+ALP!H59+KTM!H59+IDK!H59+EKM!H59+TSR!H59+PKD!H59+MLPM!H59+KKD!H59+WYD!H59+KNR!H59+KSD!H59+SHS!H59</f>
        <v>0</v>
      </c>
      <c r="I59" s="323">
        <f>TVM!I59+KLM!I59+PTA!I59+ALP!I59+KTM!I59+IDK!I59+EKM!I59+TSR!I59+PKD!I59+MLPM!I59+KKD!I59+WYD!I59+KNR!I59+KSD!I59+SHS!I59</f>
        <v>0</v>
      </c>
      <c r="J59" s="323">
        <f>TVM!J59+KLM!J59+PTA!J59+ALP!J59+KTM!J59+IDK!J59+EKM!J59+TSR!J59+PKD!J59+MLPM!J59+KKD!J59+WYD!J59+KNR!J59+KSD!J59+SHS!J59</f>
        <v>0</v>
      </c>
      <c r="K59" s="323">
        <f>TVM!K59+KLM!K59+PTA!K59+ALP!K59+KTM!K59+IDK!K59+EKM!K59+TSR!K59+PKD!K59+MLPM!K59+KKD!K59+WYD!K59+KNR!K59+KSD!K59+SHS!K59</f>
        <v>0</v>
      </c>
      <c r="L59" s="323">
        <f>TVM!L59+KLM!L59+PTA!L59+ALP!L59+KTM!L59+IDK!L59+EKM!L59+TSR!L59+PKD!L59+MLPM!L59+KKD!L59+WYD!L59+KNR!L59+KSD!L59+SHS!L59</f>
        <v>0</v>
      </c>
      <c r="M59" s="323">
        <f>TVM!M59+KLM!M59+PTA!M59+ALP!M59+KTM!M59+IDK!M59+EKM!M59+TSR!M59+PKD!M59+MLPM!M59+KKD!M59+WYD!M59+KNR!M59+KSD!M59+SHS!M59</f>
        <v>0</v>
      </c>
      <c r="N59" s="323">
        <f>TVM!N59+KLM!N59+PTA!N59+ALP!N59+KTM!N59+IDK!N59+EKM!N59+TSR!N59+PKD!N59+MLPM!N59+KKD!N59+WYD!N59+KNR!N59+KSD!N59+SHS!N59</f>
        <v>0</v>
      </c>
      <c r="O59" s="330">
        <f>TVM!O59+KLM!O59+PTA!O59+ALP!O59+KTM!O59+IDK!O59+EKM!O59+TSR!O59+PKD!O59+MLPM!O59+KKD!O59+WYD!O59+KNR!O59+KSD!O59+SHS!O59</f>
        <v>0.45</v>
      </c>
      <c r="P59" s="330">
        <f>TVM!P59+KLM!P59+PTA!P59+ALP!P59+KTM!P59+IDK!P59+EKM!P59+TSR!P59+PKD!P59+MLPM!P59+KKD!P59+WYD!P59+KNR!P59+KSD!P59+SHS!P59</f>
        <v>8</v>
      </c>
      <c r="Q59" s="323">
        <f>TVM!Q59+KLM!Q59+PTA!Q59+ALP!Q59+KTM!Q59+IDK!Q59+EKM!Q59+TSR!Q59+PKD!Q59+MLPM!Q59+KKD!Q59+WYD!Q59+KNR!Q59+KSD!Q59+SHS!Q59</f>
        <v>0</v>
      </c>
      <c r="R59" s="323">
        <f>TVM!R59+KLM!R59+PTA!R59+ALP!R59+KTM!R59+IDK!R59+EKM!R59+TSR!R59+PKD!R59+MLPM!R59+KKD!R59+WYD!R59+KNR!R59+KSD!R59+SHS!R59</f>
        <v>0</v>
      </c>
      <c r="S59" s="323">
        <f>TVM!S59+KLM!S59+PTA!S59+ALP!S59+KTM!S59+IDK!S59+EKM!S59+TSR!S59+PKD!S59+MLPM!S59+KKD!S59+WYD!S59+KNR!S59+KSD!S59+SHS!S59</f>
        <v>0</v>
      </c>
      <c r="T59" s="324">
        <f t="shared" si="0"/>
        <v>8.4499999999999993</v>
      </c>
      <c r="U59" s="324">
        <f>TVM!U59+KLM!U59+PTA!U59+ALP!U59+KTM!U59+IDK!U59+EKM!U59+TSR!U59+PKD!U59+MLPM!U59+KKD!U59+WYD!U59+KNR!U59+KSD!U59+SHS!U59</f>
        <v>8.4499999999999993</v>
      </c>
      <c r="V59" s="13" t="s">
        <v>1385</v>
      </c>
      <c r="W59" s="13" t="s">
        <v>1386</v>
      </c>
      <c r="X59" s="332">
        <v>8.41</v>
      </c>
      <c r="Y59" s="328">
        <f t="shared" si="1"/>
        <v>3.9999999999999147E-2</v>
      </c>
      <c r="Z59" s="314"/>
      <c r="AA59" s="314"/>
      <c r="AB59" s="314"/>
    </row>
    <row r="60" spans="1:28" ht="39.75" customHeight="1">
      <c r="A60" s="712"/>
      <c r="B60" s="712"/>
      <c r="C60" s="712"/>
      <c r="D60" s="320">
        <v>55</v>
      </c>
      <c r="E60" s="320" t="s">
        <v>114</v>
      </c>
      <c r="F60" s="323">
        <f>TVM!F60+KLM!F60+PTA!F60+ALP!F60+KTM!F60+IDK!F60+EKM!F60+TSR!F60+PKD!F60+MLPM!F60+KKD!F60+WYD!F60+KNR!F60+KSD!F60+SHS!F60</f>
        <v>0</v>
      </c>
      <c r="G60" s="323">
        <f>TVM!G60+KLM!G60+PTA!G60+ALP!G60+KTM!G60+IDK!G60+EKM!G60+TSR!G60+PKD!G60+MLPM!G60+KKD!G60+WYD!G60+KNR!G60+KSD!G60+SHS!G60</f>
        <v>0</v>
      </c>
      <c r="H60" s="323">
        <f>TVM!H60+KLM!H60+PTA!H60+ALP!H60+KTM!H60+IDK!H60+EKM!H60+TSR!H60+PKD!H60+MLPM!H60+KKD!H60+WYD!H60+KNR!H60+KSD!H60+SHS!H60</f>
        <v>0</v>
      </c>
      <c r="I60" s="323">
        <f>TVM!I60+KLM!I60+PTA!I60+ALP!I60+KTM!I60+IDK!I60+EKM!I60+TSR!I60+PKD!I60+MLPM!I60+KKD!I60+WYD!I60+KNR!I60+KSD!I60+SHS!I60</f>
        <v>0</v>
      </c>
      <c r="J60" s="323">
        <f>TVM!J60+KLM!J60+PTA!J60+ALP!J60+KTM!J60+IDK!J60+EKM!J60+TSR!J60+PKD!J60+MLPM!J60+KKD!J60+WYD!J60+KNR!J60+KSD!J60+SHS!J60</f>
        <v>0</v>
      </c>
      <c r="K60" s="329">
        <f>TVM!K60+KLM!K60+PTA!K60+ALP!K60+KTM!K60+IDK!K60+EKM!K60+TSR!K60+PKD!K60+MLPM!K60+KKD!K60+WYD!K60+KNR!K60+KSD!K60+SHS!K60</f>
        <v>48.6</v>
      </c>
      <c r="L60" s="323">
        <f>TVM!L60+KLM!L60+PTA!L60+ALP!L60+KTM!L60+IDK!L60+EKM!L60+TSR!L60+PKD!L60+MLPM!L60+KKD!L60+WYD!L60+KNR!L60+KSD!L60+SHS!L60</f>
        <v>0</v>
      </c>
      <c r="M60" s="323">
        <f>TVM!M60+KLM!M60+PTA!M60+ALP!M60+KTM!M60+IDK!M60+EKM!M60+TSR!M60+PKD!M60+MLPM!M60+KKD!M60+WYD!M60+KNR!M60+KSD!M60+SHS!M60</f>
        <v>0</v>
      </c>
      <c r="N60" s="323">
        <f>TVM!N60+KLM!N60+PTA!N60+ALP!N60+KTM!N60+IDK!N60+EKM!N60+TSR!N60+PKD!N60+MLPM!N60+KKD!N60+WYD!N60+KNR!N60+KSD!N60+SHS!N60</f>
        <v>0</v>
      </c>
      <c r="O60" s="323">
        <f>TVM!O60+KLM!O60+PTA!O60+ALP!O60+KTM!O60+IDK!O60+EKM!O60+TSR!O60+PKD!O60+MLPM!O60+KKD!O60+WYD!O60+KNR!O60+KSD!O60+SHS!O60</f>
        <v>0</v>
      </c>
      <c r="P60" s="323">
        <f>TVM!P60+KLM!P60+PTA!P60+ALP!P60+KTM!P60+IDK!P60+EKM!P60+TSR!P60+PKD!P60+MLPM!P60+KKD!P60+WYD!P60+KNR!P60+KSD!P60+SHS!P60</f>
        <v>0</v>
      </c>
      <c r="Q60" s="323">
        <f>TVM!Q60+KLM!Q60+PTA!Q60+ALP!Q60+KTM!Q60+IDK!Q60+EKM!Q60+TSR!Q60+PKD!Q60+MLPM!Q60+KKD!Q60+WYD!Q60+KNR!Q60+KSD!Q60+SHS!Q60</f>
        <v>0</v>
      </c>
      <c r="R60" s="323">
        <f>TVM!R60+KLM!R60+PTA!R60+ALP!R60+KTM!R60+IDK!R60+EKM!R60+TSR!R60+PKD!R60+MLPM!R60+KKD!R60+WYD!R60+KNR!R60+KSD!R60+SHS!R60</f>
        <v>0</v>
      </c>
      <c r="S60" s="323">
        <f>TVM!S60+KLM!S60+PTA!S60+ALP!S60+KTM!S60+IDK!S60+EKM!S60+TSR!S60+PKD!S60+MLPM!S60+KKD!S60+WYD!S60+KNR!S60+KSD!S60+SHS!S60</f>
        <v>0</v>
      </c>
      <c r="T60" s="324">
        <f t="shared" si="0"/>
        <v>48.6</v>
      </c>
      <c r="U60" s="324">
        <f>TVM!U60+KLM!U60+PTA!U60+ALP!U60+KTM!U60+IDK!U60+EKM!U60+TSR!U60+PKD!U60+MLPM!U60+KKD!U60+WYD!U60+KNR!U60+KSD!U60+SHS!U60</f>
        <v>48.6</v>
      </c>
      <c r="V60" s="13" t="s">
        <v>1387</v>
      </c>
      <c r="W60" s="13" t="s">
        <v>1387</v>
      </c>
      <c r="X60" s="332">
        <v>97.57</v>
      </c>
      <c r="Y60" s="328">
        <f t="shared" si="1"/>
        <v>-48.969999999999992</v>
      </c>
      <c r="Z60" s="314"/>
      <c r="AA60" s="314"/>
      <c r="AB60" s="314"/>
    </row>
    <row r="61" spans="1:28" ht="82.5" customHeight="1">
      <c r="A61" s="712"/>
      <c r="B61" s="712"/>
      <c r="C61" s="712"/>
      <c r="D61" s="320">
        <v>56</v>
      </c>
      <c r="E61" s="320" t="s">
        <v>115</v>
      </c>
      <c r="F61" s="323">
        <f>TVM!F61+KLM!F61+PTA!F61+ALP!F61+KTM!F61+IDK!F61+EKM!F61+TSR!F61+PKD!F61+MLPM!F61+KKD!F61+WYD!F61+KNR!F61+KSD!F61+SHS!F61</f>
        <v>0</v>
      </c>
      <c r="G61" s="323">
        <f>TVM!G61+KLM!G61+PTA!G61+ALP!G61+KTM!G61+IDK!G61+EKM!G61+TSR!G61+PKD!G61+MLPM!G61+KKD!G61+WYD!G61+KNR!G61+KSD!G61+SHS!G61</f>
        <v>0</v>
      </c>
      <c r="H61" s="323">
        <f>TVM!H61+KLM!H61+PTA!H61+ALP!H61+KTM!H61+IDK!H61+EKM!H61+TSR!H61+PKD!H61+MLPM!H61+KKD!H61+WYD!H61+KNR!H61+KSD!H61+SHS!H61</f>
        <v>0</v>
      </c>
      <c r="I61" s="323">
        <f>TVM!I61+KLM!I61+PTA!I61+ALP!I61+KTM!I61+IDK!I61+EKM!I61+TSR!I61+PKD!I61+MLPM!I61+KKD!I61+WYD!I61+KNR!I61+KSD!I61+SHS!I61</f>
        <v>0</v>
      </c>
      <c r="J61" s="323">
        <f>TVM!J61+KLM!J61+PTA!J61+ALP!J61+KTM!J61+IDK!J61+EKM!J61+TSR!J61+PKD!J61+MLPM!J61+KKD!J61+WYD!J61+KNR!J61+KSD!J61+SHS!J61</f>
        <v>0</v>
      </c>
      <c r="K61" s="323">
        <f>TVM!K61+KLM!K61+PTA!K61+ALP!K61+KTM!K61+IDK!K61+EKM!K61+TSR!K61+PKD!K61+MLPM!K61+KKD!K61+WYD!K61+KNR!K61+KSD!K61+SHS!K61</f>
        <v>0</v>
      </c>
      <c r="L61" s="323">
        <f>TVM!L61+KLM!L61+PTA!L61+ALP!L61+KTM!L61+IDK!L61+EKM!L61+TSR!L61+PKD!L61+MLPM!L61+KKD!L61+WYD!L61+KNR!L61+KSD!L61+SHS!L61</f>
        <v>0</v>
      </c>
      <c r="M61" s="323">
        <f>TVM!M61+KLM!M61+PTA!M61+ALP!M61+KTM!M61+IDK!M61+EKM!M61+TSR!M61+PKD!M61+MLPM!M61+KKD!M61+WYD!M61+KNR!M61+KSD!M61+SHS!M61</f>
        <v>0</v>
      </c>
      <c r="N61" s="323">
        <f>TVM!N61+KLM!N61+PTA!N61+ALP!N61+KTM!N61+IDK!N61+EKM!N61+TSR!N61+PKD!N61+MLPM!N61+KKD!N61+WYD!N61+KNR!N61+KSD!N61+SHS!N61</f>
        <v>0</v>
      </c>
      <c r="O61" s="330">
        <f>TVM!O61+KLM!O61+PTA!O61+ALP!O61+KTM!O61+IDK!O61+EKM!O61+TSR!O61+PKD!O61+MLPM!O61+KKD!O61+WYD!O61+KNR!O61+KSD!O61+SHS!O61</f>
        <v>104.71</v>
      </c>
      <c r="P61" s="323">
        <f>TVM!P61+KLM!P61+PTA!P61+ALP!P61+KTM!P61+IDK!P61+EKM!P61+TSR!P61+PKD!P61+MLPM!P61+KKD!P61+WYD!P61+KNR!P61+KSD!P61+SHS!P61</f>
        <v>0</v>
      </c>
      <c r="Q61" s="323">
        <f>TVM!Q61+KLM!Q61+PTA!Q61+ALP!Q61+KTM!Q61+IDK!Q61+EKM!Q61+TSR!Q61+PKD!Q61+MLPM!Q61+KKD!Q61+WYD!Q61+KNR!Q61+KSD!Q61+SHS!Q61</f>
        <v>12</v>
      </c>
      <c r="R61" s="323">
        <f>TVM!R61+KLM!R61+PTA!R61+ALP!R61+KTM!R61+IDK!R61+EKM!R61+TSR!R61+PKD!R61+MLPM!R61+KKD!R61+WYD!R61+KNR!R61+KSD!R61+SHS!R61</f>
        <v>0</v>
      </c>
      <c r="S61" s="323">
        <f>TVM!S61+KLM!S61+PTA!S61+ALP!S61+KTM!S61+IDK!S61+EKM!S61+TSR!S61+PKD!S61+MLPM!S61+KKD!S61+WYD!S61+KNR!S61+KSD!S61+SHS!S61</f>
        <v>0</v>
      </c>
      <c r="T61" s="324">
        <f t="shared" si="0"/>
        <v>116.71</v>
      </c>
      <c r="U61" s="324">
        <f>TVM!U61+KLM!U61+PTA!U61+ALP!U61+KTM!U61+IDK!U61+EKM!U61+TSR!U61+PKD!U61+MLPM!U61+KKD!U61+WYD!U61+KNR!U61+KSD!U61+SHS!U61</f>
        <v>116.71</v>
      </c>
      <c r="V61" s="357" t="s">
        <v>1388</v>
      </c>
      <c r="W61" s="357" t="s">
        <v>1389</v>
      </c>
      <c r="X61" s="332">
        <v>105.77</v>
      </c>
      <c r="Y61" s="328">
        <f t="shared" si="1"/>
        <v>10.939999999999998</v>
      </c>
      <c r="Z61" s="314"/>
      <c r="AA61" s="314"/>
      <c r="AB61" s="314"/>
    </row>
    <row r="62" spans="1:28" ht="128.25" customHeight="1">
      <c r="A62" s="712"/>
      <c r="B62" s="712"/>
      <c r="C62" s="712"/>
      <c r="D62" s="320">
        <v>57</v>
      </c>
      <c r="E62" s="320" t="s">
        <v>116</v>
      </c>
      <c r="F62" s="323">
        <f>TVM!F62+KLM!F62+PTA!F62+ALP!F62+KTM!F62+IDK!F62+EKM!F62+TSR!F62+PKD!F62+MLPM!F62+KKD!F62+WYD!F62+KNR!F62+KSD!F62+SHS!F62</f>
        <v>0</v>
      </c>
      <c r="G62" s="323">
        <f>TVM!G62+KLM!G62+PTA!G62+ALP!G62+KTM!G62+IDK!G62+EKM!G62+TSR!G62+PKD!G62+MLPM!G62+KKD!G62+WYD!G62+KNR!G62+KSD!G62+SHS!G62</f>
        <v>0</v>
      </c>
      <c r="H62" s="330">
        <f>TVM!H62+KLM!H62+PTA!H62+ALP!H62+KTM!H62+IDK!H62+EKM!H62+TSR!H62+PKD!H62+MLPM!H62+KKD!H62+WYD!H62+KNR!H62+KSD!H62+SHS!H62</f>
        <v>0</v>
      </c>
      <c r="I62" s="323">
        <f>TVM!I62+KLM!I62+PTA!I62+ALP!I62+KTM!I62+IDK!I62+EKM!I62+TSR!I62+PKD!I62+MLPM!I62+KKD!I62+WYD!I62+KNR!I62+KSD!I62+SHS!I62</f>
        <v>0</v>
      </c>
      <c r="J62" s="323">
        <f>TVM!J62+KLM!J62+PTA!J62+ALP!J62+KTM!J62+IDK!J62+EKM!J62+TSR!J62+PKD!J62+MLPM!J62+KKD!J62+WYD!J62+KNR!J62+KSD!J62+SHS!J62</f>
        <v>0</v>
      </c>
      <c r="K62" s="323">
        <f>TVM!K62+KLM!K62+PTA!K62+ALP!K62+KTM!K62+IDK!K62+EKM!K62+TSR!K62+PKD!K62+MLPM!K62+KKD!K62+WYD!K62+KNR!K62+KSD!K62+SHS!K62</f>
        <v>0</v>
      </c>
      <c r="L62" s="323">
        <f>TVM!L62+KLM!L62+PTA!L62+ALP!L62+KTM!L62+IDK!L62+EKM!L62+TSR!L62+PKD!L62+MLPM!L62+KKD!L62+WYD!L62+KNR!L62+KSD!L62+SHS!L62</f>
        <v>0</v>
      </c>
      <c r="M62" s="330">
        <f>TVM!M62+KLM!M62+PTA!M62+ALP!M62+KTM!M62+IDK!M62+EKM!M62+TSR!M62+PKD!M62+MLPM!M62+KKD!M62+WYD!M62+KNR!M62+KSD!M62+SHS!M62</f>
        <v>32.01</v>
      </c>
      <c r="N62" s="323">
        <f>TVM!N62+KLM!N62+PTA!N62+ALP!N62+KTM!N62+IDK!N62+EKM!N62+TSR!N62+PKD!N62+MLPM!N62+KKD!N62+WYD!N62+KNR!N62+KSD!N62+SHS!N62</f>
        <v>0</v>
      </c>
      <c r="O62" s="323">
        <f>TVM!O62+KLM!O62+PTA!O62+ALP!O62+KTM!O62+IDK!O62+EKM!O62+TSR!O62+PKD!O62+MLPM!O62+KKD!O62+WYD!O62+KNR!O62+KSD!O62+SHS!O62</f>
        <v>0</v>
      </c>
      <c r="P62" s="323">
        <f>TVM!P62+KLM!P62+PTA!P62+ALP!P62+KTM!P62+IDK!P62+EKM!P62+TSR!P62+PKD!P62+MLPM!P62+KKD!P62+WYD!P62+KNR!P62+KSD!P62+SHS!P62</f>
        <v>0</v>
      </c>
      <c r="Q62" s="323">
        <f>TVM!Q62+KLM!Q62+PTA!Q62+ALP!Q62+KTM!Q62+IDK!Q62+EKM!Q62+TSR!Q62+PKD!Q62+MLPM!Q62+KKD!Q62+WYD!Q62+KNR!Q62+KSD!Q62+SHS!Q62</f>
        <v>0</v>
      </c>
      <c r="R62" s="323">
        <f>TVM!R62+KLM!R62+PTA!R62+ALP!R62+KTM!R62+IDK!R62+EKM!R62+TSR!R62+PKD!R62+MLPM!R62+KKD!R62+WYD!R62+KNR!R62+KSD!R62+SHS!R62</f>
        <v>0</v>
      </c>
      <c r="S62" s="323">
        <f>TVM!S62+KLM!S62+PTA!S62+ALP!S62+KTM!S62+IDK!S62+EKM!S62+TSR!S62+PKD!S62+MLPM!S62+KKD!S62+WYD!S62+KNR!S62+KSD!S62+SHS!S62</f>
        <v>0</v>
      </c>
      <c r="T62" s="324">
        <f t="shared" si="0"/>
        <v>32.01</v>
      </c>
      <c r="U62" s="324">
        <f>TVM!U62+KLM!U62+PTA!U62+ALP!U62+KTM!U62+IDK!U62+EKM!U62+TSR!U62+PKD!U62+MLPM!U62+KKD!U62+WYD!U62+KNR!U62+KSD!U62+SHS!U62</f>
        <v>32.01</v>
      </c>
      <c r="V62" s="354" t="s">
        <v>1390</v>
      </c>
      <c r="W62" s="354" t="s">
        <v>1390</v>
      </c>
      <c r="X62" s="332">
        <v>80.37</v>
      </c>
      <c r="Y62" s="328">
        <f t="shared" si="1"/>
        <v>-48.360000000000007</v>
      </c>
      <c r="Z62" s="314"/>
      <c r="AA62" s="314"/>
      <c r="AB62" s="314"/>
    </row>
    <row r="63" spans="1:28" ht="161.25" customHeight="1">
      <c r="A63" s="712"/>
      <c r="B63" s="712"/>
      <c r="C63" s="712"/>
      <c r="D63" s="320">
        <v>58</v>
      </c>
      <c r="E63" s="320" t="s">
        <v>117</v>
      </c>
      <c r="F63" s="323">
        <f>TVM!F63+KLM!F63+PTA!F63+ALP!F63+KTM!F63+IDK!F63+EKM!F63+TSR!F63+PKD!F63+MLPM!F63+KKD!F63+WYD!F63+KNR!F63+KSD!F63+SHS!F63</f>
        <v>0</v>
      </c>
      <c r="G63" s="323">
        <f>TVM!G63+KLM!G63+PTA!G63+ALP!G63+KTM!G63+IDK!G63+EKM!G63+TSR!G63+PKD!G63+MLPM!G63+KKD!G63+WYD!G63+KNR!G63+KSD!G63+SHS!G63</f>
        <v>0</v>
      </c>
      <c r="H63" s="323">
        <f>TVM!H63+KLM!H63+PTA!H63+ALP!H63+KTM!H63+IDK!H63+EKM!H63+TSR!H63+PKD!H63+MLPM!H63+KKD!H63+WYD!H63+KNR!H63+KSD!H63+SHS!H63</f>
        <v>0</v>
      </c>
      <c r="I63" s="323">
        <f>TVM!I63+KLM!I63+PTA!I63+ALP!I63+KTM!I63+IDK!I63+EKM!I63+TSR!I63+PKD!I63+MLPM!I63+KKD!I63+WYD!I63+KNR!I63+KSD!I63+SHS!I63</f>
        <v>0</v>
      </c>
      <c r="J63" s="323">
        <f>TVM!J63+KLM!J63+PTA!J63+ALP!J63+KTM!J63+IDK!J63+EKM!J63+TSR!J63+PKD!J63+MLPM!J63+KKD!J63+WYD!J63+KNR!J63+KSD!J63+SHS!J63</f>
        <v>0</v>
      </c>
      <c r="K63" s="329">
        <f>TVM!K63+KLM!K63+PTA!K63+ALP!K63+KTM!K63+IDK!K63+EKM!K63+TSR!K63+PKD!K63+MLPM!K63+KKD!K63+WYD!K63+KNR!K63+KSD!K63+SHS!K63</f>
        <v>82.73</v>
      </c>
      <c r="L63" s="323">
        <f>TVM!L63+KLM!L63+PTA!L63+ALP!L63+KTM!L63+IDK!L63+EKM!L63+TSR!L63+PKD!L63+MLPM!L63+KKD!L63+WYD!L63+KNR!L63+KSD!L63+SHS!L63</f>
        <v>0</v>
      </c>
      <c r="M63" s="323">
        <f>TVM!M63+KLM!M63+PTA!M63+ALP!M63+KTM!M63+IDK!M63+EKM!M63+TSR!M63+PKD!M63+MLPM!M63+KKD!M63+WYD!M63+KNR!M63+KSD!M63+SHS!M63</f>
        <v>0</v>
      </c>
      <c r="N63" s="323">
        <f>TVM!N63+KLM!N63+PTA!N63+ALP!N63+KTM!N63+IDK!N63+EKM!N63+TSR!N63+PKD!N63+MLPM!N63+KKD!N63+WYD!N63+KNR!N63+KSD!N63+SHS!N63</f>
        <v>0</v>
      </c>
      <c r="O63" s="343">
        <f>TVM!O63+KLM!O63+PTA!O63+ALP!O63+KTM!O63+IDK!O63+EKM!O63+TSR!O63+PKD!O63+MLPM!O63+KKD!O63+WYD!O63+KNR!O63+KSD!O63+SHS!O63</f>
        <v>26.177</v>
      </c>
      <c r="P63" s="323">
        <f>TVM!P63+KLM!P63+PTA!P63+ALP!P63+KTM!P63+IDK!P63+EKM!P63+TSR!P63+PKD!P63+MLPM!P63+KKD!P63+WYD!P63+KNR!P63+KSD!P63+SHS!P63</f>
        <v>0</v>
      </c>
      <c r="Q63" s="330">
        <f>TVM!Q63+KLM!Q63+PTA!Q63+ALP!Q63+KTM!Q63+IDK!Q63+EKM!Q63+TSR!Q63+PKD!Q63+MLPM!Q63+KKD!Q63+WYD!Q63+KNR!Q63+KSD!Q63+SHS!Q63</f>
        <v>10.5</v>
      </c>
      <c r="R63" s="323">
        <f>TVM!R63+KLM!R63+PTA!R63+ALP!R63+KTM!R63+IDK!R63+EKM!R63+TSR!R63+PKD!R63+MLPM!R63+KKD!R63+WYD!R63+KNR!R63+KSD!R63+SHS!R63</f>
        <v>1.05</v>
      </c>
      <c r="S63" s="323">
        <f>TVM!S63+KLM!S63+PTA!S63+ALP!S63+KTM!S63+IDK!S63+EKM!S63+TSR!S63+PKD!S63+MLPM!S63+KKD!S63+WYD!S63+KNR!S63+KSD!S63+SHS!S63</f>
        <v>0</v>
      </c>
      <c r="T63" s="324">
        <f t="shared" si="0"/>
        <v>120.45700000000001</v>
      </c>
      <c r="U63" s="324">
        <f>TVM!U63+KLM!U63+PTA!U63+ALP!U63+KTM!U63+IDK!U63+EKM!U63+TSR!U63+PKD!U63+MLPM!U63+KKD!U63+WYD!U63+KNR!U63+KSD!U63+SHS!U63</f>
        <v>120.45699999999999</v>
      </c>
      <c r="V63" s="13" t="s">
        <v>1391</v>
      </c>
      <c r="W63" s="358" t="s">
        <v>1392</v>
      </c>
      <c r="X63" s="332">
        <v>120.15</v>
      </c>
      <c r="Y63" s="328">
        <f t="shared" si="1"/>
        <v>0.30700000000000216</v>
      </c>
      <c r="Z63" s="314"/>
      <c r="AA63" s="314"/>
      <c r="AB63" s="314"/>
    </row>
    <row r="64" spans="1:28" ht="39.75" customHeight="1">
      <c r="A64" s="712"/>
      <c r="B64" s="712"/>
      <c r="C64" s="712"/>
      <c r="D64" s="320">
        <v>59</v>
      </c>
      <c r="E64" s="320" t="s">
        <v>119</v>
      </c>
      <c r="F64" s="323">
        <f>TVM!F64+KLM!F64+PTA!F64+ALP!F64+KTM!F64+IDK!F64+EKM!F64+TSR!F64+PKD!F64+MLPM!F64+KKD!F64+WYD!F64+KNR!F64+KSD!F64+SHS!F64</f>
        <v>0</v>
      </c>
      <c r="G64" s="323">
        <f>TVM!G64+KLM!G64+PTA!G64+ALP!G64+KTM!G64+IDK!G64+EKM!G64+TSR!G64+PKD!G64+MLPM!G64+KKD!G64+WYD!G64+KNR!G64+KSD!G64+SHS!G64</f>
        <v>0</v>
      </c>
      <c r="H64" s="323">
        <f>TVM!H64+KLM!H64+PTA!H64+ALP!H64+KTM!H64+IDK!H64+EKM!H64+TSR!H64+PKD!H64+MLPM!H64+KKD!H64+WYD!H64+KNR!H64+KSD!H64+SHS!H64</f>
        <v>0</v>
      </c>
      <c r="I64" s="323">
        <f>TVM!I64+KLM!I64+PTA!I64+ALP!I64+KTM!I64+IDK!I64+EKM!I64+TSR!I64+PKD!I64+MLPM!I64+KKD!I64+WYD!I64+KNR!I64+KSD!I64+SHS!I64</f>
        <v>0</v>
      </c>
      <c r="J64" s="323">
        <f>TVM!J64+KLM!J64+PTA!J64+ALP!J64+KTM!J64+IDK!J64+EKM!J64+TSR!J64+PKD!J64+MLPM!J64+KKD!J64+WYD!J64+KNR!J64+KSD!J64+SHS!J64</f>
        <v>0</v>
      </c>
      <c r="K64" s="323">
        <f>TVM!K64+KLM!K64+PTA!K64+ALP!K64+KTM!K64+IDK!K64+EKM!K64+TSR!K64+PKD!K64+MLPM!K64+KKD!K64+WYD!K64+KNR!K64+KSD!K64+SHS!K64</f>
        <v>0</v>
      </c>
      <c r="L64" s="323">
        <f>TVM!L64+KLM!L64+PTA!L64+ALP!L64+KTM!L64+IDK!L64+EKM!L64+TSR!L64+PKD!L64+MLPM!L64+KKD!L64+WYD!L64+KNR!L64+KSD!L64+SHS!L64</f>
        <v>0</v>
      </c>
      <c r="M64" s="323">
        <f>TVM!M64+KLM!M64+PTA!M64+ALP!M64+KTM!M64+IDK!M64+EKM!M64+TSR!M64+PKD!M64+MLPM!M64+KKD!M64+WYD!M64+KNR!M64+KSD!M64+SHS!M64</f>
        <v>0</v>
      </c>
      <c r="N64" s="323">
        <f>TVM!N64+KLM!N64+PTA!N64+ALP!N64+KTM!N64+IDK!N64+EKM!N64+TSR!N64+PKD!N64+MLPM!N64+KKD!N64+WYD!N64+KNR!N64+KSD!N64+SHS!N64</f>
        <v>0</v>
      </c>
      <c r="O64" s="323">
        <f>TVM!O64+KLM!O64+PTA!O64+ALP!O64+KTM!O64+IDK!O64+EKM!O64+TSR!O64+PKD!O64+MLPM!O64+KKD!O64+WYD!O64+KNR!O64+KSD!O64+SHS!O64</f>
        <v>0</v>
      </c>
      <c r="P64" s="323">
        <f>TVM!P64+KLM!P64+PTA!P64+ALP!P64+KTM!P64+IDK!P64+EKM!P64+TSR!P64+PKD!P64+MLPM!P64+KKD!P64+WYD!P64+KNR!P64+KSD!P64+SHS!P64</f>
        <v>120</v>
      </c>
      <c r="Q64" s="323">
        <f>TVM!Q64+KLM!Q64+PTA!Q64+ALP!Q64+KTM!Q64+IDK!Q64+EKM!Q64+TSR!Q64+PKD!Q64+MLPM!Q64+KKD!Q64+WYD!Q64+KNR!Q64+KSD!Q64+SHS!Q64</f>
        <v>0</v>
      </c>
      <c r="R64" s="323">
        <f>TVM!R64+KLM!R64+PTA!R64+ALP!R64+KTM!R64+IDK!R64+EKM!R64+TSR!R64+PKD!R64+MLPM!R64+KKD!R64+WYD!R64+KNR!R64+KSD!R64+SHS!R64</f>
        <v>0</v>
      </c>
      <c r="S64" s="323">
        <f>TVM!S64+KLM!S64+PTA!S64+ALP!S64+KTM!S64+IDK!S64+EKM!S64+TSR!S64+PKD!S64+MLPM!S64+KKD!S64+WYD!S64+KNR!S64+KSD!S64+SHS!S64</f>
        <v>0</v>
      </c>
      <c r="T64" s="324">
        <f t="shared" si="0"/>
        <v>120</v>
      </c>
      <c r="U64" s="324">
        <f>TVM!U64+KLM!U64+PTA!U64+ALP!U64+KTM!U64+IDK!U64+EKM!U64+TSR!U64+PKD!U64+MLPM!U64+KKD!U64+WYD!U64+KNR!U64+KSD!U64+SHS!U64</f>
        <v>120</v>
      </c>
      <c r="V64" s="359" t="s">
        <v>1179</v>
      </c>
      <c r="W64" s="360" t="s">
        <v>1179</v>
      </c>
      <c r="X64" s="332">
        <v>120</v>
      </c>
      <c r="Y64" s="361">
        <f t="shared" si="1"/>
        <v>0</v>
      </c>
      <c r="Z64" s="314"/>
      <c r="AA64" s="314"/>
      <c r="AB64" s="314"/>
    </row>
    <row r="65" spans="1:28" ht="39.75" customHeight="1">
      <c r="A65" s="712"/>
      <c r="B65" s="712"/>
      <c r="C65" s="712"/>
      <c r="D65" s="320">
        <v>60</v>
      </c>
      <c r="E65" s="320" t="s">
        <v>120</v>
      </c>
      <c r="F65" s="323">
        <f>TVM!F65+KLM!F65+PTA!F65+ALP!F65+KTM!F65+IDK!F65+EKM!F65+TSR!F65+PKD!F65+MLPM!F65+KKD!F65+WYD!F65+KNR!F65+KSD!F65+SHS!F65</f>
        <v>0</v>
      </c>
      <c r="G65" s="323">
        <f>TVM!G65+KLM!G65+PTA!G65+ALP!G65+KTM!G65+IDK!G65+EKM!G65+TSR!G65+PKD!G65+MLPM!G65+KKD!G65+WYD!G65+KNR!G65+KSD!G65+SHS!G65</f>
        <v>0</v>
      </c>
      <c r="H65" s="323">
        <f>TVM!H65+KLM!H65+PTA!H65+ALP!H65+KTM!H65+IDK!H65+EKM!H65+TSR!H65+PKD!H65+MLPM!H65+KKD!H65+WYD!H65+KNR!H65+KSD!H65+SHS!H65</f>
        <v>0</v>
      </c>
      <c r="I65" s="323">
        <f>TVM!I65+KLM!I65+PTA!I65+ALP!I65+KTM!I65+IDK!I65+EKM!I65+TSR!I65+PKD!I65+MLPM!I65+KKD!I65+WYD!I65+KNR!I65+KSD!I65+SHS!I65</f>
        <v>0</v>
      </c>
      <c r="J65" s="323">
        <f>TVM!J65+KLM!J65+PTA!J65+ALP!J65+KTM!J65+IDK!J65+EKM!J65+TSR!J65+PKD!J65+MLPM!J65+KKD!J65+WYD!J65+KNR!J65+KSD!J65+SHS!J65</f>
        <v>0</v>
      </c>
      <c r="K65" s="323">
        <f>TVM!K65+KLM!K65+PTA!K65+ALP!K65+KTM!K65+IDK!K65+EKM!K65+TSR!K65+PKD!K65+MLPM!K65+KKD!K65+WYD!K65+KNR!K65+KSD!K65+SHS!K65</f>
        <v>0</v>
      </c>
      <c r="L65" s="323">
        <f>TVM!L65+KLM!L65+PTA!L65+ALP!L65+KTM!L65+IDK!L65+EKM!L65+TSR!L65+PKD!L65+MLPM!L65+KKD!L65+WYD!L65+KNR!L65+KSD!L65+SHS!L65</f>
        <v>0</v>
      </c>
      <c r="M65" s="323">
        <f>TVM!M65+KLM!M65+PTA!M65+ALP!M65+KTM!M65+IDK!M65+EKM!M65+TSR!M65+PKD!M65+MLPM!M65+KKD!M65+WYD!M65+KNR!M65+KSD!M65+SHS!M65</f>
        <v>0</v>
      </c>
      <c r="N65" s="323">
        <f>TVM!N65+KLM!N65+PTA!N65+ALP!N65+KTM!N65+IDK!N65+EKM!N65+TSR!N65+PKD!N65+MLPM!N65+KKD!N65+WYD!N65+KNR!N65+KSD!N65+SHS!N65</f>
        <v>0</v>
      </c>
      <c r="O65" s="323">
        <f>TVM!O65+KLM!O65+PTA!O65+ALP!O65+KTM!O65+IDK!O65+EKM!O65+TSR!O65+PKD!O65+MLPM!O65+KKD!O65+WYD!O65+KNR!O65+KSD!O65+SHS!O65</f>
        <v>0</v>
      </c>
      <c r="P65" s="323">
        <f>TVM!P65+KLM!P65+PTA!P65+ALP!P65+KTM!P65+IDK!P65+EKM!P65+TSR!P65+PKD!P65+MLPM!P65+KKD!P65+WYD!P65+KNR!P65+KSD!P65+SHS!P65</f>
        <v>0</v>
      </c>
      <c r="Q65" s="323">
        <f>TVM!Q65+KLM!Q65+PTA!Q65+ALP!Q65+KTM!Q65+IDK!Q65+EKM!Q65+TSR!Q65+PKD!Q65+MLPM!Q65+KKD!Q65+WYD!Q65+KNR!Q65+KSD!Q65+SHS!Q65</f>
        <v>0</v>
      </c>
      <c r="R65" s="323">
        <f>TVM!R65+KLM!R65+PTA!R65+ALP!R65+KTM!R65+IDK!R65+EKM!R65+TSR!R65+PKD!R65+MLPM!R65+KKD!R65+WYD!R65+KNR!R65+KSD!R65+SHS!R65</f>
        <v>0</v>
      </c>
      <c r="S65" s="323">
        <f>TVM!S65+KLM!S65+PTA!S65+ALP!S65+KTM!S65+IDK!S65+EKM!S65+TSR!S65+PKD!S65+MLPM!S65+KKD!S65+WYD!S65+KNR!S65+KSD!S65+SHS!S65</f>
        <v>0</v>
      </c>
      <c r="T65" s="324">
        <f t="shared" si="0"/>
        <v>0</v>
      </c>
      <c r="U65" s="324">
        <f>TVM!U65+KLM!U65+PTA!U65+ALP!U65+KTM!U65+IDK!U65+EKM!U65+TSR!U65+PKD!U65+MLPM!U65+KKD!U65+WYD!U65+KNR!U65+KSD!U65+SHS!U65</f>
        <v>0</v>
      </c>
      <c r="V65" s="325"/>
      <c r="W65" s="337"/>
      <c r="X65" s="332">
        <v>0</v>
      </c>
      <c r="Y65" s="328">
        <f t="shared" si="1"/>
        <v>0</v>
      </c>
      <c r="Z65" s="314"/>
      <c r="AA65" s="314"/>
      <c r="AB65" s="314"/>
    </row>
    <row r="66" spans="1:28" ht="60.75" customHeight="1">
      <c r="A66" s="712"/>
      <c r="B66" s="707"/>
      <c r="C66" s="707"/>
      <c r="D66" s="320">
        <v>61</v>
      </c>
      <c r="E66" s="320" t="s">
        <v>53</v>
      </c>
      <c r="F66" s="323">
        <f>TVM!F66+KLM!F66+PTA!F66+ALP!F66+KTM!F66+IDK!F66+EKM!F66+TSR!F66+PKD!F66+MLPM!F66+KKD!F66+WYD!F66+KNR!F66+KSD!F66+SHS!F66</f>
        <v>0</v>
      </c>
      <c r="G66" s="323">
        <f>TVM!G66+KLM!G66+PTA!G66+ALP!G66+KTM!G66+IDK!G66+EKM!G66+TSR!G66+PKD!G66+MLPM!G66+KKD!G66+WYD!G66+KNR!G66+KSD!G66+SHS!G66</f>
        <v>0</v>
      </c>
      <c r="H66" s="323">
        <f>TVM!H66+KLM!H66+PTA!H66+ALP!H66+KTM!H66+IDK!H66+EKM!H66+TSR!H66+PKD!H66+MLPM!H66+KKD!H66+WYD!H66+KNR!H66+KSD!H66+SHS!H66</f>
        <v>0</v>
      </c>
      <c r="I66" s="323">
        <f>TVM!I66+KLM!I66+PTA!I66+ALP!I66+KTM!I66+IDK!I66+EKM!I66+TSR!I66+PKD!I66+MLPM!I66+KKD!I66+WYD!I66+KNR!I66+KSD!I66+SHS!I66</f>
        <v>0</v>
      </c>
      <c r="J66" s="323">
        <f>TVM!J66+KLM!J66+PTA!J66+ALP!J66+KTM!J66+IDK!J66+EKM!J66+TSR!J66+PKD!J66+MLPM!J66+KKD!J66+WYD!J66+KNR!J66+KSD!J66+SHS!J66</f>
        <v>0</v>
      </c>
      <c r="K66" s="323">
        <f>TVM!K66+KLM!K66+PTA!K66+ALP!K66+KTM!K66+IDK!K66+EKM!K66+TSR!K66+PKD!K66+MLPM!K66+KKD!K66+WYD!K66+KNR!K66+KSD!K66+SHS!K66</f>
        <v>0</v>
      </c>
      <c r="L66" s="323">
        <f>TVM!L66+KLM!L66+PTA!L66+ALP!L66+KTM!L66+IDK!L66+EKM!L66+TSR!L66+PKD!L66+MLPM!L66+KKD!L66+WYD!L66+KNR!L66+KSD!L66+SHS!L66</f>
        <v>0</v>
      </c>
      <c r="M66" s="323">
        <f>TVM!M66+KLM!M66+PTA!M66+ALP!M66+KTM!M66+IDK!M66+EKM!M66+TSR!M66+PKD!M66+MLPM!M66+KKD!M66+WYD!M66+KNR!M66+KSD!M66+SHS!M66</f>
        <v>0</v>
      </c>
      <c r="N66" s="323">
        <f>TVM!N66+KLM!N66+PTA!N66+ALP!N66+KTM!N66+IDK!N66+EKM!N66+TSR!N66+PKD!N66+MLPM!N66+KKD!N66+WYD!N66+KNR!N66+KSD!N66+SHS!N66</f>
        <v>0</v>
      </c>
      <c r="O66" s="323">
        <f>TVM!O66+KLM!O66+PTA!O66+ALP!O66+KTM!O66+IDK!O66+EKM!O66+TSR!O66+PKD!O66+MLPM!O66+KKD!O66+WYD!O66+KNR!O66+KSD!O66+SHS!O66</f>
        <v>0</v>
      </c>
      <c r="P66" s="323">
        <f>TVM!P66+KLM!P66+PTA!P66+ALP!P66+KTM!P66+IDK!P66+EKM!P66+TSR!P66+PKD!P66+MLPM!P66+KKD!P66+WYD!P66+KNR!P66+KSD!P66+SHS!P66</f>
        <v>0</v>
      </c>
      <c r="Q66" s="323">
        <f>TVM!Q66+KLM!Q66+PTA!Q66+ALP!Q66+KTM!Q66+IDK!Q66+EKM!Q66+TSR!Q66+PKD!Q66+MLPM!Q66+KKD!Q66+WYD!Q66+KNR!Q66+KSD!Q66+SHS!Q66</f>
        <v>0</v>
      </c>
      <c r="R66" s="323">
        <f>TVM!R66+KLM!R66+PTA!R66+ALP!R66+KTM!R66+IDK!R66+EKM!R66+TSR!R66+PKD!R66+MLPM!R66+KKD!R66+WYD!R66+KNR!R66+KSD!R66+SHS!R66</f>
        <v>0</v>
      </c>
      <c r="S66" s="323">
        <f>TVM!S66+KLM!S66+PTA!S66+ALP!S66+KTM!S66+IDK!S66+EKM!S66+TSR!S66+PKD!S66+MLPM!S66+KKD!S66+WYD!S66+KNR!S66+KSD!S66+SHS!S66</f>
        <v>0</v>
      </c>
      <c r="T66" s="324">
        <f t="shared" si="0"/>
        <v>0</v>
      </c>
      <c r="U66" s="324">
        <f>TVM!U66+KLM!U66+PTA!U66+ALP!U66+KTM!U66+IDK!U66+EKM!U66+TSR!U66+PKD!U66+MLPM!U66+KKD!U66+WYD!U66+KNR!U66+KSD!U66+SHS!U66</f>
        <v>0</v>
      </c>
      <c r="V66" s="325"/>
      <c r="W66" s="337"/>
      <c r="X66" s="332">
        <v>0</v>
      </c>
      <c r="Y66" s="328">
        <f t="shared" si="1"/>
        <v>0</v>
      </c>
      <c r="Z66" s="314"/>
      <c r="AA66" s="314"/>
      <c r="AB66" s="314"/>
    </row>
    <row r="67" spans="1:28" ht="264" customHeight="1">
      <c r="A67" s="712"/>
      <c r="B67" s="320" t="s">
        <v>121</v>
      </c>
      <c r="C67" s="320" t="s">
        <v>122</v>
      </c>
      <c r="D67" s="320">
        <v>62</v>
      </c>
      <c r="E67" s="320" t="s">
        <v>123</v>
      </c>
      <c r="F67" s="323">
        <f>TVM!F67+KLM!F67+PTA!F67+ALP!F67+KTM!F67+IDK!F67+EKM!F67+TSR!F67+PKD!F67+MLPM!F67+KKD!F67+WYD!F67+KNR!F67+KSD!F67+SHS!F67</f>
        <v>0</v>
      </c>
      <c r="G67" s="323">
        <f>TVM!G67+KLM!G67+PTA!G67+ALP!G67+KTM!G67+IDK!G67+EKM!G67+TSR!G67+PKD!G67+MLPM!G67+KKD!G67+WYD!G67+KNR!G67+KSD!G67+SHS!G67</f>
        <v>0</v>
      </c>
      <c r="H67" s="323">
        <f>TVM!H67+KLM!H67+PTA!H67+ALP!H67+KTM!H67+IDK!H67+EKM!H67+TSR!H67+PKD!H67+MLPM!H67+KKD!H67+WYD!H67+KNR!H67+KSD!H67+SHS!H67</f>
        <v>0</v>
      </c>
      <c r="I67" s="323">
        <f>TVM!I67+KLM!I67+PTA!I67+ALP!I67+KTM!I67+IDK!I67+EKM!I67+TSR!I67+PKD!I67+MLPM!I67+KKD!I67+WYD!I67+KNR!I67+KSD!I67+SHS!I67</f>
        <v>0</v>
      </c>
      <c r="J67" s="323">
        <f>TVM!J67+KLM!J67+PTA!J67+ALP!J67+KTM!J67+IDK!J67+EKM!J67+TSR!J67+PKD!J67+MLPM!J67+KKD!J67+WYD!J67+KNR!J67+KSD!J67+SHS!J67</f>
        <v>0</v>
      </c>
      <c r="K67" s="323">
        <f>TVM!K67+KLM!K67+PTA!K67+ALP!K67+KTM!K67+IDK!K67+EKM!K67+TSR!K67+PKD!K67+MLPM!K67+KKD!K67+WYD!K67+KNR!K67+KSD!K67+SHS!K67</f>
        <v>0</v>
      </c>
      <c r="L67" s="323">
        <f>TVM!L67+KLM!L67+PTA!L67+ALP!L67+KTM!L67+IDK!L67+EKM!L67+TSR!L67+PKD!L67+MLPM!L67+KKD!L67+WYD!L67+KNR!L67+KSD!L67+SHS!L67</f>
        <v>0</v>
      </c>
      <c r="M67" s="329">
        <f>TVM!M67+KLM!M67+PTA!M67+ALP!M67+KTM!M67+IDK!M67+EKM!M67+TSR!M67+PKD!M67+MLPM!M67+KKD!M67+WYD!M67+KNR!M67+KSD!M67+SHS!M67</f>
        <v>12</v>
      </c>
      <c r="N67" s="323">
        <f>TVM!N67+KLM!N67+PTA!N67+ALP!N67+KTM!N67+IDK!N67+EKM!N67+TSR!N67+PKD!N67+MLPM!N67+KKD!N67+WYD!N67+KNR!N67+KSD!N67+SHS!N67</f>
        <v>0</v>
      </c>
      <c r="O67" s="330">
        <f>TVM!O67+KLM!O67+PTA!O67+ALP!O67+KTM!O67+IDK!O67+EKM!O67+TSR!O67+PKD!O67+MLPM!O67+KKD!O67+WYD!O67+KNR!O67+KSD!O67+SHS!O67</f>
        <v>6</v>
      </c>
      <c r="P67" s="330">
        <f>TVM!P67+KLM!P67+PTA!P67+ALP!P67+KTM!P67+IDK!P67+EKM!P67+TSR!P67+PKD!P67+MLPM!P67+KKD!P67+WYD!P67+KNR!P67+KSD!P67+SHS!P67</f>
        <v>0</v>
      </c>
      <c r="Q67" s="329">
        <f>TVM!Q67+KLM!Q67+PTA!Q67+ALP!Q67+KTM!Q67+IDK!Q67+EKM!Q67+TSR!Q67+PKD!Q67+MLPM!Q67+KKD!Q67+WYD!Q67+KNR!Q67+KSD!Q67+SHS!Q67</f>
        <v>4.0999999999999996</v>
      </c>
      <c r="R67" s="323">
        <f>TVM!R67+KLM!R67+PTA!R67+ALP!R67+KTM!R67+IDK!R67+EKM!R67+TSR!R67+PKD!R67+MLPM!R67+KKD!R67+WYD!R67+KNR!R67+KSD!R67+SHS!R67</f>
        <v>0</v>
      </c>
      <c r="S67" s="330">
        <f>TVM!S67+KLM!S67+PTA!S67+ALP!S67+KTM!S67+IDK!S67+EKM!S67+TSR!S67+PKD!S67+MLPM!S67+KKD!S67+WYD!S67+KNR!S67+KSD!S67+SHS!S67</f>
        <v>1</v>
      </c>
      <c r="T67" s="324">
        <f t="shared" si="0"/>
        <v>23.1</v>
      </c>
      <c r="U67" s="324">
        <f>TVM!U67+KLM!U67+PTA!U67+ALP!U67+KTM!U67+IDK!U67+EKM!U67+TSR!U67+PKD!U67+MLPM!U67+KKD!U67+WYD!U67+KNR!U67+KSD!U67+SHS!U67</f>
        <v>23.1</v>
      </c>
      <c r="V67" s="13" t="s">
        <v>1393</v>
      </c>
      <c r="W67" s="13" t="s">
        <v>1394</v>
      </c>
      <c r="X67" s="332">
        <v>32.700000000000003</v>
      </c>
      <c r="Y67" s="328">
        <f t="shared" si="1"/>
        <v>-9.6000000000000014</v>
      </c>
      <c r="Z67" s="314"/>
      <c r="AA67" s="314"/>
      <c r="AB67" s="314"/>
    </row>
    <row r="68" spans="1:28" ht="39.75" customHeight="1">
      <c r="A68" s="707"/>
      <c r="B68" s="721" t="s">
        <v>125</v>
      </c>
      <c r="C68" s="709"/>
      <c r="D68" s="710"/>
      <c r="E68" s="362"/>
      <c r="F68" s="5">
        <f t="shared" ref="F68:U68" si="2">SUM(F6:F67)</f>
        <v>1054.4781</v>
      </c>
      <c r="G68" s="5">
        <f t="shared" si="2"/>
        <v>0</v>
      </c>
      <c r="H68" s="5">
        <f t="shared" si="2"/>
        <v>100.2</v>
      </c>
      <c r="I68" s="5">
        <f t="shared" si="2"/>
        <v>1560.2760000000001</v>
      </c>
      <c r="J68" s="5">
        <f t="shared" si="2"/>
        <v>0</v>
      </c>
      <c r="K68" s="5">
        <f t="shared" si="2"/>
        <v>3563.9700899999998</v>
      </c>
      <c r="L68" s="5">
        <f t="shared" si="2"/>
        <v>0</v>
      </c>
      <c r="M68" s="5">
        <f t="shared" si="2"/>
        <v>352.75799999999998</v>
      </c>
      <c r="N68" s="5">
        <f t="shared" si="2"/>
        <v>839.64390000000003</v>
      </c>
      <c r="O68" s="5">
        <f t="shared" si="2"/>
        <v>3239.8633500000001</v>
      </c>
      <c r="P68" s="5">
        <f t="shared" si="2"/>
        <v>5433.10088</v>
      </c>
      <c r="Q68" s="5">
        <f t="shared" si="2"/>
        <v>938.38499999999999</v>
      </c>
      <c r="R68" s="5">
        <f t="shared" si="2"/>
        <v>173.2165</v>
      </c>
      <c r="S68" s="5">
        <f t="shared" si="2"/>
        <v>62.709999999999994</v>
      </c>
      <c r="T68" s="5">
        <f t="shared" si="2"/>
        <v>17318.601819999993</v>
      </c>
      <c r="U68" s="5">
        <f t="shared" si="2"/>
        <v>16923.751119999997</v>
      </c>
      <c r="V68" s="325"/>
      <c r="W68" s="363"/>
      <c r="X68" s="364">
        <v>20589.86</v>
      </c>
      <c r="Y68" s="328">
        <f t="shared" si="1"/>
        <v>-3271.258180000008</v>
      </c>
      <c r="Z68" s="314"/>
      <c r="AA68" s="314"/>
      <c r="AB68" s="314"/>
    </row>
    <row r="69" spans="1:28" ht="409.5">
      <c r="A69" s="720" t="s">
        <v>126</v>
      </c>
      <c r="B69" s="320" t="s">
        <v>127</v>
      </c>
      <c r="C69" s="320" t="s">
        <v>128</v>
      </c>
      <c r="D69" s="320">
        <v>63</v>
      </c>
      <c r="E69" s="320" t="s">
        <v>129</v>
      </c>
      <c r="F69" s="323">
        <f>TVM!F69+KLM!F69+PTA!F69+ALP!F69+KTM!F69+IDK!F69+EKM!F69+TSR!F69+PKD!F69+MLPM!F69+KKD!F69+WYD!F69+KNR!F69+KSD!F69+SHS!F69</f>
        <v>0</v>
      </c>
      <c r="G69" s="323">
        <f>TVM!G69+KLM!G69+PTA!G69+ALP!G69+KTM!G69+IDK!G69+EKM!G69+TSR!G69+PKD!G69+MLPM!G69+KKD!G69+WYD!G69+KNR!G69+KSD!G69+SHS!G69</f>
        <v>0</v>
      </c>
      <c r="H69" s="323">
        <f>TVM!H69+KLM!H69+PTA!H69+ALP!H69+KTM!H69+IDK!H69+EKM!H69+TSR!H69+PKD!H69+MLPM!H69+KKD!H69+WYD!H69+KNR!H69+KSD!H69+SHS!H69</f>
        <v>0</v>
      </c>
      <c r="I69" s="323">
        <f>TVM!I69+KLM!I69+PTA!I69+ALP!I69+KTM!I69+IDK!I69+EKM!I69+TSR!I69+PKD!I69+MLPM!I69+KKD!I69+WYD!I69+KNR!I69+KSD!I69+SHS!I69</f>
        <v>0</v>
      </c>
      <c r="J69" s="323">
        <f>TVM!J69+KLM!J69+PTA!J69+ALP!J69+KTM!J69+IDK!J69+EKM!J69+TSR!J69+PKD!J69+MLPM!J69+KKD!J69+WYD!J69+KNR!J69+KSD!J69+SHS!J69</f>
        <v>0</v>
      </c>
      <c r="K69" s="323">
        <f>TVM!K69+KLM!K69+PTA!K69+ALP!K69+KTM!K69+IDK!K69+EKM!K69+TSR!K69+PKD!K69+MLPM!K69+KKD!K69+WYD!K69+KNR!K69+KSD!K69+SHS!K69</f>
        <v>0</v>
      </c>
      <c r="L69" s="323">
        <f>TVM!L69+KLM!L69+PTA!L69+ALP!L69+KTM!L69+IDK!L69+EKM!L69+TSR!L69+PKD!L69+MLPM!L69+KKD!L69+WYD!L69+KNR!L69+KSD!L69+SHS!L69</f>
        <v>0</v>
      </c>
      <c r="M69" s="330">
        <f>TVM!M69+KLM!M69+PTA!M69+ALP!M69+KTM!M69+IDK!M69+EKM!M69+TSR!M69+PKD!M69+MLPM!M69+KKD!M69+WYD!M69+KNR!M69+KSD!M69+SHS!M69</f>
        <v>0</v>
      </c>
      <c r="N69" s="329">
        <f>TVM!N69+KLM!N69+PTA!N69+ALP!N69+KTM!N69+IDK!N69+EKM!N69+TSR!N69+PKD!N69+MLPM!N69+KKD!N69+WYD!N69+KNR!N69+KSD!N69+SHS!N69</f>
        <v>102.5</v>
      </c>
      <c r="O69" s="323">
        <f>TVM!O69+KLM!O69+PTA!O69+ALP!O69+KTM!O69+IDK!O69+EKM!O69+TSR!O69+PKD!O69+MLPM!O69+KKD!O69+WYD!O69+KNR!O69+KSD!O69+SHS!O69</f>
        <v>0</v>
      </c>
      <c r="P69" s="329">
        <f>TVM!P69+KLM!P69+PTA!P69+ALP!P69+KTM!P69+IDK!P69+EKM!P69+TSR!P69+PKD!P69+MLPM!P69+KKD!P69+WYD!P69+KNR!P69+KSD!P69+SHS!P69</f>
        <v>0</v>
      </c>
      <c r="Q69" s="329">
        <f>TVM!Q69+KLM!Q69+PTA!Q69+ALP!Q69+KTM!Q69+IDK!Q69+EKM!Q69+TSR!Q69+PKD!Q69+MLPM!Q69+KKD!Q69+WYD!Q69+KNR!Q69+KSD!Q69+SHS!Q69</f>
        <v>2.25</v>
      </c>
      <c r="R69" s="330">
        <f>TVM!R69+KLM!R69+PTA!R69+ALP!R69+KTM!R69+IDK!R69+EKM!R69+TSR!R69+PKD!R69+MLPM!R69+KKD!R69+WYD!R69+KNR!R69+KSD!R69+SHS!R69</f>
        <v>63</v>
      </c>
      <c r="S69" s="330">
        <f>TVM!S69+KLM!S69+PTA!S69+ALP!S69+KTM!S69+IDK!S69+EKM!S69+TSR!S69+PKD!S69+MLPM!S69+KKD!S69+WYD!S69+KNR!S69+KSD!S69+SHS!S69</f>
        <v>35.5</v>
      </c>
      <c r="T69" s="324">
        <f t="shared" ref="T69:T92" si="3">SUM(F69:S69)</f>
        <v>203.25</v>
      </c>
      <c r="U69" s="324">
        <f>TVM!U69+KLM!U69+PTA!U69+ALP!U69+KTM!U69+IDK!U69+EKM!U69+TSR!U69+PKD!U69+MLPM!U69+KKD!U69+WYD!U69+KNR!U69+KSD!U69+SHS!U69</f>
        <v>193.24999999999997</v>
      </c>
      <c r="V69" s="21" t="s">
        <v>1395</v>
      </c>
      <c r="W69" s="21" t="s">
        <v>1396</v>
      </c>
      <c r="X69" s="332">
        <v>227.45</v>
      </c>
      <c r="Y69" s="328">
        <f t="shared" si="1"/>
        <v>-24.199999999999989</v>
      </c>
      <c r="Z69" s="314"/>
      <c r="AA69" s="314"/>
      <c r="AB69" s="314"/>
    </row>
    <row r="70" spans="1:28" ht="409.5">
      <c r="A70" s="712"/>
      <c r="B70" s="722" t="s">
        <v>131</v>
      </c>
      <c r="C70" s="722" t="s">
        <v>132</v>
      </c>
      <c r="D70" s="365">
        <v>64</v>
      </c>
      <c r="E70" s="365" t="s">
        <v>133</v>
      </c>
      <c r="F70" s="323">
        <f>TVM!F70+KLM!F70+PTA!F70+ALP!F70+KTM!F70+IDK!F70+EKM!F70+TSR!F70+PKD!F70+MLPM!F70+KKD!F70+WYD!F70+KNR!F70+KSD!F70+SHS!F70</f>
        <v>0</v>
      </c>
      <c r="G70" s="323">
        <f>TVM!G70+KLM!G70+PTA!G70+ALP!G70+KTM!G70+IDK!G70+EKM!G70+TSR!G70+PKD!G70+MLPM!G70+KKD!G70+WYD!G70+KNR!G70+KSD!G70+SHS!G70</f>
        <v>0</v>
      </c>
      <c r="H70" s="330">
        <f>TVM!H70+KLM!H70+PTA!H70+ALP!H70+KTM!H70+IDK!H70+EKM!H70+TSR!H70+PKD!H70+MLPM!H70+KKD!H70+WYD!H70+KNR!H70+KSD!H70+SHS!H70</f>
        <v>0</v>
      </c>
      <c r="I70" s="329">
        <f>TVM!I70+KLM!I70+PTA!I70+ALP!I70+KTM!I70+IDK!I70+EKM!I70+TSR!I70+PKD!I70+MLPM!I70+KKD!I70+WYD!I70+KNR!I70+KSD!I70+SHS!I70</f>
        <v>26.91</v>
      </c>
      <c r="J70" s="323">
        <f>TVM!J70+KLM!J70+PTA!J70+ALP!J70+KTM!J70+IDK!J70+EKM!J70+TSR!J70+PKD!J70+MLPM!J70+KKD!J70+WYD!J70+KNR!J70+KSD!J70+SHS!J70</f>
        <v>0.6</v>
      </c>
      <c r="K70" s="329">
        <f>TVM!K70+KLM!K70+PTA!K70+ALP!K70+KTM!K70+IDK!K70+EKM!K70+TSR!K70+PKD!K70+MLPM!K70+KKD!K70+WYD!K70+KNR!K70+KSD!K70+SHS!K70</f>
        <v>0.91</v>
      </c>
      <c r="L70" s="329">
        <f>TVM!L70+KLM!L70+PTA!L70+ALP!L70+KTM!L70+IDK!L70+EKM!L70+TSR!L70+PKD!L70+MLPM!L70+KKD!L70+WYD!L70+KNR!L70+KSD!L70+SHS!L70</f>
        <v>0</v>
      </c>
      <c r="M70" s="323">
        <f>TVM!M70+KLM!M70+PTA!M70+ALP!M70+KTM!M70+IDK!M70+EKM!M70+TSR!M70+PKD!M70+MLPM!M70+KKD!M70+WYD!M70+KNR!M70+KSD!M70+SHS!M70</f>
        <v>17.25</v>
      </c>
      <c r="N70" s="329">
        <f>TVM!N70+KLM!N70+PTA!N70+ALP!N70+KTM!N70+IDK!N70+EKM!N70+TSR!N70+PKD!N70+MLPM!N70+KKD!N70+WYD!N70+KNR!N70+KSD!N70+SHS!N70</f>
        <v>20.96</v>
      </c>
      <c r="O70" s="330">
        <f>TVM!O70+KLM!O70+PTA!O70+ALP!O70+KTM!O70+IDK!O70+EKM!O70+TSR!O70+PKD!O70+MLPM!O70+KKD!O70+WYD!O70+KNR!O70+KSD!O70+SHS!O70</f>
        <v>0</v>
      </c>
      <c r="P70" s="329">
        <f>TVM!P70+KLM!P70+PTA!P70+ALP!P70+KTM!P70+IDK!P70+EKM!P70+TSR!P70+PKD!P70+MLPM!P70+KKD!P70+WYD!P70+KNR!P70+KSD!P70+SHS!P70</f>
        <v>28.7</v>
      </c>
      <c r="Q70" s="329">
        <f>TVM!Q70+KLM!Q70+PTA!Q70+ALP!Q70+KTM!Q70+IDK!Q70+EKM!Q70+TSR!Q70+PKD!Q70+MLPM!Q70+KKD!Q70+WYD!Q70+KNR!Q70+KSD!Q70+SHS!Q70</f>
        <v>14.33</v>
      </c>
      <c r="R70" s="330">
        <f>TVM!R70+KLM!R70+PTA!R70+ALP!R70+KTM!R70+IDK!R70+EKM!R70+TSR!R70+PKD!R70+MLPM!R70+KKD!R70+WYD!R70+KNR!R70+KSD!R70+SHS!R70</f>
        <v>53.70000000000001</v>
      </c>
      <c r="S70" s="330">
        <f>TVM!S70+KLM!S70+PTA!S70+ALP!S70+KTM!S70+IDK!S70+EKM!S70+TSR!S70+PKD!S70+MLPM!S70+KKD!S70+WYD!S70+KNR!S70+KSD!S70+SHS!S70</f>
        <v>10</v>
      </c>
      <c r="T70" s="324">
        <f t="shared" si="3"/>
        <v>173.36</v>
      </c>
      <c r="U70" s="366">
        <f>TVM!U70+KLM!U70+PTA!U70+ALP!U70+KTM!U70+IDK!U70+EKM!U70+TSR!U70+PKD!U70+MLPM!U70+KKD!U70+WYD!U70+KNR!U70+KSD!U70+SHS!U70</f>
        <v>163.35999999999996</v>
      </c>
      <c r="V70" s="367" t="s">
        <v>1397</v>
      </c>
      <c r="W70" s="368" t="s">
        <v>1398</v>
      </c>
      <c r="X70" s="369">
        <v>733.59</v>
      </c>
      <c r="Y70" s="370">
        <f t="shared" si="1"/>
        <v>-560.23</v>
      </c>
      <c r="Z70" s="371"/>
      <c r="AA70" s="371"/>
      <c r="AB70" s="371"/>
    </row>
    <row r="71" spans="1:28" ht="80.25" customHeight="1">
      <c r="A71" s="712"/>
      <c r="B71" s="712"/>
      <c r="C71" s="712"/>
      <c r="D71" s="320">
        <v>65</v>
      </c>
      <c r="E71" s="320" t="s">
        <v>135</v>
      </c>
      <c r="F71" s="323">
        <f>TVM!F71+KLM!F71+PTA!F71+ALP!F71+KTM!F71+IDK!F71+EKM!F71+TSR!F71+PKD!F71+MLPM!F71+KKD!F71+WYD!F71+KNR!F71+KSD!F71+SHS!F71</f>
        <v>0</v>
      </c>
      <c r="G71" s="323">
        <f>TVM!G71+KLM!G71+PTA!G71+ALP!G71+KTM!G71+IDK!G71+EKM!G71+TSR!G71+PKD!G71+MLPM!G71+KKD!G71+WYD!G71+KNR!G71+KSD!G71+SHS!G71</f>
        <v>0</v>
      </c>
      <c r="H71" s="323">
        <f>TVM!H71+KLM!H71+PTA!H71+ALP!H71+KTM!H71+IDK!H71+EKM!H71+TSR!H71+PKD!H71+MLPM!H71+KKD!H71+WYD!H71+KNR!H71+KSD!H71+SHS!H71</f>
        <v>0</v>
      </c>
      <c r="I71" s="323">
        <f>TVM!I71+KLM!I71+PTA!I71+ALP!I71+KTM!I71+IDK!I71+EKM!I71+TSR!I71+PKD!I71+MLPM!I71+KKD!I71+WYD!I71+KNR!I71+KSD!I71+SHS!I71</f>
        <v>0</v>
      </c>
      <c r="J71" s="323">
        <f>TVM!J71+KLM!J71+PTA!J71+ALP!J71+KTM!J71+IDK!J71+EKM!J71+TSR!J71+PKD!J71+MLPM!J71+KKD!J71+WYD!J71+KNR!J71+KSD!J71+SHS!J71</f>
        <v>0</v>
      </c>
      <c r="K71" s="323">
        <f>TVM!K71+KLM!K71+PTA!K71+ALP!K71+KTM!K71+IDK!K71+EKM!K71+TSR!K71+PKD!K71+MLPM!K71+KKD!K71+WYD!K71+KNR!K71+KSD!K71+SHS!K71</f>
        <v>0</v>
      </c>
      <c r="L71" s="323">
        <f>TVM!L71+KLM!L71+PTA!L71+ALP!L71+KTM!L71+IDK!L71+EKM!L71+TSR!L71+PKD!L71+MLPM!L71+KKD!L71+WYD!L71+KNR!L71+KSD!L71+SHS!L71</f>
        <v>0</v>
      </c>
      <c r="M71" s="323">
        <f>TVM!M71+KLM!M71+PTA!M71+ALP!M71+KTM!M71+IDK!M71+EKM!M71+TSR!M71+PKD!M71+MLPM!M71+KKD!M71+WYD!M71+KNR!M71+KSD!M71+SHS!M71</f>
        <v>0</v>
      </c>
      <c r="N71" s="329">
        <f>TVM!N71+KLM!N71+PTA!N71+ALP!N71+KTM!N71+IDK!N71+EKM!N71+TSR!N71+PKD!N71+MLPM!N71+KKD!N71+WYD!N71+KNR!N71+KSD!N71+SHS!N71</f>
        <v>0.5</v>
      </c>
      <c r="O71" s="323">
        <f>TVM!O71+KLM!O71+PTA!O71+ALP!O71+KTM!O71+IDK!O71+EKM!O71+TSR!O71+PKD!O71+MLPM!O71+KKD!O71+WYD!O71+KNR!O71+KSD!O71+SHS!O71</f>
        <v>0</v>
      </c>
      <c r="P71" s="330">
        <f>TVM!P71+KLM!P71+PTA!P71+ALP!P71+KTM!P71+IDK!P71+EKM!P71+TSR!P71+PKD!P71+MLPM!P71+KKD!P71+WYD!P71+KNR!P71+KSD!P71+SHS!P71</f>
        <v>6.450000000000002</v>
      </c>
      <c r="Q71" s="323">
        <f>TVM!Q71+KLM!Q71+PTA!Q71+ALP!Q71+KTM!Q71+IDK!Q71+EKM!Q71+TSR!Q71+PKD!Q71+MLPM!Q71+KKD!Q71+WYD!Q71+KNR!Q71+KSD!Q71+SHS!Q71</f>
        <v>0</v>
      </c>
      <c r="R71" s="323">
        <f>TVM!R71+KLM!R71+PTA!R71+ALP!R71+KTM!R71+IDK!R71+EKM!R71+TSR!R71+PKD!R71+MLPM!R71+KKD!R71+WYD!R71+KNR!R71+KSD!R71+SHS!R71</f>
        <v>0</v>
      </c>
      <c r="S71" s="330">
        <f>TVM!S71+KLM!S71+PTA!S71+ALP!S71+KTM!S71+IDK!S71+EKM!S71+TSR!S71+PKD!S71+MLPM!S71+KKD!S71+WYD!S71+KNR!S71+KSD!S71+SHS!S71</f>
        <v>0</v>
      </c>
      <c r="T71" s="324">
        <f t="shared" si="3"/>
        <v>6.950000000000002</v>
      </c>
      <c r="U71" s="324">
        <f>TVM!U71+KLM!U71+PTA!U71+ALP!U71+KTM!U71+IDK!U71+EKM!U71+TSR!U71+PKD!U71+MLPM!U71+KKD!U71+WYD!U71+KNR!U71+KSD!U71+SHS!U71</f>
        <v>6.950000000000002</v>
      </c>
      <c r="V71" s="354" t="s">
        <v>1399</v>
      </c>
      <c r="W71" s="354" t="s">
        <v>1400</v>
      </c>
      <c r="X71" s="332">
        <v>2.4500000000000002</v>
      </c>
      <c r="Y71" s="328">
        <f t="shared" si="1"/>
        <v>4.5000000000000018</v>
      </c>
      <c r="Z71" s="314"/>
      <c r="AA71" s="314"/>
      <c r="AB71" s="314"/>
    </row>
    <row r="72" spans="1:28" ht="362.25">
      <c r="A72" s="712"/>
      <c r="B72" s="712"/>
      <c r="C72" s="712"/>
      <c r="D72" s="320">
        <v>66</v>
      </c>
      <c r="E72" s="320" t="s">
        <v>137</v>
      </c>
      <c r="F72" s="323">
        <f>TVM!F72+KLM!F72+PTA!F72+ALP!F72+KTM!F72+IDK!F72+EKM!F72+TSR!F72+PKD!F72+MLPM!F72+KKD!F72+WYD!F72+KNR!F72+KSD!F72+SHS!F72</f>
        <v>0</v>
      </c>
      <c r="G72" s="323">
        <f>TVM!G72+KLM!G72+PTA!G72+ALP!G72+KTM!G72+IDK!G72+EKM!G72+TSR!G72+PKD!G72+MLPM!G72+KKD!G72+WYD!G72+KNR!G72+KSD!G72+SHS!G72</f>
        <v>0</v>
      </c>
      <c r="H72" s="323">
        <f>TVM!H72+KLM!H72+PTA!H72+ALP!H72+KTM!H72+IDK!H72+EKM!H72+TSR!H72+PKD!H72+MLPM!H72+KKD!H72+WYD!H72+KNR!H72+KSD!H72+SHS!H72</f>
        <v>0</v>
      </c>
      <c r="I72" s="323">
        <f>TVM!I72+KLM!I72+PTA!I72+ALP!I72+KTM!I72+IDK!I72+EKM!I72+TSR!I72+PKD!I72+MLPM!I72+KKD!I72+WYD!I72+KNR!I72+KSD!I72+SHS!I72</f>
        <v>0</v>
      </c>
      <c r="J72" s="323">
        <f>TVM!J72+KLM!J72+PTA!J72+ALP!J72+KTM!J72+IDK!J72+EKM!J72+TSR!J72+PKD!J72+MLPM!J72+KKD!J72+WYD!J72+KNR!J72+KSD!J72+SHS!J72</f>
        <v>0.44</v>
      </c>
      <c r="K72" s="329">
        <f>TVM!K72+KLM!K72+PTA!K72+ALP!K72+KTM!K72+IDK!K72+EKM!K72+TSR!K72+PKD!K72+MLPM!K72+KKD!K72+WYD!K72+KNR!K72+KSD!K72+SHS!K72</f>
        <v>5</v>
      </c>
      <c r="L72" s="329">
        <f>TVM!L72+KLM!L72+PTA!L72+ALP!L72+KTM!L72+IDK!L72+EKM!L72+TSR!L72+PKD!L72+MLPM!L72+KKD!L72+WYD!L72+KNR!L72+KSD!L72+SHS!L72</f>
        <v>0</v>
      </c>
      <c r="M72" s="323">
        <f>TVM!M72+KLM!M72+PTA!M72+ALP!M72+KTM!M72+IDK!M72+EKM!M72+TSR!M72+PKD!M72+MLPM!M72+KKD!M72+WYD!M72+KNR!M72+KSD!M72+SHS!M72</f>
        <v>0</v>
      </c>
      <c r="N72" s="329">
        <f>TVM!N72+KLM!N72+PTA!N72+ALP!N72+KTM!N72+IDK!N72+EKM!N72+TSR!N72+PKD!N72+MLPM!N72+KKD!N72+WYD!N72+KNR!N72+KSD!N72+SHS!N72</f>
        <v>3.1</v>
      </c>
      <c r="O72" s="323">
        <f>TVM!O72+KLM!O72+PTA!O72+ALP!O72+KTM!O72+IDK!O72+EKM!O72+TSR!O72+PKD!O72+MLPM!O72+KKD!O72+WYD!O72+KNR!O72+KSD!O72+SHS!O72</f>
        <v>0</v>
      </c>
      <c r="P72" s="330">
        <f>TVM!P72+KLM!P72+PTA!P72+ALP!P72+KTM!P72+IDK!P72+EKM!P72+TSR!P72+PKD!P72+MLPM!P72+KKD!P72+WYD!P72+KNR!P72+KSD!P72+SHS!P72</f>
        <v>2.25</v>
      </c>
      <c r="Q72" s="329">
        <f>TVM!Q72+KLM!Q72+PTA!Q72+ALP!Q72+KTM!Q72+IDK!Q72+EKM!Q72+TSR!Q72+PKD!Q72+MLPM!Q72+KKD!Q72+WYD!Q72+KNR!Q72+KSD!Q72+SHS!Q72</f>
        <v>0.70000000000000007</v>
      </c>
      <c r="R72" s="372">
        <f>TVM!R72+KLM!R72+PTA!R72+ALP!R72+KTM!R72+IDK!R72+EKM!R72+TSR!R72+PKD!R72+MLPM!R72+KKD!R72+WYD!R72+KNR!R72+KSD!R72+SHS!R72</f>
        <v>4.4499999999999993</v>
      </c>
      <c r="S72" s="323">
        <f>TVM!S72+KLM!S72+PTA!S72+ALP!S72+KTM!S72+IDK!S72+EKM!S72+TSR!S72+PKD!S72+MLPM!S72+KKD!S72+WYD!S72+KNR!S72+KSD!S72+SHS!S72</f>
        <v>0</v>
      </c>
      <c r="T72" s="324">
        <f t="shared" si="3"/>
        <v>15.94</v>
      </c>
      <c r="U72" s="324">
        <f>TVM!U72+KLM!U72+PTA!U72+ALP!U72+KTM!U72+IDK!U72+EKM!U72+TSR!U72+PKD!U72+MLPM!U72+KKD!U72+WYD!U72+KNR!U72+KSD!U72+SHS!U72</f>
        <v>15.940000000000001</v>
      </c>
      <c r="V72" s="354" t="s">
        <v>1401</v>
      </c>
      <c r="W72" s="354" t="s">
        <v>1402</v>
      </c>
      <c r="X72" s="332">
        <v>13.59</v>
      </c>
      <c r="Y72" s="328">
        <f t="shared" si="1"/>
        <v>2.3499999999999996</v>
      </c>
      <c r="Z72" s="314"/>
      <c r="AA72" s="314"/>
      <c r="AB72" s="314"/>
    </row>
    <row r="73" spans="1:28" ht="409.5">
      <c r="A73" s="712"/>
      <c r="B73" s="712"/>
      <c r="C73" s="712"/>
      <c r="D73" s="320">
        <v>67</v>
      </c>
      <c r="E73" s="320" t="s">
        <v>139</v>
      </c>
      <c r="F73" s="323">
        <f>TVM!F73+KLM!F73+PTA!F73+ALP!F73+KTM!F73+IDK!F73+EKM!F73+TSR!F73+PKD!F73+MLPM!F73+KKD!F73+WYD!F73+KNR!F73+KSD!F73+SHS!F73</f>
        <v>0</v>
      </c>
      <c r="G73" s="323">
        <f>TVM!G73+KLM!G73+PTA!G73+ALP!G73+KTM!G73+IDK!G73+EKM!G73+TSR!G73+PKD!G73+MLPM!G73+KKD!G73+WYD!G73+KNR!G73+KSD!G73+SHS!G73</f>
        <v>0</v>
      </c>
      <c r="H73" s="323">
        <f>TVM!H73+KLM!H73+PTA!H73+ALP!H73+KTM!H73+IDK!H73+EKM!H73+TSR!H73+PKD!H73+MLPM!H73+KKD!H73+WYD!H73+KNR!H73+KSD!H73+SHS!H73</f>
        <v>0</v>
      </c>
      <c r="I73" s="323">
        <f>TVM!I73+KLM!I73+PTA!I73+ALP!I73+KTM!I73+IDK!I73+EKM!I73+TSR!I73+PKD!I73+MLPM!I73+KKD!I73+WYD!I73+KNR!I73+KSD!I73+SHS!I73</f>
        <v>0</v>
      </c>
      <c r="J73" s="323">
        <f>TVM!J73+KLM!J73+PTA!J73+ALP!J73+KTM!J73+IDK!J73+EKM!J73+TSR!J73+PKD!J73+MLPM!J73+KKD!J73+WYD!J73+KNR!J73+KSD!J73+SHS!J73</f>
        <v>72.48</v>
      </c>
      <c r="K73" s="329">
        <f>TVM!K73+KLM!K73+PTA!K73+ALP!K73+KTM!K73+IDK!K73+EKM!K73+TSR!K73+PKD!K73+MLPM!K73+KKD!K73+WYD!K73+KNR!K73+KSD!K73+SHS!K73</f>
        <v>31</v>
      </c>
      <c r="L73" s="329">
        <f>TVM!L73+KLM!L73+PTA!L73+ALP!L73+KTM!L73+IDK!L73+EKM!L73+TSR!L73+PKD!L73+MLPM!L73+KKD!L73+WYD!L73+KNR!L73+KSD!L73+SHS!L73</f>
        <v>0</v>
      </c>
      <c r="M73" s="323">
        <f>TVM!M73+KLM!M73+PTA!M73+ALP!M73+KTM!M73+IDK!M73+EKM!M73+TSR!M73+PKD!M73+MLPM!M73+KKD!M73+WYD!M73+KNR!M73+KSD!M73+SHS!M73</f>
        <v>25.2</v>
      </c>
      <c r="N73" s="329">
        <f>TVM!N73+KLM!N73+PTA!N73+ALP!N73+KTM!N73+IDK!N73+EKM!N73+TSR!N73+PKD!N73+MLPM!N73+KKD!N73+WYD!N73+KNR!N73+KSD!N73+SHS!N73</f>
        <v>7.75</v>
      </c>
      <c r="O73" s="323">
        <f>TVM!O73+KLM!O73+PTA!O73+ALP!O73+KTM!O73+IDK!O73+EKM!O73+TSR!O73+PKD!O73+MLPM!O73+KKD!O73+WYD!O73+KNR!O73+KSD!O73+SHS!O73</f>
        <v>18</v>
      </c>
      <c r="P73" s="330">
        <f>TVM!P73+KLM!P73+PTA!P73+ALP!P73+KTM!P73+IDK!P73+EKM!P73+TSR!P73+PKD!P73+MLPM!P73+KKD!P73+WYD!P73+KNR!P73+KSD!P73+SHS!P73</f>
        <v>566.5</v>
      </c>
      <c r="Q73" s="329">
        <f>TVM!Q73+KLM!Q73+PTA!Q73+ALP!Q73+KTM!Q73+IDK!Q73+EKM!Q73+TSR!Q73+PKD!Q73+MLPM!Q73+KKD!Q73+WYD!Q73+KNR!Q73+KSD!Q73+SHS!Q73</f>
        <v>17.95</v>
      </c>
      <c r="R73" s="330">
        <f>TVM!R73+KLM!R73+PTA!R73+ALP!R73+KTM!R73+IDK!R73+EKM!R73+TSR!R73+PKD!R73+MLPM!R73+KKD!R73+WYD!R73+KNR!R73+KSD!R73+SHS!R73</f>
        <v>53.75</v>
      </c>
      <c r="S73" s="330">
        <f>TVM!S73+KLM!S73+PTA!S73+ALP!S73+KTM!S73+IDK!S73+EKM!S73+TSR!S73+PKD!S73+MLPM!S73+KKD!S73+WYD!S73+KNR!S73+KSD!S73+SHS!S73</f>
        <v>41</v>
      </c>
      <c r="T73" s="324">
        <f t="shared" si="3"/>
        <v>833.63000000000011</v>
      </c>
      <c r="U73" s="324">
        <f>TVM!U73+KLM!U73+PTA!U73+ALP!U73+KTM!U73+IDK!U73+EKM!U73+TSR!U73+PKD!U73+MLPM!U73+KKD!U73+WYD!U73+KNR!U73+KSD!U73+SHS!U73</f>
        <v>833.63000000000011</v>
      </c>
      <c r="V73" s="373" t="s">
        <v>1403</v>
      </c>
      <c r="W73" s="354" t="s">
        <v>1404</v>
      </c>
      <c r="X73" s="332">
        <v>275.38</v>
      </c>
      <c r="Y73" s="328">
        <f t="shared" si="1"/>
        <v>558.25000000000011</v>
      </c>
      <c r="Z73" s="314"/>
      <c r="AA73" s="314"/>
      <c r="AB73" s="314"/>
    </row>
    <row r="74" spans="1:28" ht="409.5">
      <c r="A74" s="712"/>
      <c r="B74" s="707"/>
      <c r="C74" s="707"/>
      <c r="D74" s="320">
        <v>68</v>
      </c>
      <c r="E74" s="320" t="s">
        <v>141</v>
      </c>
      <c r="F74" s="330">
        <f>TVM!F74+KLM!F74+PTA!F74+ALP!F74+KTM!F74+IDK!F74+EKM!F74+TSR!F74+PKD!F74+MLPM!F74+KKD!F74+WYD!F74+KNR!F74+KSD!F74+SHS!F74</f>
        <v>0</v>
      </c>
      <c r="G74" s="323">
        <f>TVM!G74+KLM!G74+PTA!G74+ALP!G74+KTM!G74+IDK!G74+EKM!G74+TSR!G74+PKD!G74+MLPM!G74+KKD!G74+WYD!G74+KNR!G74+KSD!G74+SHS!G74</f>
        <v>0</v>
      </c>
      <c r="H74" s="323">
        <f>TVM!H74+KLM!H74+PTA!H74+ALP!H74+KTM!H74+IDK!H74+EKM!H74+TSR!H74+PKD!H74+MLPM!H74+KKD!H74+WYD!H74+KNR!H74+KSD!H74+SHS!H74</f>
        <v>0</v>
      </c>
      <c r="I74" s="329">
        <f>TVM!I74+KLM!I74+PTA!I74+ALP!I74+KTM!I74+IDK!I74+EKM!I74+TSR!I74+PKD!I74+MLPM!I74+KKD!I74+WYD!I74+KNR!I74+KSD!I74+SHS!I74</f>
        <v>0</v>
      </c>
      <c r="J74" s="323">
        <f>TVM!J74+KLM!J74+PTA!J74+ALP!J74+KTM!J74+IDK!J74+EKM!J74+TSR!J74+PKD!J74+MLPM!J74+KKD!J74+WYD!J74+KNR!J74+KSD!J74+SHS!J74</f>
        <v>2.86</v>
      </c>
      <c r="K74" s="329">
        <f>TVM!K74+KLM!K74+PTA!K74+ALP!K74+KTM!K74+IDK!K74+EKM!K74+TSR!K74+PKD!K74+MLPM!K74+KKD!K74+WYD!K74+KNR!K74+KSD!K74+SHS!K74</f>
        <v>0</v>
      </c>
      <c r="L74" s="329">
        <f>TVM!L74+KLM!L74+PTA!L74+ALP!L74+KTM!L74+IDK!L74+EKM!L74+TSR!L74+PKD!L74+MLPM!L74+KKD!L74+WYD!L74+KNR!L74+KSD!L74+SHS!L74</f>
        <v>0</v>
      </c>
      <c r="M74" s="323">
        <f>TVM!M74+KLM!M74+PTA!M74+ALP!M74+KTM!M74+IDK!M74+EKM!M74+TSR!M74+PKD!M74+MLPM!M74+KKD!M74+WYD!M74+KNR!M74+KSD!M74+SHS!M74</f>
        <v>0</v>
      </c>
      <c r="N74" s="329">
        <f>TVM!N74+KLM!N74+PTA!N74+ALP!N74+KTM!N74+IDK!N74+EKM!N74+TSR!N74+PKD!N74+MLPM!N74+KKD!N74+WYD!N74+KNR!N74+KSD!N74+SHS!N74</f>
        <v>9.6000000000000014</v>
      </c>
      <c r="O74" s="330">
        <f>TVM!O74+KLM!O74+PTA!O74+ALP!O74+KTM!O74+IDK!O74+EKM!O74+TSR!O74+PKD!O74+MLPM!O74+KKD!O74+WYD!O74+KNR!O74+KSD!O74+SHS!O74</f>
        <v>0</v>
      </c>
      <c r="P74" s="330">
        <f>TVM!P74+KLM!P74+PTA!P74+ALP!P74+KTM!P74+IDK!P74+EKM!P74+TSR!P74+PKD!P74+MLPM!P74+KKD!P74+WYD!P74+KNR!P74+KSD!P74+SHS!P74</f>
        <v>62.399999999999991</v>
      </c>
      <c r="Q74" s="329">
        <f>TVM!Q74+KLM!Q74+PTA!Q74+ALP!Q74+KTM!Q74+IDK!Q74+EKM!Q74+TSR!Q74+PKD!Q74+MLPM!Q74+KKD!Q74+WYD!Q74+KNR!Q74+KSD!Q74+SHS!Q74</f>
        <v>40.799999999999997</v>
      </c>
      <c r="R74" s="330">
        <f>TVM!R74+KLM!R74+PTA!R74+ALP!R74+KTM!R74+IDK!R74+EKM!R74+TSR!R74+PKD!R74+MLPM!R74+KKD!R74+WYD!R74+KNR!R74+KSD!R74+SHS!R74</f>
        <v>27.75</v>
      </c>
      <c r="S74" s="330">
        <f>TVM!S74+KLM!S74+PTA!S74+ALP!S74+KTM!S74+IDK!S74+EKM!S74+TSR!S74+PKD!S74+MLPM!S74+KKD!S74+WYD!S74+KNR!S74+KSD!S74+SHS!S74</f>
        <v>58.45</v>
      </c>
      <c r="T74" s="324">
        <f t="shared" si="3"/>
        <v>201.85999999999996</v>
      </c>
      <c r="U74" s="324">
        <f>TVM!U74+KLM!U74+PTA!U74+ALP!U74+KTM!U74+IDK!U74+EKM!U74+TSR!U74+PKD!U74+MLPM!U74+KKD!U74+WYD!U74+KNR!U74+KSD!U74+SHS!U74</f>
        <v>190.20999999999998</v>
      </c>
      <c r="V74" s="354" t="s">
        <v>1405</v>
      </c>
      <c r="W74" s="354" t="s">
        <v>1406</v>
      </c>
      <c r="X74" s="332">
        <v>368.71</v>
      </c>
      <c r="Y74" s="328">
        <f t="shared" si="1"/>
        <v>-166.85000000000002</v>
      </c>
      <c r="Z74" s="314"/>
      <c r="AA74" s="314"/>
      <c r="AB74" s="314"/>
    </row>
    <row r="75" spans="1:28" ht="300">
      <c r="A75" s="712"/>
      <c r="B75" s="718" t="s">
        <v>143</v>
      </c>
      <c r="C75" s="718" t="s">
        <v>144</v>
      </c>
      <c r="D75" s="320">
        <v>69</v>
      </c>
      <c r="E75" s="320" t="s">
        <v>145</v>
      </c>
      <c r="F75" s="323">
        <f>TVM!F75+KLM!F75+PTA!F75+ALP!F75+KTM!F75+IDK!F75+EKM!F75+TSR!F75+PKD!F75+MLPM!F75+KKD!F75+WYD!F75+KNR!F75+KSD!F75+SHS!F75</f>
        <v>0</v>
      </c>
      <c r="G75" s="323">
        <f>TVM!G75+KLM!G75+PTA!G75+ALP!G75+KTM!G75+IDK!G75+EKM!G75+TSR!G75+PKD!G75+MLPM!G75+KKD!G75+WYD!G75+KNR!G75+KSD!G75+SHS!G75</f>
        <v>0</v>
      </c>
      <c r="H75" s="323">
        <f>TVM!H75+KLM!H75+PTA!H75+ALP!H75+KTM!H75+IDK!H75+EKM!H75+TSR!H75+PKD!H75+MLPM!H75+KKD!H75+WYD!H75+KNR!H75+KSD!H75+SHS!H75</f>
        <v>0</v>
      </c>
      <c r="I75" s="329">
        <f>TVM!I75+KLM!I75+PTA!I75+ALP!I75+KTM!I75+IDK!I75+EKM!I75+TSR!I75+PKD!I75+MLPM!I75+KKD!I75+WYD!I75+KNR!I75+KSD!I75+SHS!I75</f>
        <v>0</v>
      </c>
      <c r="J75" s="323">
        <f>TVM!J75+KLM!J75+PTA!J75+ALP!J75+KTM!J75+IDK!J75+EKM!J75+TSR!J75+PKD!J75+MLPM!J75+KKD!J75+WYD!J75+KNR!J75+KSD!J75+SHS!J75</f>
        <v>0</v>
      </c>
      <c r="K75" s="323">
        <f>TVM!K75+KLM!K75+PTA!K75+ALP!K75+KTM!K75+IDK!K75+EKM!K75+TSR!K75+PKD!K75+MLPM!K75+KKD!K75+WYD!K75+KNR!K75+KSD!K75+SHS!K75</f>
        <v>0</v>
      </c>
      <c r="L75" s="323">
        <f>TVM!L75+KLM!L75+PTA!L75+ALP!L75+KTM!L75+IDK!L75+EKM!L75+TSR!L75+PKD!L75+MLPM!L75+KKD!L75+WYD!L75+KNR!L75+KSD!L75+SHS!L75</f>
        <v>0</v>
      </c>
      <c r="M75" s="329">
        <f>TVM!M75+KLM!M75+PTA!M75+ALP!M75+KTM!M75+IDK!M75+EKM!M75+TSR!M75+PKD!M75+MLPM!M75+KKD!M75+WYD!M75+KNR!M75+KSD!M75+SHS!M75</f>
        <v>9.5199999999999978</v>
      </c>
      <c r="N75" s="323">
        <f>TVM!N75+KLM!N75+PTA!N75+ALP!N75+KTM!N75+IDK!N75+EKM!N75+TSR!N75+PKD!N75+MLPM!N75+KKD!N75+WYD!N75+KNR!N75+KSD!N75+SHS!N75</f>
        <v>0</v>
      </c>
      <c r="O75" s="329">
        <f>TVM!O75+KLM!O75+PTA!O75+ALP!O75+KTM!O75+IDK!O75+EKM!O75+TSR!O75+PKD!O75+MLPM!O75+KKD!O75+WYD!O75+KNR!O75+KSD!O75+SHS!O75</f>
        <v>890.78</v>
      </c>
      <c r="P75" s="329">
        <f>TVM!P75+KLM!P75+PTA!P75+ALP!P75+KTM!P75+IDK!P75+EKM!P75+TSR!P75+PKD!P75+MLPM!P75+KKD!P75+WYD!P75+KNR!P75+KSD!P75+SHS!P75</f>
        <v>19.800000000000004</v>
      </c>
      <c r="Q75" s="323">
        <f>TVM!Q75+KLM!Q75+PTA!Q75+ALP!Q75+KTM!Q75+IDK!Q75+EKM!Q75+TSR!Q75+PKD!Q75+MLPM!Q75+KKD!Q75+WYD!Q75+KNR!Q75+KSD!Q75+SHS!Q75</f>
        <v>0</v>
      </c>
      <c r="R75" s="323">
        <f>TVM!R75+KLM!R75+PTA!R75+ALP!R75+KTM!R75+IDK!R75+EKM!R75+TSR!R75+PKD!R75+MLPM!R75+KKD!R75+WYD!R75+KNR!R75+KSD!R75+SHS!R75</f>
        <v>0</v>
      </c>
      <c r="S75" s="323">
        <f>TVM!S75+KLM!S75+PTA!S75+ALP!S75+KTM!S75+IDK!S75+EKM!S75+TSR!S75+PKD!S75+MLPM!S75+KKD!S75+WYD!S75+KNR!S75+KSD!S75+SHS!S75</f>
        <v>0</v>
      </c>
      <c r="T75" s="324">
        <f t="shared" si="3"/>
        <v>920.09999999999991</v>
      </c>
      <c r="U75" s="324">
        <f>TVM!U75+KLM!U75+PTA!U75+ALP!U75+KTM!U75+IDK!U75+EKM!U75+TSR!U75+PKD!U75+MLPM!U75+KKD!U75+WYD!U75+KNR!U75+KSD!U75+SHS!U75</f>
        <v>920.1</v>
      </c>
      <c r="V75" s="374" t="s">
        <v>1407</v>
      </c>
      <c r="W75" s="374" t="s">
        <v>1407</v>
      </c>
      <c r="X75" s="375">
        <v>1183.29</v>
      </c>
      <c r="Y75" s="328">
        <f t="shared" si="1"/>
        <v>-263.19000000000005</v>
      </c>
      <c r="Z75" s="314"/>
      <c r="AA75" s="314"/>
      <c r="AB75" s="314"/>
    </row>
    <row r="76" spans="1:28" ht="150">
      <c r="A76" s="712"/>
      <c r="B76" s="712"/>
      <c r="C76" s="712"/>
      <c r="D76" s="320">
        <v>70</v>
      </c>
      <c r="E76" s="320" t="s">
        <v>147</v>
      </c>
      <c r="F76" s="330">
        <f>TVM!F76+KLM!F76+PTA!F76+ALP!F76+KTM!F76+IDK!F76+EKM!F76+TSR!F76+PKD!F76+MLPM!F76+KKD!F76+WYD!F76+KNR!F76+KSD!F76+SHS!F76</f>
        <v>2.4</v>
      </c>
      <c r="G76" s="323">
        <f>TVM!G76+KLM!G76+PTA!G76+ALP!G76+KTM!G76+IDK!G76+EKM!G76+TSR!G76+PKD!G76+MLPM!G76+KKD!G76+WYD!G76+KNR!G76+KSD!G76+SHS!G76</f>
        <v>0</v>
      </c>
      <c r="H76" s="323">
        <f>TVM!H76+KLM!H76+PTA!H76+ALP!H76+KTM!H76+IDK!H76+EKM!H76+TSR!H76+PKD!H76+MLPM!H76+KKD!H76+WYD!H76+KNR!H76+KSD!H76+SHS!H76</f>
        <v>0</v>
      </c>
      <c r="I76" s="343">
        <f>TVM!I76+KLM!I76+PTA!I76+ALP!I76+KTM!I76+IDK!I76+EKM!I76+TSR!I76+PKD!I76+MLPM!I76+KKD!I76+WYD!I76+KNR!I76+KSD!I76+SHS!I76</f>
        <v>4.3999999999999995</v>
      </c>
      <c r="J76" s="323">
        <f>TVM!J76+KLM!J76+PTA!J76+ALP!J76+KTM!J76+IDK!J76+EKM!J76+TSR!J76+PKD!J76+MLPM!J76+KKD!J76+WYD!J76+KNR!J76+KSD!J76+SHS!J76</f>
        <v>0</v>
      </c>
      <c r="K76" s="323">
        <f>TVM!K76+KLM!K76+PTA!K76+ALP!K76+KTM!K76+IDK!K76+EKM!K76+TSR!K76+PKD!K76+MLPM!K76+KKD!K76+WYD!K76+KNR!K76+KSD!K76+SHS!K76</f>
        <v>0</v>
      </c>
      <c r="L76" s="323">
        <f>TVM!L76+KLM!L76+PTA!L76+ALP!L76+KTM!L76+IDK!L76+EKM!L76+TSR!L76+PKD!L76+MLPM!L76+KKD!L76+WYD!L76+KNR!L76+KSD!L76+SHS!L76</f>
        <v>0</v>
      </c>
      <c r="M76" s="323">
        <f>TVM!M76+KLM!M76+PTA!M76+ALP!M76+KTM!M76+IDK!M76+EKM!M76+TSR!M76+PKD!M76+MLPM!M76+KKD!M76+WYD!M76+KNR!M76+KSD!M76+SHS!M76</f>
        <v>0</v>
      </c>
      <c r="N76" s="323">
        <f>TVM!N76+KLM!N76+PTA!N76+ALP!N76+KTM!N76+IDK!N76+EKM!N76+TSR!N76+PKD!N76+MLPM!N76+KKD!N76+WYD!N76+KNR!N76+KSD!N76+SHS!N76</f>
        <v>0</v>
      </c>
      <c r="O76" s="323">
        <f>TVM!O76+KLM!O76+PTA!O76+ALP!O76+KTM!O76+IDK!O76+EKM!O76+TSR!O76+PKD!O76+MLPM!O76+KKD!O76+WYD!O76+KNR!O76+KSD!O76+SHS!O76</f>
        <v>0</v>
      </c>
      <c r="P76" s="329">
        <f>TVM!P76+KLM!P76+PTA!P76+ALP!P76+KTM!P76+IDK!P76+EKM!P76+TSR!P76+PKD!P76+MLPM!P76+KKD!P76+WYD!P76+KNR!P76+KSD!P76+SHS!P76</f>
        <v>15.399999999999997</v>
      </c>
      <c r="Q76" s="323">
        <f>TVM!Q76+KLM!Q76+PTA!Q76+ALP!Q76+KTM!Q76+IDK!Q76+EKM!Q76+TSR!Q76+PKD!Q76+MLPM!Q76+KKD!Q76+WYD!Q76+KNR!Q76+KSD!Q76+SHS!Q76</f>
        <v>0</v>
      </c>
      <c r="R76" s="323">
        <f>TVM!R76+KLM!R76+PTA!R76+ALP!R76+KTM!R76+IDK!R76+EKM!R76+TSR!R76+PKD!R76+MLPM!R76+KKD!R76+WYD!R76+KNR!R76+KSD!R76+SHS!R76</f>
        <v>0</v>
      </c>
      <c r="S76" s="323">
        <f>TVM!S76+KLM!S76+PTA!S76+ALP!S76+KTM!S76+IDK!S76+EKM!S76+TSR!S76+PKD!S76+MLPM!S76+KKD!S76+WYD!S76+KNR!S76+KSD!S76+SHS!S76</f>
        <v>0</v>
      </c>
      <c r="T76" s="324">
        <f t="shared" si="3"/>
        <v>22.199999999999996</v>
      </c>
      <c r="U76" s="324">
        <f>TVM!U76+KLM!U76+PTA!U76+ALP!U76+KTM!U76+IDK!U76+EKM!U76+TSR!U76+PKD!U76+MLPM!U76+KKD!U76+WYD!U76+KNR!U76+KSD!U76+SHS!U76</f>
        <v>22.199999999999996</v>
      </c>
      <c r="V76" s="374" t="s">
        <v>1408</v>
      </c>
      <c r="W76" s="374" t="s">
        <v>1408</v>
      </c>
      <c r="X76" s="375">
        <v>11</v>
      </c>
      <c r="Y76" s="328">
        <f t="shared" si="1"/>
        <v>11.199999999999996</v>
      </c>
      <c r="Z76" s="314"/>
      <c r="AA76" s="314"/>
      <c r="AB76" s="314"/>
    </row>
    <row r="77" spans="1:28" ht="39.75" customHeight="1">
      <c r="A77" s="712"/>
      <c r="B77" s="712"/>
      <c r="C77" s="712"/>
      <c r="D77" s="320">
        <v>71</v>
      </c>
      <c r="E77" s="320" t="s">
        <v>149</v>
      </c>
      <c r="F77" s="323">
        <f>TVM!F77+KLM!F77+PTA!F77+ALP!F77+KTM!F77+IDK!F77+EKM!F77+TSR!F77+PKD!F77+MLPM!F77+KKD!F77+WYD!F77+KNR!F77+KSD!F77+SHS!F77</f>
        <v>0</v>
      </c>
      <c r="G77" s="323">
        <f>TVM!G77+KLM!G77+PTA!G77+ALP!G77+KTM!G77+IDK!G77+EKM!G77+TSR!G77+PKD!G77+MLPM!G77+KKD!G77+WYD!G77+KNR!G77+KSD!G77+SHS!G77</f>
        <v>0</v>
      </c>
      <c r="H77" s="323">
        <f>TVM!H77+KLM!H77+PTA!H77+ALP!H77+KTM!H77+IDK!H77+EKM!H77+TSR!H77+PKD!H77+MLPM!H77+KKD!H77+WYD!H77+KNR!H77+KSD!H77+SHS!H77</f>
        <v>0</v>
      </c>
      <c r="I77" s="323">
        <f>TVM!I77+KLM!I77+PTA!I77+ALP!I77+KTM!I77+IDK!I77+EKM!I77+TSR!I77+PKD!I77+MLPM!I77+KKD!I77+WYD!I77+KNR!I77+KSD!I77+SHS!I77</f>
        <v>0</v>
      </c>
      <c r="J77" s="323">
        <f>TVM!J77+KLM!J77+PTA!J77+ALP!J77+KTM!J77+IDK!J77+EKM!J77+TSR!J77+PKD!J77+MLPM!J77+KKD!J77+WYD!J77+KNR!J77+KSD!J77+SHS!J77</f>
        <v>0</v>
      </c>
      <c r="K77" s="323">
        <f>TVM!K77+KLM!K77+PTA!K77+ALP!K77+KTM!K77+IDK!K77+EKM!K77+TSR!K77+PKD!K77+MLPM!K77+KKD!K77+WYD!K77+KNR!K77+KSD!K77+SHS!K77</f>
        <v>0</v>
      </c>
      <c r="L77" s="323">
        <f>TVM!L77+KLM!L77+PTA!L77+ALP!L77+KTM!L77+IDK!L77+EKM!L77+TSR!L77+PKD!L77+MLPM!L77+KKD!L77+WYD!L77+KNR!L77+KSD!L77+SHS!L77</f>
        <v>0</v>
      </c>
      <c r="M77" s="323">
        <f>TVM!M77+KLM!M77+PTA!M77+ALP!M77+KTM!M77+IDK!M77+EKM!M77+TSR!M77+PKD!M77+MLPM!M77+KKD!M77+WYD!M77+KNR!M77+KSD!M77+SHS!M77</f>
        <v>0</v>
      </c>
      <c r="N77" s="323">
        <f>TVM!N77+KLM!N77+PTA!N77+ALP!N77+KTM!N77+IDK!N77+EKM!N77+TSR!N77+PKD!N77+MLPM!N77+KKD!N77+WYD!N77+KNR!N77+KSD!N77+SHS!N77</f>
        <v>0</v>
      </c>
      <c r="O77" s="323">
        <f>TVM!O77+KLM!O77+PTA!O77+ALP!O77+KTM!O77+IDK!O77+EKM!O77+TSR!O77+PKD!O77+MLPM!O77+KKD!O77+WYD!O77+KNR!O77+KSD!O77+SHS!O77</f>
        <v>0</v>
      </c>
      <c r="P77" s="323">
        <f>TVM!P77+KLM!P77+PTA!P77+ALP!P77+KTM!P77+IDK!P77+EKM!P77+TSR!P77+PKD!P77+MLPM!P77+KKD!P77+WYD!P77+KNR!P77+KSD!P77+SHS!P77</f>
        <v>0</v>
      </c>
      <c r="Q77" s="323">
        <f>TVM!Q77+KLM!Q77+PTA!Q77+ALP!Q77+KTM!Q77+IDK!Q77+EKM!Q77+TSR!Q77+PKD!Q77+MLPM!Q77+KKD!Q77+WYD!Q77+KNR!Q77+KSD!Q77+SHS!Q77</f>
        <v>0</v>
      </c>
      <c r="R77" s="323">
        <f>TVM!R77+KLM!R77+PTA!R77+ALP!R77+KTM!R77+IDK!R77+EKM!R77+TSR!R77+PKD!R77+MLPM!R77+KKD!R77+WYD!R77+KNR!R77+KSD!R77+SHS!R77</f>
        <v>0</v>
      </c>
      <c r="S77" s="323">
        <f>TVM!S77+KLM!S77+PTA!S77+ALP!S77+KTM!S77+IDK!S77+EKM!S77+TSR!S77+PKD!S77+MLPM!S77+KKD!S77+WYD!S77+KNR!S77+KSD!S77+SHS!S77</f>
        <v>0</v>
      </c>
      <c r="T77" s="324">
        <f t="shared" si="3"/>
        <v>0</v>
      </c>
      <c r="U77" s="324">
        <f>TVM!U77+KLM!U77+PTA!U77+ALP!U77+KTM!U77+IDK!U77+EKM!U77+TSR!U77+PKD!U77+MLPM!U77+KKD!U77+WYD!U77+KNR!U77+KSD!U77+SHS!U77</f>
        <v>0</v>
      </c>
      <c r="V77" s="376"/>
      <c r="W77" s="377"/>
      <c r="X77" s="375">
        <v>0</v>
      </c>
      <c r="Y77" s="328">
        <f t="shared" si="1"/>
        <v>0</v>
      </c>
      <c r="Z77" s="314"/>
      <c r="AA77" s="314"/>
      <c r="AB77" s="314"/>
    </row>
    <row r="78" spans="1:28" ht="409.5">
      <c r="A78" s="712"/>
      <c r="B78" s="707"/>
      <c r="C78" s="707"/>
      <c r="D78" s="320">
        <v>72</v>
      </c>
      <c r="E78" s="320" t="s">
        <v>150</v>
      </c>
      <c r="F78" s="323">
        <f>TVM!F78+KLM!F78+PTA!F78+ALP!F78+KTM!F78+IDK!F78+EKM!F78+TSR!F78+PKD!F78+MLPM!F78+KKD!F78+WYD!F78+KNR!F78+KSD!F78+SHS!F78</f>
        <v>0</v>
      </c>
      <c r="G78" s="323">
        <f>TVM!G78+KLM!G78+PTA!G78+ALP!G78+KTM!G78+IDK!G78+EKM!G78+TSR!G78+PKD!G78+MLPM!G78+KKD!G78+WYD!G78+KNR!G78+KSD!G78+SHS!G78</f>
        <v>0</v>
      </c>
      <c r="H78" s="323">
        <f>TVM!H78+KLM!H78+PTA!H78+ALP!H78+KTM!H78+IDK!H78+EKM!H78+TSR!H78+PKD!H78+MLPM!H78+KKD!H78+WYD!H78+KNR!H78+KSD!H78+SHS!H78</f>
        <v>0</v>
      </c>
      <c r="I78" s="323">
        <f>TVM!I78+KLM!I78+PTA!I78+ALP!I78+KTM!I78+IDK!I78+EKM!I78+TSR!I78+PKD!I78+MLPM!I78+KKD!I78+WYD!I78+KNR!I78+KSD!I78+SHS!I78</f>
        <v>0</v>
      </c>
      <c r="J78" s="323">
        <f>TVM!J78+KLM!J78+PTA!J78+ALP!J78+KTM!J78+IDK!J78+EKM!J78+TSR!J78+PKD!J78+MLPM!J78+KKD!J78+WYD!J78+KNR!J78+KSD!J78+SHS!J78</f>
        <v>0</v>
      </c>
      <c r="K78" s="343">
        <f>TVM!K78+KLM!K78+PTA!K78+ALP!K78+KTM!K78+IDK!K78+EKM!K78+TSR!K78+PKD!K78+MLPM!K78+KKD!K78+WYD!K78+KNR!K78+KSD!K78+SHS!K78</f>
        <v>0</v>
      </c>
      <c r="L78" s="323">
        <f>TVM!L78+KLM!L78+PTA!L78+ALP!L78+KTM!L78+IDK!L78+EKM!L78+TSR!L78+PKD!L78+MLPM!L78+KKD!L78+WYD!L78+KNR!L78+KSD!L78+SHS!L78</f>
        <v>0</v>
      </c>
      <c r="M78" s="329">
        <f>TVM!M78+KLM!M78+PTA!M78+ALP!M78+KTM!M78+IDK!M78+EKM!M78+TSR!M78+PKD!M78+MLPM!M78+KKD!M78+WYD!M78+KNR!M78+KSD!M78+SHS!M78</f>
        <v>0</v>
      </c>
      <c r="N78" s="329">
        <f>TVM!N78+KLM!N78+PTA!N78+ALP!N78+KTM!N78+IDK!N78+EKM!N78+TSR!N78+PKD!N78+MLPM!N78+KKD!N78+WYD!N78+KNR!N78+KSD!N78+SHS!N78</f>
        <v>63.890999999999998</v>
      </c>
      <c r="O78" s="323">
        <f>TVM!O78+KLM!O78+PTA!O78+ALP!O78+KTM!O78+IDK!O78+EKM!O78+TSR!O78+PKD!O78+MLPM!O78+KKD!O78+WYD!O78+KNR!O78+KSD!O78+SHS!O78</f>
        <v>0</v>
      </c>
      <c r="P78" s="330">
        <f>TVM!P78+KLM!P78+PTA!P78+ALP!P78+KTM!P78+IDK!P78+EKM!P78+TSR!P78+PKD!P78+MLPM!P78+KKD!P78+WYD!P78+KNR!P78+KSD!P78+SHS!P78</f>
        <v>7</v>
      </c>
      <c r="Q78" s="329">
        <f>TVM!Q78+KLM!Q78+PTA!Q78+ALP!Q78+KTM!Q78+IDK!Q78+EKM!Q78+TSR!Q78+PKD!Q78+MLPM!Q78+KKD!Q78+WYD!Q78+KNR!Q78+KSD!Q78+SHS!Q78</f>
        <v>37.932499999999997</v>
      </c>
      <c r="R78" s="330">
        <f>TVM!R78+KLM!R78+PTA!R78+ALP!R78+KTM!R78+IDK!R78+EKM!R78+TSR!R78+PKD!R78+MLPM!R78+KKD!R78+WYD!R78+KNR!R78+KSD!R78+SHS!R78</f>
        <v>54.450500000000005</v>
      </c>
      <c r="S78" s="323">
        <f>TVM!S78+KLM!S78+PTA!S78+ALP!S78+KTM!S78+IDK!S78+EKM!S78+TSR!S78+PKD!S78+MLPM!S78+KKD!S78+WYD!S78+KNR!S78+KSD!S78+SHS!S78</f>
        <v>0</v>
      </c>
      <c r="T78" s="324">
        <f t="shared" si="3"/>
        <v>163.274</v>
      </c>
      <c r="U78" s="324">
        <f>TVM!U78+KLM!U78+PTA!U78+ALP!U78+KTM!U78+IDK!U78+EKM!U78+TSR!U78+PKD!U78+MLPM!U78+KKD!U78+WYD!U78+KNR!U78+KSD!U78+SHS!U78</f>
        <v>163.27400000000003</v>
      </c>
      <c r="V78" s="374" t="s">
        <v>1409</v>
      </c>
      <c r="W78" s="374" t="s">
        <v>1409</v>
      </c>
      <c r="X78" s="375">
        <v>203.25</v>
      </c>
      <c r="Y78" s="328">
        <f t="shared" si="1"/>
        <v>-39.975999999999999</v>
      </c>
      <c r="Z78" s="314"/>
      <c r="AA78" s="314"/>
      <c r="AB78" s="314"/>
    </row>
    <row r="79" spans="1:28" ht="31.5">
      <c r="A79" s="712"/>
      <c r="B79" s="718" t="s">
        <v>152</v>
      </c>
      <c r="C79" s="718" t="s">
        <v>153</v>
      </c>
      <c r="D79" s="320">
        <v>73</v>
      </c>
      <c r="E79" s="320" t="s">
        <v>154</v>
      </c>
      <c r="F79" s="378">
        <f>TVM!F79+KLM!F79+PTA!F79+ALP!F79+KTM!F79+IDK!F79+EKM!F79+TSR!F79+PKD!F79+MLPM!F79+KKD!F79+WYD!F79+KNR!F79+KSD!F79+SHS!F79</f>
        <v>34.9</v>
      </c>
      <c r="G79" s="378">
        <f>TVM!G79+KLM!G79+PTA!G79+ALP!G79+KTM!G79+IDK!G79+EKM!G79+TSR!G79+PKD!G79+MLPM!G79+KKD!G79+WYD!G79+KNR!G79+KSD!G79+SHS!G79</f>
        <v>40.5</v>
      </c>
      <c r="H79" s="378">
        <f>TVM!H79+KLM!H79+PTA!H79+ALP!H79+KTM!H79+IDK!H79+EKM!H79+TSR!H79+PKD!H79+MLPM!H79+KKD!H79+WYD!H79+KNR!H79+KSD!H79+SHS!H79</f>
        <v>320.10000000000002</v>
      </c>
      <c r="I79" s="378">
        <f>TVM!I79+KLM!I79+PTA!I79+ALP!I79+KTM!I79+IDK!I79+EKM!I79+TSR!I79+PKD!I79+MLPM!I79+KKD!I79+WYD!I79+KNR!I79+KSD!I79+SHS!I79</f>
        <v>270.40000000000003</v>
      </c>
      <c r="J79" s="378">
        <f>TVM!J79+KLM!J79+PTA!J79+ALP!J79+KTM!J79+IDK!J79+EKM!J79+TSR!J79+PKD!J79+MLPM!J79+KKD!J79+WYD!J79+KNR!J79+KSD!J79+SHS!J79</f>
        <v>0</v>
      </c>
      <c r="K79" s="378">
        <f>TVM!K79+KLM!K79+PTA!K79+ALP!K79+KTM!K79+IDK!K79+EKM!K79+TSR!K79+PKD!K79+MLPM!K79+KKD!K79+WYD!K79+KNR!K79+KSD!K79+SHS!K79</f>
        <v>0</v>
      </c>
      <c r="L79" s="378">
        <f>TVM!L79+KLM!L79+PTA!L79+ALP!L79+KTM!L79+IDK!L79+EKM!L79+TSR!L79+PKD!L79+MLPM!L79+KKD!L79+WYD!L79+KNR!L79+KSD!L79+SHS!L79</f>
        <v>62.400000000000006</v>
      </c>
      <c r="M79" s="378">
        <f>TVM!M79+KLM!M79+PTA!M79+ALP!M79+KTM!M79+IDK!M79+EKM!M79+TSR!M79+PKD!M79+MLPM!M79+KKD!M79+WYD!M79+KNR!M79+KSD!M79+SHS!M79</f>
        <v>159.19999999999999</v>
      </c>
      <c r="N79" s="378">
        <f>TVM!N79+KLM!N79+PTA!N79+ALP!N79+KTM!N79+IDK!N79+EKM!N79+TSR!N79+PKD!N79+MLPM!N79+KKD!N79+WYD!N79+KNR!N79+KSD!N79+SHS!N79</f>
        <v>111.70000000000002</v>
      </c>
      <c r="O79" s="378">
        <f>TVM!O79+KLM!O79+PTA!O79+ALP!O79+KTM!O79+IDK!O79+EKM!O79+TSR!O79+PKD!O79+MLPM!O79+KKD!O79+WYD!O79+KNR!O79+KSD!O79+SHS!O79</f>
        <v>0</v>
      </c>
      <c r="P79" s="378">
        <f>TVM!P79+KLM!P79+PTA!P79+ALP!P79+KTM!P79+IDK!P79+EKM!P79+TSR!P79+PKD!P79+MLPM!P79+KKD!P79+WYD!P79+KNR!P79+KSD!P79+SHS!P79</f>
        <v>47.2</v>
      </c>
      <c r="Q79" s="378">
        <f>TVM!Q79+KLM!Q79+PTA!Q79+ALP!Q79+KTM!Q79+IDK!Q79+EKM!Q79+TSR!Q79+PKD!Q79+MLPM!Q79+KKD!Q79+WYD!Q79+KNR!Q79+KSD!Q79+SHS!Q79</f>
        <v>0</v>
      </c>
      <c r="R79" s="378">
        <f>TVM!R79+KLM!R79+PTA!R79+ALP!R79+KTM!R79+IDK!R79+EKM!R79+TSR!R79+PKD!R79+MLPM!R79+KKD!R79+WYD!R79+KNR!R79+KSD!R79+SHS!R79</f>
        <v>220.6</v>
      </c>
      <c r="S79" s="378">
        <f>TVM!S79+KLM!S79+PTA!S79+ALP!S79+KTM!S79+IDK!S79+EKM!S79+TSR!S79+PKD!S79+MLPM!S79+KKD!S79+WYD!S79+KNR!S79+KSD!S79+SHS!S79</f>
        <v>56.3</v>
      </c>
      <c r="T79" s="324">
        <f t="shared" si="3"/>
        <v>1323.3</v>
      </c>
      <c r="U79" s="379">
        <f>TVM!U79+KLM!U79+PTA!U79+ALP!U79+KTM!U79+IDK!U79+EKM!U79+TSR!U79+PKD!U79+MLPM!U79+KKD!U79+WYD!U79+KNR!U79+KSD!U79+SHS!U79</f>
        <v>1111.5999999999999</v>
      </c>
      <c r="V79" s="380" t="s">
        <v>1410</v>
      </c>
      <c r="W79" s="381" t="s">
        <v>1411</v>
      </c>
      <c r="X79" s="375">
        <v>924.6</v>
      </c>
      <c r="Y79" s="328">
        <f t="shared" si="1"/>
        <v>398.69999999999993</v>
      </c>
      <c r="Z79" s="314"/>
      <c r="AA79" s="314"/>
      <c r="AB79" s="314"/>
    </row>
    <row r="80" spans="1:28" ht="84.75" customHeight="1">
      <c r="A80" s="712"/>
      <c r="B80" s="712"/>
      <c r="C80" s="712"/>
      <c r="D80" s="320">
        <v>74</v>
      </c>
      <c r="E80" s="320" t="s">
        <v>155</v>
      </c>
      <c r="F80" s="378">
        <f>TVM!F80+KLM!F80+PTA!F80+ALP!F80+KTM!F80+IDK!F80+EKM!F80+TSR!F80+PKD!F80+MLPM!F80+KKD!F80+WYD!F80+KNR!F80+KSD!F80+SHS!F80</f>
        <v>690.5</v>
      </c>
      <c r="G80" s="378">
        <f>TVM!G80+KLM!G80+PTA!G80+ALP!G80+KTM!G80+IDK!G80+EKM!G80+TSR!G80+PKD!G80+MLPM!G80+KKD!G80+WYD!G80+KNR!G80+KSD!G80+SHS!G80</f>
        <v>0</v>
      </c>
      <c r="H80" s="382">
        <f>TVM!H80+KLM!H80+PTA!H80+ALP!H80+KTM!H80+IDK!H80+EKM!H80+TSR!H80+PKD!H80+MLPM!H80+KKD!H80+WYD!H80+KNR!H80+KSD!H80+SHS!H80</f>
        <v>0</v>
      </c>
      <c r="I80" s="382">
        <f>TVM!I80+KLM!I80+PTA!I80+ALP!I80+KTM!I80+IDK!I80+EKM!I80+TSR!I80+PKD!I80+MLPM!I80+KKD!I80+WYD!I80+KNR!I80+KSD!I80+SHS!I80</f>
        <v>0</v>
      </c>
      <c r="J80" s="382">
        <f>TVM!J80+KLM!J80+PTA!J80+ALP!J80+KTM!J80+IDK!J80+EKM!J80+TSR!J80+PKD!J80+MLPM!J80+KKD!J80+WYD!J80+KNR!J80+KSD!J80+SHS!J80</f>
        <v>0</v>
      </c>
      <c r="K80" s="382">
        <f>TVM!K80+KLM!K80+PTA!K80+ALP!K80+KTM!K80+IDK!K80+EKM!K80+TSR!K80+PKD!K80+MLPM!K80+KKD!K80+WYD!K80+KNR!K80+KSD!K80+SHS!K80</f>
        <v>0</v>
      </c>
      <c r="L80" s="382">
        <f>TVM!L80+KLM!L80+PTA!L80+ALP!L80+KTM!L80+IDK!L80+EKM!L80+TSR!L80+PKD!L80+MLPM!L80+KKD!L80+WYD!L80+KNR!L80+KSD!L80+SHS!L80</f>
        <v>0</v>
      </c>
      <c r="M80" s="382">
        <f>TVM!M80+KLM!M80+PTA!M80+ALP!M80+KTM!M80+IDK!M80+EKM!M80+TSR!M80+PKD!M80+MLPM!M80+KKD!M80+WYD!M80+KNR!M80+KSD!M80+SHS!M80</f>
        <v>0</v>
      </c>
      <c r="N80" s="382">
        <f>TVM!N80+KLM!N80+PTA!N80+ALP!N80+KTM!N80+IDK!N80+EKM!N80+TSR!N80+PKD!N80+MLPM!N80+KKD!N80+WYD!N80+KNR!N80+KSD!N80+SHS!N80</f>
        <v>0</v>
      </c>
      <c r="O80" s="382">
        <f>TVM!O80+KLM!O80+PTA!O80+ALP!O80+KTM!O80+IDK!O80+EKM!O80+TSR!O80+PKD!O80+MLPM!O80+KKD!O80+WYD!O80+KNR!O80+KSD!O80+SHS!O80</f>
        <v>0</v>
      </c>
      <c r="P80" s="382">
        <f>TVM!P80+KLM!P80+PTA!P80+ALP!P80+KTM!P80+IDK!P80+EKM!P80+TSR!P80+PKD!P80+MLPM!P80+KKD!P80+WYD!P80+KNR!P80+KSD!P80+SHS!P80</f>
        <v>0</v>
      </c>
      <c r="Q80" s="382">
        <f>TVM!Q80+KLM!Q80+PTA!Q80+ALP!Q80+KTM!Q80+IDK!Q80+EKM!Q80+TSR!Q80+PKD!Q80+MLPM!Q80+KKD!Q80+WYD!Q80+KNR!Q80+KSD!Q80+SHS!Q80</f>
        <v>0</v>
      </c>
      <c r="R80" s="382">
        <f>TVM!R80+KLM!R80+PTA!R80+ALP!R80+KTM!R80+IDK!R80+EKM!R80+TSR!R80+PKD!R80+MLPM!R80+KKD!R80+WYD!R80+KNR!R80+KSD!R80+SHS!R80</f>
        <v>0</v>
      </c>
      <c r="S80" s="382">
        <f>TVM!S80+KLM!S80+PTA!S80+ALP!S80+KTM!S80+IDK!S80+EKM!S80+TSR!S80+PKD!S80+MLPM!S80+KKD!S80+WYD!S80+KNR!S80+KSD!S80+SHS!S80</f>
        <v>0</v>
      </c>
      <c r="T80" s="324">
        <f t="shared" si="3"/>
        <v>690.5</v>
      </c>
      <c r="U80" s="324">
        <f>TVM!U80+KLM!U80+PTA!U80+ALP!U80+KTM!U80+IDK!U80+EKM!U80+TSR!U80+PKD!U80+MLPM!U80+KKD!U80+WYD!U80+KNR!U80+KSD!U80+SHS!U80</f>
        <v>710.49999999999977</v>
      </c>
      <c r="V80" s="383" t="s">
        <v>1412</v>
      </c>
      <c r="W80" s="384" t="s">
        <v>1413</v>
      </c>
      <c r="X80" s="375">
        <v>762</v>
      </c>
      <c r="Y80" s="328">
        <f t="shared" si="1"/>
        <v>-71.5</v>
      </c>
      <c r="Z80" s="314"/>
      <c r="AA80" s="314"/>
      <c r="AB80" s="314"/>
    </row>
    <row r="81" spans="1:28" ht="143.25" customHeight="1">
      <c r="A81" s="712"/>
      <c r="B81" s="712"/>
      <c r="C81" s="712"/>
      <c r="D81" s="320">
        <v>75</v>
      </c>
      <c r="E81" s="320" t="s">
        <v>157</v>
      </c>
      <c r="F81" s="378">
        <f>TVM!F81+KLM!F81+PTA!F81+ALP!F81+KTM!F81+IDK!F81+EKM!F81+TSR!F81+PKD!F81+MLPM!F81+KKD!F81+WYD!F81+KNR!F81+KSD!F81+SHS!F81</f>
        <v>27.400000000000006</v>
      </c>
      <c r="G81" s="378">
        <f>TVM!G81+KLM!G81+PTA!G81+ALP!G81+KTM!G81+IDK!G81+EKM!G81+TSR!G81+PKD!G81+MLPM!G81+KKD!G81+WYD!G81+KNR!G81+KSD!G81+SHS!G81</f>
        <v>0</v>
      </c>
      <c r="H81" s="382">
        <f>TVM!H81+KLM!H81+PTA!H81+ALP!H81+KTM!H81+IDK!H81+EKM!H81+TSR!H81+PKD!H81+MLPM!H81+KKD!H81+WYD!H81+KNR!H81+KSD!H81+SHS!H81</f>
        <v>0</v>
      </c>
      <c r="I81" s="382">
        <f>TVM!I81+KLM!I81+PTA!I81+ALP!I81+KTM!I81+IDK!I81+EKM!I81+TSR!I81+PKD!I81+MLPM!I81+KKD!I81+WYD!I81+KNR!I81+KSD!I81+SHS!I81</f>
        <v>0</v>
      </c>
      <c r="J81" s="382">
        <f>TVM!J81+KLM!J81+PTA!J81+ALP!J81+KTM!J81+IDK!J81+EKM!J81+TSR!J81+PKD!J81+MLPM!J81+KKD!J81+WYD!J81+KNR!J81+KSD!J81+SHS!J81</f>
        <v>0</v>
      </c>
      <c r="K81" s="382">
        <f>TVM!K81+KLM!K81+PTA!K81+ALP!K81+KTM!K81+IDK!K81+EKM!K81+TSR!K81+PKD!K81+MLPM!K81+KKD!K81+WYD!K81+KNR!K81+KSD!K81+SHS!K81</f>
        <v>0</v>
      </c>
      <c r="L81" s="382">
        <f>TVM!L81+KLM!L81+PTA!L81+ALP!L81+KTM!L81+IDK!L81+EKM!L81+TSR!L81+PKD!L81+MLPM!L81+KKD!L81+WYD!L81+KNR!L81+KSD!L81+SHS!L81</f>
        <v>0</v>
      </c>
      <c r="M81" s="382">
        <f>TVM!M81+KLM!M81+PTA!M81+ALP!M81+KTM!M81+IDK!M81+EKM!M81+TSR!M81+PKD!M81+MLPM!M81+KKD!M81+WYD!M81+KNR!M81+KSD!M81+SHS!M81</f>
        <v>0</v>
      </c>
      <c r="N81" s="382">
        <f>TVM!N81+KLM!N81+PTA!N81+ALP!N81+KTM!N81+IDK!N81+EKM!N81+TSR!N81+PKD!N81+MLPM!N81+KKD!N81+WYD!N81+KNR!N81+KSD!N81+SHS!N81</f>
        <v>0</v>
      </c>
      <c r="O81" s="382">
        <f>TVM!O81+KLM!O81+PTA!O81+ALP!O81+KTM!O81+IDK!O81+EKM!O81+TSR!O81+PKD!O81+MLPM!O81+KKD!O81+WYD!O81+KNR!O81+KSD!O81+SHS!O81</f>
        <v>0</v>
      </c>
      <c r="P81" s="378">
        <f>TVM!P81+KLM!P81+PTA!P81+ALP!P81+KTM!P81+IDK!P81+EKM!P81+TSR!P81+PKD!P81+MLPM!P81+KKD!P81+WYD!P81+KNR!P81+KSD!P81+SHS!P81</f>
        <v>79.999999999999986</v>
      </c>
      <c r="Q81" s="378">
        <f>TVM!Q81+KLM!Q81+PTA!Q81+ALP!Q81+KTM!Q81+IDK!Q81+EKM!Q81+TSR!Q81+PKD!Q81+MLPM!Q81+KKD!Q81+WYD!Q81+KNR!Q81+KSD!Q81+SHS!Q81</f>
        <v>0</v>
      </c>
      <c r="R81" s="382">
        <f>TVM!R81+KLM!R81+PTA!R81+ALP!R81+KTM!R81+IDK!R81+EKM!R81+TSR!R81+PKD!R81+MLPM!R81+KKD!R81+WYD!R81+KNR!R81+KSD!R81+SHS!R81</f>
        <v>0</v>
      </c>
      <c r="S81" s="382">
        <f>TVM!S81+KLM!S81+PTA!S81+ALP!S81+KTM!S81+IDK!S81+EKM!S81+TSR!S81+PKD!S81+MLPM!S81+KKD!S81+WYD!S81+KNR!S81+KSD!S81+SHS!S81</f>
        <v>0</v>
      </c>
      <c r="T81" s="324">
        <f t="shared" si="3"/>
        <v>107.39999999999999</v>
      </c>
      <c r="U81" s="324">
        <f>TVM!U81+KLM!U81+PTA!U81+ALP!U81+KTM!U81+IDK!U81+EKM!U81+TSR!U81+PKD!U81+MLPM!U81+KKD!U81+WYD!U81+KNR!U81+KSD!U81+SHS!U81</f>
        <v>116.7</v>
      </c>
      <c r="V81" s="385" t="s">
        <v>1414</v>
      </c>
      <c r="W81" s="386" t="s">
        <v>1415</v>
      </c>
      <c r="X81" s="375">
        <v>220.48</v>
      </c>
      <c r="Y81" s="328">
        <f t="shared" si="1"/>
        <v>-113.08</v>
      </c>
      <c r="Z81" s="314"/>
      <c r="AA81" s="314"/>
      <c r="AB81" s="314"/>
    </row>
    <row r="82" spans="1:28" ht="144" customHeight="1">
      <c r="A82" s="712"/>
      <c r="B82" s="712"/>
      <c r="C82" s="712"/>
      <c r="D82" s="320">
        <v>76</v>
      </c>
      <c r="E82" s="320" t="s">
        <v>159</v>
      </c>
      <c r="F82" s="382">
        <f>TVM!F82+KLM!F82+PTA!F82+ALP!F82+KTM!F82+IDK!F82+EKM!F82+TSR!F82+PKD!F82+MLPM!F82+KKD!F82+WYD!F82+KNR!F82+KSD!F82+SHS!F82</f>
        <v>0</v>
      </c>
      <c r="G82" s="382">
        <f>TVM!G82+KLM!G82+PTA!G82+ALP!G82+KTM!G82+IDK!G82+EKM!G82+TSR!G82+PKD!G82+MLPM!G82+KKD!G82+WYD!G82+KNR!G82+KSD!G82+SHS!G82</f>
        <v>0</v>
      </c>
      <c r="H82" s="382">
        <f>TVM!H82+KLM!H82+PTA!H82+ALP!H82+KTM!H82+IDK!H82+EKM!H82+TSR!H82+PKD!H82+MLPM!H82+KKD!H82+WYD!H82+KNR!H82+KSD!H82+SHS!H82</f>
        <v>0</v>
      </c>
      <c r="I82" s="382">
        <f>TVM!I82+KLM!I82+PTA!I82+ALP!I82+KTM!I82+IDK!I82+EKM!I82+TSR!I82+PKD!I82+MLPM!I82+KKD!I82+WYD!I82+KNR!I82+KSD!I82+SHS!I82</f>
        <v>0</v>
      </c>
      <c r="J82" s="382">
        <f>TVM!J82+KLM!J82+PTA!J82+ALP!J82+KTM!J82+IDK!J82+EKM!J82+TSR!J82+PKD!J82+MLPM!J82+KKD!J82+WYD!J82+KNR!J82+KSD!J82+SHS!J82</f>
        <v>0</v>
      </c>
      <c r="K82" s="378">
        <f>TVM!K82+KLM!K82+PTA!K82+ALP!K82+KTM!K82+IDK!K82+EKM!K82+TSR!K82+PKD!K82+MLPM!K82+KKD!K82+WYD!K82+KNR!K82+KSD!K82+SHS!K82</f>
        <v>0</v>
      </c>
      <c r="L82" s="382">
        <f>TVM!L82+KLM!L82+PTA!L82+ALP!L82+KTM!L82+IDK!L82+EKM!L82+TSR!L82+PKD!L82+MLPM!L82+KKD!L82+WYD!L82+KNR!L82+KSD!L82+SHS!L82</f>
        <v>310</v>
      </c>
      <c r="M82" s="378">
        <f>TVM!M82+KLM!M82+PTA!M82+ALP!M82+KTM!M82+IDK!M82+EKM!M82+TSR!M82+PKD!M82+MLPM!M82+KKD!M82+WYD!M82+KNR!M82+KSD!M82+SHS!M82</f>
        <v>214.29999999999998</v>
      </c>
      <c r="N82" s="382">
        <f>TVM!N82+KLM!N82+PTA!N82+ALP!N82+KTM!N82+IDK!N82+EKM!N82+TSR!N82+PKD!N82+MLPM!N82+KKD!N82+WYD!N82+KNR!N82+KSD!N82+SHS!N82</f>
        <v>0</v>
      </c>
      <c r="O82" s="382">
        <f>TVM!O82+KLM!O82+PTA!O82+ALP!O82+KTM!O82+IDK!O82+EKM!O82+TSR!O82+PKD!O82+MLPM!O82+KKD!O82+WYD!O82+KNR!O82+KSD!O82+SHS!O82</f>
        <v>0</v>
      </c>
      <c r="P82" s="382">
        <f>TVM!P82+KLM!P82+PTA!P82+ALP!P82+KTM!P82+IDK!P82+EKM!P82+TSR!P82+PKD!P82+MLPM!P82+KKD!P82+WYD!P82+KNR!P82+KSD!P82+SHS!P82</f>
        <v>0</v>
      </c>
      <c r="Q82" s="382">
        <f>TVM!Q82+KLM!Q82+PTA!Q82+ALP!Q82+KTM!Q82+IDK!Q82+EKM!Q82+TSR!Q82+PKD!Q82+MLPM!Q82+KKD!Q82+WYD!Q82+KNR!Q82+KSD!Q82+SHS!Q82</f>
        <v>0</v>
      </c>
      <c r="R82" s="382">
        <f>TVM!R82+KLM!R82+PTA!R82+ALP!R82+KTM!R82+IDK!R82+EKM!R82+TSR!R82+PKD!R82+MLPM!R82+KKD!R82+WYD!R82+KNR!R82+KSD!R82+SHS!R82</f>
        <v>0</v>
      </c>
      <c r="S82" s="382">
        <f>TVM!S82+KLM!S82+PTA!S82+ALP!S82+KTM!S82+IDK!S82+EKM!S82+TSR!S82+PKD!S82+MLPM!S82+KKD!S82+WYD!S82+KNR!S82+KSD!S82+SHS!S82</f>
        <v>0</v>
      </c>
      <c r="T82" s="324">
        <f t="shared" si="3"/>
        <v>524.29999999999995</v>
      </c>
      <c r="U82" s="324">
        <f>TVM!U82+KLM!U82+PTA!U82+ALP!U82+KTM!U82+IDK!U82+EKM!U82+TSR!U82+PKD!U82+MLPM!U82+KKD!U82+WYD!U82+KNR!U82+KSD!U82+SHS!U82</f>
        <v>565.29999999999995</v>
      </c>
      <c r="V82" s="385" t="s">
        <v>1416</v>
      </c>
      <c r="W82" s="386" t="s">
        <v>1417</v>
      </c>
      <c r="X82" s="375">
        <v>974.5</v>
      </c>
      <c r="Y82" s="328">
        <f t="shared" si="1"/>
        <v>-450.20000000000005</v>
      </c>
      <c r="Z82" s="314"/>
      <c r="AA82" s="314"/>
      <c r="AB82" s="314"/>
    </row>
    <row r="83" spans="1:28" ht="162.75" customHeight="1">
      <c r="A83" s="712"/>
      <c r="B83" s="712"/>
      <c r="C83" s="712"/>
      <c r="D83" s="320">
        <v>77</v>
      </c>
      <c r="E83" s="320" t="s">
        <v>161</v>
      </c>
      <c r="F83" s="378">
        <f>TVM!F83+KLM!F83+PTA!F83+ALP!F83+KTM!F83+IDK!F83+EKM!F83+TSR!F83+PKD!F83+MLPM!F83+KKD!F83+WYD!F83+KNR!F83+KSD!F83+SHS!F83</f>
        <v>22.099999999999998</v>
      </c>
      <c r="G83" s="378">
        <f>TVM!G83+KLM!G83+PTA!G83+ALP!G83+KTM!G83+IDK!G83+EKM!G83+TSR!G83+PKD!G83+MLPM!G83+KKD!G83+WYD!G83+KNR!G83+KSD!G83+SHS!G83</f>
        <v>62.7</v>
      </c>
      <c r="H83" s="378">
        <f>TVM!H83+KLM!H83+PTA!H83+ALP!H83+KTM!H83+IDK!H83+EKM!H83+TSR!H83+PKD!H83+MLPM!H83+KKD!H83+WYD!H83+KNR!H83+KSD!H83+SHS!H83</f>
        <v>0</v>
      </c>
      <c r="I83" s="378">
        <f>TVM!I83+KLM!I83+PTA!I83+ALP!I83+KTM!I83+IDK!I83+EKM!I83+TSR!I83+PKD!I83+MLPM!I83+KKD!I83+WYD!I83+KNR!I83+KSD!I83+SHS!I83</f>
        <v>154.19999999999999</v>
      </c>
      <c r="J83" s="382">
        <f>TVM!J83+KLM!J83+PTA!J83+ALP!J83+KTM!J83+IDK!J83+EKM!J83+TSR!J83+PKD!J83+MLPM!J83+KKD!J83+WYD!J83+KNR!J83+KSD!J83+SHS!J83</f>
        <v>0</v>
      </c>
      <c r="K83" s="378">
        <f>TVM!K83+KLM!K83+PTA!K83+ALP!K83+KTM!K83+IDK!K83+EKM!K83+TSR!K83+PKD!K83+MLPM!K83+KKD!K83+WYD!K83+KNR!K83+KSD!K83+SHS!K83</f>
        <v>0</v>
      </c>
      <c r="L83" s="382">
        <f>TVM!L83+KLM!L83+PTA!L83+ALP!L83+KTM!L83+IDK!L83+EKM!L83+TSR!L83+PKD!L83+MLPM!L83+KKD!L83+WYD!L83+KNR!L83+KSD!L83+SHS!L83</f>
        <v>63.9</v>
      </c>
      <c r="M83" s="378">
        <f>TVM!M83+KLM!M83+PTA!M83+ALP!M83+KTM!M83+IDK!M83+EKM!M83+TSR!M83+PKD!M83+MLPM!M83+KKD!M83+WYD!M83+KNR!M83+KSD!M83+SHS!M83</f>
        <v>1742</v>
      </c>
      <c r="N83" s="378">
        <f>TVM!N83+KLM!N83+PTA!N83+ALP!N83+KTM!N83+IDK!N83+EKM!N83+TSR!N83+PKD!N83+MLPM!N83+KKD!N83+WYD!N83+KNR!N83+KSD!N83+SHS!N83</f>
        <v>11.100000000000001</v>
      </c>
      <c r="O83" s="382">
        <f>TVM!O83+KLM!O83+PTA!O83+ALP!O83+KTM!O83+IDK!O83+EKM!O83+TSR!O83+PKD!O83+MLPM!O83+KKD!O83+WYD!O83+KNR!O83+KSD!O83+SHS!O83</f>
        <v>0</v>
      </c>
      <c r="P83" s="382">
        <f>TVM!P83+KLM!P83+PTA!P83+ALP!P83+KTM!P83+IDK!P83+EKM!P83+TSR!P83+PKD!P83+MLPM!P83+KKD!P83+WYD!P83+KNR!P83+KSD!P83+SHS!P83</f>
        <v>0</v>
      </c>
      <c r="Q83" s="382">
        <f>TVM!Q83+KLM!Q83+PTA!Q83+ALP!Q83+KTM!Q83+IDK!Q83+EKM!Q83+TSR!Q83+PKD!Q83+MLPM!Q83+KKD!Q83+WYD!Q83+KNR!Q83+KSD!Q83+SHS!Q83</f>
        <v>0</v>
      </c>
      <c r="R83" s="382">
        <f>TVM!R83+KLM!R83+PTA!R83+ALP!R83+KTM!R83+IDK!R83+EKM!R83+TSR!R83+PKD!R83+MLPM!R83+KKD!R83+WYD!R83+KNR!R83+KSD!R83+SHS!R83</f>
        <v>0</v>
      </c>
      <c r="S83" s="378">
        <f>TVM!S83+KLM!S83+PTA!S83+ALP!S83+KTM!S83+IDK!S83+EKM!S83+TSR!S83+PKD!S83+MLPM!S83+KKD!S83+WYD!S83+KNR!S83+KSD!S83+SHS!S83</f>
        <v>11.8</v>
      </c>
      <c r="T83" s="324">
        <f t="shared" si="3"/>
        <v>2067.8000000000002</v>
      </c>
      <c r="U83" s="324">
        <f>TVM!U83+KLM!U83+PTA!U83+ALP!U83+KTM!U83+IDK!U83+EKM!U83+TSR!U83+PKD!U83+MLPM!U83+KKD!U83+WYD!U83+KNR!U83+KSD!U83+SHS!U83</f>
        <v>2505.6999999999998</v>
      </c>
      <c r="V83" s="385" t="s">
        <v>1418</v>
      </c>
      <c r="W83" s="386" t="s">
        <v>1419</v>
      </c>
      <c r="X83" s="375">
        <v>3898.12</v>
      </c>
      <c r="Y83" s="328">
        <f t="shared" si="1"/>
        <v>-1830.3199999999997</v>
      </c>
      <c r="Z83" s="314"/>
      <c r="AA83" s="314"/>
      <c r="AB83" s="314"/>
    </row>
    <row r="84" spans="1:28" ht="189.75" customHeight="1">
      <c r="A84" s="712"/>
      <c r="B84" s="712"/>
      <c r="C84" s="712"/>
      <c r="D84" s="320">
        <v>78</v>
      </c>
      <c r="E84" s="320" t="s">
        <v>163</v>
      </c>
      <c r="F84" s="382">
        <f>TVM!F84+KLM!F84+PTA!F84+ALP!F84+KTM!F84+IDK!F84+EKM!F84+TSR!F84+PKD!F84+MLPM!F84+KKD!F84+WYD!F84+KNR!F84+KSD!F84+SHS!F84</f>
        <v>0</v>
      </c>
      <c r="G84" s="382">
        <f>TVM!G84+KLM!G84+PTA!G84+ALP!G84+KTM!G84+IDK!G84+EKM!G84+TSR!G84+PKD!G84+MLPM!G84+KKD!G84+WYD!G84+KNR!G84+KSD!G84+SHS!G84</f>
        <v>0</v>
      </c>
      <c r="H84" s="382">
        <f>TVM!H84+KLM!H84+PTA!H84+ALP!H84+KTM!H84+IDK!H84+EKM!H84+TSR!H84+PKD!H84+MLPM!H84+KKD!H84+WYD!H84+KNR!H84+KSD!H84+SHS!H84</f>
        <v>0</v>
      </c>
      <c r="I84" s="382">
        <f>TVM!I84+KLM!I84+PTA!I84+ALP!I84+KTM!I84+IDK!I84+EKM!I84+TSR!I84+PKD!I84+MLPM!I84+KKD!I84+WYD!I84+KNR!I84+KSD!I84+SHS!I84</f>
        <v>0</v>
      </c>
      <c r="J84" s="382">
        <f>TVM!J84+KLM!J84+PTA!J84+ALP!J84+KTM!J84+IDK!J84+EKM!J84+TSR!J84+PKD!J84+MLPM!J84+KKD!J84+WYD!J84+KNR!J84+KSD!J84+SHS!J84</f>
        <v>0</v>
      </c>
      <c r="K84" s="382">
        <f>TVM!K84+KLM!K84+PTA!K84+ALP!K84+KTM!K84+IDK!K84+EKM!K84+TSR!K84+PKD!K84+MLPM!K84+KKD!K84+WYD!K84+KNR!K84+KSD!K84+SHS!K84</f>
        <v>0</v>
      </c>
      <c r="L84" s="382">
        <f>TVM!L84+KLM!L84+PTA!L84+ALP!L84+KTM!L84+IDK!L84+EKM!L84+TSR!L84+PKD!L84+MLPM!L84+KKD!L84+WYD!L84+KNR!L84+KSD!L84+SHS!L84</f>
        <v>0</v>
      </c>
      <c r="M84" s="382">
        <f>TVM!M84+KLM!M84+PTA!M84+ALP!M84+KTM!M84+IDK!M84+EKM!M84+TSR!M84+PKD!M84+MLPM!M84+KKD!M84+WYD!M84+KNR!M84+KSD!M84+SHS!M84</f>
        <v>0</v>
      </c>
      <c r="N84" s="382">
        <f>TVM!N84+KLM!N84+PTA!N84+ALP!N84+KTM!N84+IDK!N84+EKM!N84+TSR!N84+PKD!N84+MLPM!N84+KKD!N84+WYD!N84+KNR!N84+KSD!N84+SHS!N84</f>
        <v>0</v>
      </c>
      <c r="O84" s="382">
        <f>TVM!O84+KLM!O84+PTA!O84+ALP!O84+KTM!O84+IDK!O84+EKM!O84+TSR!O84+PKD!O84+MLPM!O84+KKD!O84+WYD!O84+KNR!O84+KSD!O84+SHS!O84</f>
        <v>0</v>
      </c>
      <c r="P84" s="382">
        <f>TVM!P84+KLM!P84+PTA!P84+ALP!P84+KTM!P84+IDK!P84+EKM!P84+TSR!P84+PKD!P84+MLPM!P84+KKD!P84+WYD!P84+KNR!P84+KSD!P84+SHS!P84</f>
        <v>0</v>
      </c>
      <c r="Q84" s="378">
        <f>TVM!Q84+KLM!Q84+PTA!Q84+ALP!Q84+KTM!Q84+IDK!Q84+EKM!Q84+TSR!Q84+PKD!Q84+MLPM!Q84+KKD!Q84+WYD!Q84+KNR!Q84+KSD!Q84+SHS!Q84</f>
        <v>180</v>
      </c>
      <c r="R84" s="378">
        <f>TVM!R84+KLM!R84+PTA!R84+ALP!R84+KTM!R84+IDK!R84+EKM!R84+TSR!R84+PKD!R84+MLPM!R84+KKD!R84+WYD!R84+KNR!R84+KSD!R84+SHS!R84</f>
        <v>0</v>
      </c>
      <c r="S84" s="382">
        <f>TVM!S84+KLM!S84+PTA!S84+ALP!S84+KTM!S84+IDK!S84+EKM!S84+TSR!S84+PKD!S84+MLPM!S84+KKD!S84+WYD!S84+KNR!S84+KSD!S84+SHS!S84</f>
        <v>0</v>
      </c>
      <c r="T84" s="324">
        <f t="shared" si="3"/>
        <v>180</v>
      </c>
      <c r="U84" s="324">
        <f>TVM!U84+KLM!U84+PTA!U84+ALP!U84+KTM!U84+IDK!U84+EKM!U84+TSR!U84+PKD!U84+MLPM!U84+KKD!U84+WYD!U84+KNR!U84+KSD!U84+SHS!U84</f>
        <v>180</v>
      </c>
      <c r="V84" s="385" t="s">
        <v>1420</v>
      </c>
      <c r="W84" s="385" t="s">
        <v>1421</v>
      </c>
      <c r="X84" s="375">
        <v>225</v>
      </c>
      <c r="Y84" s="328">
        <f t="shared" si="1"/>
        <v>-45</v>
      </c>
      <c r="Z84" s="314"/>
      <c r="AA84" s="314"/>
      <c r="AB84" s="314"/>
    </row>
    <row r="85" spans="1:28" ht="39.75" customHeight="1">
      <c r="A85" s="712"/>
      <c r="B85" s="707"/>
      <c r="C85" s="707"/>
      <c r="D85" s="320">
        <v>79</v>
      </c>
      <c r="E85" s="320" t="s">
        <v>53</v>
      </c>
      <c r="F85" s="382">
        <f>TVM!F85+KLM!F85+PTA!F85+ALP!F85+KTM!F85+IDK!F85+EKM!F85+TSR!F85+PKD!F85+MLPM!F85+KKD!F85+WYD!F85+KNR!F85+KSD!F85+SHS!F85</f>
        <v>0</v>
      </c>
      <c r="G85" s="382">
        <f>TVM!G85+KLM!G85+PTA!G85+ALP!G85+KTM!G85+IDK!G85+EKM!G85+TSR!G85+PKD!G85+MLPM!G85+KKD!G85+WYD!G85+KNR!G85+KSD!G85+SHS!G85</f>
        <v>0</v>
      </c>
      <c r="H85" s="382">
        <f>TVM!H85+KLM!H85+PTA!H85+ALP!H85+KTM!H85+IDK!H85+EKM!H85+TSR!H85+PKD!H85+MLPM!H85+KKD!H85+WYD!H85+KNR!H85+KSD!H85+SHS!H85</f>
        <v>0</v>
      </c>
      <c r="I85" s="382">
        <f>TVM!I85+KLM!I85+PTA!I85+ALP!I85+KTM!I85+IDK!I85+EKM!I85+TSR!I85+PKD!I85+MLPM!I85+KKD!I85+WYD!I85+KNR!I85+KSD!I85+SHS!I85</f>
        <v>0</v>
      </c>
      <c r="J85" s="382">
        <f>TVM!J85+KLM!J85+PTA!J85+ALP!J85+KTM!J85+IDK!J85+EKM!J85+TSR!J85+PKD!J85+MLPM!J85+KKD!J85+WYD!J85+KNR!J85+KSD!J85+SHS!J85</f>
        <v>0</v>
      </c>
      <c r="K85" s="382">
        <f>TVM!K85+KLM!K85+PTA!K85+ALP!K85+KTM!K85+IDK!K85+EKM!K85+TSR!K85+PKD!K85+MLPM!K85+KKD!K85+WYD!K85+KNR!K85+KSD!K85+SHS!K85</f>
        <v>0</v>
      </c>
      <c r="L85" s="382">
        <f>TVM!L85+KLM!L85+PTA!L85+ALP!L85+KTM!L85+IDK!L85+EKM!L85+TSR!L85+PKD!L85+MLPM!L85+KKD!L85+WYD!L85+KNR!L85+KSD!L85+SHS!L85</f>
        <v>0</v>
      </c>
      <c r="M85" s="382">
        <f>TVM!M85+KLM!M85+PTA!M85+ALP!M85+KTM!M85+IDK!M85+EKM!M85+TSR!M85+PKD!M85+MLPM!M85+KKD!M85+WYD!M85+KNR!M85+KSD!M85+SHS!M85</f>
        <v>0</v>
      </c>
      <c r="N85" s="382">
        <f>TVM!N85+KLM!N85+PTA!N85+ALP!N85+KTM!N85+IDK!N85+EKM!N85+TSR!N85+PKD!N85+MLPM!N85+KKD!N85+WYD!N85+KNR!N85+KSD!N85+SHS!N85</f>
        <v>0</v>
      </c>
      <c r="O85" s="382">
        <f>TVM!O85+KLM!O85+PTA!O85+ALP!O85+KTM!O85+IDK!O85+EKM!O85+TSR!O85+PKD!O85+MLPM!O85+KKD!O85+WYD!O85+KNR!O85+KSD!O85+SHS!O85</f>
        <v>0</v>
      </c>
      <c r="P85" s="382">
        <f>TVM!P85+KLM!P85+PTA!P85+ALP!P85+KTM!P85+IDK!P85+EKM!P85+TSR!P85+PKD!P85+MLPM!P85+KKD!P85+WYD!P85+KNR!P85+KSD!P85+SHS!P85</f>
        <v>0</v>
      </c>
      <c r="Q85" s="382">
        <f>TVM!Q85+KLM!Q85+PTA!Q85+ALP!Q85+KTM!Q85+IDK!Q85+EKM!Q85+TSR!Q85+PKD!Q85+MLPM!Q85+KKD!Q85+WYD!Q85+KNR!Q85+KSD!Q85+SHS!Q85</f>
        <v>0</v>
      </c>
      <c r="R85" s="382">
        <f>TVM!R85+KLM!R85+PTA!R85+ALP!R85+KTM!R85+IDK!R85+EKM!R85+TSR!R85+PKD!R85+MLPM!R85+KKD!R85+WYD!R85+KNR!R85+KSD!R85+SHS!R85</f>
        <v>0</v>
      </c>
      <c r="S85" s="382">
        <f>TVM!S85+KLM!S85+PTA!S85+ALP!S85+KTM!S85+IDK!S85+EKM!S85+TSR!S85+PKD!S85+MLPM!S85+KKD!S85+WYD!S85+KNR!S85+KSD!S85+SHS!S85</f>
        <v>0</v>
      </c>
      <c r="T85" s="324">
        <f t="shared" si="3"/>
        <v>0</v>
      </c>
      <c r="U85" s="324">
        <f>TVM!U85+KLM!U85+PTA!U85+ALP!U85+KTM!U85+IDK!U85+EKM!U85+TSR!U85+PKD!U85+MLPM!U85+KKD!U85+WYD!U85+KNR!U85+KSD!U85+SHS!U85</f>
        <v>0</v>
      </c>
      <c r="V85" s="355"/>
      <c r="W85" s="387"/>
      <c r="X85" s="375">
        <v>0</v>
      </c>
      <c r="Y85" s="328">
        <f t="shared" si="1"/>
        <v>0</v>
      </c>
      <c r="Z85" s="314"/>
      <c r="AA85" s="314"/>
      <c r="AB85" s="314"/>
    </row>
    <row r="86" spans="1:28" ht="362.25">
      <c r="A86" s="712"/>
      <c r="B86" s="718" t="s">
        <v>165</v>
      </c>
      <c r="C86" s="718" t="s">
        <v>166</v>
      </c>
      <c r="D86" s="320">
        <v>80</v>
      </c>
      <c r="E86" s="320" t="s">
        <v>167</v>
      </c>
      <c r="F86" s="323">
        <f>TVM!F86+KLM!F86+PTA!F86+ALP!F86+KTM!F86+IDK!F86+EKM!F86+TSR!F86+PKD!F86+MLPM!F86+KKD!F86+WYD!F86+KNR!F86+KSD!F86+SHS!F86</f>
        <v>0</v>
      </c>
      <c r="G86" s="323">
        <f>TVM!G86+KLM!G86+PTA!G86+ALP!G86+KTM!G86+IDK!G86+EKM!G86+TSR!G86+PKD!G86+MLPM!G86+KKD!G86+WYD!G86+KNR!G86+KSD!G86+SHS!G86</f>
        <v>0</v>
      </c>
      <c r="H86" s="323">
        <f>TVM!H86+KLM!H86+PTA!H86+ALP!H86+KTM!H86+IDK!H86+EKM!H86+TSR!H86+PKD!H86+MLPM!H86+KKD!H86+WYD!H86+KNR!H86+KSD!H86+SHS!H86</f>
        <v>0</v>
      </c>
      <c r="I86" s="323">
        <f>TVM!I86+KLM!I86+PTA!I86+ALP!I86+KTM!I86+IDK!I86+EKM!I86+TSR!I86+PKD!I86+MLPM!I86+KKD!I86+WYD!I86+KNR!I86+KSD!I86+SHS!I86</f>
        <v>0</v>
      </c>
      <c r="J86" s="323">
        <f>TVM!J86+KLM!J86+PTA!J86+ALP!J86+KTM!J86+IDK!J86+EKM!J86+TSR!J86+PKD!J86+MLPM!J86+KKD!J86+WYD!J86+KNR!J86+KSD!J86+SHS!J86</f>
        <v>0</v>
      </c>
      <c r="K86" s="343">
        <f>TVM!K86+KLM!K86+PTA!K86+ALP!K86+KTM!K86+IDK!K86+EKM!K86+TSR!K86+PKD!K86+MLPM!K86+KKD!K86+WYD!K86+KNR!K86+KSD!K86+SHS!K86</f>
        <v>36.082999999999998</v>
      </c>
      <c r="L86" s="323">
        <f>TVM!L86+KLM!L86+PTA!L86+ALP!L86+KTM!L86+IDK!L86+EKM!L86+TSR!L86+PKD!L86+MLPM!L86+KKD!L86+WYD!L86+KNR!L86+KSD!L86+SHS!L86</f>
        <v>0</v>
      </c>
      <c r="M86" s="329">
        <f>TVM!M86+KLM!M86+PTA!M86+ALP!M86+KTM!M86+IDK!M86+EKM!M86+TSR!M86+PKD!M86+MLPM!M86+KKD!M86+WYD!M86+KNR!M86+KSD!M86+SHS!M86</f>
        <v>0</v>
      </c>
      <c r="N86" s="323">
        <f>TVM!N86+KLM!N86+PTA!N86+ALP!N86+KTM!N86+IDK!N86+EKM!N86+TSR!N86+PKD!N86+MLPM!N86+KKD!N86+WYD!N86+KNR!N86+KSD!N86+SHS!N86</f>
        <v>0</v>
      </c>
      <c r="O86" s="323">
        <f>TVM!O86+KLM!O86+PTA!O86+ALP!O86+KTM!O86+IDK!O86+EKM!O86+TSR!O86+PKD!O86+MLPM!O86+KKD!O86+WYD!O86+KNR!O86+KSD!O86+SHS!O86</f>
        <v>0</v>
      </c>
      <c r="P86" s="330">
        <f>TVM!P86+KLM!P86+PTA!P86+ALP!P86+KTM!P86+IDK!P86+EKM!P86+TSR!P86+PKD!P86+MLPM!P86+KKD!P86+WYD!P86+KNR!P86+KSD!P86+SHS!P86</f>
        <v>41.4</v>
      </c>
      <c r="Q86" s="329">
        <f>TVM!Q86+KLM!Q86+PTA!Q86+ALP!Q86+KTM!Q86+IDK!Q86+EKM!Q86+TSR!Q86+PKD!Q86+MLPM!Q86+KKD!Q86+WYD!Q86+KNR!Q86+KSD!Q86+SHS!Q86</f>
        <v>19</v>
      </c>
      <c r="R86" s="330">
        <f>TVM!R86+KLM!R86+PTA!R86+ALP!R86+KTM!R86+IDK!R86+EKM!R86+TSR!R86+PKD!R86+MLPM!R86+KKD!R86+WYD!R86+KNR!R86+KSD!R86+SHS!R86</f>
        <v>0</v>
      </c>
      <c r="S86" s="323">
        <f>TVM!S86+KLM!S86+PTA!S86+ALP!S86+KTM!S86+IDK!S86+EKM!S86+TSR!S86+PKD!S86+MLPM!S86+KKD!S86+WYD!S86+KNR!S86+KSD!S86+SHS!S86</f>
        <v>0</v>
      </c>
      <c r="T86" s="324">
        <f t="shared" si="3"/>
        <v>96.483000000000004</v>
      </c>
      <c r="U86" s="324">
        <f>TVM!U86+KLM!U86+PTA!U86+ALP!U86+KTM!U86+IDK!U86+EKM!U86+TSR!U86+PKD!U86+MLPM!U86+KKD!U86+WYD!U86+KNR!U86+KSD!U86+SHS!U86</f>
        <v>96.483000000000004</v>
      </c>
      <c r="V86" s="385" t="s">
        <v>1422</v>
      </c>
      <c r="W86" s="385" t="s">
        <v>1423</v>
      </c>
      <c r="X86" s="332">
        <v>140.07</v>
      </c>
      <c r="Y86" s="328">
        <f t="shared" si="1"/>
        <v>-43.586999999999989</v>
      </c>
      <c r="Z86" s="314"/>
      <c r="AA86" s="314"/>
      <c r="AB86" s="314"/>
    </row>
    <row r="87" spans="1:28" ht="128.25" customHeight="1">
      <c r="A87" s="712"/>
      <c r="B87" s="712"/>
      <c r="C87" s="712"/>
      <c r="D87" s="320">
        <v>81</v>
      </c>
      <c r="E87" s="320" t="s">
        <v>168</v>
      </c>
      <c r="F87" s="323">
        <f>TVM!F87+KLM!F87+PTA!F87+ALP!F87+KTM!F87+IDK!F87+EKM!F87+TSR!F87+PKD!F87+MLPM!F87+KKD!F87+WYD!F87+KNR!F87+KSD!F87+SHS!F87</f>
        <v>0</v>
      </c>
      <c r="G87" s="323">
        <f>TVM!G87+KLM!G87+PTA!G87+ALP!G87+KTM!G87+IDK!G87+EKM!G87+TSR!G87+PKD!G87+MLPM!G87+KKD!G87+WYD!G87+KNR!G87+KSD!G87+SHS!G87</f>
        <v>0</v>
      </c>
      <c r="H87" s="323">
        <f>TVM!H87+KLM!H87+PTA!H87+ALP!H87+KTM!H87+IDK!H87+EKM!H87+TSR!H87+PKD!H87+MLPM!H87+KKD!H87+WYD!H87+KNR!H87+KSD!H87+SHS!H87</f>
        <v>0</v>
      </c>
      <c r="I87" s="323">
        <f>TVM!I87+KLM!I87+PTA!I87+ALP!I87+KTM!I87+IDK!I87+EKM!I87+TSR!I87+PKD!I87+MLPM!I87+KKD!I87+WYD!I87+KNR!I87+KSD!I87+SHS!I87</f>
        <v>0</v>
      </c>
      <c r="J87" s="323">
        <f>TVM!J87+KLM!J87+PTA!J87+ALP!J87+KTM!J87+IDK!J87+EKM!J87+TSR!J87+PKD!J87+MLPM!J87+KKD!J87+WYD!J87+KNR!J87+KSD!J87+SHS!J87</f>
        <v>0</v>
      </c>
      <c r="K87" s="323">
        <f>TVM!K87+KLM!K87+PTA!K87+ALP!K87+KTM!K87+IDK!K87+EKM!K87+TSR!K87+PKD!K87+MLPM!K87+KKD!K87+WYD!K87+KNR!K87+KSD!K87+SHS!K87</f>
        <v>0</v>
      </c>
      <c r="L87" s="323">
        <f>TVM!L87+KLM!L87+PTA!L87+ALP!L87+KTM!L87+IDK!L87+EKM!L87+TSR!L87+PKD!L87+MLPM!L87+KKD!L87+WYD!L87+KNR!L87+KSD!L87+SHS!L87</f>
        <v>0</v>
      </c>
      <c r="M87" s="329">
        <f>TVM!M87+KLM!M87+PTA!M87+ALP!M87+KTM!M87+IDK!M87+EKM!M87+TSR!M87+PKD!M87+MLPM!M87+KKD!M87+WYD!M87+KNR!M87+KSD!M87+SHS!M87</f>
        <v>256.97000000000003</v>
      </c>
      <c r="N87" s="329">
        <f>TVM!N87+KLM!N87+PTA!N87+ALP!N87+KTM!N87+IDK!N87+EKM!N87+TSR!N87+PKD!N87+MLPM!N87+KKD!N87+WYD!N87+KNR!N87+KSD!N87+SHS!N87</f>
        <v>5</v>
      </c>
      <c r="O87" s="323">
        <f>TVM!O87+KLM!O87+PTA!O87+ALP!O87+KTM!O87+IDK!O87+EKM!O87+TSR!O87+PKD!O87+MLPM!O87+KKD!O87+WYD!O87+KNR!O87+KSD!O87+SHS!O87</f>
        <v>0</v>
      </c>
      <c r="P87" s="330">
        <f>TVM!P87+KLM!P87+PTA!P87+ALP!P87+KTM!P87+IDK!P87+EKM!P87+TSR!P87+PKD!P87+MLPM!P87+KKD!P87+WYD!P87+KNR!P87+KSD!P87+SHS!P87</f>
        <v>2.4000000000000004</v>
      </c>
      <c r="Q87" s="330">
        <f>TVM!Q87+KLM!Q87+PTA!Q87+ALP!Q87+KTM!Q87+IDK!Q87+EKM!Q87+TSR!Q87+PKD!Q87+MLPM!Q87+KKD!Q87+WYD!Q87+KNR!Q87+KSD!Q87+SHS!Q87</f>
        <v>1</v>
      </c>
      <c r="R87" s="323">
        <f>TVM!R87+KLM!R87+PTA!R87+ALP!R87+KTM!R87+IDK!R87+EKM!R87+TSR!R87+PKD!R87+MLPM!R87+KKD!R87+WYD!R87+KNR!R87+KSD!R87+SHS!R87</f>
        <v>0</v>
      </c>
      <c r="S87" s="323">
        <f>TVM!S87+KLM!S87+PTA!S87+ALP!S87+KTM!S87+IDK!S87+EKM!S87+TSR!S87+PKD!S87+MLPM!S87+KKD!S87+WYD!S87+KNR!S87+KSD!S87+SHS!S87</f>
        <v>0</v>
      </c>
      <c r="T87" s="324">
        <f t="shared" si="3"/>
        <v>265.37</v>
      </c>
      <c r="U87" s="324">
        <f>TVM!U87+KLM!U87+PTA!U87+ALP!U87+KTM!U87+IDK!U87+EKM!U87+TSR!U87+PKD!U87+MLPM!U87+KKD!U87+WYD!U87+KNR!U87+KSD!U87+SHS!U87</f>
        <v>295.71999999999997</v>
      </c>
      <c r="V87" s="388" t="s">
        <v>1424</v>
      </c>
      <c r="W87" s="388" t="s">
        <v>1425</v>
      </c>
      <c r="X87" s="332">
        <v>150.51</v>
      </c>
      <c r="Y87" s="334">
        <f t="shared" si="1"/>
        <v>114.86000000000001</v>
      </c>
      <c r="Z87" s="314"/>
      <c r="AA87" s="314"/>
      <c r="AB87" s="314"/>
    </row>
    <row r="88" spans="1:28" ht="39.75" customHeight="1">
      <c r="A88" s="712"/>
      <c r="B88" s="712"/>
      <c r="C88" s="712"/>
      <c r="D88" s="320">
        <v>82</v>
      </c>
      <c r="E88" s="320" t="s">
        <v>170</v>
      </c>
      <c r="F88" s="323">
        <f>TVM!F88+KLM!F88+PTA!F88+ALP!F88+KTM!F88+IDK!F88+EKM!F88+TSR!F88+PKD!F88+MLPM!F88+KKD!F88+WYD!F88+KNR!F88+KSD!F88+SHS!F88</f>
        <v>0</v>
      </c>
      <c r="G88" s="323">
        <f>TVM!G88+KLM!G88+PTA!G88+ALP!G88+KTM!G88+IDK!G88+EKM!G88+TSR!G88+PKD!G88+MLPM!G88+KKD!G88+WYD!G88+KNR!G88+KSD!G88+SHS!G88</f>
        <v>0</v>
      </c>
      <c r="H88" s="323">
        <f>TVM!H88+KLM!H88+PTA!H88+ALP!H88+KTM!H88+IDK!H88+EKM!H88+TSR!H88+PKD!H88+MLPM!H88+KKD!H88+WYD!H88+KNR!H88+KSD!H88+SHS!H88</f>
        <v>0</v>
      </c>
      <c r="I88" s="323">
        <f>TVM!I88+KLM!I88+PTA!I88+ALP!I88+KTM!I88+IDK!I88+EKM!I88+TSR!I88+PKD!I88+MLPM!I88+KKD!I88+WYD!I88+KNR!I88+KSD!I88+SHS!I88</f>
        <v>0</v>
      </c>
      <c r="J88" s="323">
        <f>TVM!J88+KLM!J88+PTA!J88+ALP!J88+KTM!J88+IDK!J88+EKM!J88+TSR!J88+PKD!J88+MLPM!J88+KKD!J88+WYD!J88+KNR!J88+KSD!J88+SHS!J88</f>
        <v>0</v>
      </c>
      <c r="K88" s="323">
        <f>TVM!K88+KLM!K88+PTA!K88+ALP!K88+KTM!K88+IDK!K88+EKM!K88+TSR!K88+PKD!K88+MLPM!K88+KKD!K88+WYD!K88+KNR!K88+KSD!K88+SHS!K88</f>
        <v>0</v>
      </c>
      <c r="L88" s="323">
        <f>TVM!L88+KLM!L88+PTA!L88+ALP!L88+KTM!L88+IDK!L88+EKM!L88+TSR!L88+PKD!L88+MLPM!L88+KKD!L88+WYD!L88+KNR!L88+KSD!L88+SHS!L88</f>
        <v>0</v>
      </c>
      <c r="M88" s="323">
        <f>TVM!M88+KLM!M88+PTA!M88+ALP!M88+KTM!M88+IDK!M88+EKM!M88+TSR!M88+PKD!M88+MLPM!M88+KKD!M88+WYD!M88+KNR!M88+KSD!M88+SHS!M88</f>
        <v>0</v>
      </c>
      <c r="N88" s="323">
        <f>TVM!N88+KLM!N88+PTA!N88+ALP!N88+KTM!N88+IDK!N88+EKM!N88+TSR!N88+PKD!N88+MLPM!N88+KKD!N88+WYD!N88+KNR!N88+KSD!N88+SHS!N88</f>
        <v>0</v>
      </c>
      <c r="O88" s="323">
        <f>TVM!O88+KLM!O88+PTA!O88+ALP!O88+KTM!O88+IDK!O88+EKM!O88+TSR!O88+PKD!O88+MLPM!O88+KKD!O88+WYD!O88+KNR!O88+KSD!O88+SHS!O88</f>
        <v>0</v>
      </c>
      <c r="P88" s="330">
        <f>TVM!P88+KLM!P88+PTA!P88+ALP!P88+KTM!P88+IDK!P88+EKM!P88+TSR!P88+PKD!P88+MLPM!P88+KKD!P88+WYD!P88+KNR!P88+KSD!P88+SHS!P88</f>
        <v>0</v>
      </c>
      <c r="Q88" s="323">
        <f>TVM!Q88+KLM!Q88+PTA!Q88+ALP!Q88+KTM!Q88+IDK!Q88+EKM!Q88+TSR!Q88+PKD!Q88+MLPM!Q88+KKD!Q88+WYD!Q88+KNR!Q88+KSD!Q88+SHS!Q88</f>
        <v>0</v>
      </c>
      <c r="R88" s="323">
        <f>TVM!R88+KLM!R88+PTA!R88+ALP!R88+KTM!R88+IDK!R88+EKM!R88+TSR!R88+PKD!R88+MLPM!R88+KKD!R88+WYD!R88+KNR!R88+KSD!R88+SHS!R88</f>
        <v>0</v>
      </c>
      <c r="S88" s="323">
        <f>TVM!S88+KLM!S88+PTA!S88+ALP!S88+KTM!S88+IDK!S88+EKM!S88+TSR!S88+PKD!S88+MLPM!S88+KKD!S88+WYD!S88+KNR!S88+KSD!S88+SHS!S88</f>
        <v>0</v>
      </c>
      <c r="T88" s="389">
        <f t="shared" si="3"/>
        <v>0</v>
      </c>
      <c r="U88" s="389">
        <f>TVM!U88+KLM!U88+PTA!U88+ALP!U88+KTM!U88+IDK!U88+EKM!U88+TSR!U88+PKD!U88+MLPM!U88+KKD!U88+WYD!U88+KNR!U88+KSD!U88+SHS!U88</f>
        <v>0</v>
      </c>
      <c r="V88" s="390" t="s">
        <v>1202</v>
      </c>
      <c r="W88" s="390" t="s">
        <v>1202</v>
      </c>
      <c r="X88" s="332">
        <v>9</v>
      </c>
      <c r="Y88" s="328">
        <f t="shared" si="1"/>
        <v>-9</v>
      </c>
      <c r="Z88" s="314"/>
      <c r="AA88" s="314"/>
      <c r="AB88" s="314"/>
    </row>
    <row r="89" spans="1:28" ht="409.5">
      <c r="A89" s="712"/>
      <c r="B89" s="707"/>
      <c r="C89" s="707"/>
      <c r="D89" s="320">
        <v>83</v>
      </c>
      <c r="E89" s="320" t="s">
        <v>172</v>
      </c>
      <c r="F89" s="323">
        <f>TVM!F89+KLM!F89+PTA!F89+ALP!F89+KTM!F89+IDK!F89+EKM!F89+TSR!F89+PKD!F89+MLPM!F89+KKD!F89+WYD!F89+KNR!F89+KSD!F89+SHS!F89</f>
        <v>0</v>
      </c>
      <c r="G89" s="323">
        <f>TVM!G89+KLM!G89+PTA!G89+ALP!G89+KTM!G89+IDK!G89+EKM!G89+TSR!G89+PKD!G89+MLPM!G89+KKD!G89+WYD!G89+KNR!G89+KSD!G89+SHS!G89</f>
        <v>0</v>
      </c>
      <c r="H89" s="323">
        <f>TVM!H89+KLM!H89+PTA!H89+ALP!H89+KTM!H89+IDK!H89+EKM!H89+TSR!H89+PKD!H89+MLPM!H89+KKD!H89+WYD!H89+KNR!H89+KSD!H89+SHS!H89</f>
        <v>0</v>
      </c>
      <c r="I89" s="323">
        <f>TVM!I89+KLM!I89+PTA!I89+ALP!I89+KTM!I89+IDK!I89+EKM!I89+TSR!I89+PKD!I89+MLPM!I89+KKD!I89+WYD!I89+KNR!I89+KSD!I89+SHS!I89</f>
        <v>0</v>
      </c>
      <c r="J89" s="323">
        <f>TVM!J89+KLM!J89+PTA!J89+ALP!J89+KTM!J89+IDK!J89+EKM!J89+TSR!J89+PKD!J89+MLPM!J89+KKD!J89+WYD!J89+KNR!J89+KSD!J89+SHS!J89</f>
        <v>99.95</v>
      </c>
      <c r="K89" s="329">
        <f>TVM!K89+KLM!K89+PTA!K89+ALP!K89+KTM!K89+IDK!K89+EKM!K89+TSR!K89+PKD!K89+MLPM!K89+KKD!K89+WYD!K89+KNR!K89+KSD!K89+SHS!K89</f>
        <v>21.555999999999997</v>
      </c>
      <c r="L89" s="329">
        <f>TVM!L89+KLM!L89+PTA!L89+ALP!L89+KTM!L89+IDK!L89+EKM!L89+TSR!L89+PKD!L89+MLPM!L89+KKD!L89+WYD!L89+KNR!L89+KSD!L89+SHS!L89</f>
        <v>0</v>
      </c>
      <c r="M89" s="330">
        <f>TVM!M89+KLM!M89+PTA!M89+ALP!M89+KTM!M89+IDK!M89+EKM!M89+TSR!M89+PKD!M89+MLPM!M89+KKD!M89+WYD!M89+KNR!M89+KSD!M89+SHS!M89</f>
        <v>0</v>
      </c>
      <c r="N89" s="329">
        <f>TVM!N89+KLM!N89+PTA!N89+ALP!N89+KTM!N89+IDK!N89+EKM!N89+TSR!N89+PKD!N89+MLPM!N89+KKD!N89+WYD!N89+KNR!N89+KSD!N89+SHS!N89</f>
        <v>5.5</v>
      </c>
      <c r="O89" s="323">
        <f>TVM!O89+KLM!O89+PTA!O89+ALP!O89+KTM!O89+IDK!O89+EKM!O89+TSR!O89+PKD!O89+MLPM!O89+KKD!O89+WYD!O89+KNR!O89+KSD!O89+SHS!O89</f>
        <v>0</v>
      </c>
      <c r="P89" s="330">
        <f>TVM!P89+KLM!P89+PTA!P89+ALP!P89+KTM!P89+IDK!P89+EKM!P89+TSR!P89+PKD!P89+MLPM!P89+KKD!P89+WYD!P89+KNR!P89+KSD!P89+SHS!P89</f>
        <v>23.5</v>
      </c>
      <c r="Q89" s="329">
        <f>TVM!Q89+KLM!Q89+PTA!Q89+ALP!Q89+KTM!Q89+IDK!Q89+EKM!Q89+TSR!Q89+PKD!Q89+MLPM!Q89+KKD!Q89+WYD!Q89+KNR!Q89+KSD!Q89+SHS!Q89</f>
        <v>0</v>
      </c>
      <c r="R89" s="330">
        <f>TVM!R89+KLM!R89+PTA!R89+ALP!R89+KTM!R89+IDK!R89+EKM!R89+TSR!R89+PKD!R89+MLPM!R89+KKD!R89+WYD!R89+KNR!R89+KSD!R89+SHS!R89</f>
        <v>0</v>
      </c>
      <c r="S89" s="323">
        <f>TVM!S89+KLM!S89+PTA!S89+ALP!S89+KTM!S89+IDK!S89+EKM!S89+TSR!S89+PKD!S89+MLPM!S89+KKD!S89+WYD!S89+KNR!S89+KSD!S89+SHS!S89</f>
        <v>0</v>
      </c>
      <c r="T89" s="324">
        <f t="shared" si="3"/>
        <v>150.506</v>
      </c>
      <c r="U89" s="324">
        <f>TVM!U89+KLM!U89+PTA!U89+ALP!U89+KTM!U89+IDK!U89+EKM!U89+TSR!U89+PKD!U89+MLPM!U89+KKD!U89+WYD!U89+KNR!U89+KSD!U89+SHS!U89</f>
        <v>160.45599999999999</v>
      </c>
      <c r="V89" s="391" t="s">
        <v>1426</v>
      </c>
      <c r="W89" s="388" t="s">
        <v>1427</v>
      </c>
      <c r="X89" s="332">
        <v>115.75</v>
      </c>
      <c r="Y89" s="328">
        <f t="shared" si="1"/>
        <v>34.756</v>
      </c>
      <c r="Z89" s="314"/>
      <c r="AA89" s="314"/>
      <c r="AB89" s="314"/>
    </row>
    <row r="90" spans="1:28" ht="252">
      <c r="A90" s="712"/>
      <c r="B90" s="320" t="s">
        <v>173</v>
      </c>
      <c r="C90" s="320" t="s">
        <v>174</v>
      </c>
      <c r="D90" s="320">
        <v>84</v>
      </c>
      <c r="E90" s="320" t="s">
        <v>175</v>
      </c>
      <c r="F90" s="323">
        <f>TVM!F90+KLM!F90+PTA!F90+ALP!F90+KTM!F90+IDK!F90+EKM!F90+TSR!F90+PKD!F90+MLPM!F90+KKD!F90+WYD!F90+KNR!F90+KSD!F90+SHS!F90</f>
        <v>0</v>
      </c>
      <c r="G90" s="323">
        <f>TVM!G90+KLM!G90+PTA!G90+ALP!G90+KTM!G90+IDK!G90+EKM!G90+TSR!G90+PKD!G90+MLPM!G90+KKD!G90+WYD!G90+KNR!G90+KSD!G90+SHS!G90</f>
        <v>0</v>
      </c>
      <c r="H90" s="378">
        <f>TVM!H90+KLM!H90+PTA!H90+ALP!H90+KTM!H90+IDK!H90+EKM!H90+TSR!H90+PKD!H90+MLPM!H90+KKD!H90+WYD!H90+KNR!H90+KSD!H90+SHS!H90</f>
        <v>0</v>
      </c>
      <c r="I90" s="329">
        <f>TVM!I90+KLM!I90+PTA!I90+ALP!I90+KTM!I90+IDK!I90+EKM!I90+TSR!I90+PKD!I90+MLPM!I90+KKD!I90+WYD!I90+KNR!I90+KSD!I90+SHS!I90</f>
        <v>0</v>
      </c>
      <c r="J90" s="323">
        <f>TVM!J90+KLM!J90+PTA!J90+ALP!J90+KTM!J90+IDK!J90+EKM!J90+TSR!J90+PKD!J90+MLPM!J90+KKD!J90+WYD!J90+KNR!J90+KSD!J90+SHS!J90</f>
        <v>0</v>
      </c>
      <c r="K90" s="329">
        <f>TVM!K90+KLM!K90+PTA!K90+ALP!K90+KTM!K90+IDK!K90+EKM!K90+TSR!K90+PKD!K90+MLPM!K90+KKD!K90+WYD!K90+KNR!K90+KSD!K90+SHS!K90</f>
        <v>0</v>
      </c>
      <c r="L90" s="323">
        <f>TVM!L90+KLM!L90+PTA!L90+ALP!L90+KTM!L90+IDK!L90+EKM!L90+TSR!L90+PKD!L90+MLPM!L90+KKD!L90+WYD!L90+KNR!L90+KSD!L90+SHS!L90</f>
        <v>0</v>
      </c>
      <c r="M90" s="323">
        <f>TVM!M90+KLM!M90+PTA!M90+ALP!M90+KTM!M90+IDK!M90+EKM!M90+TSR!M90+PKD!M90+MLPM!M90+KKD!M90+WYD!M90+KNR!M90+KSD!M90+SHS!M90</f>
        <v>0</v>
      </c>
      <c r="N90" s="329">
        <f>TVM!N90+KLM!N90+PTA!N90+ALP!N90+KTM!N90+IDK!N90+EKM!N90+TSR!N90+PKD!N90+MLPM!N90+KKD!N90+WYD!N90+KNR!N90+KSD!N90+SHS!N90</f>
        <v>19</v>
      </c>
      <c r="O90" s="323">
        <f>TVM!O90+KLM!O90+PTA!O90+ALP!O90+KTM!O90+IDK!O90+EKM!O90+TSR!O90+PKD!O90+MLPM!O90+KKD!O90+WYD!O90+KNR!O90+KSD!O90+SHS!O90</f>
        <v>0</v>
      </c>
      <c r="P90" s="323">
        <f>TVM!P90+KLM!P90+PTA!P90+ALP!P90+KTM!P90+IDK!P90+EKM!P90+TSR!P90+PKD!P90+MLPM!P90+KKD!P90+WYD!P90+KNR!P90+KSD!P90+SHS!P90</f>
        <v>0</v>
      </c>
      <c r="Q90" s="329">
        <f>TVM!Q90+KLM!Q90+PTA!Q90+ALP!Q90+KTM!Q90+IDK!Q90+EKM!Q90+TSR!Q90+PKD!Q90+MLPM!Q90+KKD!Q90+WYD!Q90+KNR!Q90+KSD!Q90+SHS!Q90</f>
        <v>30</v>
      </c>
      <c r="R90" s="330">
        <f>TVM!R90+KLM!R90+PTA!R90+ALP!R90+KTM!R90+IDK!R90+EKM!R90+TSR!R90+PKD!R90+MLPM!R90+KKD!R90+WYD!R90+KNR!R90+KSD!R90+SHS!R90</f>
        <v>8</v>
      </c>
      <c r="S90" s="330">
        <f>TVM!S90+KLM!S90+PTA!S90+ALP!S90+KTM!S90+IDK!S90+EKM!S90+TSR!S90+PKD!S90+MLPM!S90+KKD!S90+WYD!S90+KNR!S90+KSD!S90+SHS!S90</f>
        <v>0</v>
      </c>
      <c r="T90" s="324">
        <f t="shared" si="3"/>
        <v>57</v>
      </c>
      <c r="U90" s="324">
        <f>TVM!U90+KLM!U90+PTA!U90+ALP!U90+KTM!U90+IDK!U90+EKM!U90+TSR!U90+PKD!U90+MLPM!U90+KKD!U90+WYD!U90+KNR!U90+KSD!U90+SHS!U90</f>
        <v>57</v>
      </c>
      <c r="V90" s="392" t="s">
        <v>1428</v>
      </c>
      <c r="W90" s="392" t="s">
        <v>1429</v>
      </c>
      <c r="X90" s="332">
        <v>2027.69</v>
      </c>
      <c r="Y90" s="334">
        <f t="shared" si="1"/>
        <v>-1970.69</v>
      </c>
      <c r="Z90" s="314"/>
      <c r="AA90" s="314"/>
      <c r="AB90" s="314"/>
    </row>
    <row r="91" spans="1:28" ht="315">
      <c r="A91" s="712"/>
      <c r="B91" s="320" t="s">
        <v>176</v>
      </c>
      <c r="C91" s="320" t="s">
        <v>177</v>
      </c>
      <c r="D91" s="320">
        <v>85</v>
      </c>
      <c r="E91" s="320" t="s">
        <v>178</v>
      </c>
      <c r="F91" s="323">
        <f>TVM!F91+KLM!F91+PTA!F91+ALP!F91+KTM!F91+IDK!F91+EKM!F91+TSR!F91+PKD!F91+MLPM!F91+KKD!F91+WYD!F91+KNR!F91+KSD!F91+SHS!F91</f>
        <v>0</v>
      </c>
      <c r="G91" s="323">
        <f>TVM!G91+KLM!G91+PTA!G91+ALP!G91+KTM!G91+IDK!G91+EKM!G91+TSR!G91+PKD!G91+MLPM!G91+KKD!G91+WYD!G91+KNR!G91+KSD!G91+SHS!G91</f>
        <v>0</v>
      </c>
      <c r="H91" s="323">
        <f>TVM!H91+KLM!H91+PTA!H91+ALP!H91+KTM!H91+IDK!H91+EKM!H91+TSR!H91+PKD!H91+MLPM!H91+KKD!H91+WYD!H91+KNR!H91+KSD!H91+SHS!H91</f>
        <v>0</v>
      </c>
      <c r="I91" s="323">
        <f>TVM!I91+KLM!I91+PTA!I91+ALP!I91+KTM!I91+IDK!I91+EKM!I91+TSR!I91+PKD!I91+MLPM!I91+KKD!I91+WYD!I91+KNR!I91+KSD!I91+SHS!I91</f>
        <v>0</v>
      </c>
      <c r="J91" s="323">
        <f>TVM!J91+KLM!J91+PTA!J91+ALP!J91+KTM!J91+IDK!J91+EKM!J91+TSR!J91+PKD!J91+MLPM!J91+KKD!J91+WYD!J91+KNR!J91+KSD!J91+SHS!J91</f>
        <v>0</v>
      </c>
      <c r="K91" s="329">
        <f>TVM!K91+KLM!K91+PTA!K91+ALP!K91+KTM!K91+IDK!K91+EKM!K91+TSR!K91+PKD!K91+MLPM!K91+KKD!K91+WYD!K91+KNR!K91+KSD!K91+SHS!K91</f>
        <v>0</v>
      </c>
      <c r="L91" s="323">
        <f>TVM!L91+KLM!L91+PTA!L91+ALP!L91+KTM!L91+IDK!L91+EKM!L91+TSR!L91+PKD!L91+MLPM!L91+KKD!L91+WYD!L91+KNR!L91+KSD!L91+SHS!L91</f>
        <v>0</v>
      </c>
      <c r="M91" s="378">
        <f>TVM!M91+KLM!M91+PTA!M91+ALP!M91+KTM!M91+IDK!M91+EKM!M91+TSR!M91+PKD!M91+MLPM!M91+KKD!M91+WYD!M91+KNR!M91+KSD!M91+SHS!M91</f>
        <v>10</v>
      </c>
      <c r="N91" s="329">
        <f>TVM!N91+KLM!N91+PTA!N91+ALP!N91+KTM!N91+IDK!N91+EKM!N91+TSR!N91+PKD!N91+MLPM!N91+KKD!N91+WYD!N91+KNR!N91+KSD!N91+SHS!N91</f>
        <v>8</v>
      </c>
      <c r="O91" s="323">
        <f>TVM!O91+KLM!O91+PTA!O91+ALP!O91+KTM!O91+IDK!O91+EKM!O91+TSR!O91+PKD!O91+MLPM!O91+KKD!O91+WYD!O91+KNR!O91+KSD!O91+SHS!O91</f>
        <v>0</v>
      </c>
      <c r="P91" s="323">
        <f>TVM!P91+KLM!P91+PTA!P91+ALP!P91+KTM!P91+IDK!P91+EKM!P91+TSR!P91+PKD!P91+MLPM!P91+KKD!P91+WYD!P91+KNR!P91+KSD!P91+SHS!P91</f>
        <v>0.5</v>
      </c>
      <c r="Q91" s="329">
        <f>TVM!Q91+KLM!Q91+PTA!Q91+ALP!Q91+KTM!Q91+IDK!Q91+EKM!Q91+TSR!Q91+PKD!Q91+MLPM!Q91+KKD!Q91+WYD!Q91+KNR!Q91+KSD!Q91+SHS!Q91</f>
        <v>14</v>
      </c>
      <c r="R91" s="330">
        <f>TVM!R91+KLM!R91+PTA!R91+ALP!R91+KTM!R91+IDK!R91+EKM!R91+TSR!R91+PKD!R91+MLPM!R91+KKD!R91+WYD!R91+KNR!R91+KSD!R91+SHS!R91</f>
        <v>1</v>
      </c>
      <c r="S91" s="330">
        <f>TVM!S91+KLM!S91+PTA!S91+ALP!S91+KTM!S91+IDK!S91+EKM!S91+TSR!S91+PKD!S91+MLPM!S91+KKD!S91+WYD!S91+KNR!S91+KSD!S91+SHS!S91</f>
        <v>0</v>
      </c>
      <c r="T91" s="324">
        <f t="shared" si="3"/>
        <v>33.5</v>
      </c>
      <c r="U91" s="324">
        <f>TVM!U91+KLM!U91+PTA!U91+ALP!U91+KTM!U91+IDK!U91+EKM!U91+TSR!U91+PKD!U91+MLPM!U91+KKD!U91+WYD!U91+KNR!U91+KSD!U91+SHS!U91</f>
        <v>33.5</v>
      </c>
      <c r="V91" s="393" t="s">
        <v>1430</v>
      </c>
      <c r="W91" s="393" t="s">
        <v>1431</v>
      </c>
      <c r="X91" s="332">
        <v>37.799999999999997</v>
      </c>
      <c r="Y91" s="328">
        <f t="shared" si="1"/>
        <v>-4.2999999999999972</v>
      </c>
      <c r="Z91" s="314"/>
      <c r="AA91" s="314"/>
      <c r="AB91" s="314"/>
    </row>
    <row r="92" spans="1:28" ht="39.75" customHeight="1">
      <c r="A92" s="712"/>
      <c r="B92" s="320" t="s">
        <v>180</v>
      </c>
      <c r="C92" s="320" t="s">
        <v>53</v>
      </c>
      <c r="D92" s="320">
        <v>86</v>
      </c>
      <c r="E92" s="320" t="s">
        <v>181</v>
      </c>
      <c r="F92" s="323">
        <f>TVM!F92+KLM!F92+PTA!F92+ALP!F92+KTM!F92+IDK!F92+EKM!F92+TSR!F92+PKD!F92+MLPM!F92+KKD!F92+WYD!F92+KNR!F92+KSD!F92+SHS!F92</f>
        <v>0</v>
      </c>
      <c r="G92" s="323">
        <f>TVM!G92+KLM!G92+PTA!G92+ALP!G92+KTM!G92+IDK!G92+EKM!G92+TSR!G92+PKD!G92+MLPM!G92+KKD!G92+WYD!G92+KNR!G92+KSD!G92+SHS!G92</f>
        <v>0</v>
      </c>
      <c r="H92" s="323">
        <f>TVM!H92+KLM!H92+PTA!H92+ALP!H92+KTM!H92+IDK!H92+EKM!H92+TSR!H92+PKD!H92+MLPM!H92+KKD!H92+WYD!H92+KNR!H92+KSD!H92+SHS!H92</f>
        <v>0</v>
      </c>
      <c r="I92" s="323">
        <f>TVM!I92+KLM!I92+PTA!I92+ALP!I92+KTM!I92+IDK!I92+EKM!I92+TSR!I92+PKD!I92+MLPM!I92+KKD!I92+WYD!I92+KNR!I92+KSD!I92+SHS!I92</f>
        <v>0</v>
      </c>
      <c r="J92" s="323">
        <f>TVM!J92+KLM!J92+PTA!J92+ALP!J92+KTM!J92+IDK!J92+EKM!J92+TSR!J92+PKD!J92+MLPM!J92+KKD!J92+WYD!J92+KNR!J92+KSD!J92+SHS!J92</f>
        <v>0</v>
      </c>
      <c r="K92" s="323">
        <f>TVM!K92+KLM!K92+PTA!K92+ALP!K92+KTM!K92+IDK!K92+EKM!K92+TSR!K92+PKD!K92+MLPM!K92+KKD!K92+WYD!K92+KNR!K92+KSD!K92+SHS!K92</f>
        <v>0</v>
      </c>
      <c r="L92" s="323">
        <f>TVM!L92+KLM!L92+PTA!L92+ALP!L92+KTM!L92+IDK!L92+EKM!L92+TSR!L92+PKD!L92+MLPM!L92+KKD!L92+WYD!L92+KNR!L92+KSD!L92+SHS!L92</f>
        <v>0</v>
      </c>
      <c r="M92" s="323">
        <f>TVM!M92+KLM!M92+PTA!M92+ALP!M92+KTM!M92+IDK!M92+EKM!M92+TSR!M92+PKD!M92+MLPM!M92+KKD!M92+WYD!M92+KNR!M92+KSD!M92+SHS!M92</f>
        <v>0</v>
      </c>
      <c r="N92" s="323">
        <f>TVM!N92+KLM!N92+PTA!N92+ALP!N92+KTM!N92+IDK!N92+EKM!N92+TSR!N92+PKD!N92+MLPM!N92+KKD!N92+WYD!N92+KNR!N92+KSD!N92+SHS!N92</f>
        <v>0</v>
      </c>
      <c r="O92" s="323">
        <f>TVM!O92+KLM!O92+PTA!O92+ALP!O92+KTM!O92+IDK!O92+EKM!O92+TSR!O92+PKD!O92+MLPM!O92+KKD!O92+WYD!O92+KNR!O92+KSD!O92+SHS!O92</f>
        <v>0</v>
      </c>
      <c r="P92" s="323">
        <f>TVM!P92+KLM!P92+PTA!P92+ALP!P92+KTM!P92+IDK!P92+EKM!P92+TSR!P92+PKD!P92+MLPM!P92+KKD!P92+WYD!P92+KNR!P92+KSD!P92+SHS!P92</f>
        <v>0</v>
      </c>
      <c r="Q92" s="323">
        <f>TVM!Q92+KLM!Q92+PTA!Q92+ALP!Q92+KTM!Q92+IDK!Q92+EKM!Q92+TSR!Q92+PKD!Q92+MLPM!Q92+KKD!Q92+WYD!Q92+KNR!Q92+KSD!Q92+SHS!Q92</f>
        <v>0</v>
      </c>
      <c r="R92" s="323">
        <f>TVM!R92+KLM!R92+PTA!R92+ALP!R92+KTM!R92+IDK!R92+EKM!R92+TSR!R92+PKD!R92+MLPM!R92+KKD!R92+WYD!R92+KNR!R92+KSD!R92+SHS!R92</f>
        <v>0</v>
      </c>
      <c r="S92" s="323">
        <f>TVM!S92+KLM!S92+PTA!S92+ALP!S92+KTM!S92+IDK!S92+EKM!S92+TSR!S92+PKD!S92+MLPM!S92+KKD!S92+WYD!S92+KNR!S92+KSD!S92+SHS!S92</f>
        <v>0</v>
      </c>
      <c r="T92" s="389">
        <f t="shared" si="3"/>
        <v>0</v>
      </c>
      <c r="U92" s="389">
        <f>TVM!U92+KLM!U92+PTA!U92+ALP!U92+KTM!U92+IDK!U92+EKM!U92+TSR!U92+PKD!U92+MLPM!U92+KKD!U92+WYD!U92+KNR!U92+KSD!U92+SHS!U92</f>
        <v>0</v>
      </c>
      <c r="V92" s="394"/>
      <c r="W92" s="395"/>
      <c r="X92" s="332">
        <v>0</v>
      </c>
      <c r="Y92" s="328">
        <f t="shared" si="1"/>
        <v>0</v>
      </c>
      <c r="Z92" s="322"/>
      <c r="AA92" s="314"/>
      <c r="AB92" s="314"/>
    </row>
    <row r="93" spans="1:28" ht="39.75" customHeight="1">
      <c r="A93" s="707"/>
      <c r="B93" s="724" t="s">
        <v>182</v>
      </c>
      <c r="C93" s="709"/>
      <c r="D93" s="710"/>
      <c r="E93" s="396"/>
      <c r="F93" s="84">
        <f t="shared" ref="F93:U93" si="4">SUM(F69:F92)</f>
        <v>777.3</v>
      </c>
      <c r="G93" s="84">
        <f t="shared" si="4"/>
        <v>103.2</v>
      </c>
      <c r="H93" s="84">
        <f t="shared" si="4"/>
        <v>320.10000000000002</v>
      </c>
      <c r="I93" s="84">
        <f t="shared" si="4"/>
        <v>455.91</v>
      </c>
      <c r="J93" s="84">
        <f t="shared" si="4"/>
        <v>176.33</v>
      </c>
      <c r="K93" s="84">
        <f t="shared" si="4"/>
        <v>94.548999999999992</v>
      </c>
      <c r="L93" s="84">
        <f t="shared" si="4"/>
        <v>436.29999999999995</v>
      </c>
      <c r="M93" s="101">
        <f t="shared" si="4"/>
        <v>2434.4399999999996</v>
      </c>
      <c r="N93" s="5">
        <f t="shared" si="4"/>
        <v>368.601</v>
      </c>
      <c r="O93" s="84">
        <f t="shared" si="4"/>
        <v>908.78</v>
      </c>
      <c r="P93" s="5">
        <f t="shared" si="4"/>
        <v>903.49999999999989</v>
      </c>
      <c r="Q93" s="5">
        <f t="shared" si="4"/>
        <v>357.96249999999998</v>
      </c>
      <c r="R93" s="101">
        <f t="shared" si="4"/>
        <v>486.70050000000003</v>
      </c>
      <c r="S93" s="101">
        <f t="shared" si="4"/>
        <v>213.05</v>
      </c>
      <c r="T93" s="5">
        <f t="shared" si="4"/>
        <v>8036.723</v>
      </c>
      <c r="U93" s="5">
        <f t="shared" si="4"/>
        <v>8341.8729999999996</v>
      </c>
      <c r="V93" s="397"/>
      <c r="W93" s="398"/>
      <c r="X93" s="399">
        <v>12504.24</v>
      </c>
      <c r="Y93" s="328">
        <f t="shared" si="1"/>
        <v>-4467.5169999999998</v>
      </c>
      <c r="Z93" s="314"/>
      <c r="AA93" s="314"/>
      <c r="AB93" s="314"/>
    </row>
    <row r="94" spans="1:28" ht="63">
      <c r="A94" s="720" t="s">
        <v>183</v>
      </c>
      <c r="B94" s="718" t="s">
        <v>184</v>
      </c>
      <c r="C94" s="718" t="s">
        <v>185</v>
      </c>
      <c r="D94" s="320">
        <v>87</v>
      </c>
      <c r="E94" s="320" t="s">
        <v>186</v>
      </c>
      <c r="F94" s="323">
        <f>TVM!F94+KLM!F94+PTA!F94+ALP!F94+KTM!F94+IDK!F94+EKM!F94+TSR!F94+PKD!F94+MLPM!F94+KKD!F94+WYD!F94+KNR!F94+KSD!F94+SHS!F94</f>
        <v>0</v>
      </c>
      <c r="G94" s="323">
        <f>TVM!G94+KLM!G94+PTA!G94+ALP!G94+KTM!G94+IDK!G94+EKM!G94+TSR!G94+PKD!G94+MLPM!G94+KKD!G94+WYD!G94+KNR!G94+KSD!G94+SHS!G94</f>
        <v>0</v>
      </c>
      <c r="H94" s="323">
        <f>TVM!H94+KLM!H94+PTA!H94+ALP!H94+KTM!H94+IDK!H94+EKM!H94+TSR!H94+PKD!H94+MLPM!H94+KKD!H94+WYD!H94+KNR!H94+KSD!H94+SHS!H94</f>
        <v>0</v>
      </c>
      <c r="I94" s="323">
        <f>TVM!I94+KLM!I94+PTA!I94+ALP!I94+KTM!I94+IDK!I94+EKM!I94+TSR!I94+PKD!I94+MLPM!I94+KKD!I94+WYD!I94+KNR!I94+KSD!I94+SHS!I94</f>
        <v>0</v>
      </c>
      <c r="J94" s="323">
        <f>TVM!J94+KLM!J94+PTA!J94+ALP!J94+KTM!J94+IDK!J94+EKM!J94+TSR!J94+PKD!J94+MLPM!J94+KKD!J94+WYD!J94+KNR!J94+KSD!J94+SHS!J94</f>
        <v>0</v>
      </c>
      <c r="K94" s="329">
        <f>TVM!K94+KLM!K94+PTA!K94+ALP!K94+KTM!K94+IDK!K94+EKM!K94+TSR!K94+PKD!K94+MLPM!K94+KKD!K94+WYD!K94+KNR!K94+KSD!K94+SHS!K94</f>
        <v>275</v>
      </c>
      <c r="L94" s="323">
        <f>TVM!L94+KLM!L94+PTA!L94+ALP!L94+KTM!L94+IDK!L94+EKM!L94+TSR!L94+PKD!L94+MLPM!L94+KKD!L94+WYD!L94+KNR!L94+KSD!L94+SHS!L94</f>
        <v>0</v>
      </c>
      <c r="M94" s="323">
        <f>TVM!M94+KLM!M94+PTA!M94+ALP!M94+KTM!M94+IDK!M94+EKM!M94+TSR!M94+PKD!M94+MLPM!M94+KKD!M94+WYD!M94+KNR!M94+KSD!M94+SHS!M94</f>
        <v>0</v>
      </c>
      <c r="N94" s="323">
        <f>TVM!N94+KLM!N94+PTA!N94+ALP!N94+KTM!N94+IDK!N94+EKM!N94+TSR!N94+PKD!N94+MLPM!N94+KKD!N94+WYD!N94+KNR!N94+KSD!N94+SHS!N94</f>
        <v>0</v>
      </c>
      <c r="O94" s="323">
        <f>TVM!O94+KLM!O94+PTA!O94+ALP!O94+KTM!O94+IDK!O94+EKM!O94+TSR!O94+PKD!O94+MLPM!O94+KKD!O94+WYD!O94+KNR!O94+KSD!O94+SHS!O94</f>
        <v>0</v>
      </c>
      <c r="P94" s="323">
        <f>TVM!P94+KLM!P94+PTA!P94+ALP!P94+KTM!P94+IDK!P94+EKM!P94+TSR!P94+PKD!P94+MLPM!P94+KKD!P94+WYD!P94+KNR!P94+KSD!P94+SHS!P94</f>
        <v>0</v>
      </c>
      <c r="Q94" s="323">
        <f>TVM!Q94+KLM!Q94+PTA!Q94+ALP!Q94+KTM!Q94+IDK!Q94+EKM!Q94+TSR!Q94+PKD!Q94+MLPM!Q94+KKD!Q94+WYD!Q94+KNR!Q94+KSD!Q94+SHS!Q94</f>
        <v>0</v>
      </c>
      <c r="R94" s="323">
        <f>TVM!R94+KLM!R94+PTA!R94+ALP!R94+KTM!R94+IDK!R94+EKM!R94+TSR!R94+PKD!R94+MLPM!R94+KKD!R94+WYD!R94+KNR!R94+KSD!R94+SHS!R94</f>
        <v>0</v>
      </c>
      <c r="S94" s="323">
        <f>TVM!S94+KLM!S94+PTA!S94+ALP!S94+KTM!S94+IDK!S94+EKM!S94+TSR!S94+PKD!S94+MLPM!S94+KKD!S94+WYD!S94+KNR!S94+KSD!S94+SHS!S94</f>
        <v>0</v>
      </c>
      <c r="T94" s="324">
        <f t="shared" ref="T94:T133" si="5">SUM(F94:S94)</f>
        <v>275</v>
      </c>
      <c r="U94" s="324">
        <f>TVM!U94+KLM!U94+PTA!U94+ALP!U94+KTM!U94+IDK!U94+EKM!U94+TSR!U94+PKD!U94+MLPM!U94+KKD!U94+WYD!U94+KNR!U94+KSD!U94+SHS!U94</f>
        <v>275</v>
      </c>
      <c r="V94" s="27" t="s">
        <v>1209</v>
      </c>
      <c r="W94" s="27" t="s">
        <v>1209</v>
      </c>
      <c r="X94" s="332">
        <v>246</v>
      </c>
      <c r="Y94" s="328">
        <f t="shared" si="1"/>
        <v>29</v>
      </c>
      <c r="Z94" s="314"/>
      <c r="AA94" s="314"/>
      <c r="AB94" s="314"/>
    </row>
    <row r="95" spans="1:28" ht="39.75" customHeight="1">
      <c r="A95" s="712"/>
      <c r="B95" s="712"/>
      <c r="C95" s="712"/>
      <c r="D95" s="320">
        <v>88</v>
      </c>
      <c r="E95" s="320" t="s">
        <v>188</v>
      </c>
      <c r="F95" s="323">
        <f>TVM!F95+KLM!F95+PTA!F95+ALP!F95+KTM!F95+IDK!F95+EKM!F95+TSR!F95+PKD!F95+MLPM!F95+KKD!F95+WYD!F95+KNR!F95+KSD!F95+SHS!F95</f>
        <v>0</v>
      </c>
      <c r="G95" s="323">
        <f>TVM!G95+KLM!G95+PTA!G95+ALP!G95+KTM!G95+IDK!G95+EKM!G95+TSR!G95+PKD!G95+MLPM!G95+KKD!G95+WYD!G95+KNR!G95+KSD!G95+SHS!G95</f>
        <v>0</v>
      </c>
      <c r="H95" s="323">
        <f>TVM!H95+KLM!H95+PTA!H95+ALP!H95+KTM!H95+IDK!H95+EKM!H95+TSR!H95+PKD!H95+MLPM!H95+KKD!H95+WYD!H95+KNR!H95+KSD!H95+SHS!H95</f>
        <v>0</v>
      </c>
      <c r="I95" s="323">
        <f>TVM!I95+KLM!I95+PTA!I95+ALP!I95+KTM!I95+IDK!I95+EKM!I95+TSR!I95+PKD!I95+MLPM!I95+KKD!I95+WYD!I95+KNR!I95+KSD!I95+SHS!I95</f>
        <v>0</v>
      </c>
      <c r="J95" s="323">
        <f>TVM!J95+KLM!J95+PTA!J95+ALP!J95+KTM!J95+IDK!J95+EKM!J95+TSR!J95+PKD!J95+MLPM!J95+KKD!J95+WYD!J95+KNR!J95+KSD!J95+SHS!J95</f>
        <v>0</v>
      </c>
      <c r="K95" s="323">
        <f>TVM!K95+KLM!K95+PTA!K95+ALP!K95+KTM!K95+IDK!K95+EKM!K95+TSR!K95+PKD!K95+MLPM!K95+KKD!K95+WYD!K95+KNR!K95+KSD!K95+SHS!K95</f>
        <v>0</v>
      </c>
      <c r="L95" s="323">
        <f>TVM!L95+KLM!L95+PTA!L95+ALP!L95+KTM!L95+IDK!L95+EKM!L95+TSR!L95+PKD!L95+MLPM!L95+KKD!L95+WYD!L95+KNR!L95+KSD!L95+SHS!L95</f>
        <v>0</v>
      </c>
      <c r="M95" s="323">
        <f>TVM!M95+KLM!M95+PTA!M95+ALP!M95+KTM!M95+IDK!M95+EKM!M95+TSR!M95+PKD!M95+MLPM!M95+KKD!M95+WYD!M95+KNR!M95+KSD!M95+SHS!M95</f>
        <v>0</v>
      </c>
      <c r="N95" s="323">
        <f>TVM!N95+KLM!N95+PTA!N95+ALP!N95+KTM!N95+IDK!N95+EKM!N95+TSR!N95+PKD!N95+MLPM!N95+KKD!N95+WYD!N95+KNR!N95+KSD!N95+SHS!N95</f>
        <v>0</v>
      </c>
      <c r="O95" s="323">
        <f>TVM!O95+KLM!O95+PTA!O95+ALP!O95+KTM!O95+IDK!O95+EKM!O95+TSR!O95+PKD!O95+MLPM!O95+KKD!O95+WYD!O95+KNR!O95+KSD!O95+SHS!O95</f>
        <v>0</v>
      </c>
      <c r="P95" s="330">
        <f>TVM!P95+KLM!P95+PTA!P95+ALP!P95+KTM!P95+IDK!P95+EKM!P95+TSR!P95+PKD!P95+MLPM!P95+KKD!P95+WYD!P95+KNR!P95+KSD!P95+SHS!P95</f>
        <v>186</v>
      </c>
      <c r="Q95" s="323">
        <f>TVM!Q95+KLM!Q95+PTA!Q95+ALP!Q95+KTM!Q95+IDK!Q95+EKM!Q95+TSR!Q95+PKD!Q95+MLPM!Q95+KKD!Q95+WYD!Q95+KNR!Q95+KSD!Q95+SHS!Q95</f>
        <v>0</v>
      </c>
      <c r="R95" s="323">
        <f>TVM!R95+KLM!R95+PTA!R95+ALP!R95+KTM!R95+IDK!R95+EKM!R95+TSR!R95+PKD!R95+MLPM!R95+KKD!R95+WYD!R95+KNR!R95+KSD!R95+SHS!R95</f>
        <v>0</v>
      </c>
      <c r="S95" s="323">
        <f>TVM!S95+KLM!S95+PTA!S95+ALP!S95+KTM!S95+IDK!S95+EKM!S95+TSR!S95+PKD!S95+MLPM!S95+KKD!S95+WYD!S95+KNR!S95+KSD!S95+SHS!S95</f>
        <v>0</v>
      </c>
      <c r="T95" s="324">
        <f t="shared" si="5"/>
        <v>186</v>
      </c>
      <c r="U95" s="324">
        <f>TVM!U95+KLM!U95+PTA!U95+ALP!U95+KTM!U95+IDK!U95+EKM!U95+TSR!U95+PKD!U95+MLPM!U95+KKD!U95+WYD!U95+KNR!U95+KSD!U95+SHS!U95</f>
        <v>186</v>
      </c>
      <c r="V95" s="32" t="s">
        <v>1432</v>
      </c>
      <c r="W95" s="32" t="s">
        <v>1432</v>
      </c>
      <c r="X95" s="332">
        <v>140</v>
      </c>
      <c r="Y95" s="328">
        <f t="shared" si="1"/>
        <v>46</v>
      </c>
      <c r="Z95" s="314"/>
      <c r="AA95" s="314"/>
      <c r="AB95" s="314"/>
    </row>
    <row r="96" spans="1:28" ht="39.75" customHeight="1">
      <c r="A96" s="712"/>
      <c r="B96" s="712"/>
      <c r="C96" s="712"/>
      <c r="D96" s="320">
        <v>89</v>
      </c>
      <c r="E96" s="320" t="s">
        <v>190</v>
      </c>
      <c r="F96" s="323">
        <f>TVM!F96+KLM!F96+PTA!F96+ALP!F96+KTM!F96+IDK!F96+EKM!F96+TSR!F96+PKD!F96+MLPM!F96+KKD!F96+WYD!F96+KNR!F96+KSD!F96+SHS!F96</f>
        <v>0</v>
      </c>
      <c r="G96" s="323">
        <f>TVM!G96+KLM!G96+PTA!G96+ALP!G96+KTM!G96+IDK!G96+EKM!G96+TSR!G96+PKD!G96+MLPM!G96+KKD!G96+WYD!G96+KNR!G96+KSD!G96+SHS!G96</f>
        <v>0</v>
      </c>
      <c r="H96" s="323">
        <f>TVM!H96+KLM!H96+PTA!H96+ALP!H96+KTM!H96+IDK!H96+EKM!H96+TSR!H96+PKD!H96+MLPM!H96+KKD!H96+WYD!H96+KNR!H96+KSD!H96+SHS!H96</f>
        <v>0</v>
      </c>
      <c r="I96" s="323">
        <f>TVM!I96+KLM!I96+PTA!I96+ALP!I96+KTM!I96+IDK!I96+EKM!I96+TSR!I96+PKD!I96+MLPM!I96+KKD!I96+WYD!I96+KNR!I96+KSD!I96+SHS!I96</f>
        <v>0</v>
      </c>
      <c r="J96" s="323">
        <f>TVM!J96+KLM!J96+PTA!J96+ALP!J96+KTM!J96+IDK!J96+EKM!J96+TSR!J96+PKD!J96+MLPM!J96+KKD!J96+WYD!J96+KNR!J96+KSD!J96+SHS!J96</f>
        <v>0</v>
      </c>
      <c r="K96" s="323">
        <f>TVM!K96+KLM!K96+PTA!K96+ALP!K96+KTM!K96+IDK!K96+EKM!K96+TSR!K96+PKD!K96+MLPM!K96+KKD!K96+WYD!K96+KNR!K96+KSD!K96+SHS!K96</f>
        <v>0</v>
      </c>
      <c r="L96" s="323">
        <f>TVM!L96+KLM!L96+PTA!L96+ALP!L96+KTM!L96+IDK!L96+EKM!L96+TSR!L96+PKD!L96+MLPM!L96+KKD!L96+WYD!L96+KNR!L96+KSD!L96+SHS!L96</f>
        <v>0</v>
      </c>
      <c r="M96" s="323">
        <f>TVM!M96+KLM!M96+PTA!M96+ALP!M96+KTM!M96+IDK!M96+EKM!M96+TSR!M96+PKD!M96+MLPM!M96+KKD!M96+WYD!M96+KNR!M96+KSD!M96+SHS!M96</f>
        <v>0</v>
      </c>
      <c r="N96" s="323">
        <f>TVM!N96+KLM!N96+PTA!N96+ALP!N96+KTM!N96+IDK!N96+EKM!N96+TSR!N96+PKD!N96+MLPM!N96+KKD!N96+WYD!N96+KNR!N96+KSD!N96+SHS!N96</f>
        <v>0</v>
      </c>
      <c r="O96" s="323">
        <f>TVM!O96+KLM!O96+PTA!O96+ALP!O96+KTM!O96+IDK!O96+EKM!O96+TSR!O96+PKD!O96+MLPM!O96+KKD!O96+WYD!O96+KNR!O96+KSD!O96+SHS!O96</f>
        <v>0</v>
      </c>
      <c r="P96" s="323">
        <f>TVM!P96+KLM!P96+PTA!P96+ALP!P96+KTM!P96+IDK!P96+EKM!P96+TSR!P96+PKD!P96+MLPM!P96+KKD!P96+WYD!P96+KNR!P96+KSD!P96+SHS!P96</f>
        <v>0</v>
      </c>
      <c r="Q96" s="323">
        <f>TVM!Q96+KLM!Q96+PTA!Q96+ALP!Q96+KTM!Q96+IDK!Q96+EKM!Q96+TSR!Q96+PKD!Q96+MLPM!Q96+KKD!Q96+WYD!Q96+KNR!Q96+KSD!Q96+SHS!Q96</f>
        <v>0</v>
      </c>
      <c r="R96" s="323">
        <f>TVM!R96+KLM!R96+PTA!R96+ALP!R96+KTM!R96+IDK!R96+EKM!R96+TSR!R96+PKD!R96+MLPM!R96+KKD!R96+WYD!R96+KNR!R96+KSD!R96+SHS!R96</f>
        <v>0</v>
      </c>
      <c r="S96" s="329">
        <f>TVM!S96+KLM!S96+PTA!S96+ALP!S96+KTM!S96+IDK!S96+EKM!S96+TSR!S96+PKD!S96+MLPM!S96+KKD!S96+WYD!S96+KNR!S96+KSD!S96+SHS!S96</f>
        <v>0</v>
      </c>
      <c r="T96" s="324">
        <f t="shared" si="5"/>
        <v>0</v>
      </c>
      <c r="U96" s="324">
        <f>TVM!U96+KLM!U96+PTA!U96+ALP!U96+KTM!U96+IDK!U96+EKM!U96+TSR!U96+PKD!U96+MLPM!U96+KKD!U96+WYD!U96+KNR!U96+KSD!U96+SHS!U96</f>
        <v>0</v>
      </c>
      <c r="V96" s="400"/>
      <c r="W96" s="400"/>
      <c r="X96" s="332">
        <v>0</v>
      </c>
      <c r="Y96" s="328">
        <f t="shared" si="1"/>
        <v>0</v>
      </c>
      <c r="Z96" s="314"/>
      <c r="AA96" s="314"/>
      <c r="AB96" s="314"/>
    </row>
    <row r="97" spans="1:28" ht="39.75" customHeight="1">
      <c r="A97" s="712"/>
      <c r="B97" s="712"/>
      <c r="C97" s="712"/>
      <c r="D97" s="320">
        <v>90</v>
      </c>
      <c r="E97" s="320" t="s">
        <v>191</v>
      </c>
      <c r="F97" s="323">
        <f>TVM!F97+KLM!F97+PTA!F97+ALP!F97+KTM!F97+IDK!F97+EKM!F97+TSR!F97+PKD!F97+MLPM!F97+KKD!F97+WYD!F97+KNR!F97+KSD!F97+SHS!F97</f>
        <v>0</v>
      </c>
      <c r="G97" s="323">
        <f>TVM!G97+KLM!G97+PTA!G97+ALP!G97+KTM!G97+IDK!G97+EKM!G97+TSR!G97+PKD!G97+MLPM!G97+KKD!G97+WYD!G97+KNR!G97+KSD!G97+SHS!G97</f>
        <v>0</v>
      </c>
      <c r="H97" s="323">
        <f>TVM!H97+KLM!H97+PTA!H97+ALP!H97+KTM!H97+IDK!H97+EKM!H97+TSR!H97+PKD!H97+MLPM!H97+KKD!H97+WYD!H97+KNR!H97+KSD!H97+SHS!H97</f>
        <v>0</v>
      </c>
      <c r="I97" s="323">
        <f>TVM!I97+KLM!I97+PTA!I97+ALP!I97+KTM!I97+IDK!I97+EKM!I97+TSR!I97+PKD!I97+MLPM!I97+KKD!I97+WYD!I97+KNR!I97+KSD!I97+SHS!I97</f>
        <v>0</v>
      </c>
      <c r="J97" s="323">
        <f>TVM!J97+KLM!J97+PTA!J97+ALP!J97+KTM!J97+IDK!J97+EKM!J97+TSR!J97+PKD!J97+MLPM!J97+KKD!J97+WYD!J97+KNR!J97+KSD!J97+SHS!J97</f>
        <v>0</v>
      </c>
      <c r="K97" s="323">
        <f>TVM!K97+KLM!K97+PTA!K97+ALP!K97+KTM!K97+IDK!K97+EKM!K97+TSR!K97+PKD!K97+MLPM!K97+KKD!K97+WYD!K97+KNR!K97+KSD!K97+SHS!K97</f>
        <v>0</v>
      </c>
      <c r="L97" s="323">
        <f>TVM!L97+KLM!L97+PTA!L97+ALP!L97+KTM!L97+IDK!L97+EKM!L97+TSR!L97+PKD!L97+MLPM!L97+KKD!L97+WYD!L97+KNR!L97+KSD!L97+SHS!L97</f>
        <v>0</v>
      </c>
      <c r="M97" s="323">
        <f>TVM!M97+KLM!M97+PTA!M97+ALP!M97+KTM!M97+IDK!M97+EKM!M97+TSR!M97+PKD!M97+MLPM!M97+KKD!M97+WYD!M97+KNR!M97+KSD!M97+SHS!M97</f>
        <v>0</v>
      </c>
      <c r="N97" s="323">
        <f>TVM!N97+KLM!N97+PTA!N97+ALP!N97+KTM!N97+IDK!N97+EKM!N97+TSR!N97+PKD!N97+MLPM!N97+KKD!N97+WYD!N97+KNR!N97+KSD!N97+SHS!N97</f>
        <v>0</v>
      </c>
      <c r="O97" s="323">
        <f>TVM!O97+KLM!O97+PTA!O97+ALP!O97+KTM!O97+IDK!O97+EKM!O97+TSR!O97+PKD!O97+MLPM!O97+KKD!O97+WYD!O97+KNR!O97+KSD!O97+SHS!O97</f>
        <v>0</v>
      </c>
      <c r="P97" s="330">
        <f>TVM!P97+KLM!P97+PTA!P97+ALP!P97+KTM!P97+IDK!P97+EKM!P97+TSR!P97+PKD!P97+MLPM!P97+KKD!P97+WYD!P97+KNR!P97+KSD!P97+SHS!P97</f>
        <v>1.38</v>
      </c>
      <c r="Q97" s="323">
        <f>TVM!Q97+KLM!Q97+PTA!Q97+ALP!Q97+KTM!Q97+IDK!Q97+EKM!Q97+TSR!Q97+PKD!Q97+MLPM!Q97+KKD!Q97+WYD!Q97+KNR!Q97+KSD!Q97+SHS!Q97</f>
        <v>0</v>
      </c>
      <c r="R97" s="323">
        <f>TVM!R97+KLM!R97+PTA!R97+ALP!R97+KTM!R97+IDK!R97+EKM!R97+TSR!R97+PKD!R97+MLPM!R97+KKD!R97+WYD!R97+KNR!R97+KSD!R97+SHS!R97</f>
        <v>0</v>
      </c>
      <c r="S97" s="323">
        <f>TVM!S97+KLM!S97+PTA!S97+ALP!S97+KTM!S97+IDK!S97+EKM!S97+TSR!S97+PKD!S97+MLPM!S97+KKD!S97+WYD!S97+KNR!S97+KSD!S97+SHS!S97</f>
        <v>0</v>
      </c>
      <c r="T97" s="324">
        <f t="shared" si="5"/>
        <v>1.38</v>
      </c>
      <c r="U97" s="324">
        <f>TVM!U97+KLM!U97+PTA!U97+ALP!U97+KTM!U97+IDK!U97+EKM!U97+TSR!U97+PKD!U97+MLPM!U97+KKD!U97+WYD!U97+KNR!U97+KSD!U97+SHS!U97</f>
        <v>1.38</v>
      </c>
      <c r="V97" s="32" t="s">
        <v>720</v>
      </c>
      <c r="W97" s="32" t="s">
        <v>720</v>
      </c>
      <c r="X97" s="332">
        <v>1.38</v>
      </c>
      <c r="Y97" s="328">
        <f t="shared" si="1"/>
        <v>0</v>
      </c>
      <c r="Z97" s="314"/>
      <c r="AA97" s="314"/>
      <c r="AB97" s="314"/>
    </row>
    <row r="98" spans="1:28" ht="39.75" customHeight="1">
      <c r="A98" s="712"/>
      <c r="B98" s="712"/>
      <c r="C98" s="712"/>
      <c r="D98" s="320">
        <v>91</v>
      </c>
      <c r="E98" s="320" t="s">
        <v>192</v>
      </c>
      <c r="F98" s="323">
        <f>TVM!F98+KLM!F98+PTA!F98+ALP!F98+KTM!F98+IDK!F98+EKM!F98+TSR!F98+PKD!F98+MLPM!F98+KKD!F98+WYD!F98+KNR!F98+KSD!F98+SHS!F98</f>
        <v>0</v>
      </c>
      <c r="G98" s="323">
        <f>TVM!G98+KLM!G98+PTA!G98+ALP!G98+KTM!G98+IDK!G98+EKM!G98+TSR!G98+PKD!G98+MLPM!G98+KKD!G98+WYD!G98+KNR!G98+KSD!G98+SHS!G98</f>
        <v>0</v>
      </c>
      <c r="H98" s="323">
        <f>TVM!H98+KLM!H98+PTA!H98+ALP!H98+KTM!H98+IDK!H98+EKM!H98+TSR!H98+PKD!H98+MLPM!H98+KKD!H98+WYD!H98+KNR!H98+KSD!H98+SHS!H98</f>
        <v>0</v>
      </c>
      <c r="I98" s="323">
        <f>TVM!I98+KLM!I98+PTA!I98+ALP!I98+KTM!I98+IDK!I98+EKM!I98+TSR!I98+PKD!I98+MLPM!I98+KKD!I98+WYD!I98+KNR!I98+KSD!I98+SHS!I98</f>
        <v>0</v>
      </c>
      <c r="J98" s="323">
        <f>TVM!J98+KLM!J98+PTA!J98+ALP!J98+KTM!J98+IDK!J98+EKM!J98+TSR!J98+PKD!J98+MLPM!J98+KKD!J98+WYD!J98+KNR!J98+KSD!J98+SHS!J98</f>
        <v>0</v>
      </c>
      <c r="K98" s="329">
        <f>TVM!K98+KLM!K98+PTA!K98+ALP!K98+KTM!K98+IDK!K98+EKM!K98+TSR!K98+PKD!K98+MLPM!K98+KKD!K98+WYD!K98+KNR!K98+KSD!K98+SHS!K98</f>
        <v>0</v>
      </c>
      <c r="L98" s="323">
        <f>TVM!L98+KLM!L98+PTA!L98+ALP!L98+KTM!L98+IDK!L98+EKM!L98+TSR!L98+PKD!L98+MLPM!L98+KKD!L98+WYD!L98+KNR!L98+KSD!L98+SHS!L98</f>
        <v>0</v>
      </c>
      <c r="M98" s="323">
        <f>TVM!M98+KLM!M98+PTA!M98+ALP!M98+KTM!M98+IDK!M98+EKM!M98+TSR!M98+PKD!M98+MLPM!M98+KKD!M98+WYD!M98+KNR!M98+KSD!M98+SHS!M98</f>
        <v>0</v>
      </c>
      <c r="N98" s="323">
        <f>TVM!N98+KLM!N98+PTA!N98+ALP!N98+KTM!N98+IDK!N98+EKM!N98+TSR!N98+PKD!N98+MLPM!N98+KKD!N98+WYD!N98+KNR!N98+KSD!N98+SHS!N98</f>
        <v>0</v>
      </c>
      <c r="O98" s="323">
        <f>TVM!O98+KLM!O98+PTA!O98+ALP!O98+KTM!O98+IDK!O98+EKM!O98+TSR!O98+PKD!O98+MLPM!O98+KKD!O98+WYD!O98+KNR!O98+KSD!O98+SHS!O98</f>
        <v>0</v>
      </c>
      <c r="P98" s="330">
        <f>TVM!P98+KLM!P98+PTA!P98+ALP!P98+KTM!P98+IDK!P98+EKM!P98+TSR!P98+PKD!P98+MLPM!P98+KKD!P98+WYD!P98+KNR!P98+KSD!P98+SHS!P98</f>
        <v>0</v>
      </c>
      <c r="Q98" s="323">
        <f>TVM!Q98+KLM!Q98+PTA!Q98+ALP!Q98+KTM!Q98+IDK!Q98+EKM!Q98+TSR!Q98+PKD!Q98+MLPM!Q98+KKD!Q98+WYD!Q98+KNR!Q98+KSD!Q98+SHS!Q98</f>
        <v>0</v>
      </c>
      <c r="R98" s="323">
        <f>TVM!R98+KLM!R98+PTA!R98+ALP!R98+KTM!R98+IDK!R98+EKM!R98+TSR!R98+PKD!R98+MLPM!R98+KKD!R98+WYD!R98+KNR!R98+KSD!R98+SHS!R98</f>
        <v>0</v>
      </c>
      <c r="S98" s="323">
        <f>TVM!S98+KLM!S98+PTA!S98+ALP!S98+KTM!S98+IDK!S98+EKM!S98+TSR!S98+PKD!S98+MLPM!S98+KKD!S98+WYD!S98+KNR!S98+KSD!S98+SHS!S98</f>
        <v>0</v>
      </c>
      <c r="T98" s="324">
        <f t="shared" si="5"/>
        <v>0</v>
      </c>
      <c r="U98" s="324">
        <f>TVM!U98+KLM!U98+PTA!U98+ALP!U98+KTM!U98+IDK!U98+EKM!U98+TSR!U98+PKD!U98+MLPM!U98+KKD!U98+WYD!U98+KNR!U98+KSD!U98+SHS!U98</f>
        <v>0</v>
      </c>
      <c r="V98" s="37"/>
      <c r="W98" s="37"/>
      <c r="X98" s="332">
        <v>30</v>
      </c>
      <c r="Y98" s="328">
        <f t="shared" si="1"/>
        <v>-30</v>
      </c>
      <c r="Z98" s="314"/>
      <c r="AA98" s="314"/>
      <c r="AB98" s="314"/>
    </row>
    <row r="99" spans="1:28" ht="39.75" customHeight="1">
      <c r="A99" s="712"/>
      <c r="B99" s="712"/>
      <c r="C99" s="712"/>
      <c r="D99" s="320">
        <v>92</v>
      </c>
      <c r="E99" s="320" t="s">
        <v>193</v>
      </c>
      <c r="F99" s="323">
        <f>TVM!F99+KLM!F99+PTA!F99+ALP!F99+KTM!F99+IDK!F99+EKM!F99+TSR!F99+PKD!F99+MLPM!F99+KKD!F99+WYD!F99+KNR!F99+KSD!F99+SHS!F99</f>
        <v>0</v>
      </c>
      <c r="G99" s="323">
        <f>TVM!G99+KLM!G99+PTA!G99+ALP!G99+KTM!G99+IDK!G99+EKM!G99+TSR!G99+PKD!G99+MLPM!G99+KKD!G99+WYD!G99+KNR!G99+KSD!G99+SHS!G99</f>
        <v>0</v>
      </c>
      <c r="H99" s="323">
        <f>TVM!H99+KLM!H99+PTA!H99+ALP!H99+KTM!H99+IDK!H99+EKM!H99+TSR!H99+PKD!H99+MLPM!H99+KKD!H99+WYD!H99+KNR!H99+KSD!H99+SHS!H99</f>
        <v>0</v>
      </c>
      <c r="I99" s="323">
        <f>TVM!I99+KLM!I99+PTA!I99+ALP!I99+KTM!I99+IDK!I99+EKM!I99+TSR!I99+PKD!I99+MLPM!I99+KKD!I99+WYD!I99+KNR!I99+KSD!I99+SHS!I99</f>
        <v>0</v>
      </c>
      <c r="J99" s="323">
        <f>TVM!J99+KLM!J99+PTA!J99+ALP!J99+KTM!J99+IDK!J99+EKM!J99+TSR!J99+PKD!J99+MLPM!J99+KKD!J99+WYD!J99+KNR!J99+KSD!J99+SHS!J99</f>
        <v>0</v>
      </c>
      <c r="K99" s="323">
        <f>TVM!K99+KLM!K99+PTA!K99+ALP!K99+KTM!K99+IDK!K99+EKM!K99+TSR!K99+PKD!K99+MLPM!K99+KKD!K99+WYD!K99+KNR!K99+KSD!K99+SHS!K99</f>
        <v>0</v>
      </c>
      <c r="L99" s="323">
        <f>TVM!L99+KLM!L99+PTA!L99+ALP!L99+KTM!L99+IDK!L99+EKM!L99+TSR!L99+PKD!L99+MLPM!L99+KKD!L99+WYD!L99+KNR!L99+KSD!L99+SHS!L99</f>
        <v>0</v>
      </c>
      <c r="M99" s="323">
        <f>TVM!M99+KLM!M99+PTA!M99+ALP!M99+KTM!M99+IDK!M99+EKM!M99+TSR!M99+PKD!M99+MLPM!M99+KKD!M99+WYD!M99+KNR!M99+KSD!M99+SHS!M99</f>
        <v>0</v>
      </c>
      <c r="N99" s="323">
        <f>TVM!N99+KLM!N99+PTA!N99+ALP!N99+KTM!N99+IDK!N99+EKM!N99+TSR!N99+PKD!N99+MLPM!N99+KKD!N99+WYD!N99+KNR!N99+KSD!N99+SHS!N99</f>
        <v>0</v>
      </c>
      <c r="O99" s="323">
        <f>TVM!O99+KLM!O99+PTA!O99+ALP!O99+KTM!O99+IDK!O99+EKM!O99+TSR!O99+PKD!O99+MLPM!O99+KKD!O99+WYD!O99+KNR!O99+KSD!O99+SHS!O99</f>
        <v>0</v>
      </c>
      <c r="P99" s="330">
        <f>TVM!P99+KLM!P99+PTA!P99+ALP!P99+KTM!P99+IDK!P99+EKM!P99+TSR!P99+PKD!P99+MLPM!P99+KKD!P99+WYD!P99+KNR!P99+KSD!P99+SHS!P99</f>
        <v>51</v>
      </c>
      <c r="Q99" s="323">
        <f>TVM!Q99+KLM!Q99+PTA!Q99+ALP!Q99+KTM!Q99+IDK!Q99+EKM!Q99+TSR!Q99+PKD!Q99+MLPM!Q99+KKD!Q99+WYD!Q99+KNR!Q99+KSD!Q99+SHS!Q99</f>
        <v>0</v>
      </c>
      <c r="R99" s="323">
        <f>TVM!R99+KLM!R99+PTA!R99+ALP!R99+KTM!R99+IDK!R99+EKM!R99+TSR!R99+PKD!R99+MLPM!R99+KKD!R99+WYD!R99+KNR!R99+KSD!R99+SHS!R99</f>
        <v>0</v>
      </c>
      <c r="S99" s="323">
        <f>TVM!S99+KLM!S99+PTA!S99+ALP!S99+KTM!S99+IDK!S99+EKM!S99+TSR!S99+PKD!S99+MLPM!S99+KKD!S99+WYD!S99+KNR!S99+KSD!S99+SHS!S99</f>
        <v>0</v>
      </c>
      <c r="T99" s="324">
        <f t="shared" si="5"/>
        <v>51</v>
      </c>
      <c r="U99" s="324">
        <f>TVM!U99+KLM!U99+PTA!U99+ALP!U99+KTM!U99+IDK!U99+EKM!U99+TSR!U99+PKD!U99+MLPM!U99+KKD!U99+WYD!U99+KNR!U99+KSD!U99+SHS!U99</f>
        <v>51</v>
      </c>
      <c r="V99" s="401" t="s">
        <v>1433</v>
      </c>
      <c r="W99" s="401" t="s">
        <v>1433</v>
      </c>
      <c r="X99" s="332">
        <v>51</v>
      </c>
      <c r="Y99" s="328">
        <f t="shared" si="1"/>
        <v>0</v>
      </c>
      <c r="Z99" s="314"/>
      <c r="AA99" s="314"/>
      <c r="AB99" s="314"/>
    </row>
    <row r="100" spans="1:28" ht="39.75" customHeight="1">
      <c r="A100" s="712"/>
      <c r="B100" s="712"/>
      <c r="C100" s="712"/>
      <c r="D100" s="320">
        <v>93</v>
      </c>
      <c r="E100" s="320" t="s">
        <v>195</v>
      </c>
      <c r="F100" s="323">
        <f>TVM!F100+KLM!F100+PTA!F100+ALP!F100+KTM!F100+IDK!F100+EKM!F100+TSR!F100+PKD!F100+MLPM!F100+KKD!F100+WYD!F100+KNR!F100+KSD!F100+SHS!F100</f>
        <v>0</v>
      </c>
      <c r="G100" s="323">
        <f>TVM!G100+KLM!G100+PTA!G100+ALP!G100+KTM!G100+IDK!G100+EKM!G100+TSR!G100+PKD!G100+MLPM!G100+KKD!G100+WYD!G100+KNR!G100+KSD!G100+SHS!G100</f>
        <v>0</v>
      </c>
      <c r="H100" s="323">
        <f>TVM!H100+KLM!H100+PTA!H100+ALP!H100+KTM!H100+IDK!H100+EKM!H100+TSR!H100+PKD!H100+MLPM!H100+KKD!H100+WYD!H100+KNR!H100+KSD!H100+SHS!H100</f>
        <v>0</v>
      </c>
      <c r="I100" s="330">
        <f>TVM!I100+KLM!I100+PTA!I100+ALP!I100+KTM!I100+IDK!I100+EKM!I100+TSR!I100+PKD!I100+MLPM!I100+KKD!I100+WYD!I100+KNR!I100+KSD!I100+SHS!I100</f>
        <v>87.5</v>
      </c>
      <c r="J100" s="323">
        <f>TVM!J100+KLM!J100+PTA!J100+ALP!J100+KTM!J100+IDK!J100+EKM!J100+TSR!J100+PKD!J100+MLPM!J100+KKD!J100+WYD!J100+KNR!J100+KSD!J100+SHS!J100</f>
        <v>0</v>
      </c>
      <c r="K100" s="323">
        <f>TVM!K100+KLM!K100+PTA!K100+ALP!K100+KTM!K100+IDK!K100+EKM!K100+TSR!K100+PKD!K100+MLPM!K100+KKD!K100+WYD!K100+KNR!K100+KSD!K100+SHS!K100</f>
        <v>0</v>
      </c>
      <c r="L100" s="323">
        <f>TVM!L100+KLM!L100+PTA!L100+ALP!L100+KTM!L100+IDK!L100+EKM!L100+TSR!L100+PKD!L100+MLPM!L100+KKD!L100+WYD!L100+KNR!L100+KSD!L100+SHS!L100</f>
        <v>0</v>
      </c>
      <c r="M100" s="323">
        <f>TVM!M100+KLM!M100+PTA!M100+ALP!M100+KTM!M100+IDK!M100+EKM!M100+TSR!M100+PKD!M100+MLPM!M100+KKD!M100+WYD!M100+KNR!M100+KSD!M100+SHS!M100</f>
        <v>0</v>
      </c>
      <c r="N100" s="323">
        <f>TVM!N100+KLM!N100+PTA!N100+ALP!N100+KTM!N100+IDK!N100+EKM!N100+TSR!N100+PKD!N100+MLPM!N100+KKD!N100+WYD!N100+KNR!N100+KSD!N100+SHS!N100</f>
        <v>0</v>
      </c>
      <c r="O100" s="323">
        <f>TVM!O100+KLM!O100+PTA!O100+ALP!O100+KTM!O100+IDK!O100+EKM!O100+TSR!O100+PKD!O100+MLPM!O100+KKD!O100+WYD!O100+KNR!O100+KSD!O100+SHS!O100</f>
        <v>0</v>
      </c>
      <c r="P100" s="323">
        <f>TVM!P100+KLM!P100+PTA!P100+ALP!P100+KTM!P100+IDK!P100+EKM!P100+TSR!P100+PKD!P100+MLPM!P100+KKD!P100+WYD!P100+KNR!P100+KSD!P100+SHS!P100</f>
        <v>0</v>
      </c>
      <c r="Q100" s="323">
        <f>TVM!Q100+KLM!Q100+PTA!Q100+ALP!Q100+KTM!Q100+IDK!Q100+EKM!Q100+TSR!Q100+PKD!Q100+MLPM!Q100+KKD!Q100+WYD!Q100+KNR!Q100+KSD!Q100+SHS!Q100</f>
        <v>0</v>
      </c>
      <c r="R100" s="323">
        <f>TVM!R100+KLM!R100+PTA!R100+ALP!R100+KTM!R100+IDK!R100+EKM!R100+TSR!R100+PKD!R100+MLPM!R100+KKD!R100+WYD!R100+KNR!R100+KSD!R100+SHS!R100</f>
        <v>0</v>
      </c>
      <c r="S100" s="323">
        <f>TVM!S100+KLM!S100+PTA!S100+ALP!S100+KTM!S100+IDK!S100+EKM!S100+TSR!S100+PKD!S100+MLPM!S100+KKD!S100+WYD!S100+KNR!S100+KSD!S100+SHS!S100</f>
        <v>0</v>
      </c>
      <c r="T100" s="324">
        <f t="shared" si="5"/>
        <v>87.5</v>
      </c>
      <c r="U100" s="324">
        <f>TVM!U100+KLM!U100+PTA!U100+ALP!U100+KTM!U100+IDK!U100+EKM!U100+TSR!U100+PKD!U100+MLPM!U100+KKD!U100+WYD!U100+KNR!U100+KSD!U100+SHS!U100</f>
        <v>87.5</v>
      </c>
      <c r="V100" s="220" t="s">
        <v>1210</v>
      </c>
      <c r="W100" s="220" t="s">
        <v>1210</v>
      </c>
      <c r="X100" s="332">
        <v>87.5</v>
      </c>
      <c r="Y100" s="328">
        <f t="shared" si="1"/>
        <v>0</v>
      </c>
      <c r="Z100" s="314"/>
      <c r="AA100" s="314"/>
      <c r="AB100" s="314"/>
    </row>
    <row r="101" spans="1:28" ht="39.75" customHeight="1">
      <c r="A101" s="712"/>
      <c r="B101" s="712"/>
      <c r="C101" s="712"/>
      <c r="D101" s="320">
        <v>94</v>
      </c>
      <c r="E101" s="320" t="s">
        <v>196</v>
      </c>
      <c r="F101" s="323">
        <f>TVM!F101+KLM!F101+PTA!F101+ALP!F101+KTM!F101+IDK!F101+EKM!F101+TSR!F101+PKD!F101+MLPM!F101+KKD!F101+WYD!F101+KNR!F101+KSD!F101+SHS!F101</f>
        <v>0</v>
      </c>
      <c r="G101" s="323">
        <f>TVM!G101+KLM!G101+PTA!G101+ALP!G101+KTM!G101+IDK!G101+EKM!G101+TSR!G101+PKD!G101+MLPM!G101+KKD!G101+WYD!G101+KNR!G101+KSD!G101+SHS!G101</f>
        <v>0</v>
      </c>
      <c r="H101" s="323">
        <f>TVM!H101+KLM!H101+PTA!H101+ALP!H101+KTM!H101+IDK!H101+EKM!H101+TSR!H101+PKD!H101+MLPM!H101+KKD!H101+WYD!H101+KNR!H101+KSD!H101+SHS!H101</f>
        <v>0</v>
      </c>
      <c r="I101" s="330">
        <f>TVM!I101+KLM!I101+PTA!I101+ALP!I101+KTM!I101+IDK!I101+EKM!I101+TSR!I101+PKD!I101+MLPM!I101+KKD!I101+WYD!I101+KNR!I101+KSD!I101+SHS!I101</f>
        <v>87.5</v>
      </c>
      <c r="J101" s="323">
        <f>TVM!J101+KLM!J101+PTA!J101+ALP!J101+KTM!J101+IDK!J101+EKM!J101+TSR!J101+PKD!J101+MLPM!J101+KKD!J101+WYD!J101+KNR!J101+KSD!J101+SHS!J101</f>
        <v>0</v>
      </c>
      <c r="K101" s="323">
        <f>TVM!K101+KLM!K101+PTA!K101+ALP!K101+KTM!K101+IDK!K101+EKM!K101+TSR!K101+PKD!K101+MLPM!K101+KKD!K101+WYD!K101+KNR!K101+KSD!K101+SHS!K101</f>
        <v>0</v>
      </c>
      <c r="L101" s="323">
        <f>TVM!L101+KLM!L101+PTA!L101+ALP!L101+KTM!L101+IDK!L101+EKM!L101+TSR!L101+PKD!L101+MLPM!L101+KKD!L101+WYD!L101+KNR!L101+KSD!L101+SHS!L101</f>
        <v>0</v>
      </c>
      <c r="M101" s="323">
        <f>TVM!M101+KLM!M101+PTA!M101+ALP!M101+KTM!M101+IDK!M101+EKM!M101+TSR!M101+PKD!M101+MLPM!M101+KKD!M101+WYD!M101+KNR!M101+KSD!M101+SHS!M101</f>
        <v>0</v>
      </c>
      <c r="N101" s="323">
        <f>TVM!N101+KLM!N101+PTA!N101+ALP!N101+KTM!N101+IDK!N101+EKM!N101+TSR!N101+PKD!N101+MLPM!N101+KKD!N101+WYD!N101+KNR!N101+KSD!N101+SHS!N101</f>
        <v>0</v>
      </c>
      <c r="O101" s="323">
        <f>TVM!O101+KLM!O101+PTA!O101+ALP!O101+KTM!O101+IDK!O101+EKM!O101+TSR!O101+PKD!O101+MLPM!O101+KKD!O101+WYD!O101+KNR!O101+KSD!O101+SHS!O101</f>
        <v>0</v>
      </c>
      <c r="P101" s="323">
        <f>TVM!P101+KLM!P101+PTA!P101+ALP!P101+KTM!P101+IDK!P101+EKM!P101+TSR!P101+PKD!P101+MLPM!P101+KKD!P101+WYD!P101+KNR!P101+KSD!P101+SHS!P101</f>
        <v>0</v>
      </c>
      <c r="Q101" s="323">
        <f>TVM!Q101+KLM!Q101+PTA!Q101+ALP!Q101+KTM!Q101+IDK!Q101+EKM!Q101+TSR!Q101+PKD!Q101+MLPM!Q101+KKD!Q101+WYD!Q101+KNR!Q101+KSD!Q101+SHS!Q101</f>
        <v>0</v>
      </c>
      <c r="R101" s="323">
        <f>TVM!R101+KLM!R101+PTA!R101+ALP!R101+KTM!R101+IDK!R101+EKM!R101+TSR!R101+PKD!R101+MLPM!R101+KKD!R101+WYD!R101+KNR!R101+KSD!R101+SHS!R101</f>
        <v>0</v>
      </c>
      <c r="S101" s="323">
        <f>TVM!S101+KLM!S101+PTA!S101+ALP!S101+KTM!S101+IDK!S101+EKM!S101+TSR!S101+PKD!S101+MLPM!S101+KKD!S101+WYD!S101+KNR!S101+KSD!S101+SHS!S101</f>
        <v>0</v>
      </c>
      <c r="T101" s="324">
        <f t="shared" si="5"/>
        <v>87.5</v>
      </c>
      <c r="U101" s="324">
        <f>TVM!U101+KLM!U101+PTA!U101+ALP!U101+KTM!U101+IDK!U101+EKM!U101+TSR!U101+PKD!U101+MLPM!U101+KKD!U101+WYD!U101+KNR!U101+KSD!U101+SHS!U101</f>
        <v>87.5</v>
      </c>
      <c r="V101" s="220" t="s">
        <v>1210</v>
      </c>
      <c r="W101" s="220" t="s">
        <v>1210</v>
      </c>
      <c r="X101" s="332">
        <v>87.5</v>
      </c>
      <c r="Y101" s="328">
        <f t="shared" si="1"/>
        <v>0</v>
      </c>
      <c r="Z101" s="314"/>
      <c r="AA101" s="314"/>
      <c r="AB101" s="314"/>
    </row>
    <row r="102" spans="1:28" ht="150">
      <c r="A102" s="712"/>
      <c r="B102" s="712"/>
      <c r="C102" s="712"/>
      <c r="D102" s="320">
        <v>95</v>
      </c>
      <c r="E102" s="320" t="s">
        <v>197</v>
      </c>
      <c r="F102" s="323">
        <f>TVM!F102+KLM!F102+PTA!F102+ALP!F102+KTM!F102+IDK!F102+EKM!F102+TSR!F102+PKD!F102+MLPM!F102+KKD!F102+WYD!F102+KNR!F102+KSD!F102+SHS!F102</f>
        <v>0</v>
      </c>
      <c r="G102" s="323">
        <f>TVM!G102+KLM!G102+PTA!G102+ALP!G102+KTM!G102+IDK!G102+EKM!G102+TSR!G102+PKD!G102+MLPM!G102+KKD!G102+WYD!G102+KNR!G102+KSD!G102+SHS!G102</f>
        <v>0</v>
      </c>
      <c r="H102" s="330">
        <f>TVM!H102+KLM!H102+PTA!H102+ALP!H102+KTM!H102+IDK!H102+EKM!H102+TSR!H102+PKD!H102+MLPM!H102+KKD!H102+WYD!H102+KNR!H102+KSD!H102+SHS!H102</f>
        <v>200</v>
      </c>
      <c r="I102" s="329">
        <f>TVM!I102+KLM!I102+PTA!I102+ALP!I102+KTM!I102+IDK!I102+EKM!I102+TSR!I102+PKD!I102+MLPM!I102+KKD!I102+WYD!I102+KNR!I102+KSD!I102+SHS!I102</f>
        <v>640</v>
      </c>
      <c r="J102" s="323">
        <f>TVM!J102+KLM!J102+PTA!J102+ALP!J102+KTM!J102+IDK!J102+EKM!J102+TSR!J102+PKD!J102+MLPM!J102+KKD!J102+WYD!J102+KNR!J102+KSD!J102+SHS!J102</f>
        <v>0</v>
      </c>
      <c r="K102" s="323">
        <f>TVM!K102+KLM!K102+PTA!K102+ALP!K102+KTM!K102+IDK!K102+EKM!K102+TSR!K102+PKD!K102+MLPM!K102+KKD!K102+WYD!K102+KNR!K102+KSD!K102+SHS!K102</f>
        <v>0</v>
      </c>
      <c r="L102" s="323">
        <f>TVM!L102+KLM!L102+PTA!L102+ALP!L102+KTM!L102+IDK!L102+EKM!L102+TSR!L102+PKD!L102+MLPM!L102+KKD!L102+WYD!L102+KNR!L102+KSD!L102+SHS!L102</f>
        <v>0</v>
      </c>
      <c r="M102" s="323">
        <f>TVM!M102+KLM!M102+PTA!M102+ALP!M102+KTM!M102+IDK!M102+EKM!M102+TSR!M102+PKD!M102+MLPM!M102+KKD!M102+WYD!M102+KNR!M102+KSD!M102+SHS!M102</f>
        <v>0</v>
      </c>
      <c r="N102" s="323">
        <f>TVM!N102+KLM!N102+PTA!N102+ALP!N102+KTM!N102+IDK!N102+EKM!N102+TSR!N102+PKD!N102+MLPM!N102+KKD!N102+WYD!N102+KNR!N102+KSD!N102+SHS!N102</f>
        <v>0</v>
      </c>
      <c r="O102" s="323">
        <f>TVM!O102+KLM!O102+PTA!O102+ALP!O102+KTM!O102+IDK!O102+EKM!O102+TSR!O102+PKD!O102+MLPM!O102+KKD!O102+WYD!O102+KNR!O102+KSD!O102+SHS!O102</f>
        <v>0</v>
      </c>
      <c r="P102" s="323">
        <f>TVM!P102+KLM!P102+PTA!P102+ALP!P102+KTM!P102+IDK!P102+EKM!P102+TSR!P102+PKD!P102+MLPM!P102+KKD!P102+WYD!P102+KNR!P102+KSD!P102+SHS!P102</f>
        <v>0</v>
      </c>
      <c r="Q102" s="323">
        <f>TVM!Q102+KLM!Q102+PTA!Q102+ALP!Q102+KTM!Q102+IDK!Q102+EKM!Q102+TSR!Q102+PKD!Q102+MLPM!Q102+KKD!Q102+WYD!Q102+KNR!Q102+KSD!Q102+SHS!Q102</f>
        <v>0</v>
      </c>
      <c r="R102" s="323">
        <f>TVM!R102+KLM!R102+PTA!R102+ALP!R102+KTM!R102+IDK!R102+EKM!R102+TSR!R102+PKD!R102+MLPM!R102+KKD!R102+WYD!R102+KNR!R102+KSD!R102+SHS!R102</f>
        <v>0</v>
      </c>
      <c r="S102" s="323">
        <f>TVM!S102+KLM!S102+PTA!S102+ALP!S102+KTM!S102+IDK!S102+EKM!S102+TSR!S102+PKD!S102+MLPM!S102+KKD!S102+WYD!S102+KNR!S102+KSD!S102+SHS!S102</f>
        <v>0</v>
      </c>
      <c r="T102" s="324">
        <f t="shared" si="5"/>
        <v>840</v>
      </c>
      <c r="U102" s="324">
        <f>TVM!U102+KLM!U102+PTA!U102+ALP!U102+KTM!U102+IDK!U102+EKM!U102+TSR!U102+PKD!U102+MLPM!U102+KKD!U102+WYD!U102+KNR!U102+KSD!U102+SHS!U102</f>
        <v>540</v>
      </c>
      <c r="V102" s="32" t="s">
        <v>1434</v>
      </c>
      <c r="W102" s="32" t="s">
        <v>1435</v>
      </c>
      <c r="X102" s="332">
        <v>1518.46</v>
      </c>
      <c r="Y102" s="328">
        <f t="shared" si="1"/>
        <v>-678.46</v>
      </c>
      <c r="Z102" s="314"/>
      <c r="AA102" s="314"/>
      <c r="AB102" s="314"/>
    </row>
    <row r="103" spans="1:28" ht="165">
      <c r="A103" s="712"/>
      <c r="B103" s="707"/>
      <c r="C103" s="707"/>
      <c r="D103" s="320">
        <v>96</v>
      </c>
      <c r="E103" s="320" t="s">
        <v>199</v>
      </c>
      <c r="F103" s="323">
        <f>TVM!F103+KLM!F103+PTA!F103+ALP!F103+KTM!F103+IDK!F103+EKM!F103+TSR!F103+PKD!F103+MLPM!F103+KKD!F103+WYD!F103+KNR!F103+KSD!F103+SHS!F103</f>
        <v>0</v>
      </c>
      <c r="G103" s="323">
        <f>TVM!G103+KLM!G103+PTA!G103+ALP!G103+KTM!G103+IDK!G103+EKM!G103+TSR!G103+PKD!G103+MLPM!G103+KKD!G103+WYD!G103+KNR!G103+KSD!G103+SHS!G103</f>
        <v>0</v>
      </c>
      <c r="H103" s="323">
        <f>TVM!H103+KLM!H103+PTA!H103+ALP!H103+KTM!H103+IDK!H103+EKM!H103+TSR!H103+PKD!H103+MLPM!H103+KKD!H103+WYD!H103+KNR!H103+KSD!H103+SHS!H103</f>
        <v>0</v>
      </c>
      <c r="I103" s="323">
        <f>TVM!I103+KLM!I103+PTA!I103+ALP!I103+KTM!I103+IDK!I103+EKM!I103+TSR!I103+PKD!I103+MLPM!I103+KKD!I103+WYD!I103+KNR!I103+KSD!I103+SHS!I103</f>
        <v>0</v>
      </c>
      <c r="J103" s="323">
        <f>TVM!J103+KLM!J103+PTA!J103+ALP!J103+KTM!J103+IDK!J103+EKM!J103+TSR!J103+PKD!J103+MLPM!J103+KKD!J103+WYD!J103+KNR!J103+KSD!J103+SHS!J103</f>
        <v>0</v>
      </c>
      <c r="K103" s="323">
        <f>TVM!K103+KLM!K103+PTA!K103+ALP!K103+KTM!K103+IDK!K103+EKM!K103+TSR!K103+PKD!K103+MLPM!K103+KKD!K103+WYD!K103+KNR!K103+KSD!K103+SHS!K103</f>
        <v>0</v>
      </c>
      <c r="L103" s="323">
        <f>TVM!L103+KLM!L103+PTA!L103+ALP!L103+KTM!L103+IDK!L103+EKM!L103+TSR!L103+PKD!L103+MLPM!L103+KKD!L103+WYD!L103+KNR!L103+KSD!L103+SHS!L103</f>
        <v>0</v>
      </c>
      <c r="M103" s="323">
        <f>TVM!M103+KLM!M103+PTA!M103+ALP!M103+KTM!M103+IDK!M103+EKM!M103+TSR!M103+PKD!M103+MLPM!M103+KKD!M103+WYD!M103+KNR!M103+KSD!M103+SHS!M103</f>
        <v>0</v>
      </c>
      <c r="N103" s="329">
        <f>TVM!N103+KLM!N103+PTA!N103+ALP!N103+KTM!N103+IDK!N103+EKM!N103+TSR!N103+PKD!N103+MLPM!N103+KKD!N103+WYD!N103+KNR!N103+KSD!N103+SHS!N103</f>
        <v>2</v>
      </c>
      <c r="O103" s="323">
        <f>TVM!O103+KLM!O103+PTA!O103+ALP!O103+KTM!O103+IDK!O103+EKM!O103+TSR!O103+PKD!O103+MLPM!O103+KKD!O103+WYD!O103+KNR!O103+KSD!O103+SHS!O103</f>
        <v>0</v>
      </c>
      <c r="P103" s="323">
        <f>TVM!P103+KLM!P103+PTA!P103+ALP!P103+KTM!P103+IDK!P103+EKM!P103+TSR!P103+PKD!P103+MLPM!P103+KKD!P103+WYD!P103+KNR!P103+KSD!P103+SHS!P103</f>
        <v>30</v>
      </c>
      <c r="Q103" s="329">
        <f>TVM!Q103+KLM!Q103+PTA!Q103+ALP!Q103+KTM!Q103+IDK!Q103+EKM!Q103+TSR!Q103+PKD!Q103+MLPM!Q103+KKD!Q103+WYD!Q103+KNR!Q103+KSD!Q103+SHS!Q103</f>
        <v>20</v>
      </c>
      <c r="R103" s="330">
        <f>TVM!R103+KLM!R103+PTA!R103+ALP!R103+KTM!R103+IDK!R103+EKM!R103+TSR!R103+PKD!R103+MLPM!R103+KKD!R103+WYD!R103+KNR!R103+KSD!R103+SHS!R103</f>
        <v>20</v>
      </c>
      <c r="S103" s="323">
        <f>TVM!S103+KLM!S103+PTA!S103+ALP!S103+KTM!S103+IDK!S103+EKM!S103+TSR!S103+PKD!S103+MLPM!S103+KKD!S103+WYD!S103+KNR!S103+KSD!S103+SHS!S103</f>
        <v>0</v>
      </c>
      <c r="T103" s="324">
        <f t="shared" si="5"/>
        <v>72</v>
      </c>
      <c r="U103" s="324">
        <f>TVM!U103+KLM!U103+PTA!U103+ALP!U103+KTM!U103+IDK!U103+EKM!U103+TSR!U103+PKD!U103+MLPM!U103+KKD!U103+WYD!U103+KNR!U103+KSD!U103+SHS!U103</f>
        <v>72</v>
      </c>
      <c r="V103" s="32" t="s">
        <v>1436</v>
      </c>
      <c r="W103" s="32" t="s">
        <v>1436</v>
      </c>
      <c r="X103" s="332">
        <v>42</v>
      </c>
      <c r="Y103" s="328">
        <f t="shared" si="1"/>
        <v>30</v>
      </c>
      <c r="Z103" s="314"/>
      <c r="AA103" s="314"/>
      <c r="AB103" s="314"/>
    </row>
    <row r="104" spans="1:28" ht="321" customHeight="1">
      <c r="A104" s="712"/>
      <c r="B104" s="718" t="s">
        <v>201</v>
      </c>
      <c r="C104" s="718" t="s">
        <v>202</v>
      </c>
      <c r="D104" s="320">
        <v>97</v>
      </c>
      <c r="E104" s="320" t="s">
        <v>203</v>
      </c>
      <c r="F104" s="323">
        <f>TVM!F104+KLM!F104+PTA!F104+ALP!F104+KTM!F104+IDK!F104+EKM!F104+TSR!F104+PKD!F104+MLPM!F104+KKD!F104+WYD!F104+KNR!F104+KSD!F104+SHS!F104</f>
        <v>0</v>
      </c>
      <c r="G104" s="323">
        <f>TVM!G104+KLM!G104+PTA!G104+ALP!G104+KTM!G104+IDK!G104+EKM!G104+TSR!G104+PKD!G104+MLPM!G104+KKD!G104+WYD!G104+KNR!G104+KSD!G104+SHS!G104</f>
        <v>0</v>
      </c>
      <c r="H104" s="323">
        <f>TVM!H104+KLM!H104+PTA!H104+ALP!H104+KTM!H104+IDK!H104+EKM!H104+TSR!H104+PKD!H104+MLPM!H104+KKD!H104+WYD!H104+KNR!H104+KSD!H104+SHS!H104</f>
        <v>0</v>
      </c>
      <c r="I104" s="329">
        <f>TVM!I104+KLM!I104+PTA!I104+ALP!I104+KTM!I104+IDK!I104+EKM!I104+TSR!I104+PKD!I104+MLPM!I104+KKD!I104+WYD!I104+KNR!I104+KSD!I104+SHS!I104</f>
        <v>14</v>
      </c>
      <c r="J104" s="323">
        <f>TVM!J104+KLM!J104+PTA!J104+ALP!J104+KTM!J104+IDK!J104+EKM!J104+TSR!J104+PKD!J104+MLPM!J104+KKD!J104+WYD!J104+KNR!J104+KSD!J104+SHS!J104</f>
        <v>0</v>
      </c>
      <c r="K104" s="329">
        <f>TVM!K104+KLM!K104+PTA!K104+ALP!K104+KTM!K104+IDK!K104+EKM!K104+TSR!K104+PKD!K104+MLPM!K104+KKD!K104+WYD!K104+KNR!K104+KSD!K104+SHS!K104</f>
        <v>140</v>
      </c>
      <c r="L104" s="323">
        <f>TVM!L104+KLM!L104+PTA!L104+ALP!L104+KTM!L104+IDK!L104+EKM!L104+TSR!L104+PKD!L104+MLPM!L104+KKD!L104+WYD!L104+KNR!L104+KSD!L104+SHS!L104</f>
        <v>0</v>
      </c>
      <c r="M104" s="329">
        <f>TVM!M104+KLM!M104+PTA!M104+ALP!M104+KTM!M104+IDK!M104+EKM!M104+TSR!M104+PKD!M104+MLPM!M104+KKD!M104+WYD!M104+KNR!M104+KSD!M104+SHS!M104</f>
        <v>0</v>
      </c>
      <c r="N104" s="329">
        <f>TVM!N104+KLM!N104+PTA!N104+ALP!N104+KTM!N104+IDK!N104+EKM!N104+TSR!N104+PKD!N104+MLPM!N104+KKD!N104+WYD!N104+KNR!N104+KSD!N104+SHS!N104</f>
        <v>56</v>
      </c>
      <c r="O104" s="323">
        <f>TVM!O104+KLM!O104+PTA!O104+ALP!O104+KTM!O104+IDK!O104+EKM!O104+TSR!O104+PKD!O104+MLPM!O104+KKD!O104+WYD!O104+KNR!O104+KSD!O104+SHS!O104</f>
        <v>52.000000000000007</v>
      </c>
      <c r="P104" s="330">
        <f>TVM!P104+KLM!P104+PTA!P104+ALP!P104+KTM!P104+IDK!P104+EKM!P104+TSR!P104+PKD!P104+MLPM!P104+KKD!P104+WYD!P104+KNR!P104+KSD!P104+SHS!P104</f>
        <v>194.39999999999995</v>
      </c>
      <c r="Q104" s="329">
        <f>TVM!Q104+KLM!Q104+PTA!Q104+ALP!Q104+KTM!Q104+IDK!Q104+EKM!Q104+TSR!Q104+PKD!Q104+MLPM!Q104+KKD!Q104+WYD!Q104+KNR!Q104+KSD!Q104+SHS!Q104</f>
        <v>42</v>
      </c>
      <c r="R104" s="330">
        <f>TVM!R104+KLM!R104+PTA!R104+ALP!R104+KTM!R104+IDK!R104+EKM!R104+TSR!R104+PKD!R104+MLPM!R104+KKD!R104+WYD!R104+KNR!R104+KSD!R104+SHS!R104</f>
        <v>186</v>
      </c>
      <c r="S104" s="323">
        <f>TVM!S104+KLM!S104+PTA!S104+ALP!S104+KTM!S104+IDK!S104+EKM!S104+TSR!S104+PKD!S104+MLPM!S104+KKD!S104+WYD!S104+KNR!S104+KSD!S104+SHS!S104</f>
        <v>0</v>
      </c>
      <c r="T104" s="402">
        <f t="shared" si="5"/>
        <v>684.4</v>
      </c>
      <c r="U104" s="402">
        <f>TVM!U104+KLM!U104+PTA!U104+ALP!U104+KTM!U104+IDK!U104+EKM!U104+TSR!U104+PKD!U104+MLPM!U104+KKD!U104+WYD!U104+KNR!U104+KSD!U104+SHS!U104</f>
        <v>684.39999999999986</v>
      </c>
      <c r="V104" s="403" t="s">
        <v>1437</v>
      </c>
      <c r="W104" s="404" t="s">
        <v>1438</v>
      </c>
      <c r="X104" s="405">
        <v>847.4</v>
      </c>
      <c r="Y104" s="328">
        <f t="shared" si="1"/>
        <v>-163</v>
      </c>
      <c r="Z104" s="314"/>
      <c r="AA104" s="314"/>
      <c r="AB104" s="314"/>
    </row>
    <row r="105" spans="1:28" ht="39.75" customHeight="1">
      <c r="A105" s="712"/>
      <c r="B105" s="707"/>
      <c r="C105" s="707"/>
      <c r="D105" s="320">
        <v>98</v>
      </c>
      <c r="E105" s="320" t="s">
        <v>53</v>
      </c>
      <c r="F105" s="323">
        <f>TVM!F105+KLM!F105+PTA!F105+ALP!F105+KTM!F105+IDK!F105+EKM!F105+TSR!F105+PKD!F105+MLPM!F105+KKD!F105+WYD!F105+KNR!F105+KSD!F105+SHS!F105</f>
        <v>0</v>
      </c>
      <c r="G105" s="323">
        <f>TVM!G105+KLM!G105+PTA!G105+ALP!G105+KTM!G105+IDK!G105+EKM!G105+TSR!G105+PKD!G105+MLPM!G105+KKD!G105+WYD!G105+KNR!G105+KSD!G105+SHS!G105</f>
        <v>0</v>
      </c>
      <c r="H105" s="323">
        <f>TVM!H105+KLM!H105+PTA!H105+ALP!H105+KTM!H105+IDK!H105+EKM!H105+TSR!H105+PKD!H105+MLPM!H105+KKD!H105+WYD!H105+KNR!H105+KSD!H105+SHS!H105</f>
        <v>0</v>
      </c>
      <c r="I105" s="323">
        <f>TVM!I105+KLM!I105+PTA!I105+ALP!I105+KTM!I105+IDK!I105+EKM!I105+TSR!I105+PKD!I105+MLPM!I105+KKD!I105+WYD!I105+KNR!I105+KSD!I105+SHS!I105</f>
        <v>0</v>
      </c>
      <c r="J105" s="323">
        <f>TVM!J105+KLM!J105+PTA!J105+ALP!J105+KTM!J105+IDK!J105+EKM!J105+TSR!J105+PKD!J105+MLPM!J105+KKD!J105+WYD!J105+KNR!J105+KSD!J105+SHS!J105</f>
        <v>0</v>
      </c>
      <c r="K105" s="323">
        <f>TVM!K105+KLM!K105+PTA!K105+ALP!K105+KTM!K105+IDK!K105+EKM!K105+TSR!K105+PKD!K105+MLPM!K105+KKD!K105+WYD!K105+KNR!K105+KSD!K105+SHS!K105</f>
        <v>0</v>
      </c>
      <c r="L105" s="323">
        <f>TVM!L105+KLM!L105+PTA!L105+ALP!L105+KTM!L105+IDK!L105+EKM!L105+TSR!L105+PKD!L105+MLPM!L105+KKD!L105+WYD!L105+KNR!L105+KSD!L105+SHS!L105</f>
        <v>0</v>
      </c>
      <c r="M105" s="323">
        <f>TVM!M105+KLM!M105+PTA!M105+ALP!M105+KTM!M105+IDK!M105+EKM!M105+TSR!M105+PKD!M105+MLPM!M105+KKD!M105+WYD!M105+KNR!M105+KSD!M105+SHS!M105</f>
        <v>0</v>
      </c>
      <c r="N105" s="329">
        <f>TVM!N105+KLM!N105+PTA!N105+ALP!N105+KTM!N105+IDK!N105+EKM!N105+TSR!N105+PKD!N105+MLPM!N105+KKD!N105+WYD!N105+KNR!N105+KSD!N105+SHS!N105</f>
        <v>0</v>
      </c>
      <c r="O105" s="323">
        <f>TVM!O105+KLM!O105+PTA!O105+ALP!O105+KTM!O105+IDK!O105+EKM!O105+TSR!O105+PKD!O105+MLPM!O105+KKD!O105+WYD!O105+KNR!O105+KSD!O105+SHS!O105</f>
        <v>0</v>
      </c>
      <c r="P105" s="323">
        <f>TVM!P105+KLM!P105+PTA!P105+ALP!P105+KTM!P105+IDK!P105+EKM!P105+TSR!P105+PKD!P105+MLPM!P105+KKD!P105+WYD!P105+KNR!P105+KSD!P105+SHS!P105</f>
        <v>0</v>
      </c>
      <c r="Q105" s="329">
        <f>TVM!Q105+KLM!Q105+PTA!Q105+ALP!Q105+KTM!Q105+IDK!Q105+EKM!Q105+TSR!Q105+PKD!Q105+MLPM!Q105+KKD!Q105+WYD!Q105+KNR!Q105+KSD!Q105+SHS!Q105</f>
        <v>0</v>
      </c>
      <c r="R105" s="323">
        <f>TVM!R105+KLM!R105+PTA!R105+ALP!R105+KTM!R105+IDK!R105+EKM!R105+TSR!R105+PKD!R105+MLPM!R105+KKD!R105+WYD!R105+KNR!R105+KSD!R105+SHS!R105</f>
        <v>0</v>
      </c>
      <c r="S105" s="323">
        <f>TVM!S105+KLM!S105+PTA!S105+ALP!S105+KTM!S105+IDK!S105+EKM!S105+TSR!S105+PKD!S105+MLPM!S105+KKD!S105+WYD!S105+KNR!S105+KSD!S105+SHS!S105</f>
        <v>0</v>
      </c>
      <c r="T105" s="324">
        <f t="shared" si="5"/>
        <v>0</v>
      </c>
      <c r="U105" s="324">
        <f>TVM!U105+KLM!U105+PTA!U105+ALP!U105+KTM!U105+IDK!U105+EKM!U105+TSR!U105+PKD!U105+MLPM!U105+KKD!U105+WYD!U105+KNR!U105+KSD!U105+SHS!U105</f>
        <v>0</v>
      </c>
      <c r="V105" s="406"/>
      <c r="W105" s="407"/>
      <c r="X105" s="405">
        <v>0</v>
      </c>
      <c r="Y105" s="328">
        <f t="shared" si="1"/>
        <v>0</v>
      </c>
      <c r="Z105" s="314"/>
      <c r="AA105" s="314"/>
      <c r="AB105" s="314"/>
    </row>
    <row r="106" spans="1:28" ht="204" customHeight="1">
      <c r="A106" s="712"/>
      <c r="B106" s="718" t="s">
        <v>205</v>
      </c>
      <c r="C106" s="718" t="s">
        <v>206</v>
      </c>
      <c r="D106" s="320">
        <v>99</v>
      </c>
      <c r="E106" s="320" t="s">
        <v>207</v>
      </c>
      <c r="F106" s="323">
        <f>TVM!F106+KLM!F106+PTA!F106+ALP!F106+KTM!F106+IDK!F106+EKM!F106+TSR!F106+PKD!F106+MLPM!F106+KKD!F106+WYD!F106+KNR!F106+KSD!F106+SHS!F106</f>
        <v>0</v>
      </c>
      <c r="G106" s="323">
        <f>TVM!G106+KLM!G106+PTA!G106+ALP!G106+KTM!G106+IDK!G106+EKM!G106+TSR!G106+PKD!G106+MLPM!G106+KKD!G106+WYD!G106+KNR!G106+KSD!G106+SHS!G106</f>
        <v>0</v>
      </c>
      <c r="H106" s="330">
        <f>TVM!H106+KLM!H106+PTA!H106+ALP!H106+KTM!H106+IDK!H106+EKM!H106+TSR!H106+PKD!H106+MLPM!H106+KKD!H106+WYD!H106+KNR!H106+KSD!H106+SHS!H106</f>
        <v>40</v>
      </c>
      <c r="I106" s="329">
        <f>TVM!I106+KLM!I106+PTA!I106+ALP!I106+KTM!I106+IDK!I106+EKM!I106+TSR!I106+PKD!I106+MLPM!I106+KKD!I106+WYD!I106+KNR!I106+KSD!I106+SHS!I106</f>
        <v>42</v>
      </c>
      <c r="J106" s="323">
        <f>TVM!J106+KLM!J106+PTA!J106+ALP!J106+KTM!J106+IDK!J106+EKM!J106+TSR!J106+PKD!J106+MLPM!J106+KKD!J106+WYD!J106+KNR!J106+KSD!J106+SHS!J106</f>
        <v>0</v>
      </c>
      <c r="K106" s="329">
        <f>TVM!K106+KLM!K106+PTA!K106+ALP!K106+KTM!K106+IDK!K106+EKM!K106+TSR!K106+PKD!K106+MLPM!K106+KKD!K106+WYD!K106+KNR!K106+KSD!K106+SHS!K106</f>
        <v>140</v>
      </c>
      <c r="L106" s="323">
        <f>TVM!L106+KLM!L106+PTA!L106+ALP!L106+KTM!L106+IDK!L106+EKM!L106+TSR!L106+PKD!L106+MLPM!L106+KKD!L106+WYD!L106+KNR!L106+KSD!L106+SHS!L106</f>
        <v>0</v>
      </c>
      <c r="M106" s="323">
        <f>TVM!M106+KLM!M106+PTA!M106+ALP!M106+KTM!M106+IDK!M106+EKM!M106+TSR!M106+PKD!M106+MLPM!M106+KKD!M106+WYD!M106+KNR!M106+KSD!M106+SHS!M106</f>
        <v>0</v>
      </c>
      <c r="N106" s="329">
        <f>TVM!N106+KLM!N106+PTA!N106+ALP!N106+KTM!N106+IDK!N106+EKM!N106+TSR!N106+PKD!N106+MLPM!N106+KKD!N106+WYD!N106+KNR!N106+KSD!N106+SHS!N106</f>
        <v>15</v>
      </c>
      <c r="O106" s="323">
        <f>TVM!O106+KLM!O106+PTA!O106+ALP!O106+KTM!O106+IDK!O106+EKM!O106+TSR!O106+PKD!O106+MLPM!O106+KKD!O106+WYD!O106+KNR!O106+KSD!O106+SHS!O106</f>
        <v>0</v>
      </c>
      <c r="P106" s="323">
        <f>TVM!P106+KLM!P106+PTA!P106+ALP!P106+KTM!P106+IDK!P106+EKM!P106+TSR!P106+PKD!P106+MLPM!P106+KKD!P106+WYD!P106+KNR!P106+KSD!P106+SHS!P106</f>
        <v>0</v>
      </c>
      <c r="Q106" s="329">
        <f>TVM!Q106+KLM!Q106+PTA!Q106+ALP!Q106+KTM!Q106+IDK!Q106+EKM!Q106+TSR!Q106+PKD!Q106+MLPM!Q106+KKD!Q106+WYD!Q106+KNR!Q106+KSD!Q106+SHS!Q106</f>
        <v>15</v>
      </c>
      <c r="R106" s="323">
        <f>TVM!R106+KLM!R106+PTA!R106+ALP!R106+KTM!R106+IDK!R106+EKM!R106+TSR!R106+PKD!R106+MLPM!R106+KKD!R106+WYD!R106+KNR!R106+KSD!R106+SHS!R106</f>
        <v>0</v>
      </c>
      <c r="S106" s="323">
        <f>TVM!S106+KLM!S106+PTA!S106+ALP!S106+KTM!S106+IDK!S106+EKM!S106+TSR!S106+PKD!S106+MLPM!S106+KKD!S106+WYD!S106+KNR!S106+KSD!S106+SHS!S106</f>
        <v>0</v>
      </c>
      <c r="T106" s="402">
        <f t="shared" si="5"/>
        <v>252</v>
      </c>
      <c r="U106" s="402">
        <f>TVM!U106+KLM!U106+PTA!U106+ALP!U106+KTM!U106+IDK!U106+EKM!U106+TSR!U106+PKD!U106+MLPM!U106+KKD!U106+WYD!U106+KNR!U106+KSD!U106+SHS!U106</f>
        <v>249</v>
      </c>
      <c r="V106" s="408" t="s">
        <v>1439</v>
      </c>
      <c r="W106" s="409" t="s">
        <v>1440</v>
      </c>
      <c r="X106" s="405">
        <v>250.4</v>
      </c>
      <c r="Y106" s="328">
        <f t="shared" si="1"/>
        <v>1.5999999999999943</v>
      </c>
      <c r="Z106" s="314"/>
      <c r="AA106" s="314"/>
      <c r="AB106" s="314"/>
    </row>
    <row r="107" spans="1:28" ht="39.75" customHeight="1">
      <c r="A107" s="712"/>
      <c r="B107" s="712"/>
      <c r="C107" s="712"/>
      <c r="D107" s="320">
        <v>100</v>
      </c>
      <c r="E107" s="320" t="s">
        <v>209</v>
      </c>
      <c r="F107" s="323">
        <f>TVM!F107+KLM!F107+PTA!F107+ALP!F107+KTM!F107+IDK!F107+EKM!F107+TSR!F107+PKD!F107+MLPM!F107+KKD!F107+WYD!F107+KNR!F107+KSD!F107+SHS!F107</f>
        <v>0</v>
      </c>
      <c r="G107" s="323">
        <f>TVM!G107+KLM!G107+PTA!G107+ALP!G107+KTM!G107+IDK!G107+EKM!G107+TSR!G107+PKD!G107+MLPM!G107+KKD!G107+WYD!G107+KNR!G107+KSD!G107+SHS!G107</f>
        <v>0</v>
      </c>
      <c r="H107" s="323">
        <f>TVM!H107+KLM!H107+PTA!H107+ALP!H107+KTM!H107+IDK!H107+EKM!H107+TSR!H107+PKD!H107+MLPM!H107+KKD!H107+WYD!H107+KNR!H107+KSD!H107+SHS!H107</f>
        <v>0</v>
      </c>
      <c r="I107" s="329">
        <f>TVM!I107+KLM!I107+PTA!I107+ALP!I107+KTM!I107+IDK!I107+EKM!I107+TSR!I107+PKD!I107+MLPM!I107+KKD!I107+WYD!I107+KNR!I107+KSD!I107+SHS!I107</f>
        <v>0</v>
      </c>
      <c r="J107" s="323">
        <f>TVM!J107+KLM!J107+PTA!J107+ALP!J107+KTM!J107+IDK!J107+EKM!J107+TSR!J107+PKD!J107+MLPM!J107+KKD!J107+WYD!J107+KNR!J107+KSD!J107+SHS!J107</f>
        <v>0</v>
      </c>
      <c r="K107" s="329">
        <f>TVM!K107+KLM!K107+PTA!K107+ALP!K107+KTM!K107+IDK!K107+EKM!K107+TSR!K107+PKD!K107+MLPM!K107+KKD!K107+WYD!K107+KNR!K107+KSD!K107+SHS!K107</f>
        <v>0</v>
      </c>
      <c r="L107" s="323">
        <f>TVM!L107+KLM!L107+PTA!L107+ALP!L107+KTM!L107+IDK!L107+EKM!L107+TSR!L107+PKD!L107+MLPM!L107+KKD!L107+WYD!L107+KNR!L107+KSD!L107+SHS!L107</f>
        <v>0</v>
      </c>
      <c r="M107" s="323">
        <f>TVM!M107+KLM!M107+PTA!M107+ALP!M107+KTM!M107+IDK!M107+EKM!M107+TSR!M107+PKD!M107+MLPM!M107+KKD!M107+WYD!M107+KNR!M107+KSD!M107+SHS!M107</f>
        <v>0</v>
      </c>
      <c r="N107" s="323">
        <f>TVM!N107+KLM!N107+PTA!N107+ALP!N107+KTM!N107+IDK!N107+EKM!N107+TSR!N107+PKD!N107+MLPM!N107+KKD!N107+WYD!N107+KNR!N107+KSD!N107+SHS!N107</f>
        <v>0</v>
      </c>
      <c r="O107" s="323">
        <f>TVM!O107+KLM!O107+PTA!O107+ALP!O107+KTM!O107+IDK!O107+EKM!O107+TSR!O107+PKD!O107+MLPM!O107+KKD!O107+WYD!O107+KNR!O107+KSD!O107+SHS!O107</f>
        <v>0</v>
      </c>
      <c r="P107" s="323">
        <f>TVM!P107+KLM!P107+PTA!P107+ALP!P107+KTM!P107+IDK!P107+EKM!P107+TSR!P107+PKD!P107+MLPM!P107+KKD!P107+WYD!P107+KNR!P107+KSD!P107+SHS!P107</f>
        <v>0</v>
      </c>
      <c r="Q107" s="323">
        <f>TVM!Q107+KLM!Q107+PTA!Q107+ALP!Q107+KTM!Q107+IDK!Q107+EKM!Q107+TSR!Q107+PKD!Q107+MLPM!Q107+KKD!Q107+WYD!Q107+KNR!Q107+KSD!Q107+SHS!Q107</f>
        <v>0</v>
      </c>
      <c r="R107" s="323">
        <f>TVM!R107+KLM!R107+PTA!R107+ALP!R107+KTM!R107+IDK!R107+EKM!R107+TSR!R107+PKD!R107+MLPM!R107+KKD!R107+WYD!R107+KNR!R107+KSD!R107+SHS!R107</f>
        <v>0</v>
      </c>
      <c r="S107" s="323">
        <f>TVM!S107+KLM!S107+PTA!S107+ALP!S107+KTM!S107+IDK!S107+EKM!S107+TSR!S107+PKD!S107+MLPM!S107+KKD!S107+WYD!S107+KNR!S107+KSD!S107+SHS!S107</f>
        <v>0</v>
      </c>
      <c r="T107" s="402">
        <f t="shared" si="5"/>
        <v>0</v>
      </c>
      <c r="U107" s="402">
        <f>TVM!U107+KLM!U107+PTA!U107+ALP!U107+KTM!U107+IDK!U107+EKM!U107+TSR!U107+PKD!U107+MLPM!U107+KKD!U107+WYD!U107+KNR!U107+KSD!U107+SHS!U107</f>
        <v>0</v>
      </c>
      <c r="V107" s="410"/>
      <c r="W107" s="411"/>
      <c r="X107" s="405">
        <v>11.4</v>
      </c>
      <c r="Y107" s="328">
        <f t="shared" si="1"/>
        <v>-11.4</v>
      </c>
      <c r="Z107" s="314"/>
      <c r="AA107" s="314"/>
      <c r="AB107" s="314"/>
    </row>
    <row r="108" spans="1:28" ht="39.75" customHeight="1">
      <c r="A108" s="712"/>
      <c r="B108" s="712"/>
      <c r="C108" s="712"/>
      <c r="D108" s="320">
        <v>101</v>
      </c>
      <c r="E108" s="320" t="s">
        <v>210</v>
      </c>
      <c r="F108" s="323">
        <f>TVM!F108+KLM!F108+PTA!F108+ALP!F108+KTM!F108+IDK!F108+EKM!F108+TSR!F108+PKD!F108+MLPM!F108+KKD!F108+WYD!F108+KNR!F108+KSD!F108+SHS!F108</f>
        <v>0</v>
      </c>
      <c r="G108" s="323">
        <f>TVM!G108+KLM!G108+PTA!G108+ALP!G108+KTM!G108+IDK!G108+EKM!G108+TSR!G108+PKD!G108+MLPM!G108+KKD!G108+WYD!G108+KNR!G108+KSD!G108+SHS!G108</f>
        <v>0</v>
      </c>
      <c r="H108" s="323">
        <f>TVM!H108+KLM!H108+PTA!H108+ALP!H108+KTM!H108+IDK!H108+EKM!H108+TSR!H108+PKD!H108+MLPM!H108+KKD!H108+WYD!H108+KNR!H108+KSD!H108+SHS!H108</f>
        <v>0</v>
      </c>
      <c r="I108" s="323">
        <f>TVM!I108+KLM!I108+PTA!I108+ALP!I108+KTM!I108+IDK!I108+EKM!I108+TSR!I108+PKD!I108+MLPM!I108+KKD!I108+WYD!I108+KNR!I108+KSD!I108+SHS!I108</f>
        <v>0</v>
      </c>
      <c r="J108" s="323">
        <f>TVM!J108+KLM!J108+PTA!J108+ALP!J108+KTM!J108+IDK!J108+EKM!J108+TSR!J108+PKD!J108+MLPM!J108+KKD!J108+WYD!J108+KNR!J108+KSD!J108+SHS!J108</f>
        <v>0</v>
      </c>
      <c r="K108" s="323">
        <f>TVM!K108+KLM!K108+PTA!K108+ALP!K108+KTM!K108+IDK!K108+EKM!K108+TSR!K108+PKD!K108+MLPM!K108+KKD!K108+WYD!K108+KNR!K108+KSD!K108+SHS!K108</f>
        <v>0</v>
      </c>
      <c r="L108" s="323">
        <f>TVM!L108+KLM!L108+PTA!L108+ALP!L108+KTM!L108+IDK!L108+EKM!L108+TSR!L108+PKD!L108+MLPM!L108+KKD!L108+WYD!L108+KNR!L108+KSD!L108+SHS!L108</f>
        <v>0</v>
      </c>
      <c r="M108" s="323">
        <f>TVM!M108+KLM!M108+PTA!M108+ALP!M108+KTM!M108+IDK!M108+EKM!M108+TSR!M108+PKD!M108+MLPM!M108+KKD!M108+WYD!M108+KNR!M108+KSD!M108+SHS!M108</f>
        <v>0</v>
      </c>
      <c r="N108" s="323">
        <f>TVM!N108+KLM!N108+PTA!N108+ALP!N108+KTM!N108+IDK!N108+EKM!N108+TSR!N108+PKD!N108+MLPM!N108+KKD!N108+WYD!N108+KNR!N108+KSD!N108+SHS!N108</f>
        <v>0</v>
      </c>
      <c r="O108" s="323">
        <f>TVM!O108+KLM!O108+PTA!O108+ALP!O108+KTM!O108+IDK!O108+EKM!O108+TSR!O108+PKD!O108+MLPM!O108+KKD!O108+WYD!O108+KNR!O108+KSD!O108+SHS!O108</f>
        <v>0</v>
      </c>
      <c r="P108" s="323">
        <f>TVM!P108+KLM!P108+PTA!P108+ALP!P108+KTM!P108+IDK!P108+EKM!P108+TSR!P108+PKD!P108+MLPM!P108+KKD!P108+WYD!P108+KNR!P108+KSD!P108+SHS!P108</f>
        <v>0</v>
      </c>
      <c r="Q108" s="323">
        <f>TVM!Q108+KLM!Q108+PTA!Q108+ALP!Q108+KTM!Q108+IDK!Q108+EKM!Q108+TSR!Q108+PKD!Q108+MLPM!Q108+KKD!Q108+WYD!Q108+KNR!Q108+KSD!Q108+SHS!Q108</f>
        <v>0</v>
      </c>
      <c r="R108" s="323">
        <f>TVM!R108+KLM!R108+PTA!R108+ALP!R108+KTM!R108+IDK!R108+EKM!R108+TSR!R108+PKD!R108+MLPM!R108+KKD!R108+WYD!R108+KNR!R108+KSD!R108+SHS!R108</f>
        <v>0</v>
      </c>
      <c r="S108" s="323">
        <f>TVM!S108+KLM!S108+PTA!S108+ALP!S108+KTM!S108+IDK!S108+EKM!S108+TSR!S108+PKD!S108+MLPM!S108+KKD!S108+WYD!S108+KNR!S108+KSD!S108+SHS!S108</f>
        <v>0</v>
      </c>
      <c r="T108" s="402">
        <f t="shared" si="5"/>
        <v>0</v>
      </c>
      <c r="U108" s="402">
        <f>TVM!U108+KLM!U108+PTA!U108+ALP!U108+KTM!U108+IDK!U108+EKM!U108+TSR!U108+PKD!U108+MLPM!U108+KKD!U108+WYD!U108+KNR!U108+KSD!U108+SHS!U108</f>
        <v>0</v>
      </c>
      <c r="V108" s="406"/>
      <c r="W108" s="412"/>
      <c r="X108" s="405">
        <v>0</v>
      </c>
      <c r="Y108" s="328">
        <f t="shared" si="1"/>
        <v>0</v>
      </c>
      <c r="Z108" s="314"/>
      <c r="AA108" s="314"/>
      <c r="AB108" s="314"/>
    </row>
    <row r="109" spans="1:28" ht="39.75" customHeight="1">
      <c r="A109" s="712"/>
      <c r="B109" s="712"/>
      <c r="C109" s="712"/>
      <c r="D109" s="320">
        <v>102</v>
      </c>
      <c r="E109" s="320" t="s">
        <v>211</v>
      </c>
      <c r="F109" s="323">
        <f>TVM!F109+KLM!F109+PTA!F109+ALP!F109+KTM!F109+IDK!F109+EKM!F109+TSR!F109+PKD!F109+MLPM!F109+KKD!F109+WYD!F109+KNR!F109+KSD!F109+SHS!F109</f>
        <v>0</v>
      </c>
      <c r="G109" s="323">
        <f>TVM!G109+KLM!G109+PTA!G109+ALP!G109+KTM!G109+IDK!G109+EKM!G109+TSR!G109+PKD!G109+MLPM!G109+KKD!G109+WYD!G109+KNR!G109+KSD!G109+SHS!G109</f>
        <v>0</v>
      </c>
      <c r="H109" s="323">
        <f>TVM!H109+KLM!H109+PTA!H109+ALP!H109+KTM!H109+IDK!H109+EKM!H109+TSR!H109+PKD!H109+MLPM!H109+KKD!H109+WYD!H109+KNR!H109+KSD!H109+SHS!H109</f>
        <v>0</v>
      </c>
      <c r="I109" s="323">
        <f>TVM!I109+KLM!I109+PTA!I109+ALP!I109+KTM!I109+IDK!I109+EKM!I109+TSR!I109+PKD!I109+MLPM!I109+KKD!I109+WYD!I109+KNR!I109+KSD!I109+SHS!I109</f>
        <v>0</v>
      </c>
      <c r="J109" s="323">
        <f>TVM!J109+KLM!J109+PTA!J109+ALP!J109+KTM!J109+IDK!J109+EKM!J109+TSR!J109+PKD!J109+MLPM!J109+KKD!J109+WYD!J109+KNR!J109+KSD!J109+SHS!J109</f>
        <v>0</v>
      </c>
      <c r="K109" s="323">
        <f>TVM!K109+KLM!K109+PTA!K109+ALP!K109+KTM!K109+IDK!K109+EKM!K109+TSR!K109+PKD!K109+MLPM!K109+KKD!K109+WYD!K109+KNR!K109+KSD!K109+SHS!K109</f>
        <v>0</v>
      </c>
      <c r="L109" s="323">
        <f>TVM!L109+KLM!L109+PTA!L109+ALP!L109+KTM!L109+IDK!L109+EKM!L109+TSR!L109+PKD!L109+MLPM!L109+KKD!L109+WYD!L109+KNR!L109+KSD!L109+SHS!L109</f>
        <v>0</v>
      </c>
      <c r="M109" s="323">
        <f>TVM!M109+KLM!M109+PTA!M109+ALP!M109+KTM!M109+IDK!M109+EKM!M109+TSR!M109+PKD!M109+MLPM!M109+KKD!M109+WYD!M109+KNR!M109+KSD!M109+SHS!M109</f>
        <v>0</v>
      </c>
      <c r="N109" s="323">
        <f>TVM!N109+KLM!N109+PTA!N109+ALP!N109+KTM!N109+IDK!N109+EKM!N109+TSR!N109+PKD!N109+MLPM!N109+KKD!N109+WYD!N109+KNR!N109+KSD!N109+SHS!N109</f>
        <v>0</v>
      </c>
      <c r="O109" s="323">
        <f>TVM!O109+KLM!O109+PTA!O109+ALP!O109+KTM!O109+IDK!O109+EKM!O109+TSR!O109+PKD!O109+MLPM!O109+KKD!O109+WYD!O109+KNR!O109+KSD!O109+SHS!O109</f>
        <v>0</v>
      </c>
      <c r="P109" s="323">
        <f>TVM!P109+KLM!P109+PTA!P109+ALP!P109+KTM!P109+IDK!P109+EKM!P109+TSR!P109+PKD!P109+MLPM!P109+KKD!P109+WYD!P109+KNR!P109+KSD!P109+SHS!P109</f>
        <v>0</v>
      </c>
      <c r="Q109" s="329">
        <f>TVM!Q109+KLM!Q109+PTA!Q109+ALP!Q109+KTM!Q109+IDK!Q109+EKM!Q109+TSR!Q109+PKD!Q109+MLPM!Q109+KKD!Q109+WYD!Q109+KNR!Q109+KSD!Q109+SHS!Q109</f>
        <v>0</v>
      </c>
      <c r="R109" s="323">
        <f>TVM!R109+KLM!R109+PTA!R109+ALP!R109+KTM!R109+IDK!R109+EKM!R109+TSR!R109+PKD!R109+MLPM!R109+KKD!R109+WYD!R109+KNR!R109+KSD!R109+SHS!R109</f>
        <v>0</v>
      </c>
      <c r="S109" s="323">
        <f>TVM!S109+KLM!S109+PTA!S109+ALP!S109+KTM!S109+IDK!S109+EKM!S109+TSR!S109+PKD!S109+MLPM!S109+KKD!S109+WYD!S109+KNR!S109+KSD!S109+SHS!S109</f>
        <v>0</v>
      </c>
      <c r="T109" s="402">
        <f t="shared" si="5"/>
        <v>0</v>
      </c>
      <c r="U109" s="402">
        <f>TVM!U109+KLM!U109+PTA!U109+ALP!U109+KTM!U109+IDK!U109+EKM!U109+TSR!U109+PKD!U109+MLPM!U109+KKD!U109+WYD!U109+KNR!U109+KSD!U109+SHS!U109</f>
        <v>0</v>
      </c>
      <c r="V109" s="406"/>
      <c r="W109" s="412"/>
      <c r="X109" s="405">
        <v>0</v>
      </c>
      <c r="Y109" s="328">
        <f t="shared" si="1"/>
        <v>0</v>
      </c>
      <c r="Z109" s="314"/>
      <c r="AA109" s="314"/>
      <c r="AB109" s="314"/>
    </row>
    <row r="110" spans="1:28" ht="90.75">
      <c r="A110" s="712"/>
      <c r="B110" s="707"/>
      <c r="C110" s="707"/>
      <c r="D110" s="320">
        <v>103</v>
      </c>
      <c r="E110" s="320" t="s">
        <v>53</v>
      </c>
      <c r="F110" s="323">
        <f>TVM!F110+KLM!F110+PTA!F110+ALP!F110+KTM!F110+IDK!F110+EKM!F110+TSR!F110+PKD!F110+MLPM!F110+KKD!F110+WYD!F110+KNR!F110+KSD!F110+SHS!F110</f>
        <v>0</v>
      </c>
      <c r="G110" s="323">
        <f>TVM!G110+KLM!G110+PTA!G110+ALP!G110+KTM!G110+IDK!G110+EKM!G110+TSR!G110+PKD!G110+MLPM!G110+KKD!G110+WYD!G110+KNR!G110+KSD!G110+SHS!G110</f>
        <v>0</v>
      </c>
      <c r="H110" s="323">
        <f>TVM!H110+KLM!H110+PTA!H110+ALP!H110+KTM!H110+IDK!H110+EKM!H110+TSR!H110+PKD!H110+MLPM!H110+KKD!H110+WYD!H110+KNR!H110+KSD!H110+SHS!H110</f>
        <v>0</v>
      </c>
      <c r="I110" s="323">
        <f>TVM!I110+KLM!I110+PTA!I110+ALP!I110+KTM!I110+IDK!I110+EKM!I110+TSR!I110+PKD!I110+MLPM!I110+KKD!I110+WYD!I110+KNR!I110+KSD!I110+SHS!I110</f>
        <v>0</v>
      </c>
      <c r="J110" s="323">
        <f>TVM!J110+KLM!J110+PTA!J110+ALP!J110+KTM!J110+IDK!J110+EKM!J110+TSR!J110+PKD!J110+MLPM!J110+KKD!J110+WYD!J110+KNR!J110+KSD!J110+SHS!J110</f>
        <v>0</v>
      </c>
      <c r="K110" s="323">
        <f>TVM!K110+KLM!K110+PTA!K110+ALP!K110+KTM!K110+IDK!K110+EKM!K110+TSR!K110+PKD!K110+MLPM!K110+KKD!K110+WYD!K110+KNR!K110+KSD!K110+SHS!K110</f>
        <v>0</v>
      </c>
      <c r="L110" s="323">
        <f>TVM!L110+KLM!L110+PTA!L110+ALP!L110+KTM!L110+IDK!L110+EKM!L110+TSR!L110+PKD!L110+MLPM!L110+KKD!L110+WYD!L110+KNR!L110+KSD!L110+SHS!L110</f>
        <v>0</v>
      </c>
      <c r="M110" s="323">
        <f>TVM!M110+KLM!M110+PTA!M110+ALP!M110+KTM!M110+IDK!M110+EKM!M110+TSR!M110+PKD!M110+MLPM!M110+KKD!M110+WYD!M110+KNR!M110+KSD!M110+SHS!M110</f>
        <v>0</v>
      </c>
      <c r="N110" s="323">
        <f>TVM!N110+KLM!N110+PTA!N110+ALP!N110+KTM!N110+IDK!N110+EKM!N110+TSR!N110+PKD!N110+MLPM!N110+KKD!N110+WYD!N110+KNR!N110+KSD!N110+SHS!N110</f>
        <v>0</v>
      </c>
      <c r="O110" s="323">
        <f>TVM!O110+KLM!O110+PTA!O110+ALP!O110+KTM!O110+IDK!O110+EKM!O110+TSR!O110+PKD!O110+MLPM!O110+KKD!O110+WYD!O110+KNR!O110+KSD!O110+SHS!O110</f>
        <v>0</v>
      </c>
      <c r="P110" s="330">
        <f>TVM!P110+KLM!P110+PTA!P110+ALP!P110+KTM!P110+IDK!P110+EKM!P110+TSR!P110+PKD!P110+MLPM!P110+KKD!P110+WYD!P110+KNR!P110+KSD!P110+SHS!P110</f>
        <v>71.500000000000014</v>
      </c>
      <c r="Q110" s="323">
        <f>TVM!Q110+KLM!Q110+PTA!Q110+ALP!Q110+KTM!Q110+IDK!Q110+EKM!Q110+TSR!Q110+PKD!Q110+MLPM!Q110+KKD!Q110+WYD!Q110+KNR!Q110+KSD!Q110+SHS!Q110</f>
        <v>0</v>
      </c>
      <c r="R110" s="330">
        <f>TVM!R110+KLM!R110+PTA!R110+ALP!R110+KTM!R110+IDK!R110+EKM!R110+TSR!R110+PKD!R110+MLPM!R110+KKD!R110+WYD!R110+KNR!R110+KSD!R110+SHS!R110</f>
        <v>0</v>
      </c>
      <c r="S110" s="330">
        <f>TVM!S110+KLM!S110+PTA!S110+ALP!S110+KTM!S110+IDK!S110+EKM!S110+TSR!S110+PKD!S110+MLPM!S110+KKD!S110+WYD!S110+KNR!S110+KSD!S110+SHS!S110</f>
        <v>0</v>
      </c>
      <c r="T110" s="402">
        <f t="shared" si="5"/>
        <v>71.500000000000014</v>
      </c>
      <c r="U110" s="402">
        <f>TVM!U110+KLM!U110+PTA!U110+ALP!U110+KTM!U110+IDK!U110+EKM!U110+TSR!U110+PKD!U110+MLPM!U110+KKD!U110+WYD!U110+KNR!U110+KSD!U110+SHS!U110</f>
        <v>76.500000000000014</v>
      </c>
      <c r="V110" s="410" t="s">
        <v>1441</v>
      </c>
      <c r="W110" s="411" t="s">
        <v>1442</v>
      </c>
      <c r="X110" s="405">
        <v>81.5</v>
      </c>
      <c r="Y110" s="328">
        <f t="shared" si="1"/>
        <v>-9.9999999999999858</v>
      </c>
      <c r="Z110" s="314"/>
      <c r="AA110" s="314"/>
      <c r="AB110" s="314"/>
    </row>
    <row r="111" spans="1:28" ht="252">
      <c r="A111" s="712"/>
      <c r="B111" s="718" t="s">
        <v>213</v>
      </c>
      <c r="C111" s="718" t="s">
        <v>214</v>
      </c>
      <c r="D111" s="320">
        <v>104</v>
      </c>
      <c r="E111" s="320" t="s">
        <v>215</v>
      </c>
      <c r="F111" s="323">
        <f>TVM!F111+KLM!F111+PTA!F111+ALP!F111+KTM!F111+IDK!F111+EKM!F111+TSR!F111+PKD!F111+MLPM!F111+KKD!F111+WYD!F111+KNR!F111+KSD!F111+SHS!F111</f>
        <v>0</v>
      </c>
      <c r="G111" s="323">
        <f>TVM!G111+KLM!G111+PTA!G111+ALP!G111+KTM!G111+IDK!G111+EKM!G111+TSR!G111+PKD!G111+MLPM!G111+KKD!G111+WYD!G111+KNR!G111+KSD!G111+SHS!G111</f>
        <v>0</v>
      </c>
      <c r="H111" s="323">
        <f>TVM!H111+KLM!H111+PTA!H111+ALP!H111+KTM!H111+IDK!H111+EKM!H111+TSR!H111+PKD!H111+MLPM!H111+KKD!H111+WYD!H111+KNR!H111+KSD!H111+SHS!H111</f>
        <v>0</v>
      </c>
      <c r="I111" s="323">
        <f>TVM!I111+KLM!I111+PTA!I111+ALP!I111+KTM!I111+IDK!I111+EKM!I111+TSR!I111+PKD!I111+MLPM!I111+KKD!I111+WYD!I111+KNR!I111+KSD!I111+SHS!I111</f>
        <v>0</v>
      </c>
      <c r="J111" s="323">
        <f>TVM!J111+KLM!J111+PTA!J111+ALP!J111+KTM!J111+IDK!J111+EKM!J111+TSR!J111+PKD!J111+MLPM!J111+KKD!J111+WYD!J111+KNR!J111+KSD!J111+SHS!J111</f>
        <v>0</v>
      </c>
      <c r="K111" s="323">
        <f>TVM!K111+KLM!K111+PTA!K111+ALP!K111+KTM!K111+IDK!K111+EKM!K111+TSR!K111+PKD!K111+MLPM!K111+KKD!K111+WYD!K111+KNR!K111+KSD!K111+SHS!K111</f>
        <v>0</v>
      </c>
      <c r="L111" s="323">
        <f>TVM!L111+KLM!L111+PTA!L111+ALP!L111+KTM!L111+IDK!L111+EKM!L111+TSR!L111+PKD!L111+MLPM!L111+KKD!L111+WYD!L111+KNR!L111+KSD!L111+SHS!L111</f>
        <v>0</v>
      </c>
      <c r="M111" s="323">
        <f>TVM!M111+KLM!M111+PTA!M111+ALP!M111+KTM!M111+IDK!M111+EKM!M111+TSR!M111+PKD!M111+MLPM!M111+KKD!M111+WYD!M111+KNR!M111+KSD!M111+SHS!M111</f>
        <v>0</v>
      </c>
      <c r="N111" s="330">
        <f>TVM!N111+KLM!N111+PTA!N111+ALP!N111+KTM!N111+IDK!N111+EKM!N111+TSR!N111+PKD!N111+MLPM!N111+KKD!N111+WYD!N111+KNR!N111+KSD!N111+SHS!N111</f>
        <v>12.200000000000001</v>
      </c>
      <c r="O111" s="323">
        <f>TVM!O111+KLM!O111+PTA!O111+ALP!O111+KTM!O111+IDK!O111+EKM!O111+TSR!O111+PKD!O111+MLPM!O111+KKD!O111+WYD!O111+KNR!O111+KSD!O111+SHS!O111</f>
        <v>0</v>
      </c>
      <c r="P111" s="330">
        <f>TVM!P111+KLM!P111+PTA!P111+ALP!P111+KTM!P111+IDK!P111+EKM!P111+TSR!P111+PKD!P111+MLPM!P111+KKD!P111+WYD!P111+KNR!P111+KSD!P111+SHS!P111</f>
        <v>0</v>
      </c>
      <c r="Q111" s="330">
        <f>TVM!Q111+KLM!Q111+PTA!Q111+ALP!Q111+KTM!Q111+IDK!Q111+EKM!Q111+TSR!Q111+PKD!Q111+MLPM!Q111+KKD!Q111+WYD!Q111+KNR!Q111+KSD!Q111+SHS!Q111</f>
        <v>23</v>
      </c>
      <c r="R111" s="330">
        <f>TVM!R111+KLM!R111+PTA!R111+ALP!R111+KTM!R111+IDK!R111+EKM!R111+TSR!R111+PKD!R111+MLPM!R111+KKD!R111+WYD!R111+KNR!R111+KSD!R111+SHS!R111</f>
        <v>27</v>
      </c>
      <c r="S111" s="330">
        <f>TVM!S111+KLM!S111+PTA!S111+ALP!S111+KTM!S111+IDK!S111+EKM!S111+TSR!S111+PKD!S111+MLPM!S111+KKD!S111+WYD!S111+KNR!S111+KSD!S111+SHS!S111</f>
        <v>0</v>
      </c>
      <c r="T111" s="402">
        <f t="shared" si="5"/>
        <v>62.2</v>
      </c>
      <c r="U111" s="402">
        <f>TVM!U111+KLM!U111+PTA!U111+ALP!U111+KTM!U111+IDK!U111+EKM!U111+TSR!U111+PKD!U111+MLPM!U111+KKD!U111+WYD!U111+KNR!U111+KSD!U111+SHS!U111</f>
        <v>62.199999999999989</v>
      </c>
      <c r="V111" s="408" t="s">
        <v>1443</v>
      </c>
      <c r="W111" s="413" t="s">
        <v>1444</v>
      </c>
      <c r="X111" s="414">
        <v>152</v>
      </c>
      <c r="Y111" s="328">
        <f t="shared" si="1"/>
        <v>-89.8</v>
      </c>
      <c r="Z111" s="314"/>
      <c r="AA111" s="314"/>
      <c r="AB111" s="314"/>
    </row>
    <row r="112" spans="1:28" ht="105" customHeight="1">
      <c r="A112" s="712"/>
      <c r="B112" s="712"/>
      <c r="C112" s="712"/>
      <c r="D112" s="320">
        <v>105</v>
      </c>
      <c r="E112" s="320" t="s">
        <v>216</v>
      </c>
      <c r="F112" s="323">
        <f>TVM!F112+KLM!F112+PTA!F112+ALP!F112+KTM!F112+IDK!F112+EKM!F112+TSR!F112+PKD!F112+MLPM!F112+KKD!F112+WYD!F112+KNR!F112+KSD!F112+SHS!F112</f>
        <v>0</v>
      </c>
      <c r="G112" s="323">
        <f>TVM!G112+KLM!G112+PTA!G112+ALP!G112+KTM!G112+IDK!G112+EKM!G112+TSR!G112+PKD!G112+MLPM!G112+KKD!G112+WYD!G112+KNR!G112+KSD!G112+SHS!G112</f>
        <v>0</v>
      </c>
      <c r="H112" s="323">
        <f>TVM!H112+KLM!H112+PTA!H112+ALP!H112+KTM!H112+IDK!H112+EKM!H112+TSR!H112+PKD!H112+MLPM!H112+KKD!H112+WYD!H112+KNR!H112+KSD!H112+SHS!H112</f>
        <v>0</v>
      </c>
      <c r="I112" s="323">
        <f>TVM!I112+KLM!I112+PTA!I112+ALP!I112+KTM!I112+IDK!I112+EKM!I112+TSR!I112+PKD!I112+MLPM!I112+KKD!I112+WYD!I112+KNR!I112+KSD!I112+SHS!I112</f>
        <v>0</v>
      </c>
      <c r="J112" s="323">
        <f>TVM!J112+KLM!J112+PTA!J112+ALP!J112+KTM!J112+IDK!J112+EKM!J112+TSR!J112+PKD!J112+MLPM!J112+KKD!J112+WYD!J112+KNR!J112+KSD!J112+SHS!J112</f>
        <v>0</v>
      </c>
      <c r="K112" s="323">
        <f>TVM!K112+KLM!K112+PTA!K112+ALP!K112+KTM!K112+IDK!K112+EKM!K112+TSR!K112+PKD!K112+MLPM!K112+KKD!K112+WYD!K112+KNR!K112+KSD!K112+SHS!K112</f>
        <v>0</v>
      </c>
      <c r="L112" s="323">
        <f>TVM!L112+KLM!L112+PTA!L112+ALP!L112+KTM!L112+IDK!L112+EKM!L112+TSR!L112+PKD!L112+MLPM!L112+KKD!L112+WYD!L112+KNR!L112+KSD!L112+SHS!L112</f>
        <v>0</v>
      </c>
      <c r="M112" s="323">
        <f>TVM!M112+KLM!M112+PTA!M112+ALP!M112+KTM!M112+IDK!M112+EKM!M112+TSR!M112+PKD!M112+MLPM!M112+KKD!M112+WYD!M112+KNR!M112+KSD!M112+SHS!M112</f>
        <v>0</v>
      </c>
      <c r="N112" s="323">
        <f>TVM!N112+KLM!N112+PTA!N112+ALP!N112+KTM!N112+IDK!N112+EKM!N112+TSR!N112+PKD!N112+MLPM!N112+KKD!N112+WYD!N112+KNR!N112+KSD!N112+SHS!N112</f>
        <v>0</v>
      </c>
      <c r="O112" s="323">
        <f>TVM!O112+KLM!O112+PTA!O112+ALP!O112+KTM!O112+IDK!O112+EKM!O112+TSR!O112+PKD!O112+MLPM!O112+KKD!O112+WYD!O112+KNR!O112+KSD!O112+SHS!O112</f>
        <v>0</v>
      </c>
      <c r="P112" s="329">
        <f>TVM!P112+KLM!P112+PTA!P112+ALP!P112+KTM!P112+IDK!P112+EKM!P112+TSR!P112+PKD!P112+MLPM!P112+KKD!P112+WYD!P112+KNR!P112+KSD!P112+SHS!P112</f>
        <v>48</v>
      </c>
      <c r="Q112" s="323">
        <f>TVM!Q112+KLM!Q112+PTA!Q112+ALP!Q112+KTM!Q112+IDK!Q112+EKM!Q112+TSR!Q112+PKD!Q112+MLPM!Q112+KKD!Q112+WYD!Q112+KNR!Q112+KSD!Q112+SHS!Q112</f>
        <v>0</v>
      </c>
      <c r="R112" s="323">
        <f>TVM!R112+KLM!R112+PTA!R112+ALP!R112+KTM!R112+IDK!R112+EKM!R112+TSR!R112+PKD!R112+MLPM!R112+KKD!R112+WYD!R112+KNR!R112+KSD!R112+SHS!R112</f>
        <v>0</v>
      </c>
      <c r="S112" s="323">
        <f>TVM!S112+KLM!S112+PTA!S112+ALP!S112+KTM!S112+IDK!S112+EKM!S112+TSR!S112+PKD!S112+MLPM!S112+KKD!S112+WYD!S112+KNR!S112+KSD!S112+SHS!S112</f>
        <v>0</v>
      </c>
      <c r="T112" s="402">
        <f t="shared" si="5"/>
        <v>48</v>
      </c>
      <c r="U112" s="402">
        <f>TVM!U112+KLM!U112+PTA!U112+ALP!U112+KTM!U112+IDK!U112+EKM!U112+TSR!U112+PKD!U112+MLPM!U112+KKD!U112+WYD!U112+KNR!U112+KSD!U112+SHS!U112</f>
        <v>48</v>
      </c>
      <c r="V112" s="410" t="s">
        <v>1445</v>
      </c>
      <c r="W112" s="411" t="s">
        <v>1446</v>
      </c>
      <c r="X112" s="414">
        <v>0</v>
      </c>
      <c r="Y112" s="328">
        <f t="shared" si="1"/>
        <v>48</v>
      </c>
      <c r="Z112" s="314"/>
      <c r="AA112" s="314"/>
      <c r="AB112" s="314"/>
    </row>
    <row r="113" spans="1:28" ht="166.5" customHeight="1">
      <c r="A113" s="712"/>
      <c r="B113" s="707"/>
      <c r="C113" s="707"/>
      <c r="D113" s="320">
        <v>106</v>
      </c>
      <c r="E113" s="320" t="s">
        <v>218</v>
      </c>
      <c r="F113" s="323">
        <f>TVM!F113+KLM!F113+PTA!F113+ALP!F113+KTM!F113+IDK!F113+EKM!F113+TSR!F113+PKD!F113+MLPM!F113+KKD!F113+WYD!F113+KNR!F113+KSD!F113+SHS!F113</f>
        <v>0</v>
      </c>
      <c r="G113" s="323">
        <f>TVM!G113+KLM!G113+PTA!G113+ALP!G113+KTM!G113+IDK!G113+EKM!G113+TSR!G113+PKD!G113+MLPM!G113+KKD!G113+WYD!G113+KNR!G113+KSD!G113+SHS!G113</f>
        <v>0</v>
      </c>
      <c r="H113" s="323">
        <f>TVM!H113+KLM!H113+PTA!H113+ALP!H113+KTM!H113+IDK!H113+EKM!H113+TSR!H113+PKD!H113+MLPM!H113+KKD!H113+WYD!H113+KNR!H113+KSD!H113+SHS!H113</f>
        <v>0</v>
      </c>
      <c r="I113" s="329">
        <f>TVM!I113+KLM!I113+PTA!I113+ALP!I113+KTM!I113+IDK!I113+EKM!I113+TSR!I113+PKD!I113+MLPM!I113+KKD!I113+WYD!I113+KNR!I113+KSD!I113+SHS!I113</f>
        <v>14</v>
      </c>
      <c r="J113" s="323">
        <f>TVM!J113+KLM!J113+PTA!J113+ALP!J113+KTM!J113+IDK!J113+EKM!J113+TSR!J113+PKD!J113+MLPM!J113+KKD!J113+WYD!J113+KNR!J113+KSD!J113+SHS!J113</f>
        <v>0</v>
      </c>
      <c r="K113" s="329">
        <f>TVM!K113+KLM!K113+PTA!K113+ALP!K113+KTM!K113+IDK!K113+EKM!K113+TSR!K113+PKD!K113+MLPM!K113+KKD!K113+WYD!K113+KNR!K113+KSD!K113+SHS!K113</f>
        <v>27</v>
      </c>
      <c r="L113" s="323">
        <f>TVM!L113+KLM!L113+PTA!L113+ALP!L113+KTM!L113+IDK!L113+EKM!L113+TSR!L113+PKD!L113+MLPM!L113+KKD!L113+WYD!L113+KNR!L113+KSD!L113+SHS!L113</f>
        <v>0</v>
      </c>
      <c r="M113" s="323">
        <f>TVM!M113+KLM!M113+PTA!M113+ALP!M113+KTM!M113+IDK!M113+EKM!M113+TSR!M113+PKD!M113+MLPM!M113+KKD!M113+WYD!M113+KNR!M113+KSD!M113+SHS!M113</f>
        <v>0</v>
      </c>
      <c r="N113" s="329">
        <f>TVM!N113+KLM!N113+PTA!N113+ALP!N113+KTM!N113+IDK!N113+EKM!N113+TSR!N113+PKD!N113+MLPM!N113+KKD!N113+WYD!N113+KNR!N113+KSD!N113+SHS!N113</f>
        <v>2.8000000000000003</v>
      </c>
      <c r="O113" s="323">
        <f>TVM!O113+KLM!O113+PTA!O113+ALP!O113+KTM!O113+IDK!O113+EKM!O113+TSR!O113+PKD!O113+MLPM!O113+KKD!O113+WYD!O113+KNR!O113+KSD!O113+SHS!O113</f>
        <v>0</v>
      </c>
      <c r="P113" s="330">
        <f>TVM!P113+KLM!P113+PTA!P113+ALP!P113+KTM!P113+IDK!P113+EKM!P113+TSR!P113+PKD!P113+MLPM!P113+KKD!P113+WYD!P113+KNR!P113+KSD!P113+SHS!P113</f>
        <v>0</v>
      </c>
      <c r="Q113" s="329">
        <f>TVM!Q113+KLM!Q113+PTA!Q113+ALP!Q113+KTM!Q113+IDK!Q113+EKM!Q113+TSR!Q113+PKD!Q113+MLPM!Q113+KKD!Q113+WYD!Q113+KNR!Q113+KSD!Q113+SHS!Q113</f>
        <v>0</v>
      </c>
      <c r="R113" s="330">
        <f>TVM!R113+KLM!R113+PTA!R113+ALP!R113+KTM!R113+IDK!R113+EKM!R113+TSR!R113+PKD!R113+MLPM!R113+KKD!R113+WYD!R113+KNR!R113+KSD!R113+SHS!R113</f>
        <v>0</v>
      </c>
      <c r="S113" s="330">
        <f>TVM!S113+KLM!S113+PTA!S113+ALP!S113+KTM!S113+IDK!S113+EKM!S113+TSR!S113+PKD!S113+MLPM!S113+KKD!S113+WYD!S113+KNR!S113+KSD!S113+SHS!S113</f>
        <v>0</v>
      </c>
      <c r="T113" s="402">
        <f t="shared" si="5"/>
        <v>43.8</v>
      </c>
      <c r="U113" s="402">
        <f>TVM!U113+KLM!U113+PTA!U113+ALP!U113+KTM!U113+IDK!U113+EKM!U113+TSR!U113+PKD!U113+MLPM!U113+KKD!U113+WYD!U113+KNR!U113+KSD!U113+SHS!U113</f>
        <v>43.8</v>
      </c>
      <c r="V113" s="408" t="s">
        <v>1447</v>
      </c>
      <c r="W113" s="409" t="s">
        <v>1448</v>
      </c>
      <c r="X113" s="414">
        <v>174</v>
      </c>
      <c r="Y113" s="328">
        <f t="shared" si="1"/>
        <v>-130.19999999999999</v>
      </c>
      <c r="Z113" s="314"/>
      <c r="AA113" s="314"/>
      <c r="AB113" s="314"/>
    </row>
    <row r="114" spans="1:28" ht="225.75">
      <c r="A114" s="712"/>
      <c r="B114" s="718" t="s">
        <v>220</v>
      </c>
      <c r="C114" s="718" t="s">
        <v>221</v>
      </c>
      <c r="D114" s="320">
        <v>107</v>
      </c>
      <c r="E114" s="320" t="s">
        <v>222</v>
      </c>
      <c r="F114" s="323">
        <f>TVM!F114+KLM!F114+PTA!F114+ALP!F114+KTM!F114+IDK!F114+EKM!F114+TSR!F114+PKD!F114+MLPM!F114+KKD!F114+WYD!F114+KNR!F114+KSD!F114+SHS!F114</f>
        <v>0</v>
      </c>
      <c r="G114" s="323">
        <f>TVM!G114+KLM!G114+PTA!G114+ALP!G114+KTM!G114+IDK!G114+EKM!G114+TSR!G114+PKD!G114+MLPM!G114+KKD!G114+WYD!G114+KNR!G114+KSD!G114+SHS!G114</f>
        <v>0</v>
      </c>
      <c r="H114" s="323">
        <f>TVM!H114+KLM!H114+PTA!H114+ALP!H114+KTM!H114+IDK!H114+EKM!H114+TSR!H114+PKD!H114+MLPM!H114+KKD!H114+WYD!H114+KNR!H114+KSD!H114+SHS!H114</f>
        <v>0</v>
      </c>
      <c r="I114" s="329">
        <f>TVM!I114+KLM!I114+PTA!I114+ALP!I114+KTM!I114+IDK!I114+EKM!I114+TSR!I114+PKD!I114+MLPM!I114+KKD!I114+WYD!I114+KNR!I114+KSD!I114+SHS!I114</f>
        <v>212.45</v>
      </c>
      <c r="J114" s="323">
        <f>TVM!J114+KLM!J114+PTA!J114+ALP!J114+KTM!J114+IDK!J114+EKM!J114+TSR!J114+PKD!J114+MLPM!J114+KKD!J114+WYD!J114+KNR!J114+KSD!J114+SHS!J114</f>
        <v>0</v>
      </c>
      <c r="K114" s="329">
        <f>TVM!K114+KLM!K114+PTA!K114+ALP!K114+KTM!K114+IDK!K114+EKM!K114+TSR!K114+PKD!K114+MLPM!K114+KKD!K114+WYD!K114+KNR!K114+KSD!K114+SHS!K114</f>
        <v>1080</v>
      </c>
      <c r="L114" s="323">
        <f>TVM!L114+KLM!L114+PTA!L114+ALP!L114+KTM!L114+IDK!L114+EKM!L114+TSR!L114+PKD!L114+MLPM!L114+KKD!L114+WYD!L114+KNR!L114+KSD!L114+SHS!L114</f>
        <v>0</v>
      </c>
      <c r="M114" s="323">
        <f>TVM!M114+KLM!M114+PTA!M114+ALP!M114+KTM!M114+IDK!M114+EKM!M114+TSR!M114+PKD!M114+MLPM!M114+KKD!M114+WYD!M114+KNR!M114+KSD!M114+SHS!M114</f>
        <v>0</v>
      </c>
      <c r="N114" s="329">
        <f>TVM!N114+KLM!N114+PTA!N114+ALP!N114+KTM!N114+IDK!N114+EKM!N114+TSR!N114+PKD!N114+MLPM!N114+KKD!N114+WYD!N114+KNR!N114+KSD!N114+SHS!N114</f>
        <v>0</v>
      </c>
      <c r="O114" s="323">
        <f>TVM!O114+KLM!O114+PTA!O114+ALP!O114+KTM!O114+IDK!O114+EKM!O114+TSR!O114+PKD!O114+MLPM!O114+KKD!O114+WYD!O114+KNR!O114+KSD!O114+SHS!O114</f>
        <v>0</v>
      </c>
      <c r="P114" s="330">
        <f>TVM!P114+KLM!P114+PTA!P114+ALP!P114+KTM!P114+IDK!P114+EKM!P114+TSR!P114+PKD!P114+MLPM!P114+KKD!P114+WYD!P114+KNR!P114+KSD!P114+SHS!P114</f>
        <v>35</v>
      </c>
      <c r="Q114" s="323">
        <f>TVM!Q114+KLM!Q114+PTA!Q114+ALP!Q114+KTM!Q114+IDK!Q114+EKM!Q114+TSR!Q114+PKD!Q114+MLPM!Q114+KKD!Q114+WYD!Q114+KNR!Q114+KSD!Q114+SHS!Q114</f>
        <v>0</v>
      </c>
      <c r="R114" s="330">
        <f>TVM!R114+KLM!R114+PTA!R114+ALP!R114+KTM!R114+IDK!R114+EKM!R114+TSR!R114+PKD!R114+MLPM!R114+KKD!R114+WYD!R114+KNR!R114+KSD!R114+SHS!R114</f>
        <v>14</v>
      </c>
      <c r="S114" s="323">
        <f>TVM!S114+KLM!S114+PTA!S114+ALP!S114+KTM!S114+IDK!S114+EKM!S114+TSR!S114+PKD!S114+MLPM!S114+KKD!S114+WYD!S114+KNR!S114+KSD!S114+SHS!S114</f>
        <v>0</v>
      </c>
      <c r="T114" s="402">
        <f t="shared" si="5"/>
        <v>1341.45</v>
      </c>
      <c r="U114" s="402">
        <f>TVM!U114+KLM!U114+PTA!U114+ALP!U114+KTM!U114+IDK!U114+EKM!U114+TSR!U114+PKD!U114+MLPM!U114+KKD!U114+WYD!U114+KNR!U114+KSD!U114+SHS!U114</f>
        <v>1417</v>
      </c>
      <c r="V114" s="410" t="s">
        <v>1449</v>
      </c>
      <c r="W114" s="411" t="s">
        <v>1450</v>
      </c>
      <c r="X114" s="414">
        <v>671.31</v>
      </c>
      <c r="Y114" s="334">
        <f t="shared" si="1"/>
        <v>670.1400000000001</v>
      </c>
      <c r="Z114" s="314"/>
      <c r="AA114" s="314"/>
      <c r="AB114" s="314"/>
    </row>
    <row r="115" spans="1:28" ht="96" customHeight="1">
      <c r="A115" s="712"/>
      <c r="B115" s="712"/>
      <c r="C115" s="712"/>
      <c r="D115" s="320">
        <v>108</v>
      </c>
      <c r="E115" s="320" t="s">
        <v>224</v>
      </c>
      <c r="F115" s="323">
        <f>TVM!F115+KLM!F115+PTA!F115+ALP!F115+KTM!F115+IDK!F115+EKM!F115+TSR!F115+PKD!F115+MLPM!F115+KKD!F115+WYD!F115+KNR!F115+KSD!F115+SHS!F115</f>
        <v>0</v>
      </c>
      <c r="G115" s="323">
        <f>TVM!G115+KLM!G115+PTA!G115+ALP!G115+KTM!G115+IDK!G115+EKM!G115+TSR!G115+PKD!G115+MLPM!G115+KKD!G115+WYD!G115+KNR!G115+KSD!G115+SHS!G115</f>
        <v>0</v>
      </c>
      <c r="H115" s="323">
        <f>TVM!H115+KLM!H115+PTA!H115+ALP!H115+KTM!H115+IDK!H115+EKM!H115+TSR!H115+PKD!H115+MLPM!H115+KKD!H115+WYD!H115+KNR!H115+KSD!H115+SHS!H115</f>
        <v>0</v>
      </c>
      <c r="I115" s="329">
        <f>TVM!I115+KLM!I115+PTA!I115+ALP!I115+KTM!I115+IDK!I115+EKM!I115+TSR!I115+PKD!I115+MLPM!I115+KKD!I115+WYD!I115+KNR!I115+KSD!I115+SHS!I115</f>
        <v>0</v>
      </c>
      <c r="J115" s="323">
        <f>TVM!J115+KLM!J115+PTA!J115+ALP!J115+KTM!J115+IDK!J115+EKM!J115+TSR!J115+PKD!J115+MLPM!J115+KKD!J115+WYD!J115+KNR!J115+KSD!J115+SHS!J115</f>
        <v>0</v>
      </c>
      <c r="K115" s="329">
        <f>TVM!K115+KLM!K115+PTA!K115+ALP!K115+KTM!K115+IDK!K115+EKM!K115+TSR!K115+PKD!K115+MLPM!K115+KKD!K115+WYD!K115+KNR!K115+KSD!K115+SHS!K115</f>
        <v>870</v>
      </c>
      <c r="L115" s="323">
        <f>TVM!L115+KLM!L115+PTA!L115+ALP!L115+KTM!L115+IDK!L115+EKM!L115+TSR!L115+PKD!L115+MLPM!L115+KKD!L115+WYD!L115+KNR!L115+KSD!L115+SHS!L115</f>
        <v>0</v>
      </c>
      <c r="M115" s="323">
        <f>TVM!M115+KLM!M115+PTA!M115+ALP!M115+KTM!M115+IDK!M115+EKM!M115+TSR!M115+PKD!M115+MLPM!M115+KKD!M115+WYD!M115+KNR!M115+KSD!M115+SHS!M115</f>
        <v>0</v>
      </c>
      <c r="N115" s="329">
        <f>TVM!N115+KLM!N115+PTA!N115+ALP!N115+KTM!N115+IDK!N115+EKM!N115+TSR!N115+PKD!N115+MLPM!N115+KKD!N115+WYD!N115+KNR!N115+KSD!N115+SHS!N115</f>
        <v>0</v>
      </c>
      <c r="O115" s="323">
        <f>TVM!O115+KLM!O115+PTA!O115+ALP!O115+KTM!O115+IDK!O115+EKM!O115+TSR!O115+PKD!O115+MLPM!O115+KKD!O115+WYD!O115+KNR!O115+KSD!O115+SHS!O115</f>
        <v>0</v>
      </c>
      <c r="P115" s="330">
        <f>TVM!P115+KLM!P115+PTA!P115+ALP!P115+KTM!P115+IDK!P115+EKM!P115+TSR!P115+PKD!P115+MLPM!P115+KKD!P115+WYD!P115+KNR!P115+KSD!P115+SHS!P115</f>
        <v>56.75</v>
      </c>
      <c r="Q115" s="323">
        <f>TVM!Q115+KLM!Q115+PTA!Q115+ALP!Q115+KTM!Q115+IDK!Q115+EKM!Q115+TSR!Q115+PKD!Q115+MLPM!Q115+KKD!Q115+WYD!Q115+KNR!Q115+KSD!Q115+SHS!Q115</f>
        <v>0</v>
      </c>
      <c r="R115" s="330">
        <f>TVM!R115+KLM!R115+PTA!R115+ALP!R115+KTM!R115+IDK!R115+EKM!R115+TSR!R115+PKD!R115+MLPM!R115+KKD!R115+WYD!R115+KNR!R115+KSD!R115+SHS!R115</f>
        <v>0</v>
      </c>
      <c r="S115" s="323">
        <f>TVM!S115+KLM!S115+PTA!S115+ALP!S115+KTM!S115+IDK!S115+EKM!S115+TSR!S115+PKD!S115+MLPM!S115+KKD!S115+WYD!S115+KNR!S115+KSD!S115+SHS!S115</f>
        <v>0</v>
      </c>
      <c r="T115" s="324">
        <f t="shared" si="5"/>
        <v>926.75</v>
      </c>
      <c r="U115" s="324">
        <f>TVM!U115+KLM!U115+PTA!U115+ALP!U115+KTM!U115+IDK!U115+EKM!U115+TSR!U115+PKD!U115+MLPM!U115+KKD!U115+WYD!U115+KNR!U115+KSD!U115+SHS!U115</f>
        <v>926.75</v>
      </c>
      <c r="V115" s="410" t="s">
        <v>1451</v>
      </c>
      <c r="W115" s="411" t="s">
        <v>1452</v>
      </c>
      <c r="X115" s="414">
        <v>752.4</v>
      </c>
      <c r="Y115" s="334">
        <f t="shared" si="1"/>
        <v>174.35000000000002</v>
      </c>
      <c r="Z115" s="314"/>
      <c r="AA115" s="314"/>
      <c r="AB115" s="314"/>
    </row>
    <row r="116" spans="1:28" ht="67.5" customHeight="1">
      <c r="A116" s="712"/>
      <c r="B116" s="712"/>
      <c r="C116" s="712"/>
      <c r="D116" s="320">
        <v>109</v>
      </c>
      <c r="E116" s="320" t="s">
        <v>226</v>
      </c>
      <c r="F116" s="323">
        <f>TVM!F116+KLM!F116+PTA!F116+ALP!F116+KTM!F116+IDK!F116+EKM!F116+TSR!F116+PKD!F116+MLPM!F116+KKD!F116+WYD!F116+KNR!F116+KSD!F116+SHS!F116</f>
        <v>0</v>
      </c>
      <c r="G116" s="323">
        <f>TVM!G116+KLM!G116+PTA!G116+ALP!G116+KTM!G116+IDK!G116+EKM!G116+TSR!G116+PKD!G116+MLPM!G116+KKD!G116+WYD!G116+KNR!G116+KSD!G116+SHS!G116</f>
        <v>0</v>
      </c>
      <c r="H116" s="330">
        <f>TVM!H116+KLM!H116+PTA!H116+ALP!H116+KTM!H116+IDK!H116+EKM!H116+TSR!H116+PKD!H116+MLPM!H116+KKD!H116+WYD!H116+KNR!H116+KSD!H116+SHS!H116</f>
        <v>0</v>
      </c>
      <c r="I116" s="329">
        <f>TVM!I116+KLM!I116+PTA!I116+ALP!I116+KTM!I116+IDK!I116+EKM!I116+TSR!I116+PKD!I116+MLPM!I116+KKD!I116+WYD!I116+KNR!I116+KSD!I116+SHS!I116</f>
        <v>279</v>
      </c>
      <c r="J116" s="323">
        <f>TVM!J116+KLM!J116+PTA!J116+ALP!J116+KTM!J116+IDK!J116+EKM!J116+TSR!J116+PKD!J116+MLPM!J116+KKD!J116+WYD!J116+KNR!J116+KSD!J116+SHS!J116</f>
        <v>0</v>
      </c>
      <c r="K116" s="329">
        <f>TVM!K116+KLM!K116+PTA!K116+ALP!K116+KTM!K116+IDK!K116+EKM!K116+TSR!K116+PKD!K116+MLPM!K116+KKD!K116+WYD!K116+KNR!K116+KSD!K116+SHS!K116</f>
        <v>210</v>
      </c>
      <c r="L116" s="323">
        <f>TVM!L116+KLM!L116+PTA!L116+ALP!L116+KTM!L116+IDK!L116+EKM!L116+TSR!L116+PKD!L116+MLPM!L116+KKD!L116+WYD!L116+KNR!L116+KSD!L116+SHS!L116</f>
        <v>0</v>
      </c>
      <c r="M116" s="323">
        <f>TVM!M116+KLM!M116+PTA!M116+ALP!M116+KTM!M116+IDK!M116+EKM!M116+TSR!M116+PKD!M116+MLPM!M116+KKD!M116+WYD!M116+KNR!M116+KSD!M116+SHS!M116</f>
        <v>51</v>
      </c>
      <c r="N116" s="323">
        <f>TVM!N116+KLM!N116+PTA!N116+ALP!N116+KTM!N116+IDK!N116+EKM!N116+TSR!N116+PKD!N116+MLPM!N116+KKD!N116+WYD!N116+KNR!N116+KSD!N116+SHS!N116</f>
        <v>0</v>
      </c>
      <c r="O116" s="323">
        <f>TVM!O116+KLM!O116+PTA!O116+ALP!O116+KTM!O116+IDK!O116+EKM!O116+TSR!O116+PKD!O116+MLPM!O116+KKD!O116+WYD!O116+KNR!O116+KSD!O116+SHS!O116</f>
        <v>0</v>
      </c>
      <c r="P116" s="330">
        <f>TVM!P116+KLM!P116+PTA!P116+ALP!P116+KTM!P116+IDK!P116+EKM!P116+TSR!P116+PKD!P116+MLPM!P116+KKD!P116+WYD!P116+KNR!P116+KSD!P116+SHS!P116</f>
        <v>0</v>
      </c>
      <c r="Q116" s="323">
        <f>TVM!Q116+KLM!Q116+PTA!Q116+ALP!Q116+KTM!Q116+IDK!Q116+EKM!Q116+TSR!Q116+PKD!Q116+MLPM!Q116+KKD!Q116+WYD!Q116+KNR!Q116+KSD!Q116+SHS!Q116</f>
        <v>0</v>
      </c>
      <c r="R116" s="323">
        <f>TVM!R116+KLM!R116+PTA!R116+ALP!R116+KTM!R116+IDK!R116+EKM!R116+TSR!R116+PKD!R116+MLPM!R116+KKD!R116+WYD!R116+KNR!R116+KSD!R116+SHS!R116</f>
        <v>0</v>
      </c>
      <c r="S116" s="323">
        <f>TVM!S116+KLM!S116+PTA!S116+ALP!S116+KTM!S116+IDK!S116+EKM!S116+TSR!S116+PKD!S116+MLPM!S116+KKD!S116+WYD!S116+KNR!S116+KSD!S116+SHS!S116</f>
        <v>0</v>
      </c>
      <c r="T116" s="402">
        <f t="shared" si="5"/>
        <v>540</v>
      </c>
      <c r="U116" s="402">
        <f>TVM!U116+KLM!U116+PTA!U116+ALP!U116+KTM!U116+IDK!U116+EKM!U116+TSR!U116+PKD!U116+MLPM!U116+KKD!U116+WYD!U116+KNR!U116+KSD!U116+SHS!U116</f>
        <v>171</v>
      </c>
      <c r="V116" s="410" t="s">
        <v>1453</v>
      </c>
      <c r="W116" s="411" t="s">
        <v>1454</v>
      </c>
      <c r="X116" s="414">
        <v>280</v>
      </c>
      <c r="Y116" s="328">
        <f t="shared" si="1"/>
        <v>260</v>
      </c>
      <c r="Z116" s="314"/>
      <c r="AA116" s="314"/>
      <c r="AB116" s="314"/>
    </row>
    <row r="117" spans="1:28" ht="156.75" customHeight="1">
      <c r="A117" s="712"/>
      <c r="B117" s="712"/>
      <c r="C117" s="712"/>
      <c r="D117" s="320">
        <v>110</v>
      </c>
      <c r="E117" s="320" t="s">
        <v>227</v>
      </c>
      <c r="F117" s="323">
        <f>TVM!F117+KLM!F117+PTA!F117+ALP!F117+KTM!F117+IDK!F117+EKM!F117+TSR!F117+PKD!F117+MLPM!F117+KKD!F117+WYD!F117+KNR!F117+KSD!F117+SHS!F117</f>
        <v>0</v>
      </c>
      <c r="G117" s="323">
        <f>TVM!G117+KLM!G117+PTA!G117+ALP!G117+KTM!G117+IDK!G117+EKM!G117+TSR!G117+PKD!G117+MLPM!G117+KKD!G117+WYD!G117+KNR!G117+KSD!G117+SHS!G117</f>
        <v>0</v>
      </c>
      <c r="H117" s="330">
        <f>TVM!H117+KLM!H117+PTA!H117+ALP!H117+KTM!H117+IDK!H117+EKM!H117+TSR!H117+PKD!H117+MLPM!H117+KKD!H117+WYD!H117+KNR!H117+KSD!H117+SHS!H117</f>
        <v>0</v>
      </c>
      <c r="I117" s="329">
        <f>TVM!I117+KLM!I117+PTA!I117+ALP!I117+KTM!I117+IDK!I117+EKM!I117+TSR!I117+PKD!I117+MLPM!I117+KKD!I117+WYD!I117+KNR!I117+KSD!I117+SHS!I117</f>
        <v>154</v>
      </c>
      <c r="J117" s="323">
        <f>TVM!J117+KLM!J117+PTA!J117+ALP!J117+KTM!J117+IDK!J117+EKM!J117+TSR!J117+PKD!J117+MLPM!J117+KKD!J117+WYD!J117+KNR!J117+KSD!J117+SHS!J117</f>
        <v>0</v>
      </c>
      <c r="K117" s="329">
        <f>TVM!K117+KLM!K117+PTA!K117+ALP!K117+KTM!K117+IDK!K117+EKM!K117+TSR!K117+PKD!K117+MLPM!K117+KKD!K117+WYD!K117+KNR!K117+KSD!K117+SHS!K117</f>
        <v>1375</v>
      </c>
      <c r="L117" s="323">
        <f>TVM!L117+KLM!L117+PTA!L117+ALP!L117+KTM!L117+IDK!L117+EKM!L117+TSR!L117+PKD!L117+MLPM!L117+KKD!L117+WYD!L117+KNR!L117+KSD!L117+SHS!L117</f>
        <v>0</v>
      </c>
      <c r="M117" s="330">
        <f>TVM!M117+KLM!M117+PTA!M117+ALP!M117+KTM!M117+IDK!M117+EKM!M117+TSR!M117+PKD!M117+MLPM!M117+KKD!M117+WYD!M117+KNR!M117+KSD!M117+SHS!M117</f>
        <v>0</v>
      </c>
      <c r="N117" s="329">
        <f>TVM!N117+KLM!N117+PTA!N117+ALP!N117+KTM!N117+IDK!N117+EKM!N117+TSR!N117+PKD!N117+MLPM!N117+KKD!N117+WYD!N117+KNR!N117+KSD!N117+SHS!N117</f>
        <v>52</v>
      </c>
      <c r="O117" s="330">
        <f>TVM!O117+KLM!O117+PTA!O117+ALP!O117+KTM!O117+IDK!O117+EKM!O117+TSR!O117+PKD!O117+MLPM!O117+KKD!O117+WYD!O117+KNR!O117+KSD!O117+SHS!O117</f>
        <v>688.66</v>
      </c>
      <c r="P117" s="329">
        <f>TVM!P117+KLM!P117+PTA!P117+ALP!P117+KTM!P117+IDK!P117+EKM!P117+TSR!P117+PKD!P117+MLPM!P117+KKD!P117+WYD!P117+KNR!P117+KSD!P117+SHS!P117</f>
        <v>0</v>
      </c>
      <c r="Q117" s="330">
        <f>TVM!Q117+KLM!Q117+PTA!Q117+ALP!Q117+KTM!Q117+IDK!Q117+EKM!Q117+TSR!Q117+PKD!Q117+MLPM!Q117+KKD!Q117+WYD!Q117+KNR!Q117+KSD!Q117+SHS!Q117</f>
        <v>91.15</v>
      </c>
      <c r="R117" s="330">
        <f>TVM!R117+KLM!R117+PTA!R117+ALP!R117+KTM!R117+IDK!R117+EKM!R117+TSR!R117+PKD!R117+MLPM!R117+KKD!R117+WYD!R117+KNR!R117+KSD!R117+SHS!R117</f>
        <v>45</v>
      </c>
      <c r="S117" s="323">
        <f>TVM!S117+KLM!S117+PTA!S117+ALP!S117+KTM!S117+IDK!S117+EKM!S117+TSR!S117+PKD!S117+MLPM!S117+KKD!S117+WYD!S117+KNR!S117+KSD!S117+SHS!S117</f>
        <v>0</v>
      </c>
      <c r="T117" s="402">
        <f t="shared" si="5"/>
        <v>2405.81</v>
      </c>
      <c r="U117" s="402">
        <f>TVM!U117+KLM!U117+PTA!U117+ALP!U117+KTM!U117+IDK!U117+EKM!U117+TSR!U117+PKD!U117+MLPM!U117+KKD!U117+WYD!U117+KNR!U117+KSD!U117+SHS!U117</f>
        <v>2349.81</v>
      </c>
      <c r="V117" s="410" t="s">
        <v>1455</v>
      </c>
      <c r="W117" s="411" t="s">
        <v>1456</v>
      </c>
      <c r="X117" s="414">
        <v>3384.38</v>
      </c>
      <c r="Y117" s="328">
        <f t="shared" si="1"/>
        <v>-978.57000000000016</v>
      </c>
      <c r="Z117" s="314"/>
      <c r="AA117" s="314"/>
      <c r="AB117" s="314"/>
    </row>
    <row r="118" spans="1:28" ht="330.75">
      <c r="A118" s="712"/>
      <c r="B118" s="707"/>
      <c r="C118" s="707"/>
      <c r="D118" s="320">
        <v>111</v>
      </c>
      <c r="E118" s="320" t="s">
        <v>53</v>
      </c>
      <c r="F118" s="323">
        <f>TVM!F118+KLM!F118+PTA!F118+ALP!F118+KTM!F118+IDK!F118+EKM!F118+TSR!F118+PKD!F118+MLPM!F118+KKD!F118+WYD!F118+KNR!F118+KSD!F118+SHS!F118</f>
        <v>0</v>
      </c>
      <c r="G118" s="323">
        <f>TVM!G118+KLM!G118+PTA!G118+ALP!G118+KTM!G118+IDK!G118+EKM!G118+TSR!G118+PKD!G118+MLPM!G118+KKD!G118+WYD!G118+KNR!G118+KSD!G118+SHS!G118</f>
        <v>0</v>
      </c>
      <c r="H118" s="323">
        <f>TVM!H118+KLM!H118+PTA!H118+ALP!H118+KTM!H118+IDK!H118+EKM!H118+TSR!H118+PKD!H118+MLPM!H118+KKD!H118+WYD!H118+KNR!H118+KSD!H118+SHS!H118</f>
        <v>50</v>
      </c>
      <c r="I118" s="330">
        <f>TVM!I118+KLM!I118+PTA!I118+ALP!I118+KTM!I118+IDK!I118+EKM!I118+TSR!I118+PKD!I118+MLPM!I118+KKD!I118+WYD!I118+KNR!I118+KSD!I118+SHS!I118</f>
        <v>25</v>
      </c>
      <c r="J118" s="323">
        <f>TVM!J118+KLM!J118+PTA!J118+ALP!J118+KTM!J118+IDK!J118+EKM!J118+TSR!J118+PKD!J118+MLPM!J118+KKD!J118+WYD!J118+KNR!J118+KSD!J118+SHS!J118</f>
        <v>0</v>
      </c>
      <c r="K118" s="330">
        <f>TVM!K118+KLM!K118+PTA!K118+ALP!K118+KTM!K118+IDK!K118+EKM!K118+TSR!K118+PKD!K118+MLPM!K118+KKD!K118+WYD!K118+KNR!K118+KSD!K118+SHS!K118</f>
        <v>0</v>
      </c>
      <c r="L118" s="323">
        <f>TVM!L118+KLM!L118+PTA!L118+ALP!L118+KTM!L118+IDK!L118+EKM!L118+TSR!L118+PKD!L118+MLPM!L118+KKD!L118+WYD!L118+KNR!L118+KSD!L118+SHS!L118</f>
        <v>0</v>
      </c>
      <c r="M118" s="330">
        <f>TVM!M118+KLM!M118+PTA!M118+ALP!M118+KTM!M118+IDK!M118+EKM!M118+TSR!M118+PKD!M118+MLPM!M118+KKD!M118+WYD!M118+KNR!M118+KSD!M118+SHS!M118</f>
        <v>155</v>
      </c>
      <c r="N118" s="329">
        <f>TVM!N118+KLM!N118+PTA!N118+ALP!N118+KTM!N118+IDK!N118+EKM!N118+TSR!N118+PKD!N118+MLPM!N118+KKD!N118+WYD!N118+KNR!N118+KSD!N118+SHS!N118</f>
        <v>0</v>
      </c>
      <c r="O118" s="330">
        <f>TVM!O118+KLM!O118+PTA!O118+ALP!O118+KTM!O118+IDK!O118+EKM!O118+TSR!O118+PKD!O118+MLPM!O118+KKD!O118+WYD!O118+KNR!O118+KSD!O118+SHS!O118</f>
        <v>0</v>
      </c>
      <c r="P118" s="330">
        <f>TVM!P118+KLM!P118+PTA!P118+ALP!P118+KTM!P118+IDK!P118+EKM!P118+TSR!P118+PKD!P118+MLPM!P118+KKD!P118+WYD!P118+KNR!P118+KSD!P118+SHS!P118</f>
        <v>0</v>
      </c>
      <c r="Q118" s="329">
        <f>TVM!Q118+KLM!Q118+PTA!Q118+ALP!Q118+KTM!Q118+IDK!Q118+EKM!Q118+TSR!Q118+PKD!Q118+MLPM!Q118+KKD!Q118+WYD!Q118+KNR!Q118+KSD!Q118+SHS!Q118</f>
        <v>0</v>
      </c>
      <c r="R118" s="330">
        <f>TVM!R118+KLM!R118+PTA!R118+ALP!R118+KTM!R118+IDK!R118+EKM!R118+TSR!R118+PKD!R118+MLPM!R118+KKD!R118+WYD!R118+KNR!R118+KSD!R118+SHS!R118</f>
        <v>0</v>
      </c>
      <c r="S118" s="330">
        <f>TVM!S118+KLM!S118+PTA!S118+ALP!S118+KTM!S118+IDK!S118+EKM!S118+TSR!S118+PKD!S118+MLPM!S118+KKD!S118+WYD!S118+KNR!S118+KSD!S118+SHS!S118</f>
        <v>20</v>
      </c>
      <c r="T118" s="402">
        <f t="shared" si="5"/>
        <v>250</v>
      </c>
      <c r="U118" s="402">
        <f>TVM!U118+KLM!U118+PTA!U118+ALP!U118+KTM!U118+IDK!U118+EKM!U118+TSR!U118+PKD!U118+MLPM!U118+KKD!U118+WYD!U118+KNR!U118+KSD!U118+SHS!U118</f>
        <v>257</v>
      </c>
      <c r="V118" s="410" t="s">
        <v>1457</v>
      </c>
      <c r="W118" s="411" t="s">
        <v>1458</v>
      </c>
      <c r="X118" s="414">
        <v>161</v>
      </c>
      <c r="Y118" s="328">
        <f t="shared" si="1"/>
        <v>89</v>
      </c>
      <c r="Z118" s="314"/>
      <c r="AA118" s="314"/>
      <c r="AB118" s="314"/>
    </row>
    <row r="119" spans="1:28" ht="95.25" customHeight="1">
      <c r="A119" s="712"/>
      <c r="B119" s="718" t="s">
        <v>229</v>
      </c>
      <c r="C119" s="718" t="s">
        <v>230</v>
      </c>
      <c r="D119" s="320">
        <v>112</v>
      </c>
      <c r="E119" s="320" t="s">
        <v>231</v>
      </c>
      <c r="F119" s="323">
        <f>TVM!F119+KLM!F119+PTA!F119+ALP!F119+KTM!F119+IDK!F119+EKM!F119+TSR!F119+PKD!F119+MLPM!F119+KKD!F119+WYD!F119+KNR!F119+KSD!F119+SHS!F119</f>
        <v>0</v>
      </c>
      <c r="G119" s="323">
        <f>TVM!G119+KLM!G119+PTA!G119+ALP!G119+KTM!G119+IDK!G119+EKM!G119+TSR!G119+PKD!G119+MLPM!G119+KKD!G119+WYD!G119+KNR!G119+KSD!G119+SHS!G119</f>
        <v>0</v>
      </c>
      <c r="H119" s="323">
        <f>TVM!H119+KLM!H119+PTA!H119+ALP!H119+KTM!H119+IDK!H119+EKM!H119+TSR!H119+PKD!H119+MLPM!H119+KKD!H119+WYD!H119+KNR!H119+KSD!H119+SHS!H119</f>
        <v>0</v>
      </c>
      <c r="I119" s="329">
        <f>TVM!I119+KLM!I119+PTA!I119+ALP!I119+KTM!I119+IDK!I119+EKM!I119+TSR!I119+PKD!I119+MLPM!I119+KKD!I119+WYD!I119+KNR!I119+KSD!I119+SHS!I119</f>
        <v>31.9</v>
      </c>
      <c r="J119" s="323">
        <f>TVM!J119+KLM!J119+PTA!J119+ALP!J119+KTM!J119+IDK!J119+EKM!J119+TSR!J119+PKD!J119+MLPM!J119+KKD!J119+WYD!J119+KNR!J119+KSD!J119+SHS!J119</f>
        <v>0</v>
      </c>
      <c r="K119" s="329">
        <f>TVM!K119+KLM!K119+PTA!K119+ALP!K119+KTM!K119+IDK!K119+EKM!K119+TSR!K119+PKD!K119+MLPM!K119+KKD!K119+WYD!K119+KNR!K119+KSD!K119+SHS!K119</f>
        <v>50</v>
      </c>
      <c r="L119" s="323">
        <f>TVM!L119+KLM!L119+PTA!L119+ALP!L119+KTM!L119+IDK!L119+EKM!L119+TSR!L119+PKD!L119+MLPM!L119+KKD!L119+WYD!L119+KNR!L119+KSD!L119+SHS!L119</f>
        <v>0</v>
      </c>
      <c r="M119" s="329">
        <f>TVM!M119+KLM!M119+PTA!M119+ALP!M119+KTM!M119+IDK!M119+EKM!M119+TSR!M119+PKD!M119+MLPM!M119+KKD!M119+WYD!M119+KNR!M119+KSD!M119+SHS!M119</f>
        <v>1</v>
      </c>
      <c r="N119" s="323">
        <f>TVM!N119+KLM!N119+PTA!N119+ALP!N119+KTM!N119+IDK!N119+EKM!N119+TSR!N119+PKD!N119+MLPM!N119+KKD!N119+WYD!N119+KNR!N119+KSD!N119+SHS!N119</f>
        <v>0</v>
      </c>
      <c r="O119" s="323">
        <f>TVM!O119+KLM!O119+PTA!O119+ALP!O119+KTM!O119+IDK!O119+EKM!O119+TSR!O119+PKD!O119+MLPM!O119+KKD!O119+WYD!O119+KNR!O119+KSD!O119+SHS!O119</f>
        <v>0</v>
      </c>
      <c r="P119" s="330">
        <f>TVM!P119+KLM!P119+PTA!P119+ALP!P119+KTM!P119+IDK!P119+EKM!P119+TSR!P119+PKD!P119+MLPM!P119+KKD!P119+WYD!P119+KNR!P119+KSD!P119+SHS!P119</f>
        <v>0</v>
      </c>
      <c r="Q119" s="329">
        <f>TVM!Q119+KLM!Q119+PTA!Q119+ALP!Q119+KTM!Q119+IDK!Q119+EKM!Q119+TSR!Q119+PKD!Q119+MLPM!Q119+KKD!Q119+WYD!Q119+KNR!Q119+KSD!Q119+SHS!Q119</f>
        <v>0</v>
      </c>
      <c r="R119" s="323">
        <f>TVM!R119+KLM!R119+PTA!R119+ALP!R119+KTM!R119+IDK!R119+EKM!R119+TSR!R119+PKD!R119+MLPM!R119+KKD!R119+WYD!R119+KNR!R119+KSD!R119+SHS!R119</f>
        <v>0</v>
      </c>
      <c r="S119" s="323">
        <f>TVM!S119+KLM!S119+PTA!S119+ALP!S119+KTM!S119+IDK!S119+EKM!S119+TSR!S119+PKD!S119+MLPM!S119+KKD!S119+WYD!S119+KNR!S119+KSD!S119+SHS!S119</f>
        <v>0</v>
      </c>
      <c r="T119" s="402">
        <f t="shared" si="5"/>
        <v>82.9</v>
      </c>
      <c r="U119" s="402">
        <f>TVM!U119+KLM!U119+PTA!U119+ALP!U119+KTM!U119+IDK!U119+EKM!U119+TSR!U119+PKD!U119+MLPM!U119+KKD!U119+WYD!U119+KNR!U119+KSD!U119+SHS!U119</f>
        <v>81.900000000000006</v>
      </c>
      <c r="V119" s="410" t="s">
        <v>1459</v>
      </c>
      <c r="W119" s="411" t="s">
        <v>1460</v>
      </c>
      <c r="X119" s="405">
        <v>106.84</v>
      </c>
      <c r="Y119" s="334">
        <f t="shared" si="1"/>
        <v>-23.939999999999998</v>
      </c>
      <c r="Z119" s="314"/>
      <c r="AA119" s="314"/>
      <c r="AB119" s="314"/>
    </row>
    <row r="120" spans="1:28" ht="188.25" customHeight="1">
      <c r="A120" s="712"/>
      <c r="B120" s="707"/>
      <c r="C120" s="707"/>
      <c r="D120" s="320">
        <v>113</v>
      </c>
      <c r="E120" s="320" t="s">
        <v>232</v>
      </c>
      <c r="F120" s="323">
        <f>TVM!F120+KLM!F120+PTA!F120+ALP!F120+KTM!F120+IDK!F120+EKM!F120+TSR!F120+PKD!F120+MLPM!F120+KKD!F120+WYD!F120+KNR!F120+KSD!F120+SHS!F120</f>
        <v>0</v>
      </c>
      <c r="G120" s="323">
        <f>TVM!G120+KLM!G120+PTA!G120+ALP!G120+KTM!G120+IDK!G120+EKM!G120+TSR!G120+PKD!G120+MLPM!G120+KKD!G120+WYD!G120+KNR!G120+KSD!G120+SHS!G120</f>
        <v>0</v>
      </c>
      <c r="H120" s="323">
        <f>TVM!H120+KLM!H120+PTA!H120+ALP!H120+KTM!H120+IDK!H120+EKM!H120+TSR!H120+PKD!H120+MLPM!H120+KKD!H120+WYD!H120+KNR!H120+KSD!H120+SHS!H120</f>
        <v>0</v>
      </c>
      <c r="I120" s="329">
        <f>TVM!I120+KLM!I120+PTA!I120+ALP!I120+KTM!I120+IDK!I120+EKM!I120+TSR!I120+PKD!I120+MLPM!I120+KKD!I120+WYD!I120+KNR!I120+KSD!I120+SHS!I120</f>
        <v>0</v>
      </c>
      <c r="J120" s="323">
        <f>TVM!J120+KLM!J120+PTA!J120+ALP!J120+KTM!J120+IDK!J120+EKM!J120+TSR!J120+PKD!J120+MLPM!J120+KKD!J120+WYD!J120+KNR!J120+KSD!J120+SHS!J120</f>
        <v>0</v>
      </c>
      <c r="K120" s="329">
        <f>TVM!K120+KLM!K120+PTA!K120+ALP!K120+KTM!K120+IDK!K120+EKM!K120+TSR!K120+PKD!K120+MLPM!K120+KKD!K120+WYD!K120+KNR!K120+KSD!K120+SHS!K120</f>
        <v>0</v>
      </c>
      <c r="L120" s="323">
        <f>TVM!L120+KLM!L120+PTA!L120+ALP!L120+KTM!L120+IDK!L120+EKM!L120+TSR!L120+PKD!L120+MLPM!L120+KKD!L120+WYD!L120+KNR!L120+KSD!L120+SHS!L120</f>
        <v>0</v>
      </c>
      <c r="M120" s="329">
        <f>TVM!M120+KLM!M120+PTA!M120+ALP!M120+KTM!M120+IDK!M120+EKM!M120+TSR!M120+PKD!M120+MLPM!M120+KKD!M120+WYD!M120+KNR!M120+KSD!M120+SHS!M120</f>
        <v>990.45</v>
      </c>
      <c r="N120" s="329">
        <f>TVM!N120+KLM!N120+PTA!N120+ALP!N120+KTM!N120+IDK!N120+EKM!N120+TSR!N120+PKD!N120+MLPM!N120+KKD!N120+WYD!N120+KNR!N120+KSD!N120+SHS!N120</f>
        <v>8</v>
      </c>
      <c r="O120" s="323">
        <f>TVM!O120+KLM!O120+PTA!O120+ALP!O120+KTM!O120+IDK!O120+EKM!O120+TSR!O120+PKD!O120+MLPM!O120+KKD!O120+WYD!O120+KNR!O120+KSD!O120+SHS!O120</f>
        <v>0</v>
      </c>
      <c r="P120" s="323">
        <f>TVM!P120+KLM!P120+PTA!P120+ALP!P120+KTM!P120+IDK!P120+EKM!P120+TSR!P120+PKD!P120+MLPM!P120+KKD!P120+WYD!P120+KNR!P120+KSD!P120+SHS!P120</f>
        <v>0</v>
      </c>
      <c r="Q120" s="329">
        <f>TVM!Q120+KLM!Q120+PTA!Q120+ALP!Q120+KTM!Q120+IDK!Q120+EKM!Q120+TSR!Q120+PKD!Q120+MLPM!Q120+KKD!Q120+WYD!Q120+KNR!Q120+KSD!Q120+SHS!Q120</f>
        <v>5.1999999999999993</v>
      </c>
      <c r="R120" s="323">
        <f>TVM!R120+KLM!R120+PTA!R120+ALP!R120+KTM!R120+IDK!R120+EKM!R120+TSR!R120+PKD!R120+MLPM!R120+KKD!R120+WYD!R120+KNR!R120+KSD!R120+SHS!R120</f>
        <v>0</v>
      </c>
      <c r="S120" s="323">
        <f>TVM!S120+KLM!S120+PTA!S120+ALP!S120+KTM!S120+IDK!S120+EKM!S120+TSR!S120+PKD!S120+MLPM!S120+KKD!S120+WYD!S120+KNR!S120+KSD!S120+SHS!S120</f>
        <v>0</v>
      </c>
      <c r="T120" s="402">
        <f t="shared" si="5"/>
        <v>1003.6500000000001</v>
      </c>
      <c r="U120" s="402">
        <f>TVM!U120+KLM!U120+PTA!U120+ALP!U120+KTM!U120+IDK!U120+EKM!U120+TSR!U120+PKD!U120+MLPM!U120+KKD!U120+WYD!U120+KNR!U120+KSD!U120+SHS!U120</f>
        <v>1003.6500000000001</v>
      </c>
      <c r="V120" s="415" t="s">
        <v>1461</v>
      </c>
      <c r="W120" s="416" t="s">
        <v>1462</v>
      </c>
      <c r="X120" s="405">
        <v>715</v>
      </c>
      <c r="Y120" s="334">
        <f t="shared" si="1"/>
        <v>288.65000000000009</v>
      </c>
      <c r="Z120" s="314"/>
      <c r="AA120" s="314"/>
      <c r="AB120" s="314"/>
    </row>
    <row r="121" spans="1:28" ht="241.5" customHeight="1">
      <c r="A121" s="712"/>
      <c r="B121" s="320" t="s">
        <v>234</v>
      </c>
      <c r="C121" s="320" t="s">
        <v>235</v>
      </c>
      <c r="D121" s="320">
        <v>114</v>
      </c>
      <c r="E121" s="320" t="s">
        <v>236</v>
      </c>
      <c r="F121" s="323">
        <f>TVM!F121+KLM!F121+PTA!F121+ALP!F121+KTM!F121+IDK!F121+EKM!F121+TSR!F121+PKD!F121+MLPM!F121+KKD!F121+WYD!F121+KNR!F121+KSD!F121+SHS!F121</f>
        <v>0</v>
      </c>
      <c r="G121" s="323">
        <f>TVM!G121+KLM!G121+PTA!G121+ALP!G121+KTM!G121+IDK!G121+EKM!G121+TSR!G121+PKD!G121+MLPM!G121+KKD!G121+WYD!G121+KNR!G121+KSD!G121+SHS!G121</f>
        <v>0</v>
      </c>
      <c r="H121" s="330">
        <f>TVM!H121+KLM!H121+PTA!H121+ALP!H121+KTM!H121+IDK!H121+EKM!H121+TSR!H121+PKD!H121+MLPM!H121+KKD!H121+WYD!H121+KNR!H121+KSD!H121+SHS!H121</f>
        <v>15</v>
      </c>
      <c r="I121" s="323">
        <f>TVM!I121+KLM!I121+PTA!I121+ALP!I121+KTM!I121+IDK!I121+EKM!I121+TSR!I121+PKD!I121+MLPM!I121+KKD!I121+WYD!I121+KNR!I121+KSD!I121+SHS!I121</f>
        <v>2.5200000000000005</v>
      </c>
      <c r="J121" s="323">
        <f>TVM!J121+KLM!J121+PTA!J121+ALP!J121+KTM!J121+IDK!J121+EKM!J121+TSR!J121+PKD!J121+MLPM!J121+KKD!J121+WYD!J121+KNR!J121+KSD!J121+SHS!J121</f>
        <v>0</v>
      </c>
      <c r="K121" s="323">
        <f>TVM!K121+KLM!K121+PTA!K121+ALP!K121+KTM!K121+IDK!K121+EKM!K121+TSR!K121+PKD!K121+MLPM!K121+KKD!K121+WYD!K121+KNR!K121+KSD!K121+SHS!K121</f>
        <v>0</v>
      </c>
      <c r="L121" s="323">
        <f>TVM!L121+KLM!L121+PTA!L121+ALP!L121+KTM!L121+IDK!L121+EKM!L121+TSR!L121+PKD!L121+MLPM!L121+KKD!L121+WYD!L121+KNR!L121+KSD!L121+SHS!L121</f>
        <v>0</v>
      </c>
      <c r="M121" s="323">
        <f>TVM!M121+KLM!M121+PTA!M121+ALP!M121+KTM!M121+IDK!M121+EKM!M121+TSR!M121+PKD!M121+MLPM!M121+KKD!M121+WYD!M121+KNR!M121+KSD!M121+SHS!M121</f>
        <v>0</v>
      </c>
      <c r="N121" s="330">
        <f>TVM!N121+KLM!N121+PTA!N121+ALP!N121+KTM!N121+IDK!N121+EKM!N121+TSR!N121+PKD!N121+MLPM!N121+KKD!N121+WYD!N121+KNR!N121+KSD!N121+SHS!N121</f>
        <v>8</v>
      </c>
      <c r="O121" s="323">
        <f>TVM!O121+KLM!O121+PTA!O121+ALP!O121+KTM!O121+IDK!O121+EKM!O121+TSR!O121+PKD!O121+MLPM!O121+KKD!O121+WYD!O121+KNR!O121+KSD!O121+SHS!O121</f>
        <v>0</v>
      </c>
      <c r="P121" s="330">
        <f>TVM!P121+KLM!P121+PTA!P121+ALP!P121+KTM!P121+IDK!P121+EKM!P121+TSR!P121+PKD!P121+MLPM!P121+KKD!P121+WYD!P121+KNR!P121+KSD!P121+SHS!P121</f>
        <v>244.60000000000005</v>
      </c>
      <c r="Q121" s="329">
        <f>TVM!Q121+KLM!Q121+PTA!Q121+ALP!Q121+KTM!Q121+IDK!Q121+EKM!Q121+TSR!Q121+PKD!Q121+MLPM!Q121+KKD!Q121+WYD!Q121+KNR!Q121+KSD!Q121+SHS!Q121</f>
        <v>12</v>
      </c>
      <c r="R121" s="330">
        <f>TVM!R121+KLM!R121+PTA!R121+ALP!R121+KTM!R121+IDK!R121+EKM!R121+TSR!R121+PKD!R121+MLPM!R121+KKD!R121+WYD!R121+KNR!R121+KSD!R121+SHS!R121</f>
        <v>8</v>
      </c>
      <c r="S121" s="330">
        <f>TVM!S121+KLM!S121+PTA!S121+ALP!S121+KTM!S121+IDK!S121+EKM!S121+TSR!S121+PKD!S121+MLPM!S121+KKD!S121+WYD!S121+KNR!S121+KSD!S121+SHS!S121</f>
        <v>5.8</v>
      </c>
      <c r="T121" s="402">
        <f t="shared" si="5"/>
        <v>295.92000000000007</v>
      </c>
      <c r="U121" s="402">
        <f>TVM!U121+KLM!U121+PTA!U121+ALP!U121+KTM!U121+IDK!U121+EKM!U121+TSR!U121+PKD!U121+MLPM!U121+KKD!U121+WYD!U121+KNR!U121+KSD!U121+SHS!U121</f>
        <v>313.92</v>
      </c>
      <c r="V121" s="408" t="s">
        <v>1463</v>
      </c>
      <c r="W121" s="409" t="s">
        <v>1464</v>
      </c>
      <c r="X121" s="405">
        <v>202.3</v>
      </c>
      <c r="Y121" s="334">
        <f t="shared" si="1"/>
        <v>93.620000000000061</v>
      </c>
      <c r="Z121" s="314"/>
      <c r="AA121" s="417" t="s">
        <v>1465</v>
      </c>
      <c r="AB121" s="314"/>
    </row>
    <row r="122" spans="1:28" ht="184.5">
      <c r="A122" s="712"/>
      <c r="B122" s="718" t="s">
        <v>238</v>
      </c>
      <c r="C122" s="718" t="s">
        <v>239</v>
      </c>
      <c r="D122" s="320">
        <v>115</v>
      </c>
      <c r="E122" s="320" t="s">
        <v>240</v>
      </c>
      <c r="F122" s="323">
        <f>TVM!F122+KLM!F122+PTA!F122+ALP!F122+KTM!F122+IDK!F122+EKM!F122+TSR!F122+PKD!F122+MLPM!F122+KKD!F122+WYD!F122+KNR!F122+KSD!F122+SHS!F122</f>
        <v>0</v>
      </c>
      <c r="G122" s="323">
        <f>TVM!G122+KLM!G122+PTA!G122+ALP!G122+KTM!G122+IDK!G122+EKM!G122+TSR!G122+PKD!G122+MLPM!G122+KKD!G122+WYD!G122+KNR!G122+KSD!G122+SHS!G122</f>
        <v>0</v>
      </c>
      <c r="H122" s="323">
        <f>TVM!H122+KLM!H122+PTA!H122+ALP!H122+KTM!H122+IDK!H122+EKM!H122+TSR!H122+PKD!H122+MLPM!H122+KKD!H122+WYD!H122+KNR!H122+KSD!H122+SHS!H122</f>
        <v>0</v>
      </c>
      <c r="I122" s="323">
        <f>TVM!I122+KLM!I122+PTA!I122+ALP!I122+KTM!I122+IDK!I122+EKM!I122+TSR!I122+PKD!I122+MLPM!I122+KKD!I122+WYD!I122+KNR!I122+KSD!I122+SHS!I122</f>
        <v>0</v>
      </c>
      <c r="J122" s="323">
        <f>TVM!J122+KLM!J122+PTA!J122+ALP!J122+KTM!J122+IDK!J122+EKM!J122+TSR!J122+PKD!J122+MLPM!J122+KKD!J122+WYD!J122+KNR!J122+KSD!J122+SHS!J122</f>
        <v>0</v>
      </c>
      <c r="K122" s="323">
        <f>TVM!K122+KLM!K122+PTA!K122+ALP!K122+KTM!K122+IDK!K122+EKM!K122+TSR!K122+PKD!K122+MLPM!K122+KKD!K122+WYD!K122+KNR!K122+KSD!K122+SHS!K122</f>
        <v>0</v>
      </c>
      <c r="L122" s="323">
        <f>TVM!L122+KLM!L122+PTA!L122+ALP!L122+KTM!L122+IDK!L122+EKM!L122+TSR!L122+PKD!L122+MLPM!L122+KKD!L122+WYD!L122+KNR!L122+KSD!L122+SHS!L122</f>
        <v>0</v>
      </c>
      <c r="M122" s="329">
        <f>TVM!M122+KLM!M122+PTA!M122+ALP!M122+KTM!M122+IDK!M122+EKM!M122+TSR!M122+PKD!M122+MLPM!M122+KKD!M122+WYD!M122+KNR!M122+KSD!M122+SHS!M122</f>
        <v>29</v>
      </c>
      <c r="N122" s="323">
        <f>TVM!N122+KLM!N122+PTA!N122+ALP!N122+KTM!N122+IDK!N122+EKM!N122+TSR!N122+PKD!N122+MLPM!N122+KKD!N122+WYD!N122+KNR!N122+KSD!N122+SHS!N122</f>
        <v>0</v>
      </c>
      <c r="O122" s="323">
        <f>TVM!O122+KLM!O122+PTA!O122+ALP!O122+KTM!O122+IDK!O122+EKM!O122+TSR!O122+PKD!O122+MLPM!O122+KKD!O122+WYD!O122+KNR!O122+KSD!O122+SHS!O122</f>
        <v>0</v>
      </c>
      <c r="P122" s="323">
        <f>TVM!P122+KLM!P122+PTA!P122+ALP!P122+KTM!P122+IDK!P122+EKM!P122+TSR!P122+PKD!P122+MLPM!P122+KKD!P122+WYD!P122+KNR!P122+KSD!P122+SHS!P122</f>
        <v>0</v>
      </c>
      <c r="Q122" s="323">
        <f>TVM!Q122+KLM!Q122+PTA!Q122+ALP!Q122+KTM!Q122+IDK!Q122+EKM!Q122+TSR!Q122+PKD!Q122+MLPM!Q122+KKD!Q122+WYD!Q122+KNR!Q122+KSD!Q122+SHS!Q122</f>
        <v>101.75000000000003</v>
      </c>
      <c r="R122" s="323">
        <f>TVM!R122+KLM!R122+PTA!R122+ALP!R122+KTM!R122+IDK!R122+EKM!R122+TSR!R122+PKD!R122+MLPM!R122+KKD!R122+WYD!R122+KNR!R122+KSD!R122+SHS!R122</f>
        <v>0.75</v>
      </c>
      <c r="S122" s="323">
        <f>TVM!S122+KLM!S122+PTA!S122+ALP!S122+KTM!S122+IDK!S122+EKM!S122+TSR!S122+PKD!S122+MLPM!S122+KKD!S122+WYD!S122+KNR!S122+KSD!S122+SHS!S122</f>
        <v>0</v>
      </c>
      <c r="T122" s="324">
        <f t="shared" si="5"/>
        <v>131.50000000000003</v>
      </c>
      <c r="U122" s="324">
        <f>TVM!U122+KLM!U122+PTA!U122+ALP!U122+KTM!U122+IDK!U122+EKM!U122+TSR!U122+PKD!U122+MLPM!U122+KKD!U122+WYD!U122+KNR!U122+KSD!U122+SHS!U122</f>
        <v>131.50000000000003</v>
      </c>
      <c r="V122" s="410" t="s">
        <v>1466</v>
      </c>
      <c r="W122" s="411" t="s">
        <v>1467</v>
      </c>
      <c r="X122" s="405">
        <v>0</v>
      </c>
      <c r="Y122" s="328">
        <f t="shared" si="1"/>
        <v>131.50000000000003</v>
      </c>
      <c r="Z122" s="314"/>
      <c r="AA122" s="314"/>
      <c r="AB122" s="314"/>
    </row>
    <row r="123" spans="1:28" ht="94.5" customHeight="1">
      <c r="A123" s="712"/>
      <c r="B123" s="712"/>
      <c r="C123" s="712"/>
      <c r="D123" s="320">
        <v>116</v>
      </c>
      <c r="E123" s="320" t="s">
        <v>242</v>
      </c>
      <c r="F123" s="323">
        <f>TVM!F123+KLM!F123+PTA!F123+ALP!F123+KTM!F123+IDK!F123+EKM!F123+TSR!F123+PKD!F123+MLPM!F123+KKD!F123+WYD!F123+KNR!F123+KSD!F123+SHS!F123</f>
        <v>0</v>
      </c>
      <c r="G123" s="323">
        <f>TVM!G123+KLM!G123+PTA!G123+ALP!G123+KTM!G123+IDK!G123+EKM!G123+TSR!G123+PKD!G123+MLPM!G123+KKD!G123+WYD!G123+KNR!G123+KSD!G123+SHS!G123</f>
        <v>0</v>
      </c>
      <c r="H123" s="323">
        <f>TVM!H123+KLM!H123+PTA!H123+ALP!H123+KTM!H123+IDK!H123+EKM!H123+TSR!H123+PKD!H123+MLPM!H123+KKD!H123+WYD!H123+KNR!H123+KSD!H123+SHS!H123</f>
        <v>0</v>
      </c>
      <c r="I123" s="323">
        <f>TVM!I123+KLM!I123+PTA!I123+ALP!I123+KTM!I123+IDK!I123+EKM!I123+TSR!I123+PKD!I123+MLPM!I123+KKD!I123+WYD!I123+KNR!I123+KSD!I123+SHS!I123</f>
        <v>0</v>
      </c>
      <c r="J123" s="323">
        <f>TVM!J123+KLM!J123+PTA!J123+ALP!J123+KTM!J123+IDK!J123+EKM!J123+TSR!J123+PKD!J123+MLPM!J123+KKD!J123+WYD!J123+KNR!J123+KSD!J123+SHS!J123</f>
        <v>0</v>
      </c>
      <c r="K123" s="323">
        <f>TVM!K123+KLM!K123+PTA!K123+ALP!K123+KTM!K123+IDK!K123+EKM!K123+TSR!K123+PKD!K123+MLPM!K123+KKD!K123+WYD!K123+KNR!K123+KSD!K123+SHS!K123</f>
        <v>0</v>
      </c>
      <c r="L123" s="323">
        <f>TVM!L123+KLM!L123+PTA!L123+ALP!L123+KTM!L123+IDK!L123+EKM!L123+TSR!L123+PKD!L123+MLPM!L123+KKD!L123+WYD!L123+KNR!L123+KSD!L123+SHS!L123</f>
        <v>0</v>
      </c>
      <c r="M123" s="329">
        <f>TVM!M123+KLM!M123+PTA!M123+ALP!M123+KTM!M123+IDK!M123+EKM!M123+TSR!M123+PKD!M123+MLPM!M123+KKD!M123+WYD!M123+KNR!M123+KSD!M123+SHS!M123</f>
        <v>107.6</v>
      </c>
      <c r="N123" s="329">
        <f>TVM!N123+KLM!N123+PTA!N123+ALP!N123+KTM!N123+IDK!N123+EKM!N123+TSR!N123+PKD!N123+MLPM!N123+KKD!N123+WYD!N123+KNR!N123+KSD!N123+SHS!N123</f>
        <v>0</v>
      </c>
      <c r="O123" s="323">
        <f>TVM!O123+KLM!O123+PTA!O123+ALP!O123+KTM!O123+IDK!O123+EKM!O123+TSR!O123+PKD!O123+MLPM!O123+KKD!O123+WYD!O123+KNR!O123+KSD!O123+SHS!O123</f>
        <v>0</v>
      </c>
      <c r="P123" s="323">
        <f>TVM!P123+KLM!P123+PTA!P123+ALP!P123+KTM!P123+IDK!P123+EKM!P123+TSR!P123+PKD!P123+MLPM!P123+KKD!P123+WYD!P123+KNR!P123+KSD!P123+SHS!P123</f>
        <v>0</v>
      </c>
      <c r="Q123" s="329">
        <f>TVM!Q123+KLM!Q123+PTA!Q123+ALP!Q123+KTM!Q123+IDK!Q123+EKM!Q123+TSR!Q123+PKD!Q123+MLPM!Q123+KKD!Q123+WYD!Q123+KNR!Q123+KSD!Q123+SHS!Q123</f>
        <v>0</v>
      </c>
      <c r="R123" s="323">
        <f>TVM!R123+KLM!R123+PTA!R123+ALP!R123+KTM!R123+IDK!R123+EKM!R123+TSR!R123+PKD!R123+MLPM!R123+KKD!R123+WYD!R123+KNR!R123+KSD!R123+SHS!R123</f>
        <v>0</v>
      </c>
      <c r="S123" s="323">
        <f>TVM!S123+KLM!S123+PTA!S123+ALP!S123+KTM!S123+IDK!S123+EKM!S123+TSR!S123+PKD!S123+MLPM!S123+KKD!S123+WYD!S123+KNR!S123+KSD!S123+SHS!S123</f>
        <v>0</v>
      </c>
      <c r="T123" s="402">
        <f t="shared" si="5"/>
        <v>107.6</v>
      </c>
      <c r="U123" s="402">
        <f>TVM!U123+KLM!U123+PTA!U123+ALP!U123+KTM!U123+IDK!U123+EKM!U123+TSR!U123+PKD!U123+MLPM!U123+KKD!U123+WYD!U123+KNR!U123+KSD!U123+SHS!U123</f>
        <v>107.6</v>
      </c>
      <c r="V123" s="418" t="s">
        <v>1468</v>
      </c>
      <c r="W123" s="419" t="s">
        <v>1469</v>
      </c>
      <c r="X123" s="405">
        <v>275</v>
      </c>
      <c r="Y123" s="328">
        <f t="shared" si="1"/>
        <v>-167.4</v>
      </c>
      <c r="Z123" s="314"/>
      <c r="AA123" s="314"/>
      <c r="AB123" s="314"/>
    </row>
    <row r="124" spans="1:28" ht="39.75" customHeight="1">
      <c r="A124" s="712"/>
      <c r="B124" s="712"/>
      <c r="C124" s="712"/>
      <c r="D124" s="320">
        <v>117</v>
      </c>
      <c r="E124" s="320" t="s">
        <v>244</v>
      </c>
      <c r="F124" s="323">
        <f>TVM!F124+KLM!F124+PTA!F124+ALP!F124+KTM!F124+IDK!F124+EKM!F124+TSR!F124+PKD!F124+MLPM!F124+KKD!F124+WYD!F124+KNR!F124+KSD!F124+SHS!F124</f>
        <v>0</v>
      </c>
      <c r="G124" s="323">
        <f>TVM!G124+KLM!G124+PTA!G124+ALP!G124+KTM!G124+IDK!G124+EKM!G124+TSR!G124+PKD!G124+MLPM!G124+KKD!G124+WYD!G124+KNR!G124+KSD!G124+SHS!G124</f>
        <v>0</v>
      </c>
      <c r="H124" s="323">
        <f>TVM!H124+KLM!H124+PTA!H124+ALP!H124+KTM!H124+IDK!H124+EKM!H124+TSR!H124+PKD!H124+MLPM!H124+KKD!H124+WYD!H124+KNR!H124+KSD!H124+SHS!H124</f>
        <v>0</v>
      </c>
      <c r="I124" s="323">
        <f>TVM!I124+KLM!I124+PTA!I124+ALP!I124+KTM!I124+IDK!I124+EKM!I124+TSR!I124+PKD!I124+MLPM!I124+KKD!I124+WYD!I124+KNR!I124+KSD!I124+SHS!I124</f>
        <v>0</v>
      </c>
      <c r="J124" s="323">
        <f>TVM!J124+KLM!J124+PTA!J124+ALP!J124+KTM!J124+IDK!J124+EKM!J124+TSR!J124+PKD!J124+MLPM!J124+KKD!J124+WYD!J124+KNR!J124+KSD!J124+SHS!J124</f>
        <v>0</v>
      </c>
      <c r="K124" s="323">
        <f>TVM!K124+KLM!K124+PTA!K124+ALP!K124+KTM!K124+IDK!K124+EKM!K124+TSR!K124+PKD!K124+MLPM!K124+KKD!K124+WYD!K124+KNR!K124+KSD!K124+SHS!K124</f>
        <v>0</v>
      </c>
      <c r="L124" s="323">
        <f>TVM!L124+KLM!L124+PTA!L124+ALP!L124+KTM!L124+IDK!L124+EKM!L124+TSR!L124+PKD!L124+MLPM!L124+KKD!L124+WYD!L124+KNR!L124+KSD!L124+SHS!L124</f>
        <v>0</v>
      </c>
      <c r="M124" s="323">
        <f>TVM!M124+KLM!M124+PTA!M124+ALP!M124+KTM!M124+IDK!M124+EKM!M124+TSR!M124+PKD!M124+MLPM!M124+KKD!M124+WYD!M124+KNR!M124+KSD!M124+SHS!M124</f>
        <v>0</v>
      </c>
      <c r="N124" s="323">
        <f>TVM!N124+KLM!N124+PTA!N124+ALP!N124+KTM!N124+IDK!N124+EKM!N124+TSR!N124+PKD!N124+MLPM!N124+KKD!N124+WYD!N124+KNR!N124+KSD!N124+SHS!N124</f>
        <v>0</v>
      </c>
      <c r="O124" s="323">
        <f>TVM!O124+KLM!O124+PTA!O124+ALP!O124+KTM!O124+IDK!O124+EKM!O124+TSR!O124+PKD!O124+MLPM!O124+KKD!O124+WYD!O124+KNR!O124+KSD!O124+SHS!O124</f>
        <v>0</v>
      </c>
      <c r="P124" s="323">
        <f>TVM!P124+KLM!P124+PTA!P124+ALP!P124+KTM!P124+IDK!P124+EKM!P124+TSR!P124+PKD!P124+MLPM!P124+KKD!P124+WYD!P124+KNR!P124+KSD!P124+SHS!P124</f>
        <v>0</v>
      </c>
      <c r="Q124" s="323">
        <f>TVM!Q124+KLM!Q124+PTA!Q124+ALP!Q124+KTM!Q124+IDK!Q124+EKM!Q124+TSR!Q124+PKD!Q124+MLPM!Q124+KKD!Q124+WYD!Q124+KNR!Q124+KSD!Q124+SHS!Q124</f>
        <v>0</v>
      </c>
      <c r="R124" s="323">
        <f>TVM!R124+KLM!R124+PTA!R124+ALP!R124+KTM!R124+IDK!R124+EKM!R124+TSR!R124+PKD!R124+MLPM!R124+KKD!R124+WYD!R124+KNR!R124+KSD!R124+SHS!R124</f>
        <v>0</v>
      </c>
      <c r="S124" s="323">
        <f>TVM!S124+KLM!S124+PTA!S124+ALP!S124+KTM!S124+IDK!S124+EKM!S124+TSR!S124+PKD!S124+MLPM!S124+KKD!S124+WYD!S124+KNR!S124+KSD!S124+SHS!S124</f>
        <v>0</v>
      </c>
      <c r="T124" s="324">
        <f t="shared" si="5"/>
        <v>0</v>
      </c>
      <c r="U124" s="324">
        <f>TVM!U124+KLM!U124+PTA!U124+ALP!U124+KTM!U124+IDK!U124+EKM!U124+TSR!U124+PKD!U124+MLPM!U124+KKD!U124+WYD!U124+KNR!U124+KSD!U124+SHS!U124</f>
        <v>0</v>
      </c>
      <c r="V124" s="408"/>
      <c r="W124" s="412"/>
      <c r="X124" s="405">
        <v>0</v>
      </c>
      <c r="Y124" s="328">
        <f t="shared" si="1"/>
        <v>0</v>
      </c>
      <c r="Z124" s="314"/>
      <c r="AA124" s="314"/>
      <c r="AB124" s="314"/>
    </row>
    <row r="125" spans="1:28" ht="39.75" customHeight="1">
      <c r="A125" s="712"/>
      <c r="B125" s="707"/>
      <c r="C125" s="707"/>
      <c r="D125" s="320">
        <v>118</v>
      </c>
      <c r="E125" s="320" t="s">
        <v>53</v>
      </c>
      <c r="F125" s="323">
        <f>TVM!F125+KLM!F125+PTA!F125+ALP!F125+KTM!F125+IDK!F125+EKM!F125+TSR!F125+PKD!F125+MLPM!F125+KKD!F125+WYD!F125+KNR!F125+KSD!F125+SHS!F125</f>
        <v>0</v>
      </c>
      <c r="G125" s="323">
        <f>TVM!G125+KLM!G125+PTA!G125+ALP!G125+KTM!G125+IDK!G125+EKM!G125+TSR!G125+PKD!G125+MLPM!G125+KKD!G125+WYD!G125+KNR!G125+KSD!G125+SHS!G125</f>
        <v>0</v>
      </c>
      <c r="H125" s="323">
        <f>TVM!H125+KLM!H125+PTA!H125+ALP!H125+KTM!H125+IDK!H125+EKM!H125+TSR!H125+PKD!H125+MLPM!H125+KKD!H125+WYD!H125+KNR!H125+KSD!H125+SHS!H125</f>
        <v>0</v>
      </c>
      <c r="I125" s="323">
        <f>TVM!I125+KLM!I125+PTA!I125+ALP!I125+KTM!I125+IDK!I125+EKM!I125+TSR!I125+PKD!I125+MLPM!I125+KKD!I125+WYD!I125+KNR!I125+KSD!I125+SHS!I125</f>
        <v>0</v>
      </c>
      <c r="J125" s="323">
        <f>TVM!J125+KLM!J125+PTA!J125+ALP!J125+KTM!J125+IDK!J125+EKM!J125+TSR!J125+PKD!J125+MLPM!J125+KKD!J125+WYD!J125+KNR!J125+KSD!J125+SHS!J125</f>
        <v>0</v>
      </c>
      <c r="K125" s="323">
        <f>TVM!K125+KLM!K125+PTA!K125+ALP!K125+KTM!K125+IDK!K125+EKM!K125+TSR!K125+PKD!K125+MLPM!K125+KKD!K125+WYD!K125+KNR!K125+KSD!K125+SHS!K125</f>
        <v>0</v>
      </c>
      <c r="L125" s="323">
        <f>TVM!L125+KLM!L125+PTA!L125+ALP!L125+KTM!L125+IDK!L125+EKM!L125+TSR!L125+PKD!L125+MLPM!L125+KKD!L125+WYD!L125+KNR!L125+KSD!L125+SHS!L125</f>
        <v>0</v>
      </c>
      <c r="M125" s="323">
        <f>TVM!M125+KLM!M125+PTA!M125+ALP!M125+KTM!M125+IDK!M125+EKM!M125+TSR!M125+PKD!M125+MLPM!M125+KKD!M125+WYD!M125+KNR!M125+KSD!M125+SHS!M125</f>
        <v>0</v>
      </c>
      <c r="N125" s="323">
        <f>TVM!N125+KLM!N125+PTA!N125+ALP!N125+KTM!N125+IDK!N125+EKM!N125+TSR!N125+PKD!N125+MLPM!N125+KKD!N125+WYD!N125+KNR!N125+KSD!N125+SHS!N125</f>
        <v>0</v>
      </c>
      <c r="O125" s="323">
        <f>TVM!O125+KLM!O125+PTA!O125+ALP!O125+KTM!O125+IDK!O125+EKM!O125+TSR!O125+PKD!O125+MLPM!O125+KKD!O125+WYD!O125+KNR!O125+KSD!O125+SHS!O125</f>
        <v>0</v>
      </c>
      <c r="P125" s="323">
        <f>TVM!P125+KLM!P125+PTA!P125+ALP!P125+KTM!P125+IDK!P125+EKM!P125+TSR!P125+PKD!P125+MLPM!P125+KKD!P125+WYD!P125+KNR!P125+KSD!P125+SHS!P125</f>
        <v>0</v>
      </c>
      <c r="Q125" s="329">
        <f>TVM!Q125+KLM!Q125+PTA!Q125+ALP!Q125+KTM!Q125+IDK!Q125+EKM!Q125+TSR!Q125+PKD!Q125+MLPM!Q125+KKD!Q125+WYD!Q125+KNR!Q125+KSD!Q125+SHS!Q125</f>
        <v>0</v>
      </c>
      <c r="R125" s="323">
        <f>TVM!R125+KLM!R125+PTA!R125+ALP!R125+KTM!R125+IDK!R125+EKM!R125+TSR!R125+PKD!R125+MLPM!R125+KKD!R125+WYD!R125+KNR!R125+KSD!R125+SHS!R125</f>
        <v>0</v>
      </c>
      <c r="S125" s="323">
        <f>TVM!S125+KLM!S125+PTA!S125+ALP!S125+KTM!S125+IDK!S125+EKM!S125+TSR!S125+PKD!S125+MLPM!S125+KKD!S125+WYD!S125+KNR!S125+KSD!S125+SHS!S125</f>
        <v>0</v>
      </c>
      <c r="T125" s="324">
        <f t="shared" si="5"/>
        <v>0</v>
      </c>
      <c r="U125" s="324">
        <f>TVM!U125+KLM!U125+PTA!U125+ALP!U125+KTM!U125+IDK!U125+EKM!U125+TSR!U125+PKD!U125+MLPM!U125+KKD!U125+WYD!U125+KNR!U125+KSD!U125+SHS!U125</f>
        <v>0</v>
      </c>
      <c r="V125" s="406"/>
      <c r="W125" s="412"/>
      <c r="X125" s="405">
        <v>0</v>
      </c>
      <c r="Y125" s="328">
        <f t="shared" si="1"/>
        <v>0</v>
      </c>
      <c r="Z125" s="314"/>
      <c r="AA125" s="314"/>
      <c r="AB125" s="314"/>
    </row>
    <row r="126" spans="1:28" ht="138.75">
      <c r="A126" s="712"/>
      <c r="B126" s="320" t="s">
        <v>245</v>
      </c>
      <c r="C126" s="320" t="s">
        <v>246</v>
      </c>
      <c r="D126" s="320">
        <v>119</v>
      </c>
      <c r="E126" s="320" t="s">
        <v>247</v>
      </c>
      <c r="F126" s="323">
        <f>TVM!F126+KLM!F126+PTA!F126+ALP!F126+KTM!F126+IDK!F126+EKM!F126+TSR!F126+PKD!F126+MLPM!F126+KKD!F126+WYD!F126+KNR!F126+KSD!F126+SHS!F126</f>
        <v>0</v>
      </c>
      <c r="G126" s="323">
        <f>TVM!G126+KLM!G126+PTA!G126+ALP!G126+KTM!G126+IDK!G126+EKM!G126+TSR!G126+PKD!G126+MLPM!G126+KKD!G126+WYD!G126+KNR!G126+KSD!G126+SHS!G126</f>
        <v>0</v>
      </c>
      <c r="H126" s="330">
        <f>TVM!H126+KLM!H126+PTA!H126+ALP!H126+KTM!H126+IDK!H126+EKM!H126+TSR!H126+PKD!H126+MLPM!H126+KKD!H126+WYD!H126+KNR!H126+KSD!H126+SHS!H126</f>
        <v>0</v>
      </c>
      <c r="I126" s="329">
        <f>TVM!I126+KLM!I126+PTA!I126+ALP!I126+KTM!I126+IDK!I126+EKM!I126+TSR!I126+PKD!I126+MLPM!I126+KKD!I126+WYD!I126+KNR!I126+KSD!I126+SHS!I126</f>
        <v>0</v>
      </c>
      <c r="J126" s="323">
        <f>TVM!J126+KLM!J126+PTA!J126+ALP!J126+KTM!J126+IDK!J126+EKM!J126+TSR!J126+PKD!J126+MLPM!J126+KKD!J126+WYD!J126+KNR!J126+KSD!J126+SHS!J126</f>
        <v>0</v>
      </c>
      <c r="K126" s="323">
        <f>TVM!K126+KLM!K126+PTA!K126+ALP!K126+KTM!K126+IDK!K126+EKM!K126+TSR!K126+PKD!K126+MLPM!K126+KKD!K126+WYD!K126+KNR!K126+KSD!K126+SHS!K126</f>
        <v>0</v>
      </c>
      <c r="L126" s="323">
        <f>TVM!L126+KLM!L126+PTA!L126+ALP!L126+KTM!L126+IDK!L126+EKM!L126+TSR!L126+PKD!L126+MLPM!L126+KKD!L126+WYD!L126+KNR!L126+KSD!L126+SHS!L126</f>
        <v>0</v>
      </c>
      <c r="M126" s="323">
        <f>TVM!M126+KLM!M126+PTA!M126+ALP!M126+KTM!M126+IDK!M126+EKM!M126+TSR!M126+PKD!M126+MLPM!M126+KKD!M126+WYD!M126+KNR!M126+KSD!M126+SHS!M126</f>
        <v>0</v>
      </c>
      <c r="N126" s="329">
        <f>TVM!N126+KLM!N126+PTA!N126+ALP!N126+KTM!N126+IDK!N126+EKM!N126+TSR!N126+PKD!N126+MLPM!N126+KKD!N126+WYD!N126+KNR!N126+KSD!N126+SHS!N126</f>
        <v>28</v>
      </c>
      <c r="O126" s="323">
        <f>TVM!O126+KLM!O126+PTA!O126+ALP!O126+KTM!O126+IDK!O126+EKM!O126+TSR!O126+PKD!O126+MLPM!O126+KKD!O126+WYD!O126+KNR!O126+KSD!O126+SHS!O126</f>
        <v>0</v>
      </c>
      <c r="P126" s="330">
        <f>TVM!P126+KLM!P126+PTA!P126+ALP!P126+KTM!P126+IDK!P126+EKM!P126+TSR!P126+PKD!P126+MLPM!P126+KKD!P126+WYD!P126+KNR!P126+KSD!P126+SHS!P126</f>
        <v>112</v>
      </c>
      <c r="Q126" s="329">
        <f>TVM!Q126+KLM!Q126+PTA!Q126+ALP!Q126+KTM!Q126+IDK!Q126+EKM!Q126+TSR!Q126+PKD!Q126+MLPM!Q126+KKD!Q126+WYD!Q126+KNR!Q126+KSD!Q126+SHS!Q126</f>
        <v>0</v>
      </c>
      <c r="R126" s="323">
        <f>TVM!R126+KLM!R126+PTA!R126+ALP!R126+KTM!R126+IDK!R126+EKM!R126+TSR!R126+PKD!R126+MLPM!R126+KKD!R126+WYD!R126+KNR!R126+KSD!R126+SHS!R126</f>
        <v>0</v>
      </c>
      <c r="S126" s="323">
        <f>TVM!S126+KLM!S126+PTA!S126+ALP!S126+KTM!S126+IDK!S126+EKM!S126+TSR!S126+PKD!S126+MLPM!S126+KKD!S126+WYD!S126+KNR!S126+KSD!S126+SHS!S126</f>
        <v>0</v>
      </c>
      <c r="T126" s="402">
        <f t="shared" si="5"/>
        <v>140</v>
      </c>
      <c r="U126" s="402">
        <f>TVM!U126+KLM!U126+PTA!U126+ALP!U126+KTM!U126+IDK!U126+EKM!U126+TSR!U126+PKD!U126+MLPM!U126+KKD!U126+WYD!U126+KNR!U126+KSD!U126+SHS!U126</f>
        <v>140</v>
      </c>
      <c r="V126" s="408" t="s">
        <v>1470</v>
      </c>
      <c r="W126" s="409" t="s">
        <v>1471</v>
      </c>
      <c r="X126" s="405">
        <v>220</v>
      </c>
      <c r="Y126" s="328">
        <f t="shared" si="1"/>
        <v>-80</v>
      </c>
      <c r="Z126" s="314"/>
      <c r="AA126" s="314"/>
      <c r="AB126" s="314"/>
    </row>
    <row r="127" spans="1:28" ht="151.5" customHeight="1">
      <c r="A127" s="712"/>
      <c r="B127" s="320" t="s">
        <v>249</v>
      </c>
      <c r="C127" s="320" t="s">
        <v>250</v>
      </c>
      <c r="D127" s="320">
        <v>120</v>
      </c>
      <c r="E127" s="320" t="s">
        <v>251</v>
      </c>
      <c r="F127" s="323">
        <f>TVM!F127+KLM!F127+PTA!F127+ALP!F127+KTM!F127+IDK!F127+EKM!F127+TSR!F127+PKD!F127+MLPM!F127+KKD!F127+WYD!F127+KNR!F127+KSD!F127+SHS!F127</f>
        <v>0</v>
      </c>
      <c r="G127" s="323">
        <f>TVM!G127+KLM!G127+PTA!G127+ALP!G127+KTM!G127+IDK!G127+EKM!G127+TSR!G127+PKD!G127+MLPM!G127+KKD!G127+WYD!G127+KNR!G127+KSD!G127+SHS!G127</f>
        <v>0</v>
      </c>
      <c r="H127" s="323">
        <f>TVM!H127+KLM!H127+PTA!H127+ALP!H127+KTM!H127+IDK!H127+EKM!H127+TSR!H127+PKD!H127+MLPM!H127+KKD!H127+WYD!H127+KNR!H127+KSD!H127+SHS!H127</f>
        <v>0</v>
      </c>
      <c r="I127" s="323">
        <f>TVM!I127+KLM!I127+PTA!I127+ALP!I127+KTM!I127+IDK!I127+EKM!I127+TSR!I127+PKD!I127+MLPM!I127+KKD!I127+WYD!I127+KNR!I127+KSD!I127+SHS!I127</f>
        <v>0</v>
      </c>
      <c r="J127" s="323">
        <f>TVM!J127+KLM!J127+PTA!J127+ALP!J127+KTM!J127+IDK!J127+EKM!J127+TSR!J127+PKD!J127+MLPM!J127+KKD!J127+WYD!J127+KNR!J127+KSD!J127+SHS!J127</f>
        <v>0</v>
      </c>
      <c r="K127" s="330">
        <f>TVM!K127+KLM!K127+PTA!K127+ALP!K127+KTM!K127+IDK!K127+EKM!K127+TSR!K127+PKD!K127+MLPM!K127+KKD!K127+WYD!K127+KNR!K127+KSD!K127+SHS!K127</f>
        <v>2</v>
      </c>
      <c r="L127" s="323">
        <f>TVM!L127+KLM!L127+PTA!L127+ALP!L127+KTM!L127+IDK!L127+EKM!L127+TSR!L127+PKD!L127+MLPM!L127+KKD!L127+WYD!L127+KNR!L127+KSD!L127+SHS!L127</f>
        <v>0</v>
      </c>
      <c r="M127" s="330">
        <f>TVM!M127+KLM!M127+PTA!M127+ALP!M127+KTM!M127+IDK!M127+EKM!M127+TSR!M127+PKD!M127+MLPM!M127+KKD!M127+WYD!M127+KNR!M127+KSD!M127+SHS!M127</f>
        <v>3.36</v>
      </c>
      <c r="N127" s="329">
        <f>TVM!N127+KLM!N127+PTA!N127+ALP!N127+KTM!N127+IDK!N127+EKM!N127+TSR!N127+PKD!N127+MLPM!N127+KKD!N127+WYD!N127+KNR!N127+KSD!N127+SHS!N127</f>
        <v>0</v>
      </c>
      <c r="O127" s="323">
        <f>TVM!O127+KLM!O127+PTA!O127+ALP!O127+KTM!O127+IDK!O127+EKM!O127+TSR!O127+PKD!O127+MLPM!O127+KKD!O127+WYD!O127+KNR!O127+KSD!O127+SHS!O127</f>
        <v>0</v>
      </c>
      <c r="P127" s="330">
        <f>TVM!P127+KLM!P127+PTA!P127+ALP!P127+KTM!P127+IDK!P127+EKM!P127+TSR!P127+PKD!P127+MLPM!P127+KKD!P127+WYD!P127+KNR!P127+KSD!P127+SHS!P127</f>
        <v>0</v>
      </c>
      <c r="Q127" s="329">
        <f>TVM!Q127+KLM!Q127+PTA!Q127+ALP!Q127+KTM!Q127+IDK!Q127+EKM!Q127+TSR!Q127+PKD!Q127+MLPM!Q127+KKD!Q127+WYD!Q127+KNR!Q127+KSD!Q127+SHS!Q127</f>
        <v>3</v>
      </c>
      <c r="R127" s="330">
        <f>TVM!R127+KLM!R127+PTA!R127+ALP!R127+KTM!R127+IDK!R127+EKM!R127+TSR!R127+PKD!R127+MLPM!R127+KKD!R127+WYD!R127+KNR!R127+KSD!R127+SHS!R127</f>
        <v>3.2</v>
      </c>
      <c r="S127" s="323">
        <f>TVM!S127+KLM!S127+PTA!S127+ALP!S127+KTM!S127+IDK!S127+EKM!S127+TSR!S127+PKD!S127+MLPM!S127+KKD!S127+WYD!S127+KNR!S127+KSD!S127+SHS!S127</f>
        <v>0</v>
      </c>
      <c r="T127" s="402">
        <f t="shared" si="5"/>
        <v>11.559999999999999</v>
      </c>
      <c r="U127" s="402">
        <f>TVM!U127+KLM!U127+PTA!U127+ALP!U127+KTM!U127+IDK!U127+EKM!U127+TSR!U127+PKD!U127+MLPM!U127+KKD!U127+WYD!U127+KNR!U127+KSD!U127+SHS!U127</f>
        <v>11.56</v>
      </c>
      <c r="V127" s="410" t="s">
        <v>1472</v>
      </c>
      <c r="W127" s="411" t="s">
        <v>1473</v>
      </c>
      <c r="X127" s="405">
        <v>14.56</v>
      </c>
      <c r="Y127" s="328">
        <f t="shared" si="1"/>
        <v>-3.0000000000000018</v>
      </c>
      <c r="Z127" s="314"/>
      <c r="AA127" s="314"/>
      <c r="AB127" s="314"/>
    </row>
    <row r="128" spans="1:28" ht="150">
      <c r="A128" s="712"/>
      <c r="B128" s="718" t="s">
        <v>252</v>
      </c>
      <c r="C128" s="718" t="s">
        <v>253</v>
      </c>
      <c r="D128" s="320">
        <v>121</v>
      </c>
      <c r="E128" s="320" t="s">
        <v>254</v>
      </c>
      <c r="F128" s="323">
        <f>TVM!F128+KLM!F128+PTA!F128+ALP!F128+KTM!F128+IDK!F128+EKM!F128+TSR!F128+PKD!F128+MLPM!F128+KKD!F128+WYD!F128+KNR!F128+KSD!F128+SHS!F128</f>
        <v>0</v>
      </c>
      <c r="G128" s="323">
        <f>TVM!G128+KLM!G128+PTA!G128+ALP!G128+KTM!G128+IDK!G128+EKM!G128+TSR!G128+PKD!G128+MLPM!G128+KKD!G128+WYD!G128+KNR!G128+KSD!G128+SHS!G128</f>
        <v>0</v>
      </c>
      <c r="H128" s="323">
        <f>TVM!H128+KLM!H128+PTA!H128+ALP!H128+KTM!H128+IDK!H128+EKM!H128+TSR!H128+PKD!H128+MLPM!H128+KKD!H128+WYD!H128+KNR!H128+KSD!H128+SHS!H128</f>
        <v>0</v>
      </c>
      <c r="I128" s="329">
        <f>TVM!I128+KLM!I128+PTA!I128+ALP!I128+KTM!I128+IDK!I128+EKM!I128+TSR!I128+PKD!I128+MLPM!I128+KKD!I128+WYD!I128+KNR!I128+KSD!I128+SHS!I128</f>
        <v>41.5</v>
      </c>
      <c r="J128" s="323">
        <f>TVM!J128+KLM!J128+PTA!J128+ALP!J128+KTM!J128+IDK!J128+EKM!J128+TSR!J128+PKD!J128+MLPM!J128+KKD!J128+WYD!J128+KNR!J128+KSD!J128+SHS!J128</f>
        <v>0</v>
      </c>
      <c r="K128" s="323">
        <f>TVM!K128+KLM!K128+PTA!K128+ALP!K128+KTM!K128+IDK!K128+EKM!K128+TSR!K128+PKD!K128+MLPM!K128+KKD!K128+WYD!K128+KNR!K128+KSD!K128+SHS!K128</f>
        <v>0</v>
      </c>
      <c r="L128" s="323">
        <f>TVM!L128+KLM!L128+PTA!L128+ALP!L128+KTM!L128+IDK!L128+EKM!L128+TSR!L128+PKD!L128+MLPM!L128+KKD!L128+WYD!L128+KNR!L128+KSD!L128+SHS!L128</f>
        <v>0</v>
      </c>
      <c r="M128" s="323">
        <f>TVM!M128+KLM!M128+PTA!M128+ALP!M128+KTM!M128+IDK!M128+EKM!M128+TSR!M128+PKD!M128+MLPM!M128+KKD!M128+WYD!M128+KNR!M128+KSD!M128+SHS!M128</f>
        <v>0</v>
      </c>
      <c r="N128" s="323">
        <f>TVM!N128+KLM!N128+PTA!N128+ALP!N128+KTM!N128+IDK!N128+EKM!N128+TSR!N128+PKD!N128+MLPM!N128+KKD!N128+WYD!N128+KNR!N128+KSD!N128+SHS!N128</f>
        <v>12.450000000000001</v>
      </c>
      <c r="O128" s="323">
        <f>TVM!O128+KLM!O128+PTA!O128+ALP!O128+KTM!O128+IDK!O128+EKM!O128+TSR!O128+PKD!O128+MLPM!O128+KKD!O128+WYD!O128+KNR!O128+KSD!O128+SHS!O128</f>
        <v>0</v>
      </c>
      <c r="P128" s="323">
        <f>TVM!P128+KLM!P128+PTA!P128+ALP!P128+KTM!P128+IDK!P128+EKM!P128+TSR!P128+PKD!P128+MLPM!P128+KKD!P128+WYD!P128+KNR!P128+KSD!P128+SHS!P128</f>
        <v>0</v>
      </c>
      <c r="Q128" s="323">
        <f>TVM!Q128+KLM!Q128+PTA!Q128+ALP!Q128+KTM!Q128+IDK!Q128+EKM!Q128+TSR!Q128+PKD!Q128+MLPM!Q128+KKD!Q128+WYD!Q128+KNR!Q128+KSD!Q128+SHS!Q128</f>
        <v>0</v>
      </c>
      <c r="R128" s="323">
        <f>TVM!R128+KLM!R128+PTA!R128+ALP!R128+KTM!R128+IDK!R128+EKM!R128+TSR!R128+PKD!R128+MLPM!R128+KKD!R128+WYD!R128+KNR!R128+KSD!R128+SHS!R128</f>
        <v>0</v>
      </c>
      <c r="S128" s="323">
        <f>TVM!S128+KLM!S128+PTA!S128+ALP!S128+KTM!S128+IDK!S128+EKM!S128+TSR!S128+PKD!S128+MLPM!S128+KKD!S128+WYD!S128+KNR!S128+KSD!S128+SHS!S128</f>
        <v>0</v>
      </c>
      <c r="T128" s="324">
        <f t="shared" si="5"/>
        <v>53.95</v>
      </c>
      <c r="U128" s="324">
        <f>TVM!U128+KLM!U128+PTA!U128+ALP!U128+KTM!U128+IDK!U128+EKM!U128+TSR!U128+PKD!U128+MLPM!U128+KKD!U128+WYD!U128+KNR!U128+KSD!U128+SHS!U128</f>
        <v>17.712500000000002</v>
      </c>
      <c r="V128" s="45" t="s">
        <v>1474</v>
      </c>
      <c r="W128" s="45" t="s">
        <v>1475</v>
      </c>
      <c r="X128" s="332">
        <v>148</v>
      </c>
      <c r="Y128" s="328">
        <f t="shared" si="1"/>
        <v>-94.05</v>
      </c>
      <c r="Z128" s="314"/>
      <c r="AA128" s="314"/>
      <c r="AB128" s="314"/>
    </row>
    <row r="129" spans="1:28" ht="39.75" customHeight="1">
      <c r="A129" s="712"/>
      <c r="B129" s="712"/>
      <c r="C129" s="712"/>
      <c r="D129" s="320">
        <v>122</v>
      </c>
      <c r="E129" s="320" t="s">
        <v>256</v>
      </c>
      <c r="F129" s="323">
        <f>TVM!F129+KLM!F129+PTA!F129+ALP!F129+KTM!F129+IDK!F129+EKM!F129+TSR!F129+PKD!F129+MLPM!F129+KKD!F129+WYD!F129+KNR!F129+KSD!F129+SHS!F129</f>
        <v>0</v>
      </c>
      <c r="G129" s="323">
        <f>TVM!G129+KLM!G129+PTA!G129+ALP!G129+KTM!G129+IDK!G129+EKM!G129+TSR!G129+PKD!G129+MLPM!G129+KKD!G129+WYD!G129+KNR!G129+KSD!G129+SHS!G129</f>
        <v>0</v>
      </c>
      <c r="H129" s="323">
        <f>TVM!H129+KLM!H129+PTA!H129+ALP!H129+KTM!H129+IDK!H129+EKM!H129+TSR!H129+PKD!H129+MLPM!H129+KKD!H129+WYD!H129+KNR!H129+KSD!H129+SHS!H129</f>
        <v>0</v>
      </c>
      <c r="I129" s="323">
        <f>TVM!I129+KLM!I129+PTA!I129+ALP!I129+KTM!I129+IDK!I129+EKM!I129+TSR!I129+PKD!I129+MLPM!I129+KKD!I129+WYD!I129+KNR!I129+KSD!I129+SHS!I129</f>
        <v>0</v>
      </c>
      <c r="J129" s="323">
        <f>TVM!J129+KLM!J129+PTA!J129+ALP!J129+KTM!J129+IDK!J129+EKM!J129+TSR!J129+PKD!J129+MLPM!J129+KKD!J129+WYD!J129+KNR!J129+KSD!J129+SHS!J129</f>
        <v>0</v>
      </c>
      <c r="K129" s="323">
        <f>TVM!K129+KLM!K129+PTA!K129+ALP!K129+KTM!K129+IDK!K129+EKM!K129+TSR!K129+PKD!K129+MLPM!K129+KKD!K129+WYD!K129+KNR!K129+KSD!K129+SHS!K129</f>
        <v>0</v>
      </c>
      <c r="L129" s="323">
        <f>TVM!L129+KLM!L129+PTA!L129+ALP!L129+KTM!L129+IDK!L129+EKM!L129+TSR!L129+PKD!L129+MLPM!L129+KKD!L129+WYD!L129+KNR!L129+KSD!L129+SHS!L129</f>
        <v>0</v>
      </c>
      <c r="M129" s="323">
        <f>TVM!M129+KLM!M129+PTA!M129+ALP!M129+KTM!M129+IDK!M129+EKM!M129+TSR!M129+PKD!M129+MLPM!M129+KKD!M129+WYD!M129+KNR!M129+KSD!M129+SHS!M129</f>
        <v>0</v>
      </c>
      <c r="N129" s="323">
        <f>TVM!N129+KLM!N129+PTA!N129+ALP!N129+KTM!N129+IDK!N129+EKM!N129+TSR!N129+PKD!N129+MLPM!N129+KKD!N129+WYD!N129+KNR!N129+KSD!N129+SHS!N129</f>
        <v>0</v>
      </c>
      <c r="O129" s="323">
        <f>TVM!O129+KLM!O129+PTA!O129+ALP!O129+KTM!O129+IDK!O129+EKM!O129+TSR!O129+PKD!O129+MLPM!O129+KKD!O129+WYD!O129+KNR!O129+KSD!O129+SHS!O129</f>
        <v>0</v>
      </c>
      <c r="P129" s="323">
        <f>TVM!P129+KLM!P129+PTA!P129+ALP!P129+KTM!P129+IDK!P129+EKM!P129+TSR!P129+PKD!P129+MLPM!P129+KKD!P129+WYD!P129+KNR!P129+KSD!P129+SHS!P129</f>
        <v>0</v>
      </c>
      <c r="Q129" s="323">
        <f>TVM!Q129+KLM!Q129+PTA!Q129+ALP!Q129+KTM!Q129+IDK!Q129+EKM!Q129+TSR!Q129+PKD!Q129+MLPM!Q129+KKD!Q129+WYD!Q129+KNR!Q129+KSD!Q129+SHS!Q129</f>
        <v>0</v>
      </c>
      <c r="R129" s="323">
        <f>TVM!R129+KLM!R129+PTA!R129+ALP!R129+KTM!R129+IDK!R129+EKM!R129+TSR!R129+PKD!R129+MLPM!R129+KKD!R129+WYD!R129+KNR!R129+KSD!R129+SHS!R129</f>
        <v>0</v>
      </c>
      <c r="S129" s="323">
        <f>TVM!S129+KLM!S129+PTA!S129+ALP!S129+KTM!S129+IDK!S129+EKM!S129+TSR!S129+PKD!S129+MLPM!S129+KKD!S129+WYD!S129+KNR!S129+KSD!S129+SHS!S129</f>
        <v>0</v>
      </c>
      <c r="T129" s="324">
        <f t="shared" si="5"/>
        <v>0</v>
      </c>
      <c r="U129" s="324">
        <f>TVM!U129+KLM!U129+PTA!U129+ALP!U129+KTM!U129+IDK!U129+EKM!U129+TSR!U129+PKD!U129+MLPM!U129+KKD!U129+WYD!U129+KNR!U129+KSD!U129+SHS!U129</f>
        <v>0</v>
      </c>
      <c r="V129" s="49"/>
      <c r="W129" s="420"/>
      <c r="X129" s="332">
        <v>0</v>
      </c>
      <c r="Y129" s="328">
        <f t="shared" si="1"/>
        <v>0</v>
      </c>
      <c r="Z129" s="314"/>
      <c r="AA129" s="314"/>
      <c r="AB129" s="314"/>
    </row>
    <row r="130" spans="1:28" ht="75">
      <c r="A130" s="712"/>
      <c r="B130" s="707"/>
      <c r="C130" s="707"/>
      <c r="D130" s="320">
        <v>123</v>
      </c>
      <c r="E130" s="320" t="s">
        <v>257</v>
      </c>
      <c r="F130" s="323">
        <f>TVM!F130+KLM!F130+PTA!F130+ALP!F130+KTM!F130+IDK!F130+EKM!F130+TSR!F130+PKD!F130+MLPM!F130+KKD!F130+WYD!F130+KNR!F130+KSD!F130+SHS!F130</f>
        <v>0</v>
      </c>
      <c r="G130" s="323">
        <f>TVM!G130+KLM!G130+PTA!G130+ALP!G130+KTM!G130+IDK!G130+EKM!G130+TSR!G130+PKD!G130+MLPM!G130+KKD!G130+WYD!G130+KNR!G130+KSD!G130+SHS!G130</f>
        <v>0</v>
      </c>
      <c r="H130" s="323">
        <f>TVM!H130+KLM!H130+PTA!H130+ALP!H130+KTM!H130+IDK!H130+EKM!H130+TSR!H130+PKD!H130+MLPM!H130+KKD!H130+WYD!H130+KNR!H130+KSD!H130+SHS!H130</f>
        <v>0</v>
      </c>
      <c r="I130" s="323">
        <f>TVM!I130+KLM!I130+PTA!I130+ALP!I130+KTM!I130+IDK!I130+EKM!I130+TSR!I130+PKD!I130+MLPM!I130+KKD!I130+WYD!I130+KNR!I130+KSD!I130+SHS!I130</f>
        <v>0</v>
      </c>
      <c r="J130" s="323">
        <f>TVM!J130+KLM!J130+PTA!J130+ALP!J130+KTM!J130+IDK!J130+EKM!J130+TSR!J130+PKD!J130+MLPM!J130+KKD!J130+WYD!J130+KNR!J130+KSD!J130+SHS!J130</f>
        <v>0</v>
      </c>
      <c r="K130" s="323">
        <f>TVM!K130+KLM!K130+PTA!K130+ALP!K130+KTM!K130+IDK!K130+EKM!K130+TSR!K130+PKD!K130+MLPM!K130+KKD!K130+WYD!K130+KNR!K130+KSD!K130+SHS!K130</f>
        <v>0</v>
      </c>
      <c r="L130" s="323">
        <f>TVM!L130+KLM!L130+PTA!L130+ALP!L130+KTM!L130+IDK!L130+EKM!L130+TSR!L130+PKD!L130+MLPM!L130+KKD!L130+WYD!L130+KNR!L130+KSD!L130+SHS!L130</f>
        <v>0</v>
      </c>
      <c r="M130" s="323">
        <f>TVM!M130+KLM!M130+PTA!M130+ALP!M130+KTM!M130+IDK!M130+EKM!M130+TSR!M130+PKD!M130+MLPM!M130+KKD!M130+WYD!M130+KNR!M130+KSD!M130+SHS!M130</f>
        <v>0</v>
      </c>
      <c r="N130" s="323">
        <f>TVM!N130+KLM!N130+PTA!N130+ALP!N130+KTM!N130+IDK!N130+EKM!N130+TSR!N130+PKD!N130+MLPM!N130+KKD!N130+WYD!N130+KNR!N130+KSD!N130+SHS!N130</f>
        <v>0</v>
      </c>
      <c r="O130" s="323">
        <f>TVM!O130+KLM!O130+PTA!O130+ALP!O130+KTM!O130+IDK!O130+EKM!O130+TSR!O130+PKD!O130+MLPM!O130+KKD!O130+WYD!O130+KNR!O130+KSD!O130+SHS!O130</f>
        <v>0</v>
      </c>
      <c r="P130" s="330">
        <f>TVM!P130+KLM!P130+PTA!P130+ALP!P130+KTM!P130+IDK!P130+EKM!P130+TSR!P130+PKD!P130+MLPM!P130+KKD!P130+WYD!P130+KNR!P130+KSD!P130+SHS!P130</f>
        <v>0</v>
      </c>
      <c r="Q130" s="329">
        <f>TVM!Q130+KLM!Q130+PTA!Q130+ALP!Q130+KTM!Q130+IDK!Q130+EKM!Q130+TSR!Q130+PKD!Q130+MLPM!Q130+KKD!Q130+WYD!Q130+KNR!Q130+KSD!Q130+SHS!Q130</f>
        <v>36</v>
      </c>
      <c r="R130" s="323">
        <f>TVM!R130+KLM!R130+PTA!R130+ALP!R130+KTM!R130+IDK!R130+EKM!R130+TSR!R130+PKD!R130+MLPM!R130+KKD!R130+WYD!R130+KNR!R130+KSD!R130+SHS!R130</f>
        <v>0</v>
      </c>
      <c r="S130" s="323">
        <f>TVM!S130+KLM!S130+PTA!S130+ALP!S130+KTM!S130+IDK!S130+EKM!S130+TSR!S130+PKD!S130+MLPM!S130+KKD!S130+WYD!S130+KNR!S130+KSD!S130+SHS!S130</f>
        <v>0</v>
      </c>
      <c r="T130" s="324">
        <f t="shared" si="5"/>
        <v>36</v>
      </c>
      <c r="U130" s="324">
        <f>TVM!U130+KLM!U130+PTA!U130+ALP!U130+KTM!U130+IDK!U130+EKM!U130+TSR!U130+PKD!U130+MLPM!U130+KKD!U130+WYD!U130+KNR!U130+KSD!U130+SHS!U130</f>
        <v>36</v>
      </c>
      <c r="V130" s="52" t="s">
        <v>1476</v>
      </c>
      <c r="W130" s="52" t="s">
        <v>1476</v>
      </c>
      <c r="X130" s="332">
        <v>48</v>
      </c>
      <c r="Y130" s="328">
        <f t="shared" si="1"/>
        <v>-12</v>
      </c>
      <c r="Z130" s="314"/>
      <c r="AA130" s="314"/>
      <c r="AB130" s="314"/>
    </row>
    <row r="131" spans="1:28" ht="116.25" customHeight="1">
      <c r="A131" s="712"/>
      <c r="B131" s="718" t="s">
        <v>259</v>
      </c>
      <c r="C131" s="718" t="s">
        <v>260</v>
      </c>
      <c r="D131" s="320">
        <v>124</v>
      </c>
      <c r="E131" s="320" t="s">
        <v>261</v>
      </c>
      <c r="F131" s="323">
        <f>TVM!F131+KLM!F131+PTA!F131+ALP!F131+KTM!F131+IDK!F131+EKM!F131+TSR!F131+PKD!F131+MLPM!F131+KKD!F131+WYD!F131+KNR!F131+KSD!F131+SHS!F131</f>
        <v>0</v>
      </c>
      <c r="G131" s="323">
        <f>TVM!G131+KLM!G131+PTA!G131+ALP!G131+KTM!G131+IDK!G131+EKM!G131+TSR!G131+PKD!G131+MLPM!G131+KKD!G131+WYD!G131+KNR!G131+KSD!G131+SHS!G131</f>
        <v>60</v>
      </c>
      <c r="H131" s="330">
        <f>TVM!H131+KLM!H131+PTA!H131+ALP!H131+KTM!H131+IDK!H131+EKM!H131+TSR!H131+PKD!H131+MLPM!H131+KKD!H131+WYD!H131+KNR!H131+KSD!H131+SHS!H131</f>
        <v>0</v>
      </c>
      <c r="I131" s="323">
        <f>TVM!I131+KLM!I131+PTA!I131+ALP!I131+KTM!I131+IDK!I131+EKM!I131+TSR!I131+PKD!I131+MLPM!I131+KKD!I131+WYD!I131+KNR!I131+KSD!I131+SHS!I131</f>
        <v>10.38</v>
      </c>
      <c r="J131" s="323">
        <f>TVM!J131+KLM!J131+PTA!J131+ALP!J131+KTM!J131+IDK!J131+EKM!J131+TSR!J131+PKD!J131+MLPM!J131+KKD!J131+WYD!J131+KNR!J131+KSD!J131+SHS!J131</f>
        <v>0</v>
      </c>
      <c r="K131" s="323">
        <f>TVM!K131+KLM!K131+PTA!K131+ALP!K131+KTM!K131+IDK!K131+EKM!K131+TSR!K131+PKD!K131+MLPM!K131+KKD!K131+WYD!K131+KNR!K131+KSD!K131+SHS!K131</f>
        <v>0</v>
      </c>
      <c r="L131" s="323">
        <f>TVM!L131+KLM!L131+PTA!L131+ALP!L131+KTM!L131+IDK!L131+EKM!L131+TSR!L131+PKD!L131+MLPM!L131+KKD!L131+WYD!L131+KNR!L131+KSD!L131+SHS!L131</f>
        <v>0</v>
      </c>
      <c r="M131" s="323">
        <f>TVM!M131+KLM!M131+PTA!M131+ALP!M131+KTM!M131+IDK!M131+EKM!M131+TSR!M131+PKD!M131+MLPM!M131+KKD!M131+WYD!M131+KNR!M131+KSD!M131+SHS!M131</f>
        <v>0</v>
      </c>
      <c r="N131" s="323">
        <f>TVM!N131+KLM!N131+PTA!N131+ALP!N131+KTM!N131+IDK!N131+EKM!N131+TSR!N131+PKD!N131+MLPM!N131+KKD!N131+WYD!N131+KNR!N131+KSD!N131+SHS!N131</f>
        <v>15</v>
      </c>
      <c r="O131" s="323">
        <f>TVM!O131+KLM!O131+PTA!O131+ALP!O131+KTM!O131+IDK!O131+EKM!O131+TSR!O131+PKD!O131+MLPM!O131+KKD!O131+WYD!O131+KNR!O131+KSD!O131+SHS!O131</f>
        <v>0</v>
      </c>
      <c r="P131" s="323">
        <f>TVM!P131+KLM!P131+PTA!P131+ALP!P131+KTM!P131+IDK!P131+EKM!P131+TSR!P131+PKD!P131+MLPM!P131+KKD!P131+WYD!P131+KNR!P131+KSD!P131+SHS!P131</f>
        <v>0</v>
      </c>
      <c r="Q131" s="330">
        <f>TVM!Q131+KLM!Q131+PTA!Q131+ALP!Q131+KTM!Q131+IDK!Q131+EKM!Q131+TSR!Q131+PKD!Q131+MLPM!Q131+KKD!Q131+WYD!Q131+KNR!Q131+KSD!Q131+SHS!Q131</f>
        <v>8</v>
      </c>
      <c r="R131" s="323">
        <f>TVM!R131+KLM!R131+PTA!R131+ALP!R131+KTM!R131+IDK!R131+EKM!R131+TSR!R131+PKD!R131+MLPM!R131+KKD!R131+WYD!R131+KNR!R131+KSD!R131+SHS!R131</f>
        <v>1</v>
      </c>
      <c r="S131" s="323">
        <f>TVM!S131+KLM!S131+PTA!S131+ALP!S131+KTM!S131+IDK!S131+EKM!S131+TSR!S131+PKD!S131+MLPM!S131+KKD!S131+WYD!S131+KNR!S131+KSD!S131+SHS!S131</f>
        <v>0</v>
      </c>
      <c r="T131" s="402">
        <f t="shared" si="5"/>
        <v>94.38</v>
      </c>
      <c r="U131" s="402">
        <f>TVM!U131+KLM!U131+PTA!U131+ALP!U131+KTM!U131+IDK!U131+EKM!U131+TSR!U131+PKD!U131+MLPM!U131+KKD!U131+WYD!U131+KNR!U131+KSD!U131+SHS!U131</f>
        <v>24</v>
      </c>
      <c r="V131" s="421" t="s">
        <v>1477</v>
      </c>
      <c r="W131" s="422" t="s">
        <v>1478</v>
      </c>
      <c r="X131" s="332">
        <v>196.95</v>
      </c>
      <c r="Y131" s="328">
        <f t="shared" si="1"/>
        <v>-102.57</v>
      </c>
      <c r="Z131" s="314"/>
      <c r="AA131" s="314"/>
      <c r="AB131" s="314"/>
    </row>
    <row r="132" spans="1:28" ht="60.75">
      <c r="A132" s="712"/>
      <c r="B132" s="707"/>
      <c r="C132" s="707"/>
      <c r="D132" s="320">
        <v>125</v>
      </c>
      <c r="E132" s="320" t="s">
        <v>263</v>
      </c>
      <c r="F132" s="323">
        <f>TVM!F132+KLM!F132+PTA!F132+ALP!F132+KTM!F132+IDK!F132+EKM!F132+TSR!F132+PKD!F132+MLPM!F132+KKD!F132+WYD!F132+KNR!F132+KSD!F132+SHS!F132</f>
        <v>0</v>
      </c>
      <c r="G132" s="323">
        <f>TVM!G132+KLM!G132+PTA!G132+ALP!G132+KTM!G132+IDK!G132+EKM!G132+TSR!G132+PKD!G132+MLPM!G132+KKD!G132+WYD!G132+KNR!G132+KSD!G132+SHS!G132</f>
        <v>0</v>
      </c>
      <c r="H132" s="330">
        <f>TVM!H132+KLM!H132+PTA!H132+ALP!H132+KTM!H132+IDK!H132+EKM!H132+TSR!H132+PKD!H132+MLPM!H132+KKD!H132+WYD!H132+KNR!H132+KSD!H132+SHS!H132</f>
        <v>0</v>
      </c>
      <c r="I132" s="323">
        <f>TVM!I132+KLM!I132+PTA!I132+ALP!I132+KTM!I132+IDK!I132+EKM!I132+TSR!I132+PKD!I132+MLPM!I132+KKD!I132+WYD!I132+KNR!I132+KSD!I132+SHS!I132</f>
        <v>0</v>
      </c>
      <c r="J132" s="323">
        <f>TVM!J132+KLM!J132+PTA!J132+ALP!J132+KTM!J132+IDK!J132+EKM!J132+TSR!J132+PKD!J132+MLPM!J132+KKD!J132+WYD!J132+KNR!J132+KSD!J132+SHS!J132</f>
        <v>0</v>
      </c>
      <c r="K132" s="323">
        <f>TVM!K132+KLM!K132+PTA!K132+ALP!K132+KTM!K132+IDK!K132+EKM!K132+TSR!K132+PKD!K132+MLPM!K132+KKD!K132+WYD!K132+KNR!K132+KSD!K132+SHS!K132</f>
        <v>0</v>
      </c>
      <c r="L132" s="323">
        <f>TVM!L132+KLM!L132+PTA!L132+ALP!L132+KTM!L132+IDK!L132+EKM!L132+TSR!L132+PKD!L132+MLPM!L132+KKD!L132+WYD!L132+KNR!L132+KSD!L132+SHS!L132</f>
        <v>0</v>
      </c>
      <c r="M132" s="323">
        <f>TVM!M132+KLM!M132+PTA!M132+ALP!M132+KTM!M132+IDK!M132+EKM!M132+TSR!M132+PKD!M132+MLPM!M132+KKD!M132+WYD!M132+KNR!M132+KSD!M132+SHS!M132</f>
        <v>0</v>
      </c>
      <c r="N132" s="323">
        <f>TVM!N132+KLM!N132+PTA!N132+ALP!N132+KTM!N132+IDK!N132+EKM!N132+TSR!N132+PKD!N132+MLPM!N132+KKD!N132+WYD!N132+KNR!N132+KSD!N132+SHS!N132</f>
        <v>15</v>
      </c>
      <c r="O132" s="323">
        <f>TVM!O132+KLM!O132+PTA!O132+ALP!O132+KTM!O132+IDK!O132+EKM!O132+TSR!O132+PKD!O132+MLPM!O132+KKD!O132+WYD!O132+KNR!O132+KSD!O132+SHS!O132</f>
        <v>0</v>
      </c>
      <c r="P132" s="323">
        <f>TVM!P132+KLM!P132+PTA!P132+ALP!P132+KTM!P132+IDK!P132+EKM!P132+TSR!P132+PKD!P132+MLPM!P132+KKD!P132+WYD!P132+KNR!P132+KSD!P132+SHS!P132</f>
        <v>0</v>
      </c>
      <c r="Q132" s="330">
        <f>TVM!Q132+KLM!Q132+PTA!Q132+ALP!Q132+KTM!Q132+IDK!Q132+EKM!Q132+TSR!Q132+PKD!Q132+MLPM!Q132+KKD!Q132+WYD!Q132+KNR!Q132+KSD!Q132+SHS!Q132</f>
        <v>8</v>
      </c>
      <c r="R132" s="323">
        <f>TVM!R132+KLM!R132+PTA!R132+ALP!R132+KTM!R132+IDK!R132+EKM!R132+TSR!R132+PKD!R132+MLPM!R132+KKD!R132+WYD!R132+KNR!R132+KSD!R132+SHS!R132</f>
        <v>1</v>
      </c>
      <c r="S132" s="323">
        <f>TVM!S132+KLM!S132+PTA!S132+ALP!S132+KTM!S132+IDK!S132+EKM!S132+TSR!S132+PKD!S132+MLPM!S132+KKD!S132+WYD!S132+KNR!S132+KSD!S132+SHS!S132</f>
        <v>0</v>
      </c>
      <c r="T132" s="324">
        <f t="shared" si="5"/>
        <v>24</v>
      </c>
      <c r="U132" s="324">
        <f>TVM!U132+KLM!U132+PTA!U132+ALP!U132+KTM!U132+IDK!U132+EKM!U132+TSR!U132+PKD!U132+MLPM!U132+KKD!U132+WYD!U132+KNR!U132+KSD!U132+SHS!U132</f>
        <v>24</v>
      </c>
      <c r="V132" s="423" t="s">
        <v>1479</v>
      </c>
      <c r="W132" s="424" t="s">
        <v>1479</v>
      </c>
      <c r="X132" s="332">
        <v>265</v>
      </c>
      <c r="Y132" s="334">
        <f t="shared" si="1"/>
        <v>-241</v>
      </c>
      <c r="Z132" s="314"/>
      <c r="AA132" s="314"/>
      <c r="AB132" s="314"/>
    </row>
    <row r="133" spans="1:28" ht="133.5" customHeight="1">
      <c r="A133" s="712"/>
      <c r="B133" s="320" t="s">
        <v>264</v>
      </c>
      <c r="C133" s="320" t="s">
        <v>265</v>
      </c>
      <c r="D133" s="320">
        <v>126</v>
      </c>
      <c r="E133" s="320" t="s">
        <v>181</v>
      </c>
      <c r="F133" s="323">
        <f>TVM!F133+KLM!F133+PTA!F133+ALP!F133+KTM!F133+IDK!F133+EKM!F133+TSR!F133+PKD!F133+MLPM!F133+KKD!F133+WYD!F133+KNR!F133+KSD!F133+SHS!F133</f>
        <v>0</v>
      </c>
      <c r="G133" s="323">
        <f>TVM!G133+KLM!G133+PTA!G133+ALP!G133+KTM!G133+IDK!G133+EKM!G133+TSR!G133+PKD!G133+MLPM!G133+KKD!G133+WYD!G133+KNR!G133+KSD!G133+SHS!G133</f>
        <v>0</v>
      </c>
      <c r="H133" s="323">
        <f>TVM!H133+KLM!H133+PTA!H133+ALP!H133+KTM!H133+IDK!H133+EKM!H133+TSR!H133+PKD!H133+MLPM!H133+KKD!H133+WYD!H133+KNR!H133+KSD!H133+SHS!H133</f>
        <v>0</v>
      </c>
      <c r="I133" s="323">
        <f>TVM!I133+KLM!I133+PTA!I133+ALP!I133+KTM!I133+IDK!I133+EKM!I133+TSR!I133+PKD!I133+MLPM!I133+KKD!I133+WYD!I133+KNR!I133+KSD!I133+SHS!I133</f>
        <v>0</v>
      </c>
      <c r="J133" s="323">
        <f>TVM!J133+KLM!J133+PTA!J133+ALP!J133+KTM!J133+IDK!J133+EKM!J133+TSR!J133+PKD!J133+MLPM!J133+KKD!J133+WYD!J133+KNR!J133+KSD!J133+SHS!J133</f>
        <v>0</v>
      </c>
      <c r="K133" s="323">
        <f>TVM!K133+KLM!K133+PTA!K133+ALP!K133+KTM!K133+IDK!K133+EKM!K133+TSR!K133+PKD!K133+MLPM!K133+KKD!K133+WYD!K133+KNR!K133+KSD!K133+SHS!K133</f>
        <v>0</v>
      </c>
      <c r="L133" s="323">
        <f>TVM!L133+KLM!L133+PTA!L133+ALP!L133+KTM!L133+IDK!L133+EKM!L133+TSR!L133+PKD!L133+MLPM!L133+KKD!L133+WYD!L133+KNR!L133+KSD!L133+SHS!L133</f>
        <v>0</v>
      </c>
      <c r="M133" s="323">
        <f>TVM!M133+KLM!M133+PTA!M133+ALP!M133+KTM!M133+IDK!M133+EKM!M133+TSR!M133+PKD!M133+MLPM!M133+KKD!M133+WYD!M133+KNR!M133+KSD!M133+SHS!M133</f>
        <v>0</v>
      </c>
      <c r="N133" s="323">
        <f>TVM!N133+KLM!N133+PTA!N133+ALP!N133+KTM!N133+IDK!N133+EKM!N133+TSR!N133+PKD!N133+MLPM!N133+KKD!N133+WYD!N133+KNR!N133+KSD!N133+SHS!N133</f>
        <v>0</v>
      </c>
      <c r="O133" s="323">
        <f>TVM!O133+KLM!O133+PTA!O133+ALP!O133+KTM!O133+IDK!O133+EKM!O133+TSR!O133+PKD!O133+MLPM!O133+KKD!O133+WYD!O133+KNR!O133+KSD!O133+SHS!O133</f>
        <v>0</v>
      </c>
      <c r="P133" s="323">
        <f>TVM!P133+KLM!P133+PTA!P133+ALP!P133+KTM!P133+IDK!P133+EKM!P133+TSR!P133+PKD!P133+MLPM!P133+KKD!P133+WYD!P133+KNR!P133+KSD!P133+SHS!P133</f>
        <v>0</v>
      </c>
      <c r="Q133" s="323">
        <f>TVM!Q133+KLM!Q133+PTA!Q133+ALP!Q133+KTM!Q133+IDK!Q133+EKM!Q133+TSR!Q133+PKD!Q133+MLPM!Q133+KKD!Q133+WYD!Q133+KNR!Q133+KSD!Q133+SHS!Q133</f>
        <v>0</v>
      </c>
      <c r="R133" s="323">
        <f>TVM!R133+KLM!R133+PTA!R133+ALP!R133+KTM!R133+IDK!R133+EKM!R133+TSR!R133+PKD!R133+MLPM!R133+KKD!R133+WYD!R133+KNR!R133+KSD!R133+SHS!R133</f>
        <v>0</v>
      </c>
      <c r="S133" s="323">
        <f>TVM!S133+KLM!S133+PTA!S133+ALP!S133+KTM!S133+IDK!S133+EKM!S133+TSR!S133+PKD!S133+MLPM!S133+KKD!S133+WYD!S133+KNR!S133+KSD!S133+SHS!S133</f>
        <v>15</v>
      </c>
      <c r="T133" s="402">
        <f t="shared" si="5"/>
        <v>15</v>
      </c>
      <c r="U133" s="402">
        <f>TVM!U133+KLM!U133+PTA!U133+ALP!U133+KTM!U133+IDK!U133+EKM!U133+TSR!U133+PKD!U133+MLPM!U133+KKD!U133+WYD!U133+KNR!U133+KSD!U133+SHS!U133</f>
        <v>6.2</v>
      </c>
      <c r="V133" s="425" t="s">
        <v>1480</v>
      </c>
      <c r="W133" s="339" t="s">
        <v>1481</v>
      </c>
      <c r="X133" s="426">
        <v>0</v>
      </c>
      <c r="Y133" s="334">
        <f t="shared" si="1"/>
        <v>15</v>
      </c>
      <c r="Z133" s="314"/>
      <c r="AA133" s="314"/>
      <c r="AB133" s="314"/>
    </row>
    <row r="134" spans="1:28" ht="39.75" customHeight="1">
      <c r="A134" s="707"/>
      <c r="B134" s="724" t="s">
        <v>266</v>
      </c>
      <c r="C134" s="709"/>
      <c r="D134" s="710"/>
      <c r="E134" s="396"/>
      <c r="F134" s="84">
        <f t="shared" ref="F134:U134" si="6">SUM(F94:F133)</f>
        <v>0</v>
      </c>
      <c r="G134" s="84">
        <f t="shared" si="6"/>
        <v>60</v>
      </c>
      <c r="H134" s="84">
        <f t="shared" si="6"/>
        <v>305</v>
      </c>
      <c r="I134" s="84">
        <f t="shared" si="6"/>
        <v>1641.7500000000002</v>
      </c>
      <c r="J134" s="84">
        <f t="shared" si="6"/>
        <v>0</v>
      </c>
      <c r="K134" s="5">
        <f t="shared" si="6"/>
        <v>4169</v>
      </c>
      <c r="L134" s="84">
        <f t="shared" si="6"/>
        <v>0</v>
      </c>
      <c r="M134" s="84">
        <f t="shared" si="6"/>
        <v>1337.4099999999999</v>
      </c>
      <c r="N134" s="84">
        <f t="shared" si="6"/>
        <v>226.45</v>
      </c>
      <c r="O134" s="84">
        <f t="shared" si="6"/>
        <v>740.66</v>
      </c>
      <c r="P134" s="84">
        <f t="shared" si="6"/>
        <v>1030.6300000000001</v>
      </c>
      <c r="Q134" s="84">
        <f t="shared" si="6"/>
        <v>365.1</v>
      </c>
      <c r="R134" s="84">
        <f t="shared" si="6"/>
        <v>305.95</v>
      </c>
      <c r="S134" s="84">
        <f t="shared" si="6"/>
        <v>40.799999999999997</v>
      </c>
      <c r="T134" s="5">
        <f t="shared" si="6"/>
        <v>10222.75</v>
      </c>
      <c r="U134" s="5">
        <f t="shared" si="6"/>
        <v>9483.8824999999997</v>
      </c>
      <c r="V134" s="325"/>
      <c r="W134" s="363"/>
      <c r="X134" s="399">
        <v>11161.28</v>
      </c>
      <c r="Y134" s="328">
        <f t="shared" si="1"/>
        <v>-938.53000000000065</v>
      </c>
      <c r="Z134" s="314"/>
      <c r="AA134" s="314"/>
      <c r="AB134" s="314"/>
    </row>
    <row r="135" spans="1:28" ht="39.75" customHeight="1">
      <c r="A135" s="720" t="s">
        <v>267</v>
      </c>
      <c r="B135" s="718" t="s">
        <v>268</v>
      </c>
      <c r="C135" s="718" t="s">
        <v>269</v>
      </c>
      <c r="D135" s="320">
        <v>127</v>
      </c>
      <c r="E135" s="320" t="s">
        <v>270</v>
      </c>
      <c r="F135" s="323">
        <f>TVM!F135+KLM!F135+PTA!F135+ALP!F135+KTM!F135+IDK!F135+EKM!F135+TSR!F135+PKD!F135+MLPM!F135+KKD!F135+WYD!F135+KNR!F135+KSD!F135+SHS!F135</f>
        <v>0</v>
      </c>
      <c r="G135" s="323">
        <f>TVM!G135+KLM!G135+PTA!G135+ALP!G135+KTM!G135+IDK!G135+EKM!G135+TSR!G135+PKD!G135+MLPM!G135+KKD!G135+WYD!G135+KNR!G135+KSD!G135+SHS!G135</f>
        <v>0</v>
      </c>
      <c r="H135" s="323">
        <f>TVM!H135+KLM!H135+PTA!H135+ALP!H135+KTM!H135+IDK!H135+EKM!H135+TSR!H135+PKD!H135+MLPM!H135+KKD!H135+WYD!H135+KNR!H135+KSD!H135+SHS!H135</f>
        <v>0</v>
      </c>
      <c r="I135" s="323">
        <f>TVM!I135+KLM!I135+PTA!I135+ALP!I135+KTM!I135+IDK!I135+EKM!I135+TSR!I135+PKD!I135+MLPM!I135+KKD!I135+WYD!I135+KNR!I135+KSD!I135+SHS!I135</f>
        <v>0</v>
      </c>
      <c r="J135" s="323">
        <f>TVM!J135+KLM!J135+PTA!J135+ALP!J135+KTM!J135+IDK!J135+EKM!J135+TSR!J135+PKD!J135+MLPM!J135+KKD!J135+WYD!J135+KNR!J135+KSD!J135+SHS!J135</f>
        <v>0</v>
      </c>
      <c r="K135" s="323">
        <f>TVM!K135+KLM!K135+PTA!K135+ALP!K135+KTM!K135+IDK!K135+EKM!K135+TSR!K135+PKD!K135+MLPM!K135+KKD!K135+WYD!K135+KNR!K135+KSD!K135+SHS!K135</f>
        <v>0</v>
      </c>
      <c r="L135" s="323">
        <f>TVM!L135+KLM!L135+PTA!L135+ALP!L135+KTM!L135+IDK!L135+EKM!L135+TSR!L135+PKD!L135+MLPM!L135+KKD!L135+WYD!L135+KNR!L135+KSD!L135+SHS!L135</f>
        <v>0</v>
      </c>
      <c r="M135" s="323">
        <f>TVM!M135+KLM!M135+PTA!M135+ALP!M135+KTM!M135+IDK!M135+EKM!M135+TSR!M135+PKD!M135+MLPM!M135+KKD!M135+WYD!M135+KNR!M135+KSD!M135+SHS!M135</f>
        <v>0</v>
      </c>
      <c r="N135" s="323">
        <f>TVM!N135+KLM!N135+PTA!N135+ALP!N135+KTM!N135+IDK!N135+EKM!N135+TSR!N135+PKD!N135+MLPM!N135+KKD!N135+WYD!N135+KNR!N135+KSD!N135+SHS!N135</f>
        <v>0</v>
      </c>
      <c r="O135" s="323">
        <f>TVM!O135+KLM!O135+PTA!O135+ALP!O135+KTM!O135+IDK!O135+EKM!O135+TSR!O135+PKD!O135+MLPM!O135+KKD!O135+WYD!O135+KNR!O135+KSD!O135+SHS!O135</f>
        <v>0</v>
      </c>
      <c r="P135" s="323">
        <f>TVM!P135+KLM!P135+PTA!P135+ALP!P135+KTM!P135+IDK!P135+EKM!P135+TSR!P135+PKD!P135+MLPM!P135+KKD!P135+WYD!P135+KNR!P135+KSD!P135+SHS!P135</f>
        <v>0</v>
      </c>
      <c r="Q135" s="323">
        <f>TVM!Q135+KLM!Q135+PTA!Q135+ALP!Q135+KTM!Q135+IDK!Q135+EKM!Q135+TSR!Q135+PKD!Q135+MLPM!Q135+KKD!Q135+WYD!Q135+KNR!Q135+KSD!Q135+SHS!Q135</f>
        <v>0</v>
      </c>
      <c r="R135" s="323">
        <f>TVM!R135+KLM!R135+PTA!R135+ALP!R135+KTM!R135+IDK!R135+EKM!R135+TSR!R135+PKD!R135+MLPM!R135+KKD!R135+WYD!R135+KNR!R135+KSD!R135+SHS!R135</f>
        <v>0</v>
      </c>
      <c r="S135" s="323">
        <f>TVM!S135+KLM!S135+PTA!S135+ALP!S135+KTM!S135+IDK!S135+EKM!S135+TSR!S135+PKD!S135+MLPM!S135+KKD!S135+WYD!S135+KNR!S135+KSD!S135+SHS!S135</f>
        <v>0</v>
      </c>
      <c r="T135" s="389">
        <f t="shared" ref="T135:T157" si="7">SUM(F135:S135)</f>
        <v>0</v>
      </c>
      <c r="U135" s="389">
        <f>TVM!U135+KLM!U135+PTA!U135+ALP!U135+KTM!U135+IDK!U135+EKM!U135+TSR!U135+PKD!U135+MLPM!U135+KKD!U135+WYD!U135+KNR!U135+KSD!U135+SHS!U135</f>
        <v>0</v>
      </c>
      <c r="V135" s="325"/>
      <c r="W135" s="333"/>
      <c r="X135" s="332">
        <v>0</v>
      </c>
      <c r="Y135" s="328">
        <f t="shared" si="1"/>
        <v>0</v>
      </c>
      <c r="Z135" s="314"/>
      <c r="AA135" s="314"/>
      <c r="AB135" s="314"/>
    </row>
    <row r="136" spans="1:28" ht="236.25">
      <c r="A136" s="712"/>
      <c r="B136" s="707"/>
      <c r="C136" s="707"/>
      <c r="D136" s="320">
        <v>128</v>
      </c>
      <c r="E136" s="320" t="s">
        <v>271</v>
      </c>
      <c r="F136" s="323">
        <f>TVM!F136+KLM!F136+PTA!F136+ALP!F136+KTM!F136+IDK!F136+EKM!F136+TSR!F136+PKD!F136+MLPM!F136+KKD!F136+WYD!F136+KNR!F136+KSD!F136+SHS!F136</f>
        <v>0</v>
      </c>
      <c r="G136" s="323">
        <f>TVM!G136+KLM!G136+PTA!G136+ALP!G136+KTM!G136+IDK!G136+EKM!G136+TSR!G136+PKD!G136+MLPM!G136+KKD!G136+WYD!G136+KNR!G136+KSD!G136+SHS!G136</f>
        <v>0</v>
      </c>
      <c r="H136" s="323">
        <f>TVM!H136+KLM!H136+PTA!H136+ALP!H136+KTM!H136+IDK!H136+EKM!H136+TSR!H136+PKD!H136+MLPM!H136+KKD!H136+WYD!H136+KNR!H136+KSD!H136+SHS!H136</f>
        <v>0</v>
      </c>
      <c r="I136" s="323">
        <f>TVM!I136+KLM!I136+PTA!I136+ALP!I136+KTM!I136+IDK!I136+EKM!I136+TSR!I136+PKD!I136+MLPM!I136+KKD!I136+WYD!I136+KNR!I136+KSD!I136+SHS!I136</f>
        <v>0</v>
      </c>
      <c r="J136" s="323">
        <f>TVM!J136+KLM!J136+PTA!J136+ALP!J136+KTM!J136+IDK!J136+EKM!J136+TSR!J136+PKD!J136+MLPM!J136+KKD!J136+WYD!J136+KNR!J136+KSD!J136+SHS!J136</f>
        <v>0</v>
      </c>
      <c r="K136" s="329">
        <f>TVM!K136+KLM!K136+PTA!K136+ALP!K136+KTM!K136+IDK!K136+EKM!K136+TSR!K136+PKD!K136+MLPM!K136+KKD!K136+WYD!K136+KNR!K136+KSD!K136+SHS!K136</f>
        <v>0</v>
      </c>
      <c r="L136" s="323">
        <f>TVM!L136+KLM!L136+PTA!L136+ALP!L136+KTM!L136+IDK!L136+EKM!L136+TSR!L136+PKD!L136+MLPM!L136+KKD!L136+WYD!L136+KNR!L136+KSD!L136+SHS!L136</f>
        <v>0</v>
      </c>
      <c r="M136" s="323">
        <f>TVM!M136+KLM!M136+PTA!M136+ALP!M136+KTM!M136+IDK!M136+EKM!M136+TSR!M136+PKD!M136+MLPM!M136+KKD!M136+WYD!M136+KNR!M136+KSD!M136+SHS!M136</f>
        <v>0</v>
      </c>
      <c r="N136" s="329">
        <f>TVM!N136+KLM!N136+PTA!N136+ALP!N136+KTM!N136+IDK!N136+EKM!N136+TSR!N136+PKD!N136+MLPM!N136+KKD!N136+WYD!N136+KNR!N136+KSD!N136+SHS!N136</f>
        <v>20</v>
      </c>
      <c r="O136" s="323">
        <f>TVM!O136+KLM!O136+PTA!O136+ALP!O136+KTM!O136+IDK!O136+EKM!O136+TSR!O136+PKD!O136+MLPM!O136+KKD!O136+WYD!O136+KNR!O136+KSD!O136+SHS!O136</f>
        <v>0</v>
      </c>
      <c r="P136" s="329">
        <f>TVM!P136+KLM!P136+PTA!P136+ALP!P136+KTM!P136+IDK!P136+EKM!P136+TSR!P136+PKD!P136+MLPM!P136+KKD!P136+WYD!P136+KNR!P136+KSD!P136+SHS!P136</f>
        <v>0</v>
      </c>
      <c r="Q136" s="329">
        <f>TVM!Q136+KLM!Q136+PTA!Q136+ALP!Q136+KTM!Q136+IDK!Q136+EKM!Q136+TSR!Q136+PKD!Q136+MLPM!Q136+KKD!Q136+WYD!Q136+KNR!Q136+KSD!Q136+SHS!Q136</f>
        <v>86.7</v>
      </c>
      <c r="R136" s="323">
        <f>TVM!R136+KLM!R136+PTA!R136+ALP!R136+KTM!R136+IDK!R136+EKM!R136+TSR!R136+PKD!R136+MLPM!R136+KKD!R136+WYD!R136+KNR!R136+KSD!R136+SHS!R136</f>
        <v>0</v>
      </c>
      <c r="S136" s="323">
        <f>TVM!S136+KLM!S136+PTA!S136+ALP!S136+KTM!S136+IDK!S136+EKM!S136+TSR!S136+PKD!S136+MLPM!S136+KKD!S136+WYD!S136+KNR!S136+KSD!S136+SHS!S136</f>
        <v>0</v>
      </c>
      <c r="T136" s="324">
        <f t="shared" si="7"/>
        <v>106.7</v>
      </c>
      <c r="U136" s="324">
        <f>TVM!U136+KLM!U136+PTA!U136+ALP!U136+KTM!U136+IDK!U136+EKM!U136+TSR!U136+PKD!U136+MLPM!U136+KKD!U136+WYD!U136+KNR!U136+KSD!U136+SHS!U136</f>
        <v>106.7</v>
      </c>
      <c r="V136" s="427" t="s">
        <v>1482</v>
      </c>
      <c r="W136" s="427" t="s">
        <v>1483</v>
      </c>
      <c r="X136" s="332">
        <v>1669.4</v>
      </c>
      <c r="Y136" s="328">
        <f t="shared" si="1"/>
        <v>-1562.7</v>
      </c>
      <c r="Z136" s="314"/>
      <c r="AA136" s="314"/>
      <c r="AB136" s="314"/>
    </row>
    <row r="137" spans="1:28" ht="39.75" customHeight="1">
      <c r="A137" s="712"/>
      <c r="B137" s="428"/>
      <c r="C137" s="428"/>
      <c r="D137" s="320">
        <v>129</v>
      </c>
      <c r="E137" s="320" t="s">
        <v>273</v>
      </c>
      <c r="F137" s="323">
        <f>TVM!F137+KLM!F137+PTA!F137+ALP!F137+KTM!F137+IDK!F137+EKM!F137+TSR!F137+PKD!F137+MLPM!F137+KKD!F137+WYD!F137+KNR!F137+KSD!F137+SHS!F137</f>
        <v>0</v>
      </c>
      <c r="G137" s="323">
        <f>TVM!G137+KLM!G137+PTA!G137+ALP!G137+KTM!G137+IDK!G137+EKM!G137+TSR!G137+PKD!G137+MLPM!G137+KKD!G137+WYD!G137+KNR!G137+KSD!G137+SHS!G137</f>
        <v>0</v>
      </c>
      <c r="H137" s="323">
        <f>TVM!H137+KLM!H137+PTA!H137+ALP!H137+KTM!H137+IDK!H137+EKM!H137+TSR!H137+PKD!H137+MLPM!H137+KKD!H137+WYD!H137+KNR!H137+KSD!H137+SHS!H137</f>
        <v>0</v>
      </c>
      <c r="I137" s="323">
        <f>TVM!I137+KLM!I137+PTA!I137+ALP!I137+KTM!I137+IDK!I137+EKM!I137+TSR!I137+PKD!I137+MLPM!I137+KKD!I137+WYD!I137+KNR!I137+KSD!I137+SHS!I137</f>
        <v>0</v>
      </c>
      <c r="J137" s="323">
        <f>TVM!J137+KLM!J137+PTA!J137+ALP!J137+KTM!J137+IDK!J137+EKM!J137+TSR!J137+PKD!J137+MLPM!J137+KKD!J137+WYD!J137+KNR!J137+KSD!J137+SHS!J137</f>
        <v>0</v>
      </c>
      <c r="K137" s="323">
        <f>TVM!K137+KLM!K137+PTA!K137+ALP!K137+KTM!K137+IDK!K137+EKM!K137+TSR!K137+PKD!K137+MLPM!K137+KKD!K137+WYD!K137+KNR!K137+KSD!K137+SHS!K137</f>
        <v>0</v>
      </c>
      <c r="L137" s="323">
        <f>TVM!L137+KLM!L137+PTA!L137+ALP!L137+KTM!L137+IDK!L137+EKM!L137+TSR!L137+PKD!L137+MLPM!L137+KKD!L137+WYD!L137+KNR!L137+KSD!L137+SHS!L137</f>
        <v>0</v>
      </c>
      <c r="M137" s="323">
        <f>TVM!M137+KLM!M137+PTA!M137+ALP!M137+KTM!M137+IDK!M137+EKM!M137+TSR!M137+PKD!M137+MLPM!M137+KKD!M137+WYD!M137+KNR!M137+KSD!M137+SHS!M137</f>
        <v>0</v>
      </c>
      <c r="N137" s="323">
        <f>TVM!N137+KLM!N137+PTA!N137+ALP!N137+KTM!N137+IDK!N137+EKM!N137+TSR!N137+PKD!N137+MLPM!N137+KKD!N137+WYD!N137+KNR!N137+KSD!N137+SHS!N137</f>
        <v>0</v>
      </c>
      <c r="O137" s="323">
        <f>TVM!O137+KLM!O137+PTA!O137+ALP!O137+KTM!O137+IDK!O137+EKM!O137+TSR!O137+PKD!O137+MLPM!O137+KKD!O137+WYD!O137+KNR!O137+KSD!O137+SHS!O137</f>
        <v>0</v>
      </c>
      <c r="P137" s="323">
        <f>TVM!P137+KLM!P137+PTA!P137+ALP!P137+KTM!P137+IDK!P137+EKM!P137+TSR!P137+PKD!P137+MLPM!P137+KKD!P137+WYD!P137+KNR!P137+KSD!P137+SHS!P137</f>
        <v>0</v>
      </c>
      <c r="Q137" s="323">
        <f>TVM!Q137+KLM!Q137+PTA!Q137+ALP!Q137+KTM!Q137+IDK!Q137+EKM!Q137+TSR!Q137+PKD!Q137+MLPM!Q137+KKD!Q137+WYD!Q137+KNR!Q137+KSD!Q137+SHS!Q137</f>
        <v>0</v>
      </c>
      <c r="R137" s="323">
        <f>TVM!R137+KLM!R137+PTA!R137+ALP!R137+KTM!R137+IDK!R137+EKM!R137+TSR!R137+PKD!R137+MLPM!R137+KKD!R137+WYD!R137+KNR!R137+KSD!R137+SHS!R137</f>
        <v>0</v>
      </c>
      <c r="S137" s="323">
        <f>TVM!S137+KLM!S137+PTA!S137+ALP!S137+KTM!S137+IDK!S137+EKM!S137+TSR!S137+PKD!S137+MLPM!S137+KKD!S137+WYD!S137+KNR!S137+KSD!S137+SHS!S137</f>
        <v>0</v>
      </c>
      <c r="T137" s="324">
        <f t="shared" si="7"/>
        <v>0</v>
      </c>
      <c r="U137" s="324">
        <f>TVM!U137+KLM!U137+PTA!U137+ALP!U137+KTM!U137+IDK!U137+EKM!U137+TSR!U137+PKD!U137+MLPM!U137+KKD!U137+WYD!U137+KNR!U137+KSD!U137+SHS!U137</f>
        <v>0</v>
      </c>
      <c r="V137" s="325"/>
      <c r="W137" s="333"/>
      <c r="X137" s="332">
        <v>0</v>
      </c>
      <c r="Y137" s="328">
        <f t="shared" si="1"/>
        <v>0</v>
      </c>
      <c r="Z137" s="314"/>
      <c r="AA137" s="314"/>
      <c r="AB137" s="314"/>
    </row>
    <row r="138" spans="1:28" ht="39.75" customHeight="1">
      <c r="A138" s="712"/>
      <c r="B138" s="718" t="s">
        <v>274</v>
      </c>
      <c r="C138" s="718" t="s">
        <v>275</v>
      </c>
      <c r="D138" s="320">
        <v>130</v>
      </c>
      <c r="E138" s="320" t="s">
        <v>276</v>
      </c>
      <c r="F138" s="323">
        <f>TVM!F138+KLM!F138+PTA!F138+ALP!F138+KTM!F138+IDK!F138+EKM!F138+TSR!F138+PKD!F138+MLPM!F138+KKD!F138+WYD!F138+KNR!F138+KSD!F138+SHS!F138</f>
        <v>0</v>
      </c>
      <c r="G138" s="323">
        <f>TVM!G138+KLM!G138+PTA!G138+ALP!G138+KTM!G138+IDK!G138+EKM!G138+TSR!G138+PKD!G138+MLPM!G138+KKD!G138+WYD!G138+KNR!G138+KSD!G138+SHS!G138</f>
        <v>0</v>
      </c>
      <c r="H138" s="323">
        <f>TVM!H138+KLM!H138+PTA!H138+ALP!H138+KTM!H138+IDK!H138+EKM!H138+TSR!H138+PKD!H138+MLPM!H138+KKD!H138+WYD!H138+KNR!H138+KSD!H138+SHS!H138</f>
        <v>0</v>
      </c>
      <c r="I138" s="323">
        <f>TVM!I138+KLM!I138+PTA!I138+ALP!I138+KTM!I138+IDK!I138+EKM!I138+TSR!I138+PKD!I138+MLPM!I138+KKD!I138+WYD!I138+KNR!I138+KSD!I138+SHS!I138</f>
        <v>0</v>
      </c>
      <c r="J138" s="323">
        <f>TVM!J138+KLM!J138+PTA!J138+ALP!J138+KTM!J138+IDK!J138+EKM!J138+TSR!J138+PKD!J138+MLPM!J138+KKD!J138+WYD!J138+KNR!J138+KSD!J138+SHS!J138</f>
        <v>0</v>
      </c>
      <c r="K138" s="323">
        <f>TVM!K138+KLM!K138+PTA!K138+ALP!K138+KTM!K138+IDK!K138+EKM!K138+TSR!K138+PKD!K138+MLPM!K138+KKD!K138+WYD!K138+KNR!K138+KSD!K138+SHS!K138</f>
        <v>0</v>
      </c>
      <c r="L138" s="323">
        <f>TVM!L138+KLM!L138+PTA!L138+ALP!L138+KTM!L138+IDK!L138+EKM!L138+TSR!L138+PKD!L138+MLPM!L138+KKD!L138+WYD!L138+KNR!L138+KSD!L138+SHS!L138</f>
        <v>0</v>
      </c>
      <c r="M138" s="323">
        <f>TVM!M138+KLM!M138+PTA!M138+ALP!M138+KTM!M138+IDK!M138+EKM!M138+TSR!M138+PKD!M138+MLPM!M138+KKD!M138+WYD!M138+KNR!M138+KSD!M138+SHS!M138</f>
        <v>0</v>
      </c>
      <c r="N138" s="323">
        <f>TVM!N138+KLM!N138+PTA!N138+ALP!N138+KTM!N138+IDK!N138+EKM!N138+TSR!N138+PKD!N138+MLPM!N138+KKD!N138+WYD!N138+KNR!N138+KSD!N138+SHS!N138</f>
        <v>0</v>
      </c>
      <c r="O138" s="323">
        <f>TVM!O138+KLM!O138+PTA!O138+ALP!O138+KTM!O138+IDK!O138+EKM!O138+TSR!O138+PKD!O138+MLPM!O138+KKD!O138+WYD!O138+KNR!O138+KSD!O138+SHS!O138</f>
        <v>0</v>
      </c>
      <c r="P138" s="323">
        <f>TVM!P138+KLM!P138+PTA!P138+ALP!P138+KTM!P138+IDK!P138+EKM!P138+TSR!P138+PKD!P138+MLPM!P138+KKD!P138+WYD!P138+KNR!P138+KSD!P138+SHS!P138</f>
        <v>0</v>
      </c>
      <c r="Q138" s="323">
        <f>TVM!Q138+KLM!Q138+PTA!Q138+ALP!Q138+KTM!Q138+IDK!Q138+EKM!Q138+TSR!Q138+PKD!Q138+MLPM!Q138+KKD!Q138+WYD!Q138+KNR!Q138+KSD!Q138+SHS!Q138</f>
        <v>0</v>
      </c>
      <c r="R138" s="323">
        <f>TVM!R138+KLM!R138+PTA!R138+ALP!R138+KTM!R138+IDK!R138+EKM!R138+TSR!R138+PKD!R138+MLPM!R138+KKD!R138+WYD!R138+KNR!R138+KSD!R138+SHS!R138</f>
        <v>0</v>
      </c>
      <c r="S138" s="323">
        <f>TVM!S138+KLM!S138+PTA!S138+ALP!S138+KTM!S138+IDK!S138+EKM!S138+TSR!S138+PKD!S138+MLPM!S138+KKD!S138+WYD!S138+KNR!S138+KSD!S138+SHS!S138</f>
        <v>0</v>
      </c>
      <c r="T138" s="324">
        <f t="shared" si="7"/>
        <v>0</v>
      </c>
      <c r="U138" s="324">
        <f>TVM!U138+KLM!U138+PTA!U138+ALP!U138+KTM!U138+IDK!U138+EKM!U138+TSR!U138+PKD!U138+MLPM!U138+KKD!U138+WYD!U138+KNR!U138+KSD!U138+SHS!U138</f>
        <v>0</v>
      </c>
      <c r="V138" s="325"/>
      <c r="W138" s="333"/>
      <c r="X138" s="332">
        <v>0</v>
      </c>
      <c r="Y138" s="328">
        <f t="shared" si="1"/>
        <v>0</v>
      </c>
      <c r="Z138" s="314"/>
      <c r="AA138" s="314"/>
      <c r="AB138" s="314"/>
    </row>
    <row r="139" spans="1:28" ht="58.5" customHeight="1">
      <c r="A139" s="712"/>
      <c r="B139" s="712"/>
      <c r="C139" s="712"/>
      <c r="D139" s="320">
        <v>131</v>
      </c>
      <c r="E139" s="320" t="s">
        <v>277</v>
      </c>
      <c r="F139" s="323">
        <f>TVM!F139+KLM!F139+PTA!F139+ALP!F139+KTM!F139+IDK!F139+EKM!F139+TSR!F139+PKD!F139+MLPM!F139+KKD!F139+WYD!F139+KNR!F139+KSD!F139+SHS!F139</f>
        <v>0</v>
      </c>
      <c r="G139" s="323">
        <f>TVM!G139+KLM!G139+PTA!G139+ALP!G139+KTM!G139+IDK!G139+EKM!G139+TSR!G139+PKD!G139+MLPM!G139+KKD!G139+WYD!G139+KNR!G139+KSD!G139+SHS!G139</f>
        <v>0</v>
      </c>
      <c r="H139" s="323">
        <f>TVM!H139+KLM!H139+PTA!H139+ALP!H139+KTM!H139+IDK!H139+EKM!H139+TSR!H139+PKD!H139+MLPM!H139+KKD!H139+WYD!H139+KNR!H139+KSD!H139+SHS!H139</f>
        <v>0</v>
      </c>
      <c r="I139" s="323">
        <f>TVM!I139+KLM!I139+PTA!I139+ALP!I139+KTM!I139+IDK!I139+EKM!I139+TSR!I139+PKD!I139+MLPM!I139+KKD!I139+WYD!I139+KNR!I139+KSD!I139+SHS!I139</f>
        <v>0</v>
      </c>
      <c r="J139" s="323">
        <f>TVM!J139+KLM!J139+PTA!J139+ALP!J139+KTM!J139+IDK!J139+EKM!J139+TSR!J139+PKD!J139+MLPM!J139+KKD!J139+WYD!J139+KNR!J139+KSD!J139+SHS!J139</f>
        <v>0</v>
      </c>
      <c r="K139" s="323">
        <f>TVM!K139+KLM!K139+PTA!K139+ALP!K139+KTM!K139+IDK!K139+EKM!K139+TSR!K139+PKD!K139+MLPM!K139+KKD!K139+WYD!K139+KNR!K139+KSD!K139+SHS!K139</f>
        <v>0</v>
      </c>
      <c r="L139" s="323">
        <f>TVM!L139+KLM!L139+PTA!L139+ALP!L139+KTM!L139+IDK!L139+EKM!L139+TSR!L139+PKD!L139+MLPM!L139+KKD!L139+WYD!L139+KNR!L139+KSD!L139+SHS!L139</f>
        <v>0</v>
      </c>
      <c r="M139" s="323">
        <f>TVM!M139+KLM!M139+PTA!M139+ALP!M139+KTM!M139+IDK!M139+EKM!M139+TSR!M139+PKD!M139+MLPM!M139+KKD!M139+WYD!M139+KNR!M139+KSD!M139+SHS!M139</f>
        <v>0</v>
      </c>
      <c r="N139" s="329">
        <f>TVM!N139+KLM!N139+PTA!N139+ALP!N139+KTM!N139+IDK!N139+EKM!N139+TSR!N139+PKD!N139+MLPM!N139+KKD!N139+WYD!N139+KNR!N139+KSD!N139+SHS!N139</f>
        <v>14.23</v>
      </c>
      <c r="O139" s="323">
        <f>TVM!O139+KLM!O139+PTA!O139+ALP!O139+KTM!O139+IDK!O139+EKM!O139+TSR!O139+PKD!O139+MLPM!O139+KKD!O139+WYD!O139+KNR!O139+KSD!O139+SHS!O139</f>
        <v>0</v>
      </c>
      <c r="P139" s="323">
        <f>TVM!P139+KLM!P139+PTA!P139+ALP!P139+KTM!P139+IDK!P139+EKM!P139+TSR!P139+PKD!P139+MLPM!P139+KKD!P139+WYD!P139+KNR!P139+KSD!P139+SHS!P139</f>
        <v>0</v>
      </c>
      <c r="Q139" s="323">
        <f>TVM!Q139+KLM!Q139+PTA!Q139+ALP!Q139+KTM!Q139+IDK!Q139+EKM!Q139+TSR!Q139+PKD!Q139+MLPM!Q139+KKD!Q139+WYD!Q139+KNR!Q139+KSD!Q139+SHS!Q139</f>
        <v>0</v>
      </c>
      <c r="R139" s="323">
        <f>TVM!R139+KLM!R139+PTA!R139+ALP!R139+KTM!R139+IDK!R139+EKM!R139+TSR!R139+PKD!R139+MLPM!R139+KKD!R139+WYD!R139+KNR!R139+KSD!R139+SHS!R139</f>
        <v>0</v>
      </c>
      <c r="S139" s="323">
        <f>TVM!S139+KLM!S139+PTA!S139+ALP!S139+KTM!S139+IDK!S139+EKM!S139+TSR!S139+PKD!S139+MLPM!S139+KKD!S139+WYD!S139+KNR!S139+KSD!S139+SHS!S139</f>
        <v>0</v>
      </c>
      <c r="T139" s="324">
        <f t="shared" si="7"/>
        <v>14.23</v>
      </c>
      <c r="U139" s="324">
        <f>TVM!U139+KLM!U139+PTA!U139+ALP!U139+KTM!U139+IDK!U139+EKM!U139+TSR!U139+PKD!U139+MLPM!U139+KKD!U139+WYD!U139+KNR!U139+KSD!U139+SHS!U139</f>
        <v>15.095000000000002</v>
      </c>
      <c r="V139" s="427" t="s">
        <v>1484</v>
      </c>
      <c r="W139" s="427" t="s">
        <v>1485</v>
      </c>
      <c r="X139" s="332">
        <v>23.73</v>
      </c>
      <c r="Y139" s="328">
        <f t="shared" si="1"/>
        <v>-9.5</v>
      </c>
      <c r="Z139" s="314"/>
      <c r="AA139" s="314"/>
      <c r="AB139" s="314"/>
    </row>
    <row r="140" spans="1:28" ht="39.75" customHeight="1">
      <c r="A140" s="712"/>
      <c r="B140" s="712"/>
      <c r="C140" s="712"/>
      <c r="D140" s="320">
        <v>132</v>
      </c>
      <c r="E140" s="320" t="s">
        <v>279</v>
      </c>
      <c r="F140" s="323">
        <f>TVM!F140+KLM!F140+PTA!F140+ALP!F140+KTM!F140+IDK!F140+EKM!F140+TSR!F140+PKD!F140+MLPM!F140+KKD!F140+WYD!F140+KNR!F140+KSD!F140+SHS!F140</f>
        <v>0</v>
      </c>
      <c r="G140" s="323">
        <f>TVM!G140+KLM!G140+PTA!G140+ALP!G140+KTM!G140+IDK!G140+EKM!G140+TSR!G140+PKD!G140+MLPM!G140+KKD!G140+WYD!G140+KNR!G140+KSD!G140+SHS!G140</f>
        <v>0</v>
      </c>
      <c r="H140" s="323">
        <f>TVM!H140+KLM!H140+PTA!H140+ALP!H140+KTM!H140+IDK!H140+EKM!H140+TSR!H140+PKD!H140+MLPM!H140+KKD!H140+WYD!H140+KNR!H140+KSD!H140+SHS!H140</f>
        <v>0</v>
      </c>
      <c r="I140" s="323">
        <f>TVM!I140+KLM!I140+PTA!I140+ALP!I140+KTM!I140+IDK!I140+EKM!I140+TSR!I140+PKD!I140+MLPM!I140+KKD!I140+WYD!I140+KNR!I140+KSD!I140+SHS!I140</f>
        <v>0</v>
      </c>
      <c r="J140" s="323">
        <f>TVM!J140+KLM!J140+PTA!J140+ALP!J140+KTM!J140+IDK!J140+EKM!J140+TSR!J140+PKD!J140+MLPM!J140+KKD!J140+WYD!J140+KNR!J140+KSD!J140+SHS!J140</f>
        <v>0</v>
      </c>
      <c r="K140" s="323">
        <f>TVM!K140+KLM!K140+PTA!K140+ALP!K140+KTM!K140+IDK!K140+EKM!K140+TSR!K140+PKD!K140+MLPM!K140+KKD!K140+WYD!K140+KNR!K140+KSD!K140+SHS!K140</f>
        <v>0</v>
      </c>
      <c r="L140" s="323">
        <f>TVM!L140+KLM!L140+PTA!L140+ALP!L140+KTM!L140+IDK!L140+EKM!L140+TSR!L140+PKD!L140+MLPM!L140+KKD!L140+WYD!L140+KNR!L140+KSD!L140+SHS!L140</f>
        <v>0</v>
      </c>
      <c r="M140" s="323">
        <f>TVM!M140+KLM!M140+PTA!M140+ALP!M140+KTM!M140+IDK!M140+EKM!M140+TSR!M140+PKD!M140+MLPM!M140+KKD!M140+WYD!M140+KNR!M140+KSD!M140+SHS!M140</f>
        <v>0</v>
      </c>
      <c r="N140" s="323">
        <f>TVM!N140+KLM!N140+PTA!N140+ALP!N140+KTM!N140+IDK!N140+EKM!N140+TSR!N140+PKD!N140+MLPM!N140+KKD!N140+WYD!N140+KNR!N140+KSD!N140+SHS!N140</f>
        <v>0</v>
      </c>
      <c r="O140" s="323">
        <f>TVM!O140+KLM!O140+PTA!O140+ALP!O140+KTM!O140+IDK!O140+EKM!O140+TSR!O140+PKD!O140+MLPM!O140+KKD!O140+WYD!O140+KNR!O140+KSD!O140+SHS!O140</f>
        <v>0</v>
      </c>
      <c r="P140" s="323">
        <f>TVM!P140+KLM!P140+PTA!P140+ALP!P140+KTM!P140+IDK!P140+EKM!P140+TSR!P140+PKD!P140+MLPM!P140+KKD!P140+WYD!P140+KNR!P140+KSD!P140+SHS!P140</f>
        <v>0</v>
      </c>
      <c r="Q140" s="323">
        <f>TVM!Q140+KLM!Q140+PTA!Q140+ALP!Q140+KTM!Q140+IDK!Q140+EKM!Q140+TSR!Q140+PKD!Q140+MLPM!Q140+KKD!Q140+WYD!Q140+KNR!Q140+KSD!Q140+SHS!Q140</f>
        <v>0</v>
      </c>
      <c r="R140" s="323">
        <f>TVM!R140+KLM!R140+PTA!R140+ALP!R140+KTM!R140+IDK!R140+EKM!R140+TSR!R140+PKD!R140+MLPM!R140+KKD!R140+WYD!R140+KNR!R140+KSD!R140+SHS!R140</f>
        <v>0</v>
      </c>
      <c r="S140" s="323">
        <f>TVM!S140+KLM!S140+PTA!S140+ALP!S140+KTM!S140+IDK!S140+EKM!S140+TSR!S140+PKD!S140+MLPM!S140+KKD!S140+WYD!S140+KNR!S140+KSD!S140+SHS!S140</f>
        <v>0</v>
      </c>
      <c r="T140" s="324">
        <f t="shared" si="7"/>
        <v>0</v>
      </c>
      <c r="U140" s="324">
        <f>TVM!U140+KLM!U140+PTA!U140+ALP!U140+KTM!U140+IDK!U140+EKM!U140+TSR!U140+PKD!U140+MLPM!U140+KKD!U140+WYD!U140+KNR!U140+KSD!U140+SHS!U140</f>
        <v>0</v>
      </c>
      <c r="V140" s="325"/>
      <c r="W140" s="337"/>
      <c r="X140" s="332">
        <v>0</v>
      </c>
      <c r="Y140" s="328">
        <f t="shared" si="1"/>
        <v>0</v>
      </c>
      <c r="Z140" s="314"/>
      <c r="AA140" s="314"/>
      <c r="AB140" s="314"/>
    </row>
    <row r="141" spans="1:28" ht="39.75" customHeight="1">
      <c r="A141" s="712"/>
      <c r="B141" s="712"/>
      <c r="C141" s="712"/>
      <c r="D141" s="320">
        <v>133</v>
      </c>
      <c r="E141" s="320" t="s">
        <v>280</v>
      </c>
      <c r="F141" s="323">
        <f>TVM!F141+KLM!F141+PTA!F141+ALP!F141+KTM!F141+IDK!F141+EKM!F141+TSR!F141+PKD!F141+MLPM!F141+KKD!F141+WYD!F141+KNR!F141+KSD!F141+SHS!F141</f>
        <v>0</v>
      </c>
      <c r="G141" s="323">
        <f>TVM!G141+KLM!G141+PTA!G141+ALP!G141+KTM!G141+IDK!G141+EKM!G141+TSR!G141+PKD!G141+MLPM!G141+KKD!G141+WYD!G141+KNR!G141+KSD!G141+SHS!G141</f>
        <v>0</v>
      </c>
      <c r="H141" s="323">
        <f>TVM!H141+KLM!H141+PTA!H141+ALP!H141+KTM!H141+IDK!H141+EKM!H141+TSR!H141+PKD!H141+MLPM!H141+KKD!H141+WYD!H141+KNR!H141+KSD!H141+SHS!H141</f>
        <v>0</v>
      </c>
      <c r="I141" s="323">
        <f>TVM!I141+KLM!I141+PTA!I141+ALP!I141+KTM!I141+IDK!I141+EKM!I141+TSR!I141+PKD!I141+MLPM!I141+KKD!I141+WYD!I141+KNR!I141+KSD!I141+SHS!I141</f>
        <v>0</v>
      </c>
      <c r="J141" s="323">
        <f>TVM!J141+KLM!J141+PTA!J141+ALP!J141+KTM!J141+IDK!J141+EKM!J141+TSR!J141+PKD!J141+MLPM!J141+KKD!J141+WYD!J141+KNR!J141+KSD!J141+SHS!J141</f>
        <v>0</v>
      </c>
      <c r="K141" s="323">
        <f>TVM!K141+KLM!K141+PTA!K141+ALP!K141+KTM!K141+IDK!K141+EKM!K141+TSR!K141+PKD!K141+MLPM!K141+KKD!K141+WYD!K141+KNR!K141+KSD!K141+SHS!K141</f>
        <v>0</v>
      </c>
      <c r="L141" s="323">
        <f>TVM!L141+KLM!L141+PTA!L141+ALP!L141+KTM!L141+IDK!L141+EKM!L141+TSR!L141+PKD!L141+MLPM!L141+KKD!L141+WYD!L141+KNR!L141+KSD!L141+SHS!L141</f>
        <v>0</v>
      </c>
      <c r="M141" s="323">
        <f>TVM!M141+KLM!M141+PTA!M141+ALP!M141+KTM!M141+IDK!M141+EKM!M141+TSR!M141+PKD!M141+MLPM!M141+KKD!M141+WYD!M141+KNR!M141+KSD!M141+SHS!M141</f>
        <v>0</v>
      </c>
      <c r="N141" s="323">
        <f>TVM!N141+KLM!N141+PTA!N141+ALP!N141+KTM!N141+IDK!N141+EKM!N141+TSR!N141+PKD!N141+MLPM!N141+KKD!N141+WYD!N141+KNR!N141+KSD!N141+SHS!N141</f>
        <v>0</v>
      </c>
      <c r="O141" s="323">
        <f>TVM!O141+KLM!O141+PTA!O141+ALP!O141+KTM!O141+IDK!O141+EKM!O141+TSR!O141+PKD!O141+MLPM!O141+KKD!O141+WYD!O141+KNR!O141+KSD!O141+SHS!O141</f>
        <v>0</v>
      </c>
      <c r="P141" s="323">
        <f>TVM!P141+KLM!P141+PTA!P141+ALP!P141+KTM!P141+IDK!P141+EKM!P141+TSR!P141+PKD!P141+MLPM!P141+KKD!P141+WYD!P141+KNR!P141+KSD!P141+SHS!P141</f>
        <v>0</v>
      </c>
      <c r="Q141" s="323">
        <f>TVM!Q141+KLM!Q141+PTA!Q141+ALP!Q141+KTM!Q141+IDK!Q141+EKM!Q141+TSR!Q141+PKD!Q141+MLPM!Q141+KKD!Q141+WYD!Q141+KNR!Q141+KSD!Q141+SHS!Q141</f>
        <v>0</v>
      </c>
      <c r="R141" s="323">
        <f>TVM!R141+KLM!R141+PTA!R141+ALP!R141+KTM!R141+IDK!R141+EKM!R141+TSR!R141+PKD!R141+MLPM!R141+KKD!R141+WYD!R141+KNR!R141+KSD!R141+SHS!R141</f>
        <v>0</v>
      </c>
      <c r="S141" s="323">
        <f>TVM!S141+KLM!S141+PTA!S141+ALP!S141+KTM!S141+IDK!S141+EKM!S141+TSR!S141+PKD!S141+MLPM!S141+KKD!S141+WYD!S141+KNR!S141+KSD!S141+SHS!S141</f>
        <v>0</v>
      </c>
      <c r="T141" s="324">
        <f t="shared" si="7"/>
        <v>0</v>
      </c>
      <c r="U141" s="324">
        <f>TVM!U141+KLM!U141+PTA!U141+ALP!U141+KTM!U141+IDK!U141+EKM!U141+TSR!U141+PKD!U141+MLPM!U141+KKD!U141+WYD!U141+KNR!U141+KSD!U141+SHS!U141</f>
        <v>0</v>
      </c>
      <c r="V141" s="325"/>
      <c r="W141" s="333"/>
      <c r="X141" s="332">
        <v>0</v>
      </c>
      <c r="Y141" s="328">
        <f t="shared" si="1"/>
        <v>0</v>
      </c>
      <c r="Z141" s="314"/>
      <c r="AA141" s="314"/>
      <c r="AB141" s="314"/>
    </row>
    <row r="142" spans="1:28" ht="75.75" customHeight="1">
      <c r="A142" s="712"/>
      <c r="B142" s="712"/>
      <c r="C142" s="712"/>
      <c r="D142" s="320">
        <v>134</v>
      </c>
      <c r="E142" s="320" t="s">
        <v>281</v>
      </c>
      <c r="F142" s="323">
        <f>TVM!F142+KLM!F142+PTA!F142+ALP!F142+KTM!F142+IDK!F142+EKM!F142+TSR!F142+PKD!F142+MLPM!F142+KKD!F142+WYD!F142+KNR!F142+KSD!F142+SHS!F142</f>
        <v>0</v>
      </c>
      <c r="G142" s="323">
        <f>TVM!G142+KLM!G142+PTA!G142+ALP!G142+KTM!G142+IDK!G142+EKM!G142+TSR!G142+PKD!G142+MLPM!G142+KKD!G142+WYD!G142+KNR!G142+KSD!G142+SHS!G142</f>
        <v>0</v>
      </c>
      <c r="H142" s="323">
        <f>TVM!H142+KLM!H142+PTA!H142+ALP!H142+KTM!H142+IDK!H142+EKM!H142+TSR!H142+PKD!H142+MLPM!H142+KKD!H142+WYD!H142+KNR!H142+KSD!H142+SHS!H142</f>
        <v>0</v>
      </c>
      <c r="I142" s="323">
        <f>TVM!I142+KLM!I142+PTA!I142+ALP!I142+KTM!I142+IDK!I142+EKM!I142+TSR!I142+PKD!I142+MLPM!I142+KKD!I142+WYD!I142+KNR!I142+KSD!I142+SHS!I142</f>
        <v>0</v>
      </c>
      <c r="J142" s="323">
        <f>TVM!J142+KLM!J142+PTA!J142+ALP!J142+KTM!J142+IDK!J142+EKM!J142+TSR!J142+PKD!J142+MLPM!J142+KKD!J142+WYD!J142+KNR!J142+KSD!J142+SHS!J142</f>
        <v>0</v>
      </c>
      <c r="K142" s="323">
        <f>TVM!K142+KLM!K142+PTA!K142+ALP!K142+KTM!K142+IDK!K142+EKM!K142+TSR!K142+PKD!K142+MLPM!K142+KKD!K142+WYD!K142+KNR!K142+KSD!K142+SHS!K142</f>
        <v>0</v>
      </c>
      <c r="L142" s="323">
        <f>TVM!L142+KLM!L142+PTA!L142+ALP!L142+KTM!L142+IDK!L142+EKM!L142+TSR!L142+PKD!L142+MLPM!L142+KKD!L142+WYD!L142+KNR!L142+KSD!L142+SHS!L142</f>
        <v>0</v>
      </c>
      <c r="M142" s="323">
        <f>TVM!M142+KLM!M142+PTA!M142+ALP!M142+KTM!M142+IDK!M142+EKM!M142+TSR!M142+PKD!M142+MLPM!M142+KKD!M142+WYD!M142+KNR!M142+KSD!M142+SHS!M142</f>
        <v>0</v>
      </c>
      <c r="N142" s="323">
        <f>TVM!N142+KLM!N142+PTA!N142+ALP!N142+KTM!N142+IDK!N142+EKM!N142+TSR!N142+PKD!N142+MLPM!N142+KKD!N142+WYD!N142+KNR!N142+KSD!N142+SHS!N142</f>
        <v>0</v>
      </c>
      <c r="O142" s="323">
        <f>TVM!O142+KLM!O142+PTA!O142+ALP!O142+KTM!O142+IDK!O142+EKM!O142+TSR!O142+PKD!O142+MLPM!O142+KKD!O142+WYD!O142+KNR!O142+KSD!O142+SHS!O142</f>
        <v>0</v>
      </c>
      <c r="P142" s="329">
        <f>TVM!P142+KLM!P142+PTA!P142+ALP!P142+KTM!P142+IDK!P142+EKM!P142+TSR!P142+PKD!P142+MLPM!P142+KKD!P142+WYD!P142+KNR!P142+KSD!P142+SHS!P142</f>
        <v>41.850000000000009</v>
      </c>
      <c r="Q142" s="323">
        <f>TVM!Q142+KLM!Q142+PTA!Q142+ALP!Q142+KTM!Q142+IDK!Q142+EKM!Q142+TSR!Q142+PKD!Q142+MLPM!Q142+KKD!Q142+WYD!Q142+KNR!Q142+KSD!Q142+SHS!Q142</f>
        <v>0</v>
      </c>
      <c r="R142" s="323">
        <f>TVM!R142+KLM!R142+PTA!R142+ALP!R142+KTM!R142+IDK!R142+EKM!R142+TSR!R142+PKD!R142+MLPM!R142+KKD!R142+WYD!R142+KNR!R142+KSD!R142+SHS!R142</f>
        <v>0</v>
      </c>
      <c r="S142" s="323">
        <f>TVM!S142+KLM!S142+PTA!S142+ALP!S142+KTM!S142+IDK!S142+EKM!S142+TSR!S142+PKD!S142+MLPM!S142+KKD!S142+WYD!S142+KNR!S142+KSD!S142+SHS!S142</f>
        <v>0</v>
      </c>
      <c r="T142" s="324">
        <f t="shared" si="7"/>
        <v>41.850000000000009</v>
      </c>
      <c r="U142" s="324">
        <f>TVM!U142+KLM!U142+PTA!U142+ALP!U142+KTM!U142+IDK!U142+EKM!U142+TSR!U142+PKD!U142+MLPM!U142+KKD!U142+WYD!U142+KNR!U142+KSD!U142+SHS!U142</f>
        <v>41.850000000000009</v>
      </c>
      <c r="V142" s="14" t="s">
        <v>1486</v>
      </c>
      <c r="W142" s="14" t="s">
        <v>1486</v>
      </c>
      <c r="X142" s="332">
        <v>86.15</v>
      </c>
      <c r="Y142" s="328">
        <f t="shared" si="1"/>
        <v>-44.3</v>
      </c>
      <c r="Z142" s="314"/>
      <c r="AA142" s="314"/>
      <c r="AB142" s="314"/>
    </row>
    <row r="143" spans="1:28" ht="39.75" customHeight="1">
      <c r="A143" s="712"/>
      <c r="B143" s="712"/>
      <c r="C143" s="712"/>
      <c r="D143" s="320">
        <v>135</v>
      </c>
      <c r="E143" s="320" t="s">
        <v>283</v>
      </c>
      <c r="F143" s="323">
        <f>TVM!F143+KLM!F143+PTA!F143+ALP!F143+KTM!F143+IDK!F143+EKM!F143+TSR!F143+PKD!F143+MLPM!F143+KKD!F143+WYD!F143+KNR!F143+KSD!F143+SHS!F143</f>
        <v>0</v>
      </c>
      <c r="G143" s="323">
        <f>TVM!G143+KLM!G143+PTA!G143+ALP!G143+KTM!G143+IDK!G143+EKM!G143+TSR!G143+PKD!G143+MLPM!G143+KKD!G143+WYD!G143+KNR!G143+KSD!G143+SHS!G143</f>
        <v>0</v>
      </c>
      <c r="H143" s="323">
        <f>TVM!H143+KLM!H143+PTA!H143+ALP!H143+KTM!H143+IDK!H143+EKM!H143+TSR!H143+PKD!H143+MLPM!H143+KKD!H143+WYD!H143+KNR!H143+KSD!H143+SHS!H143</f>
        <v>0</v>
      </c>
      <c r="I143" s="323">
        <f>TVM!I143+KLM!I143+PTA!I143+ALP!I143+KTM!I143+IDK!I143+EKM!I143+TSR!I143+PKD!I143+MLPM!I143+KKD!I143+WYD!I143+KNR!I143+KSD!I143+SHS!I143</f>
        <v>0</v>
      </c>
      <c r="J143" s="323">
        <f>TVM!J143+KLM!J143+PTA!J143+ALP!J143+KTM!J143+IDK!J143+EKM!J143+TSR!J143+PKD!J143+MLPM!J143+KKD!J143+WYD!J143+KNR!J143+KSD!J143+SHS!J143</f>
        <v>0</v>
      </c>
      <c r="K143" s="323">
        <f>TVM!K143+KLM!K143+PTA!K143+ALP!K143+KTM!K143+IDK!K143+EKM!K143+TSR!K143+PKD!K143+MLPM!K143+KKD!K143+WYD!K143+KNR!K143+KSD!K143+SHS!K143</f>
        <v>0</v>
      </c>
      <c r="L143" s="323">
        <f>TVM!L143+KLM!L143+PTA!L143+ALP!L143+KTM!L143+IDK!L143+EKM!L143+TSR!L143+PKD!L143+MLPM!L143+KKD!L143+WYD!L143+KNR!L143+KSD!L143+SHS!L143</f>
        <v>0</v>
      </c>
      <c r="M143" s="323">
        <f>TVM!M143+KLM!M143+PTA!M143+ALP!M143+KTM!M143+IDK!M143+EKM!M143+TSR!M143+PKD!M143+MLPM!M143+KKD!M143+WYD!M143+KNR!M143+KSD!M143+SHS!M143</f>
        <v>0</v>
      </c>
      <c r="N143" s="323">
        <f>TVM!N143+KLM!N143+PTA!N143+ALP!N143+KTM!N143+IDK!N143+EKM!N143+TSR!N143+PKD!N143+MLPM!N143+KKD!N143+WYD!N143+KNR!N143+KSD!N143+SHS!N143</f>
        <v>0</v>
      </c>
      <c r="O143" s="323">
        <f>TVM!O143+KLM!O143+PTA!O143+ALP!O143+KTM!O143+IDK!O143+EKM!O143+TSR!O143+PKD!O143+MLPM!O143+KKD!O143+WYD!O143+KNR!O143+KSD!O143+SHS!O143</f>
        <v>0</v>
      </c>
      <c r="P143" s="323">
        <f>TVM!P143+KLM!P143+PTA!P143+ALP!P143+KTM!P143+IDK!P143+EKM!P143+TSR!P143+PKD!P143+MLPM!P143+KKD!P143+WYD!P143+KNR!P143+KSD!P143+SHS!P143</f>
        <v>0</v>
      </c>
      <c r="Q143" s="323">
        <f>TVM!Q143+KLM!Q143+PTA!Q143+ALP!Q143+KTM!Q143+IDK!Q143+EKM!Q143+TSR!Q143+PKD!Q143+MLPM!Q143+KKD!Q143+WYD!Q143+KNR!Q143+KSD!Q143+SHS!Q143</f>
        <v>0</v>
      </c>
      <c r="R143" s="323">
        <f>TVM!R143+KLM!R143+PTA!R143+ALP!R143+KTM!R143+IDK!R143+EKM!R143+TSR!R143+PKD!R143+MLPM!R143+KKD!R143+WYD!R143+KNR!R143+KSD!R143+SHS!R143</f>
        <v>0</v>
      </c>
      <c r="S143" s="323">
        <f>TVM!S143+KLM!S143+PTA!S143+ALP!S143+KTM!S143+IDK!S143+EKM!S143+TSR!S143+PKD!S143+MLPM!S143+KKD!S143+WYD!S143+KNR!S143+KSD!S143+SHS!S143</f>
        <v>0</v>
      </c>
      <c r="T143" s="389">
        <f t="shared" si="7"/>
        <v>0</v>
      </c>
      <c r="U143" s="389">
        <f>TVM!U143+KLM!U143+PTA!U143+ALP!U143+KTM!U143+IDK!U143+EKM!U143+TSR!U143+PKD!U143+MLPM!U143+KKD!U143+WYD!U143+KNR!U143+KSD!U143+SHS!U143</f>
        <v>0</v>
      </c>
      <c r="V143" s="325"/>
      <c r="W143" s="337"/>
      <c r="X143" s="332">
        <v>0</v>
      </c>
      <c r="Y143" s="328">
        <f t="shared" si="1"/>
        <v>0</v>
      </c>
      <c r="Z143" s="314"/>
      <c r="AA143" s="314"/>
      <c r="AB143" s="314"/>
    </row>
    <row r="144" spans="1:28" ht="39.75" customHeight="1">
      <c r="A144" s="712"/>
      <c r="B144" s="707"/>
      <c r="C144" s="707"/>
      <c r="D144" s="320">
        <v>136</v>
      </c>
      <c r="E144" s="320" t="s">
        <v>284</v>
      </c>
      <c r="F144" s="323">
        <f>TVM!F144+KLM!F144+PTA!F144+ALP!F144+KTM!F144+IDK!F144+EKM!F144+TSR!F144+PKD!F144+MLPM!F144+KKD!F144+WYD!F144+KNR!F144+KSD!F144+SHS!F144</f>
        <v>0</v>
      </c>
      <c r="G144" s="323">
        <f>TVM!G144+KLM!G144+PTA!G144+ALP!G144+KTM!G144+IDK!G144+EKM!G144+TSR!G144+PKD!G144+MLPM!G144+KKD!G144+WYD!G144+KNR!G144+KSD!G144+SHS!G144</f>
        <v>0</v>
      </c>
      <c r="H144" s="323">
        <f>TVM!H144+KLM!H144+PTA!H144+ALP!H144+KTM!H144+IDK!H144+EKM!H144+TSR!H144+PKD!H144+MLPM!H144+KKD!H144+WYD!H144+KNR!H144+KSD!H144+SHS!H144</f>
        <v>0</v>
      </c>
      <c r="I144" s="323">
        <f>TVM!I144+KLM!I144+PTA!I144+ALP!I144+KTM!I144+IDK!I144+EKM!I144+TSR!I144+PKD!I144+MLPM!I144+KKD!I144+WYD!I144+KNR!I144+KSD!I144+SHS!I144</f>
        <v>0</v>
      </c>
      <c r="J144" s="323">
        <f>TVM!J144+KLM!J144+PTA!J144+ALP!J144+KTM!J144+IDK!J144+EKM!J144+TSR!J144+PKD!J144+MLPM!J144+KKD!J144+WYD!J144+KNR!J144+KSD!J144+SHS!J144</f>
        <v>0</v>
      </c>
      <c r="K144" s="323">
        <f>TVM!K144+KLM!K144+PTA!K144+ALP!K144+KTM!K144+IDK!K144+EKM!K144+TSR!K144+PKD!K144+MLPM!K144+KKD!K144+WYD!K144+KNR!K144+KSD!K144+SHS!K144</f>
        <v>0</v>
      </c>
      <c r="L144" s="323">
        <f>TVM!L144+KLM!L144+PTA!L144+ALP!L144+KTM!L144+IDK!L144+EKM!L144+TSR!L144+PKD!L144+MLPM!L144+KKD!L144+WYD!L144+KNR!L144+KSD!L144+SHS!L144</f>
        <v>0</v>
      </c>
      <c r="M144" s="323">
        <f>TVM!M144+KLM!M144+PTA!M144+ALP!M144+KTM!M144+IDK!M144+EKM!M144+TSR!M144+PKD!M144+MLPM!M144+KKD!M144+WYD!M144+KNR!M144+KSD!M144+SHS!M144</f>
        <v>0</v>
      </c>
      <c r="N144" s="323">
        <f>TVM!N144+KLM!N144+PTA!N144+ALP!N144+KTM!N144+IDK!N144+EKM!N144+TSR!N144+PKD!N144+MLPM!N144+KKD!N144+WYD!N144+KNR!N144+KSD!N144+SHS!N144</f>
        <v>0</v>
      </c>
      <c r="O144" s="323">
        <f>TVM!O144+KLM!O144+PTA!O144+ALP!O144+KTM!O144+IDK!O144+EKM!O144+TSR!O144+PKD!O144+MLPM!O144+KKD!O144+WYD!O144+KNR!O144+KSD!O144+SHS!O144</f>
        <v>0</v>
      </c>
      <c r="P144" s="329">
        <f>TVM!P144+KLM!P144+PTA!P144+ALP!P144+KTM!P144+IDK!P144+EKM!P144+TSR!P144+PKD!P144+MLPM!P144+KKD!P144+WYD!P144+KNR!P144+KSD!P144+SHS!P144</f>
        <v>0</v>
      </c>
      <c r="Q144" s="323">
        <f>TVM!Q144+KLM!Q144+PTA!Q144+ALP!Q144+KTM!Q144+IDK!Q144+EKM!Q144+TSR!Q144+PKD!Q144+MLPM!Q144+KKD!Q144+WYD!Q144+KNR!Q144+KSD!Q144+SHS!Q144</f>
        <v>0</v>
      </c>
      <c r="R144" s="323">
        <f>TVM!R144+KLM!R144+PTA!R144+ALP!R144+KTM!R144+IDK!R144+EKM!R144+TSR!R144+PKD!R144+MLPM!R144+KKD!R144+WYD!R144+KNR!R144+KSD!R144+SHS!R144</f>
        <v>0</v>
      </c>
      <c r="S144" s="323">
        <f>TVM!S144+KLM!S144+PTA!S144+ALP!S144+KTM!S144+IDK!S144+EKM!S144+TSR!S144+PKD!S144+MLPM!S144+KKD!S144+WYD!S144+KNR!S144+KSD!S144+SHS!S144</f>
        <v>0</v>
      </c>
      <c r="T144" s="389">
        <f t="shared" si="7"/>
        <v>0</v>
      </c>
      <c r="U144" s="389">
        <f>TVM!U144+KLM!U144+PTA!U144+ALP!U144+KTM!U144+IDK!U144+EKM!U144+TSR!U144+PKD!U144+MLPM!U144+KKD!U144+WYD!U144+KNR!U144+KSD!U144+SHS!U144</f>
        <v>0</v>
      </c>
      <c r="V144" s="429"/>
      <c r="W144" s="337"/>
      <c r="X144" s="332">
        <v>30</v>
      </c>
      <c r="Y144" s="328">
        <f t="shared" si="1"/>
        <v>-30</v>
      </c>
      <c r="Z144" s="314"/>
      <c r="AA144" s="314"/>
      <c r="AB144" s="314"/>
    </row>
    <row r="145" spans="1:28" ht="53.25" customHeight="1">
      <c r="A145" s="712"/>
      <c r="B145" s="718" t="s">
        <v>285</v>
      </c>
      <c r="C145" s="718" t="s">
        <v>286</v>
      </c>
      <c r="D145" s="320">
        <v>137</v>
      </c>
      <c r="E145" s="320" t="s">
        <v>287</v>
      </c>
      <c r="F145" s="323">
        <f>TVM!F145+KLM!F145+PTA!F145+ALP!F145+KTM!F145+IDK!F145+EKM!F145+TSR!F145+PKD!F145+MLPM!F145+KKD!F145+WYD!F145+KNR!F145+KSD!F145+SHS!F145</f>
        <v>0</v>
      </c>
      <c r="G145" s="323">
        <f>TVM!G145+KLM!G145+PTA!G145+ALP!G145+KTM!G145+IDK!G145+EKM!G145+TSR!G145+PKD!G145+MLPM!G145+KKD!G145+WYD!G145+KNR!G145+KSD!G145+SHS!G145</f>
        <v>0</v>
      </c>
      <c r="H145" s="323">
        <f>TVM!H145+KLM!H145+PTA!H145+ALP!H145+KTM!H145+IDK!H145+EKM!H145+TSR!H145+PKD!H145+MLPM!H145+KKD!H145+WYD!H145+KNR!H145+KSD!H145+SHS!H145</f>
        <v>0</v>
      </c>
      <c r="I145" s="323">
        <f>TVM!I145+KLM!I145+PTA!I145+ALP!I145+KTM!I145+IDK!I145+EKM!I145+TSR!I145+PKD!I145+MLPM!I145+KKD!I145+WYD!I145+KNR!I145+KSD!I145+SHS!I145</f>
        <v>0</v>
      </c>
      <c r="J145" s="323">
        <f>TVM!J145+KLM!J145+PTA!J145+ALP!J145+KTM!J145+IDK!J145+EKM!J145+TSR!J145+PKD!J145+MLPM!J145+KKD!J145+WYD!J145+KNR!J145+KSD!J145+SHS!J145</f>
        <v>0</v>
      </c>
      <c r="K145" s="323">
        <f>TVM!K145+KLM!K145+PTA!K145+ALP!K145+KTM!K145+IDK!K145+EKM!K145+TSR!K145+PKD!K145+MLPM!K145+KKD!K145+WYD!K145+KNR!K145+KSD!K145+SHS!K145</f>
        <v>0</v>
      </c>
      <c r="L145" s="323">
        <f>TVM!L145+KLM!L145+PTA!L145+ALP!L145+KTM!L145+IDK!L145+EKM!L145+TSR!L145+PKD!L145+MLPM!L145+KKD!L145+WYD!L145+KNR!L145+KSD!L145+SHS!L145</f>
        <v>0</v>
      </c>
      <c r="M145" s="329">
        <f>TVM!M145+KLM!M145+PTA!M145+ALP!M145+KTM!M145+IDK!M145+EKM!M145+TSR!M145+PKD!M145+MLPM!M145+KKD!M145+WYD!M145+KNR!M145+KSD!M145+SHS!M145</f>
        <v>0</v>
      </c>
      <c r="N145" s="323">
        <f>TVM!N145+KLM!N145+PTA!N145+ALP!N145+KTM!N145+IDK!N145+EKM!N145+TSR!N145+PKD!N145+MLPM!N145+KKD!N145+WYD!N145+KNR!N145+KSD!N145+SHS!N145</f>
        <v>0</v>
      </c>
      <c r="O145" s="323">
        <f>TVM!O145+KLM!O145+PTA!O145+ALP!O145+KTM!O145+IDK!O145+EKM!O145+TSR!O145+PKD!O145+MLPM!O145+KKD!O145+WYD!O145+KNR!O145+KSD!O145+SHS!O145</f>
        <v>0</v>
      </c>
      <c r="P145" s="329">
        <f>TVM!P145+KLM!P145+PTA!P145+ALP!P145+KTM!P145+IDK!P145+EKM!P145+TSR!P145+PKD!P145+MLPM!P145+KKD!P145+WYD!P145+KNR!P145+KSD!P145+SHS!P145</f>
        <v>0</v>
      </c>
      <c r="Q145" s="323">
        <f>TVM!Q145+KLM!Q145+PTA!Q145+ALP!Q145+KTM!Q145+IDK!Q145+EKM!Q145+TSR!Q145+PKD!Q145+MLPM!Q145+KKD!Q145+WYD!Q145+KNR!Q145+KSD!Q145+SHS!Q145</f>
        <v>0</v>
      </c>
      <c r="R145" s="323">
        <f>TVM!R145+KLM!R145+PTA!R145+ALP!R145+KTM!R145+IDK!R145+EKM!R145+TSR!R145+PKD!R145+MLPM!R145+KKD!R145+WYD!R145+KNR!R145+KSD!R145+SHS!R145</f>
        <v>0</v>
      </c>
      <c r="S145" s="323">
        <f>TVM!S145+KLM!S145+PTA!S145+ALP!S145+KTM!S145+IDK!S145+EKM!S145+TSR!S145+PKD!S145+MLPM!S145+KKD!S145+WYD!S145+KNR!S145+KSD!S145+SHS!S145</f>
        <v>0</v>
      </c>
      <c r="T145" s="389">
        <f t="shared" si="7"/>
        <v>0</v>
      </c>
      <c r="U145" s="389">
        <f>TVM!U145+KLM!U145+PTA!U145+ALP!U145+KTM!U145+IDK!U145+EKM!U145+TSR!U145+PKD!U145+MLPM!U145+KKD!U145+WYD!U145+KNR!U145+KSD!U145+SHS!U145</f>
        <v>0</v>
      </c>
      <c r="V145" s="336"/>
      <c r="W145" s="336"/>
      <c r="X145" s="332">
        <v>25.24</v>
      </c>
      <c r="Y145" s="328">
        <f t="shared" si="1"/>
        <v>-25.24</v>
      </c>
      <c r="Z145" s="314"/>
      <c r="AA145" s="314"/>
      <c r="AB145" s="314"/>
    </row>
    <row r="146" spans="1:28" ht="39.75" customHeight="1">
      <c r="A146" s="712"/>
      <c r="B146" s="707"/>
      <c r="C146" s="707"/>
      <c r="D146" s="320">
        <v>138</v>
      </c>
      <c r="E146" s="320" t="s">
        <v>288</v>
      </c>
      <c r="F146" s="323">
        <f>TVM!F146+KLM!F146+PTA!F146+ALP!F146+KTM!F146+IDK!F146+EKM!F146+TSR!F146+PKD!F146+MLPM!F146+KKD!F146+WYD!F146+KNR!F146+KSD!F146+SHS!F146</f>
        <v>0</v>
      </c>
      <c r="G146" s="323">
        <f>TVM!G146+KLM!G146+PTA!G146+ALP!G146+KTM!G146+IDK!G146+EKM!G146+TSR!G146+PKD!G146+MLPM!G146+KKD!G146+WYD!G146+KNR!G146+KSD!G146+SHS!G146</f>
        <v>0</v>
      </c>
      <c r="H146" s="329">
        <f>TVM!H146+KLM!H146+PTA!H146+ALP!H146+KTM!H146+IDK!H146+EKM!H146+TSR!H146+PKD!H146+MLPM!H146+KKD!H146+WYD!H146+KNR!H146+KSD!H146+SHS!H146</f>
        <v>0</v>
      </c>
      <c r="I146" s="329">
        <f>TVM!I146+KLM!I146+PTA!I146+ALP!I146+KTM!I146+IDK!I146+EKM!I146+TSR!I146+PKD!I146+MLPM!I146+KKD!I146+WYD!I146+KNR!I146+KSD!I146+SHS!I146</f>
        <v>0</v>
      </c>
      <c r="J146" s="323">
        <f>TVM!J146+KLM!J146+PTA!J146+ALP!J146+KTM!J146+IDK!J146+EKM!J146+TSR!J146+PKD!J146+MLPM!J146+KKD!J146+WYD!J146+KNR!J146+KSD!J146+SHS!J146</f>
        <v>0</v>
      </c>
      <c r="K146" s="329">
        <f>TVM!K146+KLM!K146+PTA!K146+ALP!K146+KTM!K146+IDK!K146+EKM!K146+TSR!K146+PKD!K146+MLPM!K146+KKD!K146+WYD!K146+KNR!K146+KSD!K146+SHS!K146</f>
        <v>0</v>
      </c>
      <c r="L146" s="323">
        <f>TVM!L146+KLM!L146+PTA!L146+ALP!L146+KTM!L146+IDK!L146+EKM!L146+TSR!L146+PKD!L146+MLPM!L146+KKD!L146+WYD!L146+KNR!L146+KSD!L146+SHS!L146</f>
        <v>0</v>
      </c>
      <c r="M146" s="329">
        <f>TVM!M146+KLM!M146+PTA!M146+ALP!M146+KTM!M146+IDK!M146+EKM!M146+TSR!M146+PKD!M146+MLPM!M146+KKD!M146+WYD!M146+KNR!M146+KSD!M146+SHS!M146</f>
        <v>0</v>
      </c>
      <c r="N146" s="323">
        <f>TVM!N146+KLM!N146+PTA!N146+ALP!N146+KTM!N146+IDK!N146+EKM!N146+TSR!N146+PKD!N146+MLPM!N146+KKD!N146+WYD!N146+KNR!N146+KSD!N146+SHS!N146</f>
        <v>0</v>
      </c>
      <c r="O146" s="323">
        <f>TVM!O146+KLM!O146+PTA!O146+ALP!O146+KTM!O146+IDK!O146+EKM!O146+TSR!O146+PKD!O146+MLPM!O146+KKD!O146+WYD!O146+KNR!O146+KSD!O146+SHS!O146</f>
        <v>0</v>
      </c>
      <c r="P146" s="329">
        <f>TVM!P146+KLM!P146+PTA!P146+ALP!P146+KTM!P146+IDK!P146+EKM!P146+TSR!P146+PKD!P146+MLPM!P146+KKD!P146+WYD!P146+KNR!P146+KSD!P146+SHS!P146</f>
        <v>0</v>
      </c>
      <c r="Q146" s="323">
        <f>TVM!Q146+KLM!Q146+PTA!Q146+ALP!Q146+KTM!Q146+IDK!Q146+EKM!Q146+TSR!Q146+PKD!Q146+MLPM!Q146+KKD!Q146+WYD!Q146+KNR!Q146+KSD!Q146+SHS!Q146</f>
        <v>0</v>
      </c>
      <c r="R146" s="323">
        <f>TVM!R146+KLM!R146+PTA!R146+ALP!R146+KTM!R146+IDK!R146+EKM!R146+TSR!R146+PKD!R146+MLPM!R146+KKD!R146+WYD!R146+KNR!R146+KSD!R146+SHS!R146</f>
        <v>0</v>
      </c>
      <c r="S146" s="323">
        <f>TVM!S146+KLM!S146+PTA!S146+ALP!S146+KTM!S146+IDK!S146+EKM!S146+TSR!S146+PKD!S146+MLPM!S146+KKD!S146+WYD!S146+KNR!S146+KSD!S146+SHS!S146</f>
        <v>0</v>
      </c>
      <c r="T146" s="389">
        <f t="shared" si="7"/>
        <v>0</v>
      </c>
      <c r="U146" s="389">
        <f>TVM!U146+KLM!U146+PTA!U146+ALP!U146+KTM!U146+IDK!U146+EKM!U146+TSR!U146+PKD!U146+MLPM!U146+KKD!U146+WYD!U146+KNR!U146+KSD!U146+SHS!U146</f>
        <v>0</v>
      </c>
      <c r="V146" s="336"/>
      <c r="W146" s="336"/>
      <c r="X146" s="375">
        <v>36.479999999999997</v>
      </c>
      <c r="Y146" s="328">
        <f t="shared" si="1"/>
        <v>-36.479999999999997</v>
      </c>
      <c r="Z146" s="314"/>
      <c r="AA146" s="314"/>
      <c r="AB146" s="314"/>
    </row>
    <row r="147" spans="1:28" ht="104.25" customHeight="1">
      <c r="A147" s="712"/>
      <c r="B147" s="718" t="s">
        <v>289</v>
      </c>
      <c r="C147" s="718" t="s">
        <v>290</v>
      </c>
      <c r="D147" s="320">
        <v>139</v>
      </c>
      <c r="E147" s="320" t="s">
        <v>291</v>
      </c>
      <c r="F147" s="323">
        <f>TVM!F147+KLM!F147+PTA!F147+ALP!F147+KTM!F147+IDK!F147+EKM!F147+TSR!F147+PKD!F147+MLPM!F147+KKD!F147+WYD!F147+KNR!F147+KSD!F147+SHS!F147</f>
        <v>0</v>
      </c>
      <c r="G147" s="323">
        <f>TVM!G147+KLM!G147+PTA!G147+ALP!G147+KTM!G147+IDK!G147+EKM!G147+TSR!G147+PKD!G147+MLPM!G147+KKD!G147+WYD!G147+KNR!G147+KSD!G147+SHS!G147</f>
        <v>0</v>
      </c>
      <c r="H147" s="323">
        <f>TVM!H147+KLM!H147+PTA!H147+ALP!H147+KTM!H147+IDK!H147+EKM!H147+TSR!H147+PKD!H147+MLPM!H147+KKD!H147+WYD!H147+KNR!H147+KSD!H147+SHS!H147</f>
        <v>0</v>
      </c>
      <c r="I147" s="323">
        <f>TVM!I147+KLM!I147+PTA!I147+ALP!I147+KTM!I147+IDK!I147+EKM!I147+TSR!I147+PKD!I147+MLPM!I147+KKD!I147+WYD!I147+KNR!I147+KSD!I147+SHS!I147</f>
        <v>0</v>
      </c>
      <c r="J147" s="323">
        <f>TVM!J147+KLM!J147+PTA!J147+ALP!J147+KTM!J147+IDK!J147+EKM!J147+TSR!J147+PKD!J147+MLPM!J147+KKD!J147+WYD!J147+KNR!J147+KSD!J147+SHS!J147</f>
        <v>0</v>
      </c>
      <c r="K147" s="323">
        <f>TVM!K147+KLM!K147+PTA!K147+ALP!K147+KTM!K147+IDK!K147+EKM!K147+TSR!K147+PKD!K147+MLPM!K147+KKD!K147+WYD!K147+KNR!K147+KSD!K147+SHS!K147</f>
        <v>0</v>
      </c>
      <c r="L147" s="323">
        <f>TVM!L147+KLM!L147+PTA!L147+ALP!L147+KTM!L147+IDK!L147+EKM!L147+TSR!L147+PKD!L147+MLPM!L147+KKD!L147+WYD!L147+KNR!L147+KSD!L147+SHS!L147</f>
        <v>0</v>
      </c>
      <c r="M147" s="323">
        <f>TVM!M147+KLM!M147+PTA!M147+ALP!M147+KTM!M147+IDK!M147+EKM!M147+TSR!M147+PKD!M147+MLPM!M147+KKD!M147+WYD!M147+KNR!M147+KSD!M147+SHS!M147</f>
        <v>0</v>
      </c>
      <c r="N147" s="329">
        <f>TVM!N147+KLM!N147+PTA!N147+ALP!N147+KTM!N147+IDK!N147+EKM!N147+TSR!N147+PKD!N147+MLPM!N147+KKD!N147+WYD!N147+KNR!N147+KSD!N147+SHS!N147</f>
        <v>2.6</v>
      </c>
      <c r="O147" s="323">
        <f>TVM!O147+KLM!O147+PTA!O147+ALP!O147+KTM!O147+IDK!O147+EKM!O147+TSR!O147+PKD!O147+MLPM!O147+KKD!O147+WYD!O147+KNR!O147+KSD!O147+SHS!O147</f>
        <v>0</v>
      </c>
      <c r="P147" s="329">
        <f>TVM!P147+KLM!P147+PTA!P147+ALP!P147+KTM!P147+IDK!P147+EKM!P147+TSR!P147+PKD!P147+MLPM!P147+KKD!P147+WYD!P147+KNR!P147+KSD!P147+SHS!P147</f>
        <v>102</v>
      </c>
      <c r="Q147" s="323">
        <f>TVM!Q147+KLM!Q147+PTA!Q147+ALP!Q147+KTM!Q147+IDK!Q147+EKM!Q147+TSR!Q147+PKD!Q147+MLPM!Q147+KKD!Q147+WYD!Q147+KNR!Q147+KSD!Q147+SHS!Q147</f>
        <v>0</v>
      </c>
      <c r="R147" s="329">
        <f>TVM!R147+KLM!R147+PTA!R147+ALP!R147+KTM!R147+IDK!R147+EKM!R147+TSR!R147+PKD!R147+MLPM!R147+KKD!R147+WYD!R147+KNR!R147+KSD!R147+SHS!R147</f>
        <v>4.8</v>
      </c>
      <c r="S147" s="323">
        <f>TVM!S147+KLM!S147+PTA!S147+ALP!S147+KTM!S147+IDK!S147+EKM!S147+TSR!S147+PKD!S147+MLPM!S147+KKD!S147+WYD!S147+KNR!S147+KSD!S147+SHS!S147</f>
        <v>0</v>
      </c>
      <c r="T147" s="324">
        <f t="shared" si="7"/>
        <v>109.39999999999999</v>
      </c>
      <c r="U147" s="324">
        <f>TVM!U147+KLM!U147+PTA!U147+ALP!U147+KTM!U147+IDK!U147+EKM!U147+TSR!U147+PKD!U147+MLPM!U147+KKD!U147+WYD!U147+KNR!U147+KSD!U147+SHS!U147</f>
        <v>109.4</v>
      </c>
      <c r="V147" s="336" t="s">
        <v>1487</v>
      </c>
      <c r="W147" s="336" t="s">
        <v>1488</v>
      </c>
      <c r="X147" s="332">
        <v>111.4</v>
      </c>
      <c r="Y147" s="328">
        <f t="shared" si="1"/>
        <v>-2.0000000000000142</v>
      </c>
      <c r="Z147" s="314"/>
      <c r="AA147" s="314"/>
      <c r="AB147" s="314"/>
    </row>
    <row r="148" spans="1:28" ht="141.75">
      <c r="A148" s="712"/>
      <c r="B148" s="712"/>
      <c r="C148" s="712"/>
      <c r="D148" s="320">
        <v>140</v>
      </c>
      <c r="E148" s="320" t="s">
        <v>293</v>
      </c>
      <c r="F148" s="323">
        <f>TVM!F148+KLM!F148+PTA!F148+ALP!F148+KTM!F148+IDK!F148+EKM!F148+TSR!F148+PKD!F148+MLPM!F148+KKD!F148+WYD!F148+KNR!F148+KSD!F148+SHS!F148</f>
        <v>0</v>
      </c>
      <c r="G148" s="323">
        <f>TVM!G148+KLM!G148+PTA!G148+ALP!G148+KTM!G148+IDK!G148+EKM!G148+TSR!G148+PKD!G148+MLPM!G148+KKD!G148+WYD!G148+KNR!G148+KSD!G148+SHS!G148</f>
        <v>0</v>
      </c>
      <c r="H148" s="323">
        <f>TVM!H148+KLM!H148+PTA!H148+ALP!H148+KTM!H148+IDK!H148+EKM!H148+TSR!H148+PKD!H148+MLPM!H148+KKD!H148+WYD!H148+KNR!H148+KSD!H148+SHS!H148</f>
        <v>0</v>
      </c>
      <c r="I148" s="323">
        <f>TVM!I148+KLM!I148+PTA!I148+ALP!I148+KTM!I148+IDK!I148+EKM!I148+TSR!I148+PKD!I148+MLPM!I148+KKD!I148+WYD!I148+KNR!I148+KSD!I148+SHS!I148</f>
        <v>0</v>
      </c>
      <c r="J148" s="323">
        <f>TVM!J148+KLM!J148+PTA!J148+ALP!J148+KTM!J148+IDK!J148+EKM!J148+TSR!J148+PKD!J148+MLPM!J148+KKD!J148+WYD!J148+KNR!J148+KSD!J148+SHS!J148</f>
        <v>0</v>
      </c>
      <c r="K148" s="323">
        <f>TVM!K148+KLM!K148+PTA!K148+ALP!K148+KTM!K148+IDK!K148+EKM!K148+TSR!K148+PKD!K148+MLPM!K148+KKD!K148+WYD!K148+KNR!K148+KSD!K148+SHS!K148</f>
        <v>0</v>
      </c>
      <c r="L148" s="323">
        <f>TVM!L148+KLM!L148+PTA!L148+ALP!L148+KTM!L148+IDK!L148+EKM!L148+TSR!L148+PKD!L148+MLPM!L148+KKD!L148+WYD!L148+KNR!L148+KSD!L148+SHS!L148</f>
        <v>0</v>
      </c>
      <c r="M148" s="323">
        <f>TVM!M148+KLM!M148+PTA!M148+ALP!M148+KTM!M148+IDK!M148+EKM!M148+TSR!M148+PKD!M148+MLPM!M148+KKD!M148+WYD!M148+KNR!M148+KSD!M148+SHS!M148</f>
        <v>0</v>
      </c>
      <c r="N148" s="323">
        <f>TVM!N148+KLM!N148+PTA!N148+ALP!N148+KTM!N148+IDK!N148+EKM!N148+TSR!N148+PKD!N148+MLPM!N148+KKD!N148+WYD!N148+KNR!N148+KSD!N148+SHS!N148</f>
        <v>0</v>
      </c>
      <c r="O148" s="323">
        <f>TVM!O148+KLM!O148+PTA!O148+ALP!O148+KTM!O148+IDK!O148+EKM!O148+TSR!O148+PKD!O148+MLPM!O148+KKD!O148+WYD!O148+KNR!O148+KSD!O148+SHS!O148</f>
        <v>0</v>
      </c>
      <c r="P148" s="329">
        <f>TVM!P148+KLM!P148+PTA!P148+ALP!P148+KTM!P148+IDK!P148+EKM!P148+TSR!P148+PKD!P148+MLPM!P148+KKD!P148+WYD!P148+KNR!P148+KSD!P148+SHS!P148</f>
        <v>125.96999999999998</v>
      </c>
      <c r="Q148" s="323">
        <f>TVM!Q148+KLM!Q148+PTA!Q148+ALP!Q148+KTM!Q148+IDK!Q148+EKM!Q148+TSR!Q148+PKD!Q148+MLPM!Q148+KKD!Q148+WYD!Q148+KNR!Q148+KSD!Q148+SHS!Q148</f>
        <v>0</v>
      </c>
      <c r="R148" s="323">
        <f>TVM!R148+KLM!R148+PTA!R148+ALP!R148+KTM!R148+IDK!R148+EKM!R148+TSR!R148+PKD!R148+MLPM!R148+KKD!R148+WYD!R148+KNR!R148+KSD!R148+SHS!R148</f>
        <v>23.5</v>
      </c>
      <c r="S148" s="323">
        <f>TVM!S148+KLM!S148+PTA!S148+ALP!S148+KTM!S148+IDK!S148+EKM!S148+TSR!S148+PKD!S148+MLPM!S148+KKD!S148+WYD!S148+KNR!S148+KSD!S148+SHS!S148</f>
        <v>0</v>
      </c>
      <c r="T148" s="389">
        <f t="shared" si="7"/>
        <v>149.46999999999997</v>
      </c>
      <c r="U148" s="389">
        <f>TVM!U148+KLM!U148+PTA!U148+ALP!U148+KTM!U148+IDK!U148+EKM!U148+TSR!U148+PKD!U148+MLPM!U148+KKD!U148+WYD!U148+KNR!U148+KSD!U148+SHS!U148</f>
        <v>149.46999999999997</v>
      </c>
      <c r="V148" s="430" t="s">
        <v>1489</v>
      </c>
      <c r="W148" s="430" t="s">
        <v>1490</v>
      </c>
      <c r="X148" s="332">
        <v>133.6</v>
      </c>
      <c r="Y148" s="328">
        <f t="shared" si="1"/>
        <v>15.869999999999976</v>
      </c>
      <c r="Z148" s="314"/>
      <c r="AA148" s="314"/>
      <c r="AB148" s="314"/>
    </row>
    <row r="149" spans="1:28" ht="39.75" customHeight="1">
      <c r="A149" s="712"/>
      <c r="B149" s="707"/>
      <c r="C149" s="707"/>
      <c r="D149" s="320">
        <v>141</v>
      </c>
      <c r="E149" s="320" t="s">
        <v>295</v>
      </c>
      <c r="F149" s="323">
        <f>TVM!F149+KLM!F149+PTA!F149+ALP!F149+KTM!F149+IDK!F149+EKM!F149+TSR!F149+PKD!F149+MLPM!F149+KKD!F149+WYD!F149+KNR!F149+KSD!F149+SHS!F149</f>
        <v>0</v>
      </c>
      <c r="G149" s="323">
        <f>TVM!G149+KLM!G149+PTA!G149+ALP!G149+KTM!G149+IDK!G149+EKM!G149+TSR!G149+PKD!G149+MLPM!G149+KKD!G149+WYD!G149+KNR!G149+KSD!G149+SHS!G149</f>
        <v>0</v>
      </c>
      <c r="H149" s="323">
        <f>TVM!H149+KLM!H149+PTA!H149+ALP!H149+KTM!H149+IDK!H149+EKM!H149+TSR!H149+PKD!H149+MLPM!H149+KKD!H149+WYD!H149+KNR!H149+KSD!H149+SHS!H149</f>
        <v>0</v>
      </c>
      <c r="I149" s="323">
        <f>TVM!I149+KLM!I149+PTA!I149+ALP!I149+KTM!I149+IDK!I149+EKM!I149+TSR!I149+PKD!I149+MLPM!I149+KKD!I149+WYD!I149+KNR!I149+KSD!I149+SHS!I149</f>
        <v>0</v>
      </c>
      <c r="J149" s="323">
        <f>TVM!J149+KLM!J149+PTA!J149+ALP!J149+KTM!J149+IDK!J149+EKM!J149+TSR!J149+PKD!J149+MLPM!J149+KKD!J149+WYD!J149+KNR!J149+KSD!J149+SHS!J149</f>
        <v>0</v>
      </c>
      <c r="K149" s="323">
        <f>TVM!K149+KLM!K149+PTA!K149+ALP!K149+KTM!K149+IDK!K149+EKM!K149+TSR!K149+PKD!K149+MLPM!K149+KKD!K149+WYD!K149+KNR!K149+KSD!K149+SHS!K149</f>
        <v>0</v>
      </c>
      <c r="L149" s="323">
        <f>TVM!L149+KLM!L149+PTA!L149+ALP!L149+KTM!L149+IDK!L149+EKM!L149+TSR!L149+PKD!L149+MLPM!L149+KKD!L149+WYD!L149+KNR!L149+KSD!L149+SHS!L149</f>
        <v>0</v>
      </c>
      <c r="M149" s="323">
        <f>TVM!M149+KLM!M149+PTA!M149+ALP!M149+KTM!M149+IDK!M149+EKM!M149+TSR!M149+PKD!M149+MLPM!M149+KKD!M149+WYD!M149+KNR!M149+KSD!M149+SHS!M149</f>
        <v>0</v>
      </c>
      <c r="N149" s="323">
        <f>TVM!N149+KLM!N149+PTA!N149+ALP!N149+KTM!N149+IDK!N149+EKM!N149+TSR!N149+PKD!N149+MLPM!N149+KKD!N149+WYD!N149+KNR!N149+KSD!N149+SHS!N149</f>
        <v>0</v>
      </c>
      <c r="O149" s="323">
        <f>TVM!O149+KLM!O149+PTA!O149+ALP!O149+KTM!O149+IDK!O149+EKM!O149+TSR!O149+PKD!O149+MLPM!O149+KKD!O149+WYD!O149+KNR!O149+KSD!O149+SHS!O149</f>
        <v>0</v>
      </c>
      <c r="P149" s="323">
        <f>TVM!P149+KLM!P149+PTA!P149+ALP!P149+KTM!P149+IDK!P149+EKM!P149+TSR!P149+PKD!P149+MLPM!P149+KKD!P149+WYD!P149+KNR!P149+KSD!P149+SHS!P149</f>
        <v>0</v>
      </c>
      <c r="Q149" s="323">
        <f>TVM!Q149+KLM!Q149+PTA!Q149+ALP!Q149+KTM!Q149+IDK!Q149+EKM!Q149+TSR!Q149+PKD!Q149+MLPM!Q149+KKD!Q149+WYD!Q149+KNR!Q149+KSD!Q149+SHS!Q149</f>
        <v>0</v>
      </c>
      <c r="R149" s="323">
        <f>TVM!R149+KLM!R149+PTA!R149+ALP!R149+KTM!R149+IDK!R149+EKM!R149+TSR!R149+PKD!R149+MLPM!R149+KKD!R149+WYD!R149+KNR!R149+KSD!R149+SHS!R149</f>
        <v>0</v>
      </c>
      <c r="S149" s="323">
        <f>TVM!S149+KLM!S149+PTA!S149+ALP!S149+KTM!S149+IDK!S149+EKM!S149+TSR!S149+PKD!S149+MLPM!S149+KKD!S149+WYD!S149+KNR!S149+KSD!S149+SHS!S149</f>
        <v>0</v>
      </c>
      <c r="T149" s="389">
        <f t="shared" si="7"/>
        <v>0</v>
      </c>
      <c r="U149" s="389">
        <f>TVM!U149+KLM!U149+PTA!U149+ALP!U149+KTM!U149+IDK!U149+EKM!U149+TSR!U149+PKD!U149+MLPM!U149+KKD!U149+WYD!U149+KNR!U149+KSD!U149+SHS!U149</f>
        <v>0</v>
      </c>
      <c r="V149" s="325"/>
      <c r="W149" s="333"/>
      <c r="X149" s="332">
        <v>0</v>
      </c>
      <c r="Y149" s="328">
        <f t="shared" si="1"/>
        <v>0</v>
      </c>
      <c r="Z149" s="314"/>
      <c r="AA149" s="314"/>
      <c r="AB149" s="314"/>
    </row>
    <row r="150" spans="1:28" ht="39.75" customHeight="1">
      <c r="A150" s="712"/>
      <c r="B150" s="718" t="s">
        <v>296</v>
      </c>
      <c r="C150" s="718" t="s">
        <v>297</v>
      </c>
      <c r="D150" s="320">
        <v>142</v>
      </c>
      <c r="E150" s="320" t="s">
        <v>298</v>
      </c>
      <c r="F150" s="323">
        <f>TVM!F150+KLM!F150+PTA!F150+ALP!F150+KTM!F150+IDK!F150+EKM!F150+TSR!F150+PKD!F150+MLPM!F150+KKD!F150+WYD!F150+KNR!F150+KSD!F150+SHS!F150</f>
        <v>0</v>
      </c>
      <c r="G150" s="323">
        <f>TVM!G150+KLM!G150+PTA!G150+ALP!G150+KTM!G150+IDK!G150+EKM!G150+TSR!G150+PKD!G150+MLPM!G150+KKD!G150+WYD!G150+KNR!G150+KSD!G150+SHS!G150</f>
        <v>0</v>
      </c>
      <c r="H150" s="323">
        <f>TVM!H150+KLM!H150+PTA!H150+ALP!H150+KTM!H150+IDK!H150+EKM!H150+TSR!H150+PKD!H150+MLPM!H150+KKD!H150+WYD!H150+KNR!H150+KSD!H150+SHS!H150</f>
        <v>0</v>
      </c>
      <c r="I150" s="323">
        <f>TVM!I150+KLM!I150+PTA!I150+ALP!I150+KTM!I150+IDK!I150+EKM!I150+TSR!I150+PKD!I150+MLPM!I150+KKD!I150+WYD!I150+KNR!I150+KSD!I150+SHS!I150</f>
        <v>0</v>
      </c>
      <c r="J150" s="323">
        <f>TVM!J150+KLM!J150+PTA!J150+ALP!J150+KTM!J150+IDK!J150+EKM!J150+TSR!J150+PKD!J150+MLPM!J150+KKD!J150+WYD!J150+KNR!J150+KSD!J150+SHS!J150</f>
        <v>0</v>
      </c>
      <c r="K150" s="323">
        <f>TVM!K150+KLM!K150+PTA!K150+ALP!K150+KTM!K150+IDK!K150+EKM!K150+TSR!K150+PKD!K150+MLPM!K150+KKD!K150+WYD!K150+KNR!K150+KSD!K150+SHS!K150</f>
        <v>0</v>
      </c>
      <c r="L150" s="323">
        <f>TVM!L150+KLM!L150+PTA!L150+ALP!L150+KTM!L150+IDK!L150+EKM!L150+TSR!L150+PKD!L150+MLPM!L150+KKD!L150+WYD!L150+KNR!L150+KSD!L150+SHS!L150</f>
        <v>0</v>
      </c>
      <c r="M150" s="323">
        <f>TVM!M150+KLM!M150+PTA!M150+ALP!M150+KTM!M150+IDK!M150+EKM!M150+TSR!M150+PKD!M150+MLPM!M150+KKD!M150+WYD!M150+KNR!M150+KSD!M150+SHS!M150</f>
        <v>0</v>
      </c>
      <c r="N150" s="323">
        <f>TVM!N150+KLM!N150+PTA!N150+ALP!N150+KTM!N150+IDK!N150+EKM!N150+TSR!N150+PKD!N150+MLPM!N150+KKD!N150+WYD!N150+KNR!N150+KSD!N150+SHS!N150</f>
        <v>0</v>
      </c>
      <c r="O150" s="323">
        <f>TVM!O150+KLM!O150+PTA!O150+ALP!O150+KTM!O150+IDK!O150+EKM!O150+TSR!O150+PKD!O150+MLPM!O150+KKD!O150+WYD!O150+KNR!O150+KSD!O150+SHS!O150</f>
        <v>0</v>
      </c>
      <c r="P150" s="329">
        <f>TVM!P150+KLM!P150+PTA!P150+ALP!P150+KTM!P150+IDK!P150+EKM!P150+TSR!P150+PKD!P150+MLPM!P150+KKD!P150+WYD!P150+KNR!P150+KSD!P150+SHS!P150</f>
        <v>14355.883935</v>
      </c>
      <c r="Q150" s="323">
        <f>TVM!Q150+KLM!Q150+PTA!Q150+ALP!Q150+KTM!Q150+IDK!Q150+EKM!Q150+TSR!Q150+PKD!Q150+MLPM!Q150+KKD!Q150+WYD!Q150+KNR!Q150+KSD!Q150+SHS!Q150</f>
        <v>0</v>
      </c>
      <c r="R150" s="323">
        <f>TVM!R150+KLM!R150+PTA!R150+ALP!R150+KTM!R150+IDK!R150+EKM!R150+TSR!R150+PKD!R150+MLPM!R150+KKD!R150+WYD!R150+KNR!R150+KSD!R150+SHS!R150</f>
        <v>0</v>
      </c>
      <c r="S150" s="323">
        <f>TVM!S150+KLM!S150+PTA!S150+ALP!S150+KTM!S150+IDK!S150+EKM!S150+TSR!S150+PKD!S150+MLPM!S150+KKD!S150+WYD!S150+KNR!S150+KSD!S150+SHS!S150</f>
        <v>0</v>
      </c>
      <c r="T150" s="324">
        <f t="shared" si="7"/>
        <v>14355.883935</v>
      </c>
      <c r="U150" s="324">
        <f>TVM!U150+KLM!U150+PTA!U150+ALP!U150+KTM!U150+IDK!U150+EKM!U150+TSR!U150+PKD!U150+MLPM!U150+KKD!U150+WYD!U150+KNR!U150+KSD!U150+SHS!U150</f>
        <v>15291.921625594498</v>
      </c>
      <c r="V150" s="13" t="s">
        <v>1491</v>
      </c>
      <c r="W150" s="13" t="s">
        <v>1491</v>
      </c>
      <c r="X150" s="332">
        <v>13058.75</v>
      </c>
      <c r="Y150" s="334">
        <f t="shared" si="1"/>
        <v>1297.1339349999998</v>
      </c>
      <c r="Z150" s="314"/>
      <c r="AA150" s="314"/>
      <c r="AB150" s="314"/>
    </row>
    <row r="151" spans="1:28" ht="39.75" customHeight="1">
      <c r="A151" s="712"/>
      <c r="B151" s="712"/>
      <c r="C151" s="712"/>
      <c r="D151" s="320">
        <v>143</v>
      </c>
      <c r="E151" s="320" t="s">
        <v>299</v>
      </c>
      <c r="F151" s="323">
        <f>TVM!F151+KLM!F151+PTA!F151+ALP!F151+KTM!F151+IDK!F151+EKM!F151+TSR!F151+PKD!F151+MLPM!F151+KKD!F151+WYD!F151+KNR!F151+KSD!F151+SHS!F151</f>
        <v>0</v>
      </c>
      <c r="G151" s="323">
        <f>TVM!G151+KLM!G151+PTA!G151+ALP!G151+KTM!G151+IDK!G151+EKM!G151+TSR!G151+PKD!G151+MLPM!G151+KKD!G151+WYD!G151+KNR!G151+KSD!G151+SHS!G151</f>
        <v>0</v>
      </c>
      <c r="H151" s="323">
        <f>TVM!H151+KLM!H151+PTA!H151+ALP!H151+KTM!H151+IDK!H151+EKM!H151+TSR!H151+PKD!H151+MLPM!H151+KKD!H151+WYD!H151+KNR!H151+KSD!H151+SHS!H151</f>
        <v>0</v>
      </c>
      <c r="I151" s="323">
        <f>TVM!I151+KLM!I151+PTA!I151+ALP!I151+KTM!I151+IDK!I151+EKM!I151+TSR!I151+PKD!I151+MLPM!I151+KKD!I151+WYD!I151+KNR!I151+KSD!I151+SHS!I151</f>
        <v>0</v>
      </c>
      <c r="J151" s="323">
        <f>TVM!J151+KLM!J151+PTA!J151+ALP!J151+KTM!J151+IDK!J151+EKM!J151+TSR!J151+PKD!J151+MLPM!J151+KKD!J151+WYD!J151+KNR!J151+KSD!J151+SHS!J151</f>
        <v>0</v>
      </c>
      <c r="K151" s="323">
        <f>TVM!K151+KLM!K151+PTA!K151+ALP!K151+KTM!K151+IDK!K151+EKM!K151+TSR!K151+PKD!K151+MLPM!K151+KKD!K151+WYD!K151+KNR!K151+KSD!K151+SHS!K151</f>
        <v>0</v>
      </c>
      <c r="L151" s="323">
        <f>TVM!L151+KLM!L151+PTA!L151+ALP!L151+KTM!L151+IDK!L151+EKM!L151+TSR!L151+PKD!L151+MLPM!L151+KKD!L151+WYD!L151+KNR!L151+KSD!L151+SHS!L151</f>
        <v>0</v>
      </c>
      <c r="M151" s="323">
        <f>TVM!M151+KLM!M151+PTA!M151+ALP!M151+KTM!M151+IDK!M151+EKM!M151+TSR!M151+PKD!M151+MLPM!M151+KKD!M151+WYD!M151+KNR!M151+KSD!M151+SHS!M151</f>
        <v>0</v>
      </c>
      <c r="N151" s="323">
        <f>TVM!N151+KLM!N151+PTA!N151+ALP!N151+KTM!N151+IDK!N151+EKM!N151+TSR!N151+PKD!N151+MLPM!N151+KKD!N151+WYD!N151+KNR!N151+KSD!N151+SHS!N151</f>
        <v>0</v>
      </c>
      <c r="O151" s="323">
        <f>TVM!O151+KLM!O151+PTA!O151+ALP!O151+KTM!O151+IDK!O151+EKM!O151+TSR!O151+PKD!O151+MLPM!O151+KKD!O151+WYD!O151+KNR!O151+KSD!O151+SHS!O151</f>
        <v>0</v>
      </c>
      <c r="P151" s="323">
        <f>TVM!P151+KLM!P151+PTA!P151+ALP!P151+KTM!P151+IDK!P151+EKM!P151+TSR!P151+PKD!P151+MLPM!P151+KKD!P151+WYD!P151+KNR!P151+KSD!P151+SHS!P151</f>
        <v>0</v>
      </c>
      <c r="Q151" s="323">
        <f>TVM!Q151+KLM!Q151+PTA!Q151+ALP!Q151+KTM!Q151+IDK!Q151+EKM!Q151+TSR!Q151+PKD!Q151+MLPM!Q151+KKD!Q151+WYD!Q151+KNR!Q151+KSD!Q151+SHS!Q151</f>
        <v>0</v>
      </c>
      <c r="R151" s="323">
        <f>TVM!R151+KLM!R151+PTA!R151+ALP!R151+KTM!R151+IDK!R151+EKM!R151+TSR!R151+PKD!R151+MLPM!R151+KKD!R151+WYD!R151+KNR!R151+KSD!R151+SHS!R151</f>
        <v>0</v>
      </c>
      <c r="S151" s="323">
        <f>TVM!S151+KLM!S151+PTA!S151+ALP!S151+KTM!S151+IDK!S151+EKM!S151+TSR!S151+PKD!S151+MLPM!S151+KKD!S151+WYD!S151+KNR!S151+KSD!S151+SHS!S151</f>
        <v>0</v>
      </c>
      <c r="T151" s="389">
        <f t="shared" si="7"/>
        <v>0</v>
      </c>
      <c r="U151" s="389">
        <f>TVM!U151+KLM!U151+PTA!U151+ALP!U151+KTM!U151+IDK!U151+EKM!U151+TSR!U151+PKD!U151+MLPM!U151+KKD!U151+WYD!U151+KNR!U151+KSD!U151+SHS!U151</f>
        <v>0</v>
      </c>
      <c r="V151" s="325"/>
      <c r="W151" s="333"/>
      <c r="X151" s="332">
        <v>0</v>
      </c>
      <c r="Y151" s="328">
        <f t="shared" si="1"/>
        <v>0</v>
      </c>
      <c r="Z151" s="314"/>
      <c r="AA151" s="314"/>
      <c r="AB151" s="314"/>
    </row>
    <row r="152" spans="1:28" ht="39.75" customHeight="1">
      <c r="A152" s="712"/>
      <c r="B152" s="712"/>
      <c r="C152" s="712"/>
      <c r="D152" s="320">
        <v>144</v>
      </c>
      <c r="E152" s="320" t="s">
        <v>300</v>
      </c>
      <c r="F152" s="323">
        <f>TVM!F152+KLM!F152+PTA!F152+ALP!F152+KTM!F152+IDK!F152+EKM!F152+TSR!F152+PKD!F152+MLPM!F152+KKD!F152+WYD!F152+KNR!F152+KSD!F152+SHS!F152</f>
        <v>0</v>
      </c>
      <c r="G152" s="323">
        <f>TVM!G152+KLM!G152+PTA!G152+ALP!G152+KTM!G152+IDK!G152+EKM!G152+TSR!G152+PKD!G152+MLPM!G152+KKD!G152+WYD!G152+KNR!G152+KSD!G152+SHS!G152</f>
        <v>0</v>
      </c>
      <c r="H152" s="323">
        <f>TVM!H152+KLM!H152+PTA!H152+ALP!H152+KTM!H152+IDK!H152+EKM!H152+TSR!H152+PKD!H152+MLPM!H152+KKD!H152+WYD!H152+KNR!H152+KSD!H152+SHS!H152</f>
        <v>0</v>
      </c>
      <c r="I152" s="323">
        <f>TVM!I152+KLM!I152+PTA!I152+ALP!I152+KTM!I152+IDK!I152+EKM!I152+TSR!I152+PKD!I152+MLPM!I152+KKD!I152+WYD!I152+KNR!I152+KSD!I152+SHS!I152</f>
        <v>0</v>
      </c>
      <c r="J152" s="323">
        <f>TVM!J152+KLM!J152+PTA!J152+ALP!J152+KTM!J152+IDK!J152+EKM!J152+TSR!J152+PKD!J152+MLPM!J152+KKD!J152+WYD!J152+KNR!J152+KSD!J152+SHS!J152</f>
        <v>0</v>
      </c>
      <c r="K152" s="323">
        <f>TVM!K152+KLM!K152+PTA!K152+ALP!K152+KTM!K152+IDK!K152+EKM!K152+TSR!K152+PKD!K152+MLPM!K152+KKD!K152+WYD!K152+KNR!K152+KSD!K152+SHS!K152</f>
        <v>0</v>
      </c>
      <c r="L152" s="323">
        <f>TVM!L152+KLM!L152+PTA!L152+ALP!L152+KTM!L152+IDK!L152+EKM!L152+TSR!L152+PKD!L152+MLPM!L152+KKD!L152+WYD!L152+KNR!L152+KSD!L152+SHS!L152</f>
        <v>0</v>
      </c>
      <c r="M152" s="323">
        <f>TVM!M152+KLM!M152+PTA!M152+ALP!M152+KTM!M152+IDK!M152+EKM!M152+TSR!M152+PKD!M152+MLPM!M152+KKD!M152+WYD!M152+KNR!M152+KSD!M152+SHS!M152</f>
        <v>0</v>
      </c>
      <c r="N152" s="323">
        <f>TVM!N152+KLM!N152+PTA!N152+ALP!N152+KTM!N152+IDK!N152+EKM!N152+TSR!N152+PKD!N152+MLPM!N152+KKD!N152+WYD!N152+KNR!N152+KSD!N152+SHS!N152</f>
        <v>0</v>
      </c>
      <c r="O152" s="323">
        <f>TVM!O152+KLM!O152+PTA!O152+ALP!O152+KTM!O152+IDK!O152+EKM!O152+TSR!O152+PKD!O152+MLPM!O152+KKD!O152+WYD!O152+KNR!O152+KSD!O152+SHS!O152</f>
        <v>0</v>
      </c>
      <c r="P152" s="323">
        <f>TVM!P152+KLM!P152+PTA!P152+ALP!P152+KTM!P152+IDK!P152+EKM!P152+TSR!P152+PKD!P152+MLPM!P152+KKD!P152+WYD!P152+KNR!P152+KSD!P152+SHS!P152</f>
        <v>0</v>
      </c>
      <c r="Q152" s="323">
        <f>TVM!Q152+KLM!Q152+PTA!Q152+ALP!Q152+KTM!Q152+IDK!Q152+EKM!Q152+TSR!Q152+PKD!Q152+MLPM!Q152+KKD!Q152+WYD!Q152+KNR!Q152+KSD!Q152+SHS!Q152</f>
        <v>0</v>
      </c>
      <c r="R152" s="323">
        <f>TVM!R152+KLM!R152+PTA!R152+ALP!R152+KTM!R152+IDK!R152+EKM!R152+TSR!R152+PKD!R152+MLPM!R152+KKD!R152+WYD!R152+KNR!R152+KSD!R152+SHS!R152</f>
        <v>0</v>
      </c>
      <c r="S152" s="323">
        <f>TVM!S152+KLM!S152+PTA!S152+ALP!S152+KTM!S152+IDK!S152+EKM!S152+TSR!S152+PKD!S152+MLPM!S152+KKD!S152+WYD!S152+KNR!S152+KSD!S152+SHS!S152</f>
        <v>0</v>
      </c>
      <c r="T152" s="389">
        <f t="shared" si="7"/>
        <v>0</v>
      </c>
      <c r="U152" s="389">
        <f>TVM!U152+KLM!U152+PTA!U152+ALP!U152+KTM!U152+IDK!U152+EKM!U152+TSR!U152+PKD!U152+MLPM!U152+KKD!U152+WYD!U152+KNR!U152+KSD!U152+SHS!U152</f>
        <v>0</v>
      </c>
      <c r="V152" s="325"/>
      <c r="W152" s="333"/>
      <c r="X152" s="332">
        <v>0</v>
      </c>
      <c r="Y152" s="328">
        <f t="shared" si="1"/>
        <v>0</v>
      </c>
      <c r="Z152" s="314"/>
      <c r="AA152" s="314"/>
      <c r="AB152" s="314"/>
    </row>
    <row r="153" spans="1:28" ht="39.75" customHeight="1">
      <c r="A153" s="712"/>
      <c r="B153" s="707"/>
      <c r="C153" s="707"/>
      <c r="D153" s="320">
        <v>145</v>
      </c>
      <c r="E153" s="320" t="s">
        <v>301</v>
      </c>
      <c r="F153" s="323">
        <f>TVM!F153+KLM!F153+PTA!F153+ALP!F153+KTM!F153+IDK!F153+EKM!F153+TSR!F153+PKD!F153+MLPM!F153+KKD!F153+WYD!F153+KNR!F153+KSD!F153+SHS!F153</f>
        <v>0</v>
      </c>
      <c r="G153" s="323">
        <f>TVM!G153+KLM!G153+PTA!G153+ALP!G153+KTM!G153+IDK!G153+EKM!G153+TSR!G153+PKD!G153+MLPM!G153+KKD!G153+WYD!G153+KNR!G153+KSD!G153+SHS!G153</f>
        <v>0</v>
      </c>
      <c r="H153" s="323">
        <f>TVM!H153+KLM!H153+PTA!H153+ALP!H153+KTM!H153+IDK!H153+EKM!H153+TSR!H153+PKD!H153+MLPM!H153+KKD!H153+WYD!H153+KNR!H153+KSD!H153+SHS!H153</f>
        <v>0</v>
      </c>
      <c r="I153" s="323">
        <f>TVM!I153+KLM!I153+PTA!I153+ALP!I153+KTM!I153+IDK!I153+EKM!I153+TSR!I153+PKD!I153+MLPM!I153+KKD!I153+WYD!I153+KNR!I153+KSD!I153+SHS!I153</f>
        <v>0</v>
      </c>
      <c r="J153" s="323">
        <f>TVM!J153+KLM!J153+PTA!J153+ALP!J153+KTM!J153+IDK!J153+EKM!J153+TSR!J153+PKD!J153+MLPM!J153+KKD!J153+WYD!J153+KNR!J153+KSD!J153+SHS!J153</f>
        <v>0</v>
      </c>
      <c r="K153" s="323">
        <f>TVM!K153+KLM!K153+PTA!K153+ALP!K153+KTM!K153+IDK!K153+EKM!K153+TSR!K153+PKD!K153+MLPM!K153+KKD!K153+WYD!K153+KNR!K153+KSD!K153+SHS!K153</f>
        <v>0</v>
      </c>
      <c r="L153" s="323">
        <f>TVM!L153+KLM!L153+PTA!L153+ALP!L153+KTM!L153+IDK!L153+EKM!L153+TSR!L153+PKD!L153+MLPM!L153+KKD!L153+WYD!L153+KNR!L153+KSD!L153+SHS!L153</f>
        <v>0</v>
      </c>
      <c r="M153" s="323">
        <f>TVM!M153+KLM!M153+PTA!M153+ALP!M153+KTM!M153+IDK!M153+EKM!M153+TSR!M153+PKD!M153+MLPM!M153+KKD!M153+WYD!M153+KNR!M153+KSD!M153+SHS!M153</f>
        <v>0</v>
      </c>
      <c r="N153" s="323">
        <f>TVM!N153+KLM!N153+PTA!N153+ALP!N153+KTM!N153+IDK!N153+EKM!N153+TSR!N153+PKD!N153+MLPM!N153+KKD!N153+WYD!N153+KNR!N153+KSD!N153+SHS!N153</f>
        <v>0</v>
      </c>
      <c r="O153" s="323">
        <f>TVM!O153+KLM!O153+PTA!O153+ALP!O153+KTM!O153+IDK!O153+EKM!O153+TSR!O153+PKD!O153+MLPM!O153+KKD!O153+WYD!O153+KNR!O153+KSD!O153+SHS!O153</f>
        <v>0</v>
      </c>
      <c r="P153" s="323">
        <f>TVM!P153+KLM!P153+PTA!P153+ALP!P153+KTM!P153+IDK!P153+EKM!P153+TSR!P153+PKD!P153+MLPM!P153+KKD!P153+WYD!P153+KNR!P153+KSD!P153+SHS!P153</f>
        <v>0</v>
      </c>
      <c r="Q153" s="323">
        <f>TVM!Q153+KLM!Q153+PTA!Q153+ALP!Q153+KTM!Q153+IDK!Q153+EKM!Q153+TSR!Q153+PKD!Q153+MLPM!Q153+KKD!Q153+WYD!Q153+KNR!Q153+KSD!Q153+SHS!Q153</f>
        <v>0</v>
      </c>
      <c r="R153" s="323">
        <f>TVM!R153+KLM!R153+PTA!R153+ALP!R153+KTM!R153+IDK!R153+EKM!R153+TSR!R153+PKD!R153+MLPM!R153+KKD!R153+WYD!R153+KNR!R153+KSD!R153+SHS!R153</f>
        <v>0</v>
      </c>
      <c r="S153" s="323">
        <f>TVM!S153+KLM!S153+PTA!S153+ALP!S153+KTM!S153+IDK!S153+EKM!S153+TSR!S153+PKD!S153+MLPM!S153+KKD!S153+WYD!S153+KNR!S153+KSD!S153+SHS!S153</f>
        <v>0</v>
      </c>
      <c r="T153" s="389">
        <f t="shared" si="7"/>
        <v>0</v>
      </c>
      <c r="U153" s="389">
        <f>TVM!U153+KLM!U153+PTA!U153+ALP!U153+KTM!U153+IDK!U153+EKM!U153+TSR!U153+PKD!U153+MLPM!U153+KKD!U153+WYD!U153+KNR!U153+KSD!U153+SHS!U153</f>
        <v>0</v>
      </c>
      <c r="V153" s="325"/>
      <c r="W153" s="333"/>
      <c r="X153" s="332">
        <v>0</v>
      </c>
      <c r="Y153" s="328">
        <f t="shared" si="1"/>
        <v>0</v>
      </c>
      <c r="Z153" s="314"/>
      <c r="AA153" s="314"/>
      <c r="AB153" s="314"/>
    </row>
    <row r="154" spans="1:28" ht="78.75">
      <c r="A154" s="712"/>
      <c r="B154" s="320" t="s">
        <v>302</v>
      </c>
      <c r="C154" s="320" t="s">
        <v>303</v>
      </c>
      <c r="D154" s="320">
        <v>146</v>
      </c>
      <c r="E154" s="320" t="s">
        <v>304</v>
      </c>
      <c r="F154" s="323">
        <f>TVM!F154+KLM!F154+PTA!F154+ALP!F154+KTM!F154+IDK!F154+EKM!F154+TSR!F154+PKD!F154+MLPM!F154+KKD!F154+WYD!F154+KNR!F154+KSD!F154+SHS!F154</f>
        <v>0</v>
      </c>
      <c r="G154" s="323">
        <f>TVM!G154+KLM!G154+PTA!G154+ALP!G154+KTM!G154+IDK!G154+EKM!G154+TSR!G154+PKD!G154+MLPM!G154+KKD!G154+WYD!G154+KNR!G154+KSD!G154+SHS!G154</f>
        <v>0</v>
      </c>
      <c r="H154" s="323">
        <f>TVM!H154+KLM!H154+PTA!H154+ALP!H154+KTM!H154+IDK!H154+EKM!H154+TSR!H154+PKD!H154+MLPM!H154+KKD!H154+WYD!H154+KNR!H154+KSD!H154+SHS!H154</f>
        <v>0</v>
      </c>
      <c r="I154" s="323">
        <f>TVM!I154+KLM!I154+PTA!I154+ALP!I154+KTM!I154+IDK!I154+EKM!I154+TSR!I154+PKD!I154+MLPM!I154+KKD!I154+WYD!I154+KNR!I154+KSD!I154+SHS!I154</f>
        <v>0</v>
      </c>
      <c r="J154" s="323">
        <f>TVM!J154+KLM!J154+PTA!J154+ALP!J154+KTM!J154+IDK!J154+EKM!J154+TSR!J154+PKD!J154+MLPM!J154+KKD!J154+WYD!J154+KNR!J154+KSD!J154+SHS!J154</f>
        <v>0</v>
      </c>
      <c r="K154" s="323">
        <f>TVM!K154+KLM!K154+PTA!K154+ALP!K154+KTM!K154+IDK!K154+EKM!K154+TSR!K154+PKD!K154+MLPM!K154+KKD!K154+WYD!K154+KNR!K154+KSD!K154+SHS!K154</f>
        <v>0</v>
      </c>
      <c r="L154" s="323">
        <f>TVM!L154+KLM!L154+PTA!L154+ALP!L154+KTM!L154+IDK!L154+EKM!L154+TSR!L154+PKD!L154+MLPM!L154+KKD!L154+WYD!L154+KNR!L154+KSD!L154+SHS!L154</f>
        <v>0</v>
      </c>
      <c r="M154" s="323">
        <f>TVM!M154+KLM!M154+PTA!M154+ALP!M154+KTM!M154+IDK!M154+EKM!M154+TSR!M154+PKD!M154+MLPM!M154+KKD!M154+WYD!M154+KNR!M154+KSD!M154+SHS!M154</f>
        <v>0</v>
      </c>
      <c r="N154" s="323">
        <f>TVM!N154+KLM!N154+PTA!N154+ALP!N154+KTM!N154+IDK!N154+EKM!N154+TSR!N154+PKD!N154+MLPM!N154+KKD!N154+WYD!N154+KNR!N154+KSD!N154+SHS!N154</f>
        <v>0</v>
      </c>
      <c r="O154" s="323">
        <f>TVM!O154+KLM!O154+PTA!O154+ALP!O154+KTM!O154+IDK!O154+EKM!O154+TSR!O154+PKD!O154+MLPM!O154+KKD!O154+WYD!O154+KNR!O154+KSD!O154+SHS!O154</f>
        <v>0</v>
      </c>
      <c r="P154" s="323">
        <f>TVM!P154+KLM!P154+PTA!P154+ALP!P154+KTM!P154+IDK!P154+EKM!P154+TSR!P154+PKD!P154+MLPM!P154+KKD!P154+WYD!P154+KNR!P154+KSD!P154+SHS!P154</f>
        <v>0</v>
      </c>
      <c r="Q154" s="323">
        <f>TVM!Q154+KLM!Q154+PTA!Q154+ALP!Q154+KTM!Q154+IDK!Q154+EKM!Q154+TSR!Q154+PKD!Q154+MLPM!Q154+KKD!Q154+WYD!Q154+KNR!Q154+KSD!Q154+SHS!Q154</f>
        <v>0</v>
      </c>
      <c r="R154" s="329">
        <f>TVM!R154+KLM!R154+PTA!R154+ALP!R154+KTM!R154+IDK!R154+EKM!R154+TSR!R154+PKD!R154+MLPM!R154+KKD!R154+WYD!R154+KNR!R154+KSD!R154+SHS!R154</f>
        <v>91.200000000000017</v>
      </c>
      <c r="S154" s="323">
        <f>TVM!S154+KLM!S154+PTA!S154+ALP!S154+KTM!S154+IDK!S154+EKM!S154+TSR!S154+PKD!S154+MLPM!S154+KKD!S154+WYD!S154+KNR!S154+KSD!S154+SHS!S154</f>
        <v>0</v>
      </c>
      <c r="T154" s="324">
        <f t="shared" si="7"/>
        <v>91.200000000000017</v>
      </c>
      <c r="U154" s="324">
        <f>TVM!U154+KLM!U154+PTA!U154+ALP!U154+KTM!U154+IDK!U154+EKM!U154+TSR!U154+PKD!U154+MLPM!U154+KKD!U154+WYD!U154+KNR!U154+KSD!U154+SHS!U154</f>
        <v>91.800000000000011</v>
      </c>
      <c r="V154" s="336" t="s">
        <v>1492</v>
      </c>
      <c r="W154" s="336" t="s">
        <v>1493</v>
      </c>
      <c r="X154" s="332">
        <v>84.6</v>
      </c>
      <c r="Y154" s="328">
        <f t="shared" si="1"/>
        <v>6.6000000000000227</v>
      </c>
      <c r="Z154" s="322">
        <v>91.8</v>
      </c>
      <c r="AA154" s="314"/>
      <c r="AB154" s="314"/>
    </row>
    <row r="155" spans="1:28" ht="39.75" customHeight="1">
      <c r="A155" s="712"/>
      <c r="B155" s="320" t="s">
        <v>306</v>
      </c>
      <c r="C155" s="320" t="s">
        <v>307</v>
      </c>
      <c r="D155" s="320">
        <v>147</v>
      </c>
      <c r="E155" s="320" t="s">
        <v>157</v>
      </c>
      <c r="F155" s="323">
        <f>TVM!F155+KLM!F155+PTA!F155+ALP!F155+KTM!F155+IDK!F155+EKM!F155+TSR!F155+PKD!F155+MLPM!F155+KKD!F155+WYD!F155+KNR!F155+KSD!F155+SHS!F155</f>
        <v>0</v>
      </c>
      <c r="G155" s="323">
        <f>TVM!G155+KLM!G155+PTA!G155+ALP!G155+KTM!G155+IDK!G155+EKM!G155+TSR!G155+PKD!G155+MLPM!G155+KKD!G155+WYD!G155+KNR!G155+KSD!G155+SHS!G155</f>
        <v>0</v>
      </c>
      <c r="H155" s="323">
        <f>TVM!H155+KLM!H155+PTA!H155+ALP!H155+KTM!H155+IDK!H155+EKM!H155+TSR!H155+PKD!H155+MLPM!H155+KKD!H155+WYD!H155+KNR!H155+KSD!H155+SHS!H155</f>
        <v>0</v>
      </c>
      <c r="I155" s="323">
        <f>TVM!I155+KLM!I155+PTA!I155+ALP!I155+KTM!I155+IDK!I155+EKM!I155+TSR!I155+PKD!I155+MLPM!I155+KKD!I155+WYD!I155+KNR!I155+KSD!I155+SHS!I155</f>
        <v>0</v>
      </c>
      <c r="J155" s="323">
        <f>TVM!J155+KLM!J155+PTA!J155+ALP!J155+KTM!J155+IDK!J155+EKM!J155+TSR!J155+PKD!J155+MLPM!J155+KKD!J155+WYD!J155+KNR!J155+KSD!J155+SHS!J155</f>
        <v>0</v>
      </c>
      <c r="K155" s="323">
        <f>TVM!K155+KLM!K155+PTA!K155+ALP!K155+KTM!K155+IDK!K155+EKM!K155+TSR!K155+PKD!K155+MLPM!K155+KKD!K155+WYD!K155+KNR!K155+KSD!K155+SHS!K155</f>
        <v>0</v>
      </c>
      <c r="L155" s="323">
        <f>TVM!L155+KLM!L155+PTA!L155+ALP!L155+KTM!L155+IDK!L155+EKM!L155+TSR!L155+PKD!L155+MLPM!L155+KKD!L155+WYD!L155+KNR!L155+KSD!L155+SHS!L155</f>
        <v>0</v>
      </c>
      <c r="M155" s="323">
        <f>TVM!M155+KLM!M155+PTA!M155+ALP!M155+KTM!M155+IDK!M155+EKM!M155+TSR!M155+PKD!M155+MLPM!M155+KKD!M155+WYD!M155+KNR!M155+KSD!M155+SHS!M155</f>
        <v>0</v>
      </c>
      <c r="N155" s="323">
        <f>TVM!N155+KLM!N155+PTA!N155+ALP!N155+KTM!N155+IDK!N155+EKM!N155+TSR!N155+PKD!N155+MLPM!N155+KKD!N155+WYD!N155+KNR!N155+KSD!N155+SHS!N155</f>
        <v>0</v>
      </c>
      <c r="O155" s="323">
        <f>TVM!O155+KLM!O155+PTA!O155+ALP!O155+KTM!O155+IDK!O155+EKM!O155+TSR!O155+PKD!O155+MLPM!O155+KKD!O155+WYD!O155+KNR!O155+KSD!O155+SHS!O155</f>
        <v>0</v>
      </c>
      <c r="P155" s="323">
        <f>TVM!P155+KLM!P155+PTA!P155+ALP!P155+KTM!P155+IDK!P155+EKM!P155+TSR!P155+PKD!P155+MLPM!P155+KKD!P155+WYD!P155+KNR!P155+KSD!P155+SHS!P155</f>
        <v>0</v>
      </c>
      <c r="Q155" s="323">
        <f>TVM!Q155+KLM!Q155+PTA!Q155+ALP!Q155+KTM!Q155+IDK!Q155+EKM!Q155+TSR!Q155+PKD!Q155+MLPM!Q155+KKD!Q155+WYD!Q155+KNR!Q155+KSD!Q155+SHS!Q155</f>
        <v>0</v>
      </c>
      <c r="R155" s="323">
        <f>TVM!R155+KLM!R155+PTA!R155+ALP!R155+KTM!R155+IDK!R155+EKM!R155+TSR!R155+PKD!R155+MLPM!R155+KKD!R155+WYD!R155+KNR!R155+KSD!R155+SHS!R155</f>
        <v>0</v>
      </c>
      <c r="S155" s="323">
        <f>TVM!S155+KLM!S155+PTA!S155+ALP!S155+KTM!S155+IDK!S155+EKM!S155+TSR!S155+PKD!S155+MLPM!S155+KKD!S155+WYD!S155+KNR!S155+KSD!S155+SHS!S155</f>
        <v>0</v>
      </c>
      <c r="T155" s="389">
        <f t="shared" si="7"/>
        <v>0</v>
      </c>
      <c r="U155" s="389">
        <f>TVM!U155+KLM!U155+PTA!U155+ALP!U155+KTM!U155+IDK!U155+EKM!U155+TSR!U155+PKD!U155+MLPM!U155+KKD!U155+WYD!U155+KNR!U155+KSD!U155+SHS!U155</f>
        <v>0</v>
      </c>
      <c r="V155" s="325"/>
      <c r="W155" s="333"/>
      <c r="X155" s="332">
        <v>0</v>
      </c>
      <c r="Y155" s="328">
        <f t="shared" si="1"/>
        <v>0</v>
      </c>
      <c r="Z155" s="314"/>
      <c r="AA155" s="314"/>
      <c r="AB155" s="314"/>
    </row>
    <row r="156" spans="1:28" ht="39.75" customHeight="1">
      <c r="A156" s="712"/>
      <c r="B156" s="320" t="s">
        <v>308</v>
      </c>
      <c r="C156" s="320" t="s">
        <v>309</v>
      </c>
      <c r="D156" s="320">
        <v>148</v>
      </c>
      <c r="E156" s="320" t="s">
        <v>310</v>
      </c>
      <c r="F156" s="323">
        <f>TVM!F156+KLM!F156+PTA!F156+ALP!F156+KTM!F156+IDK!F156+EKM!F156+TSR!F156+PKD!F156+MLPM!F156+KKD!F156+WYD!F156+KNR!F156+KSD!F156+SHS!F156</f>
        <v>0</v>
      </c>
      <c r="G156" s="323">
        <f>TVM!G156+KLM!G156+PTA!G156+ALP!G156+KTM!G156+IDK!G156+EKM!G156+TSR!G156+PKD!G156+MLPM!G156+KKD!G156+WYD!G156+KNR!G156+KSD!G156+SHS!G156</f>
        <v>0</v>
      </c>
      <c r="H156" s="323">
        <f>TVM!H156+KLM!H156+PTA!H156+ALP!H156+KTM!H156+IDK!H156+EKM!H156+TSR!H156+PKD!H156+MLPM!H156+KKD!H156+WYD!H156+KNR!H156+KSD!H156+SHS!H156</f>
        <v>0</v>
      </c>
      <c r="I156" s="323">
        <f>TVM!I156+KLM!I156+PTA!I156+ALP!I156+KTM!I156+IDK!I156+EKM!I156+TSR!I156+PKD!I156+MLPM!I156+KKD!I156+WYD!I156+KNR!I156+KSD!I156+SHS!I156</f>
        <v>0</v>
      </c>
      <c r="J156" s="323">
        <f>TVM!J156+KLM!J156+PTA!J156+ALP!J156+KTM!J156+IDK!J156+EKM!J156+TSR!J156+PKD!J156+MLPM!J156+KKD!J156+WYD!J156+KNR!J156+KSD!J156+SHS!J156</f>
        <v>0</v>
      </c>
      <c r="K156" s="323">
        <f>TVM!K156+KLM!K156+PTA!K156+ALP!K156+KTM!K156+IDK!K156+EKM!K156+TSR!K156+PKD!K156+MLPM!K156+KKD!K156+WYD!K156+KNR!K156+KSD!K156+SHS!K156</f>
        <v>0</v>
      </c>
      <c r="L156" s="323">
        <f>TVM!L156+KLM!L156+PTA!L156+ALP!L156+KTM!L156+IDK!L156+EKM!L156+TSR!L156+PKD!L156+MLPM!L156+KKD!L156+WYD!L156+KNR!L156+KSD!L156+SHS!L156</f>
        <v>0</v>
      </c>
      <c r="M156" s="323">
        <f>TVM!M156+KLM!M156+PTA!M156+ALP!M156+KTM!M156+IDK!M156+EKM!M156+TSR!M156+PKD!M156+MLPM!M156+KKD!M156+WYD!M156+KNR!M156+KSD!M156+SHS!M156</f>
        <v>0</v>
      </c>
      <c r="N156" s="329">
        <f>TVM!N156+KLM!N156+PTA!N156+ALP!N156+KTM!N156+IDK!N156+EKM!N156+TSR!N156+PKD!N156+MLPM!N156+KKD!N156+WYD!N156+KNR!N156+KSD!N156+SHS!N156</f>
        <v>0</v>
      </c>
      <c r="O156" s="323">
        <f>TVM!O156+KLM!O156+PTA!O156+ALP!O156+KTM!O156+IDK!O156+EKM!O156+TSR!O156+PKD!O156+MLPM!O156+KKD!O156+WYD!O156+KNR!O156+KSD!O156+SHS!O156</f>
        <v>0</v>
      </c>
      <c r="P156" s="329">
        <f>TVM!P156+KLM!P156+PTA!P156+ALP!P156+KTM!P156+IDK!P156+EKM!P156+TSR!P156+PKD!P156+MLPM!P156+KKD!P156+WYD!P156+KNR!P156+KSD!P156+SHS!P156</f>
        <v>0</v>
      </c>
      <c r="Q156" s="323">
        <f>TVM!Q156+KLM!Q156+PTA!Q156+ALP!Q156+KTM!Q156+IDK!Q156+EKM!Q156+TSR!Q156+PKD!Q156+MLPM!Q156+KKD!Q156+WYD!Q156+KNR!Q156+KSD!Q156+SHS!Q156</f>
        <v>0</v>
      </c>
      <c r="R156" s="323">
        <f>TVM!R156+KLM!R156+PTA!R156+ALP!R156+KTM!R156+IDK!R156+EKM!R156+TSR!R156+PKD!R156+MLPM!R156+KKD!R156+WYD!R156+KNR!R156+KSD!R156+SHS!R156</f>
        <v>0</v>
      </c>
      <c r="S156" s="323">
        <f>TVM!S156+KLM!S156+PTA!S156+ALP!S156+KTM!S156+IDK!S156+EKM!S156+TSR!S156+PKD!S156+MLPM!S156+KKD!S156+WYD!S156+KNR!S156+KSD!S156+SHS!S156</f>
        <v>0</v>
      </c>
      <c r="T156" s="389">
        <f t="shared" si="7"/>
        <v>0</v>
      </c>
      <c r="U156" s="389">
        <f>TVM!U156+KLM!U156+PTA!U156+ALP!U156+KTM!U156+IDK!U156+EKM!U156+TSR!U156+PKD!U156+MLPM!U156+KKD!U156+WYD!U156+KNR!U156+KSD!U156+SHS!U156</f>
        <v>0</v>
      </c>
      <c r="V156" s="431"/>
      <c r="W156" s="333"/>
      <c r="X156" s="332">
        <v>0</v>
      </c>
      <c r="Y156" s="328">
        <f t="shared" si="1"/>
        <v>0</v>
      </c>
      <c r="Z156" s="314"/>
      <c r="AA156" s="314"/>
      <c r="AB156" s="314"/>
    </row>
    <row r="157" spans="1:28" ht="75.75" customHeight="1">
      <c r="A157" s="712"/>
      <c r="B157" s="320" t="s">
        <v>311</v>
      </c>
      <c r="C157" s="320" t="s">
        <v>312</v>
      </c>
      <c r="D157" s="320">
        <v>149</v>
      </c>
      <c r="E157" s="320" t="s">
        <v>313</v>
      </c>
      <c r="F157" s="323">
        <f>TVM!F157+KLM!F157+PTA!F157+ALP!F157+KTM!F157+IDK!F157+EKM!F157+TSR!F157+PKD!F157+MLPM!F157+KKD!F157+WYD!F157+KNR!F157+KSD!F157+SHS!F157</f>
        <v>0</v>
      </c>
      <c r="G157" s="323">
        <f>TVM!G157+KLM!G157+PTA!G157+ALP!G157+KTM!G157+IDK!G157+EKM!G157+TSR!G157+PKD!G157+MLPM!G157+KKD!G157+WYD!G157+KNR!G157+KSD!G157+SHS!G157</f>
        <v>0</v>
      </c>
      <c r="H157" s="323">
        <f>TVM!H157+KLM!H157+PTA!H157+ALP!H157+KTM!H157+IDK!H157+EKM!H157+TSR!H157+PKD!H157+MLPM!H157+KKD!H157+WYD!H157+KNR!H157+KSD!H157+SHS!H157</f>
        <v>0</v>
      </c>
      <c r="I157" s="323">
        <f>TVM!I157+KLM!I157+PTA!I157+ALP!I157+KTM!I157+IDK!I157+EKM!I157+TSR!I157+PKD!I157+MLPM!I157+KKD!I157+WYD!I157+KNR!I157+KSD!I157+SHS!I157</f>
        <v>0</v>
      </c>
      <c r="J157" s="323">
        <f>TVM!J157+KLM!J157+PTA!J157+ALP!J157+KTM!J157+IDK!J157+EKM!J157+TSR!J157+PKD!J157+MLPM!J157+KKD!J157+WYD!J157+KNR!J157+KSD!J157+SHS!J157</f>
        <v>0</v>
      </c>
      <c r="K157" s="323">
        <f>TVM!K157+KLM!K157+PTA!K157+ALP!K157+KTM!K157+IDK!K157+EKM!K157+TSR!K157+PKD!K157+MLPM!K157+KKD!K157+WYD!K157+KNR!K157+KSD!K157+SHS!K157</f>
        <v>0</v>
      </c>
      <c r="L157" s="323">
        <f>TVM!L157+KLM!L157+PTA!L157+ALP!L157+KTM!L157+IDK!L157+EKM!L157+TSR!L157+PKD!L157+MLPM!L157+KKD!L157+WYD!L157+KNR!L157+KSD!L157+SHS!L157</f>
        <v>0</v>
      </c>
      <c r="M157" s="323">
        <f>TVM!M157+KLM!M157+PTA!M157+ALP!M157+KTM!M157+IDK!M157+EKM!M157+TSR!M157+PKD!M157+MLPM!M157+KKD!M157+WYD!M157+KNR!M157+KSD!M157+SHS!M157</f>
        <v>0</v>
      </c>
      <c r="N157" s="323">
        <f>TVM!N157+KLM!N157+PTA!N157+ALP!N157+KTM!N157+IDK!N157+EKM!N157+TSR!N157+PKD!N157+MLPM!N157+KKD!N157+WYD!N157+KNR!N157+KSD!N157+SHS!N157</f>
        <v>0</v>
      </c>
      <c r="O157" s="323">
        <f>TVM!O157+KLM!O157+PTA!O157+ALP!O157+KTM!O157+IDK!O157+EKM!O157+TSR!O157+PKD!O157+MLPM!O157+KKD!O157+WYD!O157+KNR!O157+KSD!O157+SHS!O157</f>
        <v>0</v>
      </c>
      <c r="P157" s="329">
        <f>TVM!P157+KLM!P157+PTA!P157+ALP!P157+KTM!P157+IDK!P157+EKM!P157+TSR!P157+PKD!P157+MLPM!P157+KKD!P157+WYD!P157+KNR!P157+KSD!P157+SHS!P157</f>
        <v>247.15000000000003</v>
      </c>
      <c r="Q157" s="323">
        <f>TVM!Q157+KLM!Q157+PTA!Q157+ALP!Q157+KTM!Q157+IDK!Q157+EKM!Q157+TSR!Q157+PKD!Q157+MLPM!Q157+KKD!Q157+WYD!Q157+KNR!Q157+KSD!Q157+SHS!Q157</f>
        <v>0</v>
      </c>
      <c r="R157" s="323">
        <f>TVM!R157+KLM!R157+PTA!R157+ALP!R157+KTM!R157+IDK!R157+EKM!R157+TSR!R157+PKD!R157+MLPM!R157+KKD!R157+WYD!R157+KNR!R157+KSD!R157+SHS!R157</f>
        <v>0</v>
      </c>
      <c r="S157" s="323">
        <f>TVM!S157+KLM!S157+PTA!S157+ALP!S157+KTM!S157+IDK!S157+EKM!S157+TSR!S157+PKD!S157+MLPM!S157+KKD!S157+WYD!S157+KNR!S157+KSD!S157+SHS!S157</f>
        <v>0</v>
      </c>
      <c r="T157" s="324">
        <f t="shared" si="7"/>
        <v>247.15000000000003</v>
      </c>
      <c r="U157" s="324">
        <f>TVM!U157+KLM!U157+PTA!U157+ALP!U157+KTM!U157+IDK!U157+EKM!U157+TSR!U157+PKD!U157+MLPM!U157+KKD!U157+WYD!U157+KNR!U157+KSD!U157+SHS!U157</f>
        <v>251.5</v>
      </c>
      <c r="V157" s="427" t="s">
        <v>1494</v>
      </c>
      <c r="W157" s="427" t="s">
        <v>1495</v>
      </c>
      <c r="X157" s="332">
        <v>297.39999999999998</v>
      </c>
      <c r="Y157" s="328">
        <f t="shared" si="1"/>
        <v>-50.249999999999943</v>
      </c>
      <c r="Z157" s="314"/>
      <c r="AA157" s="314"/>
      <c r="AB157" s="314"/>
    </row>
    <row r="158" spans="1:28" ht="39.75" customHeight="1">
      <c r="A158" s="707"/>
      <c r="B158" s="724" t="s">
        <v>315</v>
      </c>
      <c r="C158" s="709"/>
      <c r="D158" s="710"/>
      <c r="E158" s="396"/>
      <c r="F158" s="84">
        <f t="shared" ref="F158:U158" si="8">SUM(F135:F157)</f>
        <v>0</v>
      </c>
      <c r="G158" s="84">
        <f t="shared" si="8"/>
        <v>0</v>
      </c>
      <c r="H158" s="84">
        <f t="shared" si="8"/>
        <v>0</v>
      </c>
      <c r="I158" s="84">
        <f t="shared" si="8"/>
        <v>0</v>
      </c>
      <c r="J158" s="84">
        <f t="shared" si="8"/>
        <v>0</v>
      </c>
      <c r="K158" s="84">
        <f t="shared" si="8"/>
        <v>0</v>
      </c>
      <c r="L158" s="84">
        <f t="shared" si="8"/>
        <v>0</v>
      </c>
      <c r="M158" s="84">
        <f t="shared" si="8"/>
        <v>0</v>
      </c>
      <c r="N158" s="84">
        <f t="shared" si="8"/>
        <v>36.830000000000005</v>
      </c>
      <c r="O158" s="84">
        <f t="shared" si="8"/>
        <v>0</v>
      </c>
      <c r="P158" s="84">
        <f t="shared" si="8"/>
        <v>14872.853934999999</v>
      </c>
      <c r="Q158" s="84">
        <f t="shared" si="8"/>
        <v>86.7</v>
      </c>
      <c r="R158" s="84">
        <f t="shared" si="8"/>
        <v>119.50000000000001</v>
      </c>
      <c r="S158" s="84">
        <f t="shared" si="8"/>
        <v>0</v>
      </c>
      <c r="T158" s="5">
        <f t="shared" si="8"/>
        <v>15115.883935</v>
      </c>
      <c r="U158" s="5">
        <f t="shared" si="8"/>
        <v>16057.736625594496</v>
      </c>
      <c r="V158" s="84"/>
      <c r="W158" s="363"/>
      <c r="X158" s="399">
        <v>15556.75</v>
      </c>
      <c r="Y158" s="328">
        <f t="shared" si="1"/>
        <v>-440.86606500000016</v>
      </c>
      <c r="Z158" s="313"/>
      <c r="AA158" s="313"/>
      <c r="AB158" s="313"/>
    </row>
    <row r="159" spans="1:28" ht="126">
      <c r="A159" s="720" t="s">
        <v>316</v>
      </c>
      <c r="B159" s="718" t="s">
        <v>317</v>
      </c>
      <c r="C159" s="718" t="s">
        <v>269</v>
      </c>
      <c r="D159" s="320">
        <v>150</v>
      </c>
      <c r="E159" s="320" t="s">
        <v>318</v>
      </c>
      <c r="F159" s="323">
        <f>TVM!F159+KLM!F159+PTA!F159+ALP!F159+KTM!F159+IDK!F159+EKM!F159+TSR!F159+PKD!F159+MLPM!F159+KKD!F159+WYD!F159+KNR!F159+KSD!F159+SHS!F159</f>
        <v>0</v>
      </c>
      <c r="G159" s="330">
        <f>TVM!G159+KLM!G159+PTA!G159+ALP!G159+KTM!G159+IDK!G159+EKM!G159+TSR!G159+PKD!G159+MLPM!G159+KKD!G159+WYD!G159+KNR!G159+KSD!G159+SHS!G159</f>
        <v>0</v>
      </c>
      <c r="H159" s="330">
        <f>TVM!H159+KLM!H159+PTA!H159+ALP!H159+KTM!H159+IDK!H159+EKM!H159+TSR!H159+PKD!H159+MLPM!H159+KKD!H159+WYD!H159+KNR!H159+KSD!H159+SHS!H159</f>
        <v>0</v>
      </c>
      <c r="I159" s="329">
        <f>TVM!I159+KLM!I159+PTA!I159+ALP!I159+KTM!I159+IDK!I159+EKM!I159+TSR!I159+PKD!I159+MLPM!I159+KKD!I159+WYD!I159+KNR!I159+KSD!I159+SHS!I159</f>
        <v>0</v>
      </c>
      <c r="J159" s="323">
        <f>TVM!J159+KLM!J159+PTA!J159+ALP!J159+KTM!J159+IDK!J159+EKM!J159+TSR!J159+PKD!J159+MLPM!J159+KKD!J159+WYD!J159+KNR!J159+KSD!J159+SHS!J159</f>
        <v>0</v>
      </c>
      <c r="K159" s="323">
        <f>TVM!K159+KLM!K159+PTA!K159+ALP!K159+KTM!K159+IDK!K159+EKM!K159+TSR!K159+PKD!K159+MLPM!K159+KKD!K159+WYD!K159+KNR!K159+KSD!K159+SHS!K159</f>
        <v>0</v>
      </c>
      <c r="L159" s="323">
        <f>TVM!L159+KLM!L159+PTA!L159+ALP!L159+KTM!L159+IDK!L159+EKM!L159+TSR!L159+PKD!L159+MLPM!L159+KKD!L159+WYD!L159+KNR!L159+KSD!L159+SHS!L159</f>
        <v>0</v>
      </c>
      <c r="M159" s="323">
        <f>TVM!M159+KLM!M159+PTA!M159+ALP!M159+KTM!M159+IDK!M159+EKM!M159+TSR!M159+PKD!M159+MLPM!M159+KKD!M159+WYD!M159+KNR!M159+KSD!M159+SHS!M159</f>
        <v>0</v>
      </c>
      <c r="N159" s="329">
        <f>TVM!N159+KLM!N159+PTA!N159+ALP!N159+KTM!N159+IDK!N159+EKM!N159+TSR!N159+PKD!N159+MLPM!N159+KKD!N159+WYD!N159+KNR!N159+KSD!N159+SHS!N159</f>
        <v>179.60000000000002</v>
      </c>
      <c r="O159" s="330">
        <f>TVM!O159+KLM!O159+PTA!O159+ALP!O159+KTM!O159+IDK!O159+EKM!O159+TSR!O159+PKD!O159+MLPM!O159+KKD!O159+WYD!O159+KNR!O159+KSD!O159+SHS!O159</f>
        <v>3141.2050000000004</v>
      </c>
      <c r="P159" s="330">
        <f>TVM!P159+KLM!P159+PTA!P159+ALP!P159+KTM!P159+IDK!P159+EKM!P159+TSR!P159+PKD!P159+MLPM!P159+KKD!P159+WYD!P159+KNR!P159+KSD!P159+SHS!P159</f>
        <v>0</v>
      </c>
      <c r="Q159" s="323">
        <f>TVM!Q159+KLM!Q159+PTA!Q159+ALP!Q159+KTM!Q159+IDK!Q159+EKM!Q159+TSR!Q159+PKD!Q159+MLPM!Q159+KKD!Q159+WYD!Q159+KNR!Q159+KSD!Q159+SHS!Q159</f>
        <v>100</v>
      </c>
      <c r="R159" s="323">
        <f>TVM!R159+KLM!R159+PTA!R159+ALP!R159+KTM!R159+IDK!R159+EKM!R159+TSR!R159+PKD!R159+MLPM!R159+KKD!R159+WYD!R159+KNR!R159+KSD!R159+SHS!R159</f>
        <v>0</v>
      </c>
      <c r="S159" s="323">
        <f>TVM!S159+KLM!S159+PTA!S159+ALP!S159+KTM!S159+IDK!S159+EKM!S159+TSR!S159+PKD!S159+MLPM!S159+KKD!S159+WYD!S159+KNR!S159+KSD!S159+SHS!S159</f>
        <v>0</v>
      </c>
      <c r="T159" s="324">
        <f t="shared" ref="T159:T209" si="9">SUM(F159:S159)</f>
        <v>3420.8050000000003</v>
      </c>
      <c r="U159" s="324">
        <f>TVM!U159+KLM!U159+PTA!U159+ALP!U159+KTM!U159+IDK!U159+EKM!U159+TSR!U159+PKD!U159+MLPM!U159+KKD!U159+WYD!U159+KNR!U159+KSD!U159+SHS!U159</f>
        <v>3420.8050000000007</v>
      </c>
      <c r="V159" s="427" t="s">
        <v>1496</v>
      </c>
      <c r="W159" s="432" t="s">
        <v>1497</v>
      </c>
      <c r="X159" s="332">
        <v>19885.2</v>
      </c>
      <c r="Y159" s="334">
        <f t="shared" si="1"/>
        <v>-16464.395</v>
      </c>
      <c r="Z159" s="314"/>
      <c r="AA159" s="314"/>
      <c r="AB159" s="314"/>
    </row>
    <row r="160" spans="1:28" ht="173.25">
      <c r="A160" s="712"/>
      <c r="B160" s="712"/>
      <c r="C160" s="712"/>
      <c r="D160" s="320">
        <v>151</v>
      </c>
      <c r="E160" s="320" t="s">
        <v>319</v>
      </c>
      <c r="F160" s="323">
        <f>TVM!F160+KLM!F160+PTA!F160+ALP!F160+KTM!F160+IDK!F160+EKM!F160+TSR!F160+PKD!F160+MLPM!F160+KKD!F160+WYD!F160+KNR!F160+KSD!F160+SHS!F160</f>
        <v>0</v>
      </c>
      <c r="G160" s="330">
        <f>TVM!G160+KLM!G160+PTA!G160+ALP!G160+KTM!G160+IDK!G160+EKM!G160+TSR!G160+PKD!G160+MLPM!G160+KKD!G160+WYD!G160+KNR!G160+KSD!G160+SHS!G160</f>
        <v>0</v>
      </c>
      <c r="H160" s="330">
        <f>TVM!H160+KLM!H160+PTA!H160+ALP!H160+KTM!H160+IDK!H160+EKM!H160+TSR!H160+PKD!H160+MLPM!H160+KKD!H160+WYD!H160+KNR!H160+KSD!H160+SHS!H160</f>
        <v>0</v>
      </c>
      <c r="I160" s="329">
        <f>TVM!I160+KLM!I160+PTA!I160+ALP!I160+KTM!I160+IDK!I160+EKM!I160+TSR!I160+PKD!I160+MLPM!I160+KKD!I160+WYD!I160+KNR!I160+KSD!I160+SHS!I160</f>
        <v>0</v>
      </c>
      <c r="J160" s="323">
        <f>TVM!J160+KLM!J160+PTA!J160+ALP!J160+KTM!J160+IDK!J160+EKM!J160+TSR!J160+PKD!J160+MLPM!J160+KKD!J160+WYD!J160+KNR!J160+KSD!J160+SHS!J160</f>
        <v>0</v>
      </c>
      <c r="K160" s="323">
        <f>TVM!K160+KLM!K160+PTA!K160+ALP!K160+KTM!K160+IDK!K160+EKM!K160+TSR!K160+PKD!K160+MLPM!K160+KKD!K160+WYD!K160+KNR!K160+KSD!K160+SHS!K160</f>
        <v>0</v>
      </c>
      <c r="L160" s="323">
        <f>TVM!L160+KLM!L160+PTA!L160+ALP!L160+KTM!L160+IDK!L160+EKM!L160+TSR!L160+PKD!L160+MLPM!L160+KKD!L160+WYD!L160+KNR!L160+KSD!L160+SHS!L160</f>
        <v>0</v>
      </c>
      <c r="M160" s="323">
        <f>TVM!M160+KLM!M160+PTA!M160+ALP!M160+KTM!M160+IDK!M160+EKM!M160+TSR!M160+PKD!M160+MLPM!M160+KKD!M160+WYD!M160+KNR!M160+KSD!M160+SHS!M160</f>
        <v>0</v>
      </c>
      <c r="N160" s="329">
        <f>TVM!N160+KLM!N160+PTA!N160+ALP!N160+KTM!N160+IDK!N160+EKM!N160+TSR!N160+PKD!N160+MLPM!N160+KKD!N160+WYD!N160+KNR!N160+KSD!N160+SHS!N160</f>
        <v>0</v>
      </c>
      <c r="O160" s="330">
        <f>TVM!O160+KLM!O160+PTA!O160+ALP!O160+KTM!O160+IDK!O160+EKM!O160+TSR!O160+PKD!O160+MLPM!O160+KKD!O160+WYD!O160+KNR!O160+KSD!O160+SHS!O160</f>
        <v>0</v>
      </c>
      <c r="P160" s="330">
        <f>TVM!P160+KLM!P160+PTA!P160+ALP!P160+KTM!P160+IDK!P160+EKM!P160+TSR!P160+PKD!P160+MLPM!P160+KKD!P160+WYD!P160+KNR!P160+KSD!P160+SHS!P160</f>
        <v>187.97999999999996</v>
      </c>
      <c r="Q160" s="329">
        <f>TVM!Q160+KLM!Q160+PTA!Q160+ALP!Q160+KTM!Q160+IDK!Q160+EKM!Q160+TSR!Q160+PKD!Q160+MLPM!Q160+KKD!Q160+WYD!Q160+KNR!Q160+KSD!Q160+SHS!Q160</f>
        <v>0</v>
      </c>
      <c r="R160" s="330">
        <f>TVM!R160+KLM!R160+PTA!R160+ALP!R160+KTM!R160+IDK!R160+EKM!R160+TSR!R160+PKD!R160+MLPM!R160+KKD!R160+WYD!R160+KNR!R160+KSD!R160+SHS!R160</f>
        <v>28.65</v>
      </c>
      <c r="S160" s="323">
        <f>TVM!S160+KLM!S160+PTA!S160+ALP!S160+KTM!S160+IDK!S160+EKM!S160+TSR!S160+PKD!S160+MLPM!S160+KKD!S160+WYD!S160+KNR!S160+KSD!S160+SHS!S160</f>
        <v>0</v>
      </c>
      <c r="T160" s="324">
        <f t="shared" si="9"/>
        <v>216.62999999999997</v>
      </c>
      <c r="U160" s="324">
        <f>TVM!U160+KLM!U160+PTA!U160+ALP!U160+KTM!U160+IDK!U160+EKM!U160+TSR!U160+PKD!U160+MLPM!U160+KKD!U160+WYD!U160+KNR!U160+KSD!U160+SHS!U160</f>
        <v>216.62999999999997</v>
      </c>
      <c r="V160" s="13" t="s">
        <v>1498</v>
      </c>
      <c r="W160" s="13" t="s">
        <v>1499</v>
      </c>
      <c r="X160" s="332">
        <v>90</v>
      </c>
      <c r="Y160" s="328">
        <f t="shared" si="1"/>
        <v>126.62999999999997</v>
      </c>
      <c r="Z160" s="314"/>
      <c r="AA160" s="314"/>
      <c r="AB160" s="314"/>
    </row>
    <row r="161" spans="1:28" ht="39.75" customHeight="1">
      <c r="A161" s="712"/>
      <c r="B161" s="712"/>
      <c r="C161" s="712"/>
      <c r="D161" s="320">
        <v>152</v>
      </c>
      <c r="E161" s="320" t="s">
        <v>321</v>
      </c>
      <c r="F161" s="323">
        <f>TVM!F161+KLM!F161+PTA!F161+ALP!F161+KTM!F161+IDK!F161+EKM!F161+TSR!F161+PKD!F161+MLPM!F161+KKD!F161+WYD!F161+KNR!F161+KSD!F161+SHS!F161</f>
        <v>0</v>
      </c>
      <c r="G161" s="323">
        <f>TVM!G161+KLM!G161+PTA!G161+ALP!G161+KTM!G161+IDK!G161+EKM!G161+TSR!G161+PKD!G161+MLPM!G161+KKD!G161+WYD!G161+KNR!G161+KSD!G161+SHS!G161</f>
        <v>0</v>
      </c>
      <c r="H161" s="323">
        <f>TVM!H161+KLM!H161+PTA!H161+ALP!H161+KTM!H161+IDK!H161+EKM!H161+TSR!H161+PKD!H161+MLPM!H161+KKD!H161+WYD!H161+KNR!H161+KSD!H161+SHS!H161</f>
        <v>0</v>
      </c>
      <c r="I161" s="323">
        <f>TVM!I161+KLM!I161+PTA!I161+ALP!I161+KTM!I161+IDK!I161+EKM!I161+TSR!I161+PKD!I161+MLPM!I161+KKD!I161+WYD!I161+KNR!I161+KSD!I161+SHS!I161</f>
        <v>0</v>
      </c>
      <c r="J161" s="323">
        <f>TVM!J161+KLM!J161+PTA!J161+ALP!J161+KTM!J161+IDK!J161+EKM!J161+TSR!J161+PKD!J161+MLPM!J161+KKD!J161+WYD!J161+KNR!J161+KSD!J161+SHS!J161</f>
        <v>0</v>
      </c>
      <c r="K161" s="323">
        <f>TVM!K161+KLM!K161+PTA!K161+ALP!K161+KTM!K161+IDK!K161+EKM!K161+TSR!K161+PKD!K161+MLPM!K161+KKD!K161+WYD!K161+KNR!K161+KSD!K161+SHS!K161</f>
        <v>0</v>
      </c>
      <c r="L161" s="323">
        <f>TVM!L161+KLM!L161+PTA!L161+ALP!L161+KTM!L161+IDK!L161+EKM!L161+TSR!L161+PKD!L161+MLPM!L161+KKD!L161+WYD!L161+KNR!L161+KSD!L161+SHS!L161</f>
        <v>0</v>
      </c>
      <c r="M161" s="323">
        <f>TVM!M161+KLM!M161+PTA!M161+ALP!M161+KTM!M161+IDK!M161+EKM!M161+TSR!M161+PKD!M161+MLPM!M161+KKD!M161+WYD!M161+KNR!M161+KSD!M161+SHS!M161</f>
        <v>0</v>
      </c>
      <c r="N161" s="323">
        <f>TVM!N161+KLM!N161+PTA!N161+ALP!N161+KTM!N161+IDK!N161+EKM!N161+TSR!N161+PKD!N161+MLPM!N161+KKD!N161+WYD!N161+KNR!N161+KSD!N161+SHS!N161</f>
        <v>0</v>
      </c>
      <c r="O161" s="323">
        <f>TVM!O161+KLM!O161+PTA!O161+ALP!O161+KTM!O161+IDK!O161+EKM!O161+TSR!O161+PKD!O161+MLPM!O161+KKD!O161+WYD!O161+KNR!O161+KSD!O161+SHS!O161</f>
        <v>0</v>
      </c>
      <c r="P161" s="330">
        <f>TVM!P161+KLM!P161+PTA!P161+ALP!P161+KTM!P161+IDK!P161+EKM!P161+TSR!P161+PKD!P161+MLPM!P161+KKD!P161+WYD!P161+KNR!P161+KSD!P161+SHS!P161</f>
        <v>0</v>
      </c>
      <c r="Q161" s="323">
        <f>TVM!Q161+KLM!Q161+PTA!Q161+ALP!Q161+KTM!Q161+IDK!Q161+EKM!Q161+TSR!Q161+PKD!Q161+MLPM!Q161+KKD!Q161+WYD!Q161+KNR!Q161+KSD!Q161+SHS!Q161</f>
        <v>0</v>
      </c>
      <c r="R161" s="323">
        <f>TVM!R161+KLM!R161+PTA!R161+ALP!R161+KTM!R161+IDK!R161+EKM!R161+TSR!R161+PKD!R161+MLPM!R161+KKD!R161+WYD!R161+KNR!R161+KSD!R161+SHS!R161</f>
        <v>0</v>
      </c>
      <c r="S161" s="323">
        <f>TVM!S161+KLM!S161+PTA!S161+ALP!S161+KTM!S161+IDK!S161+EKM!S161+TSR!S161+PKD!S161+MLPM!S161+KKD!S161+WYD!S161+KNR!S161+KSD!S161+SHS!S161</f>
        <v>0</v>
      </c>
      <c r="T161" s="389">
        <f t="shared" si="9"/>
        <v>0</v>
      </c>
      <c r="U161" s="389">
        <f>TVM!U161+KLM!U161+PTA!U161+ALP!U161+KTM!U161+IDK!U161+EKM!U161+TSR!U161+PKD!U161+MLPM!U161+KKD!U161+WYD!U161+KNR!U161+KSD!U161+SHS!U161</f>
        <v>0</v>
      </c>
      <c r="V161" s="325"/>
      <c r="W161" s="333"/>
      <c r="X161" s="332">
        <v>4810.59</v>
      </c>
      <c r="Y161" s="328">
        <f t="shared" si="1"/>
        <v>-4810.59</v>
      </c>
      <c r="Z161" s="314"/>
      <c r="AA161" s="314"/>
      <c r="AB161" s="314"/>
    </row>
    <row r="162" spans="1:28" ht="63" customHeight="1">
      <c r="A162" s="712"/>
      <c r="B162" s="712"/>
      <c r="C162" s="712"/>
      <c r="D162" s="320">
        <v>153</v>
      </c>
      <c r="E162" s="320" t="s">
        <v>322</v>
      </c>
      <c r="F162" s="323">
        <f>TVM!F162+KLM!F162+PTA!F162+ALP!F162+KTM!F162+IDK!F162+EKM!F162+TSR!F162+PKD!F162+MLPM!F162+KKD!F162+WYD!F162+KNR!F162+KSD!F162+SHS!F162</f>
        <v>0</v>
      </c>
      <c r="G162" s="323">
        <f>TVM!G162+KLM!G162+PTA!G162+ALP!G162+KTM!G162+IDK!G162+EKM!G162+TSR!G162+PKD!G162+MLPM!G162+KKD!G162+WYD!G162+KNR!G162+KSD!G162+SHS!G162</f>
        <v>0</v>
      </c>
      <c r="H162" s="323">
        <f>TVM!H162+KLM!H162+PTA!H162+ALP!H162+KTM!H162+IDK!H162+EKM!H162+TSR!H162+PKD!H162+MLPM!H162+KKD!H162+WYD!H162+KNR!H162+KSD!H162+SHS!H162</f>
        <v>0</v>
      </c>
      <c r="I162" s="323">
        <f>TVM!I162+KLM!I162+PTA!I162+ALP!I162+KTM!I162+IDK!I162+EKM!I162+TSR!I162+PKD!I162+MLPM!I162+KKD!I162+WYD!I162+KNR!I162+KSD!I162+SHS!I162</f>
        <v>0</v>
      </c>
      <c r="J162" s="323">
        <f>TVM!J162+KLM!J162+PTA!J162+ALP!J162+KTM!J162+IDK!J162+EKM!J162+TSR!J162+PKD!J162+MLPM!J162+KKD!J162+WYD!J162+KNR!J162+KSD!J162+SHS!J162</f>
        <v>0</v>
      </c>
      <c r="K162" s="323">
        <f>TVM!K162+KLM!K162+PTA!K162+ALP!K162+KTM!K162+IDK!K162+EKM!K162+TSR!K162+PKD!K162+MLPM!K162+KKD!K162+WYD!K162+KNR!K162+KSD!K162+SHS!K162</f>
        <v>0</v>
      </c>
      <c r="L162" s="323">
        <f>TVM!L162+KLM!L162+PTA!L162+ALP!L162+KTM!L162+IDK!L162+EKM!L162+TSR!L162+PKD!L162+MLPM!L162+KKD!L162+WYD!L162+KNR!L162+KSD!L162+SHS!L162</f>
        <v>0</v>
      </c>
      <c r="M162" s="323">
        <f>TVM!M162+KLM!M162+PTA!M162+ALP!M162+KTM!M162+IDK!M162+EKM!M162+TSR!M162+PKD!M162+MLPM!M162+KKD!M162+WYD!M162+KNR!M162+KSD!M162+SHS!M162</f>
        <v>0</v>
      </c>
      <c r="N162" s="329">
        <f>TVM!N162+KLM!N162+PTA!N162+ALP!N162+KTM!N162+IDK!N162+EKM!N162+TSR!N162+PKD!N162+MLPM!N162+KKD!N162+WYD!N162+KNR!N162+KSD!N162+SHS!N162</f>
        <v>12</v>
      </c>
      <c r="O162" s="323">
        <f>TVM!O162+KLM!O162+PTA!O162+ALP!O162+KTM!O162+IDK!O162+EKM!O162+TSR!O162+PKD!O162+MLPM!O162+KKD!O162+WYD!O162+KNR!O162+KSD!O162+SHS!O162</f>
        <v>0</v>
      </c>
      <c r="P162" s="323">
        <f>TVM!P162+KLM!P162+PTA!P162+ALP!P162+KTM!P162+IDK!P162+EKM!P162+TSR!P162+PKD!P162+MLPM!P162+KKD!P162+WYD!P162+KNR!P162+KSD!P162+SHS!P162</f>
        <v>0</v>
      </c>
      <c r="Q162" s="323">
        <f>TVM!Q162+KLM!Q162+PTA!Q162+ALP!Q162+KTM!Q162+IDK!Q162+EKM!Q162+TSR!Q162+PKD!Q162+MLPM!Q162+KKD!Q162+WYD!Q162+KNR!Q162+KSD!Q162+SHS!Q162</f>
        <v>0</v>
      </c>
      <c r="R162" s="323">
        <f>TVM!R162+KLM!R162+PTA!R162+ALP!R162+KTM!R162+IDK!R162+EKM!R162+TSR!R162+PKD!R162+MLPM!R162+KKD!R162+WYD!R162+KNR!R162+KSD!R162+SHS!R162</f>
        <v>0</v>
      </c>
      <c r="S162" s="323">
        <f>TVM!S162+KLM!S162+PTA!S162+ALP!S162+KTM!S162+IDK!S162+EKM!S162+TSR!S162+PKD!S162+MLPM!S162+KKD!S162+WYD!S162+KNR!S162+KSD!S162+SHS!S162</f>
        <v>0</v>
      </c>
      <c r="T162" s="402">
        <f t="shared" si="9"/>
        <v>12</v>
      </c>
      <c r="U162" s="402">
        <f>TVM!U162+KLM!U162+PTA!U162+ALP!U162+KTM!U162+IDK!U162+EKM!U162+TSR!U162+PKD!U162+MLPM!U162+KKD!U162+WYD!U162+KNR!U162+KSD!U162+SHS!U162</f>
        <v>12</v>
      </c>
      <c r="V162" s="336" t="s">
        <v>1500</v>
      </c>
      <c r="W162" s="336" t="s">
        <v>1501</v>
      </c>
      <c r="X162" s="332">
        <v>64.91</v>
      </c>
      <c r="Y162" s="328">
        <f t="shared" si="1"/>
        <v>-52.91</v>
      </c>
      <c r="Z162" s="314"/>
      <c r="AA162" s="314"/>
      <c r="AB162" s="314"/>
    </row>
    <row r="163" spans="1:28" ht="168" customHeight="1">
      <c r="A163" s="712"/>
      <c r="B163" s="718" t="s">
        <v>324</v>
      </c>
      <c r="C163" s="718" t="s">
        <v>325</v>
      </c>
      <c r="D163" s="320">
        <v>154</v>
      </c>
      <c r="E163" s="320" t="s">
        <v>326</v>
      </c>
      <c r="F163" s="323">
        <f>TVM!F163+KLM!F163+PTA!F163+ALP!F163+KTM!F163+IDK!F163+EKM!F163+TSR!F163+PKD!F163+MLPM!F163+KKD!F163+WYD!F163+KNR!F163+KSD!F163+SHS!F163</f>
        <v>0</v>
      </c>
      <c r="G163" s="323">
        <f>TVM!G163+KLM!G163+PTA!G163+ALP!G163+KTM!G163+IDK!G163+EKM!G163+TSR!G163+PKD!G163+MLPM!G163+KKD!G163+WYD!G163+KNR!G163+KSD!G163+SHS!G163</f>
        <v>0</v>
      </c>
      <c r="H163" s="323">
        <f>TVM!H163+KLM!H163+PTA!H163+ALP!H163+KTM!H163+IDK!H163+EKM!H163+TSR!H163+PKD!H163+MLPM!H163+KKD!H163+WYD!H163+KNR!H163+KSD!H163+SHS!H163</f>
        <v>0</v>
      </c>
      <c r="I163" s="323">
        <f>TVM!I163+KLM!I163+PTA!I163+ALP!I163+KTM!I163+IDK!I163+EKM!I163+TSR!I163+PKD!I163+MLPM!I163+KKD!I163+WYD!I163+KNR!I163+KSD!I163+SHS!I163</f>
        <v>0</v>
      </c>
      <c r="J163" s="323">
        <f>TVM!J163+KLM!J163+PTA!J163+ALP!J163+KTM!J163+IDK!J163+EKM!J163+TSR!J163+PKD!J163+MLPM!J163+KKD!J163+WYD!J163+KNR!J163+KSD!J163+SHS!J163</f>
        <v>0</v>
      </c>
      <c r="K163" s="329">
        <f>TVM!K163+KLM!K163+PTA!K163+ALP!K163+KTM!K163+IDK!K163+EKM!K163+TSR!K163+PKD!K163+MLPM!K163+KKD!K163+WYD!K163+KNR!K163+KSD!K163+SHS!K163</f>
        <v>597</v>
      </c>
      <c r="L163" s="323">
        <f>TVM!L163+KLM!L163+PTA!L163+ALP!L163+KTM!L163+IDK!L163+EKM!L163+TSR!L163+PKD!L163+MLPM!L163+KKD!L163+WYD!L163+KNR!L163+KSD!L163+SHS!L163</f>
        <v>0</v>
      </c>
      <c r="M163" s="329">
        <f>TVM!M163+KLM!M163+PTA!M163+ALP!M163+KTM!M163+IDK!M163+EKM!M163+TSR!M163+PKD!M163+MLPM!M163+KKD!M163+WYD!M163+KNR!M163+KSD!M163+SHS!M163</f>
        <v>6.2</v>
      </c>
      <c r="N163" s="323">
        <f>TVM!N163+KLM!N163+PTA!N163+ALP!N163+KTM!N163+IDK!N163+EKM!N163+TSR!N163+PKD!N163+MLPM!N163+KKD!N163+WYD!N163+KNR!N163+KSD!N163+SHS!N163</f>
        <v>0</v>
      </c>
      <c r="O163" s="323">
        <f>TVM!O163+KLM!O163+PTA!O163+ALP!O163+KTM!O163+IDK!O163+EKM!O163+TSR!O163+PKD!O163+MLPM!O163+KKD!O163+WYD!O163+KNR!O163+KSD!O163+SHS!O163</f>
        <v>0</v>
      </c>
      <c r="P163" s="323">
        <f>TVM!P163+KLM!P163+PTA!P163+ALP!P163+KTM!P163+IDK!P163+EKM!P163+TSR!P163+PKD!P163+MLPM!P163+KKD!P163+WYD!P163+KNR!P163+KSD!P163+SHS!P163</f>
        <v>0</v>
      </c>
      <c r="Q163" s="330">
        <f>TVM!Q163+KLM!Q163+PTA!Q163+ALP!Q163+KTM!Q163+IDK!Q163+EKM!Q163+TSR!Q163+PKD!Q163+MLPM!Q163+KKD!Q163+WYD!Q163+KNR!Q163+KSD!Q163+SHS!Q163</f>
        <v>2</v>
      </c>
      <c r="R163" s="323">
        <f>TVM!R163+KLM!R163+PTA!R163+ALP!R163+KTM!R163+IDK!R163+EKM!R163+TSR!R163+PKD!R163+MLPM!R163+KKD!R163+WYD!R163+KNR!R163+KSD!R163+SHS!R163</f>
        <v>5</v>
      </c>
      <c r="S163" s="323">
        <f>TVM!S163+KLM!S163+PTA!S163+ALP!S163+KTM!S163+IDK!S163+EKM!S163+TSR!S163+PKD!S163+MLPM!S163+KKD!S163+WYD!S163+KNR!S163+KSD!S163+SHS!S163</f>
        <v>0</v>
      </c>
      <c r="T163" s="402">
        <f t="shared" si="9"/>
        <v>610.20000000000005</v>
      </c>
      <c r="U163" s="402">
        <f>TVM!U163+KLM!U163+PTA!U163+ALP!U163+KTM!U163+IDK!U163+EKM!U163+TSR!U163+PKD!U163+MLPM!U163+KKD!U163+WYD!U163+KNR!U163+KSD!U163+SHS!U163</f>
        <v>610.20000000000005</v>
      </c>
      <c r="V163" s="14" t="s">
        <v>1502</v>
      </c>
      <c r="W163" s="14" t="s">
        <v>1503</v>
      </c>
      <c r="X163" s="332">
        <v>3848.4</v>
      </c>
      <c r="Y163" s="328">
        <f t="shared" si="1"/>
        <v>-3238.2</v>
      </c>
      <c r="Z163" s="314"/>
      <c r="AA163" s="314"/>
      <c r="AB163" s="314"/>
    </row>
    <row r="164" spans="1:28" ht="183.75" customHeight="1">
      <c r="A164" s="712"/>
      <c r="B164" s="712"/>
      <c r="C164" s="712"/>
      <c r="D164" s="320">
        <v>155</v>
      </c>
      <c r="E164" s="320" t="s">
        <v>328</v>
      </c>
      <c r="F164" s="323">
        <f>TVM!F164+KLM!F164+PTA!F164+ALP!F164+KTM!F164+IDK!F164+EKM!F164+TSR!F164+PKD!F164+MLPM!F164+KKD!F164+WYD!F164+KNR!F164+KSD!F164+SHS!F164</f>
        <v>0</v>
      </c>
      <c r="G164" s="323">
        <f>TVM!G164+KLM!G164+PTA!G164+ALP!G164+KTM!G164+IDK!G164+EKM!G164+TSR!G164+PKD!G164+MLPM!G164+KKD!G164+WYD!G164+KNR!G164+KSD!G164+SHS!G164</f>
        <v>0</v>
      </c>
      <c r="H164" s="323">
        <f>TVM!H164+KLM!H164+PTA!H164+ALP!H164+KTM!H164+IDK!H164+EKM!H164+TSR!H164+PKD!H164+MLPM!H164+KKD!H164+WYD!H164+KNR!H164+KSD!H164+SHS!H164</f>
        <v>0</v>
      </c>
      <c r="I164" s="323">
        <f>TVM!I164+KLM!I164+PTA!I164+ALP!I164+KTM!I164+IDK!I164+EKM!I164+TSR!I164+PKD!I164+MLPM!I164+KKD!I164+WYD!I164+KNR!I164+KSD!I164+SHS!I164</f>
        <v>0</v>
      </c>
      <c r="J164" s="323">
        <f>TVM!J164+KLM!J164+PTA!J164+ALP!J164+KTM!J164+IDK!J164+EKM!J164+TSR!J164+PKD!J164+MLPM!J164+KKD!J164+WYD!J164+KNR!J164+KSD!J164+SHS!J164</f>
        <v>0</v>
      </c>
      <c r="K164" s="323">
        <f>TVM!K164+KLM!K164+PTA!K164+ALP!K164+KTM!K164+IDK!K164+EKM!K164+TSR!K164+PKD!K164+MLPM!K164+KKD!K164+WYD!K164+KNR!K164+KSD!K164+SHS!K164</f>
        <v>0</v>
      </c>
      <c r="L164" s="323">
        <f>TVM!L164+KLM!L164+PTA!L164+ALP!L164+KTM!L164+IDK!L164+EKM!L164+TSR!L164+PKD!L164+MLPM!L164+KKD!L164+WYD!L164+KNR!L164+KSD!L164+SHS!L164</f>
        <v>0</v>
      </c>
      <c r="M164" s="323">
        <f>TVM!M164+KLM!M164+PTA!M164+ALP!M164+KTM!M164+IDK!M164+EKM!M164+TSR!M164+PKD!M164+MLPM!M164+KKD!M164+WYD!M164+KNR!M164+KSD!M164+SHS!M164</f>
        <v>72.436000000000007</v>
      </c>
      <c r="N164" s="323">
        <f>TVM!N164+KLM!N164+PTA!N164+ALP!N164+KTM!N164+IDK!N164+EKM!N164+TSR!N164+PKD!N164+MLPM!N164+KKD!N164+WYD!N164+KNR!N164+KSD!N164+SHS!N164</f>
        <v>1.665</v>
      </c>
      <c r="O164" s="323">
        <f>TVM!O164+KLM!O164+PTA!O164+ALP!O164+KTM!O164+IDK!O164+EKM!O164+TSR!O164+PKD!O164+MLPM!O164+KKD!O164+WYD!O164+KNR!O164+KSD!O164+SHS!O164</f>
        <v>0</v>
      </c>
      <c r="P164" s="330">
        <f>TVM!P164+KLM!P164+PTA!P164+ALP!P164+KTM!P164+IDK!P164+EKM!P164+TSR!P164+PKD!P164+MLPM!P164+KKD!P164+WYD!P164+KNR!P164+KSD!P164+SHS!P164</f>
        <v>0</v>
      </c>
      <c r="Q164" s="323">
        <f>TVM!Q164+KLM!Q164+PTA!Q164+ALP!Q164+KTM!Q164+IDK!Q164+EKM!Q164+TSR!Q164+PKD!Q164+MLPM!Q164+KKD!Q164+WYD!Q164+KNR!Q164+KSD!Q164+SHS!Q164</f>
        <v>1</v>
      </c>
      <c r="R164" s="323">
        <f>TVM!R164+KLM!R164+PTA!R164+ALP!R164+KTM!R164+IDK!R164+EKM!R164+TSR!R164+PKD!R164+MLPM!R164+KKD!R164+WYD!R164+KNR!R164+KSD!R164+SHS!R164</f>
        <v>0</v>
      </c>
      <c r="S164" s="323">
        <f>TVM!S164+KLM!S164+PTA!S164+ALP!S164+KTM!S164+IDK!S164+EKM!S164+TSR!S164+PKD!S164+MLPM!S164+KKD!S164+WYD!S164+KNR!S164+KSD!S164+SHS!S164</f>
        <v>0</v>
      </c>
      <c r="T164" s="402">
        <f t="shared" si="9"/>
        <v>75.101000000000013</v>
      </c>
      <c r="U164" s="402">
        <f>TVM!U164+KLM!U164+PTA!U164+ALP!U164+KTM!U164+IDK!U164+EKM!U164+TSR!U164+PKD!U164+MLPM!U164+KKD!U164+WYD!U164+KNR!U164+KSD!U164+SHS!U164</f>
        <v>73.35199999999999</v>
      </c>
      <c r="V164" s="433" t="s">
        <v>1504</v>
      </c>
      <c r="W164" s="433" t="s">
        <v>1505</v>
      </c>
      <c r="X164" s="332">
        <v>63.39</v>
      </c>
      <c r="Y164" s="328">
        <f t="shared" si="1"/>
        <v>11.711000000000013</v>
      </c>
      <c r="Z164" s="314"/>
      <c r="AA164" s="314"/>
      <c r="AB164" s="314"/>
    </row>
    <row r="165" spans="1:28" ht="78.75">
      <c r="A165" s="712"/>
      <c r="B165" s="712"/>
      <c r="C165" s="712"/>
      <c r="D165" s="320">
        <v>156</v>
      </c>
      <c r="E165" s="320" t="s">
        <v>329</v>
      </c>
      <c r="F165" s="323">
        <f>TVM!F165+KLM!F165+PTA!F165+ALP!F165+KTM!F165+IDK!F165+EKM!F165+TSR!F165+PKD!F165+MLPM!F165+KKD!F165+WYD!F165+KNR!F165+KSD!F165+SHS!F165</f>
        <v>0</v>
      </c>
      <c r="G165" s="323">
        <f>TVM!G165+KLM!G165+PTA!G165+ALP!G165+KTM!G165+IDK!G165+EKM!G165+TSR!G165+PKD!G165+MLPM!G165+KKD!G165+WYD!G165+KNR!G165+KSD!G165+SHS!G165</f>
        <v>0</v>
      </c>
      <c r="H165" s="330">
        <f>TVM!H165+KLM!H165+PTA!H165+ALP!H165+KTM!H165+IDK!H165+EKM!H165+TSR!H165+PKD!H165+MLPM!H165+KKD!H165+WYD!H165+KNR!H165+KSD!H165+SHS!H165</f>
        <v>0</v>
      </c>
      <c r="I165" s="329">
        <f>TVM!I165+KLM!I165+PTA!I165+ALP!I165+KTM!I165+IDK!I165+EKM!I165+TSR!I165+PKD!I165+MLPM!I165+KKD!I165+WYD!I165+KNR!I165+KSD!I165+SHS!I165</f>
        <v>145</v>
      </c>
      <c r="J165" s="323">
        <f>TVM!J165+KLM!J165+PTA!J165+ALP!J165+KTM!J165+IDK!J165+EKM!J165+TSR!J165+PKD!J165+MLPM!J165+KKD!J165+WYD!J165+KNR!J165+KSD!J165+SHS!J165</f>
        <v>0</v>
      </c>
      <c r="K165" s="323">
        <f>TVM!K165+KLM!K165+PTA!K165+ALP!K165+KTM!K165+IDK!K165+EKM!K165+TSR!K165+PKD!K165+MLPM!K165+KKD!K165+WYD!K165+KNR!K165+KSD!K165+SHS!K165</f>
        <v>0</v>
      </c>
      <c r="L165" s="323">
        <f>TVM!L165+KLM!L165+PTA!L165+ALP!L165+KTM!L165+IDK!L165+EKM!L165+TSR!L165+PKD!L165+MLPM!L165+KKD!L165+WYD!L165+KNR!L165+KSD!L165+SHS!L165</f>
        <v>0</v>
      </c>
      <c r="M165" s="323">
        <f>TVM!M165+KLM!M165+PTA!M165+ALP!M165+KTM!M165+IDK!M165+EKM!M165+TSR!M165+PKD!M165+MLPM!M165+KKD!M165+WYD!M165+KNR!M165+KSD!M165+SHS!M165</f>
        <v>0</v>
      </c>
      <c r="N165" s="323">
        <f>TVM!N165+KLM!N165+PTA!N165+ALP!N165+KTM!N165+IDK!N165+EKM!N165+TSR!N165+PKD!N165+MLPM!N165+KKD!N165+WYD!N165+KNR!N165+KSD!N165+SHS!N165</f>
        <v>0</v>
      </c>
      <c r="O165" s="323">
        <f>TVM!O165+KLM!O165+PTA!O165+ALP!O165+KTM!O165+IDK!O165+EKM!O165+TSR!O165+PKD!O165+MLPM!O165+KKD!O165+WYD!O165+KNR!O165+KSD!O165+SHS!O165</f>
        <v>0</v>
      </c>
      <c r="P165" s="330">
        <f>TVM!P165+KLM!P165+PTA!P165+ALP!P165+KTM!P165+IDK!P165+EKM!P165+TSR!P165+PKD!P165+MLPM!P165+KKD!P165+WYD!P165+KNR!P165+KSD!P165+SHS!P165</f>
        <v>17</v>
      </c>
      <c r="Q165" s="323">
        <f>TVM!Q165+KLM!Q165+PTA!Q165+ALP!Q165+KTM!Q165+IDK!Q165+EKM!Q165+TSR!Q165+PKD!Q165+MLPM!Q165+KKD!Q165+WYD!Q165+KNR!Q165+KSD!Q165+SHS!Q165</f>
        <v>0</v>
      </c>
      <c r="R165" s="323">
        <f>TVM!R165+KLM!R165+PTA!R165+ALP!R165+KTM!R165+IDK!R165+EKM!R165+TSR!R165+PKD!R165+MLPM!R165+KKD!R165+WYD!R165+KNR!R165+KSD!R165+SHS!R165</f>
        <v>0</v>
      </c>
      <c r="S165" s="323">
        <f>TVM!S165+KLM!S165+PTA!S165+ALP!S165+KTM!S165+IDK!S165+EKM!S165+TSR!S165+PKD!S165+MLPM!S165+KKD!S165+WYD!S165+KNR!S165+KSD!S165+SHS!S165</f>
        <v>0</v>
      </c>
      <c r="T165" s="324">
        <f t="shared" si="9"/>
        <v>162</v>
      </c>
      <c r="U165" s="324">
        <f>TVM!U165+KLM!U165+PTA!U165+ALP!U165+KTM!U165+IDK!U165+EKM!U165+TSR!U165+PKD!U165+MLPM!U165+KKD!U165+WYD!U165+KNR!U165+KSD!U165+SHS!U165</f>
        <v>57</v>
      </c>
      <c r="V165" s="13" t="s">
        <v>1506</v>
      </c>
      <c r="W165" s="339" t="s">
        <v>1507</v>
      </c>
      <c r="X165" s="332">
        <v>133.36000000000001</v>
      </c>
      <c r="Y165" s="328">
        <f t="shared" si="1"/>
        <v>28.639999999999986</v>
      </c>
      <c r="Z165" s="314"/>
      <c r="AA165" s="314"/>
      <c r="AB165" s="314"/>
    </row>
    <row r="166" spans="1:28" ht="39.75" customHeight="1">
      <c r="A166" s="712"/>
      <c r="B166" s="712"/>
      <c r="C166" s="712"/>
      <c r="D166" s="320">
        <v>157</v>
      </c>
      <c r="E166" s="320" t="s">
        <v>331</v>
      </c>
      <c r="F166" s="323">
        <f>TVM!F166+KLM!F166+PTA!F166+ALP!F166+KTM!F166+IDK!F166+EKM!F166+TSR!F166+PKD!F166+MLPM!F166+KKD!F166+WYD!F166+KNR!F166+KSD!F166+SHS!F166</f>
        <v>0</v>
      </c>
      <c r="G166" s="323">
        <f>TVM!G166+KLM!G166+PTA!G166+ALP!G166+KTM!G166+IDK!G166+EKM!G166+TSR!G166+PKD!G166+MLPM!G166+KKD!G166+WYD!G166+KNR!G166+KSD!G166+SHS!G166</f>
        <v>0</v>
      </c>
      <c r="H166" s="323">
        <f>TVM!H166+KLM!H166+PTA!H166+ALP!H166+KTM!H166+IDK!H166+EKM!H166+TSR!H166+PKD!H166+MLPM!H166+KKD!H166+WYD!H166+KNR!H166+KSD!H166+SHS!H166</f>
        <v>0</v>
      </c>
      <c r="I166" s="323">
        <f>TVM!I166+KLM!I166+PTA!I166+ALP!I166+KTM!I166+IDK!I166+EKM!I166+TSR!I166+PKD!I166+MLPM!I166+KKD!I166+WYD!I166+KNR!I166+KSD!I166+SHS!I166</f>
        <v>0</v>
      </c>
      <c r="J166" s="323">
        <f>TVM!J166+KLM!J166+PTA!J166+ALP!J166+KTM!J166+IDK!J166+EKM!J166+TSR!J166+PKD!J166+MLPM!J166+KKD!J166+WYD!J166+KNR!J166+KSD!J166+SHS!J166</f>
        <v>0</v>
      </c>
      <c r="K166" s="323">
        <f>TVM!K166+KLM!K166+PTA!K166+ALP!K166+KTM!K166+IDK!K166+EKM!K166+TSR!K166+PKD!K166+MLPM!K166+KKD!K166+WYD!K166+KNR!K166+KSD!K166+SHS!K166</f>
        <v>0</v>
      </c>
      <c r="L166" s="323">
        <f>TVM!L166+KLM!L166+PTA!L166+ALP!L166+KTM!L166+IDK!L166+EKM!L166+TSR!L166+PKD!L166+MLPM!L166+KKD!L166+WYD!L166+KNR!L166+KSD!L166+SHS!L166</f>
        <v>0</v>
      </c>
      <c r="M166" s="323">
        <f>TVM!M166+KLM!M166+PTA!M166+ALP!M166+KTM!M166+IDK!M166+EKM!M166+TSR!M166+PKD!M166+MLPM!M166+KKD!M166+WYD!M166+KNR!M166+KSD!M166+SHS!M166</f>
        <v>0</v>
      </c>
      <c r="N166" s="323">
        <f>TVM!N166+KLM!N166+PTA!N166+ALP!N166+KTM!N166+IDK!N166+EKM!N166+TSR!N166+PKD!N166+MLPM!N166+KKD!N166+WYD!N166+KNR!N166+KSD!N166+SHS!N166</f>
        <v>0</v>
      </c>
      <c r="O166" s="323">
        <f>TVM!O166+KLM!O166+PTA!O166+ALP!O166+KTM!O166+IDK!O166+EKM!O166+TSR!O166+PKD!O166+MLPM!O166+KKD!O166+WYD!O166+KNR!O166+KSD!O166+SHS!O166</f>
        <v>0</v>
      </c>
      <c r="P166" s="323">
        <f>TVM!P166+KLM!P166+PTA!P166+ALP!P166+KTM!P166+IDK!P166+EKM!P166+TSR!P166+PKD!P166+MLPM!P166+KKD!P166+WYD!P166+KNR!P166+KSD!P166+SHS!P166</f>
        <v>0</v>
      </c>
      <c r="Q166" s="323">
        <f>TVM!Q166+KLM!Q166+PTA!Q166+ALP!Q166+KTM!Q166+IDK!Q166+EKM!Q166+TSR!Q166+PKD!Q166+MLPM!Q166+KKD!Q166+WYD!Q166+KNR!Q166+KSD!Q166+SHS!Q166</f>
        <v>0</v>
      </c>
      <c r="R166" s="323">
        <f>TVM!R166+KLM!R166+PTA!R166+ALP!R166+KTM!R166+IDK!R166+EKM!R166+TSR!R166+PKD!R166+MLPM!R166+KKD!R166+WYD!R166+KNR!R166+KSD!R166+SHS!R166</f>
        <v>0</v>
      </c>
      <c r="S166" s="323">
        <f>TVM!S166+KLM!S166+PTA!S166+ALP!S166+KTM!S166+IDK!S166+EKM!S166+TSR!S166+PKD!S166+MLPM!S166+KKD!S166+WYD!S166+KNR!S166+KSD!S166+SHS!S166</f>
        <v>0</v>
      </c>
      <c r="T166" s="324">
        <f t="shared" si="9"/>
        <v>0</v>
      </c>
      <c r="U166" s="324">
        <f>TVM!U166+KLM!U166+PTA!U166+ALP!U166+KTM!U166+IDK!U166+EKM!U166+TSR!U166+PKD!U166+MLPM!U166+KKD!U166+WYD!U166+KNR!U166+KSD!U166+SHS!U166</f>
        <v>0</v>
      </c>
      <c r="V166" s="325"/>
      <c r="W166" s="337"/>
      <c r="X166" s="332">
        <v>0</v>
      </c>
      <c r="Y166" s="328">
        <f t="shared" si="1"/>
        <v>0</v>
      </c>
      <c r="Z166" s="314"/>
      <c r="AA166" s="314"/>
      <c r="AB166" s="314"/>
    </row>
    <row r="167" spans="1:28" ht="57.75" customHeight="1">
      <c r="A167" s="712"/>
      <c r="B167" s="707"/>
      <c r="C167" s="707"/>
      <c r="D167" s="320">
        <v>158</v>
      </c>
      <c r="E167" s="320" t="s">
        <v>332</v>
      </c>
      <c r="F167" s="323">
        <f>TVM!F167+KLM!F167+PTA!F167+ALP!F167+KTM!F167+IDK!F167+EKM!F167+TSR!F167+PKD!F167+MLPM!F167+KKD!F167+WYD!F167+KNR!F167+KSD!F167+SHS!F167</f>
        <v>0</v>
      </c>
      <c r="G167" s="323">
        <f>TVM!G167+KLM!G167+PTA!G167+ALP!G167+KTM!G167+IDK!G167+EKM!G167+TSR!G167+PKD!G167+MLPM!G167+KKD!G167+WYD!G167+KNR!G167+KSD!G167+SHS!G167</f>
        <v>0</v>
      </c>
      <c r="H167" s="323">
        <f>TVM!H167+KLM!H167+PTA!H167+ALP!H167+KTM!H167+IDK!H167+EKM!H167+TSR!H167+PKD!H167+MLPM!H167+KKD!H167+WYD!H167+KNR!H167+KSD!H167+SHS!H167</f>
        <v>0</v>
      </c>
      <c r="I167" s="323">
        <f>TVM!I167+KLM!I167+PTA!I167+ALP!I167+KTM!I167+IDK!I167+EKM!I167+TSR!I167+PKD!I167+MLPM!I167+KKD!I167+WYD!I167+KNR!I167+KSD!I167+SHS!I167</f>
        <v>0</v>
      </c>
      <c r="J167" s="323">
        <f>TVM!J167+KLM!J167+PTA!J167+ALP!J167+KTM!J167+IDK!J167+EKM!J167+TSR!J167+PKD!J167+MLPM!J167+KKD!J167+WYD!J167+KNR!J167+KSD!J167+SHS!J167</f>
        <v>0</v>
      </c>
      <c r="K167" s="323">
        <f>TVM!K167+KLM!K167+PTA!K167+ALP!K167+KTM!K167+IDK!K167+EKM!K167+TSR!K167+PKD!K167+MLPM!K167+KKD!K167+WYD!K167+KNR!K167+KSD!K167+SHS!K167</f>
        <v>0</v>
      </c>
      <c r="L167" s="323">
        <f>TVM!L167+KLM!L167+PTA!L167+ALP!L167+KTM!L167+IDK!L167+EKM!L167+TSR!L167+PKD!L167+MLPM!L167+KKD!L167+WYD!L167+KNR!L167+KSD!L167+SHS!L167</f>
        <v>0</v>
      </c>
      <c r="M167" s="323">
        <f>TVM!M167+KLM!M167+PTA!M167+ALP!M167+KTM!M167+IDK!M167+EKM!M167+TSR!M167+PKD!M167+MLPM!M167+KKD!M167+WYD!M167+KNR!M167+KSD!M167+SHS!M167</f>
        <v>0</v>
      </c>
      <c r="N167" s="323">
        <f>TVM!N167+KLM!N167+PTA!N167+ALP!N167+KTM!N167+IDK!N167+EKM!N167+TSR!N167+PKD!N167+MLPM!N167+KKD!N167+WYD!N167+KNR!N167+KSD!N167+SHS!N167</f>
        <v>0</v>
      </c>
      <c r="O167" s="323">
        <f>TVM!O167+KLM!O167+PTA!O167+ALP!O167+KTM!O167+IDK!O167+EKM!O167+TSR!O167+PKD!O167+MLPM!O167+KKD!O167+WYD!O167+KNR!O167+KSD!O167+SHS!O167</f>
        <v>0</v>
      </c>
      <c r="P167" s="323">
        <f>TVM!P167+KLM!P167+PTA!P167+ALP!P167+KTM!P167+IDK!P167+EKM!P167+TSR!P167+PKD!P167+MLPM!P167+KKD!P167+WYD!P167+KNR!P167+KSD!P167+SHS!P167</f>
        <v>0</v>
      </c>
      <c r="Q167" s="329">
        <f>TVM!Q167+KLM!Q167+PTA!Q167+ALP!Q167+KTM!Q167+IDK!Q167+EKM!Q167+TSR!Q167+PKD!Q167+MLPM!Q167+KKD!Q167+WYD!Q167+KNR!Q167+KSD!Q167+SHS!Q167</f>
        <v>4.8</v>
      </c>
      <c r="R167" s="323">
        <f>TVM!R167+KLM!R167+PTA!R167+ALP!R167+KTM!R167+IDK!R167+EKM!R167+TSR!R167+PKD!R167+MLPM!R167+KKD!R167+WYD!R167+KNR!R167+KSD!R167+SHS!R167</f>
        <v>0</v>
      </c>
      <c r="S167" s="323">
        <f>TVM!S167+KLM!S167+PTA!S167+ALP!S167+KTM!S167+IDK!S167+EKM!S167+TSR!S167+PKD!S167+MLPM!S167+KKD!S167+WYD!S167+KNR!S167+KSD!S167+SHS!S167</f>
        <v>0</v>
      </c>
      <c r="T167" s="324">
        <f t="shared" si="9"/>
        <v>4.8</v>
      </c>
      <c r="U167" s="324">
        <f>TVM!U167+KLM!U167+PTA!U167+ALP!U167+KTM!U167+IDK!U167+EKM!U167+TSR!U167+PKD!U167+MLPM!U167+KKD!U167+WYD!U167+KNR!U167+KSD!U167+SHS!U167</f>
        <v>4.8</v>
      </c>
      <c r="V167" s="13" t="s">
        <v>1508</v>
      </c>
      <c r="W167" s="13" t="s">
        <v>1509</v>
      </c>
      <c r="X167" s="332">
        <v>4.8</v>
      </c>
      <c r="Y167" s="328">
        <f t="shared" si="1"/>
        <v>0</v>
      </c>
      <c r="Z167" s="314"/>
      <c r="AA167" s="314"/>
      <c r="AB167" s="314"/>
    </row>
    <row r="168" spans="1:28" ht="409.5">
      <c r="A168" s="712"/>
      <c r="B168" s="722" t="s">
        <v>333</v>
      </c>
      <c r="C168" s="722" t="s">
        <v>275</v>
      </c>
      <c r="D168" s="365">
        <v>159</v>
      </c>
      <c r="E168" s="365" t="s">
        <v>276</v>
      </c>
      <c r="F168" s="434">
        <f>TVM!F168+KLM!F168+PTA!F168+ALP!F168+KTM!F168+IDK!F168+EKM!F168+TSR!F168+PKD!F168+MLPM!F168+KKD!F168+WYD!F168+KNR!F168+KSD!F168+SHS!F168</f>
        <v>0</v>
      </c>
      <c r="G168" s="435">
        <f>TVM!G168+KLM!G168+PTA!G168+ALP!G168+KTM!G168+IDK!G168+EKM!G168+TSR!G168+PKD!G168+MLPM!G168+KKD!G168+WYD!G168+KNR!G168+KSD!G168+SHS!G168</f>
        <v>0</v>
      </c>
      <c r="H168" s="435">
        <f>TVM!H168+KLM!H168+PTA!H168+ALP!H168+KTM!H168+IDK!H168+EKM!H168+TSR!H168+PKD!H168+MLPM!H168+KKD!H168+WYD!H168+KNR!H168+KSD!H168+SHS!H168</f>
        <v>0</v>
      </c>
      <c r="I168" s="434">
        <f>TVM!I168+KLM!I168+PTA!I168+ALP!I168+KTM!I168+IDK!I168+EKM!I168+TSR!I168+PKD!I168+MLPM!I168+KKD!I168+WYD!I168+KNR!I168+KSD!I168+SHS!I168</f>
        <v>0</v>
      </c>
      <c r="J168" s="434">
        <f>TVM!J168+KLM!J168+PTA!J168+ALP!J168+KTM!J168+IDK!J168+EKM!J168+TSR!J168+PKD!J168+MLPM!J168+KKD!J168+WYD!J168+KNR!J168+KSD!J168+SHS!J168</f>
        <v>0</v>
      </c>
      <c r="K168" s="436">
        <f>TVM!K168+KLM!K168+PTA!K168+ALP!K168+KTM!K168+IDK!K168+EKM!K168+TSR!K168+PKD!K168+MLPM!K168+KKD!K168+WYD!K168+KNR!K168+KSD!K168+SHS!K168</f>
        <v>0</v>
      </c>
      <c r="L168" s="434">
        <f>TVM!L168+KLM!L168+PTA!L168+ALP!L168+KTM!L168+IDK!L168+EKM!L168+TSR!L168+PKD!L168+MLPM!L168+KKD!L168+WYD!L168+KNR!L168+KSD!L168+SHS!L168</f>
        <v>0</v>
      </c>
      <c r="M168" s="434">
        <f>TVM!M168+KLM!M168+PTA!M168+ALP!M168+KTM!M168+IDK!M168+EKM!M168+TSR!M168+PKD!M168+MLPM!M168+KKD!M168+WYD!M168+KNR!M168+KSD!M168+SHS!M168</f>
        <v>0</v>
      </c>
      <c r="N168" s="435">
        <f>TVM!N168+KLM!N168+PTA!N168+ALP!N168+KTM!N168+IDK!N168+EKM!N168+TSR!N168+PKD!N168+MLPM!N168+KKD!N168+WYD!N168+KNR!N168+KSD!N168+SHS!N168</f>
        <v>557.17899999999997</v>
      </c>
      <c r="O168" s="435">
        <f>TVM!O168+KLM!O168+PTA!O168+ALP!O168+KTM!O168+IDK!O168+EKM!O168+TSR!O168+PKD!O168+MLPM!O168+KKD!O168+WYD!O168+KNR!O168+KSD!O168+SHS!O168</f>
        <v>6768.0499999999984</v>
      </c>
      <c r="P168" s="435">
        <f>TVM!P168+KLM!P168+PTA!P168+ALP!P168+KTM!P168+IDK!P168+EKM!P168+TSR!P168+PKD!P168+MLPM!P168+KKD!P168+WYD!P168+KNR!P168+KSD!P168+SHS!P168</f>
        <v>792.03399999999999</v>
      </c>
      <c r="Q168" s="437">
        <f>TVM!Q168+KLM!Q168+PTA!Q168+ALP!Q168+KTM!Q168+IDK!Q168+EKM!Q168+TSR!Q168+PKD!Q168+MLPM!Q168+KKD!Q168+WYD!Q168+KNR!Q168+KSD!Q168+SHS!Q168</f>
        <v>139.28100000000001</v>
      </c>
      <c r="R168" s="434">
        <f>TVM!R168+KLM!R168+PTA!R168+ALP!R168+KTM!R168+IDK!R168+EKM!R168+TSR!R168+PKD!R168+MLPM!R168+KKD!R168+WYD!R168+KNR!R168+KSD!R168+SHS!R168</f>
        <v>0</v>
      </c>
      <c r="S168" s="434">
        <f>TVM!S168+KLM!S168+PTA!S168+ALP!S168+KTM!S168+IDK!S168+EKM!S168+TSR!S168+PKD!S168+MLPM!S168+KKD!S168+WYD!S168+KNR!S168+KSD!S168+SHS!S168</f>
        <v>0</v>
      </c>
      <c r="T168" s="438">
        <f t="shared" si="9"/>
        <v>8256.5439999999981</v>
      </c>
      <c r="U168" s="366">
        <f>TVM!U168+KLM!U168+PTA!U168+ALP!U168+KTM!U168+IDK!U168+EKM!U168+TSR!U168+PKD!U168+MLPM!U168+KKD!U168+WYD!U168+KNR!U168+KSD!U168+SHS!U168</f>
        <v>8561.0799999999981</v>
      </c>
      <c r="V168" s="433" t="s">
        <v>1510</v>
      </c>
      <c r="W168" s="439" t="s">
        <v>1511</v>
      </c>
      <c r="X168" s="369">
        <v>8780.07</v>
      </c>
      <c r="Y168" s="370">
        <f t="shared" si="1"/>
        <v>-523.52600000000166</v>
      </c>
      <c r="Z168" s="371"/>
      <c r="AA168" s="371"/>
      <c r="AB168" s="371"/>
    </row>
    <row r="169" spans="1:28" ht="39.75" customHeight="1">
      <c r="A169" s="712"/>
      <c r="B169" s="712"/>
      <c r="C169" s="712"/>
      <c r="D169" s="320">
        <v>160</v>
      </c>
      <c r="E169" s="320" t="s">
        <v>334</v>
      </c>
      <c r="F169" s="323">
        <f>TVM!F169+KLM!F169+PTA!F169+ALP!F169+KTM!F169+IDK!F169+EKM!F169+TSR!F169+PKD!F169+MLPM!F169+KKD!F169+WYD!F169+KNR!F169+KSD!F169+SHS!F169</f>
        <v>0</v>
      </c>
      <c r="G169" s="330">
        <f>TVM!G169+KLM!G169+PTA!G169+ALP!G169+KTM!G169+IDK!G169+EKM!G169+TSR!G169+PKD!G169+MLPM!G169+KKD!G169+WYD!G169+KNR!G169+KSD!G169+SHS!G169</f>
        <v>0</v>
      </c>
      <c r="H169" s="330">
        <f>TVM!H169+KLM!H169+PTA!H169+ALP!H169+KTM!H169+IDK!H169+EKM!H169+TSR!H169+PKD!H169+MLPM!H169+KKD!H169+WYD!H169+KNR!H169+KSD!H169+SHS!H169</f>
        <v>0</v>
      </c>
      <c r="I169" s="329">
        <f>TVM!I169+KLM!I169+PTA!I169+ALP!I169+KTM!I169+IDK!I169+EKM!I169+TSR!I169+PKD!I169+MLPM!I169+KKD!I169+WYD!I169+KNR!I169+KSD!I169+SHS!I169</f>
        <v>0</v>
      </c>
      <c r="J169" s="323">
        <f>TVM!J169+KLM!J169+PTA!J169+ALP!J169+KTM!J169+IDK!J169+EKM!J169+TSR!J169+PKD!J169+MLPM!J169+KKD!J169+WYD!J169+KNR!J169+KSD!J169+SHS!J169</f>
        <v>0</v>
      </c>
      <c r="K169" s="323">
        <f>TVM!K169+KLM!K169+PTA!K169+ALP!K169+KTM!K169+IDK!K169+EKM!K169+TSR!K169+PKD!K169+MLPM!K169+KKD!K169+WYD!K169+KNR!K169+KSD!K169+SHS!K169</f>
        <v>0</v>
      </c>
      <c r="L169" s="323">
        <f>TVM!L169+KLM!L169+PTA!L169+ALP!L169+KTM!L169+IDK!L169+EKM!L169+TSR!L169+PKD!L169+MLPM!L169+KKD!L169+WYD!L169+KNR!L169+KSD!L169+SHS!L169</f>
        <v>0</v>
      </c>
      <c r="M169" s="323">
        <f>TVM!M169+KLM!M169+PTA!M169+ALP!M169+KTM!M169+IDK!M169+EKM!M169+TSR!M169+PKD!M169+MLPM!M169+KKD!M169+WYD!M169+KNR!M169+KSD!M169+SHS!M169</f>
        <v>0</v>
      </c>
      <c r="N169" s="329">
        <f>TVM!N169+KLM!N169+PTA!N169+ALP!N169+KTM!N169+IDK!N169+EKM!N169+TSR!N169+PKD!N169+MLPM!N169+KKD!N169+WYD!N169+KNR!N169+KSD!N169+SHS!N169</f>
        <v>0</v>
      </c>
      <c r="O169" s="330">
        <f>TVM!O169+KLM!O169+PTA!O169+ALP!O169+KTM!O169+IDK!O169+EKM!O169+TSR!O169+PKD!O169+MLPM!O169+KKD!O169+WYD!O169+KNR!O169+KSD!O169+SHS!O169</f>
        <v>0</v>
      </c>
      <c r="P169" s="330">
        <f>TVM!P169+KLM!P169+PTA!P169+ALP!P169+KTM!P169+IDK!P169+EKM!P169+TSR!P169+PKD!P169+MLPM!P169+KKD!P169+WYD!P169+KNR!P169+KSD!P169+SHS!P169</f>
        <v>0</v>
      </c>
      <c r="Q169" s="329">
        <f>TVM!Q169+KLM!Q169+PTA!Q169+ALP!Q169+KTM!Q169+IDK!Q169+EKM!Q169+TSR!Q169+PKD!Q169+MLPM!Q169+KKD!Q169+WYD!Q169+KNR!Q169+KSD!Q169+SHS!Q169</f>
        <v>0</v>
      </c>
      <c r="R169" s="330">
        <f>TVM!R169+KLM!R169+PTA!R169+ALP!R169+KTM!R169+IDK!R169+EKM!R169+TSR!R169+PKD!R169+MLPM!R169+KKD!R169+WYD!R169+KNR!R169+KSD!R169+SHS!R169</f>
        <v>0</v>
      </c>
      <c r="S169" s="323">
        <f>TVM!S169+KLM!S169+PTA!S169+ALP!S169+KTM!S169+IDK!S169+EKM!S169+TSR!S169+PKD!S169+MLPM!S169+KKD!S169+WYD!S169+KNR!S169+KSD!S169+SHS!S169</f>
        <v>0</v>
      </c>
      <c r="T169" s="389">
        <f t="shared" si="9"/>
        <v>0</v>
      </c>
      <c r="U169" s="389">
        <f>TVM!U169+KLM!U169+PTA!U169+ALP!U169+KTM!U169+IDK!U169+EKM!U169+TSR!U169+PKD!U169+MLPM!U169+KKD!U169+WYD!U169+KNR!U169+KSD!U169+SHS!U169</f>
        <v>0</v>
      </c>
      <c r="V169" s="325"/>
      <c r="W169" s="333"/>
      <c r="X169" s="332">
        <v>0</v>
      </c>
      <c r="Y169" s="328">
        <f t="shared" si="1"/>
        <v>0</v>
      </c>
      <c r="Z169" s="314"/>
      <c r="AA169" s="314"/>
      <c r="AB169" s="314"/>
    </row>
    <row r="170" spans="1:28" ht="39.75" customHeight="1">
      <c r="A170" s="712"/>
      <c r="B170" s="712"/>
      <c r="C170" s="712"/>
      <c r="D170" s="320">
        <v>161</v>
      </c>
      <c r="E170" s="320" t="s">
        <v>279</v>
      </c>
      <c r="F170" s="323">
        <f>TVM!F170+KLM!F170+PTA!F170+ALP!F170+KTM!F170+IDK!F170+EKM!F170+TSR!F170+PKD!F170+MLPM!F170+KKD!F170+WYD!F170+KNR!F170+KSD!F170+SHS!F170</f>
        <v>0</v>
      </c>
      <c r="G170" s="323">
        <f>TVM!G170+KLM!G170+PTA!G170+ALP!G170+KTM!G170+IDK!G170+EKM!G170+TSR!G170+PKD!G170+MLPM!G170+KKD!G170+WYD!G170+KNR!G170+KSD!G170+SHS!G170</f>
        <v>0</v>
      </c>
      <c r="H170" s="323">
        <f>TVM!H170+KLM!H170+PTA!H170+ALP!H170+KTM!H170+IDK!H170+EKM!H170+TSR!H170+PKD!H170+MLPM!H170+KKD!H170+WYD!H170+KNR!H170+KSD!H170+SHS!H170</f>
        <v>0</v>
      </c>
      <c r="I170" s="323">
        <f>TVM!I170+KLM!I170+PTA!I170+ALP!I170+KTM!I170+IDK!I170+EKM!I170+TSR!I170+PKD!I170+MLPM!I170+KKD!I170+WYD!I170+KNR!I170+KSD!I170+SHS!I170</f>
        <v>0</v>
      </c>
      <c r="J170" s="323">
        <f>TVM!J170+KLM!J170+PTA!J170+ALP!J170+KTM!J170+IDK!J170+EKM!J170+TSR!J170+PKD!J170+MLPM!J170+KKD!J170+WYD!J170+KNR!J170+KSD!J170+SHS!J170</f>
        <v>0</v>
      </c>
      <c r="K170" s="323">
        <f>TVM!K170+KLM!K170+PTA!K170+ALP!K170+KTM!K170+IDK!K170+EKM!K170+TSR!K170+PKD!K170+MLPM!K170+KKD!K170+WYD!K170+KNR!K170+KSD!K170+SHS!K170</f>
        <v>0</v>
      </c>
      <c r="L170" s="323">
        <f>TVM!L170+KLM!L170+PTA!L170+ALP!L170+KTM!L170+IDK!L170+EKM!L170+TSR!L170+PKD!L170+MLPM!L170+KKD!L170+WYD!L170+KNR!L170+KSD!L170+SHS!L170</f>
        <v>0</v>
      </c>
      <c r="M170" s="323">
        <f>TVM!M170+KLM!M170+PTA!M170+ALP!M170+KTM!M170+IDK!M170+EKM!M170+TSR!M170+PKD!M170+MLPM!M170+KKD!M170+WYD!M170+KNR!M170+KSD!M170+SHS!M170</f>
        <v>0</v>
      </c>
      <c r="N170" s="323">
        <f>TVM!N170+KLM!N170+PTA!N170+ALP!N170+KTM!N170+IDK!N170+EKM!N170+TSR!N170+PKD!N170+MLPM!N170+KKD!N170+WYD!N170+KNR!N170+KSD!N170+SHS!N170</f>
        <v>0</v>
      </c>
      <c r="O170" s="323">
        <f>TVM!O170+KLM!O170+PTA!O170+ALP!O170+KTM!O170+IDK!O170+EKM!O170+TSR!O170+PKD!O170+MLPM!O170+KKD!O170+WYD!O170+KNR!O170+KSD!O170+SHS!O170</f>
        <v>0</v>
      </c>
      <c r="P170" s="330">
        <f>TVM!P170+KLM!P170+PTA!P170+ALP!P170+KTM!P170+IDK!P170+EKM!P170+TSR!P170+PKD!P170+MLPM!P170+KKD!P170+WYD!P170+KNR!P170+KSD!P170+SHS!P170</f>
        <v>0</v>
      </c>
      <c r="Q170" s="323">
        <f>TVM!Q170+KLM!Q170+PTA!Q170+ALP!Q170+KTM!Q170+IDK!Q170+EKM!Q170+TSR!Q170+PKD!Q170+MLPM!Q170+KKD!Q170+WYD!Q170+KNR!Q170+KSD!Q170+SHS!Q170</f>
        <v>0</v>
      </c>
      <c r="R170" s="323">
        <f>TVM!R170+KLM!R170+PTA!R170+ALP!R170+KTM!R170+IDK!R170+EKM!R170+TSR!R170+PKD!R170+MLPM!R170+KKD!R170+WYD!R170+KNR!R170+KSD!R170+SHS!R170</f>
        <v>0</v>
      </c>
      <c r="S170" s="323">
        <f>TVM!S170+KLM!S170+PTA!S170+ALP!S170+KTM!S170+IDK!S170+EKM!S170+TSR!S170+PKD!S170+MLPM!S170+KKD!S170+WYD!S170+KNR!S170+KSD!S170+SHS!S170</f>
        <v>0</v>
      </c>
      <c r="T170" s="389">
        <f t="shared" si="9"/>
        <v>0</v>
      </c>
      <c r="U170" s="389">
        <f>TVM!U170+KLM!U170+PTA!U170+ALP!U170+KTM!U170+IDK!U170+EKM!U170+TSR!U170+PKD!U170+MLPM!U170+KKD!U170+WYD!U170+KNR!U170+KSD!U170+SHS!U170</f>
        <v>0</v>
      </c>
      <c r="V170" s="325"/>
      <c r="W170" s="333"/>
      <c r="X170" s="332">
        <v>0</v>
      </c>
      <c r="Y170" s="328">
        <f t="shared" si="1"/>
        <v>0</v>
      </c>
      <c r="Z170" s="314"/>
      <c r="AA170" s="314"/>
      <c r="AB170" s="314"/>
    </row>
    <row r="171" spans="1:28" ht="39.75" customHeight="1">
      <c r="A171" s="712"/>
      <c r="B171" s="712"/>
      <c r="C171" s="712"/>
      <c r="D171" s="320">
        <v>162</v>
      </c>
      <c r="E171" s="320" t="s">
        <v>280</v>
      </c>
      <c r="F171" s="323">
        <f>TVM!F171+KLM!F171+PTA!F171+ALP!F171+KTM!F171+IDK!F171+EKM!F171+TSR!F171+PKD!F171+MLPM!F171+KKD!F171+WYD!F171+KNR!F171+KSD!F171+SHS!F171</f>
        <v>0</v>
      </c>
      <c r="G171" s="323">
        <f>TVM!G171+KLM!G171+PTA!G171+ALP!G171+KTM!G171+IDK!G171+EKM!G171+TSR!G171+PKD!G171+MLPM!G171+KKD!G171+WYD!G171+KNR!G171+KSD!G171+SHS!G171</f>
        <v>0</v>
      </c>
      <c r="H171" s="323">
        <f>TVM!H171+KLM!H171+PTA!H171+ALP!H171+KTM!H171+IDK!H171+EKM!H171+TSR!H171+PKD!H171+MLPM!H171+KKD!H171+WYD!H171+KNR!H171+KSD!H171+SHS!H171</f>
        <v>0</v>
      </c>
      <c r="I171" s="323">
        <f>TVM!I171+KLM!I171+PTA!I171+ALP!I171+KTM!I171+IDK!I171+EKM!I171+TSR!I171+PKD!I171+MLPM!I171+KKD!I171+WYD!I171+KNR!I171+KSD!I171+SHS!I171</f>
        <v>0</v>
      </c>
      <c r="J171" s="323">
        <f>TVM!J171+KLM!J171+PTA!J171+ALP!J171+KTM!J171+IDK!J171+EKM!J171+TSR!J171+PKD!J171+MLPM!J171+KKD!J171+WYD!J171+KNR!J171+KSD!J171+SHS!J171</f>
        <v>0</v>
      </c>
      <c r="K171" s="323">
        <f>TVM!K171+KLM!K171+PTA!K171+ALP!K171+KTM!K171+IDK!K171+EKM!K171+TSR!K171+PKD!K171+MLPM!K171+KKD!K171+WYD!K171+KNR!K171+KSD!K171+SHS!K171</f>
        <v>0</v>
      </c>
      <c r="L171" s="323">
        <f>TVM!L171+KLM!L171+PTA!L171+ALP!L171+KTM!L171+IDK!L171+EKM!L171+TSR!L171+PKD!L171+MLPM!L171+KKD!L171+WYD!L171+KNR!L171+KSD!L171+SHS!L171</f>
        <v>0</v>
      </c>
      <c r="M171" s="323">
        <f>TVM!M171+KLM!M171+PTA!M171+ALP!M171+KTM!M171+IDK!M171+EKM!M171+TSR!M171+PKD!M171+MLPM!M171+KKD!M171+WYD!M171+KNR!M171+KSD!M171+SHS!M171</f>
        <v>0</v>
      </c>
      <c r="N171" s="329">
        <f>TVM!N171+KLM!N171+PTA!N171+ALP!N171+KTM!N171+IDK!N171+EKM!N171+TSR!N171+PKD!N171+MLPM!N171+KKD!N171+WYD!N171+KNR!N171+KSD!N171+SHS!N171</f>
        <v>0</v>
      </c>
      <c r="O171" s="330">
        <f>TVM!O171+KLM!O171+PTA!O171+ALP!O171+KTM!O171+IDK!O171+EKM!O171+TSR!O171+PKD!O171+MLPM!O171+KKD!O171+WYD!O171+KNR!O171+KSD!O171+SHS!O171</f>
        <v>0</v>
      </c>
      <c r="P171" s="323">
        <f>TVM!P171+KLM!P171+PTA!P171+ALP!P171+KTM!P171+IDK!P171+EKM!P171+TSR!P171+PKD!P171+MLPM!P171+KKD!P171+WYD!P171+KNR!P171+KSD!P171+SHS!P171</f>
        <v>0</v>
      </c>
      <c r="Q171" s="323">
        <f>TVM!Q171+KLM!Q171+PTA!Q171+ALP!Q171+KTM!Q171+IDK!Q171+EKM!Q171+TSR!Q171+PKD!Q171+MLPM!Q171+KKD!Q171+WYD!Q171+KNR!Q171+KSD!Q171+SHS!Q171</f>
        <v>0</v>
      </c>
      <c r="R171" s="323">
        <f>TVM!R171+KLM!R171+PTA!R171+ALP!R171+KTM!R171+IDK!R171+EKM!R171+TSR!R171+PKD!R171+MLPM!R171+KKD!R171+WYD!R171+KNR!R171+KSD!R171+SHS!R171</f>
        <v>0</v>
      </c>
      <c r="S171" s="323">
        <f>TVM!S171+KLM!S171+PTA!S171+ALP!S171+KTM!S171+IDK!S171+EKM!S171+TSR!S171+PKD!S171+MLPM!S171+KKD!S171+WYD!S171+KNR!S171+KSD!S171+SHS!S171</f>
        <v>0</v>
      </c>
      <c r="T171" s="389">
        <f t="shared" si="9"/>
        <v>0</v>
      </c>
      <c r="U171" s="389">
        <f>TVM!U171+KLM!U171+PTA!U171+ALP!U171+KTM!U171+IDK!U171+EKM!U171+TSR!U171+PKD!U171+MLPM!U171+KKD!U171+WYD!U171+KNR!U171+KSD!U171+SHS!U171</f>
        <v>0</v>
      </c>
      <c r="V171" s="325"/>
      <c r="W171" s="333"/>
      <c r="X171" s="332">
        <v>0</v>
      </c>
      <c r="Y171" s="328">
        <f t="shared" si="1"/>
        <v>0</v>
      </c>
      <c r="Z171" s="314"/>
      <c r="AA171" s="314"/>
      <c r="AB171" s="314"/>
    </row>
    <row r="172" spans="1:28" ht="330.75">
      <c r="A172" s="712"/>
      <c r="B172" s="707"/>
      <c r="C172" s="707"/>
      <c r="D172" s="320">
        <v>163</v>
      </c>
      <c r="E172" s="320" t="s">
        <v>335</v>
      </c>
      <c r="F172" s="323">
        <f>TVM!F172+KLM!F172+PTA!F172+ALP!F172+KTM!F172+IDK!F172+EKM!F172+TSR!F172+PKD!F172+MLPM!F172+KKD!F172+WYD!F172+KNR!F172+KSD!F172+SHS!F172</f>
        <v>0</v>
      </c>
      <c r="G172" s="323">
        <f>TVM!G172+KLM!G172+PTA!G172+ALP!G172+KTM!G172+IDK!G172+EKM!G172+TSR!G172+PKD!G172+MLPM!G172+KKD!G172+WYD!G172+KNR!G172+KSD!G172+SHS!G172</f>
        <v>0</v>
      </c>
      <c r="H172" s="323">
        <f>TVM!H172+KLM!H172+PTA!H172+ALP!H172+KTM!H172+IDK!H172+EKM!H172+TSR!H172+PKD!H172+MLPM!H172+KKD!H172+WYD!H172+KNR!H172+KSD!H172+SHS!H172</f>
        <v>0</v>
      </c>
      <c r="I172" s="323">
        <f>TVM!I172+KLM!I172+PTA!I172+ALP!I172+KTM!I172+IDK!I172+EKM!I172+TSR!I172+PKD!I172+MLPM!I172+KKD!I172+WYD!I172+KNR!I172+KSD!I172+SHS!I172</f>
        <v>0</v>
      </c>
      <c r="J172" s="323">
        <f>TVM!J172+KLM!J172+PTA!J172+ALP!J172+KTM!J172+IDK!J172+EKM!J172+TSR!J172+PKD!J172+MLPM!J172+KKD!J172+WYD!J172+KNR!J172+KSD!J172+SHS!J172</f>
        <v>0</v>
      </c>
      <c r="K172" s="323">
        <f>TVM!K172+KLM!K172+PTA!K172+ALP!K172+KTM!K172+IDK!K172+EKM!K172+TSR!K172+PKD!K172+MLPM!K172+KKD!K172+WYD!K172+KNR!K172+KSD!K172+SHS!K172</f>
        <v>0</v>
      </c>
      <c r="L172" s="323">
        <f>TVM!L172+KLM!L172+PTA!L172+ALP!L172+KTM!L172+IDK!L172+EKM!L172+TSR!L172+PKD!L172+MLPM!L172+KKD!L172+WYD!L172+KNR!L172+KSD!L172+SHS!L172</f>
        <v>0</v>
      </c>
      <c r="M172" s="323">
        <f>TVM!M172+KLM!M172+PTA!M172+ALP!M172+KTM!M172+IDK!M172+EKM!M172+TSR!M172+PKD!M172+MLPM!M172+KKD!M172+WYD!M172+KNR!M172+KSD!M172+SHS!M172</f>
        <v>0</v>
      </c>
      <c r="N172" s="323">
        <f>TVM!N172+KLM!N172+PTA!N172+ALP!N172+KTM!N172+IDK!N172+EKM!N172+TSR!N172+PKD!N172+MLPM!N172+KKD!N172+WYD!N172+KNR!N172+KSD!N172+SHS!N172</f>
        <v>0</v>
      </c>
      <c r="O172" s="330">
        <f>TVM!O172+KLM!O172+PTA!O172+ALP!O172+KTM!O172+IDK!O172+EKM!O172+TSR!O172+PKD!O172+MLPM!O172+KKD!O172+WYD!O172+KNR!O172+KSD!O172+SHS!O172</f>
        <v>141.38</v>
      </c>
      <c r="P172" s="330">
        <f>TVM!P172+KLM!P172+PTA!P172+ALP!P172+KTM!P172+IDK!P172+EKM!P172+TSR!P172+PKD!P172+MLPM!P172+KKD!P172+WYD!P172+KNR!P172+KSD!P172+SHS!P172</f>
        <v>334.26</v>
      </c>
      <c r="Q172" s="329">
        <f>TVM!Q172+KLM!Q172+PTA!Q172+ALP!Q172+KTM!Q172+IDK!Q172+EKM!Q172+TSR!Q172+PKD!Q172+MLPM!Q172+KKD!Q172+WYD!Q172+KNR!Q172+KSD!Q172+SHS!Q172</f>
        <v>247.89</v>
      </c>
      <c r="R172" s="323">
        <f>TVM!R172+KLM!R172+PTA!R172+ALP!R172+KTM!R172+IDK!R172+EKM!R172+TSR!R172+PKD!R172+MLPM!R172+KKD!R172+WYD!R172+KNR!R172+KSD!R172+SHS!R172</f>
        <v>0</v>
      </c>
      <c r="S172" s="323">
        <f>TVM!S172+KLM!S172+PTA!S172+ALP!S172+KTM!S172+IDK!S172+EKM!S172+TSR!S172+PKD!S172+MLPM!S172+KKD!S172+WYD!S172+KNR!S172+KSD!S172+SHS!S172</f>
        <v>0</v>
      </c>
      <c r="T172" s="356">
        <f t="shared" si="9"/>
        <v>723.53</v>
      </c>
      <c r="U172" s="356">
        <f>TVM!U172+KLM!U172+PTA!U172+ALP!U172+KTM!U172+IDK!U172+EKM!U172+TSR!U172+PKD!U172+MLPM!U172+KKD!U172+WYD!U172+KNR!U172+KSD!U172+SHS!U172</f>
        <v>725.32999999999993</v>
      </c>
      <c r="V172" s="440" t="s">
        <v>1512</v>
      </c>
      <c r="W172" s="441" t="s">
        <v>1513</v>
      </c>
      <c r="X172" s="332">
        <v>582.97</v>
      </c>
      <c r="Y172" s="328">
        <f t="shared" si="1"/>
        <v>140.55999999999995</v>
      </c>
      <c r="Z172" s="314"/>
      <c r="AA172" s="314"/>
      <c r="AB172" s="314"/>
    </row>
    <row r="173" spans="1:28" ht="215.25">
      <c r="A173" s="712"/>
      <c r="B173" s="718" t="s">
        <v>336</v>
      </c>
      <c r="C173" s="718" t="s">
        <v>337</v>
      </c>
      <c r="D173" s="320">
        <v>164</v>
      </c>
      <c r="E173" s="320" t="s">
        <v>338</v>
      </c>
      <c r="F173" s="323">
        <f>TVM!F173+KLM!F173+PTA!F173+ALP!F173+KTM!F173+IDK!F173+EKM!F173+TSR!F173+PKD!F173+MLPM!F173+KKD!F173+WYD!F173+KNR!F173+KSD!F173+SHS!F173</f>
        <v>0</v>
      </c>
      <c r="G173" s="330">
        <f>TVM!G173+KLM!G173+PTA!G173+ALP!G173+KTM!G173+IDK!G173+EKM!G173+TSR!G173+PKD!G173+MLPM!G173+KKD!G173+WYD!G173+KNR!G173+KSD!G173+SHS!G173</f>
        <v>1724.4</v>
      </c>
      <c r="H173" s="330">
        <f>TVM!H173+KLM!H173+PTA!H173+ALP!H173+KTM!H173+IDK!H173+EKM!H173+TSR!H173+PKD!H173+MLPM!H173+KKD!H173+WYD!H173+KNR!H173+KSD!H173+SHS!H173</f>
        <v>566.74</v>
      </c>
      <c r="I173" s="323">
        <f>TVM!I173+KLM!I173+PTA!I173+ALP!I173+KTM!I173+IDK!I173+EKM!I173+TSR!I173+PKD!I173+MLPM!I173+KKD!I173+WYD!I173+KNR!I173+KSD!I173+SHS!I173</f>
        <v>0</v>
      </c>
      <c r="J173" s="323">
        <f>TVM!J173+KLM!J173+PTA!J173+ALP!J173+KTM!J173+IDK!J173+EKM!J173+TSR!J173+PKD!J173+MLPM!J173+KKD!J173+WYD!J173+KNR!J173+KSD!J173+SHS!J173</f>
        <v>0</v>
      </c>
      <c r="K173" s="323">
        <f>TVM!K173+KLM!K173+PTA!K173+ALP!K173+KTM!K173+IDK!K173+EKM!K173+TSR!K173+PKD!K173+MLPM!K173+KKD!K173+WYD!K173+KNR!K173+KSD!K173+SHS!K173</f>
        <v>0</v>
      </c>
      <c r="L173" s="323">
        <f>TVM!L173+KLM!L173+PTA!L173+ALP!L173+KTM!L173+IDK!L173+EKM!L173+TSR!L173+PKD!L173+MLPM!L173+KKD!L173+WYD!L173+KNR!L173+KSD!L173+SHS!L173</f>
        <v>0</v>
      </c>
      <c r="M173" s="323">
        <f>TVM!M173+KLM!M173+PTA!M173+ALP!M173+KTM!M173+IDK!M173+EKM!M173+TSR!M173+PKD!M173+MLPM!M173+KKD!M173+WYD!M173+KNR!M173+KSD!M173+SHS!M173</f>
        <v>0</v>
      </c>
      <c r="N173" s="323">
        <f>TVM!N173+KLM!N173+PTA!N173+ALP!N173+KTM!N173+IDK!N173+EKM!N173+TSR!N173+PKD!N173+MLPM!N173+KKD!N173+WYD!N173+KNR!N173+KSD!N173+SHS!N173</f>
        <v>0</v>
      </c>
      <c r="O173" s="323">
        <f>TVM!O173+KLM!O173+PTA!O173+ALP!O173+KTM!O173+IDK!O173+EKM!O173+TSR!O173+PKD!O173+MLPM!O173+KKD!O173+WYD!O173+KNR!O173+KSD!O173+SHS!O173</f>
        <v>0</v>
      </c>
      <c r="P173" s="323">
        <f>TVM!P173+KLM!P173+PTA!P173+ALP!P173+KTM!P173+IDK!P173+EKM!P173+TSR!P173+PKD!P173+MLPM!P173+KKD!P173+WYD!P173+KNR!P173+KSD!P173+SHS!P173</f>
        <v>0</v>
      </c>
      <c r="Q173" s="323">
        <f>TVM!Q173+KLM!Q173+PTA!Q173+ALP!Q173+KTM!Q173+IDK!Q173+EKM!Q173+TSR!Q173+PKD!Q173+MLPM!Q173+KKD!Q173+WYD!Q173+KNR!Q173+KSD!Q173+SHS!Q173</f>
        <v>0</v>
      </c>
      <c r="R173" s="323">
        <f>TVM!R173+KLM!R173+PTA!R173+ALP!R173+KTM!R173+IDK!R173+EKM!R173+TSR!R173+PKD!R173+MLPM!R173+KKD!R173+WYD!R173+KNR!R173+KSD!R173+SHS!R173</f>
        <v>0</v>
      </c>
      <c r="S173" s="323">
        <f>TVM!S173+KLM!S173+PTA!S173+ALP!S173+KTM!S173+IDK!S173+EKM!S173+TSR!S173+PKD!S173+MLPM!S173+KKD!S173+WYD!S173+KNR!S173+KSD!S173+SHS!S173</f>
        <v>0</v>
      </c>
      <c r="T173" s="402">
        <f t="shared" si="9"/>
        <v>2291.1400000000003</v>
      </c>
      <c r="U173" s="402">
        <f>TVM!U173+KLM!U173+PTA!U173+ALP!U173+KTM!U173+IDK!U173+EKM!U173+TSR!U173+PKD!U173+MLPM!U173+KKD!U173+WYD!U173+KNR!U173+KSD!U173+SHS!U173</f>
        <v>860.79</v>
      </c>
      <c r="V173" s="276" t="s">
        <v>1514</v>
      </c>
      <c r="W173" s="277" t="s">
        <v>1515</v>
      </c>
      <c r="X173" s="442">
        <v>3809.81</v>
      </c>
      <c r="Y173" s="328">
        <f t="shared" si="1"/>
        <v>-1518.6699999999996</v>
      </c>
      <c r="Z173" s="314"/>
      <c r="AA173" s="314"/>
      <c r="AB173" s="314"/>
    </row>
    <row r="174" spans="1:28" ht="101.25">
      <c r="A174" s="712"/>
      <c r="B174" s="712"/>
      <c r="C174" s="712"/>
      <c r="D174" s="320">
        <v>165</v>
      </c>
      <c r="E174" s="320" t="s">
        <v>339</v>
      </c>
      <c r="F174" s="323">
        <f>TVM!F174+KLM!F174+PTA!F174+ALP!F174+KTM!F174+IDK!F174+EKM!F174+TSR!F174+PKD!F174+MLPM!F174+KKD!F174+WYD!F174+KNR!F174+KSD!F174+SHS!F174</f>
        <v>0</v>
      </c>
      <c r="G174" s="330">
        <f>TVM!G174+KLM!G174+PTA!G174+ALP!G174+KTM!G174+IDK!G174+EKM!G174+TSR!G174+PKD!G174+MLPM!G174+KKD!G174+WYD!G174+KNR!G174+KSD!G174+SHS!G174</f>
        <v>740</v>
      </c>
      <c r="H174" s="330">
        <f>TVM!H174+KLM!H174+PTA!H174+ALP!H174+KTM!H174+IDK!H174+EKM!H174+TSR!H174+PKD!H174+MLPM!H174+KKD!H174+WYD!H174+KNR!H174+KSD!H174+SHS!H174</f>
        <v>42.2</v>
      </c>
      <c r="I174" s="323">
        <f>TVM!I174+KLM!I174+PTA!I174+ALP!I174+KTM!I174+IDK!I174+EKM!I174+TSR!I174+PKD!I174+MLPM!I174+KKD!I174+WYD!I174+KNR!I174+KSD!I174+SHS!I174</f>
        <v>0</v>
      </c>
      <c r="J174" s="323">
        <f>TVM!J174+KLM!J174+PTA!J174+ALP!J174+KTM!J174+IDK!J174+EKM!J174+TSR!J174+PKD!J174+MLPM!J174+KKD!J174+WYD!J174+KNR!J174+KSD!J174+SHS!J174</f>
        <v>0</v>
      </c>
      <c r="K174" s="323">
        <f>TVM!K174+KLM!K174+PTA!K174+ALP!K174+KTM!K174+IDK!K174+EKM!K174+TSR!K174+PKD!K174+MLPM!K174+KKD!K174+WYD!K174+KNR!K174+KSD!K174+SHS!K174</f>
        <v>0</v>
      </c>
      <c r="L174" s="323">
        <f>TVM!L174+KLM!L174+PTA!L174+ALP!L174+KTM!L174+IDK!L174+EKM!L174+TSR!L174+PKD!L174+MLPM!L174+KKD!L174+WYD!L174+KNR!L174+KSD!L174+SHS!L174</f>
        <v>0</v>
      </c>
      <c r="M174" s="323">
        <f>TVM!M174+KLM!M174+PTA!M174+ALP!M174+KTM!M174+IDK!M174+EKM!M174+TSR!M174+PKD!M174+MLPM!M174+KKD!M174+WYD!M174+KNR!M174+KSD!M174+SHS!M174</f>
        <v>0</v>
      </c>
      <c r="N174" s="323">
        <f>TVM!N174+KLM!N174+PTA!N174+ALP!N174+KTM!N174+IDK!N174+EKM!N174+TSR!N174+PKD!N174+MLPM!N174+KKD!N174+WYD!N174+KNR!N174+KSD!N174+SHS!N174</f>
        <v>0</v>
      </c>
      <c r="O174" s="323">
        <f>TVM!O174+KLM!O174+PTA!O174+ALP!O174+KTM!O174+IDK!O174+EKM!O174+TSR!O174+PKD!O174+MLPM!O174+KKD!O174+WYD!O174+KNR!O174+KSD!O174+SHS!O174</f>
        <v>0</v>
      </c>
      <c r="P174" s="323">
        <f>TVM!P174+KLM!P174+PTA!P174+ALP!P174+KTM!P174+IDK!P174+EKM!P174+TSR!P174+PKD!P174+MLPM!P174+KKD!P174+WYD!P174+KNR!P174+KSD!P174+SHS!P174</f>
        <v>0</v>
      </c>
      <c r="Q174" s="323">
        <f>TVM!Q174+KLM!Q174+PTA!Q174+ALP!Q174+KTM!Q174+IDK!Q174+EKM!Q174+TSR!Q174+PKD!Q174+MLPM!Q174+KKD!Q174+WYD!Q174+KNR!Q174+KSD!Q174+SHS!Q174</f>
        <v>0</v>
      </c>
      <c r="R174" s="323">
        <f>TVM!R174+KLM!R174+PTA!R174+ALP!R174+KTM!R174+IDK!R174+EKM!R174+TSR!R174+PKD!R174+MLPM!R174+KKD!R174+WYD!R174+KNR!R174+KSD!R174+SHS!R174</f>
        <v>0</v>
      </c>
      <c r="S174" s="323">
        <f>TVM!S174+KLM!S174+PTA!S174+ALP!S174+KTM!S174+IDK!S174+EKM!S174+TSR!S174+PKD!S174+MLPM!S174+KKD!S174+WYD!S174+KNR!S174+KSD!S174+SHS!S174</f>
        <v>0</v>
      </c>
      <c r="T174" s="402">
        <f t="shared" si="9"/>
        <v>782.2</v>
      </c>
      <c r="U174" s="402">
        <f>TVM!U174+KLM!U174+PTA!U174+ALP!U174+KTM!U174+IDK!U174+EKM!U174+TSR!U174+PKD!U174+MLPM!U174+KKD!U174+WYD!U174+KNR!U174+KSD!U174+SHS!U174</f>
        <v>312.73</v>
      </c>
      <c r="V174" s="278" t="s">
        <v>1516</v>
      </c>
      <c r="W174" s="279" t="s">
        <v>1517</v>
      </c>
      <c r="X174" s="442">
        <v>2372.0700000000002</v>
      </c>
      <c r="Y174" s="328">
        <f t="shared" si="1"/>
        <v>-1589.8700000000001</v>
      </c>
      <c r="Z174" s="314"/>
      <c r="AA174" s="314"/>
      <c r="AB174" s="314"/>
    </row>
    <row r="175" spans="1:28" ht="120">
      <c r="A175" s="712"/>
      <c r="B175" s="712"/>
      <c r="C175" s="712"/>
      <c r="D175" s="320">
        <v>166</v>
      </c>
      <c r="E175" s="320" t="s">
        <v>340</v>
      </c>
      <c r="F175" s="323">
        <f>TVM!F175+KLM!F175+PTA!F175+ALP!F175+KTM!F175+IDK!F175+EKM!F175+TSR!F175+PKD!F175+MLPM!F175+KKD!F175+WYD!F175+KNR!F175+KSD!F175+SHS!F175</f>
        <v>0</v>
      </c>
      <c r="G175" s="330">
        <f>TVM!G175+KLM!G175+PTA!G175+ALP!G175+KTM!G175+IDK!G175+EKM!G175+TSR!G175+PKD!G175+MLPM!G175+KKD!G175+WYD!G175+KNR!G175+KSD!G175+SHS!G175</f>
        <v>737.8</v>
      </c>
      <c r="H175" s="330">
        <f>TVM!H175+KLM!H175+PTA!H175+ALP!H175+KTM!H175+IDK!H175+EKM!H175+TSR!H175+PKD!H175+MLPM!H175+KKD!H175+WYD!H175+KNR!H175+KSD!H175+SHS!H175</f>
        <v>64</v>
      </c>
      <c r="I175" s="323">
        <f>TVM!I175+KLM!I175+PTA!I175+ALP!I175+KTM!I175+IDK!I175+EKM!I175+TSR!I175+PKD!I175+MLPM!I175+KKD!I175+WYD!I175+KNR!I175+KSD!I175+SHS!I175</f>
        <v>0</v>
      </c>
      <c r="J175" s="323">
        <f>TVM!J175+KLM!J175+PTA!J175+ALP!J175+KTM!J175+IDK!J175+EKM!J175+TSR!J175+PKD!J175+MLPM!J175+KKD!J175+WYD!J175+KNR!J175+KSD!J175+SHS!J175</f>
        <v>0</v>
      </c>
      <c r="K175" s="323">
        <f>TVM!K175+KLM!K175+PTA!K175+ALP!K175+KTM!K175+IDK!K175+EKM!K175+TSR!K175+PKD!K175+MLPM!K175+KKD!K175+WYD!K175+KNR!K175+KSD!K175+SHS!K175</f>
        <v>0</v>
      </c>
      <c r="L175" s="323">
        <f>TVM!L175+KLM!L175+PTA!L175+ALP!L175+KTM!L175+IDK!L175+EKM!L175+TSR!L175+PKD!L175+MLPM!L175+KKD!L175+WYD!L175+KNR!L175+KSD!L175+SHS!L175</f>
        <v>0</v>
      </c>
      <c r="M175" s="323">
        <f>TVM!M175+KLM!M175+PTA!M175+ALP!M175+KTM!M175+IDK!M175+EKM!M175+TSR!M175+PKD!M175+MLPM!M175+KKD!M175+WYD!M175+KNR!M175+KSD!M175+SHS!M175</f>
        <v>0</v>
      </c>
      <c r="N175" s="323">
        <f>TVM!N175+KLM!N175+PTA!N175+ALP!N175+KTM!N175+IDK!N175+EKM!N175+TSR!N175+PKD!N175+MLPM!N175+KKD!N175+WYD!N175+KNR!N175+KSD!N175+SHS!N175</f>
        <v>0</v>
      </c>
      <c r="O175" s="323">
        <f>TVM!O175+KLM!O175+PTA!O175+ALP!O175+KTM!O175+IDK!O175+EKM!O175+TSR!O175+PKD!O175+MLPM!O175+KKD!O175+WYD!O175+KNR!O175+KSD!O175+SHS!O175</f>
        <v>0</v>
      </c>
      <c r="P175" s="323">
        <f>TVM!P175+KLM!P175+PTA!P175+ALP!P175+KTM!P175+IDK!P175+EKM!P175+TSR!P175+PKD!P175+MLPM!P175+KKD!P175+WYD!P175+KNR!P175+KSD!P175+SHS!P175</f>
        <v>0</v>
      </c>
      <c r="Q175" s="323">
        <f>TVM!Q175+KLM!Q175+PTA!Q175+ALP!Q175+KTM!Q175+IDK!Q175+EKM!Q175+TSR!Q175+PKD!Q175+MLPM!Q175+KKD!Q175+WYD!Q175+KNR!Q175+KSD!Q175+SHS!Q175</f>
        <v>0</v>
      </c>
      <c r="R175" s="323">
        <f>TVM!R175+KLM!R175+PTA!R175+ALP!R175+KTM!R175+IDK!R175+EKM!R175+TSR!R175+PKD!R175+MLPM!R175+KKD!R175+WYD!R175+KNR!R175+KSD!R175+SHS!R175</f>
        <v>0</v>
      </c>
      <c r="S175" s="323">
        <f>TVM!S175+KLM!S175+PTA!S175+ALP!S175+KTM!S175+IDK!S175+EKM!S175+TSR!S175+PKD!S175+MLPM!S175+KKD!S175+WYD!S175+KNR!S175+KSD!S175+SHS!S175</f>
        <v>0</v>
      </c>
      <c r="T175" s="402">
        <f t="shared" si="9"/>
        <v>801.8</v>
      </c>
      <c r="U175" s="402">
        <f>TVM!U175+KLM!U175+PTA!U175+ALP!U175+KTM!U175+IDK!U175+EKM!U175+TSR!U175+PKD!U175+MLPM!U175+KKD!U175+WYD!U175+KNR!U175+KSD!U175+SHS!U175</f>
        <v>128</v>
      </c>
      <c r="V175" s="166" t="s">
        <v>1518</v>
      </c>
      <c r="W175" s="280" t="s">
        <v>1519</v>
      </c>
      <c r="X175" s="442">
        <v>2240.2199999999998</v>
      </c>
      <c r="Y175" s="328">
        <f t="shared" si="1"/>
        <v>-1438.4199999999998</v>
      </c>
      <c r="Z175" s="314"/>
      <c r="AA175" s="314"/>
      <c r="AB175" s="314"/>
    </row>
    <row r="176" spans="1:28" ht="165">
      <c r="A176" s="712"/>
      <c r="B176" s="712"/>
      <c r="C176" s="712"/>
      <c r="D176" s="320">
        <v>167</v>
      </c>
      <c r="E176" s="320" t="s">
        <v>341</v>
      </c>
      <c r="F176" s="323">
        <f>TVM!F176+KLM!F176+PTA!F176+ALP!F176+KTM!F176+IDK!F176+EKM!F176+TSR!F176+PKD!F176+MLPM!F176+KKD!F176+WYD!F176+KNR!F176+KSD!F176+SHS!F176</f>
        <v>0</v>
      </c>
      <c r="G176" s="330">
        <f>TVM!G176+KLM!G176+PTA!G176+ALP!G176+KTM!G176+IDK!G176+EKM!G176+TSR!G176+PKD!G176+MLPM!G176+KKD!G176+WYD!G176+KNR!G176+KSD!G176+SHS!G176</f>
        <v>1401.4</v>
      </c>
      <c r="H176" s="330">
        <f>TVM!H176+KLM!H176+PTA!H176+ALP!H176+KTM!H176+IDK!H176+EKM!H176+TSR!H176+PKD!H176+MLPM!H176+KKD!H176+WYD!H176+KNR!H176+KSD!H176+SHS!H176</f>
        <v>97.4</v>
      </c>
      <c r="I176" s="323">
        <f>TVM!I176+KLM!I176+PTA!I176+ALP!I176+KTM!I176+IDK!I176+EKM!I176+TSR!I176+PKD!I176+MLPM!I176+KKD!I176+WYD!I176+KNR!I176+KSD!I176+SHS!I176</f>
        <v>0</v>
      </c>
      <c r="J176" s="323">
        <f>TVM!J176+KLM!J176+PTA!J176+ALP!J176+KTM!J176+IDK!J176+EKM!J176+TSR!J176+PKD!J176+MLPM!J176+KKD!J176+WYD!J176+KNR!J176+KSD!J176+SHS!J176</f>
        <v>0</v>
      </c>
      <c r="K176" s="323">
        <f>TVM!K176+KLM!K176+PTA!K176+ALP!K176+KTM!K176+IDK!K176+EKM!K176+TSR!K176+PKD!K176+MLPM!K176+KKD!K176+WYD!K176+KNR!K176+KSD!K176+SHS!K176</f>
        <v>0</v>
      </c>
      <c r="L176" s="323">
        <f>TVM!L176+KLM!L176+PTA!L176+ALP!L176+KTM!L176+IDK!L176+EKM!L176+TSR!L176+PKD!L176+MLPM!L176+KKD!L176+WYD!L176+KNR!L176+KSD!L176+SHS!L176</f>
        <v>0</v>
      </c>
      <c r="M176" s="323">
        <f>TVM!M176+KLM!M176+PTA!M176+ALP!M176+KTM!M176+IDK!M176+EKM!M176+TSR!M176+PKD!M176+MLPM!M176+KKD!M176+WYD!M176+KNR!M176+KSD!M176+SHS!M176</f>
        <v>0</v>
      </c>
      <c r="N176" s="323">
        <f>TVM!N176+KLM!N176+PTA!N176+ALP!N176+KTM!N176+IDK!N176+EKM!N176+TSR!N176+PKD!N176+MLPM!N176+KKD!N176+WYD!N176+KNR!N176+KSD!N176+SHS!N176</f>
        <v>0</v>
      </c>
      <c r="O176" s="323">
        <f>TVM!O176+KLM!O176+PTA!O176+ALP!O176+KTM!O176+IDK!O176+EKM!O176+TSR!O176+PKD!O176+MLPM!O176+KKD!O176+WYD!O176+KNR!O176+KSD!O176+SHS!O176</f>
        <v>0</v>
      </c>
      <c r="P176" s="323">
        <f>TVM!P176+KLM!P176+PTA!P176+ALP!P176+KTM!P176+IDK!P176+EKM!P176+TSR!P176+PKD!P176+MLPM!P176+KKD!P176+WYD!P176+KNR!P176+KSD!P176+SHS!P176</f>
        <v>0</v>
      </c>
      <c r="Q176" s="323">
        <f>TVM!Q176+KLM!Q176+PTA!Q176+ALP!Q176+KTM!Q176+IDK!Q176+EKM!Q176+TSR!Q176+PKD!Q176+MLPM!Q176+KKD!Q176+WYD!Q176+KNR!Q176+KSD!Q176+SHS!Q176</f>
        <v>0</v>
      </c>
      <c r="R176" s="323">
        <f>TVM!R176+KLM!R176+PTA!R176+ALP!R176+KTM!R176+IDK!R176+EKM!R176+TSR!R176+PKD!R176+MLPM!R176+KKD!R176+WYD!R176+KNR!R176+KSD!R176+SHS!R176</f>
        <v>0</v>
      </c>
      <c r="S176" s="323">
        <f>TVM!S176+KLM!S176+PTA!S176+ALP!S176+KTM!S176+IDK!S176+EKM!S176+TSR!S176+PKD!S176+MLPM!S176+KKD!S176+WYD!S176+KNR!S176+KSD!S176+SHS!S176</f>
        <v>0</v>
      </c>
      <c r="T176" s="402">
        <f t="shared" si="9"/>
        <v>1498.8000000000002</v>
      </c>
      <c r="U176" s="402">
        <f>TVM!U176+KLM!U176+PTA!U176+ALP!U176+KTM!U176+IDK!U176+EKM!U176+TSR!U176+PKD!U176+MLPM!U176+KKD!U176+WYD!U176+KNR!U176+KSD!U176+SHS!U176</f>
        <v>102.8</v>
      </c>
      <c r="V176" s="166" t="s">
        <v>1520</v>
      </c>
      <c r="W176" s="280" t="s">
        <v>1521</v>
      </c>
      <c r="X176" s="442">
        <v>5325.14</v>
      </c>
      <c r="Y176" s="328">
        <f t="shared" si="1"/>
        <v>-3826.34</v>
      </c>
      <c r="Z176" s="314"/>
      <c r="AA176" s="314"/>
      <c r="AB176" s="314"/>
    </row>
    <row r="177" spans="1:28" ht="39.75" customHeight="1">
      <c r="A177" s="712"/>
      <c r="B177" s="712"/>
      <c r="C177" s="712"/>
      <c r="D177" s="320">
        <v>168</v>
      </c>
      <c r="E177" s="320" t="s">
        <v>342</v>
      </c>
      <c r="F177" s="323">
        <f>TVM!F177+KLM!F177+PTA!F177+ALP!F177+KTM!F177+IDK!F177+EKM!F177+TSR!F177+PKD!F177+MLPM!F177+KKD!F177+WYD!F177+KNR!F177+KSD!F177+SHS!F177</f>
        <v>0</v>
      </c>
      <c r="G177" s="330">
        <f>TVM!G177+KLM!G177+PTA!G177+ALP!G177+KTM!G177+IDK!G177+EKM!G177+TSR!G177+PKD!G177+MLPM!G177+KKD!G177+WYD!G177+KNR!G177+KSD!G177+SHS!G177</f>
        <v>0</v>
      </c>
      <c r="H177" s="330">
        <f>TVM!H177+KLM!H177+PTA!H177+ALP!H177+KTM!H177+IDK!H177+EKM!H177+TSR!H177+PKD!H177+MLPM!H177+KKD!H177+WYD!H177+KNR!H177+KSD!H177+SHS!H177</f>
        <v>0</v>
      </c>
      <c r="I177" s="323">
        <f>TVM!I177+KLM!I177+PTA!I177+ALP!I177+KTM!I177+IDK!I177+EKM!I177+TSR!I177+PKD!I177+MLPM!I177+KKD!I177+WYD!I177+KNR!I177+KSD!I177+SHS!I177</f>
        <v>0</v>
      </c>
      <c r="J177" s="323">
        <f>TVM!J177+KLM!J177+PTA!J177+ALP!J177+KTM!J177+IDK!J177+EKM!J177+TSR!J177+PKD!J177+MLPM!J177+KKD!J177+WYD!J177+KNR!J177+KSD!J177+SHS!J177</f>
        <v>0</v>
      </c>
      <c r="K177" s="323">
        <f>TVM!K177+KLM!K177+PTA!K177+ALP!K177+KTM!K177+IDK!K177+EKM!K177+TSR!K177+PKD!K177+MLPM!K177+KKD!K177+WYD!K177+KNR!K177+KSD!K177+SHS!K177</f>
        <v>0</v>
      </c>
      <c r="L177" s="323">
        <f>TVM!L177+KLM!L177+PTA!L177+ALP!L177+KTM!L177+IDK!L177+EKM!L177+TSR!L177+PKD!L177+MLPM!L177+KKD!L177+WYD!L177+KNR!L177+KSD!L177+SHS!L177</f>
        <v>0</v>
      </c>
      <c r="M177" s="323">
        <f>TVM!M177+KLM!M177+PTA!M177+ALP!M177+KTM!M177+IDK!M177+EKM!M177+TSR!M177+PKD!M177+MLPM!M177+KKD!M177+WYD!M177+KNR!M177+KSD!M177+SHS!M177</f>
        <v>0</v>
      </c>
      <c r="N177" s="323">
        <f>TVM!N177+KLM!N177+PTA!N177+ALP!N177+KTM!N177+IDK!N177+EKM!N177+TSR!N177+PKD!N177+MLPM!N177+KKD!N177+WYD!N177+KNR!N177+KSD!N177+SHS!N177</f>
        <v>0</v>
      </c>
      <c r="O177" s="323">
        <f>TVM!O177+KLM!O177+PTA!O177+ALP!O177+KTM!O177+IDK!O177+EKM!O177+TSR!O177+PKD!O177+MLPM!O177+KKD!O177+WYD!O177+KNR!O177+KSD!O177+SHS!O177</f>
        <v>0</v>
      </c>
      <c r="P177" s="323">
        <f>TVM!P177+KLM!P177+PTA!P177+ALP!P177+KTM!P177+IDK!P177+EKM!P177+TSR!P177+PKD!P177+MLPM!P177+KKD!P177+WYD!P177+KNR!P177+KSD!P177+SHS!P177</f>
        <v>0</v>
      </c>
      <c r="Q177" s="323">
        <f>TVM!Q177+KLM!Q177+PTA!Q177+ALP!Q177+KTM!Q177+IDK!Q177+EKM!Q177+TSR!Q177+PKD!Q177+MLPM!Q177+KKD!Q177+WYD!Q177+KNR!Q177+KSD!Q177+SHS!Q177</f>
        <v>0</v>
      </c>
      <c r="R177" s="323">
        <f>TVM!R177+KLM!R177+PTA!R177+ALP!R177+KTM!R177+IDK!R177+EKM!R177+TSR!R177+PKD!R177+MLPM!R177+KKD!R177+WYD!R177+KNR!R177+KSD!R177+SHS!R177</f>
        <v>0</v>
      </c>
      <c r="S177" s="323">
        <f>TVM!S177+KLM!S177+PTA!S177+ALP!S177+KTM!S177+IDK!S177+EKM!S177+TSR!S177+PKD!S177+MLPM!S177+KKD!S177+WYD!S177+KNR!S177+KSD!S177+SHS!S177</f>
        <v>0</v>
      </c>
      <c r="T177" s="389">
        <f t="shared" si="9"/>
        <v>0</v>
      </c>
      <c r="U177" s="389">
        <f>TVM!U177+KLM!U177+PTA!U177+ALP!U177+KTM!U177+IDK!U177+EKM!U177+TSR!U177+PKD!U177+MLPM!U177+KKD!U177+WYD!U177+KNR!U177+KSD!U177+SHS!U177</f>
        <v>0</v>
      </c>
      <c r="V177" s="443"/>
      <c r="W177" s="444"/>
      <c r="X177" s="442">
        <v>1813.89</v>
      </c>
      <c r="Y177" s="328">
        <f t="shared" si="1"/>
        <v>-1813.89</v>
      </c>
      <c r="Z177" s="314"/>
      <c r="AA177" s="314"/>
      <c r="AB177" s="314"/>
    </row>
    <row r="178" spans="1:28" ht="155.25" customHeight="1">
      <c r="A178" s="712"/>
      <c r="B178" s="712"/>
      <c r="C178" s="712"/>
      <c r="D178" s="320">
        <v>169</v>
      </c>
      <c r="E178" s="320" t="s">
        <v>343</v>
      </c>
      <c r="F178" s="323">
        <f>TVM!F178+KLM!F178+PTA!F178+ALP!F178+KTM!F178+IDK!F178+EKM!F178+TSR!F178+PKD!F178+MLPM!F178+KKD!F178+WYD!F178+KNR!F178+KSD!F178+SHS!F178</f>
        <v>0</v>
      </c>
      <c r="G178" s="330">
        <f>TVM!G178+KLM!G178+PTA!G178+ALP!G178+KTM!G178+IDK!G178+EKM!G178+TSR!G178+PKD!G178+MLPM!G178+KKD!G178+WYD!G178+KNR!G178+KSD!G178+SHS!G178</f>
        <v>147</v>
      </c>
      <c r="H178" s="330">
        <f>TVM!H178+KLM!H178+PTA!H178+ALP!H178+KTM!H178+IDK!H178+EKM!H178+TSR!H178+PKD!H178+MLPM!H178+KKD!H178+WYD!H178+KNR!H178+KSD!H178+SHS!H178</f>
        <v>200</v>
      </c>
      <c r="I178" s="329">
        <f>TVM!I178+KLM!I178+PTA!I178+ALP!I178+KTM!I178+IDK!I178+EKM!I178+TSR!I178+PKD!I178+MLPM!I178+KKD!I178+WYD!I178+KNR!I178+KSD!I178+SHS!I178</f>
        <v>462.41</v>
      </c>
      <c r="J178" s="323">
        <f>TVM!J178+KLM!J178+PTA!J178+ALP!J178+KTM!J178+IDK!J178+EKM!J178+TSR!J178+PKD!J178+MLPM!J178+KKD!J178+WYD!J178+KNR!J178+KSD!J178+SHS!J178</f>
        <v>0</v>
      </c>
      <c r="K178" s="323">
        <f>TVM!K178+KLM!K178+PTA!K178+ALP!K178+KTM!K178+IDK!K178+EKM!K178+TSR!K178+PKD!K178+MLPM!K178+KKD!K178+WYD!K178+KNR!K178+KSD!K178+SHS!K178</f>
        <v>0</v>
      </c>
      <c r="L178" s="323">
        <f>TVM!L178+KLM!L178+PTA!L178+ALP!L178+KTM!L178+IDK!L178+EKM!L178+TSR!L178+PKD!L178+MLPM!L178+KKD!L178+WYD!L178+KNR!L178+KSD!L178+SHS!L178</f>
        <v>0</v>
      </c>
      <c r="M178" s="323">
        <f>TVM!M178+KLM!M178+PTA!M178+ALP!M178+KTM!M178+IDK!M178+EKM!M178+TSR!M178+PKD!M178+MLPM!M178+KKD!M178+WYD!M178+KNR!M178+KSD!M178+SHS!M178</f>
        <v>0</v>
      </c>
      <c r="N178" s="323">
        <f>TVM!N178+KLM!N178+PTA!N178+ALP!N178+KTM!N178+IDK!N178+EKM!N178+TSR!N178+PKD!N178+MLPM!N178+KKD!N178+WYD!N178+KNR!N178+KSD!N178+SHS!N178</f>
        <v>0</v>
      </c>
      <c r="O178" s="323">
        <f>TVM!O178+KLM!O178+PTA!O178+ALP!O178+KTM!O178+IDK!O178+EKM!O178+TSR!O178+PKD!O178+MLPM!O178+KKD!O178+WYD!O178+KNR!O178+KSD!O178+SHS!O178</f>
        <v>0</v>
      </c>
      <c r="P178" s="323">
        <f>TVM!P178+KLM!P178+PTA!P178+ALP!P178+KTM!P178+IDK!P178+EKM!P178+TSR!P178+PKD!P178+MLPM!P178+KKD!P178+WYD!P178+KNR!P178+KSD!P178+SHS!P178</f>
        <v>0</v>
      </c>
      <c r="Q178" s="323">
        <f>TVM!Q178+KLM!Q178+PTA!Q178+ALP!Q178+KTM!Q178+IDK!Q178+EKM!Q178+TSR!Q178+PKD!Q178+MLPM!Q178+KKD!Q178+WYD!Q178+KNR!Q178+KSD!Q178+SHS!Q178</f>
        <v>0</v>
      </c>
      <c r="R178" s="323">
        <f>TVM!R178+KLM!R178+PTA!R178+ALP!R178+KTM!R178+IDK!R178+EKM!R178+TSR!R178+PKD!R178+MLPM!R178+KKD!R178+WYD!R178+KNR!R178+KSD!R178+SHS!R178</f>
        <v>0</v>
      </c>
      <c r="S178" s="323">
        <f>TVM!S178+KLM!S178+PTA!S178+ALP!S178+KTM!S178+IDK!S178+EKM!S178+TSR!S178+PKD!S178+MLPM!S178+KKD!S178+WYD!S178+KNR!S178+KSD!S178+SHS!S178</f>
        <v>0</v>
      </c>
      <c r="T178" s="402">
        <f t="shared" si="9"/>
        <v>809.41000000000008</v>
      </c>
      <c r="U178" s="402">
        <f>TVM!U178+KLM!U178+PTA!U178+ALP!U178+KTM!U178+IDK!U178+EKM!U178+TSR!U178+PKD!U178+MLPM!U178+KKD!U178+WYD!U178+KNR!U178+KSD!U178+SHS!U178</f>
        <v>947.92</v>
      </c>
      <c r="V178" s="284" t="s">
        <v>1522</v>
      </c>
      <c r="W178" s="279" t="s">
        <v>1523</v>
      </c>
      <c r="X178" s="442">
        <v>2382.4699999999998</v>
      </c>
      <c r="Y178" s="328">
        <f t="shared" si="1"/>
        <v>-1573.0599999999997</v>
      </c>
      <c r="Z178" s="314"/>
      <c r="AA178" s="314"/>
      <c r="AB178" s="314"/>
    </row>
    <row r="179" spans="1:28" ht="39.75" customHeight="1">
      <c r="A179" s="712"/>
      <c r="B179" s="707"/>
      <c r="C179" s="707"/>
      <c r="D179" s="320">
        <v>170</v>
      </c>
      <c r="E179" s="320" t="s">
        <v>344</v>
      </c>
      <c r="F179" s="323">
        <f>TVM!F179+KLM!F179+PTA!F179+ALP!F179+KTM!F179+IDK!F179+EKM!F179+TSR!F179+PKD!F179+MLPM!F179+KKD!F179+WYD!F179+KNR!F179+KSD!F179+SHS!F179</f>
        <v>0</v>
      </c>
      <c r="G179" s="323">
        <f>TVM!G179+KLM!G179+PTA!G179+ALP!G179+KTM!G179+IDK!G179+EKM!G179+TSR!G179+PKD!G179+MLPM!G179+KKD!G179+WYD!G179+KNR!G179+KSD!G179+SHS!G179</f>
        <v>0</v>
      </c>
      <c r="H179" s="323">
        <f>TVM!H179+KLM!H179+PTA!H179+ALP!H179+KTM!H179+IDK!H179+EKM!H179+TSR!H179+PKD!H179+MLPM!H179+KKD!H179+WYD!H179+KNR!H179+KSD!H179+SHS!H179</f>
        <v>744</v>
      </c>
      <c r="I179" s="323">
        <f>TVM!I179+KLM!I179+PTA!I179+ALP!I179+KTM!I179+IDK!I179+EKM!I179+TSR!I179+PKD!I179+MLPM!I179+KKD!I179+WYD!I179+KNR!I179+KSD!I179+SHS!I179</f>
        <v>0</v>
      </c>
      <c r="J179" s="323">
        <f>TVM!J179+KLM!J179+PTA!J179+ALP!J179+KTM!J179+IDK!J179+EKM!J179+TSR!J179+PKD!J179+MLPM!J179+KKD!J179+WYD!J179+KNR!J179+KSD!J179+SHS!J179</f>
        <v>0</v>
      </c>
      <c r="K179" s="323">
        <f>TVM!K179+KLM!K179+PTA!K179+ALP!K179+KTM!K179+IDK!K179+EKM!K179+TSR!K179+PKD!K179+MLPM!K179+KKD!K179+WYD!K179+KNR!K179+KSD!K179+SHS!K179</f>
        <v>0</v>
      </c>
      <c r="L179" s="323">
        <f>TVM!L179+KLM!L179+PTA!L179+ALP!L179+KTM!L179+IDK!L179+EKM!L179+TSR!L179+PKD!L179+MLPM!L179+KKD!L179+WYD!L179+KNR!L179+KSD!L179+SHS!L179</f>
        <v>0</v>
      </c>
      <c r="M179" s="323">
        <f>TVM!M179+KLM!M179+PTA!M179+ALP!M179+KTM!M179+IDK!M179+EKM!M179+TSR!M179+PKD!M179+MLPM!M179+KKD!M179+WYD!M179+KNR!M179+KSD!M179+SHS!M179</f>
        <v>0</v>
      </c>
      <c r="N179" s="323">
        <f>TVM!N179+KLM!N179+PTA!N179+ALP!N179+KTM!N179+IDK!N179+EKM!N179+TSR!N179+PKD!N179+MLPM!N179+KKD!N179+WYD!N179+KNR!N179+KSD!N179+SHS!N179</f>
        <v>0</v>
      </c>
      <c r="O179" s="323">
        <f>TVM!O179+KLM!O179+PTA!O179+ALP!O179+KTM!O179+IDK!O179+EKM!O179+TSR!O179+PKD!O179+MLPM!O179+KKD!O179+WYD!O179+KNR!O179+KSD!O179+SHS!O179</f>
        <v>0</v>
      </c>
      <c r="P179" s="323">
        <f>TVM!P179+KLM!P179+PTA!P179+ALP!P179+KTM!P179+IDK!P179+EKM!P179+TSR!P179+PKD!P179+MLPM!P179+KKD!P179+WYD!P179+KNR!P179+KSD!P179+SHS!P179</f>
        <v>0</v>
      </c>
      <c r="Q179" s="323">
        <f>TVM!Q179+KLM!Q179+PTA!Q179+ALP!Q179+KTM!Q179+IDK!Q179+EKM!Q179+TSR!Q179+PKD!Q179+MLPM!Q179+KKD!Q179+WYD!Q179+KNR!Q179+KSD!Q179+SHS!Q179</f>
        <v>0</v>
      </c>
      <c r="R179" s="323">
        <f>TVM!R179+KLM!R179+PTA!R179+ALP!R179+KTM!R179+IDK!R179+EKM!R179+TSR!R179+PKD!R179+MLPM!R179+KKD!R179+WYD!R179+KNR!R179+KSD!R179+SHS!R179</f>
        <v>0</v>
      </c>
      <c r="S179" s="323">
        <f>TVM!S179+KLM!S179+PTA!S179+ALP!S179+KTM!S179+IDK!S179+EKM!S179+TSR!S179+PKD!S179+MLPM!S179+KKD!S179+WYD!S179+KNR!S179+KSD!S179+SHS!S179</f>
        <v>0</v>
      </c>
      <c r="T179" s="402">
        <f t="shared" si="9"/>
        <v>744</v>
      </c>
      <c r="U179" s="402">
        <f>TVM!U179+KLM!U179+PTA!U179+ALP!U179+KTM!U179+IDK!U179+EKM!U179+TSR!U179+PKD!U179+MLPM!U179+KKD!U179+WYD!U179+KNR!U179+KSD!U179+SHS!U179</f>
        <v>1041</v>
      </c>
      <c r="V179" s="445" t="s">
        <v>1269</v>
      </c>
      <c r="W179" s="286" t="s">
        <v>1270</v>
      </c>
      <c r="X179" s="332">
        <v>99.02</v>
      </c>
      <c r="Y179" s="328">
        <f t="shared" si="1"/>
        <v>644.98</v>
      </c>
      <c r="Z179" s="314"/>
      <c r="AA179" s="314"/>
      <c r="AB179" s="314"/>
    </row>
    <row r="180" spans="1:28" ht="39.75" customHeight="1">
      <c r="A180" s="712"/>
      <c r="B180" s="718" t="s">
        <v>345</v>
      </c>
      <c r="C180" s="718" t="s">
        <v>346</v>
      </c>
      <c r="D180" s="320">
        <v>171</v>
      </c>
      <c r="E180" s="320" t="s">
        <v>347</v>
      </c>
      <c r="F180" s="323">
        <f>TVM!F180+KLM!F180+PTA!F180+ALP!F180+KTM!F180+IDK!F180+EKM!F180+TSR!F180+PKD!F180+MLPM!F180+KKD!F180+WYD!F180+KNR!F180+KSD!F180+SHS!F180</f>
        <v>0</v>
      </c>
      <c r="G180" s="323">
        <f>TVM!G180+KLM!G180+PTA!G180+ALP!G180+KTM!G180+IDK!G180+EKM!G180+TSR!G180+PKD!G180+MLPM!G180+KKD!G180+WYD!G180+KNR!G180+KSD!G180+SHS!G180</f>
        <v>0</v>
      </c>
      <c r="H180" s="323">
        <f>TVM!H180+KLM!H180+PTA!H180+ALP!H180+KTM!H180+IDK!H180+EKM!H180+TSR!H180+PKD!H180+MLPM!H180+KKD!H180+WYD!H180+KNR!H180+KSD!H180+SHS!H180</f>
        <v>0</v>
      </c>
      <c r="I180" s="323">
        <f>TVM!I180+KLM!I180+PTA!I180+ALP!I180+KTM!I180+IDK!I180+EKM!I180+TSR!I180+PKD!I180+MLPM!I180+KKD!I180+WYD!I180+KNR!I180+KSD!I180+SHS!I180</f>
        <v>0</v>
      </c>
      <c r="J180" s="323">
        <f>TVM!J180+KLM!J180+PTA!J180+ALP!J180+KTM!J180+IDK!J180+EKM!J180+TSR!J180+PKD!J180+MLPM!J180+KKD!J180+WYD!J180+KNR!J180+KSD!J180+SHS!J180</f>
        <v>0</v>
      </c>
      <c r="K180" s="323">
        <f>TVM!K180+KLM!K180+PTA!K180+ALP!K180+KTM!K180+IDK!K180+EKM!K180+TSR!K180+PKD!K180+MLPM!K180+KKD!K180+WYD!K180+KNR!K180+KSD!K180+SHS!K180</f>
        <v>0</v>
      </c>
      <c r="L180" s="323">
        <f>TVM!L180+KLM!L180+PTA!L180+ALP!L180+KTM!L180+IDK!L180+EKM!L180+TSR!L180+PKD!L180+MLPM!L180+KKD!L180+WYD!L180+KNR!L180+KSD!L180+SHS!L180</f>
        <v>0</v>
      </c>
      <c r="M180" s="323">
        <f>TVM!M180+KLM!M180+PTA!M180+ALP!M180+KTM!M180+IDK!M180+EKM!M180+TSR!M180+PKD!M180+MLPM!M180+KKD!M180+WYD!M180+KNR!M180+KSD!M180+SHS!M180</f>
        <v>0</v>
      </c>
      <c r="N180" s="323">
        <f>TVM!N180+KLM!N180+PTA!N180+ALP!N180+KTM!N180+IDK!N180+EKM!N180+TSR!N180+PKD!N180+MLPM!N180+KKD!N180+WYD!N180+KNR!N180+KSD!N180+SHS!N180</f>
        <v>0</v>
      </c>
      <c r="O180" s="323">
        <f>TVM!O180+KLM!O180+PTA!O180+ALP!O180+KTM!O180+IDK!O180+EKM!O180+TSR!O180+PKD!O180+MLPM!O180+KKD!O180+WYD!O180+KNR!O180+KSD!O180+SHS!O180</f>
        <v>0</v>
      </c>
      <c r="P180" s="323">
        <f>TVM!P180+KLM!P180+PTA!P180+ALP!P180+KTM!P180+IDK!P180+EKM!P180+TSR!P180+PKD!P180+MLPM!P180+KKD!P180+WYD!P180+KNR!P180+KSD!P180+SHS!P180</f>
        <v>411.6</v>
      </c>
      <c r="Q180" s="323">
        <f>TVM!Q180+KLM!Q180+PTA!Q180+ALP!Q180+KTM!Q180+IDK!Q180+EKM!Q180+TSR!Q180+PKD!Q180+MLPM!Q180+KKD!Q180+WYD!Q180+KNR!Q180+KSD!Q180+SHS!Q180</f>
        <v>0</v>
      </c>
      <c r="R180" s="323">
        <f>TVM!R180+KLM!R180+PTA!R180+ALP!R180+KTM!R180+IDK!R180+EKM!R180+TSR!R180+PKD!R180+MLPM!R180+KKD!R180+WYD!R180+KNR!R180+KSD!R180+SHS!R180</f>
        <v>0</v>
      </c>
      <c r="S180" s="323">
        <f>TVM!S180+KLM!S180+PTA!S180+ALP!S180+KTM!S180+IDK!S180+EKM!S180+TSR!S180+PKD!S180+MLPM!S180+KKD!S180+WYD!S180+KNR!S180+KSD!S180+SHS!S180</f>
        <v>0</v>
      </c>
      <c r="T180" s="402">
        <f t="shared" si="9"/>
        <v>411.6</v>
      </c>
      <c r="U180" s="402">
        <f>TVM!U180+KLM!U180+PTA!U180+ALP!U180+KTM!U180+IDK!U180+EKM!U180+TSR!U180+PKD!U180+MLPM!U180+KKD!U180+WYD!U180+KNR!U180+KSD!U180+SHS!U180</f>
        <v>411.6</v>
      </c>
      <c r="V180" s="446" t="s">
        <v>1524</v>
      </c>
      <c r="W180" s="446" t="s">
        <v>1524</v>
      </c>
      <c r="X180" s="332">
        <v>0</v>
      </c>
      <c r="Y180" s="328">
        <f t="shared" si="1"/>
        <v>411.6</v>
      </c>
      <c r="Z180" s="314"/>
      <c r="AA180" s="314"/>
      <c r="AB180" s="314"/>
    </row>
    <row r="181" spans="1:28" ht="31.5">
      <c r="A181" s="712"/>
      <c r="B181" s="712"/>
      <c r="C181" s="712"/>
      <c r="D181" s="320">
        <v>172</v>
      </c>
      <c r="E181" s="320" t="s">
        <v>348</v>
      </c>
      <c r="F181" s="323">
        <f>TVM!F181+KLM!F181+PTA!F181+ALP!F181+KTM!F181+IDK!F181+EKM!F181+TSR!F181+PKD!F181+MLPM!F181+KKD!F181+WYD!F181+KNR!F181+KSD!F181+SHS!F181</f>
        <v>0</v>
      </c>
      <c r="G181" s="323">
        <f>TVM!G181+KLM!G181+PTA!G181+ALP!G181+KTM!G181+IDK!G181+EKM!G181+TSR!G181+PKD!G181+MLPM!G181+KKD!G181+WYD!G181+KNR!G181+KSD!G181+SHS!G181</f>
        <v>0</v>
      </c>
      <c r="H181" s="323">
        <f>TVM!H181+KLM!H181+PTA!H181+ALP!H181+KTM!H181+IDK!H181+EKM!H181+TSR!H181+PKD!H181+MLPM!H181+KKD!H181+WYD!H181+KNR!H181+KSD!H181+SHS!H181</f>
        <v>0</v>
      </c>
      <c r="I181" s="323">
        <f>TVM!I181+KLM!I181+PTA!I181+ALP!I181+KTM!I181+IDK!I181+EKM!I181+TSR!I181+PKD!I181+MLPM!I181+KKD!I181+WYD!I181+KNR!I181+KSD!I181+SHS!I181</f>
        <v>0</v>
      </c>
      <c r="J181" s="323">
        <f>TVM!J181+KLM!J181+PTA!J181+ALP!J181+KTM!J181+IDK!J181+EKM!J181+TSR!J181+PKD!J181+MLPM!J181+KKD!J181+WYD!J181+KNR!J181+KSD!J181+SHS!J181</f>
        <v>0</v>
      </c>
      <c r="K181" s="323">
        <f>TVM!K181+KLM!K181+PTA!K181+ALP!K181+KTM!K181+IDK!K181+EKM!K181+TSR!K181+PKD!K181+MLPM!K181+KKD!K181+WYD!K181+KNR!K181+KSD!K181+SHS!K181</f>
        <v>0</v>
      </c>
      <c r="L181" s="323">
        <f>TVM!L181+KLM!L181+PTA!L181+ALP!L181+KTM!L181+IDK!L181+EKM!L181+TSR!L181+PKD!L181+MLPM!L181+KKD!L181+WYD!L181+KNR!L181+KSD!L181+SHS!L181</f>
        <v>0</v>
      </c>
      <c r="M181" s="323">
        <f>TVM!M181+KLM!M181+PTA!M181+ALP!M181+KTM!M181+IDK!M181+EKM!M181+TSR!M181+PKD!M181+MLPM!M181+KKD!M181+WYD!M181+KNR!M181+KSD!M181+SHS!M181</f>
        <v>0</v>
      </c>
      <c r="N181" s="323">
        <f>TVM!N181+KLM!N181+PTA!N181+ALP!N181+KTM!N181+IDK!N181+EKM!N181+TSR!N181+PKD!N181+MLPM!N181+KKD!N181+WYD!N181+KNR!N181+KSD!N181+SHS!N181</f>
        <v>0</v>
      </c>
      <c r="O181" s="323">
        <f>TVM!O181+KLM!O181+PTA!O181+ALP!O181+KTM!O181+IDK!O181+EKM!O181+TSR!O181+PKD!O181+MLPM!O181+KKD!O181+WYD!O181+KNR!O181+KSD!O181+SHS!O181</f>
        <v>0</v>
      </c>
      <c r="P181" s="329">
        <f>TVM!P181+KLM!P181+PTA!P181+ALP!P181+KTM!P181+IDK!P181+EKM!P181+TSR!P181+PKD!P181+MLPM!P181+KKD!P181+WYD!P181+KNR!P181+KSD!P181+SHS!P181</f>
        <v>5193.2664000000004</v>
      </c>
      <c r="Q181" s="323">
        <f>TVM!Q181+KLM!Q181+PTA!Q181+ALP!Q181+KTM!Q181+IDK!Q181+EKM!Q181+TSR!Q181+PKD!Q181+MLPM!Q181+KKD!Q181+WYD!Q181+KNR!Q181+KSD!Q181+SHS!Q181</f>
        <v>0</v>
      </c>
      <c r="R181" s="323">
        <f>TVM!R181+KLM!R181+PTA!R181+ALP!R181+KTM!R181+IDK!R181+EKM!R181+TSR!R181+PKD!R181+MLPM!R181+KKD!R181+WYD!R181+KNR!R181+KSD!R181+SHS!R181</f>
        <v>0</v>
      </c>
      <c r="S181" s="323">
        <f>TVM!S181+KLM!S181+PTA!S181+ALP!S181+KTM!S181+IDK!S181+EKM!S181+TSR!S181+PKD!S181+MLPM!S181+KKD!S181+WYD!S181+KNR!S181+KSD!S181+SHS!S181</f>
        <v>0</v>
      </c>
      <c r="T181" s="402">
        <f t="shared" si="9"/>
        <v>5193.2664000000004</v>
      </c>
      <c r="U181" s="402">
        <f>TVM!U181+KLM!U181+PTA!U181+ALP!U181+KTM!U181+IDK!U181+EKM!U181+TSR!U181+PKD!U181+MLPM!U181+KKD!U181+WYD!U181+KNR!U181+KSD!U181+SHS!U181</f>
        <v>5193.2664000000004</v>
      </c>
      <c r="V181" s="447" t="s">
        <v>1525</v>
      </c>
      <c r="W181" s="447" t="s">
        <v>1525</v>
      </c>
      <c r="X181" s="332">
        <v>5193.2700000000004</v>
      </c>
      <c r="Y181" s="328">
        <f t="shared" si="1"/>
        <v>-3.6000000000058208E-3</v>
      </c>
      <c r="Z181" s="314"/>
      <c r="AA181" s="314"/>
      <c r="AB181" s="314"/>
    </row>
    <row r="182" spans="1:28" ht="39.75" customHeight="1">
      <c r="A182" s="712"/>
      <c r="B182" s="712"/>
      <c r="C182" s="712"/>
      <c r="D182" s="320">
        <v>173</v>
      </c>
      <c r="E182" s="320" t="s">
        <v>349</v>
      </c>
      <c r="F182" s="323">
        <f>TVM!F182+KLM!F182+PTA!F182+ALP!F182+KTM!F182+IDK!F182+EKM!F182+TSR!F182+PKD!F182+MLPM!F182+KKD!F182+WYD!F182+KNR!F182+KSD!F182+SHS!F182</f>
        <v>0</v>
      </c>
      <c r="G182" s="323">
        <f>TVM!G182+KLM!G182+PTA!G182+ALP!G182+KTM!G182+IDK!G182+EKM!G182+TSR!G182+PKD!G182+MLPM!G182+KKD!G182+WYD!G182+KNR!G182+KSD!G182+SHS!G182</f>
        <v>0</v>
      </c>
      <c r="H182" s="323">
        <f>TVM!H182+KLM!H182+PTA!H182+ALP!H182+KTM!H182+IDK!H182+EKM!H182+TSR!H182+PKD!H182+MLPM!H182+KKD!H182+WYD!H182+KNR!H182+KSD!H182+SHS!H182</f>
        <v>0</v>
      </c>
      <c r="I182" s="323">
        <f>TVM!I182+KLM!I182+PTA!I182+ALP!I182+KTM!I182+IDK!I182+EKM!I182+TSR!I182+PKD!I182+MLPM!I182+KKD!I182+WYD!I182+KNR!I182+KSD!I182+SHS!I182</f>
        <v>0</v>
      </c>
      <c r="J182" s="323">
        <f>TVM!J182+KLM!J182+PTA!J182+ALP!J182+KTM!J182+IDK!J182+EKM!J182+TSR!J182+PKD!J182+MLPM!J182+KKD!J182+WYD!J182+KNR!J182+KSD!J182+SHS!J182</f>
        <v>0</v>
      </c>
      <c r="K182" s="323">
        <f>TVM!K182+KLM!K182+PTA!K182+ALP!K182+KTM!K182+IDK!K182+EKM!K182+TSR!K182+PKD!K182+MLPM!K182+KKD!K182+WYD!K182+KNR!K182+KSD!K182+SHS!K182</f>
        <v>0</v>
      </c>
      <c r="L182" s="323">
        <f>TVM!L182+KLM!L182+PTA!L182+ALP!L182+KTM!L182+IDK!L182+EKM!L182+TSR!L182+PKD!L182+MLPM!L182+KKD!L182+WYD!L182+KNR!L182+KSD!L182+SHS!L182</f>
        <v>0</v>
      </c>
      <c r="M182" s="323">
        <f>TVM!M182+KLM!M182+PTA!M182+ALP!M182+KTM!M182+IDK!M182+EKM!M182+TSR!M182+PKD!M182+MLPM!M182+KKD!M182+WYD!M182+KNR!M182+KSD!M182+SHS!M182</f>
        <v>0</v>
      </c>
      <c r="N182" s="323">
        <f>TVM!N182+KLM!N182+PTA!N182+ALP!N182+KTM!N182+IDK!N182+EKM!N182+TSR!N182+PKD!N182+MLPM!N182+KKD!N182+WYD!N182+KNR!N182+KSD!N182+SHS!N182</f>
        <v>0</v>
      </c>
      <c r="O182" s="323">
        <f>TVM!O182+KLM!O182+PTA!O182+ALP!O182+KTM!O182+IDK!O182+EKM!O182+TSR!O182+PKD!O182+MLPM!O182+KKD!O182+WYD!O182+KNR!O182+KSD!O182+SHS!O182</f>
        <v>0</v>
      </c>
      <c r="P182" s="323">
        <f>TVM!P182+KLM!P182+PTA!P182+ALP!P182+KTM!P182+IDK!P182+EKM!P182+TSR!P182+PKD!P182+MLPM!P182+KKD!P182+WYD!P182+KNR!P182+KSD!P182+SHS!P182</f>
        <v>0</v>
      </c>
      <c r="Q182" s="323">
        <f>TVM!Q182+KLM!Q182+PTA!Q182+ALP!Q182+KTM!Q182+IDK!Q182+EKM!Q182+TSR!Q182+PKD!Q182+MLPM!Q182+KKD!Q182+WYD!Q182+KNR!Q182+KSD!Q182+SHS!Q182</f>
        <v>0</v>
      </c>
      <c r="R182" s="323">
        <f>TVM!R182+KLM!R182+PTA!R182+ALP!R182+KTM!R182+IDK!R182+EKM!R182+TSR!R182+PKD!R182+MLPM!R182+KKD!R182+WYD!R182+KNR!R182+KSD!R182+SHS!R182</f>
        <v>0</v>
      </c>
      <c r="S182" s="323">
        <f>TVM!S182+KLM!S182+PTA!S182+ALP!S182+KTM!S182+IDK!S182+EKM!S182+TSR!S182+PKD!S182+MLPM!S182+KKD!S182+WYD!S182+KNR!S182+KSD!S182+SHS!S182</f>
        <v>0</v>
      </c>
      <c r="T182" s="389">
        <f t="shared" si="9"/>
        <v>0</v>
      </c>
      <c r="U182" s="389">
        <f>TVM!U182+KLM!U182+PTA!U182+ALP!U182+KTM!U182+IDK!U182+EKM!U182+TSR!U182+PKD!U182+MLPM!U182+KKD!U182+WYD!U182+KNR!U182+KSD!U182+SHS!U182</f>
        <v>0</v>
      </c>
      <c r="V182" s="325"/>
      <c r="W182" s="333"/>
      <c r="X182" s="332">
        <v>0</v>
      </c>
      <c r="Y182" s="328">
        <f t="shared" si="1"/>
        <v>0</v>
      </c>
      <c r="Z182" s="314"/>
      <c r="AA182" s="314"/>
      <c r="AB182" s="314"/>
    </row>
    <row r="183" spans="1:28" ht="39.75" customHeight="1">
      <c r="A183" s="712"/>
      <c r="B183" s="707"/>
      <c r="C183" s="707"/>
      <c r="D183" s="320">
        <v>174</v>
      </c>
      <c r="E183" s="320" t="s">
        <v>350</v>
      </c>
      <c r="F183" s="323">
        <f>TVM!F183+KLM!F183+PTA!F183+ALP!F183+KTM!F183+IDK!F183+EKM!F183+TSR!F183+PKD!F183+MLPM!F183+KKD!F183+WYD!F183+KNR!F183+KSD!F183+SHS!F183</f>
        <v>0</v>
      </c>
      <c r="G183" s="323">
        <f>TVM!G183+KLM!G183+PTA!G183+ALP!G183+KTM!G183+IDK!G183+EKM!G183+TSR!G183+PKD!G183+MLPM!G183+KKD!G183+WYD!G183+KNR!G183+KSD!G183+SHS!G183</f>
        <v>0</v>
      </c>
      <c r="H183" s="323">
        <f>TVM!H183+KLM!H183+PTA!H183+ALP!H183+KTM!H183+IDK!H183+EKM!H183+TSR!H183+PKD!H183+MLPM!H183+KKD!H183+WYD!H183+KNR!H183+KSD!H183+SHS!H183</f>
        <v>0</v>
      </c>
      <c r="I183" s="323">
        <f>TVM!I183+KLM!I183+PTA!I183+ALP!I183+KTM!I183+IDK!I183+EKM!I183+TSR!I183+PKD!I183+MLPM!I183+KKD!I183+WYD!I183+KNR!I183+KSD!I183+SHS!I183</f>
        <v>0</v>
      </c>
      <c r="J183" s="323">
        <f>TVM!J183+KLM!J183+PTA!J183+ALP!J183+KTM!J183+IDK!J183+EKM!J183+TSR!J183+PKD!J183+MLPM!J183+KKD!J183+WYD!J183+KNR!J183+KSD!J183+SHS!J183</f>
        <v>0</v>
      </c>
      <c r="K183" s="323">
        <f>TVM!K183+KLM!K183+PTA!K183+ALP!K183+KTM!K183+IDK!K183+EKM!K183+TSR!K183+PKD!K183+MLPM!K183+KKD!K183+WYD!K183+KNR!K183+KSD!K183+SHS!K183</f>
        <v>0</v>
      </c>
      <c r="L183" s="323">
        <f>TVM!L183+KLM!L183+PTA!L183+ALP!L183+KTM!L183+IDK!L183+EKM!L183+TSR!L183+PKD!L183+MLPM!L183+KKD!L183+WYD!L183+KNR!L183+KSD!L183+SHS!L183</f>
        <v>0</v>
      </c>
      <c r="M183" s="323">
        <f>TVM!M183+KLM!M183+PTA!M183+ALP!M183+KTM!M183+IDK!M183+EKM!M183+TSR!M183+PKD!M183+MLPM!M183+KKD!M183+WYD!M183+KNR!M183+KSD!M183+SHS!M183</f>
        <v>0</v>
      </c>
      <c r="N183" s="323">
        <f>TVM!N183+KLM!N183+PTA!N183+ALP!N183+KTM!N183+IDK!N183+EKM!N183+TSR!N183+PKD!N183+MLPM!N183+KKD!N183+WYD!N183+KNR!N183+KSD!N183+SHS!N183</f>
        <v>0</v>
      </c>
      <c r="O183" s="323">
        <f>TVM!O183+KLM!O183+PTA!O183+ALP!O183+KTM!O183+IDK!O183+EKM!O183+TSR!O183+PKD!O183+MLPM!O183+KKD!O183+WYD!O183+KNR!O183+KSD!O183+SHS!O183</f>
        <v>0</v>
      </c>
      <c r="P183" s="329">
        <f>TVM!P183+KLM!P183+PTA!P183+ALP!P183+KTM!P183+IDK!P183+EKM!P183+TSR!P183+PKD!P183+MLPM!P183+KKD!P183+WYD!P183+KNR!P183+KSD!P183+SHS!P183</f>
        <v>0</v>
      </c>
      <c r="Q183" s="323">
        <f>TVM!Q183+KLM!Q183+PTA!Q183+ALP!Q183+KTM!Q183+IDK!Q183+EKM!Q183+TSR!Q183+PKD!Q183+MLPM!Q183+KKD!Q183+WYD!Q183+KNR!Q183+KSD!Q183+SHS!Q183</f>
        <v>0</v>
      </c>
      <c r="R183" s="323">
        <f>TVM!R183+KLM!R183+PTA!R183+ALP!R183+KTM!R183+IDK!R183+EKM!R183+TSR!R183+PKD!R183+MLPM!R183+KKD!R183+WYD!R183+KNR!R183+KSD!R183+SHS!R183</f>
        <v>0</v>
      </c>
      <c r="S183" s="323">
        <f>TVM!S183+KLM!S183+PTA!S183+ALP!S183+KTM!S183+IDK!S183+EKM!S183+TSR!S183+PKD!S183+MLPM!S183+KKD!S183+WYD!S183+KNR!S183+KSD!S183+SHS!S183</f>
        <v>0</v>
      </c>
      <c r="T183" s="389">
        <f t="shared" si="9"/>
        <v>0</v>
      </c>
      <c r="U183" s="389">
        <f>TVM!U183+KLM!U183+PTA!U183+ALP!U183+KTM!U183+IDK!U183+EKM!U183+TSR!U183+PKD!U183+MLPM!U183+KKD!U183+WYD!U183+KNR!U183+KSD!U183+SHS!U183</f>
        <v>0</v>
      </c>
      <c r="V183" s="325"/>
      <c r="W183" s="333"/>
      <c r="X183" s="332">
        <v>0</v>
      </c>
      <c r="Y183" s="328">
        <f t="shared" si="1"/>
        <v>0</v>
      </c>
      <c r="Z183" s="314"/>
      <c r="AA183" s="314"/>
      <c r="AB183" s="314"/>
    </row>
    <row r="184" spans="1:28" ht="259.5" customHeight="1">
      <c r="A184" s="712"/>
      <c r="B184" s="718" t="s">
        <v>351</v>
      </c>
      <c r="C184" s="718" t="s">
        <v>290</v>
      </c>
      <c r="D184" s="320">
        <v>175</v>
      </c>
      <c r="E184" s="320" t="s">
        <v>291</v>
      </c>
      <c r="F184" s="323">
        <f>TVM!F184+KLM!F184+PTA!F184+ALP!F184+KTM!F184+IDK!F184+EKM!F184+TSR!F184+PKD!F184+MLPM!F184+KKD!F184+WYD!F184+KNR!F184+KSD!F184+SHS!F184</f>
        <v>0</v>
      </c>
      <c r="G184" s="323">
        <f>TVM!G184+KLM!G184+PTA!G184+ALP!G184+KTM!G184+IDK!G184+EKM!G184+TSR!G184+PKD!G184+MLPM!G184+KKD!G184+WYD!G184+KNR!G184+KSD!G184+SHS!G184</f>
        <v>0</v>
      </c>
      <c r="H184" s="323">
        <f>TVM!H184+KLM!H184+PTA!H184+ALP!H184+KTM!H184+IDK!H184+EKM!H184+TSR!H184+PKD!H184+MLPM!H184+KKD!H184+WYD!H184+KNR!H184+KSD!H184+SHS!H184</f>
        <v>0</v>
      </c>
      <c r="I184" s="330">
        <f>TVM!I184+KLM!I184+PTA!I184+ALP!I184+KTM!I184+IDK!I184+EKM!I184+TSR!I184+PKD!I184+MLPM!I184+KKD!I184+WYD!I184+KNR!I184+KSD!I184+SHS!I184</f>
        <v>133.49999999999997</v>
      </c>
      <c r="J184" s="323">
        <f>TVM!J184+KLM!J184+PTA!J184+ALP!J184+KTM!J184+IDK!J184+EKM!J184+TSR!J184+PKD!J184+MLPM!J184+KKD!J184+WYD!J184+KNR!J184+KSD!J184+SHS!J184</f>
        <v>0</v>
      </c>
      <c r="K184" s="323">
        <f>TVM!K184+KLM!K184+PTA!K184+ALP!K184+KTM!K184+IDK!K184+EKM!K184+TSR!K184+PKD!K184+MLPM!K184+KKD!K184+WYD!K184+KNR!K184+KSD!K184+SHS!K184</f>
        <v>0</v>
      </c>
      <c r="L184" s="323">
        <f>TVM!L184+KLM!L184+PTA!L184+ALP!L184+KTM!L184+IDK!L184+EKM!L184+TSR!L184+PKD!L184+MLPM!L184+KKD!L184+WYD!L184+KNR!L184+KSD!L184+SHS!L184</f>
        <v>0</v>
      </c>
      <c r="M184" s="330">
        <f>TVM!M184+KLM!M184+PTA!M184+ALP!M184+KTM!M184+IDK!M184+EKM!M184+TSR!M184+PKD!M184+MLPM!M184+KKD!M184+WYD!M184+KNR!M184+KSD!M184+SHS!M184</f>
        <v>0</v>
      </c>
      <c r="N184" s="329">
        <f>TVM!N184+KLM!N184+PTA!N184+ALP!N184+KTM!N184+IDK!N184+EKM!N184+TSR!N184+PKD!N184+MLPM!N184+KKD!N184+WYD!N184+KNR!N184+KSD!N184+SHS!N184</f>
        <v>192.10500000000002</v>
      </c>
      <c r="O184" s="323">
        <f>TVM!O184+KLM!O184+PTA!O184+ALP!O184+KTM!O184+IDK!O184+EKM!O184+TSR!O184+PKD!O184+MLPM!O184+KKD!O184+WYD!O184+KNR!O184+KSD!O184+SHS!O184</f>
        <v>0</v>
      </c>
      <c r="P184" s="330">
        <f>TVM!P184+KLM!P184+PTA!P184+ALP!P184+KTM!P184+IDK!P184+EKM!P184+TSR!P184+PKD!P184+MLPM!P184+KKD!P184+WYD!P184+KNR!P184+KSD!P184+SHS!P184</f>
        <v>1685.73</v>
      </c>
      <c r="Q184" s="329">
        <f>TVM!Q184+KLM!Q184+PTA!Q184+ALP!Q184+KTM!Q184+IDK!Q184+EKM!Q184+TSR!Q184+PKD!Q184+MLPM!Q184+KKD!Q184+WYD!Q184+KNR!Q184+KSD!Q184+SHS!Q184</f>
        <v>14</v>
      </c>
      <c r="R184" s="330">
        <f>TVM!R184+KLM!R184+PTA!R184+ALP!R184+KTM!R184+IDK!R184+EKM!R184+TSR!R184+PKD!R184+MLPM!R184+KKD!R184+WYD!R184+KNR!R184+KSD!R184+SHS!R184</f>
        <v>12.259999999999998</v>
      </c>
      <c r="S184" s="330">
        <f>TVM!S184+KLM!S184+PTA!S184+ALP!S184+KTM!S184+IDK!S184+EKM!S184+TSR!S184+PKD!S184+MLPM!S184+KKD!S184+WYD!S184+KNR!S184+KSD!S184+SHS!S184</f>
        <v>0</v>
      </c>
      <c r="T184" s="402">
        <f t="shared" si="9"/>
        <v>2037.595</v>
      </c>
      <c r="U184" s="402">
        <f>TVM!U184+KLM!U184+PTA!U184+ALP!U184+KTM!U184+IDK!U184+EKM!U184+TSR!U184+PKD!U184+MLPM!U184+KKD!U184+WYD!U184+KNR!U184+KSD!U184+SHS!U184</f>
        <v>2646.6949999999997</v>
      </c>
      <c r="V184" s="448" t="s">
        <v>1526</v>
      </c>
      <c r="W184" s="449" t="s">
        <v>1527</v>
      </c>
      <c r="X184" s="332">
        <v>2499.13</v>
      </c>
      <c r="Y184" s="328">
        <f t="shared" si="1"/>
        <v>-461.53500000000008</v>
      </c>
      <c r="Z184" s="450"/>
      <c r="AA184" s="314"/>
      <c r="AB184" s="314"/>
    </row>
    <row r="185" spans="1:28" ht="271.5" customHeight="1">
      <c r="A185" s="712"/>
      <c r="B185" s="712"/>
      <c r="C185" s="712"/>
      <c r="D185" s="320">
        <v>176</v>
      </c>
      <c r="E185" s="320" t="s">
        <v>293</v>
      </c>
      <c r="F185" s="323">
        <f>TVM!F185+KLM!F185+PTA!F185+ALP!F185+KTM!F185+IDK!F185+EKM!F185+TSR!F185+PKD!F185+MLPM!F185+KKD!F185+WYD!F185+KNR!F185+KSD!F185+SHS!F185</f>
        <v>0</v>
      </c>
      <c r="G185" s="323">
        <f>TVM!G185+KLM!G185+PTA!G185+ALP!G185+KTM!G185+IDK!G185+EKM!G185+TSR!G185+PKD!G185+MLPM!G185+KKD!G185+WYD!G185+KNR!G185+KSD!G185+SHS!G185</f>
        <v>0</v>
      </c>
      <c r="H185" s="323">
        <f>TVM!H185+KLM!H185+PTA!H185+ALP!H185+KTM!H185+IDK!H185+EKM!H185+TSR!H185+PKD!H185+MLPM!H185+KKD!H185+WYD!H185+KNR!H185+KSD!H185+SHS!H185</f>
        <v>0</v>
      </c>
      <c r="I185" s="323">
        <f>TVM!I185+KLM!I185+PTA!I185+ALP!I185+KTM!I185+IDK!I185+EKM!I185+TSR!I185+PKD!I185+MLPM!I185+KKD!I185+WYD!I185+KNR!I185+KSD!I185+SHS!I185</f>
        <v>0</v>
      </c>
      <c r="J185" s="323">
        <f>TVM!J185+KLM!J185+PTA!J185+ALP!J185+KTM!J185+IDK!J185+EKM!J185+TSR!J185+PKD!J185+MLPM!J185+KKD!J185+WYD!J185+KNR!J185+KSD!J185+SHS!J185</f>
        <v>0</v>
      </c>
      <c r="K185" s="323">
        <f>TVM!K185+KLM!K185+PTA!K185+ALP!K185+KTM!K185+IDK!K185+EKM!K185+TSR!K185+PKD!K185+MLPM!K185+KKD!K185+WYD!K185+KNR!K185+KSD!K185+SHS!K185</f>
        <v>0</v>
      </c>
      <c r="L185" s="323">
        <f>TVM!L185+KLM!L185+PTA!L185+ALP!L185+KTM!L185+IDK!L185+EKM!L185+TSR!L185+PKD!L185+MLPM!L185+KKD!L185+WYD!L185+KNR!L185+KSD!L185+SHS!L185</f>
        <v>0</v>
      </c>
      <c r="M185" s="451">
        <f>TVM!M185+KLM!M185+PTA!M185+ALP!M185+KTM!M185+IDK!M185+EKM!M185+TSR!M185+PKD!M185+MLPM!M185+KKD!M185+WYD!M185+KNR!M185+KSD!M185+SHS!M185</f>
        <v>306.39999999999992</v>
      </c>
      <c r="N185" s="330">
        <f>TVM!N185+KLM!N185+PTA!N185+ALP!N185+KTM!N185+IDK!N185+EKM!N185+TSR!N185+PKD!N185+MLPM!N185+KKD!N185+WYD!N185+KNR!N185+KSD!N185+SHS!N185</f>
        <v>0</v>
      </c>
      <c r="O185" s="323">
        <f>TVM!O185+KLM!O185+PTA!O185+ALP!O185+KTM!O185+IDK!O185+EKM!O185+TSR!O185+PKD!O185+MLPM!O185+KKD!O185+WYD!O185+KNR!O185+KSD!O185+SHS!O185</f>
        <v>0</v>
      </c>
      <c r="P185" s="330">
        <f>TVM!P185+KLM!P185+PTA!P185+ALP!P185+KTM!P185+IDK!P185+EKM!P185+TSR!P185+PKD!P185+MLPM!P185+KKD!P185+WYD!P185+KNR!P185+KSD!P185+SHS!P185</f>
        <v>2134.02</v>
      </c>
      <c r="Q185" s="330">
        <f>TVM!Q185+KLM!Q185+PTA!Q185+ALP!Q185+KTM!Q185+IDK!Q185+EKM!Q185+TSR!Q185+PKD!Q185+MLPM!Q185+KKD!Q185+WYD!Q185+KNR!Q185+KSD!Q185+SHS!Q185</f>
        <v>109.1</v>
      </c>
      <c r="R185" s="323">
        <f>TVM!R185+KLM!R185+PTA!R185+ALP!R185+KTM!R185+IDK!R185+EKM!R185+TSR!R185+PKD!R185+MLPM!R185+KKD!R185+WYD!R185+KNR!R185+KSD!R185+SHS!R185</f>
        <v>0</v>
      </c>
      <c r="S185" s="323">
        <f>TVM!S185+KLM!S185+PTA!S185+ALP!S185+KTM!S185+IDK!S185+EKM!S185+TSR!S185+PKD!S185+MLPM!S185+KKD!S185+WYD!S185+KNR!S185+KSD!S185+SHS!S185</f>
        <v>0</v>
      </c>
      <c r="T185" s="402">
        <f t="shared" si="9"/>
        <v>2549.52</v>
      </c>
      <c r="U185" s="402">
        <f>TVM!U185+KLM!U185+PTA!U185+ALP!U185+KTM!U185+IDK!U185+EKM!U185+TSR!U185+PKD!U185+MLPM!U185+KKD!U185+WYD!U185+KNR!U185+KSD!U185+SHS!U185</f>
        <v>2549.52</v>
      </c>
      <c r="V185" s="13" t="s">
        <v>1528</v>
      </c>
      <c r="W185" s="13" t="s">
        <v>1529</v>
      </c>
      <c r="X185" s="332">
        <v>2143.77</v>
      </c>
      <c r="Y185" s="328">
        <f t="shared" si="1"/>
        <v>405.75</v>
      </c>
      <c r="Z185" s="314"/>
      <c r="AA185" s="314"/>
      <c r="AB185" s="314"/>
    </row>
    <row r="186" spans="1:28" ht="94.5">
      <c r="A186" s="712"/>
      <c r="B186" s="707"/>
      <c r="C186" s="707"/>
      <c r="D186" s="320">
        <v>177</v>
      </c>
      <c r="E186" s="320" t="s">
        <v>295</v>
      </c>
      <c r="F186" s="323">
        <f>TVM!F186+KLM!F186+PTA!F186+ALP!F186+KTM!F186+IDK!F186+EKM!F186+TSR!F186+PKD!F186+MLPM!F186+KKD!F186+WYD!F186+KNR!F186+KSD!F186+SHS!F186</f>
        <v>0</v>
      </c>
      <c r="G186" s="323">
        <f>TVM!G186+KLM!G186+PTA!G186+ALP!G186+KTM!G186+IDK!G186+EKM!G186+TSR!G186+PKD!G186+MLPM!G186+KKD!G186+WYD!G186+KNR!G186+KSD!G186+SHS!G186</f>
        <v>0</v>
      </c>
      <c r="H186" s="323">
        <f>TVM!H186+KLM!H186+PTA!H186+ALP!H186+KTM!H186+IDK!H186+EKM!H186+TSR!H186+PKD!H186+MLPM!H186+KKD!H186+WYD!H186+KNR!H186+KSD!H186+SHS!H186</f>
        <v>0</v>
      </c>
      <c r="I186" s="323">
        <f>TVM!I186+KLM!I186+PTA!I186+ALP!I186+KTM!I186+IDK!I186+EKM!I186+TSR!I186+PKD!I186+MLPM!I186+KKD!I186+WYD!I186+KNR!I186+KSD!I186+SHS!I186</f>
        <v>0</v>
      </c>
      <c r="J186" s="323">
        <f>TVM!J186+KLM!J186+PTA!J186+ALP!J186+KTM!J186+IDK!J186+EKM!J186+TSR!J186+PKD!J186+MLPM!J186+KKD!J186+WYD!J186+KNR!J186+KSD!J186+SHS!J186</f>
        <v>0</v>
      </c>
      <c r="K186" s="323">
        <f>TVM!K186+KLM!K186+PTA!K186+ALP!K186+KTM!K186+IDK!K186+EKM!K186+TSR!K186+PKD!K186+MLPM!K186+KKD!K186+WYD!K186+KNR!K186+KSD!K186+SHS!K186</f>
        <v>0</v>
      </c>
      <c r="L186" s="323">
        <f>TVM!L186+KLM!L186+PTA!L186+ALP!L186+KTM!L186+IDK!L186+EKM!L186+TSR!L186+PKD!L186+MLPM!L186+KKD!L186+WYD!L186+KNR!L186+KSD!L186+SHS!L186</f>
        <v>0</v>
      </c>
      <c r="M186" s="323">
        <f>TVM!M186+KLM!M186+PTA!M186+ALP!M186+KTM!M186+IDK!M186+EKM!M186+TSR!M186+PKD!M186+MLPM!M186+KKD!M186+WYD!M186+KNR!M186+KSD!M186+SHS!M186</f>
        <v>0</v>
      </c>
      <c r="N186" s="329">
        <f>TVM!N186+KLM!N186+PTA!N186+ALP!N186+KTM!N186+IDK!N186+EKM!N186+TSR!N186+PKD!N186+MLPM!N186+KKD!N186+WYD!N186+KNR!N186+KSD!N186+SHS!N186</f>
        <v>16</v>
      </c>
      <c r="O186" s="323">
        <f>TVM!O186+KLM!O186+PTA!O186+ALP!O186+KTM!O186+IDK!O186+EKM!O186+TSR!O186+PKD!O186+MLPM!O186+KKD!O186+WYD!O186+KNR!O186+KSD!O186+SHS!O186</f>
        <v>0</v>
      </c>
      <c r="P186" s="323">
        <f>TVM!P186+KLM!P186+PTA!P186+ALP!P186+KTM!P186+IDK!P186+EKM!P186+TSR!P186+PKD!P186+MLPM!P186+KKD!P186+WYD!P186+KNR!P186+KSD!P186+SHS!P186</f>
        <v>0</v>
      </c>
      <c r="Q186" s="323">
        <f>TVM!Q186+KLM!Q186+PTA!Q186+ALP!Q186+KTM!Q186+IDK!Q186+EKM!Q186+TSR!Q186+PKD!Q186+MLPM!Q186+KKD!Q186+WYD!Q186+KNR!Q186+KSD!Q186+SHS!Q186</f>
        <v>0</v>
      </c>
      <c r="R186" s="323">
        <f>TVM!R186+KLM!R186+PTA!R186+ALP!R186+KTM!R186+IDK!R186+EKM!R186+TSR!R186+PKD!R186+MLPM!R186+KKD!R186+WYD!R186+KNR!R186+KSD!R186+SHS!R186</f>
        <v>0</v>
      </c>
      <c r="S186" s="323">
        <f>TVM!S186+KLM!S186+PTA!S186+ALP!S186+KTM!S186+IDK!S186+EKM!S186+TSR!S186+PKD!S186+MLPM!S186+KKD!S186+WYD!S186+KNR!S186+KSD!S186+SHS!S186</f>
        <v>0</v>
      </c>
      <c r="T186" s="402">
        <f t="shared" si="9"/>
        <v>16</v>
      </c>
      <c r="U186" s="402">
        <f>TVM!U186+KLM!U186+PTA!U186+ALP!U186+KTM!U186+IDK!U186+EKM!U186+TSR!U186+PKD!U186+MLPM!U186+KKD!U186+WYD!U186+KNR!U186+KSD!U186+SHS!U186</f>
        <v>16</v>
      </c>
      <c r="V186" s="13" t="s">
        <v>1530</v>
      </c>
      <c r="W186" s="13" t="s">
        <v>1531</v>
      </c>
      <c r="X186" s="332">
        <v>16</v>
      </c>
      <c r="Y186" s="328">
        <f t="shared" si="1"/>
        <v>0</v>
      </c>
      <c r="Z186" s="314"/>
      <c r="AA186" s="314"/>
      <c r="AB186" s="314"/>
    </row>
    <row r="187" spans="1:28" ht="39.75" customHeight="1">
      <c r="A187" s="712"/>
      <c r="B187" s="718" t="s">
        <v>353</v>
      </c>
      <c r="C187" s="718" t="s">
        <v>354</v>
      </c>
      <c r="D187" s="320">
        <v>178</v>
      </c>
      <c r="E187" s="320" t="s">
        <v>355</v>
      </c>
      <c r="F187" s="323">
        <f>TVM!F187+KLM!F187+PTA!F187+ALP!F187+KTM!F187+IDK!F187+EKM!F187+TSR!F187+PKD!F187+MLPM!F187+KKD!F187+WYD!F187+KNR!F187+KSD!F187+SHS!F187</f>
        <v>0</v>
      </c>
      <c r="G187" s="323">
        <f>TVM!G187+KLM!G187+PTA!G187+ALP!G187+KTM!G187+IDK!G187+EKM!G187+TSR!G187+PKD!G187+MLPM!G187+KKD!G187+WYD!G187+KNR!G187+KSD!G187+SHS!G187</f>
        <v>0</v>
      </c>
      <c r="H187" s="323">
        <f>TVM!H187+KLM!H187+PTA!H187+ALP!H187+KTM!H187+IDK!H187+EKM!H187+TSR!H187+PKD!H187+MLPM!H187+KKD!H187+WYD!H187+KNR!H187+KSD!H187+SHS!H187</f>
        <v>0</v>
      </c>
      <c r="I187" s="323">
        <f>TVM!I187+KLM!I187+PTA!I187+ALP!I187+KTM!I187+IDK!I187+EKM!I187+TSR!I187+PKD!I187+MLPM!I187+KKD!I187+WYD!I187+KNR!I187+KSD!I187+SHS!I187</f>
        <v>0</v>
      </c>
      <c r="J187" s="323">
        <f>TVM!J187+KLM!J187+PTA!J187+ALP!J187+KTM!J187+IDK!J187+EKM!J187+TSR!J187+PKD!J187+MLPM!J187+KKD!J187+WYD!J187+KNR!J187+KSD!J187+SHS!J187</f>
        <v>0</v>
      </c>
      <c r="K187" s="323">
        <f>TVM!K187+KLM!K187+PTA!K187+ALP!K187+KTM!K187+IDK!K187+EKM!K187+TSR!K187+PKD!K187+MLPM!K187+KKD!K187+WYD!K187+KNR!K187+KSD!K187+SHS!K187</f>
        <v>0</v>
      </c>
      <c r="L187" s="323">
        <f>TVM!L187+KLM!L187+PTA!L187+ALP!L187+KTM!L187+IDK!L187+EKM!L187+TSR!L187+PKD!L187+MLPM!L187+KKD!L187+WYD!L187+KNR!L187+KSD!L187+SHS!L187</f>
        <v>0</v>
      </c>
      <c r="M187" s="323">
        <f>TVM!M187+KLM!M187+PTA!M187+ALP!M187+KTM!M187+IDK!M187+EKM!M187+TSR!M187+PKD!M187+MLPM!M187+KKD!M187+WYD!M187+KNR!M187+KSD!M187+SHS!M187</f>
        <v>0</v>
      </c>
      <c r="N187" s="323">
        <f>TVM!N187+KLM!N187+PTA!N187+ALP!N187+KTM!N187+IDK!N187+EKM!N187+TSR!N187+PKD!N187+MLPM!N187+KKD!N187+WYD!N187+KNR!N187+KSD!N187+SHS!N187</f>
        <v>0</v>
      </c>
      <c r="O187" s="323">
        <f>TVM!O187+KLM!O187+PTA!O187+ALP!O187+KTM!O187+IDK!O187+EKM!O187+TSR!O187+PKD!O187+MLPM!O187+KKD!O187+WYD!O187+KNR!O187+KSD!O187+SHS!O187</f>
        <v>0</v>
      </c>
      <c r="P187" s="323">
        <f>TVM!P187+KLM!P187+PTA!P187+ALP!P187+KTM!P187+IDK!P187+EKM!P187+TSR!P187+PKD!P187+MLPM!P187+KKD!P187+WYD!P187+KNR!P187+KSD!P187+SHS!P187</f>
        <v>154.44</v>
      </c>
      <c r="Q187" s="323">
        <f>TVM!Q187+KLM!Q187+PTA!Q187+ALP!Q187+KTM!Q187+IDK!Q187+EKM!Q187+TSR!Q187+PKD!Q187+MLPM!Q187+KKD!Q187+WYD!Q187+KNR!Q187+KSD!Q187+SHS!Q187</f>
        <v>0</v>
      </c>
      <c r="R187" s="323">
        <f>TVM!R187+KLM!R187+PTA!R187+ALP!R187+KTM!R187+IDK!R187+EKM!R187+TSR!R187+PKD!R187+MLPM!R187+KKD!R187+WYD!R187+KNR!R187+KSD!R187+SHS!R187</f>
        <v>0</v>
      </c>
      <c r="S187" s="323">
        <f>TVM!S187+KLM!S187+PTA!S187+ALP!S187+KTM!S187+IDK!S187+EKM!S187+TSR!S187+PKD!S187+MLPM!S187+KKD!S187+WYD!S187+KNR!S187+KSD!S187+SHS!S187</f>
        <v>0</v>
      </c>
      <c r="T187" s="402">
        <f t="shared" si="9"/>
        <v>154.44</v>
      </c>
      <c r="U187" s="402">
        <f>TVM!U187+KLM!U187+PTA!U187+ALP!U187+KTM!U187+IDK!U187+EKM!U187+TSR!U187+PKD!U187+MLPM!U187+KKD!U187+WYD!U187+KNR!U187+KSD!U187+SHS!U187</f>
        <v>154.44</v>
      </c>
      <c r="V187" s="452" t="s">
        <v>1532</v>
      </c>
      <c r="W187" s="452" t="s">
        <v>1533</v>
      </c>
      <c r="X187" s="453">
        <v>154.44</v>
      </c>
      <c r="Y187" s="454">
        <f t="shared" si="1"/>
        <v>0</v>
      </c>
      <c r="Z187" s="314"/>
      <c r="AA187" s="314"/>
      <c r="AB187" s="314"/>
    </row>
    <row r="188" spans="1:28" ht="39.75" customHeight="1">
      <c r="A188" s="712"/>
      <c r="B188" s="712"/>
      <c r="C188" s="712"/>
      <c r="D188" s="320">
        <v>179</v>
      </c>
      <c r="E188" s="320" t="s">
        <v>157</v>
      </c>
      <c r="F188" s="323">
        <f>TVM!F188+KLM!F188+PTA!F188+ALP!F188+KTM!F188+IDK!F188+EKM!F188+TSR!F188+PKD!F188+MLPM!F188+KKD!F188+WYD!F188+KNR!F188+KSD!F188+SHS!F188</f>
        <v>0</v>
      </c>
      <c r="G188" s="323">
        <f>TVM!G188+KLM!G188+PTA!G188+ALP!G188+KTM!G188+IDK!G188+EKM!G188+TSR!G188+PKD!G188+MLPM!G188+KKD!G188+WYD!G188+KNR!G188+KSD!G188+SHS!G188</f>
        <v>0</v>
      </c>
      <c r="H188" s="323">
        <f>TVM!H188+KLM!H188+PTA!H188+ALP!H188+KTM!H188+IDK!H188+EKM!H188+TSR!H188+PKD!H188+MLPM!H188+KKD!H188+WYD!H188+KNR!H188+KSD!H188+SHS!H188</f>
        <v>0</v>
      </c>
      <c r="I188" s="323">
        <f>TVM!I188+KLM!I188+PTA!I188+ALP!I188+KTM!I188+IDK!I188+EKM!I188+TSR!I188+PKD!I188+MLPM!I188+KKD!I188+WYD!I188+KNR!I188+KSD!I188+SHS!I188</f>
        <v>0</v>
      </c>
      <c r="J188" s="323">
        <f>TVM!J188+KLM!J188+PTA!J188+ALP!J188+KTM!J188+IDK!J188+EKM!J188+TSR!J188+PKD!J188+MLPM!J188+KKD!J188+WYD!J188+KNR!J188+KSD!J188+SHS!J188</f>
        <v>0</v>
      </c>
      <c r="K188" s="323">
        <f>TVM!K188+KLM!K188+PTA!K188+ALP!K188+KTM!K188+IDK!K188+EKM!K188+TSR!K188+PKD!K188+MLPM!K188+KKD!K188+WYD!K188+KNR!K188+KSD!K188+SHS!K188</f>
        <v>0</v>
      </c>
      <c r="L188" s="323">
        <f>TVM!L188+KLM!L188+PTA!L188+ALP!L188+KTM!L188+IDK!L188+EKM!L188+TSR!L188+PKD!L188+MLPM!L188+KKD!L188+WYD!L188+KNR!L188+KSD!L188+SHS!L188</f>
        <v>0</v>
      </c>
      <c r="M188" s="323">
        <f>TVM!M188+KLM!M188+PTA!M188+ALP!M188+KTM!M188+IDK!M188+EKM!M188+TSR!M188+PKD!M188+MLPM!M188+KKD!M188+WYD!M188+KNR!M188+KSD!M188+SHS!M188</f>
        <v>0</v>
      </c>
      <c r="N188" s="323">
        <f>TVM!N188+KLM!N188+PTA!N188+ALP!N188+KTM!N188+IDK!N188+EKM!N188+TSR!N188+PKD!N188+MLPM!N188+KKD!N188+WYD!N188+KNR!N188+KSD!N188+SHS!N188</f>
        <v>0</v>
      </c>
      <c r="O188" s="323">
        <f>TVM!O188+KLM!O188+PTA!O188+ALP!O188+KTM!O188+IDK!O188+EKM!O188+TSR!O188+PKD!O188+MLPM!O188+KKD!O188+WYD!O188+KNR!O188+KSD!O188+SHS!O188</f>
        <v>0</v>
      </c>
      <c r="P188" s="323">
        <f>TVM!P188+KLM!P188+PTA!P188+ALP!P188+KTM!P188+IDK!P188+EKM!P188+TSR!P188+PKD!P188+MLPM!P188+KKD!P188+WYD!P188+KNR!P188+KSD!P188+SHS!P188</f>
        <v>0</v>
      </c>
      <c r="Q188" s="323">
        <f>TVM!Q188+KLM!Q188+PTA!Q188+ALP!Q188+KTM!Q188+IDK!Q188+EKM!Q188+TSR!Q188+PKD!Q188+MLPM!Q188+KKD!Q188+WYD!Q188+KNR!Q188+KSD!Q188+SHS!Q188</f>
        <v>0</v>
      </c>
      <c r="R188" s="323">
        <f>TVM!R188+KLM!R188+PTA!R188+ALP!R188+KTM!R188+IDK!R188+EKM!R188+TSR!R188+PKD!R188+MLPM!R188+KKD!R188+WYD!R188+KNR!R188+KSD!R188+SHS!R188</f>
        <v>0</v>
      </c>
      <c r="S188" s="323">
        <f>TVM!S188+KLM!S188+PTA!S188+ALP!S188+KTM!S188+IDK!S188+EKM!S188+TSR!S188+PKD!S188+MLPM!S188+KKD!S188+WYD!S188+KNR!S188+KSD!S188+SHS!S188</f>
        <v>0</v>
      </c>
      <c r="T188" s="402">
        <f t="shared" si="9"/>
        <v>0</v>
      </c>
      <c r="U188" s="402">
        <f>TVM!U188+KLM!U188+PTA!U188+ALP!U188+KTM!U188+IDK!U188+EKM!U188+TSR!U188+PKD!U188+MLPM!U188+KKD!U188+WYD!U188+KNR!U188+KSD!U188+SHS!U188</f>
        <v>0</v>
      </c>
      <c r="V188" s="325"/>
      <c r="W188" s="333"/>
      <c r="X188" s="332">
        <v>0</v>
      </c>
      <c r="Y188" s="328">
        <f t="shared" si="1"/>
        <v>0</v>
      </c>
      <c r="Z188" s="314"/>
      <c r="AA188" s="314"/>
      <c r="AB188" s="314"/>
    </row>
    <row r="189" spans="1:28" ht="110.25">
      <c r="A189" s="712"/>
      <c r="B189" s="712"/>
      <c r="C189" s="712"/>
      <c r="D189" s="320">
        <v>180</v>
      </c>
      <c r="E189" s="320" t="s">
        <v>356</v>
      </c>
      <c r="F189" s="323">
        <f>TVM!F189+KLM!F189+PTA!F189+ALP!F189+KTM!F189+IDK!F189+EKM!F189+TSR!F189+PKD!F189+MLPM!F189+KKD!F189+WYD!F189+KNR!F189+KSD!F189+SHS!F189</f>
        <v>0</v>
      </c>
      <c r="G189" s="323">
        <f>TVM!G189+KLM!G189+PTA!G189+ALP!G189+KTM!G189+IDK!G189+EKM!G189+TSR!G189+PKD!G189+MLPM!G189+KKD!G189+WYD!G189+KNR!G189+KSD!G189+SHS!G189</f>
        <v>0</v>
      </c>
      <c r="H189" s="323">
        <f>TVM!H189+KLM!H189+PTA!H189+ALP!H189+KTM!H189+IDK!H189+EKM!H189+TSR!H189+PKD!H189+MLPM!H189+KKD!H189+WYD!H189+KNR!H189+KSD!H189+SHS!H189</f>
        <v>0</v>
      </c>
      <c r="I189" s="323">
        <f>TVM!I189+KLM!I189+PTA!I189+ALP!I189+KTM!I189+IDK!I189+EKM!I189+TSR!I189+PKD!I189+MLPM!I189+KKD!I189+WYD!I189+KNR!I189+KSD!I189+SHS!I189</f>
        <v>0</v>
      </c>
      <c r="J189" s="323">
        <f>TVM!J189+KLM!J189+PTA!J189+ALP!J189+KTM!J189+IDK!J189+EKM!J189+TSR!J189+PKD!J189+MLPM!J189+KKD!J189+WYD!J189+KNR!J189+KSD!J189+SHS!J189</f>
        <v>0</v>
      </c>
      <c r="K189" s="329">
        <f>TVM!K189+KLM!K189+PTA!K189+ALP!K189+KTM!K189+IDK!K189+EKM!K189+TSR!K189+PKD!K189+MLPM!K189+KKD!K189+WYD!K189+KNR!K189+KSD!K189+SHS!K189</f>
        <v>3995</v>
      </c>
      <c r="L189" s="323">
        <f>TVM!L189+KLM!L189+PTA!L189+ALP!L189+KTM!L189+IDK!L189+EKM!L189+TSR!L189+PKD!L189+MLPM!L189+KKD!L189+WYD!L189+KNR!L189+KSD!L189+SHS!L189</f>
        <v>0</v>
      </c>
      <c r="M189" s="323">
        <f>TVM!M189+KLM!M189+PTA!M189+ALP!M189+KTM!M189+IDK!M189+EKM!M189+TSR!M189+PKD!M189+MLPM!M189+KKD!M189+WYD!M189+KNR!M189+KSD!M189+SHS!M189</f>
        <v>0</v>
      </c>
      <c r="N189" s="323">
        <f>TVM!N189+KLM!N189+PTA!N189+ALP!N189+KTM!N189+IDK!N189+EKM!N189+TSR!N189+PKD!N189+MLPM!N189+KKD!N189+WYD!N189+KNR!N189+KSD!N189+SHS!N189</f>
        <v>0</v>
      </c>
      <c r="O189" s="323">
        <f>TVM!O189+KLM!O189+PTA!O189+ALP!O189+KTM!O189+IDK!O189+EKM!O189+TSR!O189+PKD!O189+MLPM!O189+KKD!O189+WYD!O189+KNR!O189+KSD!O189+SHS!O189</f>
        <v>0</v>
      </c>
      <c r="P189" s="330">
        <f>TVM!P189+KLM!P189+PTA!P189+ALP!P189+KTM!P189+IDK!P189+EKM!P189+TSR!P189+PKD!P189+MLPM!P189+KKD!P189+WYD!P189+KNR!P189+KSD!P189+SHS!P189</f>
        <v>0</v>
      </c>
      <c r="Q189" s="323">
        <f>TVM!Q189+KLM!Q189+PTA!Q189+ALP!Q189+KTM!Q189+IDK!Q189+EKM!Q189+TSR!Q189+PKD!Q189+MLPM!Q189+KKD!Q189+WYD!Q189+KNR!Q189+KSD!Q189+SHS!Q189</f>
        <v>0</v>
      </c>
      <c r="R189" s="323">
        <f>TVM!R189+KLM!R189+PTA!R189+ALP!R189+KTM!R189+IDK!R189+EKM!R189+TSR!R189+PKD!R189+MLPM!R189+KKD!R189+WYD!R189+KNR!R189+KSD!R189+SHS!R189</f>
        <v>0</v>
      </c>
      <c r="S189" s="323">
        <f>TVM!S189+KLM!S189+PTA!S189+ALP!S189+KTM!S189+IDK!S189+EKM!S189+TSR!S189+PKD!S189+MLPM!S189+KKD!S189+WYD!S189+KNR!S189+KSD!S189+SHS!S189</f>
        <v>0</v>
      </c>
      <c r="T189" s="402">
        <f t="shared" si="9"/>
        <v>3995</v>
      </c>
      <c r="U189" s="402">
        <f>TVM!U189+KLM!U189+PTA!U189+ALP!U189+KTM!U189+IDK!U189+EKM!U189+TSR!U189+PKD!U189+MLPM!U189+KKD!U189+WYD!U189+KNR!U189+KSD!U189+SHS!U189</f>
        <v>3995</v>
      </c>
      <c r="V189" s="13" t="s">
        <v>1534</v>
      </c>
      <c r="W189" s="13" t="s">
        <v>1535</v>
      </c>
      <c r="X189" s="332">
        <v>25169</v>
      </c>
      <c r="Y189" s="328">
        <f t="shared" si="1"/>
        <v>-21174</v>
      </c>
      <c r="Z189" s="314"/>
      <c r="AA189" s="314"/>
      <c r="AB189" s="314"/>
    </row>
    <row r="190" spans="1:28" ht="51" customHeight="1">
      <c r="A190" s="712"/>
      <c r="B190" s="712"/>
      <c r="C190" s="712"/>
      <c r="D190" s="320">
        <v>181</v>
      </c>
      <c r="E190" s="320" t="s">
        <v>357</v>
      </c>
      <c r="F190" s="323">
        <f>TVM!F190+KLM!F190+PTA!F190+ALP!F190+KTM!F190+IDK!F190+EKM!F190+TSR!F190+PKD!F190+MLPM!F190+KKD!F190+WYD!F190+KNR!F190+KSD!F190+SHS!F190</f>
        <v>0</v>
      </c>
      <c r="G190" s="323">
        <f>TVM!G190+KLM!G190+PTA!G190+ALP!G190+KTM!G190+IDK!G190+EKM!G190+TSR!G190+PKD!G190+MLPM!G190+KKD!G190+WYD!G190+KNR!G190+KSD!G190+SHS!G190</f>
        <v>0</v>
      </c>
      <c r="H190" s="323">
        <f>TVM!H190+KLM!H190+PTA!H190+ALP!H190+KTM!H190+IDK!H190+EKM!H190+TSR!H190+PKD!H190+MLPM!H190+KKD!H190+WYD!H190+KNR!H190+KSD!H190+SHS!H190</f>
        <v>0</v>
      </c>
      <c r="I190" s="323">
        <f>TVM!I190+KLM!I190+PTA!I190+ALP!I190+KTM!I190+IDK!I190+EKM!I190+TSR!I190+PKD!I190+MLPM!I190+KKD!I190+WYD!I190+KNR!I190+KSD!I190+SHS!I190</f>
        <v>0</v>
      </c>
      <c r="J190" s="323">
        <f>TVM!J190+KLM!J190+PTA!J190+ALP!J190+KTM!J190+IDK!J190+EKM!J190+TSR!J190+PKD!J190+MLPM!J190+KKD!J190+WYD!J190+KNR!J190+KSD!J190+SHS!J190</f>
        <v>0</v>
      </c>
      <c r="K190" s="323">
        <f>TVM!K190+KLM!K190+PTA!K190+ALP!K190+KTM!K190+IDK!K190+EKM!K190+TSR!K190+PKD!K190+MLPM!K190+KKD!K190+WYD!K190+KNR!K190+KSD!K190+SHS!K190</f>
        <v>0</v>
      </c>
      <c r="L190" s="323">
        <f>TVM!L190+KLM!L190+PTA!L190+ALP!L190+KTM!L190+IDK!L190+EKM!L190+TSR!L190+PKD!L190+MLPM!L190+KKD!L190+WYD!L190+KNR!L190+KSD!L190+SHS!L190</f>
        <v>0</v>
      </c>
      <c r="M190" s="323">
        <f>TVM!M190+KLM!M190+PTA!M190+ALP!M190+KTM!M190+IDK!M190+EKM!M190+TSR!M190+PKD!M190+MLPM!M190+KKD!M190+WYD!M190+KNR!M190+KSD!M190+SHS!M190</f>
        <v>861</v>
      </c>
      <c r="N190" s="323">
        <f>TVM!N190+KLM!N190+PTA!N190+ALP!N190+KTM!N190+IDK!N190+EKM!N190+TSR!N190+PKD!N190+MLPM!N190+KKD!N190+WYD!N190+KNR!N190+KSD!N190+SHS!N190</f>
        <v>0</v>
      </c>
      <c r="O190" s="323">
        <f>TVM!O190+KLM!O190+PTA!O190+ALP!O190+KTM!O190+IDK!O190+EKM!O190+TSR!O190+PKD!O190+MLPM!O190+KKD!O190+WYD!O190+KNR!O190+KSD!O190+SHS!O190</f>
        <v>0</v>
      </c>
      <c r="P190" s="323">
        <f>TVM!P190+KLM!P190+PTA!P190+ALP!P190+KTM!P190+IDK!P190+EKM!P190+TSR!P190+PKD!P190+MLPM!P190+KKD!P190+WYD!P190+KNR!P190+KSD!P190+SHS!P190</f>
        <v>0</v>
      </c>
      <c r="Q190" s="323">
        <f>TVM!Q190+KLM!Q190+PTA!Q190+ALP!Q190+KTM!Q190+IDK!Q190+EKM!Q190+TSR!Q190+PKD!Q190+MLPM!Q190+KKD!Q190+WYD!Q190+KNR!Q190+KSD!Q190+SHS!Q190</f>
        <v>0</v>
      </c>
      <c r="R190" s="323">
        <f>TVM!R190+KLM!R190+PTA!R190+ALP!R190+KTM!R190+IDK!R190+EKM!R190+TSR!R190+PKD!R190+MLPM!R190+KKD!R190+WYD!R190+KNR!R190+KSD!R190+SHS!R190</f>
        <v>0</v>
      </c>
      <c r="S190" s="323">
        <f>TVM!S190+KLM!S190+PTA!S190+ALP!S190+KTM!S190+IDK!S190+EKM!S190+TSR!S190+PKD!S190+MLPM!S190+KKD!S190+WYD!S190+KNR!S190+KSD!S190+SHS!S190</f>
        <v>0</v>
      </c>
      <c r="T190" s="324">
        <f t="shared" si="9"/>
        <v>861</v>
      </c>
      <c r="U190" s="324">
        <f>TVM!U190+KLM!U190+PTA!U190+ALP!U190+KTM!U190+IDK!U190+EKM!U190+TSR!U190+PKD!U190+MLPM!U190+KKD!U190+WYD!U190+KNR!U190+KSD!U190+SHS!U190</f>
        <v>991.95</v>
      </c>
      <c r="V190" s="455" t="s">
        <v>1536</v>
      </c>
      <c r="W190" s="455" t="s">
        <v>1537</v>
      </c>
      <c r="X190" s="332">
        <v>0</v>
      </c>
      <c r="Y190" s="328">
        <f t="shared" si="1"/>
        <v>861</v>
      </c>
      <c r="Z190" s="314"/>
      <c r="AA190" s="314"/>
      <c r="AB190" s="314"/>
    </row>
    <row r="191" spans="1:28" ht="39.75" customHeight="1">
      <c r="A191" s="712"/>
      <c r="B191" s="712"/>
      <c r="C191" s="712"/>
      <c r="D191" s="320">
        <v>182</v>
      </c>
      <c r="E191" s="320" t="s">
        <v>358</v>
      </c>
      <c r="F191" s="323">
        <f>TVM!F191+KLM!F191+PTA!F191+ALP!F191+KTM!F191+IDK!F191+EKM!F191+TSR!F191+PKD!F191+MLPM!F191+KKD!F191+WYD!F191+KNR!F191+KSD!F191+SHS!F191</f>
        <v>0</v>
      </c>
      <c r="G191" s="323">
        <f>TVM!G191+KLM!G191+PTA!G191+ALP!G191+KTM!G191+IDK!G191+EKM!G191+TSR!G191+PKD!G191+MLPM!G191+KKD!G191+WYD!G191+KNR!G191+KSD!G191+SHS!G191</f>
        <v>0</v>
      </c>
      <c r="H191" s="323">
        <f>TVM!H191+KLM!H191+PTA!H191+ALP!H191+KTM!H191+IDK!H191+EKM!H191+TSR!H191+PKD!H191+MLPM!H191+KKD!H191+WYD!H191+KNR!H191+KSD!H191+SHS!H191</f>
        <v>0</v>
      </c>
      <c r="I191" s="323">
        <f>TVM!I191+KLM!I191+PTA!I191+ALP!I191+KTM!I191+IDK!I191+EKM!I191+TSR!I191+PKD!I191+MLPM!I191+KKD!I191+WYD!I191+KNR!I191+KSD!I191+SHS!I191</f>
        <v>0</v>
      </c>
      <c r="J191" s="323">
        <f>TVM!J191+KLM!J191+PTA!J191+ALP!J191+KTM!J191+IDK!J191+EKM!J191+TSR!J191+PKD!J191+MLPM!J191+KKD!J191+WYD!J191+KNR!J191+KSD!J191+SHS!J191</f>
        <v>0</v>
      </c>
      <c r="K191" s="323">
        <f>TVM!K191+KLM!K191+PTA!K191+ALP!K191+KTM!K191+IDK!K191+EKM!K191+TSR!K191+PKD!K191+MLPM!K191+KKD!K191+WYD!K191+KNR!K191+KSD!K191+SHS!K191</f>
        <v>0</v>
      </c>
      <c r="L191" s="323">
        <f>TVM!L191+KLM!L191+PTA!L191+ALP!L191+KTM!L191+IDK!L191+EKM!L191+TSR!L191+PKD!L191+MLPM!L191+KKD!L191+WYD!L191+KNR!L191+KSD!L191+SHS!L191</f>
        <v>0</v>
      </c>
      <c r="M191" s="323">
        <f>TVM!M191+KLM!M191+PTA!M191+ALP!M191+KTM!M191+IDK!M191+EKM!M191+TSR!M191+PKD!M191+MLPM!M191+KKD!M191+WYD!M191+KNR!M191+KSD!M191+SHS!M191</f>
        <v>0</v>
      </c>
      <c r="N191" s="323">
        <f>TVM!N191+KLM!N191+PTA!N191+ALP!N191+KTM!N191+IDK!N191+EKM!N191+TSR!N191+PKD!N191+MLPM!N191+KKD!N191+WYD!N191+KNR!N191+KSD!N191+SHS!N191</f>
        <v>0</v>
      </c>
      <c r="O191" s="323">
        <f>TVM!O191+KLM!O191+PTA!O191+ALP!O191+KTM!O191+IDK!O191+EKM!O191+TSR!O191+PKD!O191+MLPM!O191+KKD!O191+WYD!O191+KNR!O191+KSD!O191+SHS!O191</f>
        <v>0</v>
      </c>
      <c r="P191" s="329">
        <f>TVM!P191+KLM!P191+PTA!P191+ALP!P191+KTM!P191+IDK!P191+EKM!P191+TSR!P191+PKD!P191+MLPM!P191+KKD!P191+WYD!P191+KNR!P191+KSD!P191+SHS!P191</f>
        <v>240.83999999999997</v>
      </c>
      <c r="Q191" s="323">
        <f>TVM!Q191+KLM!Q191+PTA!Q191+ALP!Q191+KTM!Q191+IDK!Q191+EKM!Q191+TSR!Q191+PKD!Q191+MLPM!Q191+KKD!Q191+WYD!Q191+KNR!Q191+KSD!Q191+SHS!Q191</f>
        <v>0</v>
      </c>
      <c r="R191" s="323">
        <f>TVM!R191+KLM!R191+PTA!R191+ALP!R191+KTM!R191+IDK!R191+EKM!R191+TSR!R191+PKD!R191+MLPM!R191+KKD!R191+WYD!R191+KNR!R191+KSD!R191+SHS!R191</f>
        <v>0</v>
      </c>
      <c r="S191" s="323">
        <f>TVM!S191+KLM!S191+PTA!S191+ALP!S191+KTM!S191+IDK!S191+EKM!S191+TSR!S191+PKD!S191+MLPM!S191+KKD!S191+WYD!S191+KNR!S191+KSD!S191+SHS!S191</f>
        <v>0</v>
      </c>
      <c r="T191" s="324">
        <f t="shared" si="9"/>
        <v>240.83999999999997</v>
      </c>
      <c r="U191" s="324">
        <f>TVM!U191+KLM!U191+PTA!U191+ALP!U191+KTM!U191+IDK!U191+EKM!U191+TSR!U191+PKD!U191+MLPM!U191+KKD!U191+WYD!U191+KNR!U191+KSD!U191+SHS!U191</f>
        <v>252.88200000000003</v>
      </c>
      <c r="V191" s="13" t="s">
        <v>1538</v>
      </c>
      <c r="W191" s="13" t="s">
        <v>1538</v>
      </c>
      <c r="X191" s="426">
        <v>393.12</v>
      </c>
      <c r="Y191" s="328">
        <f t="shared" si="1"/>
        <v>-152.28000000000003</v>
      </c>
      <c r="Z191" s="314"/>
      <c r="AA191" s="314"/>
      <c r="AB191" s="314"/>
    </row>
    <row r="192" spans="1:28" ht="252">
      <c r="A192" s="712"/>
      <c r="B192" s="707"/>
      <c r="C192" s="707"/>
      <c r="D192" s="320">
        <v>183</v>
      </c>
      <c r="E192" s="320" t="s">
        <v>360</v>
      </c>
      <c r="F192" s="323">
        <f>TVM!F192+KLM!F192+PTA!F192+ALP!F192+KTM!F192+IDK!F192+EKM!F192+TSR!F192+PKD!F192+MLPM!F192+KKD!F192+WYD!F192+KNR!F192+KSD!F192+SHS!F192</f>
        <v>0</v>
      </c>
      <c r="G192" s="323">
        <f>TVM!G192+KLM!G192+PTA!G192+ALP!G192+KTM!G192+IDK!G192+EKM!G192+TSR!G192+PKD!G192+MLPM!G192+KKD!G192+WYD!G192+KNR!G192+KSD!G192+SHS!G192</f>
        <v>0</v>
      </c>
      <c r="H192" s="323">
        <f>TVM!H192+KLM!H192+PTA!H192+ALP!H192+KTM!H192+IDK!H192+EKM!H192+TSR!H192+PKD!H192+MLPM!H192+KKD!H192+WYD!H192+KNR!H192+KSD!H192+SHS!H192</f>
        <v>0</v>
      </c>
      <c r="I192" s="323">
        <f>TVM!I192+KLM!I192+PTA!I192+ALP!I192+KTM!I192+IDK!I192+EKM!I192+TSR!I192+PKD!I192+MLPM!I192+KKD!I192+WYD!I192+KNR!I192+KSD!I192+SHS!I192</f>
        <v>0</v>
      </c>
      <c r="J192" s="323">
        <f>TVM!J192+KLM!J192+PTA!J192+ALP!J192+KTM!J192+IDK!J192+EKM!J192+TSR!J192+PKD!J192+MLPM!J192+KKD!J192+WYD!J192+KNR!J192+KSD!J192+SHS!J192</f>
        <v>0</v>
      </c>
      <c r="K192" s="323">
        <f>TVM!K192+KLM!K192+PTA!K192+ALP!K192+KTM!K192+IDK!K192+EKM!K192+TSR!K192+PKD!K192+MLPM!K192+KKD!K192+WYD!K192+KNR!K192+KSD!K192+SHS!K192</f>
        <v>0</v>
      </c>
      <c r="L192" s="323">
        <f>TVM!L192+KLM!L192+PTA!L192+ALP!L192+KTM!L192+IDK!L192+EKM!L192+TSR!L192+PKD!L192+MLPM!L192+KKD!L192+WYD!L192+KNR!L192+KSD!L192+SHS!L192</f>
        <v>0</v>
      </c>
      <c r="M192" s="323">
        <f>TVM!M192+KLM!M192+PTA!M192+ALP!M192+KTM!M192+IDK!M192+EKM!M192+TSR!M192+PKD!M192+MLPM!M192+KKD!M192+WYD!M192+KNR!M192+KSD!M192+SHS!M192</f>
        <v>0</v>
      </c>
      <c r="N192" s="323">
        <f>TVM!N192+KLM!N192+PTA!N192+ALP!N192+KTM!N192+IDK!N192+EKM!N192+TSR!N192+PKD!N192+MLPM!N192+KKD!N192+WYD!N192+KNR!N192+KSD!N192+SHS!N192</f>
        <v>14</v>
      </c>
      <c r="O192" s="323">
        <f>TVM!O192+KLM!O192+PTA!O192+ALP!O192+KTM!O192+IDK!O192+EKM!O192+TSR!O192+PKD!O192+MLPM!O192+KKD!O192+WYD!O192+KNR!O192+KSD!O192+SHS!O192</f>
        <v>0</v>
      </c>
      <c r="P192" s="330">
        <f>TVM!P192+KLM!P192+PTA!P192+ALP!P192+KTM!P192+IDK!P192+EKM!P192+TSR!P192+PKD!P192+MLPM!P192+KKD!P192+WYD!P192+KNR!P192+KSD!P192+SHS!P192</f>
        <v>69.790000000000006</v>
      </c>
      <c r="Q192" s="323">
        <f>TVM!Q192+KLM!Q192+PTA!Q192+ALP!Q192+KTM!Q192+IDK!Q192+EKM!Q192+TSR!Q192+PKD!Q192+MLPM!Q192+KKD!Q192+WYD!Q192+KNR!Q192+KSD!Q192+SHS!Q192</f>
        <v>0</v>
      </c>
      <c r="R192" s="323">
        <f>TVM!R192+KLM!R192+PTA!R192+ALP!R192+KTM!R192+IDK!R192+EKM!R192+TSR!R192+PKD!R192+MLPM!R192+KKD!R192+WYD!R192+KNR!R192+KSD!R192+SHS!R192</f>
        <v>0</v>
      </c>
      <c r="S192" s="323">
        <f>TVM!S192+KLM!S192+PTA!S192+ALP!S192+KTM!S192+IDK!S192+EKM!S192+TSR!S192+PKD!S192+MLPM!S192+KKD!S192+WYD!S192+KNR!S192+KSD!S192+SHS!S192</f>
        <v>3.5</v>
      </c>
      <c r="T192" s="324">
        <f t="shared" si="9"/>
        <v>87.29</v>
      </c>
      <c r="U192" s="324">
        <f>TVM!U192+KLM!U192+PTA!U192+ALP!U192+KTM!U192+IDK!U192+EKM!U192+TSR!U192+PKD!U192+MLPM!U192+KKD!U192+WYD!U192+KNR!U192+KSD!U192+SHS!U192</f>
        <v>39.950000000000003</v>
      </c>
      <c r="V192" s="13" t="s">
        <v>1539</v>
      </c>
      <c r="W192" s="339" t="s">
        <v>1540</v>
      </c>
      <c r="X192" s="332">
        <v>321.75</v>
      </c>
      <c r="Y192" s="328">
        <f t="shared" si="1"/>
        <v>-234.45999999999998</v>
      </c>
      <c r="Z192" s="314"/>
      <c r="AA192" s="314"/>
      <c r="AB192" s="314"/>
    </row>
    <row r="193" spans="1:28" ht="78.75">
      <c r="A193" s="712"/>
      <c r="B193" s="320" t="s">
        <v>361</v>
      </c>
      <c r="C193" s="320" t="s">
        <v>362</v>
      </c>
      <c r="D193" s="320">
        <v>184</v>
      </c>
      <c r="E193" s="320" t="s">
        <v>363</v>
      </c>
      <c r="F193" s="323">
        <f>TVM!F193+KLM!F193+PTA!F193+ALP!F193+KTM!F193+IDK!F193+EKM!F193+TSR!F193+PKD!F193+MLPM!F193+KKD!F193+WYD!F193+KNR!F193+KSD!F193+SHS!F193</f>
        <v>0</v>
      </c>
      <c r="G193" s="323">
        <f>TVM!G193+KLM!G193+PTA!G193+ALP!G193+KTM!G193+IDK!G193+EKM!G193+TSR!G193+PKD!G193+MLPM!G193+KKD!G193+WYD!G193+KNR!G193+KSD!G193+SHS!G193</f>
        <v>0</v>
      </c>
      <c r="H193" s="323">
        <f>TVM!H193+KLM!H193+PTA!H193+ALP!H193+KTM!H193+IDK!H193+EKM!H193+TSR!H193+PKD!H193+MLPM!H193+KKD!H193+WYD!H193+KNR!H193+KSD!H193+SHS!H193</f>
        <v>0</v>
      </c>
      <c r="I193" s="323">
        <f>TVM!I193+KLM!I193+PTA!I193+ALP!I193+KTM!I193+IDK!I193+EKM!I193+TSR!I193+PKD!I193+MLPM!I193+KKD!I193+WYD!I193+KNR!I193+KSD!I193+SHS!I193</f>
        <v>2700</v>
      </c>
      <c r="J193" s="323">
        <f>TVM!J193+KLM!J193+PTA!J193+ALP!J193+KTM!J193+IDK!J193+EKM!J193+TSR!J193+PKD!J193+MLPM!J193+KKD!J193+WYD!J193+KNR!J193+KSD!J193+SHS!J193</f>
        <v>0</v>
      </c>
      <c r="K193" s="323">
        <f>TVM!K193+KLM!K193+PTA!K193+ALP!K193+KTM!K193+IDK!K193+EKM!K193+TSR!K193+PKD!K193+MLPM!K193+KKD!K193+WYD!K193+KNR!K193+KSD!K193+SHS!K193</f>
        <v>0</v>
      </c>
      <c r="L193" s="323">
        <f>TVM!L193+KLM!L193+PTA!L193+ALP!L193+KTM!L193+IDK!L193+EKM!L193+TSR!L193+PKD!L193+MLPM!L193+KKD!L193+WYD!L193+KNR!L193+KSD!L193+SHS!L193</f>
        <v>0</v>
      </c>
      <c r="M193" s="323">
        <f>TVM!M193+KLM!M193+PTA!M193+ALP!M193+KTM!M193+IDK!M193+EKM!M193+TSR!M193+PKD!M193+MLPM!M193+KKD!M193+WYD!M193+KNR!M193+KSD!M193+SHS!M193</f>
        <v>0</v>
      </c>
      <c r="N193" s="323">
        <f>TVM!N193+KLM!N193+PTA!N193+ALP!N193+KTM!N193+IDK!N193+EKM!N193+TSR!N193+PKD!N193+MLPM!N193+KKD!N193+WYD!N193+KNR!N193+KSD!N193+SHS!N193</f>
        <v>0</v>
      </c>
      <c r="O193" s="323">
        <f>TVM!O193+KLM!O193+PTA!O193+ALP!O193+KTM!O193+IDK!O193+EKM!O193+TSR!O193+PKD!O193+MLPM!O193+KKD!O193+WYD!O193+KNR!O193+KSD!O193+SHS!O193</f>
        <v>0</v>
      </c>
      <c r="P193" s="329">
        <f>TVM!P193+KLM!P193+PTA!P193+ALP!P193+KTM!P193+IDK!P193+EKM!P193+TSR!P193+PKD!P193+MLPM!P193+KKD!P193+WYD!P193+KNR!P193+KSD!P193+SHS!P193</f>
        <v>0</v>
      </c>
      <c r="Q193" s="323">
        <f>TVM!Q193+KLM!Q193+PTA!Q193+ALP!Q193+KTM!Q193+IDK!Q193+EKM!Q193+TSR!Q193+PKD!Q193+MLPM!Q193+KKD!Q193+WYD!Q193+KNR!Q193+KSD!Q193+SHS!Q193</f>
        <v>0</v>
      </c>
      <c r="R193" s="323">
        <f>TVM!R193+KLM!R193+PTA!R193+ALP!R193+KTM!R193+IDK!R193+EKM!R193+TSR!R193+PKD!R193+MLPM!R193+KKD!R193+WYD!R193+KNR!R193+KSD!R193+SHS!R193</f>
        <v>0</v>
      </c>
      <c r="S193" s="323">
        <f>TVM!S193+KLM!S193+PTA!S193+ALP!S193+KTM!S193+IDK!S193+EKM!S193+TSR!S193+PKD!S193+MLPM!S193+KKD!S193+WYD!S193+KNR!S193+KSD!S193+SHS!S193</f>
        <v>0</v>
      </c>
      <c r="T193" s="324">
        <f t="shared" si="9"/>
        <v>2700</v>
      </c>
      <c r="U193" s="324">
        <f>TVM!U193+KLM!U193+PTA!U193+ALP!U193+KTM!U193+IDK!U193+EKM!U193+TSR!U193+PKD!U193+MLPM!U193+KKD!U193+WYD!U193+KNR!U193+KSD!U193+SHS!U193</f>
        <v>2970.0000000000005</v>
      </c>
      <c r="V193" s="13" t="s">
        <v>1541</v>
      </c>
      <c r="W193" s="456" t="s">
        <v>1542</v>
      </c>
      <c r="X193" s="332">
        <v>2239.65</v>
      </c>
      <c r="Y193" s="328">
        <f t="shared" si="1"/>
        <v>460.34999999999991</v>
      </c>
      <c r="Z193" s="314"/>
      <c r="AA193" s="314"/>
      <c r="AB193" s="314"/>
    </row>
    <row r="194" spans="1:28" ht="39.75" customHeight="1">
      <c r="A194" s="712"/>
      <c r="B194" s="718" t="s">
        <v>364</v>
      </c>
      <c r="C194" s="718" t="s">
        <v>297</v>
      </c>
      <c r="D194" s="320">
        <v>185</v>
      </c>
      <c r="E194" s="320" t="s">
        <v>298</v>
      </c>
      <c r="F194" s="323">
        <f>TVM!F194+KLM!F194+PTA!F194+ALP!F194+KTM!F194+IDK!F194+EKM!F194+TSR!F194+PKD!F194+MLPM!F194+KKD!F194+WYD!F194+KNR!F194+KSD!F194+SHS!F194</f>
        <v>0</v>
      </c>
      <c r="G194" s="323">
        <f>TVM!G194+KLM!G194+PTA!G194+ALP!G194+KTM!G194+IDK!G194+EKM!G194+TSR!G194+PKD!G194+MLPM!G194+KKD!G194+WYD!G194+KNR!G194+KSD!G194+SHS!G194</f>
        <v>0</v>
      </c>
      <c r="H194" s="323">
        <f>TVM!H194+KLM!H194+PTA!H194+ALP!H194+KTM!H194+IDK!H194+EKM!H194+TSR!H194+PKD!H194+MLPM!H194+KKD!H194+WYD!H194+KNR!H194+KSD!H194+SHS!H194</f>
        <v>0</v>
      </c>
      <c r="I194" s="323">
        <f>TVM!I194+KLM!I194+PTA!I194+ALP!I194+KTM!I194+IDK!I194+EKM!I194+TSR!I194+PKD!I194+MLPM!I194+KKD!I194+WYD!I194+KNR!I194+KSD!I194+SHS!I194</f>
        <v>0</v>
      </c>
      <c r="J194" s="323">
        <f>TVM!J194+KLM!J194+PTA!J194+ALP!J194+KTM!J194+IDK!J194+EKM!J194+TSR!J194+PKD!J194+MLPM!J194+KKD!J194+WYD!J194+KNR!J194+KSD!J194+SHS!J194</f>
        <v>0</v>
      </c>
      <c r="K194" s="323">
        <f>TVM!K194+KLM!K194+PTA!K194+ALP!K194+KTM!K194+IDK!K194+EKM!K194+TSR!K194+PKD!K194+MLPM!K194+KKD!K194+WYD!K194+KNR!K194+KSD!K194+SHS!K194</f>
        <v>0</v>
      </c>
      <c r="L194" s="323">
        <f>TVM!L194+KLM!L194+PTA!L194+ALP!L194+KTM!L194+IDK!L194+EKM!L194+TSR!L194+PKD!L194+MLPM!L194+KKD!L194+WYD!L194+KNR!L194+KSD!L194+SHS!L194</f>
        <v>0</v>
      </c>
      <c r="M194" s="323">
        <f>TVM!M194+KLM!M194+PTA!M194+ALP!M194+KTM!M194+IDK!M194+EKM!M194+TSR!M194+PKD!M194+MLPM!M194+KKD!M194+WYD!M194+KNR!M194+KSD!M194+SHS!M194</f>
        <v>0</v>
      </c>
      <c r="N194" s="323">
        <f>TVM!N194+KLM!N194+PTA!N194+ALP!N194+KTM!N194+IDK!N194+EKM!N194+TSR!N194+PKD!N194+MLPM!N194+KKD!N194+WYD!N194+KNR!N194+KSD!N194+SHS!N194</f>
        <v>0</v>
      </c>
      <c r="O194" s="323">
        <f>TVM!O194+KLM!O194+PTA!O194+ALP!O194+KTM!O194+IDK!O194+EKM!O194+TSR!O194+PKD!O194+MLPM!O194+KKD!O194+WYD!O194+KNR!O194+KSD!O194+SHS!O194</f>
        <v>0</v>
      </c>
      <c r="P194" s="323">
        <f>TVM!P194+KLM!P194+PTA!P194+ALP!P194+KTM!P194+IDK!P194+EKM!P194+TSR!P194+PKD!P194+MLPM!P194+KKD!P194+WYD!P194+KNR!P194+KSD!P194+SHS!P194</f>
        <v>38370.880810000002</v>
      </c>
      <c r="Q194" s="323">
        <f>TVM!Q194+KLM!Q194+PTA!Q194+ALP!Q194+KTM!Q194+IDK!Q194+EKM!Q194+TSR!Q194+PKD!Q194+MLPM!Q194+KKD!Q194+WYD!Q194+KNR!Q194+KSD!Q194+SHS!Q194</f>
        <v>0</v>
      </c>
      <c r="R194" s="323">
        <f>TVM!R194+KLM!R194+PTA!R194+ALP!R194+KTM!R194+IDK!R194+EKM!R194+TSR!R194+PKD!R194+MLPM!R194+KKD!R194+WYD!R194+KNR!R194+KSD!R194+SHS!R194</f>
        <v>0</v>
      </c>
      <c r="S194" s="323">
        <f>TVM!S194+KLM!S194+PTA!S194+ALP!S194+KTM!S194+IDK!S194+EKM!S194+TSR!S194+PKD!S194+MLPM!S194+KKD!S194+WYD!S194+KNR!S194+KSD!S194+SHS!S194</f>
        <v>0</v>
      </c>
      <c r="T194" s="402">
        <f t="shared" si="9"/>
        <v>38370.880810000002</v>
      </c>
      <c r="U194" s="402">
        <f>TVM!U194+KLM!U194+PTA!U194+ALP!U194+KTM!U194+IDK!U194+EKM!U194+TSR!U194+PKD!U194+MLPM!U194+KKD!U194+WYD!U194+KNR!U194+KSD!U194+SHS!U194</f>
        <v>41233.484342264004</v>
      </c>
      <c r="V194" s="331" t="s">
        <v>1543</v>
      </c>
      <c r="W194" s="331" t="s">
        <v>1543</v>
      </c>
      <c r="X194" s="332">
        <v>35099.33</v>
      </c>
      <c r="Y194" s="334">
        <f t="shared" si="1"/>
        <v>3271.5508100000006</v>
      </c>
      <c r="Z194" s="314"/>
      <c r="AA194" s="314"/>
      <c r="AB194" s="314"/>
    </row>
    <row r="195" spans="1:28" ht="144.75" customHeight="1">
      <c r="A195" s="712"/>
      <c r="B195" s="712"/>
      <c r="C195" s="712"/>
      <c r="D195" s="320">
        <v>186</v>
      </c>
      <c r="E195" s="320" t="s">
        <v>299</v>
      </c>
      <c r="F195" s="323">
        <f>TVM!F195+KLM!F195+PTA!F195+ALP!F195+KTM!F195+IDK!F195+EKM!F195+TSR!F195+PKD!F195+MLPM!F195+KKD!F195+WYD!F195+KNR!F195+KSD!F195+SHS!F195</f>
        <v>0</v>
      </c>
      <c r="G195" s="323">
        <f>TVM!G195+KLM!G195+PTA!G195+ALP!G195+KTM!G195+IDK!G195+EKM!G195+TSR!G195+PKD!G195+MLPM!G195+KKD!G195+WYD!G195+KNR!G195+KSD!G195+SHS!G195</f>
        <v>0</v>
      </c>
      <c r="H195" s="323">
        <f>TVM!H195+KLM!H195+PTA!H195+ALP!H195+KTM!H195+IDK!H195+EKM!H195+TSR!H195+PKD!H195+MLPM!H195+KKD!H195+WYD!H195+KNR!H195+KSD!H195+SHS!H195</f>
        <v>0</v>
      </c>
      <c r="I195" s="323">
        <f>TVM!I195+KLM!I195+PTA!I195+ALP!I195+KTM!I195+IDK!I195+EKM!I195+TSR!I195+PKD!I195+MLPM!I195+KKD!I195+WYD!I195+KNR!I195+KSD!I195+SHS!I195</f>
        <v>0</v>
      </c>
      <c r="J195" s="323">
        <f>TVM!J195+KLM!J195+PTA!J195+ALP!J195+KTM!J195+IDK!J195+EKM!J195+TSR!J195+PKD!J195+MLPM!J195+KKD!J195+WYD!J195+KNR!J195+KSD!J195+SHS!J195</f>
        <v>0</v>
      </c>
      <c r="K195" s="323">
        <f>TVM!K195+KLM!K195+PTA!K195+ALP!K195+KTM!K195+IDK!K195+EKM!K195+TSR!K195+PKD!K195+MLPM!K195+KKD!K195+WYD!K195+KNR!K195+KSD!K195+SHS!K195</f>
        <v>0</v>
      </c>
      <c r="L195" s="323">
        <f>TVM!L195+KLM!L195+PTA!L195+ALP!L195+KTM!L195+IDK!L195+EKM!L195+TSR!L195+PKD!L195+MLPM!L195+KKD!L195+WYD!L195+KNR!L195+KSD!L195+SHS!L195</f>
        <v>0</v>
      </c>
      <c r="M195" s="323">
        <f>TVM!M195+KLM!M195+PTA!M195+ALP!M195+KTM!M195+IDK!M195+EKM!M195+TSR!M195+PKD!M195+MLPM!M195+KKD!M195+WYD!M195+KNR!M195+KSD!M195+SHS!M195</f>
        <v>0</v>
      </c>
      <c r="N195" s="323">
        <f>TVM!N195+KLM!N195+PTA!N195+ALP!N195+KTM!N195+IDK!N195+EKM!N195+TSR!N195+PKD!N195+MLPM!N195+KKD!N195+WYD!N195+KNR!N195+KSD!N195+SHS!N195</f>
        <v>0</v>
      </c>
      <c r="O195" s="323">
        <f>TVM!O195+KLM!O195+PTA!O195+ALP!O195+KTM!O195+IDK!O195+EKM!O195+TSR!O195+PKD!O195+MLPM!O195+KKD!O195+WYD!O195+KNR!O195+KSD!O195+SHS!O195</f>
        <v>0</v>
      </c>
      <c r="P195" s="330">
        <f>TVM!P195+KLM!P195+PTA!P195+ALP!P195+KTM!P195+IDK!P195+EKM!P195+TSR!P195+PKD!P195+MLPM!P195+KKD!P195+WYD!P195+KNR!P195+KSD!P195+SHS!P195</f>
        <v>670.73829999999998</v>
      </c>
      <c r="Q195" s="329">
        <f>TVM!Q195+KLM!Q195+PTA!Q195+ALP!Q195+KTM!Q195+IDK!Q195+EKM!Q195+TSR!Q195+PKD!Q195+MLPM!Q195+KKD!Q195+WYD!Q195+KNR!Q195+KSD!Q195+SHS!Q195</f>
        <v>0</v>
      </c>
      <c r="R195" s="323">
        <f>TVM!R195+KLM!R195+PTA!R195+ALP!R195+KTM!R195+IDK!R195+EKM!R195+TSR!R195+PKD!R195+MLPM!R195+KKD!R195+WYD!R195+KNR!R195+KSD!R195+SHS!R195</f>
        <v>0</v>
      </c>
      <c r="S195" s="323">
        <f>TVM!S195+KLM!S195+PTA!S195+ALP!S195+KTM!S195+IDK!S195+EKM!S195+TSR!S195+PKD!S195+MLPM!S195+KKD!S195+WYD!S195+KNR!S195+KSD!S195+SHS!S195</f>
        <v>0</v>
      </c>
      <c r="T195" s="324">
        <f t="shared" si="9"/>
        <v>670.73829999999998</v>
      </c>
      <c r="U195" s="324">
        <f>TVM!U195+KLM!U195+PTA!U195+ALP!U195+KTM!U195+IDK!U195+EKM!U195+TSR!U195+PKD!U195+MLPM!U195+KKD!U195+WYD!U195+KNR!U195+KSD!U195+SHS!U195</f>
        <v>712.73829999999998</v>
      </c>
      <c r="V195" s="13" t="s">
        <v>1544</v>
      </c>
      <c r="W195" s="13" t="s">
        <v>1545</v>
      </c>
      <c r="X195" s="332">
        <v>504.14</v>
      </c>
      <c r="Y195" s="334">
        <f t="shared" si="1"/>
        <v>166.59829999999999</v>
      </c>
      <c r="Z195" s="314"/>
      <c r="AA195" s="314"/>
      <c r="AB195" s="314"/>
    </row>
    <row r="196" spans="1:28" ht="39.75" customHeight="1">
      <c r="A196" s="712"/>
      <c r="B196" s="712"/>
      <c r="C196" s="712"/>
      <c r="D196" s="320">
        <v>187</v>
      </c>
      <c r="E196" s="320" t="s">
        <v>367</v>
      </c>
      <c r="F196" s="323">
        <f>TVM!F196+KLM!F196+PTA!F196+ALP!F196+KTM!F196+IDK!F196+EKM!F196+TSR!F196+PKD!F196+MLPM!F196+KKD!F196+WYD!F196+KNR!F196+KSD!F196+SHS!F196</f>
        <v>0</v>
      </c>
      <c r="G196" s="323">
        <f>TVM!G196+KLM!G196+PTA!G196+ALP!G196+KTM!G196+IDK!G196+EKM!G196+TSR!G196+PKD!G196+MLPM!G196+KKD!G196+WYD!G196+KNR!G196+KSD!G196+SHS!G196</f>
        <v>0</v>
      </c>
      <c r="H196" s="323">
        <f>TVM!H196+KLM!H196+PTA!H196+ALP!H196+KTM!H196+IDK!H196+EKM!H196+TSR!H196+PKD!H196+MLPM!H196+KKD!H196+WYD!H196+KNR!H196+KSD!H196+SHS!H196</f>
        <v>0</v>
      </c>
      <c r="I196" s="323">
        <f>TVM!I196+KLM!I196+PTA!I196+ALP!I196+KTM!I196+IDK!I196+EKM!I196+TSR!I196+PKD!I196+MLPM!I196+KKD!I196+WYD!I196+KNR!I196+KSD!I196+SHS!I196</f>
        <v>0</v>
      </c>
      <c r="J196" s="323">
        <f>TVM!J196+KLM!J196+PTA!J196+ALP!J196+KTM!J196+IDK!J196+EKM!J196+TSR!J196+PKD!J196+MLPM!J196+KKD!J196+WYD!J196+KNR!J196+KSD!J196+SHS!J196</f>
        <v>0</v>
      </c>
      <c r="K196" s="323">
        <f>TVM!K196+KLM!K196+PTA!K196+ALP!K196+KTM!K196+IDK!K196+EKM!K196+TSR!K196+PKD!K196+MLPM!K196+KKD!K196+WYD!K196+KNR!K196+KSD!K196+SHS!K196</f>
        <v>0</v>
      </c>
      <c r="L196" s="323">
        <f>TVM!L196+KLM!L196+PTA!L196+ALP!L196+KTM!L196+IDK!L196+EKM!L196+TSR!L196+PKD!L196+MLPM!L196+KKD!L196+WYD!L196+KNR!L196+KSD!L196+SHS!L196</f>
        <v>0</v>
      </c>
      <c r="M196" s="323">
        <f>TVM!M196+KLM!M196+PTA!M196+ALP!M196+KTM!M196+IDK!M196+EKM!M196+TSR!M196+PKD!M196+MLPM!M196+KKD!M196+WYD!M196+KNR!M196+KSD!M196+SHS!M196</f>
        <v>0</v>
      </c>
      <c r="N196" s="323">
        <f>TVM!N196+KLM!N196+PTA!N196+ALP!N196+KTM!N196+IDK!N196+EKM!N196+TSR!N196+PKD!N196+MLPM!N196+KKD!N196+WYD!N196+KNR!N196+KSD!N196+SHS!N196</f>
        <v>0</v>
      </c>
      <c r="O196" s="323">
        <f>TVM!O196+KLM!O196+PTA!O196+ALP!O196+KTM!O196+IDK!O196+EKM!O196+TSR!O196+PKD!O196+MLPM!O196+KKD!O196+WYD!O196+KNR!O196+KSD!O196+SHS!O196</f>
        <v>0</v>
      </c>
      <c r="P196" s="323">
        <f>TVM!P196+KLM!P196+PTA!P196+ALP!P196+KTM!P196+IDK!P196+EKM!P196+TSR!P196+PKD!P196+MLPM!P196+KKD!P196+WYD!P196+KNR!P196+KSD!P196+SHS!P196</f>
        <v>14875.50944</v>
      </c>
      <c r="Q196" s="323">
        <f>TVM!Q196+KLM!Q196+PTA!Q196+ALP!Q196+KTM!Q196+IDK!Q196+EKM!Q196+TSR!Q196+PKD!Q196+MLPM!Q196+KKD!Q196+WYD!Q196+KNR!Q196+KSD!Q196+SHS!Q196</f>
        <v>0</v>
      </c>
      <c r="R196" s="323">
        <f>TVM!R196+KLM!R196+PTA!R196+ALP!R196+KTM!R196+IDK!R196+EKM!R196+TSR!R196+PKD!R196+MLPM!R196+KKD!R196+WYD!R196+KNR!R196+KSD!R196+SHS!R196</f>
        <v>0</v>
      </c>
      <c r="S196" s="323">
        <f>TVM!S196+KLM!S196+PTA!S196+ALP!S196+KTM!S196+IDK!S196+EKM!S196+TSR!S196+PKD!S196+MLPM!S196+KKD!S196+WYD!S196+KNR!S196+KSD!S196+SHS!S196</f>
        <v>0</v>
      </c>
      <c r="T196" s="356">
        <f t="shared" si="9"/>
        <v>14875.50944</v>
      </c>
      <c r="U196" s="402">
        <f>TVM!U196+KLM!U196+PTA!U196+ALP!U196+KTM!U196+IDK!U196+EKM!U196+TSR!U196+PKD!U196+MLPM!U196+KKD!U196+WYD!U196+KNR!U196+KSD!U196+SHS!U196</f>
        <v>16116.140524829401</v>
      </c>
      <c r="V196" s="331"/>
      <c r="W196" s="331"/>
      <c r="X196" s="332">
        <v>14604.3</v>
      </c>
      <c r="Y196" s="334">
        <f t="shared" si="1"/>
        <v>271.20944000000054</v>
      </c>
      <c r="Z196" s="314"/>
      <c r="AA196" s="314"/>
      <c r="AB196" s="314"/>
    </row>
    <row r="197" spans="1:28" ht="39.75" customHeight="1">
      <c r="A197" s="712"/>
      <c r="B197" s="712"/>
      <c r="C197" s="712"/>
      <c r="D197" s="320">
        <v>188</v>
      </c>
      <c r="E197" s="320" t="s">
        <v>300</v>
      </c>
      <c r="F197" s="323">
        <f>TVM!F197+KLM!F197+PTA!F197+ALP!F197+KTM!F197+IDK!F197+EKM!F197+TSR!F197+PKD!F197+MLPM!F197+KKD!F197+WYD!F197+KNR!F197+KSD!F197+SHS!F197</f>
        <v>0</v>
      </c>
      <c r="G197" s="323">
        <f>TVM!G197+KLM!G197+PTA!G197+ALP!G197+KTM!G197+IDK!G197+EKM!G197+TSR!G197+PKD!G197+MLPM!G197+KKD!G197+WYD!G197+KNR!G197+KSD!G197+SHS!G197</f>
        <v>0</v>
      </c>
      <c r="H197" s="323">
        <f>TVM!H197+KLM!H197+PTA!H197+ALP!H197+KTM!H197+IDK!H197+EKM!H197+TSR!H197+PKD!H197+MLPM!H197+KKD!H197+WYD!H197+KNR!H197+KSD!H197+SHS!H197</f>
        <v>0</v>
      </c>
      <c r="I197" s="323">
        <f>TVM!I197+KLM!I197+PTA!I197+ALP!I197+KTM!I197+IDK!I197+EKM!I197+TSR!I197+PKD!I197+MLPM!I197+KKD!I197+WYD!I197+KNR!I197+KSD!I197+SHS!I197</f>
        <v>0</v>
      </c>
      <c r="J197" s="323">
        <f>TVM!J197+KLM!J197+PTA!J197+ALP!J197+KTM!J197+IDK!J197+EKM!J197+TSR!J197+PKD!J197+MLPM!J197+KKD!J197+WYD!J197+KNR!J197+KSD!J197+SHS!J197</f>
        <v>0</v>
      </c>
      <c r="K197" s="323">
        <f>TVM!K197+KLM!K197+PTA!K197+ALP!K197+KTM!K197+IDK!K197+EKM!K197+TSR!K197+PKD!K197+MLPM!K197+KKD!K197+WYD!K197+KNR!K197+KSD!K197+SHS!K197</f>
        <v>0</v>
      </c>
      <c r="L197" s="323">
        <f>TVM!L197+KLM!L197+PTA!L197+ALP!L197+KTM!L197+IDK!L197+EKM!L197+TSR!L197+PKD!L197+MLPM!L197+KKD!L197+WYD!L197+KNR!L197+KSD!L197+SHS!L197</f>
        <v>0</v>
      </c>
      <c r="M197" s="323">
        <f>TVM!M197+KLM!M197+PTA!M197+ALP!M197+KTM!M197+IDK!M197+EKM!M197+TSR!M197+PKD!M197+MLPM!M197+KKD!M197+WYD!M197+KNR!M197+KSD!M197+SHS!M197</f>
        <v>0</v>
      </c>
      <c r="N197" s="323">
        <f>TVM!N197+KLM!N197+PTA!N197+ALP!N197+KTM!N197+IDK!N197+EKM!N197+TSR!N197+PKD!N197+MLPM!N197+KKD!N197+WYD!N197+KNR!N197+KSD!N197+SHS!N197</f>
        <v>0</v>
      </c>
      <c r="O197" s="323">
        <f>TVM!O197+KLM!O197+PTA!O197+ALP!O197+KTM!O197+IDK!O197+EKM!O197+TSR!O197+PKD!O197+MLPM!O197+KKD!O197+WYD!O197+KNR!O197+KSD!O197+SHS!O197</f>
        <v>0</v>
      </c>
      <c r="P197" s="323">
        <f>TVM!P197+KLM!P197+PTA!P197+ALP!P197+KTM!P197+IDK!P197+EKM!P197+TSR!P197+PKD!P197+MLPM!P197+KKD!P197+WYD!P197+KNR!P197+KSD!P197+SHS!P197</f>
        <v>0</v>
      </c>
      <c r="Q197" s="323">
        <f>TVM!Q197+KLM!Q197+PTA!Q197+ALP!Q197+KTM!Q197+IDK!Q197+EKM!Q197+TSR!Q197+PKD!Q197+MLPM!Q197+KKD!Q197+WYD!Q197+KNR!Q197+KSD!Q197+SHS!Q197</f>
        <v>0</v>
      </c>
      <c r="R197" s="323">
        <f>TVM!R197+KLM!R197+PTA!R197+ALP!R197+KTM!R197+IDK!R197+EKM!R197+TSR!R197+PKD!R197+MLPM!R197+KKD!R197+WYD!R197+KNR!R197+KSD!R197+SHS!R197</f>
        <v>0</v>
      </c>
      <c r="S197" s="323">
        <f>TVM!S197+KLM!S197+PTA!S197+ALP!S197+KTM!S197+IDK!S197+EKM!S197+TSR!S197+PKD!S197+MLPM!S197+KKD!S197+WYD!S197+KNR!S197+KSD!S197+SHS!S197</f>
        <v>0</v>
      </c>
      <c r="T197" s="389">
        <f t="shared" si="9"/>
        <v>0</v>
      </c>
      <c r="U197" s="389">
        <f>TVM!U197+KLM!U197+PTA!U197+ALP!U197+KTM!U197+IDK!U197+EKM!U197+TSR!U197+PKD!U197+MLPM!U197+KKD!U197+WYD!U197+KNR!U197+KSD!U197+SHS!U197</f>
        <v>0</v>
      </c>
      <c r="V197" s="325"/>
      <c r="W197" s="333"/>
      <c r="X197" s="332">
        <v>0</v>
      </c>
      <c r="Y197" s="328">
        <f t="shared" si="1"/>
        <v>0</v>
      </c>
      <c r="Z197" s="314"/>
      <c r="AA197" s="314"/>
      <c r="AB197" s="314"/>
    </row>
    <row r="198" spans="1:28" ht="39.75" customHeight="1">
      <c r="A198" s="712"/>
      <c r="B198" s="712"/>
      <c r="C198" s="712"/>
      <c r="D198" s="320">
        <v>189</v>
      </c>
      <c r="E198" s="320" t="s">
        <v>301</v>
      </c>
      <c r="F198" s="323">
        <f>TVM!F198+KLM!F198+PTA!F198+ALP!F198+KTM!F198+IDK!F198+EKM!F198+TSR!F198+PKD!F198+MLPM!F198+KKD!F198+WYD!F198+KNR!F198+KSD!F198+SHS!F198</f>
        <v>0</v>
      </c>
      <c r="G198" s="323">
        <f>TVM!G198+KLM!G198+PTA!G198+ALP!G198+KTM!G198+IDK!G198+EKM!G198+TSR!G198+PKD!G198+MLPM!G198+KKD!G198+WYD!G198+KNR!G198+KSD!G198+SHS!G198</f>
        <v>0</v>
      </c>
      <c r="H198" s="323">
        <f>TVM!H198+KLM!H198+PTA!H198+ALP!H198+KTM!H198+IDK!H198+EKM!H198+TSR!H198+PKD!H198+MLPM!H198+KKD!H198+WYD!H198+KNR!H198+KSD!H198+SHS!H198</f>
        <v>0</v>
      </c>
      <c r="I198" s="323">
        <f>TVM!I198+KLM!I198+PTA!I198+ALP!I198+KTM!I198+IDK!I198+EKM!I198+TSR!I198+PKD!I198+MLPM!I198+KKD!I198+WYD!I198+KNR!I198+KSD!I198+SHS!I198</f>
        <v>0</v>
      </c>
      <c r="J198" s="323">
        <f>TVM!J198+KLM!J198+PTA!J198+ALP!J198+KTM!J198+IDK!J198+EKM!J198+TSR!J198+PKD!J198+MLPM!J198+KKD!J198+WYD!J198+KNR!J198+KSD!J198+SHS!J198</f>
        <v>0</v>
      </c>
      <c r="K198" s="323">
        <f>TVM!K198+KLM!K198+PTA!K198+ALP!K198+KTM!K198+IDK!K198+EKM!K198+TSR!K198+PKD!K198+MLPM!K198+KKD!K198+WYD!K198+KNR!K198+KSD!K198+SHS!K198</f>
        <v>0</v>
      </c>
      <c r="L198" s="323">
        <f>TVM!L198+KLM!L198+PTA!L198+ALP!L198+KTM!L198+IDK!L198+EKM!L198+TSR!L198+PKD!L198+MLPM!L198+KKD!L198+WYD!L198+KNR!L198+KSD!L198+SHS!L198</f>
        <v>0</v>
      </c>
      <c r="M198" s="323">
        <f>TVM!M198+KLM!M198+PTA!M198+ALP!M198+KTM!M198+IDK!M198+EKM!M198+TSR!M198+PKD!M198+MLPM!M198+KKD!M198+WYD!M198+KNR!M198+KSD!M198+SHS!M198</f>
        <v>0</v>
      </c>
      <c r="N198" s="323">
        <f>TVM!N198+KLM!N198+PTA!N198+ALP!N198+KTM!N198+IDK!N198+EKM!N198+TSR!N198+PKD!N198+MLPM!N198+KKD!N198+WYD!N198+KNR!N198+KSD!N198+SHS!N198</f>
        <v>0</v>
      </c>
      <c r="O198" s="323">
        <f>TVM!O198+KLM!O198+PTA!O198+ALP!O198+KTM!O198+IDK!O198+EKM!O198+TSR!O198+PKD!O198+MLPM!O198+KKD!O198+WYD!O198+KNR!O198+KSD!O198+SHS!O198</f>
        <v>0</v>
      </c>
      <c r="P198" s="323">
        <f>TVM!P198+KLM!P198+PTA!P198+ALP!P198+KTM!P198+IDK!P198+EKM!P198+TSR!P198+PKD!P198+MLPM!P198+KKD!P198+WYD!P198+KNR!P198+KSD!P198+SHS!P198</f>
        <v>0</v>
      </c>
      <c r="Q198" s="323">
        <f>TVM!Q198+KLM!Q198+PTA!Q198+ALP!Q198+KTM!Q198+IDK!Q198+EKM!Q198+TSR!Q198+PKD!Q198+MLPM!Q198+KKD!Q198+WYD!Q198+KNR!Q198+KSD!Q198+SHS!Q198</f>
        <v>0</v>
      </c>
      <c r="R198" s="323">
        <f>TVM!R198+KLM!R198+PTA!R198+ALP!R198+KTM!R198+IDK!R198+EKM!R198+TSR!R198+PKD!R198+MLPM!R198+KKD!R198+WYD!R198+KNR!R198+KSD!R198+SHS!R198</f>
        <v>0</v>
      </c>
      <c r="S198" s="323">
        <f>TVM!S198+KLM!S198+PTA!S198+ALP!S198+KTM!S198+IDK!S198+EKM!S198+TSR!S198+PKD!S198+MLPM!S198+KKD!S198+WYD!S198+KNR!S198+KSD!S198+SHS!S198</f>
        <v>0</v>
      </c>
      <c r="T198" s="389">
        <f t="shared" si="9"/>
        <v>0</v>
      </c>
      <c r="U198" s="389">
        <f>TVM!U198+KLM!U198+PTA!U198+ALP!U198+KTM!U198+IDK!U198+EKM!U198+TSR!U198+PKD!U198+MLPM!U198+KKD!U198+WYD!U198+KNR!U198+KSD!U198+SHS!U198</f>
        <v>0</v>
      </c>
      <c r="V198" s="325"/>
      <c r="W198" s="333"/>
      <c r="X198" s="332">
        <v>0</v>
      </c>
      <c r="Y198" s="328">
        <f t="shared" si="1"/>
        <v>0</v>
      </c>
      <c r="Z198" s="314"/>
      <c r="AA198" s="314"/>
      <c r="AB198" s="314"/>
    </row>
    <row r="199" spans="1:28" ht="80.25" customHeight="1">
      <c r="A199" s="712"/>
      <c r="B199" s="707"/>
      <c r="C199" s="707"/>
      <c r="D199" s="320">
        <v>190</v>
      </c>
      <c r="E199" s="320" t="s">
        <v>368</v>
      </c>
      <c r="F199" s="323">
        <f>TVM!F199+KLM!F199+PTA!F199+ALP!F199+KTM!F199+IDK!F199+EKM!F199+TSR!F199+PKD!F199+MLPM!F199+KKD!F199+WYD!F199+KNR!F199+KSD!F199+SHS!F199</f>
        <v>0</v>
      </c>
      <c r="G199" s="323">
        <f>TVM!G199+KLM!G199+PTA!G199+ALP!G199+KTM!G199+IDK!G199+EKM!G199+TSR!G199+PKD!G199+MLPM!G199+KKD!G199+WYD!G199+KNR!G199+KSD!G199+SHS!G199</f>
        <v>0</v>
      </c>
      <c r="H199" s="323">
        <f>TVM!H199+KLM!H199+PTA!H199+ALP!H199+KTM!H199+IDK!H199+EKM!H199+TSR!H199+PKD!H199+MLPM!H199+KKD!H199+WYD!H199+KNR!H199+KSD!H199+SHS!H199</f>
        <v>0</v>
      </c>
      <c r="I199" s="323">
        <f>TVM!I199+KLM!I199+PTA!I199+ALP!I199+KTM!I199+IDK!I199+EKM!I199+TSR!I199+PKD!I199+MLPM!I199+KKD!I199+WYD!I199+KNR!I199+KSD!I199+SHS!I199</f>
        <v>0</v>
      </c>
      <c r="J199" s="323">
        <f>TVM!J199+KLM!J199+PTA!J199+ALP!J199+KTM!J199+IDK!J199+EKM!J199+TSR!J199+PKD!J199+MLPM!J199+KKD!J199+WYD!J199+KNR!J199+KSD!J199+SHS!J199</f>
        <v>0</v>
      </c>
      <c r="K199" s="323">
        <f>TVM!K199+KLM!K199+PTA!K199+ALP!K199+KTM!K199+IDK!K199+EKM!K199+TSR!K199+PKD!K199+MLPM!K199+KKD!K199+WYD!K199+KNR!K199+KSD!K199+SHS!K199</f>
        <v>0</v>
      </c>
      <c r="L199" s="323">
        <f>TVM!L199+KLM!L199+PTA!L199+ALP!L199+KTM!L199+IDK!L199+EKM!L199+TSR!L199+PKD!L199+MLPM!L199+KKD!L199+WYD!L199+KNR!L199+KSD!L199+SHS!L199</f>
        <v>0</v>
      </c>
      <c r="M199" s="323">
        <f>TVM!M199+KLM!M199+PTA!M199+ALP!M199+KTM!M199+IDK!M199+EKM!M199+TSR!M199+PKD!M199+MLPM!M199+KKD!M199+WYD!M199+KNR!M199+KSD!M199+SHS!M199</f>
        <v>0</v>
      </c>
      <c r="N199" s="323">
        <f>TVM!N199+KLM!N199+PTA!N199+ALP!N199+KTM!N199+IDK!N199+EKM!N199+TSR!N199+PKD!N199+MLPM!N199+KKD!N199+WYD!N199+KNR!N199+KSD!N199+SHS!N199</f>
        <v>0</v>
      </c>
      <c r="O199" s="323">
        <f>TVM!O199+KLM!O199+PTA!O199+ALP!O199+KTM!O199+IDK!O199+EKM!O199+TSR!O199+PKD!O199+MLPM!O199+KKD!O199+WYD!O199+KNR!O199+KSD!O199+SHS!O199</f>
        <v>0</v>
      </c>
      <c r="P199" s="330">
        <f>TVM!P199+KLM!P199+PTA!P199+ALP!P199+KTM!P199+IDK!P199+EKM!P199+TSR!P199+PKD!P199+MLPM!P199+KKD!P199+WYD!P199+KNR!P199+KSD!P199+SHS!P199</f>
        <v>0</v>
      </c>
      <c r="Q199" s="323">
        <f>TVM!Q199+KLM!Q199+PTA!Q199+ALP!Q199+KTM!Q199+IDK!Q199+EKM!Q199+TSR!Q199+PKD!Q199+MLPM!Q199+KKD!Q199+WYD!Q199+KNR!Q199+KSD!Q199+SHS!Q199</f>
        <v>0</v>
      </c>
      <c r="R199" s="323">
        <f>TVM!R199+KLM!R199+PTA!R199+ALP!R199+KTM!R199+IDK!R199+EKM!R199+TSR!R199+PKD!R199+MLPM!R199+KKD!R199+WYD!R199+KNR!R199+KSD!R199+SHS!R199</f>
        <v>0</v>
      </c>
      <c r="S199" s="323">
        <f>TVM!S199+KLM!S199+PTA!S199+ALP!S199+KTM!S199+IDK!S199+EKM!S199+TSR!S199+PKD!S199+MLPM!S199+KKD!S199+WYD!S199+KNR!S199+KSD!S199+SHS!S199</f>
        <v>0</v>
      </c>
      <c r="T199" s="389">
        <f t="shared" si="9"/>
        <v>0</v>
      </c>
      <c r="U199" s="389">
        <f>TVM!U199+KLM!U199+PTA!U199+ALP!U199+KTM!U199+IDK!U199+EKM!U199+TSR!U199+PKD!U199+MLPM!U199+KKD!U199+WYD!U199+KNR!U199+KSD!U199+SHS!U199</f>
        <v>0</v>
      </c>
      <c r="V199" s="13"/>
      <c r="W199" s="346"/>
      <c r="X199" s="332">
        <v>8.43</v>
      </c>
      <c r="Y199" s="328">
        <f t="shared" si="1"/>
        <v>-8.43</v>
      </c>
      <c r="Z199" s="314"/>
      <c r="AA199" s="314"/>
      <c r="AB199" s="314"/>
    </row>
    <row r="200" spans="1:28" ht="261" customHeight="1">
      <c r="A200" s="712"/>
      <c r="B200" s="718" t="s">
        <v>370</v>
      </c>
      <c r="C200" s="718" t="s">
        <v>371</v>
      </c>
      <c r="D200" s="320">
        <v>191</v>
      </c>
      <c r="E200" s="320" t="s">
        <v>372</v>
      </c>
      <c r="F200" s="323">
        <f>TVM!F200+KLM!F200+PTA!F200+ALP!F200+KTM!F200+IDK!F200+EKM!F200+TSR!F200+PKD!F200+MLPM!F200+KKD!F200+WYD!F200+KNR!F200+KSD!F200+SHS!F200</f>
        <v>0</v>
      </c>
      <c r="G200" s="323">
        <f>TVM!G200+KLM!G200+PTA!G200+ALP!G200+KTM!G200+IDK!G200+EKM!G200+TSR!G200+PKD!G200+MLPM!G200+KKD!G200+WYD!G200+KNR!G200+KSD!G200+SHS!G200</f>
        <v>0</v>
      </c>
      <c r="H200" s="323">
        <f>TVM!H200+KLM!H200+PTA!H200+ALP!H200+KTM!H200+IDK!H200+EKM!H200+TSR!H200+PKD!H200+MLPM!H200+KKD!H200+WYD!H200+KNR!H200+KSD!H200+SHS!H200</f>
        <v>0</v>
      </c>
      <c r="I200" s="323">
        <f>TVM!I200+KLM!I200+PTA!I200+ALP!I200+KTM!I200+IDK!I200+EKM!I200+TSR!I200+PKD!I200+MLPM!I200+KKD!I200+WYD!I200+KNR!I200+KSD!I200+SHS!I200</f>
        <v>0</v>
      </c>
      <c r="J200" s="323">
        <f>TVM!J200+KLM!J200+PTA!J200+ALP!J200+KTM!J200+IDK!J200+EKM!J200+TSR!J200+PKD!J200+MLPM!J200+KKD!J200+WYD!J200+KNR!J200+KSD!J200+SHS!J200</f>
        <v>0</v>
      </c>
      <c r="K200" s="323">
        <f>TVM!K200+KLM!K200+PTA!K200+ALP!K200+KTM!K200+IDK!K200+EKM!K200+TSR!K200+PKD!K200+MLPM!K200+KKD!K200+WYD!K200+KNR!K200+KSD!K200+SHS!K200</f>
        <v>0</v>
      </c>
      <c r="L200" s="323">
        <f>TVM!L200+KLM!L200+PTA!L200+ALP!L200+KTM!L200+IDK!L200+EKM!L200+TSR!L200+PKD!L200+MLPM!L200+KKD!L200+WYD!L200+KNR!L200+KSD!L200+SHS!L200</f>
        <v>0</v>
      </c>
      <c r="M200" s="323">
        <f>TVM!M200+KLM!M200+PTA!M200+ALP!M200+KTM!M200+IDK!M200+EKM!M200+TSR!M200+PKD!M200+MLPM!M200+KKD!M200+WYD!M200+KNR!M200+KSD!M200+SHS!M200</f>
        <v>0</v>
      </c>
      <c r="N200" s="329">
        <f>TVM!N200+KLM!N200+PTA!N200+ALP!N200+KTM!N200+IDK!N200+EKM!N200+TSR!N200+PKD!N200+MLPM!N200+KKD!N200+WYD!N200+KNR!N200+KSD!N200+SHS!N200</f>
        <v>195.26999999999998</v>
      </c>
      <c r="O200" s="323">
        <f>TVM!O200+KLM!O200+PTA!O200+ALP!O200+KTM!O200+IDK!O200+EKM!O200+TSR!O200+PKD!O200+MLPM!O200+KKD!O200+WYD!O200+KNR!O200+KSD!O200+SHS!O200</f>
        <v>0</v>
      </c>
      <c r="P200" s="323">
        <f>TVM!P200+KLM!P200+PTA!P200+ALP!P200+KTM!P200+IDK!P200+EKM!P200+TSR!P200+PKD!P200+MLPM!P200+KKD!P200+WYD!P200+KNR!P200+KSD!P200+SHS!P200</f>
        <v>0</v>
      </c>
      <c r="Q200" s="323">
        <f>TVM!Q200+KLM!Q200+PTA!Q200+ALP!Q200+KTM!Q200+IDK!Q200+EKM!Q200+TSR!Q200+PKD!Q200+MLPM!Q200+KKD!Q200+WYD!Q200+KNR!Q200+KSD!Q200+SHS!Q200</f>
        <v>0</v>
      </c>
      <c r="R200" s="323">
        <f>TVM!R200+KLM!R200+PTA!R200+ALP!R200+KTM!R200+IDK!R200+EKM!R200+TSR!R200+PKD!R200+MLPM!R200+KKD!R200+WYD!R200+KNR!R200+KSD!R200+SHS!R200</f>
        <v>0</v>
      </c>
      <c r="S200" s="323">
        <f>TVM!S200+KLM!S200+PTA!S200+ALP!S200+KTM!S200+IDK!S200+EKM!S200+TSR!S200+PKD!S200+MLPM!S200+KKD!S200+WYD!S200+KNR!S200+KSD!S200+SHS!S200</f>
        <v>0</v>
      </c>
      <c r="T200" s="324">
        <f t="shared" si="9"/>
        <v>195.26999999999998</v>
      </c>
      <c r="U200" s="356">
        <f>TVM!U200+KLM!U200+PTA!U200+ALP!U200+KTM!U200+IDK!U200+EKM!U200+TSR!U200+PKD!U200+MLPM!U200+KKD!U200+WYD!U200+KNR!U200+KSD!U200+SHS!U200</f>
        <v>189.15</v>
      </c>
      <c r="V200" s="457" t="s">
        <v>1546</v>
      </c>
      <c r="W200" s="458" t="s">
        <v>1547</v>
      </c>
      <c r="X200" s="332">
        <v>340.29</v>
      </c>
      <c r="Y200" s="328">
        <f t="shared" si="1"/>
        <v>-145.02000000000004</v>
      </c>
      <c r="Z200" s="314"/>
      <c r="AA200" s="314"/>
      <c r="AB200" s="314"/>
    </row>
    <row r="201" spans="1:28" ht="228">
      <c r="A201" s="712"/>
      <c r="B201" s="707"/>
      <c r="C201" s="707"/>
      <c r="D201" s="320">
        <v>192</v>
      </c>
      <c r="E201" s="320" t="s">
        <v>373</v>
      </c>
      <c r="F201" s="323">
        <f>TVM!F201+KLM!F201+PTA!F201+ALP!F201+KTM!F201+IDK!F201+EKM!F201+TSR!F201+PKD!F201+MLPM!F201+KKD!F201+WYD!F201+KNR!F201+KSD!F201+SHS!F201</f>
        <v>0</v>
      </c>
      <c r="G201" s="323">
        <f>TVM!G201+KLM!G201+PTA!G201+ALP!G201+KTM!G201+IDK!G201+EKM!G201+TSR!G201+PKD!G201+MLPM!G201+KKD!G201+WYD!G201+KNR!G201+KSD!G201+SHS!G201</f>
        <v>133</v>
      </c>
      <c r="H201" s="330">
        <f>TVM!H201+KLM!H201+PTA!H201+ALP!H201+KTM!H201+IDK!H201+EKM!H201+TSR!H201+PKD!H201+MLPM!H201+KKD!H201+WYD!H201+KNR!H201+KSD!H201+SHS!H201</f>
        <v>173</v>
      </c>
      <c r="I201" s="323">
        <f>TVM!I201+KLM!I201+PTA!I201+ALP!I201+KTM!I201+IDK!I201+EKM!I201+TSR!I201+PKD!I201+MLPM!I201+KKD!I201+WYD!I201+KNR!I201+KSD!I201+SHS!I201</f>
        <v>0</v>
      </c>
      <c r="J201" s="323">
        <f>TVM!J201+KLM!J201+PTA!J201+ALP!J201+KTM!J201+IDK!J201+EKM!J201+TSR!J201+PKD!J201+MLPM!J201+KKD!J201+WYD!J201+KNR!J201+KSD!J201+SHS!J201</f>
        <v>0</v>
      </c>
      <c r="K201" s="323">
        <f>TVM!K201+KLM!K201+PTA!K201+ALP!K201+KTM!K201+IDK!K201+EKM!K201+TSR!K201+PKD!K201+MLPM!K201+KKD!K201+WYD!K201+KNR!K201+KSD!K201+SHS!K201</f>
        <v>0</v>
      </c>
      <c r="L201" s="323">
        <f>TVM!L201+KLM!L201+PTA!L201+ALP!L201+KTM!L201+IDK!L201+EKM!L201+TSR!L201+PKD!L201+MLPM!L201+KKD!L201+WYD!L201+KNR!L201+KSD!L201+SHS!L201</f>
        <v>0</v>
      </c>
      <c r="M201" s="323">
        <f>TVM!M201+KLM!M201+PTA!M201+ALP!M201+KTM!M201+IDK!M201+EKM!M201+TSR!M201+PKD!M201+MLPM!M201+KKD!M201+WYD!M201+KNR!M201+KSD!M201+SHS!M201</f>
        <v>0</v>
      </c>
      <c r="N201" s="329">
        <f>TVM!N201+KLM!N201+PTA!N201+ALP!N201+KTM!N201+IDK!N201+EKM!N201+TSR!N201+PKD!N201+MLPM!N201+KKD!N201+WYD!N201+KNR!N201+KSD!N201+SHS!N201</f>
        <v>86.25</v>
      </c>
      <c r="O201" s="323">
        <f>TVM!O201+KLM!O201+PTA!O201+ALP!O201+KTM!O201+IDK!O201+EKM!O201+TSR!O201+PKD!O201+MLPM!O201+KKD!O201+WYD!O201+KNR!O201+KSD!O201+SHS!O201</f>
        <v>0</v>
      </c>
      <c r="P201" s="329">
        <f>TVM!P201+KLM!P201+PTA!P201+ALP!P201+KTM!P201+IDK!P201+EKM!P201+TSR!P201+PKD!P201+MLPM!P201+KKD!P201+WYD!P201+KNR!P201+KSD!P201+SHS!P201</f>
        <v>0</v>
      </c>
      <c r="Q201" s="330">
        <f>TVM!Q201+KLM!Q201+PTA!Q201+ALP!Q201+KTM!Q201+IDK!Q201+EKM!Q201+TSR!Q201+PKD!Q201+MLPM!Q201+KKD!Q201+WYD!Q201+KNR!Q201+KSD!Q201+SHS!Q201</f>
        <v>0</v>
      </c>
      <c r="R201" s="323">
        <f>TVM!R201+KLM!R201+PTA!R201+ALP!R201+KTM!R201+IDK!R201+EKM!R201+TSR!R201+PKD!R201+MLPM!R201+KKD!R201+WYD!R201+KNR!R201+KSD!R201+SHS!R201</f>
        <v>0</v>
      </c>
      <c r="S201" s="323">
        <f>TVM!S201+KLM!S201+PTA!S201+ALP!S201+KTM!S201+IDK!S201+EKM!S201+TSR!S201+PKD!S201+MLPM!S201+KKD!S201+WYD!S201+KNR!S201+KSD!S201+SHS!S201</f>
        <v>0</v>
      </c>
      <c r="T201" s="324">
        <f t="shared" si="9"/>
        <v>392.25</v>
      </c>
      <c r="U201" s="324">
        <f>TVM!U201+KLM!U201+PTA!U201+ALP!U201+KTM!U201+IDK!U201+EKM!U201+TSR!U201+PKD!U201+MLPM!U201+KKD!U201+WYD!U201+KNR!U201+KSD!U201+SHS!U201</f>
        <v>449.43</v>
      </c>
      <c r="V201" s="116" t="s">
        <v>1548</v>
      </c>
      <c r="W201" s="459" t="s">
        <v>1549</v>
      </c>
      <c r="X201" s="332">
        <v>351.94</v>
      </c>
      <c r="Y201" s="328">
        <f t="shared" si="1"/>
        <v>40.31</v>
      </c>
      <c r="Z201" s="314"/>
      <c r="AA201" s="314"/>
      <c r="AB201" s="314"/>
    </row>
    <row r="202" spans="1:28" ht="75" customHeight="1">
      <c r="A202" s="712"/>
      <c r="B202" s="718" t="s">
        <v>374</v>
      </c>
      <c r="C202" s="718" t="s">
        <v>303</v>
      </c>
      <c r="D202" s="320">
        <v>193</v>
      </c>
      <c r="E202" s="320" t="s">
        <v>375</v>
      </c>
      <c r="F202" s="323">
        <f>TVM!F202+KLM!F202+PTA!F202+ALP!F202+KTM!F202+IDK!F202+EKM!F202+TSR!F202+PKD!F202+MLPM!F202+KKD!F202+WYD!F202+KNR!F202+KSD!F202+SHS!F202</f>
        <v>0</v>
      </c>
      <c r="G202" s="323">
        <f>TVM!G202+KLM!G202+PTA!G202+ALP!G202+KTM!G202+IDK!G202+EKM!G202+TSR!G202+PKD!G202+MLPM!G202+KKD!G202+WYD!G202+KNR!G202+KSD!G202+SHS!G202</f>
        <v>0</v>
      </c>
      <c r="H202" s="323">
        <f>TVM!H202+KLM!H202+PTA!H202+ALP!H202+KTM!H202+IDK!H202+EKM!H202+TSR!H202+PKD!H202+MLPM!H202+KKD!H202+WYD!H202+KNR!H202+KSD!H202+SHS!H202</f>
        <v>0</v>
      </c>
      <c r="I202" s="323">
        <f>TVM!I202+KLM!I202+PTA!I202+ALP!I202+KTM!I202+IDK!I202+EKM!I202+TSR!I202+PKD!I202+MLPM!I202+KKD!I202+WYD!I202+KNR!I202+KSD!I202+SHS!I202</f>
        <v>0</v>
      </c>
      <c r="J202" s="323">
        <f>TVM!J202+KLM!J202+PTA!J202+ALP!J202+KTM!J202+IDK!J202+EKM!J202+TSR!J202+PKD!J202+MLPM!J202+KKD!J202+WYD!J202+KNR!J202+KSD!J202+SHS!J202</f>
        <v>0</v>
      </c>
      <c r="K202" s="323">
        <f>TVM!K202+KLM!K202+PTA!K202+ALP!K202+KTM!K202+IDK!K202+EKM!K202+TSR!K202+PKD!K202+MLPM!K202+KKD!K202+WYD!K202+KNR!K202+KSD!K202+SHS!K202</f>
        <v>0</v>
      </c>
      <c r="L202" s="323">
        <f>TVM!L202+KLM!L202+PTA!L202+ALP!L202+KTM!L202+IDK!L202+EKM!L202+TSR!L202+PKD!L202+MLPM!L202+KKD!L202+WYD!L202+KNR!L202+KSD!L202+SHS!L202</f>
        <v>0</v>
      </c>
      <c r="M202" s="323">
        <f>TVM!M202+KLM!M202+PTA!M202+ALP!M202+KTM!M202+IDK!M202+EKM!M202+TSR!M202+PKD!M202+MLPM!M202+KKD!M202+WYD!M202+KNR!M202+KSD!M202+SHS!M202</f>
        <v>0</v>
      </c>
      <c r="N202" s="323">
        <f>TVM!N202+KLM!N202+PTA!N202+ALP!N202+KTM!N202+IDK!N202+EKM!N202+TSR!N202+PKD!N202+MLPM!N202+KKD!N202+WYD!N202+KNR!N202+KSD!N202+SHS!N202</f>
        <v>0</v>
      </c>
      <c r="O202" s="323">
        <f>TVM!O202+KLM!O202+PTA!O202+ALP!O202+KTM!O202+IDK!O202+EKM!O202+TSR!O202+PKD!O202+MLPM!O202+KKD!O202+WYD!O202+KNR!O202+KSD!O202+SHS!O202</f>
        <v>0</v>
      </c>
      <c r="P202" s="329">
        <f>TVM!P202+KLM!P202+PTA!P202+ALP!P202+KTM!P202+IDK!P202+EKM!P202+TSR!P202+PKD!P202+MLPM!P202+KKD!P202+WYD!P202+KNR!P202+KSD!P202+SHS!P202</f>
        <v>236.2</v>
      </c>
      <c r="Q202" s="323">
        <f>TVM!Q202+KLM!Q202+PTA!Q202+ALP!Q202+KTM!Q202+IDK!Q202+EKM!Q202+TSR!Q202+PKD!Q202+MLPM!Q202+KKD!Q202+WYD!Q202+KNR!Q202+KSD!Q202+SHS!Q202</f>
        <v>0</v>
      </c>
      <c r="R202" s="323">
        <f>TVM!R202+KLM!R202+PTA!R202+ALP!R202+KTM!R202+IDK!R202+EKM!R202+TSR!R202+PKD!R202+MLPM!R202+KKD!R202+WYD!R202+KNR!R202+KSD!R202+SHS!R202</f>
        <v>0</v>
      </c>
      <c r="S202" s="330">
        <f>TVM!S202+KLM!S202+PTA!S202+ALP!S202+KTM!S202+IDK!S202+EKM!S202+TSR!S202+PKD!S202+MLPM!S202+KKD!S202+WYD!S202+KNR!S202+KSD!S202+SHS!S202</f>
        <v>0</v>
      </c>
      <c r="T202" s="324">
        <f t="shared" si="9"/>
        <v>236.2</v>
      </c>
      <c r="U202" s="324">
        <f>TVM!U202+KLM!U202+PTA!U202+ALP!U202+KTM!U202+IDK!U202+EKM!U202+TSR!U202+PKD!U202+MLPM!U202+KKD!U202+WYD!U202+KNR!U202+KSD!U202+SHS!U202</f>
        <v>250</v>
      </c>
      <c r="V202" s="321" t="s">
        <v>1550</v>
      </c>
      <c r="W202" s="321" t="s">
        <v>1550</v>
      </c>
      <c r="X202" s="332">
        <v>250</v>
      </c>
      <c r="Y202" s="334">
        <f t="shared" si="1"/>
        <v>-13.800000000000011</v>
      </c>
      <c r="Z202" s="314"/>
      <c r="AA202" s="314"/>
      <c r="AB202" s="314"/>
    </row>
    <row r="203" spans="1:28" ht="117.75" customHeight="1">
      <c r="A203" s="712"/>
      <c r="B203" s="707"/>
      <c r="C203" s="707"/>
      <c r="D203" s="320">
        <v>194</v>
      </c>
      <c r="E203" s="320" t="s">
        <v>304</v>
      </c>
      <c r="F203" s="323">
        <f>TVM!F203+KLM!F203+PTA!F203+ALP!F203+KTM!F203+IDK!F203+EKM!F203+TSR!F203+PKD!F203+MLPM!F203+KKD!F203+WYD!F203+KNR!F203+KSD!F203+SHS!F203</f>
        <v>0</v>
      </c>
      <c r="G203" s="323">
        <f>TVM!G203+KLM!G203+PTA!G203+ALP!G203+KTM!G203+IDK!G203+EKM!G203+TSR!G203+PKD!G203+MLPM!G203+KKD!G203+WYD!G203+KNR!G203+KSD!G203+SHS!G203</f>
        <v>0</v>
      </c>
      <c r="H203" s="323">
        <f>TVM!H203+KLM!H203+PTA!H203+ALP!H203+KTM!H203+IDK!H203+EKM!H203+TSR!H203+PKD!H203+MLPM!H203+KKD!H203+WYD!H203+KNR!H203+KSD!H203+SHS!H203</f>
        <v>0</v>
      </c>
      <c r="I203" s="323">
        <f>TVM!I203+KLM!I203+PTA!I203+ALP!I203+KTM!I203+IDK!I203+EKM!I203+TSR!I203+PKD!I203+MLPM!I203+KKD!I203+WYD!I203+KNR!I203+KSD!I203+SHS!I203</f>
        <v>0</v>
      </c>
      <c r="J203" s="323">
        <f>TVM!J203+KLM!J203+PTA!J203+ALP!J203+KTM!J203+IDK!J203+EKM!J203+TSR!J203+PKD!J203+MLPM!J203+KKD!J203+WYD!J203+KNR!J203+KSD!J203+SHS!J203</f>
        <v>0</v>
      </c>
      <c r="K203" s="323">
        <f>TVM!K203+KLM!K203+PTA!K203+ALP!K203+KTM!K203+IDK!K203+EKM!K203+TSR!K203+PKD!K203+MLPM!K203+KKD!K203+WYD!K203+KNR!K203+KSD!K203+SHS!K203</f>
        <v>0</v>
      </c>
      <c r="L203" s="323">
        <f>TVM!L203+KLM!L203+PTA!L203+ALP!L203+KTM!L203+IDK!L203+EKM!L203+TSR!L203+PKD!L203+MLPM!L203+KKD!L203+WYD!L203+KNR!L203+KSD!L203+SHS!L203</f>
        <v>0</v>
      </c>
      <c r="M203" s="323">
        <f>TVM!M203+KLM!M203+PTA!M203+ALP!M203+KTM!M203+IDK!M203+EKM!M203+TSR!M203+PKD!M203+MLPM!M203+KKD!M203+WYD!M203+KNR!M203+KSD!M203+SHS!M203</f>
        <v>0</v>
      </c>
      <c r="N203" s="329">
        <f>TVM!N203+KLM!N203+PTA!N203+ALP!N203+KTM!N203+IDK!N203+EKM!N203+TSR!N203+PKD!N203+MLPM!N203+KKD!N203+WYD!N203+KNR!N203+KSD!N203+SHS!N203</f>
        <v>44.599999999999994</v>
      </c>
      <c r="O203" s="323">
        <f>TVM!O203+KLM!O203+PTA!O203+ALP!O203+KTM!O203+IDK!O203+EKM!O203+TSR!O203+PKD!O203+MLPM!O203+KKD!O203+WYD!O203+KNR!O203+KSD!O203+SHS!O203</f>
        <v>0</v>
      </c>
      <c r="P203" s="323">
        <f>TVM!P203+KLM!P203+PTA!P203+ALP!P203+KTM!P203+IDK!P203+EKM!P203+TSR!P203+PKD!P203+MLPM!P203+KKD!P203+WYD!P203+KNR!P203+KSD!P203+SHS!P203</f>
        <v>0</v>
      </c>
      <c r="Q203" s="329">
        <f>TVM!Q203+KLM!Q203+PTA!Q203+ALP!Q203+KTM!Q203+IDK!Q203+EKM!Q203+TSR!Q203+PKD!Q203+MLPM!Q203+KKD!Q203+WYD!Q203+KNR!Q203+KSD!Q203+SHS!Q203</f>
        <v>3</v>
      </c>
      <c r="R203" s="329">
        <f>TVM!R203+KLM!R203+PTA!R203+ALP!R203+KTM!R203+IDK!R203+EKM!R203+TSR!R203+PKD!R203+MLPM!R203+KKD!R203+WYD!R203+KNR!R203+KSD!R203+SHS!R203</f>
        <v>970.83500000000004</v>
      </c>
      <c r="S203" s="323">
        <f>TVM!S203+KLM!S203+PTA!S203+ALP!S203+KTM!S203+IDK!S203+EKM!S203+TSR!S203+PKD!S203+MLPM!S203+KKD!S203+WYD!S203+KNR!S203+KSD!S203+SHS!S203</f>
        <v>0</v>
      </c>
      <c r="T203" s="389">
        <f t="shared" si="9"/>
        <v>1018.4350000000001</v>
      </c>
      <c r="U203" s="389">
        <f>TVM!U203+KLM!U203+PTA!U203+ALP!U203+KTM!U203+IDK!U203+EKM!U203+TSR!U203+PKD!U203+MLPM!U203+KKD!U203+WYD!U203+KNR!U203+KSD!U203+SHS!U203</f>
        <v>1069.3615000000002</v>
      </c>
      <c r="V203" s="13" t="s">
        <v>1551</v>
      </c>
      <c r="W203" s="13" t="s">
        <v>1552</v>
      </c>
      <c r="X203" s="332">
        <v>1259.82</v>
      </c>
      <c r="Y203" s="328">
        <f t="shared" si="1"/>
        <v>-241.38499999999988</v>
      </c>
      <c r="Z203" s="314"/>
      <c r="AA203" s="314"/>
      <c r="AB203" s="314"/>
    </row>
    <row r="204" spans="1:28" ht="316.5" customHeight="1">
      <c r="A204" s="712"/>
      <c r="B204" s="718" t="s">
        <v>376</v>
      </c>
      <c r="C204" s="718" t="s">
        <v>377</v>
      </c>
      <c r="D204" s="320">
        <v>195</v>
      </c>
      <c r="E204" s="320" t="s">
        <v>378</v>
      </c>
      <c r="F204" s="323">
        <f>TVM!F204+KLM!F204+PTA!F204+ALP!F204+KTM!F204+IDK!F204+EKM!F204+TSR!F204+PKD!F204+MLPM!F204+KKD!F204+WYD!F204+KNR!F204+KSD!F204+SHS!F204</f>
        <v>0</v>
      </c>
      <c r="G204" s="323">
        <f>TVM!G204+KLM!G204+PTA!G204+ALP!G204+KTM!G204+IDK!G204+EKM!G204+TSR!G204+PKD!G204+MLPM!G204+KKD!G204+WYD!G204+KNR!G204+KSD!G204+SHS!G204</f>
        <v>0</v>
      </c>
      <c r="H204" s="323">
        <f>TVM!H204+KLM!H204+PTA!H204+ALP!H204+KTM!H204+IDK!H204+EKM!H204+TSR!H204+PKD!H204+MLPM!H204+KKD!H204+WYD!H204+KNR!H204+KSD!H204+SHS!H204</f>
        <v>0</v>
      </c>
      <c r="I204" s="323">
        <f>TVM!I204+KLM!I204+PTA!I204+ALP!I204+KTM!I204+IDK!I204+EKM!I204+TSR!I204+PKD!I204+MLPM!I204+KKD!I204+WYD!I204+KNR!I204+KSD!I204+SHS!I204</f>
        <v>0</v>
      </c>
      <c r="J204" s="323">
        <f>TVM!J204+KLM!J204+PTA!J204+ALP!J204+KTM!J204+IDK!J204+EKM!J204+TSR!J204+PKD!J204+MLPM!J204+KKD!J204+WYD!J204+KNR!J204+KSD!J204+SHS!J204</f>
        <v>0</v>
      </c>
      <c r="K204" s="323">
        <f>TVM!K204+KLM!K204+PTA!K204+ALP!K204+KTM!K204+IDK!K204+EKM!K204+TSR!K204+PKD!K204+MLPM!K204+KKD!K204+WYD!K204+KNR!K204+KSD!K204+SHS!K204</f>
        <v>0</v>
      </c>
      <c r="L204" s="323">
        <f>TVM!L204+KLM!L204+PTA!L204+ALP!L204+KTM!L204+IDK!L204+EKM!L204+TSR!L204+PKD!L204+MLPM!L204+KKD!L204+WYD!L204+KNR!L204+KSD!L204+SHS!L204</f>
        <v>0</v>
      </c>
      <c r="M204" s="323">
        <f>TVM!M204+KLM!M204+PTA!M204+ALP!M204+KTM!M204+IDK!M204+EKM!M204+TSR!M204+PKD!M204+MLPM!M204+KKD!M204+WYD!M204+KNR!M204+KSD!M204+SHS!M204</f>
        <v>0</v>
      </c>
      <c r="N204" s="323">
        <f>TVM!N204+KLM!N204+PTA!N204+ALP!N204+KTM!N204+IDK!N204+EKM!N204+TSR!N204+PKD!N204+MLPM!N204+KKD!N204+WYD!N204+KNR!N204+KSD!N204+SHS!N204</f>
        <v>0</v>
      </c>
      <c r="O204" s="323">
        <f>TVM!O204+KLM!O204+PTA!O204+ALP!O204+KTM!O204+IDK!O204+EKM!O204+TSR!O204+PKD!O204+MLPM!O204+KKD!O204+WYD!O204+KNR!O204+KSD!O204+SHS!O204</f>
        <v>0</v>
      </c>
      <c r="P204" s="329">
        <f>TVM!P204+KLM!P204+PTA!P204+ALP!P204+KTM!P204+IDK!P204+EKM!P204+TSR!P204+PKD!P204+MLPM!P204+KKD!P204+WYD!P204+KNR!P204+KSD!P204+SHS!P204</f>
        <v>0</v>
      </c>
      <c r="Q204" s="330">
        <f>TVM!Q204+KLM!Q204+PTA!Q204+ALP!Q204+KTM!Q204+IDK!Q204+EKM!Q204+TSR!Q204+PKD!Q204+MLPM!Q204+KKD!Q204+WYD!Q204+KNR!Q204+KSD!Q204+SHS!Q204</f>
        <v>24.030000000000005</v>
      </c>
      <c r="R204" s="329">
        <f>TVM!R204+KLM!R204+PTA!R204+ALP!R204+KTM!R204+IDK!R204+EKM!R204+TSR!R204+PKD!R204+MLPM!R204+KKD!R204+WYD!R204+KNR!R204+KSD!R204+SHS!R204</f>
        <v>38.1</v>
      </c>
      <c r="S204" s="323">
        <f>TVM!S204+KLM!S204+PTA!S204+ALP!S204+KTM!S204+IDK!S204+EKM!S204+TSR!S204+PKD!S204+MLPM!S204+KKD!S204+WYD!S204+KNR!S204+KSD!S204+SHS!S204</f>
        <v>32.25</v>
      </c>
      <c r="T204" s="324">
        <f t="shared" si="9"/>
        <v>94.38000000000001</v>
      </c>
      <c r="U204" s="324">
        <f>TVM!U204+KLM!U204+PTA!U204+ALP!U204+KTM!U204+IDK!U204+EKM!U204+TSR!U204+PKD!U204+MLPM!U204+KKD!U204+WYD!U204+KNR!U204+KSD!U204+SHS!U204</f>
        <v>94.38000000000001</v>
      </c>
      <c r="V204" s="456" t="s">
        <v>1553</v>
      </c>
      <c r="W204" s="456" t="s">
        <v>1554</v>
      </c>
      <c r="X204" s="332">
        <v>81.3</v>
      </c>
      <c r="Y204" s="328">
        <f t="shared" si="1"/>
        <v>13.080000000000013</v>
      </c>
      <c r="Z204" s="314"/>
      <c r="AA204" s="314"/>
      <c r="AB204" s="314"/>
    </row>
    <row r="205" spans="1:28" ht="39.75" customHeight="1">
      <c r="A205" s="712"/>
      <c r="B205" s="712"/>
      <c r="C205" s="712"/>
      <c r="D205" s="320">
        <v>196</v>
      </c>
      <c r="E205" s="320" t="s">
        <v>379</v>
      </c>
      <c r="F205" s="323">
        <f>TVM!F205+KLM!F205+PTA!F205+ALP!F205+KTM!F205+IDK!F205+EKM!F205+TSR!F205+PKD!F205+MLPM!F205+KKD!F205+WYD!F205+KNR!F205+KSD!F205+SHS!F205</f>
        <v>0</v>
      </c>
      <c r="G205" s="323">
        <f>TVM!G205+KLM!G205+PTA!G205+ALP!G205+KTM!G205+IDK!G205+EKM!G205+TSR!G205+PKD!G205+MLPM!G205+KKD!G205+WYD!G205+KNR!G205+KSD!G205+SHS!G205</f>
        <v>0</v>
      </c>
      <c r="H205" s="323">
        <f>TVM!H205+KLM!H205+PTA!H205+ALP!H205+KTM!H205+IDK!H205+EKM!H205+TSR!H205+PKD!H205+MLPM!H205+KKD!H205+WYD!H205+KNR!H205+KSD!H205+SHS!H205</f>
        <v>0</v>
      </c>
      <c r="I205" s="323">
        <f>TVM!I205+KLM!I205+PTA!I205+ALP!I205+KTM!I205+IDK!I205+EKM!I205+TSR!I205+PKD!I205+MLPM!I205+KKD!I205+WYD!I205+KNR!I205+KSD!I205+SHS!I205</f>
        <v>0</v>
      </c>
      <c r="J205" s="323">
        <f>TVM!J205+KLM!J205+PTA!J205+ALP!J205+KTM!J205+IDK!J205+EKM!J205+TSR!J205+PKD!J205+MLPM!J205+KKD!J205+WYD!J205+KNR!J205+KSD!J205+SHS!J205</f>
        <v>0</v>
      </c>
      <c r="K205" s="323">
        <f>TVM!K205+KLM!K205+PTA!K205+ALP!K205+KTM!K205+IDK!K205+EKM!K205+TSR!K205+PKD!K205+MLPM!K205+KKD!K205+WYD!K205+KNR!K205+KSD!K205+SHS!K205</f>
        <v>0</v>
      </c>
      <c r="L205" s="323">
        <f>TVM!L205+KLM!L205+PTA!L205+ALP!L205+KTM!L205+IDK!L205+EKM!L205+TSR!L205+PKD!L205+MLPM!L205+KKD!L205+WYD!L205+KNR!L205+KSD!L205+SHS!L205</f>
        <v>0</v>
      </c>
      <c r="M205" s="323">
        <f>TVM!M205+KLM!M205+PTA!M205+ALP!M205+KTM!M205+IDK!M205+EKM!M205+TSR!M205+PKD!M205+MLPM!M205+KKD!M205+WYD!M205+KNR!M205+KSD!M205+SHS!M205</f>
        <v>0</v>
      </c>
      <c r="N205" s="323">
        <f>TVM!N205+KLM!N205+PTA!N205+ALP!N205+KTM!N205+IDK!N205+EKM!N205+TSR!N205+PKD!N205+MLPM!N205+KKD!N205+WYD!N205+KNR!N205+KSD!N205+SHS!N205</f>
        <v>0</v>
      </c>
      <c r="O205" s="323">
        <f>TVM!O205+KLM!O205+PTA!O205+ALP!O205+KTM!O205+IDK!O205+EKM!O205+TSR!O205+PKD!O205+MLPM!O205+KKD!O205+WYD!O205+KNR!O205+KSD!O205+SHS!O205</f>
        <v>0</v>
      </c>
      <c r="P205" s="323">
        <f>TVM!P205+KLM!P205+PTA!P205+ALP!P205+KTM!P205+IDK!P205+EKM!P205+TSR!P205+PKD!P205+MLPM!P205+KKD!P205+WYD!P205+KNR!P205+KSD!P205+SHS!P205</f>
        <v>0</v>
      </c>
      <c r="Q205" s="323">
        <f>TVM!Q205+KLM!Q205+PTA!Q205+ALP!Q205+KTM!Q205+IDK!Q205+EKM!Q205+TSR!Q205+PKD!Q205+MLPM!Q205+KKD!Q205+WYD!Q205+KNR!Q205+KSD!Q205+SHS!Q205</f>
        <v>0</v>
      </c>
      <c r="R205" s="323">
        <f>TVM!R205+KLM!R205+PTA!R205+ALP!R205+KTM!R205+IDK!R205+EKM!R205+TSR!R205+PKD!R205+MLPM!R205+KKD!R205+WYD!R205+KNR!R205+KSD!R205+SHS!R205</f>
        <v>0</v>
      </c>
      <c r="S205" s="323">
        <f>TVM!S205+KLM!S205+PTA!S205+ALP!S205+KTM!S205+IDK!S205+EKM!S205+TSR!S205+PKD!S205+MLPM!S205+KKD!S205+WYD!S205+KNR!S205+KSD!S205+SHS!S205</f>
        <v>0</v>
      </c>
      <c r="T205" s="324">
        <f t="shared" si="9"/>
        <v>0</v>
      </c>
      <c r="U205" s="324">
        <f>TVM!U205+KLM!U205+PTA!U205+ALP!U205+KTM!U205+IDK!U205+EKM!U205+TSR!U205+PKD!U205+MLPM!U205+KKD!U205+WYD!U205+KNR!U205+KSD!U205+SHS!U205</f>
        <v>0</v>
      </c>
      <c r="V205" s="325"/>
      <c r="W205" s="395"/>
      <c r="X205" s="332">
        <v>0</v>
      </c>
      <c r="Y205" s="328">
        <f t="shared" si="1"/>
        <v>0</v>
      </c>
      <c r="Z205" s="314"/>
      <c r="AA205" s="314"/>
      <c r="AB205" s="314"/>
    </row>
    <row r="206" spans="1:28" ht="258.75" customHeight="1">
      <c r="A206" s="712"/>
      <c r="B206" s="707"/>
      <c r="C206" s="707"/>
      <c r="D206" s="320">
        <v>197</v>
      </c>
      <c r="E206" s="320" t="s">
        <v>380</v>
      </c>
      <c r="F206" s="323">
        <f>TVM!F206+KLM!F206+PTA!F206+ALP!F206+KTM!F206+IDK!F206+EKM!F206+TSR!F206+PKD!F206+MLPM!F206+KKD!F206+WYD!F206+KNR!F206+KSD!F206+SHS!F206</f>
        <v>0</v>
      </c>
      <c r="G206" s="323">
        <f>TVM!G206+KLM!G206+PTA!G206+ALP!G206+KTM!G206+IDK!G206+EKM!G206+TSR!G206+PKD!G206+MLPM!G206+KKD!G206+WYD!G206+KNR!G206+KSD!G206+SHS!G206</f>
        <v>0</v>
      </c>
      <c r="H206" s="323">
        <f>TVM!H206+KLM!H206+PTA!H206+ALP!H206+KTM!H206+IDK!H206+EKM!H206+TSR!H206+PKD!H206+MLPM!H206+KKD!H206+WYD!H206+KNR!H206+KSD!H206+SHS!H206</f>
        <v>0</v>
      </c>
      <c r="I206" s="323">
        <f>TVM!I206+KLM!I206+PTA!I206+ALP!I206+KTM!I206+IDK!I206+EKM!I206+TSR!I206+PKD!I206+MLPM!I206+KKD!I206+WYD!I206+KNR!I206+KSD!I206+SHS!I206</f>
        <v>0</v>
      </c>
      <c r="J206" s="323">
        <f>TVM!J206+KLM!J206+PTA!J206+ALP!J206+KTM!J206+IDK!J206+EKM!J206+TSR!J206+PKD!J206+MLPM!J206+KKD!J206+WYD!J206+KNR!J206+KSD!J206+SHS!J206</f>
        <v>0</v>
      </c>
      <c r="K206" s="323">
        <f>TVM!K206+KLM!K206+PTA!K206+ALP!K206+KTM!K206+IDK!K206+EKM!K206+TSR!K206+PKD!K206+MLPM!K206+KKD!K206+WYD!K206+KNR!K206+KSD!K206+SHS!K206</f>
        <v>0</v>
      </c>
      <c r="L206" s="323">
        <f>TVM!L206+KLM!L206+PTA!L206+ALP!L206+KTM!L206+IDK!L206+EKM!L206+TSR!L206+PKD!L206+MLPM!L206+KKD!L206+WYD!L206+KNR!L206+KSD!L206+SHS!L206</f>
        <v>0</v>
      </c>
      <c r="M206" s="323">
        <f>TVM!M206+KLM!M206+PTA!M206+ALP!M206+KTM!M206+IDK!M206+EKM!M206+TSR!M206+PKD!M206+MLPM!M206+KKD!M206+WYD!M206+KNR!M206+KSD!M206+SHS!M206</f>
        <v>0</v>
      </c>
      <c r="N206" s="460">
        <f>TVM!N206+KLM!N206+PTA!N206+ALP!N206+KTM!N206+IDK!N206+EKM!N206+TSR!N206+PKD!N206+MLPM!N206+KKD!N206+WYD!N206+KNR!N206+KSD!N206+SHS!N206</f>
        <v>7.4</v>
      </c>
      <c r="O206" s="323">
        <f>TVM!O206+KLM!O206+PTA!O206+ALP!O206+KTM!O206+IDK!O206+EKM!O206+TSR!O206+PKD!O206+MLPM!O206+KKD!O206+WYD!O206+KNR!O206+KSD!O206+SHS!O206</f>
        <v>0</v>
      </c>
      <c r="P206" s="329">
        <f>TVM!P206+KLM!P206+PTA!P206+ALP!P206+KTM!P206+IDK!P206+EKM!P206+TSR!P206+PKD!P206+MLPM!P206+KKD!P206+WYD!P206+KNR!P206+KSD!P206+SHS!P206</f>
        <v>868.24699999999973</v>
      </c>
      <c r="Q206" s="323">
        <f>TVM!Q206+KLM!Q206+PTA!Q206+ALP!Q206+KTM!Q206+IDK!Q206+EKM!Q206+TSR!Q206+PKD!Q206+MLPM!Q206+KKD!Q206+WYD!Q206+KNR!Q206+KSD!Q206+SHS!Q206</f>
        <v>0</v>
      </c>
      <c r="R206" s="323">
        <f>TVM!R206+KLM!R206+PTA!R206+ALP!R206+KTM!R206+IDK!R206+EKM!R206+TSR!R206+PKD!R206+MLPM!R206+KKD!R206+WYD!R206+KNR!R206+KSD!R206+SHS!R206</f>
        <v>2</v>
      </c>
      <c r="S206" s="323">
        <f>TVM!S206+KLM!S206+PTA!S206+ALP!S206+KTM!S206+IDK!S206+EKM!S206+TSR!S206+PKD!S206+MLPM!S206+KKD!S206+WYD!S206+KNR!S206+KSD!S206+SHS!S206</f>
        <v>0</v>
      </c>
      <c r="T206" s="324">
        <f t="shared" si="9"/>
        <v>877.64699999999971</v>
      </c>
      <c r="U206" s="324">
        <f>TVM!U206+KLM!U206+PTA!U206+ALP!U206+KTM!U206+IDK!U206+EKM!U206+TSR!U206+PKD!U206+MLPM!U206+KKD!U206+WYD!U206+KNR!U206+KSD!U206+SHS!U206</f>
        <v>866.7470000000003</v>
      </c>
      <c r="V206" s="461" t="s">
        <v>1555</v>
      </c>
      <c r="W206" s="461" t="s">
        <v>1556</v>
      </c>
      <c r="X206" s="332">
        <v>0</v>
      </c>
      <c r="Y206" s="328">
        <f t="shared" si="1"/>
        <v>877.64699999999971</v>
      </c>
      <c r="Z206" s="314"/>
      <c r="AA206" s="314"/>
      <c r="AB206" s="314"/>
    </row>
    <row r="207" spans="1:28" ht="103.5" customHeight="1">
      <c r="A207" s="712"/>
      <c r="B207" s="320" t="s">
        <v>381</v>
      </c>
      <c r="C207" s="320" t="s">
        <v>309</v>
      </c>
      <c r="D207" s="320">
        <v>198</v>
      </c>
      <c r="E207" s="320" t="s">
        <v>310</v>
      </c>
      <c r="F207" s="323">
        <f>TVM!F207+KLM!F207+PTA!F207+ALP!F207+KTM!F207+IDK!F207+EKM!F207+TSR!F207+PKD!F207+MLPM!F207+KKD!F207+WYD!F207+KNR!F207+KSD!F207+SHS!F207</f>
        <v>0</v>
      </c>
      <c r="G207" s="323">
        <f>TVM!G207+KLM!G207+PTA!G207+ALP!G207+KTM!G207+IDK!G207+EKM!G207+TSR!G207+PKD!G207+MLPM!G207+KKD!G207+WYD!G207+KNR!G207+KSD!G207+SHS!G207</f>
        <v>0</v>
      </c>
      <c r="H207" s="323">
        <f>TVM!H207+KLM!H207+PTA!H207+ALP!H207+KTM!H207+IDK!H207+EKM!H207+TSR!H207+PKD!H207+MLPM!H207+KKD!H207+WYD!H207+KNR!H207+KSD!H207+SHS!H207</f>
        <v>0</v>
      </c>
      <c r="I207" s="323">
        <f>TVM!I207+KLM!I207+PTA!I207+ALP!I207+KTM!I207+IDK!I207+EKM!I207+TSR!I207+PKD!I207+MLPM!I207+KKD!I207+WYD!I207+KNR!I207+KSD!I207+SHS!I207</f>
        <v>0</v>
      </c>
      <c r="J207" s="323">
        <f>TVM!J207+KLM!J207+PTA!J207+ALP!J207+KTM!J207+IDK!J207+EKM!J207+TSR!J207+PKD!J207+MLPM!J207+KKD!J207+WYD!J207+KNR!J207+KSD!J207+SHS!J207</f>
        <v>0</v>
      </c>
      <c r="K207" s="323">
        <f>TVM!K207+KLM!K207+PTA!K207+ALP!K207+KTM!K207+IDK!K207+EKM!K207+TSR!K207+PKD!K207+MLPM!K207+KKD!K207+WYD!K207+KNR!K207+KSD!K207+SHS!K207</f>
        <v>0</v>
      </c>
      <c r="L207" s="323">
        <f>TVM!L207+KLM!L207+PTA!L207+ALP!L207+KTM!L207+IDK!L207+EKM!L207+TSR!L207+PKD!L207+MLPM!L207+KKD!L207+WYD!L207+KNR!L207+KSD!L207+SHS!L207</f>
        <v>0</v>
      </c>
      <c r="M207" s="323">
        <f>TVM!M207+KLM!M207+PTA!M207+ALP!M207+KTM!M207+IDK!M207+EKM!M207+TSR!M207+PKD!M207+MLPM!M207+KKD!M207+WYD!M207+KNR!M207+KSD!M207+SHS!M207</f>
        <v>0</v>
      </c>
      <c r="N207" s="323">
        <f>TVM!N207+KLM!N207+PTA!N207+ALP!N207+KTM!N207+IDK!N207+EKM!N207+TSR!N207+PKD!N207+MLPM!N207+KKD!N207+WYD!N207+KNR!N207+KSD!N207+SHS!N207</f>
        <v>0</v>
      </c>
      <c r="O207" s="323">
        <f>TVM!O207+KLM!O207+PTA!O207+ALP!O207+KTM!O207+IDK!O207+EKM!O207+TSR!O207+PKD!O207+MLPM!O207+KKD!O207+WYD!O207+KNR!O207+KSD!O207+SHS!O207</f>
        <v>0</v>
      </c>
      <c r="P207" s="323">
        <f>TVM!P207+KLM!P207+PTA!P207+ALP!P207+KTM!P207+IDK!P207+EKM!P207+TSR!P207+PKD!P207+MLPM!P207+KKD!P207+WYD!P207+KNR!P207+KSD!P207+SHS!P207</f>
        <v>0</v>
      </c>
      <c r="Q207" s="323">
        <f>TVM!Q207+KLM!Q207+PTA!Q207+ALP!Q207+KTM!Q207+IDK!Q207+EKM!Q207+TSR!Q207+PKD!Q207+MLPM!Q207+KKD!Q207+WYD!Q207+KNR!Q207+KSD!Q207+SHS!Q207</f>
        <v>0</v>
      </c>
      <c r="R207" s="323">
        <f>TVM!R207+KLM!R207+PTA!R207+ALP!R207+KTM!R207+IDK!R207+EKM!R207+TSR!R207+PKD!R207+MLPM!R207+KKD!R207+WYD!R207+KNR!R207+KSD!R207+SHS!R207</f>
        <v>0</v>
      </c>
      <c r="S207" s="323">
        <f>TVM!S207+KLM!S207+PTA!S207+ALP!S207+KTM!S207+IDK!S207+EKM!S207+TSR!S207+PKD!S207+MLPM!S207+KKD!S207+WYD!S207+KNR!S207+KSD!S207+SHS!S207</f>
        <v>26</v>
      </c>
      <c r="T207" s="402">
        <f t="shared" si="9"/>
        <v>26</v>
      </c>
      <c r="U207" s="402">
        <f>TVM!U207+KLM!U207+PTA!U207+ALP!U207+KTM!U207+IDK!U207+EKM!U207+TSR!U207+PKD!U207+MLPM!U207+KKD!U207+WYD!U207+KNR!U207+KSD!U207+SHS!U207</f>
        <v>38</v>
      </c>
      <c r="V207" s="13" t="s">
        <v>1557</v>
      </c>
      <c r="W207" s="339" t="s">
        <v>1558</v>
      </c>
      <c r="X207" s="332">
        <v>50.72</v>
      </c>
      <c r="Y207" s="328">
        <f t="shared" si="1"/>
        <v>-24.72</v>
      </c>
      <c r="Z207" s="314"/>
      <c r="AA207" s="314"/>
      <c r="AB207" s="314"/>
    </row>
    <row r="208" spans="1:28" ht="117.75" customHeight="1">
      <c r="A208" s="712"/>
      <c r="B208" s="320" t="s">
        <v>382</v>
      </c>
      <c r="C208" s="320" t="s">
        <v>312</v>
      </c>
      <c r="D208" s="320">
        <v>199</v>
      </c>
      <c r="E208" s="320" t="s">
        <v>313</v>
      </c>
      <c r="F208" s="323">
        <f>TVM!F208+KLM!F208+PTA!F208+ALP!F208+KTM!F208+IDK!F208+EKM!F208+TSR!F208+PKD!F208+MLPM!F208+KKD!F208+WYD!F208+KNR!F208+KSD!F208+SHS!F208</f>
        <v>0</v>
      </c>
      <c r="G208" s="323">
        <f>TVM!G208+KLM!G208+PTA!G208+ALP!G208+KTM!G208+IDK!G208+EKM!G208+TSR!G208+PKD!G208+MLPM!G208+KKD!G208+WYD!G208+KNR!G208+KSD!G208+SHS!G208</f>
        <v>0</v>
      </c>
      <c r="H208" s="323">
        <f>TVM!H208+KLM!H208+PTA!H208+ALP!H208+KTM!H208+IDK!H208+EKM!H208+TSR!H208+PKD!H208+MLPM!H208+KKD!H208+WYD!H208+KNR!H208+KSD!H208+SHS!H208</f>
        <v>0</v>
      </c>
      <c r="I208" s="323">
        <f>TVM!I208+KLM!I208+PTA!I208+ALP!I208+KTM!I208+IDK!I208+EKM!I208+TSR!I208+PKD!I208+MLPM!I208+KKD!I208+WYD!I208+KNR!I208+KSD!I208+SHS!I208</f>
        <v>0</v>
      </c>
      <c r="J208" s="323">
        <f>TVM!J208+KLM!J208+PTA!J208+ALP!J208+KTM!J208+IDK!J208+EKM!J208+TSR!J208+PKD!J208+MLPM!J208+KKD!J208+WYD!J208+KNR!J208+KSD!J208+SHS!J208</f>
        <v>0</v>
      </c>
      <c r="K208" s="323">
        <f>TVM!K208+KLM!K208+PTA!K208+ALP!K208+KTM!K208+IDK!K208+EKM!K208+TSR!K208+PKD!K208+MLPM!K208+KKD!K208+WYD!K208+KNR!K208+KSD!K208+SHS!K208</f>
        <v>0</v>
      </c>
      <c r="L208" s="323">
        <f>TVM!L208+KLM!L208+PTA!L208+ALP!L208+KTM!L208+IDK!L208+EKM!L208+TSR!L208+PKD!L208+MLPM!L208+KKD!L208+WYD!L208+KNR!L208+KSD!L208+SHS!L208</f>
        <v>0</v>
      </c>
      <c r="M208" s="323">
        <f>TVM!M208+KLM!M208+PTA!M208+ALP!M208+KTM!M208+IDK!M208+EKM!M208+TSR!M208+PKD!M208+MLPM!M208+KKD!M208+WYD!M208+KNR!M208+KSD!M208+SHS!M208</f>
        <v>0</v>
      </c>
      <c r="N208" s="323">
        <f>TVM!N208+KLM!N208+PTA!N208+ALP!N208+KTM!N208+IDK!N208+EKM!N208+TSR!N208+PKD!N208+MLPM!N208+KKD!N208+WYD!N208+KNR!N208+KSD!N208+SHS!N208</f>
        <v>0</v>
      </c>
      <c r="O208" s="323">
        <f>TVM!O208+KLM!O208+PTA!O208+ALP!O208+KTM!O208+IDK!O208+EKM!O208+TSR!O208+PKD!O208+MLPM!O208+KKD!O208+WYD!O208+KNR!O208+KSD!O208+SHS!O208</f>
        <v>0</v>
      </c>
      <c r="P208" s="323">
        <f>TVM!P208+KLM!P208+PTA!P208+ALP!P208+KTM!P208+IDK!P208+EKM!P208+TSR!P208+PKD!P208+MLPM!P208+KKD!P208+WYD!P208+KNR!P208+KSD!P208+SHS!P208</f>
        <v>0</v>
      </c>
      <c r="Q208" s="323">
        <f>TVM!Q208+KLM!Q208+PTA!Q208+ALP!Q208+KTM!Q208+IDK!Q208+EKM!Q208+TSR!Q208+PKD!Q208+MLPM!Q208+KKD!Q208+WYD!Q208+KNR!Q208+KSD!Q208+SHS!Q208</f>
        <v>0</v>
      </c>
      <c r="R208" s="323">
        <f>TVM!R208+KLM!R208+PTA!R208+ALP!R208+KTM!R208+IDK!R208+EKM!R208+TSR!R208+PKD!R208+MLPM!R208+KKD!R208+WYD!R208+KNR!R208+KSD!R208+SHS!R208</f>
        <v>3262.5999999999995</v>
      </c>
      <c r="S208" s="323">
        <f>TVM!S208+KLM!S208+PTA!S208+ALP!S208+KTM!S208+IDK!S208+EKM!S208+TSR!S208+PKD!S208+MLPM!S208+KKD!S208+WYD!S208+KNR!S208+KSD!S208+SHS!S208</f>
        <v>0</v>
      </c>
      <c r="T208" s="402">
        <f t="shared" si="9"/>
        <v>3262.5999999999995</v>
      </c>
      <c r="U208" s="402">
        <f>TVM!U208+KLM!U208+PTA!U208+ALP!U208+KTM!U208+IDK!U208+EKM!U208+TSR!U208+PKD!U208+MLPM!U208+KKD!U208+WYD!U208+KNR!U208+KSD!U208+SHS!U208</f>
        <v>3262.5999999999995</v>
      </c>
      <c r="V208" s="462" t="s">
        <v>1559</v>
      </c>
      <c r="W208" s="462" t="s">
        <v>1560</v>
      </c>
      <c r="X208" s="332">
        <v>3271.4</v>
      </c>
      <c r="Y208" s="328">
        <f t="shared" si="1"/>
        <v>-8.8000000000006366</v>
      </c>
      <c r="Z208" s="314"/>
      <c r="AA208" s="314"/>
      <c r="AB208" s="314"/>
    </row>
    <row r="209" spans="1:28" ht="141.75" customHeight="1">
      <c r="A209" s="712"/>
      <c r="B209" s="320" t="s">
        <v>383</v>
      </c>
      <c r="C209" s="66" t="s">
        <v>1561</v>
      </c>
      <c r="D209" s="320">
        <v>200</v>
      </c>
      <c r="E209" s="320" t="s">
        <v>384</v>
      </c>
      <c r="F209" s="323">
        <f>TVM!F209+KLM!F209+PTA!F209+ALP!F209+KTM!F209+IDK!F209+EKM!F209+TSR!F209+PKD!F209+MLPM!F209+KKD!F209+WYD!F209+KNR!F209+KSD!F209+SHS!F209</f>
        <v>0</v>
      </c>
      <c r="G209" s="323">
        <f>TVM!G209+KLM!G209+PTA!G209+ALP!G209+KTM!G209+IDK!G209+EKM!G209+TSR!G209+PKD!G209+MLPM!G209+KKD!G209+WYD!G209+KNR!G209+KSD!G209+SHS!G209</f>
        <v>0</v>
      </c>
      <c r="H209" s="323">
        <f>TVM!H209+KLM!H209+PTA!H209+ALP!H209+KTM!H209+IDK!H209+EKM!H209+TSR!H209+PKD!H209+MLPM!H209+KKD!H209+WYD!H209+KNR!H209+KSD!H209+SHS!H209</f>
        <v>0</v>
      </c>
      <c r="I209" s="323">
        <f>TVM!I209+KLM!I209+PTA!I209+ALP!I209+KTM!I209+IDK!I209+EKM!I209+TSR!I209+PKD!I209+MLPM!I209+KKD!I209+WYD!I209+KNR!I209+KSD!I209+SHS!I209</f>
        <v>0</v>
      </c>
      <c r="J209" s="323">
        <f>TVM!J209+KLM!J209+PTA!J209+ALP!J209+KTM!J209+IDK!J209+EKM!J209+TSR!J209+PKD!J209+MLPM!J209+KKD!J209+WYD!J209+KNR!J209+KSD!J209+SHS!J209</f>
        <v>0</v>
      </c>
      <c r="K209" s="323">
        <f>TVM!K209+KLM!K209+PTA!K209+ALP!K209+KTM!K209+IDK!K209+EKM!K209+TSR!K209+PKD!K209+MLPM!K209+KKD!K209+WYD!K209+KNR!K209+KSD!K209+SHS!K209</f>
        <v>0</v>
      </c>
      <c r="L209" s="323">
        <f>TVM!L209+KLM!L209+PTA!L209+ALP!L209+KTM!L209+IDK!L209+EKM!L209+TSR!L209+PKD!L209+MLPM!L209+KKD!L209+WYD!L209+KNR!L209+KSD!L209+SHS!L209</f>
        <v>0</v>
      </c>
      <c r="M209" s="323">
        <f>TVM!M209+KLM!M209+PTA!M209+ALP!M209+KTM!M209+IDK!M209+EKM!M209+TSR!M209+PKD!M209+MLPM!M209+KKD!M209+WYD!M209+KNR!M209+KSD!M209+SHS!M209</f>
        <v>0</v>
      </c>
      <c r="N209" s="323">
        <f>TVM!N209+KLM!N209+PTA!N209+ALP!N209+KTM!N209+IDK!N209+EKM!N209+TSR!N209+PKD!N209+MLPM!N209+KKD!N209+WYD!N209+KNR!N209+KSD!N209+SHS!N209</f>
        <v>8.1898999999999997</v>
      </c>
      <c r="O209" s="323">
        <f>TVM!O209+KLM!O209+PTA!O209+ALP!O209+KTM!O209+IDK!O209+EKM!O209+TSR!O209+PKD!O209+MLPM!O209+KKD!O209+WYD!O209+KNR!O209+KSD!O209+SHS!O209</f>
        <v>0</v>
      </c>
      <c r="P209" s="323">
        <f>TVM!P209+KLM!P209+PTA!P209+ALP!P209+KTM!P209+IDK!P209+EKM!P209+TSR!P209+PKD!P209+MLPM!P209+KKD!P209+WYD!P209+KNR!P209+KSD!P209+SHS!P209</f>
        <v>0</v>
      </c>
      <c r="Q209" s="323">
        <f>TVM!Q209+KLM!Q209+PTA!Q209+ALP!Q209+KTM!Q209+IDK!Q209+EKM!Q209+TSR!Q209+PKD!Q209+MLPM!Q209+KKD!Q209+WYD!Q209+KNR!Q209+KSD!Q209+SHS!Q209</f>
        <v>0</v>
      </c>
      <c r="R209" s="323">
        <f>TVM!R209+KLM!R209+PTA!R209+ALP!R209+KTM!R209+IDK!R209+EKM!R209+TSR!R209+PKD!R209+MLPM!R209+KKD!R209+WYD!R209+KNR!R209+KSD!R209+SHS!R209</f>
        <v>16</v>
      </c>
      <c r="S209" s="323">
        <f>TVM!S209+KLM!S209+PTA!S209+ALP!S209+KTM!S209+IDK!S209+EKM!S209+TSR!S209+PKD!S209+MLPM!S209+KKD!S209+WYD!S209+KNR!S209+KSD!S209+SHS!S209</f>
        <v>0</v>
      </c>
      <c r="T209" s="324">
        <f t="shared" si="9"/>
        <v>24.189900000000002</v>
      </c>
      <c r="U209" s="324">
        <f>TVM!U209+KLM!U209+PTA!U209+ALP!U209+KTM!U209+IDK!U209+EKM!U209+TSR!U209+PKD!U209+MLPM!U209+KKD!U209+WYD!U209+KNR!U209+KSD!U209+SHS!U209</f>
        <v>24.189900000000002</v>
      </c>
      <c r="V209" s="14" t="s">
        <v>1562</v>
      </c>
      <c r="W209" s="14" t="s">
        <v>1563</v>
      </c>
      <c r="X209" s="332">
        <v>32.19</v>
      </c>
      <c r="Y209" s="328">
        <f t="shared" si="1"/>
        <v>-8.0000999999999962</v>
      </c>
      <c r="Z209" s="314"/>
      <c r="AA209" s="314"/>
      <c r="AB209" s="314"/>
    </row>
    <row r="210" spans="1:28" ht="39.75" customHeight="1">
      <c r="A210" s="707"/>
      <c r="B210" s="724" t="s">
        <v>386</v>
      </c>
      <c r="C210" s="709"/>
      <c r="D210" s="710"/>
      <c r="E210" s="396"/>
      <c r="F210" s="84">
        <f t="shared" ref="F210:U210" si="10">SUM(F159:F209)</f>
        <v>0</v>
      </c>
      <c r="G210" s="101">
        <f t="shared" si="10"/>
        <v>4883.6000000000004</v>
      </c>
      <c r="H210" s="101">
        <f t="shared" si="10"/>
        <v>1887.3400000000001</v>
      </c>
      <c r="I210" s="5">
        <f t="shared" si="10"/>
        <v>3440.91</v>
      </c>
      <c r="J210" s="84">
        <f t="shared" si="10"/>
        <v>0</v>
      </c>
      <c r="K210" s="84">
        <f t="shared" si="10"/>
        <v>4592</v>
      </c>
      <c r="L210" s="84">
        <f t="shared" si="10"/>
        <v>0</v>
      </c>
      <c r="M210" s="84">
        <f t="shared" si="10"/>
        <v>1246.0360000000001</v>
      </c>
      <c r="N210" s="5">
        <f t="shared" si="10"/>
        <v>1314.2589</v>
      </c>
      <c r="O210" s="101">
        <f t="shared" si="10"/>
        <v>10050.634999999998</v>
      </c>
      <c r="P210" s="101">
        <f t="shared" si="10"/>
        <v>66242.535950000005</v>
      </c>
      <c r="Q210" s="84">
        <f t="shared" si="10"/>
        <v>645.101</v>
      </c>
      <c r="R210" s="84">
        <f t="shared" si="10"/>
        <v>4335.4449999999997</v>
      </c>
      <c r="S210" s="84">
        <f t="shared" si="10"/>
        <v>61.75</v>
      </c>
      <c r="T210" s="5">
        <f t="shared" si="10"/>
        <v>98699.611849999987</v>
      </c>
      <c r="U210" s="5">
        <f t="shared" si="10"/>
        <v>100601.96196709339</v>
      </c>
      <c r="V210" s="325"/>
      <c r="W210" s="363"/>
      <c r="X210" s="364">
        <v>150290.30300000001</v>
      </c>
      <c r="Y210" s="328">
        <f t="shared" si="1"/>
        <v>-51590.691150000028</v>
      </c>
      <c r="Z210" s="314"/>
      <c r="AA210" s="314"/>
      <c r="AB210" s="314"/>
    </row>
    <row r="211" spans="1:28" ht="39.75" customHeight="1">
      <c r="A211" s="725" t="s">
        <v>387</v>
      </c>
      <c r="B211" s="709"/>
      <c r="C211" s="709"/>
      <c r="D211" s="710"/>
      <c r="E211" s="463"/>
      <c r="F211" s="7">
        <f t="shared" ref="F211:L211" si="11">F210+F158+F134+F93+F68</f>
        <v>1831.7781</v>
      </c>
      <c r="G211" s="129">
        <f t="shared" si="11"/>
        <v>5046.8</v>
      </c>
      <c r="H211" s="129">
        <f t="shared" si="11"/>
        <v>2612.64</v>
      </c>
      <c r="I211" s="7">
        <f t="shared" si="11"/>
        <v>7098.8459999999995</v>
      </c>
      <c r="J211" s="7">
        <f t="shared" si="11"/>
        <v>176.33</v>
      </c>
      <c r="K211" s="7">
        <f t="shared" si="11"/>
        <v>12419.519090000002</v>
      </c>
      <c r="L211" s="7">
        <f t="shared" si="11"/>
        <v>436.29999999999995</v>
      </c>
      <c r="M211" s="84">
        <f>SUM(M160:M210)</f>
        <v>2492.0720000000001</v>
      </c>
      <c r="N211" s="7">
        <f t="shared" ref="N211:U211" si="12">N210+N158+N134+N93+N68</f>
        <v>2785.7838000000002</v>
      </c>
      <c r="O211" s="129">
        <f t="shared" si="12"/>
        <v>14939.938349999999</v>
      </c>
      <c r="P211" s="129">
        <f t="shared" si="12"/>
        <v>88482.620765000014</v>
      </c>
      <c r="Q211" s="7">
        <f t="shared" si="12"/>
        <v>2393.2484999999997</v>
      </c>
      <c r="R211" s="129">
        <f t="shared" si="12"/>
        <v>5420.8119999999999</v>
      </c>
      <c r="S211" s="129">
        <f t="shared" si="12"/>
        <v>378.31</v>
      </c>
      <c r="T211" s="7">
        <f t="shared" si="12"/>
        <v>149393.57060499999</v>
      </c>
      <c r="U211" s="7">
        <f t="shared" si="12"/>
        <v>151409.20521268787</v>
      </c>
      <c r="V211" s="464"/>
      <c r="W211" s="363"/>
      <c r="X211" s="399">
        <v>210102.43</v>
      </c>
      <c r="Y211" s="328">
        <f t="shared" si="1"/>
        <v>-60708.859395000007</v>
      </c>
      <c r="Z211" s="314"/>
      <c r="AA211" s="314"/>
      <c r="AB211" s="314"/>
    </row>
    <row r="212" spans="1:28" ht="39.75" customHeight="1">
      <c r="A212" s="314"/>
      <c r="B212" s="314"/>
      <c r="C212" s="314"/>
      <c r="D212" s="314"/>
      <c r="E212" s="314"/>
      <c r="F212" s="314"/>
      <c r="G212" s="314"/>
      <c r="H212" s="314"/>
      <c r="I212" s="314"/>
      <c r="J212" s="314"/>
      <c r="K212" s="314"/>
      <c r="L212" s="314"/>
      <c r="M212" s="314"/>
      <c r="N212" s="314"/>
      <c r="O212" s="314"/>
      <c r="P212" s="314"/>
      <c r="Q212" s="314"/>
      <c r="R212" s="314"/>
      <c r="S212" s="314"/>
      <c r="T212" s="465"/>
      <c r="U212" s="465"/>
      <c r="V212" s="315"/>
      <c r="W212" s="316"/>
      <c r="X212" s="314"/>
      <c r="Y212" s="314"/>
      <c r="Z212" s="314"/>
      <c r="AA212" s="314"/>
      <c r="AB212" s="314"/>
    </row>
    <row r="213" spans="1:28" ht="39.75" customHeight="1">
      <c r="A213" s="314"/>
      <c r="B213" s="314"/>
      <c r="C213" s="314"/>
      <c r="D213" s="314"/>
      <c r="E213" s="314"/>
      <c r="F213" s="314"/>
      <c r="G213" s="314"/>
      <c r="H213" s="314"/>
      <c r="I213" s="314"/>
      <c r="J213" s="314"/>
      <c r="K213" s="314"/>
      <c r="L213" s="314"/>
      <c r="M213" s="314"/>
      <c r="N213" s="314"/>
      <c r="O213" s="314"/>
      <c r="P213" s="314"/>
      <c r="Q213" s="314"/>
      <c r="R213" s="314"/>
      <c r="S213" s="314"/>
      <c r="T213" s="466"/>
      <c r="U213" s="466"/>
      <c r="V213" s="315"/>
      <c r="W213" s="316"/>
      <c r="X213" s="314"/>
      <c r="Y213" s="314"/>
      <c r="Z213" s="314"/>
      <c r="AA213" s="314"/>
      <c r="AB213" s="314"/>
    </row>
    <row r="214" spans="1:28" ht="39.75" customHeight="1">
      <c r="A214" s="314"/>
      <c r="B214" s="314"/>
      <c r="C214" s="314"/>
      <c r="D214" s="314"/>
      <c r="E214" s="314"/>
      <c r="F214" s="314"/>
      <c r="G214" s="314"/>
      <c r="H214" s="314"/>
      <c r="I214" s="314"/>
      <c r="J214" s="314"/>
      <c r="K214" s="314"/>
      <c r="L214" s="314"/>
      <c r="M214" s="314"/>
      <c r="N214" s="314"/>
      <c r="O214" s="314"/>
      <c r="P214" s="314"/>
      <c r="Q214" s="314"/>
      <c r="R214" s="314"/>
      <c r="S214" s="314"/>
      <c r="T214" s="314"/>
      <c r="U214" s="313"/>
      <c r="V214" s="315"/>
      <c r="W214" s="316"/>
      <c r="X214" s="314"/>
      <c r="Y214" s="314"/>
      <c r="Z214" s="314"/>
      <c r="AA214" s="314"/>
      <c r="AB214" s="314"/>
    </row>
    <row r="215" spans="1:28" ht="39.75" customHeight="1">
      <c r="A215" s="314"/>
      <c r="B215" s="314"/>
      <c r="C215" s="314"/>
      <c r="D215" s="314"/>
      <c r="E215" s="314"/>
      <c r="F215" s="314"/>
      <c r="G215" s="314"/>
      <c r="H215" s="314"/>
      <c r="I215" s="314"/>
      <c r="J215" s="314"/>
      <c r="K215" s="314"/>
      <c r="L215" s="314"/>
      <c r="M215" s="314"/>
      <c r="N215" s="314"/>
      <c r="O215" s="314"/>
      <c r="P215" s="314"/>
      <c r="Q215" s="314"/>
      <c r="R215" s="314"/>
      <c r="S215" s="314"/>
      <c r="T215" s="314"/>
      <c r="U215" s="313"/>
      <c r="V215" s="315"/>
      <c r="W215" s="316"/>
      <c r="X215" s="314"/>
      <c r="Y215" s="314"/>
      <c r="Z215" s="314"/>
      <c r="AA215" s="314"/>
      <c r="AB215" s="314"/>
    </row>
    <row r="216" spans="1:28" ht="39.75" customHeight="1">
      <c r="A216" s="314"/>
      <c r="B216" s="314"/>
      <c r="C216" s="314"/>
      <c r="D216" s="314"/>
      <c r="E216" s="314"/>
      <c r="F216" s="314"/>
      <c r="G216" s="314"/>
      <c r="H216" s="314"/>
      <c r="I216" s="314"/>
      <c r="J216" s="314"/>
      <c r="K216" s="314"/>
      <c r="L216" s="314"/>
      <c r="M216" s="314"/>
      <c r="N216" s="314"/>
      <c r="O216" s="314"/>
      <c r="P216" s="314"/>
      <c r="Q216" s="314"/>
      <c r="R216" s="314"/>
      <c r="S216" s="314"/>
      <c r="T216" s="314"/>
      <c r="U216" s="313"/>
      <c r="V216" s="315"/>
      <c r="W216" s="316"/>
      <c r="X216" s="314"/>
      <c r="Y216" s="314"/>
      <c r="Z216" s="314"/>
      <c r="AA216" s="314"/>
      <c r="AB216" s="314"/>
    </row>
    <row r="217" spans="1:28" ht="39.75" customHeight="1">
      <c r="A217" s="314"/>
      <c r="B217" s="314"/>
      <c r="C217" s="314"/>
      <c r="D217" s="314"/>
      <c r="E217" s="314"/>
      <c r="F217" s="314"/>
      <c r="G217" s="314"/>
      <c r="H217" s="314"/>
      <c r="I217" s="314"/>
      <c r="J217" s="314"/>
      <c r="K217" s="314"/>
      <c r="L217" s="314"/>
      <c r="M217" s="314"/>
      <c r="N217" s="314"/>
      <c r="O217" s="314"/>
      <c r="P217" s="314"/>
      <c r="Q217" s="314"/>
      <c r="R217" s="314"/>
      <c r="S217" s="314"/>
      <c r="T217" s="314"/>
      <c r="U217" s="313"/>
      <c r="V217" s="315"/>
      <c r="W217" s="316"/>
      <c r="X217" s="314"/>
      <c r="Y217" s="314"/>
      <c r="Z217" s="314"/>
      <c r="AA217" s="314"/>
      <c r="AB217" s="314"/>
    </row>
    <row r="218" spans="1:28" ht="39.75" customHeight="1">
      <c r="A218" s="314"/>
      <c r="B218" s="314"/>
      <c r="C218" s="314"/>
      <c r="D218" s="314"/>
      <c r="E218" s="314"/>
      <c r="F218" s="314"/>
      <c r="G218" s="314"/>
      <c r="H218" s="314"/>
      <c r="I218" s="314"/>
      <c r="J218" s="314"/>
      <c r="K218" s="314"/>
      <c r="L218" s="314"/>
      <c r="M218" s="314"/>
      <c r="N218" s="314"/>
      <c r="O218" s="314"/>
      <c r="P218" s="314"/>
      <c r="Q218" s="314"/>
      <c r="R218" s="314"/>
      <c r="S218" s="314"/>
      <c r="T218" s="314"/>
      <c r="U218" s="313"/>
      <c r="V218" s="315"/>
      <c r="W218" s="316"/>
      <c r="X218" s="314"/>
      <c r="Y218" s="314"/>
      <c r="Z218" s="314"/>
      <c r="AA218" s="314"/>
      <c r="AB218" s="314"/>
    </row>
    <row r="219" spans="1:28" ht="39.75" customHeight="1">
      <c r="A219" s="314"/>
      <c r="B219" s="314"/>
      <c r="C219" s="314"/>
      <c r="D219" s="314"/>
      <c r="E219" s="314"/>
      <c r="F219" s="314"/>
      <c r="G219" s="314"/>
      <c r="H219" s="314"/>
      <c r="I219" s="314"/>
      <c r="J219" s="314"/>
      <c r="K219" s="314"/>
      <c r="L219" s="314"/>
      <c r="M219" s="314"/>
      <c r="N219" s="314"/>
      <c r="O219" s="314"/>
      <c r="P219" s="314"/>
      <c r="Q219" s="314"/>
      <c r="R219" s="314"/>
      <c r="S219" s="314"/>
      <c r="T219" s="314"/>
      <c r="U219" s="313"/>
      <c r="V219" s="315"/>
      <c r="W219" s="316"/>
      <c r="X219" s="314"/>
      <c r="Y219" s="314"/>
      <c r="Z219" s="314"/>
      <c r="AA219" s="314"/>
      <c r="AB219" s="314"/>
    </row>
    <row r="220" spans="1:28" ht="39.75" customHeight="1">
      <c r="A220" s="314"/>
      <c r="B220" s="314"/>
      <c r="C220" s="314"/>
      <c r="D220" s="314"/>
      <c r="E220" s="314"/>
      <c r="F220" s="314"/>
      <c r="G220" s="314"/>
      <c r="H220" s="314"/>
      <c r="I220" s="314"/>
      <c r="J220" s="314"/>
      <c r="K220" s="314"/>
      <c r="L220" s="314"/>
      <c r="M220" s="314"/>
      <c r="N220" s="314"/>
      <c r="O220" s="314"/>
      <c r="P220" s="314"/>
      <c r="Q220" s="314"/>
      <c r="R220" s="314"/>
      <c r="S220" s="314"/>
      <c r="T220" s="314"/>
      <c r="U220" s="313"/>
      <c r="V220" s="315"/>
      <c r="W220" s="316"/>
      <c r="X220" s="314"/>
      <c r="Y220" s="314"/>
      <c r="Z220" s="314"/>
      <c r="AA220" s="314"/>
      <c r="AB220" s="314"/>
    </row>
    <row r="221" spans="1:28" ht="39.75" customHeight="1">
      <c r="A221" s="314"/>
      <c r="B221" s="314"/>
      <c r="C221" s="314"/>
      <c r="D221" s="314"/>
      <c r="E221" s="314"/>
      <c r="F221" s="314"/>
      <c r="G221" s="314"/>
      <c r="H221" s="314"/>
      <c r="I221" s="314"/>
      <c r="J221" s="314"/>
      <c r="K221" s="314"/>
      <c r="L221" s="314"/>
      <c r="M221" s="314"/>
      <c r="N221" s="314"/>
      <c r="O221" s="314"/>
      <c r="P221" s="314"/>
      <c r="Q221" s="314"/>
      <c r="R221" s="314"/>
      <c r="S221" s="314"/>
      <c r="T221" s="314"/>
      <c r="U221" s="313"/>
      <c r="V221" s="315"/>
      <c r="W221" s="316"/>
      <c r="X221" s="314"/>
      <c r="Y221" s="314"/>
      <c r="Z221" s="314"/>
      <c r="AA221" s="314"/>
      <c r="AB221" s="314"/>
    </row>
    <row r="222" spans="1:28" ht="39.75" customHeight="1">
      <c r="A222" s="314"/>
      <c r="B222" s="314"/>
      <c r="C222" s="314"/>
      <c r="D222" s="314"/>
      <c r="E222" s="314"/>
      <c r="F222" s="314"/>
      <c r="G222" s="314"/>
      <c r="H222" s="314"/>
      <c r="I222" s="314"/>
      <c r="J222" s="314"/>
      <c r="K222" s="314"/>
      <c r="L222" s="314"/>
      <c r="M222" s="314"/>
      <c r="N222" s="314"/>
      <c r="O222" s="314"/>
      <c r="P222" s="314"/>
      <c r="Q222" s="314"/>
      <c r="R222" s="314"/>
      <c r="S222" s="314"/>
      <c r="T222" s="314"/>
      <c r="U222" s="313"/>
      <c r="V222" s="315"/>
      <c r="W222" s="316"/>
      <c r="X222" s="314"/>
      <c r="Y222" s="314"/>
      <c r="Z222" s="314"/>
      <c r="AA222" s="314"/>
      <c r="AB222" s="314"/>
    </row>
    <row r="223" spans="1:28" ht="39.75" customHeight="1">
      <c r="A223" s="314"/>
      <c r="B223" s="314"/>
      <c r="C223" s="314"/>
      <c r="D223" s="314"/>
      <c r="E223" s="314"/>
      <c r="F223" s="314"/>
      <c r="G223" s="314"/>
      <c r="H223" s="314"/>
      <c r="I223" s="314"/>
      <c r="J223" s="314"/>
      <c r="K223" s="314"/>
      <c r="L223" s="314"/>
      <c r="M223" s="314"/>
      <c r="N223" s="314"/>
      <c r="O223" s="314"/>
      <c r="P223" s="314"/>
      <c r="Q223" s="314"/>
      <c r="R223" s="314"/>
      <c r="S223" s="314"/>
      <c r="T223" s="314"/>
      <c r="U223" s="313"/>
      <c r="V223" s="315"/>
      <c r="W223" s="316"/>
      <c r="X223" s="314"/>
      <c r="Y223" s="314"/>
      <c r="Z223" s="314"/>
      <c r="AA223" s="314"/>
      <c r="AB223" s="314"/>
    </row>
    <row r="224" spans="1:28" ht="39.75" customHeight="1">
      <c r="A224" s="314"/>
      <c r="B224" s="314"/>
      <c r="C224" s="314"/>
      <c r="D224" s="314"/>
      <c r="E224" s="314"/>
      <c r="F224" s="314"/>
      <c r="G224" s="314"/>
      <c r="H224" s="314"/>
      <c r="I224" s="314"/>
      <c r="J224" s="314"/>
      <c r="K224" s="314"/>
      <c r="L224" s="314"/>
      <c r="M224" s="314"/>
      <c r="N224" s="314"/>
      <c r="O224" s="314"/>
      <c r="P224" s="314"/>
      <c r="Q224" s="314"/>
      <c r="R224" s="314"/>
      <c r="S224" s="314"/>
      <c r="T224" s="314"/>
      <c r="U224" s="313"/>
      <c r="V224" s="315"/>
      <c r="W224" s="316"/>
      <c r="X224" s="314"/>
      <c r="Y224" s="314"/>
      <c r="Z224" s="314"/>
      <c r="AA224" s="314"/>
      <c r="AB224" s="314"/>
    </row>
    <row r="225" spans="1:28" ht="39.75" customHeight="1">
      <c r="A225" s="314"/>
      <c r="B225" s="314"/>
      <c r="C225" s="314"/>
      <c r="D225" s="314"/>
      <c r="E225" s="314"/>
      <c r="F225" s="314"/>
      <c r="G225" s="314"/>
      <c r="H225" s="314"/>
      <c r="I225" s="314"/>
      <c r="J225" s="314"/>
      <c r="K225" s="314"/>
      <c r="L225" s="314"/>
      <c r="M225" s="314"/>
      <c r="N225" s="314"/>
      <c r="O225" s="314"/>
      <c r="P225" s="314"/>
      <c r="Q225" s="314"/>
      <c r="R225" s="314"/>
      <c r="S225" s="314"/>
      <c r="T225" s="314"/>
      <c r="U225" s="313"/>
      <c r="V225" s="315"/>
      <c r="W225" s="316"/>
      <c r="X225" s="314"/>
      <c r="Y225" s="314"/>
      <c r="Z225" s="314"/>
      <c r="AA225" s="314"/>
      <c r="AB225" s="314"/>
    </row>
    <row r="226" spans="1:28" ht="39.75" customHeight="1">
      <c r="A226" s="314"/>
      <c r="B226" s="314"/>
      <c r="C226" s="314"/>
      <c r="D226" s="314"/>
      <c r="E226" s="314"/>
      <c r="F226" s="314"/>
      <c r="G226" s="314"/>
      <c r="H226" s="314"/>
      <c r="I226" s="314"/>
      <c r="J226" s="314"/>
      <c r="K226" s="314"/>
      <c r="L226" s="314"/>
      <c r="M226" s="314"/>
      <c r="N226" s="314"/>
      <c r="O226" s="314"/>
      <c r="P226" s="314"/>
      <c r="Q226" s="314"/>
      <c r="R226" s="314"/>
      <c r="S226" s="314"/>
      <c r="T226" s="314"/>
      <c r="U226" s="313"/>
      <c r="V226" s="315"/>
      <c r="W226" s="316"/>
      <c r="X226" s="314"/>
      <c r="Y226" s="314"/>
      <c r="Z226" s="314"/>
      <c r="AA226" s="314"/>
      <c r="AB226" s="314"/>
    </row>
    <row r="227" spans="1:28" ht="39.75" customHeight="1">
      <c r="A227" s="314"/>
      <c r="B227" s="314"/>
      <c r="C227" s="314"/>
      <c r="D227" s="314"/>
      <c r="E227" s="314"/>
      <c r="F227" s="314"/>
      <c r="G227" s="314"/>
      <c r="H227" s="314"/>
      <c r="I227" s="314"/>
      <c r="J227" s="314"/>
      <c r="K227" s="314"/>
      <c r="L227" s="314"/>
      <c r="M227" s="314"/>
      <c r="N227" s="314"/>
      <c r="O227" s="314"/>
      <c r="P227" s="314"/>
      <c r="Q227" s="314"/>
      <c r="R227" s="314"/>
      <c r="S227" s="314"/>
      <c r="T227" s="314"/>
      <c r="U227" s="313"/>
      <c r="V227" s="315"/>
      <c r="W227" s="316"/>
      <c r="X227" s="314"/>
      <c r="Y227" s="314"/>
      <c r="Z227" s="314"/>
      <c r="AA227" s="314"/>
      <c r="AB227" s="314"/>
    </row>
    <row r="228" spans="1:28" ht="39.75" customHeight="1">
      <c r="A228" s="314"/>
      <c r="B228" s="314"/>
      <c r="C228" s="314"/>
      <c r="D228" s="314"/>
      <c r="E228" s="314"/>
      <c r="F228" s="314"/>
      <c r="G228" s="314"/>
      <c r="H228" s="314"/>
      <c r="I228" s="314"/>
      <c r="J228" s="314"/>
      <c r="K228" s="314"/>
      <c r="L228" s="314"/>
      <c r="M228" s="314"/>
      <c r="N228" s="314"/>
      <c r="O228" s="314"/>
      <c r="P228" s="314"/>
      <c r="Q228" s="314"/>
      <c r="R228" s="314"/>
      <c r="S228" s="314"/>
      <c r="T228" s="314"/>
      <c r="U228" s="313"/>
      <c r="V228" s="315"/>
      <c r="W228" s="316"/>
      <c r="X228" s="314"/>
      <c r="Y228" s="314"/>
      <c r="Z228" s="314"/>
      <c r="AA228" s="314"/>
      <c r="AB228" s="314"/>
    </row>
    <row r="229" spans="1:28" ht="39.75" customHeight="1">
      <c r="A229" s="314"/>
      <c r="B229" s="314"/>
      <c r="C229" s="314"/>
      <c r="D229" s="314"/>
      <c r="E229" s="314"/>
      <c r="F229" s="314"/>
      <c r="G229" s="314"/>
      <c r="H229" s="314"/>
      <c r="I229" s="314"/>
      <c r="J229" s="314"/>
      <c r="K229" s="314"/>
      <c r="L229" s="314"/>
      <c r="M229" s="314"/>
      <c r="N229" s="314"/>
      <c r="O229" s="314"/>
      <c r="P229" s="314"/>
      <c r="Q229" s="314"/>
      <c r="R229" s="314"/>
      <c r="S229" s="314"/>
      <c r="T229" s="314"/>
      <c r="U229" s="313"/>
      <c r="V229" s="315"/>
      <c r="W229" s="316"/>
      <c r="X229" s="314"/>
      <c r="Y229" s="314"/>
      <c r="Z229" s="314"/>
      <c r="AA229" s="314"/>
      <c r="AB229" s="314"/>
    </row>
    <row r="230" spans="1:28" ht="39.75" customHeight="1">
      <c r="A230" s="314"/>
      <c r="B230" s="314"/>
      <c r="C230" s="314"/>
      <c r="D230" s="314"/>
      <c r="E230" s="314"/>
      <c r="F230" s="314"/>
      <c r="G230" s="314"/>
      <c r="H230" s="314"/>
      <c r="I230" s="314"/>
      <c r="J230" s="314"/>
      <c r="K230" s="314"/>
      <c r="L230" s="314"/>
      <c r="M230" s="314"/>
      <c r="N230" s="314"/>
      <c r="O230" s="314"/>
      <c r="P230" s="314"/>
      <c r="Q230" s="314"/>
      <c r="R230" s="314"/>
      <c r="S230" s="314"/>
      <c r="T230" s="314"/>
      <c r="U230" s="313"/>
      <c r="V230" s="315"/>
      <c r="W230" s="316"/>
      <c r="X230" s="314"/>
      <c r="Y230" s="314"/>
      <c r="Z230" s="314"/>
      <c r="AA230" s="314"/>
      <c r="AB230" s="314"/>
    </row>
    <row r="231" spans="1:28" ht="39.75" customHeight="1">
      <c r="A231" s="314"/>
      <c r="B231" s="314"/>
      <c r="C231" s="314"/>
      <c r="D231" s="314"/>
      <c r="E231" s="314"/>
      <c r="F231" s="314"/>
      <c r="G231" s="314"/>
      <c r="H231" s="314"/>
      <c r="I231" s="314"/>
      <c r="J231" s="314"/>
      <c r="K231" s="314"/>
      <c r="L231" s="314"/>
      <c r="M231" s="314"/>
      <c r="N231" s="314"/>
      <c r="O231" s="314"/>
      <c r="P231" s="314"/>
      <c r="Q231" s="314"/>
      <c r="R231" s="314"/>
      <c r="S231" s="314"/>
      <c r="T231" s="314"/>
      <c r="U231" s="313"/>
      <c r="V231" s="315"/>
      <c r="W231" s="316"/>
      <c r="X231" s="314"/>
      <c r="Y231" s="314"/>
      <c r="Z231" s="314"/>
      <c r="AA231" s="314"/>
      <c r="AB231" s="314"/>
    </row>
    <row r="232" spans="1:28" ht="39.75" customHeight="1">
      <c r="A232" s="314"/>
      <c r="B232" s="314"/>
      <c r="C232" s="314"/>
      <c r="D232" s="314"/>
      <c r="E232" s="314"/>
      <c r="F232" s="314"/>
      <c r="G232" s="314"/>
      <c r="H232" s="314"/>
      <c r="I232" s="314"/>
      <c r="J232" s="314"/>
      <c r="K232" s="314"/>
      <c r="L232" s="314"/>
      <c r="M232" s="314"/>
      <c r="N232" s="314"/>
      <c r="O232" s="314"/>
      <c r="P232" s="314"/>
      <c r="Q232" s="314"/>
      <c r="R232" s="314"/>
      <c r="S232" s="314"/>
      <c r="T232" s="314"/>
      <c r="U232" s="313"/>
      <c r="V232" s="315"/>
      <c r="W232" s="316"/>
      <c r="X232" s="314"/>
      <c r="Y232" s="314"/>
      <c r="Z232" s="314"/>
      <c r="AA232" s="314"/>
      <c r="AB232" s="314"/>
    </row>
    <row r="233" spans="1:28" ht="39.75" customHeight="1">
      <c r="A233" s="314"/>
      <c r="B233" s="314"/>
      <c r="C233" s="314"/>
      <c r="D233" s="314"/>
      <c r="E233" s="314"/>
      <c r="F233" s="314"/>
      <c r="G233" s="314"/>
      <c r="H233" s="314"/>
      <c r="I233" s="314"/>
      <c r="J233" s="314"/>
      <c r="K233" s="314"/>
      <c r="L233" s="314"/>
      <c r="M233" s="314"/>
      <c r="N233" s="314"/>
      <c r="O233" s="314"/>
      <c r="P233" s="314"/>
      <c r="Q233" s="314"/>
      <c r="R233" s="314"/>
      <c r="S233" s="314"/>
      <c r="T233" s="314"/>
      <c r="U233" s="313"/>
      <c r="V233" s="315"/>
      <c r="W233" s="316"/>
      <c r="X233" s="314"/>
      <c r="Y233" s="314"/>
      <c r="Z233" s="314"/>
      <c r="AA233" s="314"/>
      <c r="AB233" s="314"/>
    </row>
    <row r="234" spans="1:28" ht="39.75" customHeight="1">
      <c r="A234" s="314"/>
      <c r="B234" s="314"/>
      <c r="C234" s="314"/>
      <c r="D234" s="314"/>
      <c r="E234" s="314"/>
      <c r="F234" s="314"/>
      <c r="G234" s="314"/>
      <c r="H234" s="314"/>
      <c r="I234" s="314"/>
      <c r="J234" s="314"/>
      <c r="K234" s="314"/>
      <c r="L234" s="314"/>
      <c r="M234" s="314"/>
      <c r="N234" s="314"/>
      <c r="O234" s="314"/>
      <c r="P234" s="314"/>
      <c r="Q234" s="314"/>
      <c r="R234" s="314"/>
      <c r="S234" s="314"/>
      <c r="T234" s="314"/>
      <c r="U234" s="313"/>
      <c r="V234" s="315"/>
      <c r="W234" s="316"/>
      <c r="X234" s="314"/>
      <c r="Y234" s="314"/>
      <c r="Z234" s="314"/>
      <c r="AA234" s="314"/>
      <c r="AB234" s="314"/>
    </row>
    <row r="235" spans="1:28" ht="39.75" customHeight="1">
      <c r="A235" s="314"/>
      <c r="B235" s="314"/>
      <c r="C235" s="314"/>
      <c r="D235" s="314"/>
      <c r="E235" s="314"/>
      <c r="F235" s="314"/>
      <c r="G235" s="314"/>
      <c r="H235" s="314"/>
      <c r="I235" s="314"/>
      <c r="J235" s="314"/>
      <c r="K235" s="314"/>
      <c r="L235" s="314"/>
      <c r="M235" s="314"/>
      <c r="N235" s="314"/>
      <c r="O235" s="314"/>
      <c r="P235" s="314"/>
      <c r="Q235" s="314"/>
      <c r="R235" s="314"/>
      <c r="S235" s="314"/>
      <c r="T235" s="314"/>
      <c r="U235" s="313"/>
      <c r="V235" s="315"/>
      <c r="W235" s="316"/>
      <c r="X235" s="314"/>
      <c r="Y235" s="314"/>
      <c r="Z235" s="314"/>
      <c r="AA235" s="314"/>
      <c r="AB235" s="314"/>
    </row>
    <row r="236" spans="1:28" ht="39.75" customHeight="1">
      <c r="A236" s="314"/>
      <c r="B236" s="314"/>
      <c r="C236" s="314"/>
      <c r="D236" s="314"/>
      <c r="E236" s="314"/>
      <c r="F236" s="314"/>
      <c r="G236" s="314"/>
      <c r="H236" s="314"/>
      <c r="I236" s="314"/>
      <c r="J236" s="314"/>
      <c r="K236" s="314"/>
      <c r="L236" s="314"/>
      <c r="M236" s="314"/>
      <c r="N236" s="314"/>
      <c r="O236" s="314"/>
      <c r="P236" s="314"/>
      <c r="Q236" s="314"/>
      <c r="R236" s="314"/>
      <c r="S236" s="314"/>
      <c r="T236" s="314"/>
      <c r="U236" s="313"/>
      <c r="V236" s="315"/>
      <c r="W236" s="316"/>
      <c r="X236" s="314"/>
      <c r="Y236" s="314"/>
      <c r="Z236" s="314"/>
      <c r="AA236" s="314"/>
      <c r="AB236" s="314"/>
    </row>
    <row r="237" spans="1:28" ht="39.75" customHeight="1">
      <c r="A237" s="314"/>
      <c r="B237" s="314"/>
      <c r="C237" s="314"/>
      <c r="D237" s="314"/>
      <c r="E237" s="314"/>
      <c r="F237" s="314"/>
      <c r="G237" s="314"/>
      <c r="H237" s="314"/>
      <c r="I237" s="314"/>
      <c r="J237" s="314"/>
      <c r="K237" s="314"/>
      <c r="L237" s="314"/>
      <c r="M237" s="314"/>
      <c r="N237" s="314"/>
      <c r="O237" s="314"/>
      <c r="P237" s="314"/>
      <c r="Q237" s="314"/>
      <c r="R237" s="314"/>
      <c r="S237" s="314"/>
      <c r="T237" s="314"/>
      <c r="U237" s="313"/>
      <c r="V237" s="315"/>
      <c r="W237" s="316"/>
      <c r="X237" s="314"/>
      <c r="Y237" s="314"/>
      <c r="Z237" s="314"/>
      <c r="AA237" s="314"/>
      <c r="AB237" s="314"/>
    </row>
    <row r="238" spans="1:28" ht="39.75" customHeight="1">
      <c r="A238" s="314"/>
      <c r="B238" s="314"/>
      <c r="C238" s="314"/>
      <c r="D238" s="314"/>
      <c r="E238" s="314"/>
      <c r="F238" s="314"/>
      <c r="G238" s="314"/>
      <c r="H238" s="314"/>
      <c r="I238" s="314"/>
      <c r="J238" s="314"/>
      <c r="K238" s="314"/>
      <c r="L238" s="314"/>
      <c r="M238" s="314"/>
      <c r="N238" s="314"/>
      <c r="O238" s="314"/>
      <c r="P238" s="314"/>
      <c r="Q238" s="314"/>
      <c r="R238" s="314"/>
      <c r="S238" s="314"/>
      <c r="T238" s="314"/>
      <c r="U238" s="313"/>
      <c r="V238" s="315"/>
      <c r="W238" s="316"/>
      <c r="X238" s="314"/>
      <c r="Y238" s="314"/>
      <c r="Z238" s="314"/>
      <c r="AA238" s="314"/>
      <c r="AB238" s="314"/>
    </row>
    <row r="239" spans="1:28" ht="39.75" customHeight="1">
      <c r="A239" s="314"/>
      <c r="B239" s="314"/>
      <c r="C239" s="314"/>
      <c r="D239" s="314"/>
      <c r="E239" s="314"/>
      <c r="F239" s="314"/>
      <c r="G239" s="314"/>
      <c r="H239" s="314"/>
      <c r="I239" s="314"/>
      <c r="J239" s="314"/>
      <c r="K239" s="314"/>
      <c r="L239" s="314"/>
      <c r="M239" s="314"/>
      <c r="N239" s="314"/>
      <c r="O239" s="314"/>
      <c r="P239" s="314"/>
      <c r="Q239" s="314"/>
      <c r="R239" s="314"/>
      <c r="S239" s="314"/>
      <c r="T239" s="314"/>
      <c r="U239" s="313"/>
      <c r="V239" s="315"/>
      <c r="W239" s="316"/>
      <c r="X239" s="314"/>
      <c r="Y239" s="314"/>
      <c r="Z239" s="314"/>
      <c r="AA239" s="314"/>
      <c r="AB239" s="314"/>
    </row>
    <row r="240" spans="1:28" ht="39.75" customHeight="1">
      <c r="A240" s="314"/>
      <c r="B240" s="314"/>
      <c r="C240" s="314"/>
      <c r="D240" s="314"/>
      <c r="E240" s="314"/>
      <c r="F240" s="314"/>
      <c r="G240" s="314"/>
      <c r="H240" s="314"/>
      <c r="I240" s="314"/>
      <c r="J240" s="314"/>
      <c r="K240" s="314"/>
      <c r="L240" s="314"/>
      <c r="M240" s="314"/>
      <c r="N240" s="314"/>
      <c r="O240" s="314"/>
      <c r="P240" s="314"/>
      <c r="Q240" s="314"/>
      <c r="R240" s="314"/>
      <c r="S240" s="314"/>
      <c r="T240" s="314"/>
      <c r="U240" s="313"/>
      <c r="V240" s="315"/>
      <c r="W240" s="316"/>
      <c r="X240" s="314"/>
      <c r="Y240" s="314"/>
      <c r="Z240" s="314"/>
      <c r="AA240" s="314"/>
      <c r="AB240" s="314"/>
    </row>
    <row r="241" spans="1:28" ht="39.75" customHeight="1">
      <c r="A241" s="314"/>
      <c r="B241" s="314"/>
      <c r="C241" s="314"/>
      <c r="D241" s="314"/>
      <c r="E241" s="314"/>
      <c r="F241" s="314"/>
      <c r="G241" s="314"/>
      <c r="H241" s="314"/>
      <c r="I241" s="314"/>
      <c r="J241" s="314"/>
      <c r="K241" s="314"/>
      <c r="L241" s="314"/>
      <c r="M241" s="314"/>
      <c r="N241" s="314"/>
      <c r="O241" s="314"/>
      <c r="P241" s="314"/>
      <c r="Q241" s="314"/>
      <c r="R241" s="314"/>
      <c r="S241" s="314"/>
      <c r="T241" s="314"/>
      <c r="U241" s="313"/>
      <c r="V241" s="315"/>
      <c r="W241" s="316"/>
      <c r="X241" s="314"/>
      <c r="Y241" s="314"/>
      <c r="Z241" s="314"/>
      <c r="AA241" s="314"/>
      <c r="AB241" s="314"/>
    </row>
    <row r="242" spans="1:28" ht="39.75" customHeight="1">
      <c r="A242" s="314"/>
      <c r="B242" s="314"/>
      <c r="C242" s="314"/>
      <c r="D242" s="314"/>
      <c r="E242" s="314"/>
      <c r="F242" s="314"/>
      <c r="G242" s="314"/>
      <c r="H242" s="314"/>
      <c r="I242" s="314"/>
      <c r="J242" s="314"/>
      <c r="K242" s="314"/>
      <c r="L242" s="314"/>
      <c r="M242" s="314"/>
      <c r="N242" s="314"/>
      <c r="O242" s="314"/>
      <c r="P242" s="314"/>
      <c r="Q242" s="314"/>
      <c r="R242" s="314"/>
      <c r="S242" s="314"/>
      <c r="T242" s="314"/>
      <c r="U242" s="313"/>
      <c r="V242" s="315"/>
      <c r="W242" s="316"/>
      <c r="X242" s="314"/>
      <c r="Y242" s="314"/>
      <c r="Z242" s="314"/>
      <c r="AA242" s="314"/>
      <c r="AB242" s="314"/>
    </row>
    <row r="243" spans="1:28" ht="39.75" customHeight="1">
      <c r="A243" s="314"/>
      <c r="B243" s="314"/>
      <c r="C243" s="314"/>
      <c r="D243" s="314"/>
      <c r="E243" s="314"/>
      <c r="F243" s="314"/>
      <c r="G243" s="314"/>
      <c r="H243" s="314"/>
      <c r="I243" s="314"/>
      <c r="J243" s="314"/>
      <c r="K243" s="314"/>
      <c r="L243" s="314"/>
      <c r="M243" s="314"/>
      <c r="N243" s="314"/>
      <c r="O243" s="314"/>
      <c r="P243" s="314"/>
      <c r="Q243" s="314"/>
      <c r="R243" s="314"/>
      <c r="S243" s="314"/>
      <c r="T243" s="314"/>
      <c r="U243" s="313"/>
      <c r="V243" s="315"/>
      <c r="W243" s="316"/>
      <c r="X243" s="314"/>
      <c r="Y243" s="314"/>
      <c r="Z243" s="314"/>
      <c r="AA243" s="314"/>
      <c r="AB243" s="314"/>
    </row>
    <row r="244" spans="1:28" ht="39.75" customHeight="1">
      <c r="A244" s="314"/>
      <c r="B244" s="314"/>
      <c r="C244" s="314"/>
      <c r="D244" s="314"/>
      <c r="E244" s="314"/>
      <c r="F244" s="314"/>
      <c r="G244" s="314"/>
      <c r="H244" s="314"/>
      <c r="I244" s="314"/>
      <c r="J244" s="314"/>
      <c r="K244" s="314"/>
      <c r="L244" s="314"/>
      <c r="M244" s="314"/>
      <c r="N244" s="314"/>
      <c r="O244" s="314"/>
      <c r="P244" s="314"/>
      <c r="Q244" s="314"/>
      <c r="R244" s="314"/>
      <c r="S244" s="314"/>
      <c r="T244" s="314"/>
      <c r="U244" s="313"/>
      <c r="V244" s="315"/>
      <c r="W244" s="316"/>
      <c r="X244" s="314"/>
      <c r="Y244" s="314"/>
      <c r="Z244" s="314"/>
      <c r="AA244" s="314"/>
      <c r="AB244" s="314"/>
    </row>
    <row r="245" spans="1:28" ht="39.75" customHeight="1">
      <c r="A245" s="314"/>
      <c r="B245" s="314"/>
      <c r="C245" s="314"/>
      <c r="D245" s="314"/>
      <c r="E245" s="314"/>
      <c r="F245" s="314"/>
      <c r="G245" s="314"/>
      <c r="H245" s="314"/>
      <c r="I245" s="314"/>
      <c r="J245" s="314"/>
      <c r="K245" s="314"/>
      <c r="L245" s="314"/>
      <c r="M245" s="314"/>
      <c r="N245" s="314"/>
      <c r="O245" s="314"/>
      <c r="P245" s="314"/>
      <c r="Q245" s="314"/>
      <c r="R245" s="314"/>
      <c r="S245" s="314"/>
      <c r="T245" s="314"/>
      <c r="U245" s="313"/>
      <c r="V245" s="315"/>
      <c r="W245" s="316"/>
      <c r="X245" s="314"/>
      <c r="Y245" s="314"/>
      <c r="Z245" s="314"/>
      <c r="AA245" s="314"/>
      <c r="AB245" s="314"/>
    </row>
    <row r="246" spans="1:28" ht="39.75" customHeight="1">
      <c r="A246" s="314"/>
      <c r="B246" s="314"/>
      <c r="C246" s="314"/>
      <c r="D246" s="314"/>
      <c r="E246" s="314"/>
      <c r="F246" s="314"/>
      <c r="G246" s="314"/>
      <c r="H246" s="314"/>
      <c r="I246" s="314"/>
      <c r="J246" s="314"/>
      <c r="K246" s="314"/>
      <c r="L246" s="314"/>
      <c r="M246" s="314"/>
      <c r="N246" s="314"/>
      <c r="O246" s="314"/>
      <c r="P246" s="314"/>
      <c r="Q246" s="314"/>
      <c r="R246" s="314"/>
      <c r="S246" s="314"/>
      <c r="T246" s="314"/>
      <c r="U246" s="313"/>
      <c r="V246" s="315"/>
      <c r="W246" s="316"/>
      <c r="X246" s="314"/>
      <c r="Y246" s="314"/>
      <c r="Z246" s="314"/>
      <c r="AA246" s="314"/>
      <c r="AB246" s="314"/>
    </row>
    <row r="247" spans="1:28" ht="39.75" customHeight="1">
      <c r="A247" s="314"/>
      <c r="B247" s="314"/>
      <c r="C247" s="314"/>
      <c r="D247" s="314"/>
      <c r="E247" s="314"/>
      <c r="F247" s="314"/>
      <c r="G247" s="314"/>
      <c r="H247" s="314"/>
      <c r="I247" s="314"/>
      <c r="J247" s="314"/>
      <c r="K247" s="314"/>
      <c r="L247" s="314"/>
      <c r="M247" s="314"/>
      <c r="N247" s="314"/>
      <c r="O247" s="314"/>
      <c r="P247" s="314"/>
      <c r="Q247" s="314"/>
      <c r="R247" s="314"/>
      <c r="S247" s="314"/>
      <c r="T247" s="314"/>
      <c r="U247" s="313"/>
      <c r="V247" s="315"/>
      <c r="W247" s="316"/>
      <c r="X247" s="314"/>
      <c r="Y247" s="314"/>
      <c r="Z247" s="314"/>
      <c r="AA247" s="314"/>
      <c r="AB247" s="314"/>
    </row>
    <row r="248" spans="1:28" ht="39.75" customHeight="1">
      <c r="A248" s="314"/>
      <c r="B248" s="314"/>
      <c r="C248" s="314"/>
      <c r="D248" s="314"/>
      <c r="E248" s="314"/>
      <c r="F248" s="314"/>
      <c r="G248" s="314"/>
      <c r="H248" s="314"/>
      <c r="I248" s="314"/>
      <c r="J248" s="314"/>
      <c r="K248" s="314"/>
      <c r="L248" s="314"/>
      <c r="M248" s="314"/>
      <c r="N248" s="314"/>
      <c r="O248" s="314"/>
      <c r="P248" s="314"/>
      <c r="Q248" s="314"/>
      <c r="R248" s="314"/>
      <c r="S248" s="314"/>
      <c r="T248" s="314"/>
      <c r="U248" s="313"/>
      <c r="V248" s="315"/>
      <c r="W248" s="316"/>
      <c r="X248" s="314"/>
      <c r="Y248" s="314"/>
      <c r="Z248" s="314"/>
      <c r="AA248" s="314"/>
      <c r="AB248" s="314"/>
    </row>
    <row r="249" spans="1:28" ht="39.75" customHeight="1">
      <c r="A249" s="314"/>
      <c r="B249" s="314"/>
      <c r="C249" s="314"/>
      <c r="D249" s="314"/>
      <c r="E249" s="314"/>
      <c r="F249" s="314"/>
      <c r="G249" s="314"/>
      <c r="H249" s="314"/>
      <c r="I249" s="314"/>
      <c r="J249" s="314"/>
      <c r="K249" s="314"/>
      <c r="L249" s="314"/>
      <c r="M249" s="314"/>
      <c r="N249" s="314"/>
      <c r="O249" s="314"/>
      <c r="P249" s="314"/>
      <c r="Q249" s="314"/>
      <c r="R249" s="314"/>
      <c r="S249" s="314"/>
      <c r="T249" s="314"/>
      <c r="U249" s="313"/>
      <c r="V249" s="315"/>
      <c r="W249" s="316"/>
      <c r="X249" s="314"/>
      <c r="Y249" s="314"/>
      <c r="Z249" s="314"/>
      <c r="AA249" s="314"/>
      <c r="AB249" s="314"/>
    </row>
    <row r="250" spans="1:28" ht="39.75" customHeight="1">
      <c r="A250" s="314"/>
      <c r="B250" s="314"/>
      <c r="C250" s="314"/>
      <c r="D250" s="314"/>
      <c r="E250" s="314"/>
      <c r="F250" s="314"/>
      <c r="G250" s="314"/>
      <c r="H250" s="314"/>
      <c r="I250" s="314"/>
      <c r="J250" s="314"/>
      <c r="K250" s="314"/>
      <c r="L250" s="314"/>
      <c r="M250" s="314"/>
      <c r="N250" s="314"/>
      <c r="O250" s="314"/>
      <c r="P250" s="314"/>
      <c r="Q250" s="314"/>
      <c r="R250" s="314"/>
      <c r="S250" s="314"/>
      <c r="T250" s="314"/>
      <c r="U250" s="313"/>
      <c r="V250" s="315"/>
      <c r="W250" s="316"/>
      <c r="X250" s="314"/>
      <c r="Y250" s="314"/>
      <c r="Z250" s="314"/>
      <c r="AA250" s="314"/>
      <c r="AB250" s="314"/>
    </row>
    <row r="251" spans="1:28" ht="39.75" customHeight="1">
      <c r="A251" s="314"/>
      <c r="B251" s="314"/>
      <c r="C251" s="314"/>
      <c r="D251" s="314"/>
      <c r="E251" s="314"/>
      <c r="F251" s="314"/>
      <c r="G251" s="314"/>
      <c r="H251" s="314"/>
      <c r="I251" s="314"/>
      <c r="J251" s="314"/>
      <c r="K251" s="314"/>
      <c r="L251" s="314"/>
      <c r="M251" s="314"/>
      <c r="N251" s="314"/>
      <c r="O251" s="314"/>
      <c r="P251" s="314"/>
      <c r="Q251" s="314"/>
      <c r="R251" s="314"/>
      <c r="S251" s="314"/>
      <c r="T251" s="314"/>
      <c r="U251" s="313"/>
      <c r="V251" s="315"/>
      <c r="W251" s="316"/>
      <c r="X251" s="314"/>
      <c r="Y251" s="314"/>
      <c r="Z251" s="314"/>
      <c r="AA251" s="314"/>
      <c r="AB251" s="314"/>
    </row>
    <row r="252" spans="1:28" ht="39.75" customHeight="1">
      <c r="A252" s="314"/>
      <c r="B252" s="314"/>
      <c r="C252" s="314"/>
      <c r="D252" s="314"/>
      <c r="E252" s="314"/>
      <c r="F252" s="314"/>
      <c r="G252" s="314"/>
      <c r="H252" s="314"/>
      <c r="I252" s="314"/>
      <c r="J252" s="314"/>
      <c r="K252" s="314"/>
      <c r="L252" s="314"/>
      <c r="M252" s="314"/>
      <c r="N252" s="314"/>
      <c r="O252" s="314"/>
      <c r="P252" s="314"/>
      <c r="Q252" s="314"/>
      <c r="R252" s="314"/>
      <c r="S252" s="314"/>
      <c r="T252" s="314"/>
      <c r="U252" s="313"/>
      <c r="V252" s="315"/>
      <c r="W252" s="316"/>
      <c r="X252" s="314"/>
      <c r="Y252" s="314"/>
      <c r="Z252" s="314"/>
      <c r="AA252" s="314"/>
      <c r="AB252" s="314"/>
    </row>
    <row r="253" spans="1:28" ht="39.75" customHeight="1">
      <c r="A253" s="314"/>
      <c r="B253" s="314"/>
      <c r="C253" s="314"/>
      <c r="D253" s="314"/>
      <c r="E253" s="314"/>
      <c r="F253" s="314"/>
      <c r="G253" s="314"/>
      <c r="H253" s="314"/>
      <c r="I253" s="314"/>
      <c r="J253" s="314"/>
      <c r="K253" s="314"/>
      <c r="L253" s="314"/>
      <c r="M253" s="314"/>
      <c r="N253" s="314"/>
      <c r="O253" s="314"/>
      <c r="P253" s="314"/>
      <c r="Q253" s="314"/>
      <c r="R253" s="314"/>
      <c r="S253" s="314"/>
      <c r="T253" s="314"/>
      <c r="U253" s="313"/>
      <c r="V253" s="315"/>
      <c r="W253" s="316"/>
      <c r="X253" s="314"/>
      <c r="Y253" s="314"/>
      <c r="Z253" s="314"/>
      <c r="AA253" s="314"/>
      <c r="AB253" s="314"/>
    </row>
    <row r="254" spans="1:28" ht="39.75" customHeight="1">
      <c r="A254" s="314"/>
      <c r="B254" s="314"/>
      <c r="C254" s="314"/>
      <c r="D254" s="314"/>
      <c r="E254" s="314"/>
      <c r="F254" s="314"/>
      <c r="G254" s="314"/>
      <c r="H254" s="314"/>
      <c r="I254" s="314"/>
      <c r="J254" s="314"/>
      <c r="K254" s="314"/>
      <c r="L254" s="314"/>
      <c r="M254" s="314"/>
      <c r="N254" s="314"/>
      <c r="O254" s="314"/>
      <c r="P254" s="314"/>
      <c r="Q254" s="314"/>
      <c r="R254" s="314"/>
      <c r="S254" s="314"/>
      <c r="T254" s="314"/>
      <c r="U254" s="313"/>
      <c r="V254" s="315"/>
      <c r="W254" s="316"/>
      <c r="X254" s="314"/>
      <c r="Y254" s="314"/>
      <c r="Z254" s="314"/>
      <c r="AA254" s="314"/>
      <c r="AB254" s="314"/>
    </row>
    <row r="255" spans="1:28" ht="39.75" customHeight="1">
      <c r="A255" s="314"/>
      <c r="B255" s="314"/>
      <c r="C255" s="314"/>
      <c r="D255" s="314"/>
      <c r="E255" s="314"/>
      <c r="F255" s="314"/>
      <c r="G255" s="314"/>
      <c r="H255" s="314"/>
      <c r="I255" s="314"/>
      <c r="J255" s="314"/>
      <c r="K255" s="314"/>
      <c r="L255" s="314"/>
      <c r="M255" s="314"/>
      <c r="N255" s="314"/>
      <c r="O255" s="314"/>
      <c r="P255" s="314"/>
      <c r="Q255" s="314"/>
      <c r="R255" s="314"/>
      <c r="S255" s="314"/>
      <c r="T255" s="314"/>
      <c r="U255" s="313"/>
      <c r="V255" s="315"/>
      <c r="W255" s="316"/>
      <c r="X255" s="314"/>
      <c r="Y255" s="314"/>
      <c r="Z255" s="314"/>
      <c r="AA255" s="314"/>
      <c r="AB255" s="314"/>
    </row>
    <row r="256" spans="1:28" ht="39.75" customHeight="1">
      <c r="A256" s="314"/>
      <c r="B256" s="314"/>
      <c r="C256" s="314"/>
      <c r="D256" s="314"/>
      <c r="E256" s="314"/>
      <c r="F256" s="314"/>
      <c r="G256" s="314"/>
      <c r="H256" s="314"/>
      <c r="I256" s="314"/>
      <c r="J256" s="314"/>
      <c r="K256" s="314"/>
      <c r="L256" s="314"/>
      <c r="M256" s="314"/>
      <c r="N256" s="314"/>
      <c r="O256" s="314"/>
      <c r="P256" s="314"/>
      <c r="Q256" s="314"/>
      <c r="R256" s="314"/>
      <c r="S256" s="314"/>
      <c r="T256" s="314"/>
      <c r="U256" s="313"/>
      <c r="V256" s="315"/>
      <c r="W256" s="316"/>
      <c r="X256" s="314"/>
      <c r="Y256" s="314"/>
      <c r="Z256" s="314"/>
      <c r="AA256" s="314"/>
      <c r="AB256" s="314"/>
    </row>
    <row r="257" spans="1:28" ht="39.75" customHeight="1">
      <c r="A257" s="314"/>
      <c r="B257" s="314"/>
      <c r="C257" s="314"/>
      <c r="D257" s="314"/>
      <c r="E257" s="314"/>
      <c r="F257" s="314"/>
      <c r="G257" s="314"/>
      <c r="H257" s="314"/>
      <c r="I257" s="314"/>
      <c r="J257" s="314"/>
      <c r="K257" s="314"/>
      <c r="L257" s="314"/>
      <c r="M257" s="314"/>
      <c r="N257" s="314"/>
      <c r="O257" s="314"/>
      <c r="P257" s="314"/>
      <c r="Q257" s="314"/>
      <c r="R257" s="314"/>
      <c r="S257" s="314"/>
      <c r="T257" s="314"/>
      <c r="U257" s="313"/>
      <c r="V257" s="315"/>
      <c r="W257" s="316"/>
      <c r="X257" s="314"/>
      <c r="Y257" s="314"/>
      <c r="Z257" s="314"/>
      <c r="AA257" s="314"/>
      <c r="AB257" s="314"/>
    </row>
    <row r="258" spans="1:28" ht="39.75" customHeight="1">
      <c r="A258" s="314"/>
      <c r="B258" s="314"/>
      <c r="C258" s="314"/>
      <c r="D258" s="314"/>
      <c r="E258" s="314"/>
      <c r="F258" s="314"/>
      <c r="G258" s="314"/>
      <c r="H258" s="314"/>
      <c r="I258" s="314"/>
      <c r="J258" s="314"/>
      <c r="K258" s="314"/>
      <c r="L258" s="314"/>
      <c r="M258" s="314"/>
      <c r="N258" s="314"/>
      <c r="O258" s="314"/>
      <c r="P258" s="314"/>
      <c r="Q258" s="314"/>
      <c r="R258" s="314"/>
      <c r="S258" s="314"/>
      <c r="T258" s="314"/>
      <c r="U258" s="313"/>
      <c r="V258" s="315"/>
      <c r="W258" s="316"/>
      <c r="X258" s="314"/>
      <c r="Y258" s="314"/>
      <c r="Z258" s="314"/>
      <c r="AA258" s="314"/>
      <c r="AB258" s="314"/>
    </row>
    <row r="259" spans="1:28" ht="39.75" customHeight="1">
      <c r="A259" s="314"/>
      <c r="B259" s="314"/>
      <c r="C259" s="314"/>
      <c r="D259" s="314"/>
      <c r="E259" s="314"/>
      <c r="F259" s="314"/>
      <c r="G259" s="314"/>
      <c r="H259" s="314"/>
      <c r="I259" s="314"/>
      <c r="J259" s="314"/>
      <c r="K259" s="314"/>
      <c r="L259" s="314"/>
      <c r="M259" s="314"/>
      <c r="N259" s="314"/>
      <c r="O259" s="314"/>
      <c r="P259" s="314"/>
      <c r="Q259" s="314"/>
      <c r="R259" s="314"/>
      <c r="S259" s="314"/>
      <c r="T259" s="314"/>
      <c r="U259" s="313"/>
      <c r="V259" s="315"/>
      <c r="W259" s="316"/>
      <c r="X259" s="314"/>
      <c r="Y259" s="314"/>
      <c r="Z259" s="314"/>
      <c r="AA259" s="314"/>
      <c r="AB259" s="314"/>
    </row>
    <row r="260" spans="1:28" ht="39.75" customHeight="1">
      <c r="A260" s="314"/>
      <c r="B260" s="314"/>
      <c r="C260" s="314"/>
      <c r="D260" s="314"/>
      <c r="E260" s="314"/>
      <c r="F260" s="314"/>
      <c r="G260" s="314"/>
      <c r="H260" s="314"/>
      <c r="I260" s="314"/>
      <c r="J260" s="314"/>
      <c r="K260" s="314"/>
      <c r="L260" s="314"/>
      <c r="M260" s="314"/>
      <c r="N260" s="314"/>
      <c r="O260" s="314"/>
      <c r="P260" s="314"/>
      <c r="Q260" s="314"/>
      <c r="R260" s="314"/>
      <c r="S260" s="314"/>
      <c r="T260" s="314"/>
      <c r="U260" s="313"/>
      <c r="V260" s="315"/>
      <c r="W260" s="316"/>
      <c r="X260" s="314"/>
      <c r="Y260" s="314"/>
      <c r="Z260" s="314"/>
      <c r="AA260" s="314"/>
      <c r="AB260" s="314"/>
    </row>
    <row r="261" spans="1:28" ht="39.75" customHeight="1">
      <c r="A261" s="314"/>
      <c r="B261" s="314"/>
      <c r="C261" s="314"/>
      <c r="D261" s="314"/>
      <c r="E261" s="314"/>
      <c r="F261" s="314"/>
      <c r="G261" s="314"/>
      <c r="H261" s="314"/>
      <c r="I261" s="314"/>
      <c r="J261" s="314"/>
      <c r="K261" s="314"/>
      <c r="L261" s="314"/>
      <c r="M261" s="314"/>
      <c r="N261" s="314"/>
      <c r="O261" s="314"/>
      <c r="P261" s="314"/>
      <c r="Q261" s="314"/>
      <c r="R261" s="314"/>
      <c r="S261" s="314"/>
      <c r="T261" s="314"/>
      <c r="U261" s="313"/>
      <c r="V261" s="315"/>
      <c r="W261" s="316"/>
      <c r="X261" s="314"/>
      <c r="Y261" s="314"/>
      <c r="Z261" s="314"/>
      <c r="AA261" s="314"/>
      <c r="AB261" s="314"/>
    </row>
    <row r="262" spans="1:28" ht="39.75" customHeight="1">
      <c r="A262" s="314"/>
      <c r="B262" s="314"/>
      <c r="C262" s="314"/>
      <c r="D262" s="314"/>
      <c r="E262" s="314"/>
      <c r="F262" s="314"/>
      <c r="G262" s="314"/>
      <c r="H262" s="314"/>
      <c r="I262" s="314"/>
      <c r="J262" s="314"/>
      <c r="K262" s="314"/>
      <c r="L262" s="314"/>
      <c r="M262" s="314"/>
      <c r="N262" s="314"/>
      <c r="O262" s="314"/>
      <c r="P262" s="314"/>
      <c r="Q262" s="314"/>
      <c r="R262" s="314"/>
      <c r="S262" s="314"/>
      <c r="T262" s="314"/>
      <c r="U262" s="313"/>
      <c r="V262" s="315"/>
      <c r="W262" s="316"/>
      <c r="X262" s="314"/>
      <c r="Y262" s="314"/>
      <c r="Z262" s="314"/>
      <c r="AA262" s="314"/>
      <c r="AB262" s="314"/>
    </row>
    <row r="263" spans="1:28" ht="39.75" customHeight="1">
      <c r="A263" s="314"/>
      <c r="B263" s="314"/>
      <c r="C263" s="314"/>
      <c r="D263" s="314"/>
      <c r="E263" s="314"/>
      <c r="F263" s="314"/>
      <c r="G263" s="314"/>
      <c r="H263" s="314"/>
      <c r="I263" s="314"/>
      <c r="J263" s="314"/>
      <c r="K263" s="314"/>
      <c r="L263" s="314"/>
      <c r="M263" s="314"/>
      <c r="N263" s="314"/>
      <c r="O263" s="314"/>
      <c r="P263" s="314"/>
      <c r="Q263" s="314"/>
      <c r="R263" s="314"/>
      <c r="S263" s="314"/>
      <c r="T263" s="314"/>
      <c r="U263" s="313"/>
      <c r="V263" s="315"/>
      <c r="W263" s="316"/>
      <c r="X263" s="314"/>
      <c r="Y263" s="314"/>
      <c r="Z263" s="314"/>
      <c r="AA263" s="314"/>
      <c r="AB263" s="314"/>
    </row>
    <row r="264" spans="1:28" ht="39.75" customHeight="1">
      <c r="A264" s="314"/>
      <c r="B264" s="314"/>
      <c r="C264" s="314"/>
      <c r="D264" s="314"/>
      <c r="E264" s="314"/>
      <c r="F264" s="314"/>
      <c r="G264" s="314"/>
      <c r="H264" s="314"/>
      <c r="I264" s="314"/>
      <c r="J264" s="314"/>
      <c r="K264" s="314"/>
      <c r="L264" s="314"/>
      <c r="M264" s="314"/>
      <c r="N264" s="314"/>
      <c r="O264" s="314"/>
      <c r="P264" s="314"/>
      <c r="Q264" s="314"/>
      <c r="R264" s="314"/>
      <c r="S264" s="314"/>
      <c r="T264" s="314"/>
      <c r="U264" s="313"/>
      <c r="V264" s="315"/>
      <c r="W264" s="316"/>
      <c r="X264" s="314"/>
      <c r="Y264" s="314"/>
      <c r="Z264" s="314"/>
      <c r="AA264" s="314"/>
      <c r="AB264" s="314"/>
    </row>
    <row r="265" spans="1:28" ht="39.75" customHeight="1">
      <c r="A265" s="314"/>
      <c r="B265" s="314"/>
      <c r="C265" s="314"/>
      <c r="D265" s="314"/>
      <c r="E265" s="314"/>
      <c r="F265" s="314"/>
      <c r="G265" s="314"/>
      <c r="H265" s="314"/>
      <c r="I265" s="314"/>
      <c r="J265" s="314"/>
      <c r="K265" s="314"/>
      <c r="L265" s="314"/>
      <c r="M265" s="314"/>
      <c r="N265" s="314"/>
      <c r="O265" s="314"/>
      <c r="P265" s="314"/>
      <c r="Q265" s="314"/>
      <c r="R265" s="314"/>
      <c r="S265" s="314"/>
      <c r="T265" s="314"/>
      <c r="U265" s="313"/>
      <c r="V265" s="315"/>
      <c r="W265" s="316"/>
      <c r="X265" s="314"/>
      <c r="Y265" s="314"/>
      <c r="Z265" s="314"/>
      <c r="AA265" s="314"/>
      <c r="AB265" s="314"/>
    </row>
    <row r="266" spans="1:28" ht="39.75" customHeight="1">
      <c r="A266" s="314"/>
      <c r="B266" s="314"/>
      <c r="C266" s="314"/>
      <c r="D266" s="314"/>
      <c r="E266" s="314"/>
      <c r="F266" s="314"/>
      <c r="G266" s="314"/>
      <c r="H266" s="314"/>
      <c r="I266" s="314"/>
      <c r="J266" s="314"/>
      <c r="K266" s="314"/>
      <c r="L266" s="314"/>
      <c r="M266" s="314"/>
      <c r="N266" s="314"/>
      <c r="O266" s="314"/>
      <c r="P266" s="314"/>
      <c r="Q266" s="314"/>
      <c r="R266" s="314"/>
      <c r="S266" s="314"/>
      <c r="T266" s="314"/>
      <c r="U266" s="313"/>
      <c r="V266" s="315"/>
      <c r="W266" s="316"/>
      <c r="X266" s="314"/>
      <c r="Y266" s="314"/>
      <c r="Z266" s="314"/>
      <c r="AA266" s="314"/>
      <c r="AB266" s="314"/>
    </row>
    <row r="267" spans="1:28" ht="39.75" customHeight="1">
      <c r="A267" s="314"/>
      <c r="B267" s="314"/>
      <c r="C267" s="314"/>
      <c r="D267" s="314"/>
      <c r="E267" s="314"/>
      <c r="F267" s="314"/>
      <c r="G267" s="314"/>
      <c r="H267" s="314"/>
      <c r="I267" s="314"/>
      <c r="J267" s="314"/>
      <c r="K267" s="314"/>
      <c r="L267" s="314"/>
      <c r="M267" s="314"/>
      <c r="N267" s="314"/>
      <c r="O267" s="314"/>
      <c r="P267" s="314"/>
      <c r="Q267" s="314"/>
      <c r="R267" s="314"/>
      <c r="S267" s="314"/>
      <c r="T267" s="314"/>
      <c r="U267" s="313"/>
      <c r="V267" s="315"/>
      <c r="W267" s="316"/>
      <c r="X267" s="314"/>
      <c r="Y267" s="314"/>
      <c r="Z267" s="314"/>
      <c r="AA267" s="314"/>
      <c r="AB267" s="314"/>
    </row>
    <row r="268" spans="1:28" ht="39.75" customHeight="1">
      <c r="A268" s="314"/>
      <c r="B268" s="314"/>
      <c r="C268" s="314"/>
      <c r="D268" s="314"/>
      <c r="E268" s="314"/>
      <c r="F268" s="314"/>
      <c r="G268" s="314"/>
      <c r="H268" s="314"/>
      <c r="I268" s="314"/>
      <c r="J268" s="314"/>
      <c r="K268" s="314"/>
      <c r="L268" s="314"/>
      <c r="M268" s="314"/>
      <c r="N268" s="314"/>
      <c r="O268" s="314"/>
      <c r="P268" s="314"/>
      <c r="Q268" s="314"/>
      <c r="R268" s="314"/>
      <c r="S268" s="314"/>
      <c r="T268" s="314"/>
      <c r="U268" s="313"/>
      <c r="V268" s="315"/>
      <c r="W268" s="316"/>
      <c r="X268" s="314"/>
      <c r="Y268" s="314"/>
      <c r="Z268" s="314"/>
      <c r="AA268" s="314"/>
      <c r="AB268" s="314"/>
    </row>
    <row r="269" spans="1:28" ht="39.75" customHeight="1">
      <c r="A269" s="314"/>
      <c r="B269" s="314"/>
      <c r="C269" s="314"/>
      <c r="D269" s="314"/>
      <c r="E269" s="314"/>
      <c r="F269" s="314"/>
      <c r="G269" s="314"/>
      <c r="H269" s="314"/>
      <c r="I269" s="314"/>
      <c r="J269" s="314"/>
      <c r="K269" s="314"/>
      <c r="L269" s="314"/>
      <c r="M269" s="314"/>
      <c r="N269" s="314"/>
      <c r="O269" s="314"/>
      <c r="P269" s="314"/>
      <c r="Q269" s="314"/>
      <c r="R269" s="314"/>
      <c r="S269" s="314"/>
      <c r="T269" s="314"/>
      <c r="U269" s="313"/>
      <c r="V269" s="315"/>
      <c r="W269" s="316"/>
      <c r="X269" s="314"/>
      <c r="Y269" s="314"/>
      <c r="Z269" s="314"/>
      <c r="AA269" s="314"/>
      <c r="AB269" s="314"/>
    </row>
    <row r="270" spans="1:28" ht="39.75" customHeight="1">
      <c r="A270" s="314"/>
      <c r="B270" s="314"/>
      <c r="C270" s="314"/>
      <c r="D270" s="314"/>
      <c r="E270" s="314"/>
      <c r="F270" s="314"/>
      <c r="G270" s="314"/>
      <c r="H270" s="314"/>
      <c r="I270" s="314"/>
      <c r="J270" s="314"/>
      <c r="K270" s="314"/>
      <c r="L270" s="314"/>
      <c r="M270" s="314"/>
      <c r="N270" s="314"/>
      <c r="O270" s="314"/>
      <c r="P270" s="314"/>
      <c r="Q270" s="314"/>
      <c r="R270" s="314"/>
      <c r="S270" s="314"/>
      <c r="T270" s="314"/>
      <c r="U270" s="313"/>
      <c r="V270" s="315"/>
      <c r="W270" s="316"/>
      <c r="X270" s="314"/>
      <c r="Y270" s="314"/>
      <c r="Z270" s="314"/>
      <c r="AA270" s="314"/>
      <c r="AB270" s="314"/>
    </row>
    <row r="271" spans="1:28" ht="39.75" customHeight="1">
      <c r="A271" s="314"/>
      <c r="B271" s="314"/>
      <c r="C271" s="314"/>
      <c r="D271" s="314"/>
      <c r="E271" s="314"/>
      <c r="F271" s="314"/>
      <c r="G271" s="314"/>
      <c r="H271" s="314"/>
      <c r="I271" s="314"/>
      <c r="J271" s="314"/>
      <c r="K271" s="314"/>
      <c r="L271" s="314"/>
      <c r="M271" s="314"/>
      <c r="N271" s="314"/>
      <c r="O271" s="314"/>
      <c r="P271" s="314"/>
      <c r="Q271" s="314"/>
      <c r="R271" s="314"/>
      <c r="S271" s="314"/>
      <c r="T271" s="314"/>
      <c r="U271" s="313"/>
      <c r="V271" s="315"/>
      <c r="W271" s="316"/>
      <c r="X271" s="314"/>
      <c r="Y271" s="314"/>
      <c r="Z271" s="314"/>
      <c r="AA271" s="314"/>
      <c r="AB271" s="314"/>
    </row>
    <row r="272" spans="1:28" ht="39.75" customHeight="1">
      <c r="A272" s="314"/>
      <c r="B272" s="314"/>
      <c r="C272" s="314"/>
      <c r="D272" s="314"/>
      <c r="E272" s="314"/>
      <c r="F272" s="314"/>
      <c r="G272" s="314"/>
      <c r="H272" s="314"/>
      <c r="I272" s="314"/>
      <c r="J272" s="314"/>
      <c r="K272" s="314"/>
      <c r="L272" s="314"/>
      <c r="M272" s="314"/>
      <c r="N272" s="314"/>
      <c r="O272" s="314"/>
      <c r="P272" s="314"/>
      <c r="Q272" s="314"/>
      <c r="R272" s="314"/>
      <c r="S272" s="314"/>
      <c r="T272" s="314"/>
      <c r="U272" s="313"/>
      <c r="V272" s="315"/>
      <c r="W272" s="316"/>
      <c r="X272" s="314"/>
      <c r="Y272" s="314"/>
      <c r="Z272" s="314"/>
      <c r="AA272" s="314"/>
      <c r="AB272" s="314"/>
    </row>
    <row r="273" spans="1:28" ht="39.75" customHeight="1">
      <c r="A273" s="314"/>
      <c r="B273" s="314"/>
      <c r="C273" s="314"/>
      <c r="D273" s="314"/>
      <c r="E273" s="314"/>
      <c r="F273" s="314"/>
      <c r="G273" s="314"/>
      <c r="H273" s="314"/>
      <c r="I273" s="314"/>
      <c r="J273" s="314"/>
      <c r="K273" s="314"/>
      <c r="L273" s="314"/>
      <c r="M273" s="314"/>
      <c r="N273" s="314"/>
      <c r="O273" s="314"/>
      <c r="P273" s="314"/>
      <c r="Q273" s="314"/>
      <c r="R273" s="314"/>
      <c r="S273" s="314"/>
      <c r="T273" s="314"/>
      <c r="U273" s="313"/>
      <c r="V273" s="315"/>
      <c r="W273" s="316"/>
      <c r="X273" s="314"/>
      <c r="Y273" s="314"/>
      <c r="Z273" s="314"/>
      <c r="AA273" s="314"/>
      <c r="AB273" s="314"/>
    </row>
    <row r="274" spans="1:28" ht="39.75" customHeight="1">
      <c r="A274" s="314"/>
      <c r="B274" s="314"/>
      <c r="C274" s="314"/>
      <c r="D274" s="314"/>
      <c r="E274" s="314"/>
      <c r="F274" s="314"/>
      <c r="G274" s="314"/>
      <c r="H274" s="314"/>
      <c r="I274" s="314"/>
      <c r="J274" s="314"/>
      <c r="K274" s="314"/>
      <c r="L274" s="314"/>
      <c r="M274" s="314"/>
      <c r="N274" s="314"/>
      <c r="O274" s="314"/>
      <c r="P274" s="314"/>
      <c r="Q274" s="314"/>
      <c r="R274" s="314"/>
      <c r="S274" s="314"/>
      <c r="T274" s="314"/>
      <c r="U274" s="313"/>
      <c r="V274" s="315"/>
      <c r="W274" s="316"/>
      <c r="X274" s="314"/>
      <c r="Y274" s="314"/>
      <c r="Z274" s="314"/>
      <c r="AA274" s="314"/>
      <c r="AB274" s="314"/>
    </row>
    <row r="275" spans="1:28" ht="39.75" customHeight="1">
      <c r="A275" s="314"/>
      <c r="B275" s="314"/>
      <c r="C275" s="314"/>
      <c r="D275" s="314"/>
      <c r="E275" s="314"/>
      <c r="F275" s="314"/>
      <c r="G275" s="314"/>
      <c r="H275" s="314"/>
      <c r="I275" s="314"/>
      <c r="J275" s="314"/>
      <c r="K275" s="314"/>
      <c r="L275" s="314"/>
      <c r="M275" s="314"/>
      <c r="N275" s="314"/>
      <c r="O275" s="314"/>
      <c r="P275" s="314"/>
      <c r="Q275" s="314"/>
      <c r="R275" s="314"/>
      <c r="S275" s="314"/>
      <c r="T275" s="314"/>
      <c r="U275" s="313"/>
      <c r="V275" s="315"/>
      <c r="W275" s="316"/>
      <c r="X275" s="314"/>
      <c r="Y275" s="314"/>
      <c r="Z275" s="314"/>
      <c r="AA275" s="314"/>
      <c r="AB275" s="314"/>
    </row>
    <row r="276" spans="1:28" ht="39.75" customHeight="1">
      <c r="A276" s="314"/>
      <c r="B276" s="314"/>
      <c r="C276" s="314"/>
      <c r="D276" s="314"/>
      <c r="E276" s="314"/>
      <c r="F276" s="314"/>
      <c r="G276" s="314"/>
      <c r="H276" s="314"/>
      <c r="I276" s="314"/>
      <c r="J276" s="314"/>
      <c r="K276" s="314"/>
      <c r="L276" s="314"/>
      <c r="M276" s="314"/>
      <c r="N276" s="314"/>
      <c r="O276" s="314"/>
      <c r="P276" s="314"/>
      <c r="Q276" s="314"/>
      <c r="R276" s="314"/>
      <c r="S276" s="314"/>
      <c r="T276" s="314"/>
      <c r="U276" s="313"/>
      <c r="V276" s="315"/>
      <c r="W276" s="316"/>
      <c r="X276" s="314"/>
      <c r="Y276" s="314"/>
      <c r="Z276" s="314"/>
      <c r="AA276" s="314"/>
      <c r="AB276" s="314"/>
    </row>
    <row r="277" spans="1:28" ht="39.75" customHeight="1">
      <c r="A277" s="314"/>
      <c r="B277" s="314"/>
      <c r="C277" s="314"/>
      <c r="D277" s="314"/>
      <c r="E277" s="314"/>
      <c r="F277" s="314"/>
      <c r="G277" s="314"/>
      <c r="H277" s="314"/>
      <c r="I277" s="314"/>
      <c r="J277" s="314"/>
      <c r="K277" s="314"/>
      <c r="L277" s="314"/>
      <c r="M277" s="314"/>
      <c r="N277" s="314"/>
      <c r="O277" s="314"/>
      <c r="P277" s="314"/>
      <c r="Q277" s="314"/>
      <c r="R277" s="314"/>
      <c r="S277" s="314"/>
      <c r="T277" s="314"/>
      <c r="U277" s="313"/>
      <c r="V277" s="315"/>
      <c r="W277" s="316"/>
      <c r="X277" s="314"/>
      <c r="Y277" s="314"/>
      <c r="Z277" s="314"/>
      <c r="AA277" s="314"/>
      <c r="AB277" s="314"/>
    </row>
    <row r="278" spans="1:28" ht="39.75" customHeight="1">
      <c r="A278" s="314"/>
      <c r="B278" s="314"/>
      <c r="C278" s="314"/>
      <c r="D278" s="314"/>
      <c r="E278" s="314"/>
      <c r="F278" s="314"/>
      <c r="G278" s="314"/>
      <c r="H278" s="314"/>
      <c r="I278" s="314"/>
      <c r="J278" s="314"/>
      <c r="K278" s="314"/>
      <c r="L278" s="314"/>
      <c r="M278" s="314"/>
      <c r="N278" s="314"/>
      <c r="O278" s="314"/>
      <c r="P278" s="314"/>
      <c r="Q278" s="314"/>
      <c r="R278" s="314"/>
      <c r="S278" s="314"/>
      <c r="T278" s="314"/>
      <c r="U278" s="313"/>
      <c r="V278" s="315"/>
      <c r="W278" s="316"/>
      <c r="X278" s="314"/>
      <c r="Y278" s="314"/>
      <c r="Z278" s="314"/>
      <c r="AA278" s="314"/>
      <c r="AB278" s="314"/>
    </row>
    <row r="279" spans="1:28" ht="39.75" customHeight="1">
      <c r="A279" s="314"/>
      <c r="B279" s="314"/>
      <c r="C279" s="314"/>
      <c r="D279" s="314"/>
      <c r="E279" s="314"/>
      <c r="F279" s="314"/>
      <c r="G279" s="314"/>
      <c r="H279" s="314"/>
      <c r="I279" s="314"/>
      <c r="J279" s="314"/>
      <c r="K279" s="314"/>
      <c r="L279" s="314"/>
      <c r="M279" s="314"/>
      <c r="N279" s="314"/>
      <c r="O279" s="314"/>
      <c r="P279" s="314"/>
      <c r="Q279" s="314"/>
      <c r="R279" s="314"/>
      <c r="S279" s="314"/>
      <c r="T279" s="314"/>
      <c r="U279" s="313"/>
      <c r="V279" s="315"/>
      <c r="W279" s="316"/>
      <c r="X279" s="314"/>
      <c r="Y279" s="314"/>
      <c r="Z279" s="314"/>
      <c r="AA279" s="314"/>
      <c r="AB279" s="314"/>
    </row>
    <row r="280" spans="1:28" ht="39.75" customHeight="1">
      <c r="A280" s="314"/>
      <c r="B280" s="314"/>
      <c r="C280" s="314"/>
      <c r="D280" s="314"/>
      <c r="E280" s="314"/>
      <c r="F280" s="314"/>
      <c r="G280" s="314"/>
      <c r="H280" s="314"/>
      <c r="I280" s="314"/>
      <c r="J280" s="314"/>
      <c r="K280" s="314"/>
      <c r="L280" s="314"/>
      <c r="M280" s="314"/>
      <c r="N280" s="314"/>
      <c r="O280" s="314"/>
      <c r="P280" s="314"/>
      <c r="Q280" s="314"/>
      <c r="R280" s="314"/>
      <c r="S280" s="314"/>
      <c r="T280" s="314"/>
      <c r="U280" s="313"/>
      <c r="V280" s="315"/>
      <c r="W280" s="316"/>
      <c r="X280" s="314"/>
      <c r="Y280" s="314"/>
      <c r="Z280" s="314"/>
      <c r="AA280" s="314"/>
      <c r="AB280" s="314"/>
    </row>
    <row r="281" spans="1:28" ht="39.75" customHeight="1">
      <c r="A281" s="314"/>
      <c r="B281" s="314"/>
      <c r="C281" s="314"/>
      <c r="D281" s="314"/>
      <c r="E281" s="314"/>
      <c r="F281" s="314"/>
      <c r="G281" s="314"/>
      <c r="H281" s="314"/>
      <c r="I281" s="314"/>
      <c r="J281" s="314"/>
      <c r="K281" s="314"/>
      <c r="L281" s="314"/>
      <c r="M281" s="314"/>
      <c r="N281" s="314"/>
      <c r="O281" s="314"/>
      <c r="P281" s="314"/>
      <c r="Q281" s="314"/>
      <c r="R281" s="314"/>
      <c r="S281" s="314"/>
      <c r="T281" s="314"/>
      <c r="U281" s="313"/>
      <c r="V281" s="315"/>
      <c r="W281" s="316"/>
      <c r="X281" s="314"/>
      <c r="Y281" s="314"/>
      <c r="Z281" s="314"/>
      <c r="AA281" s="314"/>
      <c r="AB281" s="314"/>
    </row>
    <row r="282" spans="1:28" ht="39.75" customHeight="1">
      <c r="A282" s="314"/>
      <c r="B282" s="314"/>
      <c r="C282" s="314"/>
      <c r="D282" s="314"/>
      <c r="E282" s="314"/>
      <c r="F282" s="314"/>
      <c r="G282" s="314"/>
      <c r="H282" s="314"/>
      <c r="I282" s="314"/>
      <c r="J282" s="314"/>
      <c r="K282" s="314"/>
      <c r="L282" s="314"/>
      <c r="M282" s="314"/>
      <c r="N282" s="314"/>
      <c r="O282" s="314"/>
      <c r="P282" s="314"/>
      <c r="Q282" s="314"/>
      <c r="R282" s="314"/>
      <c r="S282" s="314"/>
      <c r="T282" s="314"/>
      <c r="U282" s="313"/>
      <c r="V282" s="315"/>
      <c r="W282" s="316"/>
      <c r="X282" s="314"/>
      <c r="Y282" s="314"/>
      <c r="Z282" s="314"/>
      <c r="AA282" s="314"/>
      <c r="AB282" s="314"/>
    </row>
    <row r="283" spans="1:28" ht="39.75" customHeight="1">
      <c r="A283" s="314"/>
      <c r="B283" s="314"/>
      <c r="C283" s="314"/>
      <c r="D283" s="314"/>
      <c r="E283" s="314"/>
      <c r="F283" s="314"/>
      <c r="G283" s="314"/>
      <c r="H283" s="314"/>
      <c r="I283" s="314"/>
      <c r="J283" s="314"/>
      <c r="K283" s="314"/>
      <c r="L283" s="314"/>
      <c r="M283" s="314"/>
      <c r="N283" s="314"/>
      <c r="O283" s="314"/>
      <c r="P283" s="314"/>
      <c r="Q283" s="314"/>
      <c r="R283" s="314"/>
      <c r="S283" s="314"/>
      <c r="T283" s="314"/>
      <c r="U283" s="313"/>
      <c r="V283" s="315"/>
      <c r="W283" s="316"/>
      <c r="X283" s="314"/>
      <c r="Y283" s="314"/>
      <c r="Z283" s="314"/>
      <c r="AA283" s="314"/>
      <c r="AB283" s="314"/>
    </row>
    <row r="284" spans="1:28" ht="39.75" customHeight="1">
      <c r="A284" s="314"/>
      <c r="B284" s="314"/>
      <c r="C284" s="314"/>
      <c r="D284" s="314"/>
      <c r="E284" s="314"/>
      <c r="F284" s="314"/>
      <c r="G284" s="314"/>
      <c r="H284" s="314"/>
      <c r="I284" s="314"/>
      <c r="J284" s="314"/>
      <c r="K284" s="314"/>
      <c r="L284" s="314"/>
      <c r="M284" s="314"/>
      <c r="N284" s="314"/>
      <c r="O284" s="314"/>
      <c r="P284" s="314"/>
      <c r="Q284" s="314"/>
      <c r="R284" s="314"/>
      <c r="S284" s="314"/>
      <c r="T284" s="314"/>
      <c r="U284" s="313"/>
      <c r="V284" s="315"/>
      <c r="W284" s="316"/>
      <c r="X284" s="314"/>
      <c r="Y284" s="314"/>
      <c r="Z284" s="314"/>
      <c r="AA284" s="314"/>
      <c r="AB284" s="314"/>
    </row>
    <row r="285" spans="1:28" ht="39.75" customHeight="1">
      <c r="A285" s="314"/>
      <c r="B285" s="314"/>
      <c r="C285" s="314"/>
      <c r="D285" s="314"/>
      <c r="E285" s="314"/>
      <c r="F285" s="314"/>
      <c r="G285" s="314"/>
      <c r="H285" s="314"/>
      <c r="I285" s="314"/>
      <c r="J285" s="314"/>
      <c r="K285" s="314"/>
      <c r="L285" s="314"/>
      <c r="M285" s="314"/>
      <c r="N285" s="314"/>
      <c r="O285" s="314"/>
      <c r="P285" s="314"/>
      <c r="Q285" s="314"/>
      <c r="R285" s="314"/>
      <c r="S285" s="314"/>
      <c r="T285" s="314"/>
      <c r="U285" s="313"/>
      <c r="V285" s="315"/>
      <c r="W285" s="316"/>
      <c r="X285" s="314"/>
      <c r="Y285" s="314"/>
      <c r="Z285" s="314"/>
      <c r="AA285" s="314"/>
      <c r="AB285" s="314"/>
    </row>
    <row r="286" spans="1:28" ht="39.75" customHeight="1">
      <c r="A286" s="314"/>
      <c r="B286" s="314"/>
      <c r="C286" s="314"/>
      <c r="D286" s="314"/>
      <c r="E286" s="314"/>
      <c r="F286" s="314"/>
      <c r="G286" s="314"/>
      <c r="H286" s="314"/>
      <c r="I286" s="314"/>
      <c r="J286" s="314"/>
      <c r="K286" s="314"/>
      <c r="L286" s="314"/>
      <c r="M286" s="314"/>
      <c r="N286" s="314"/>
      <c r="O286" s="314"/>
      <c r="P286" s="314"/>
      <c r="Q286" s="314"/>
      <c r="R286" s="314"/>
      <c r="S286" s="314"/>
      <c r="T286" s="314"/>
      <c r="U286" s="313"/>
      <c r="V286" s="315"/>
      <c r="W286" s="316"/>
      <c r="X286" s="314"/>
      <c r="Y286" s="314"/>
      <c r="Z286" s="314"/>
      <c r="AA286" s="314"/>
      <c r="AB286" s="314"/>
    </row>
    <row r="287" spans="1:28" ht="39.75" customHeight="1">
      <c r="A287" s="314"/>
      <c r="B287" s="314"/>
      <c r="C287" s="314"/>
      <c r="D287" s="314"/>
      <c r="E287" s="314"/>
      <c r="F287" s="314"/>
      <c r="G287" s="314"/>
      <c r="H287" s="314"/>
      <c r="I287" s="314"/>
      <c r="J287" s="314"/>
      <c r="K287" s="314"/>
      <c r="L287" s="314"/>
      <c r="M287" s="314"/>
      <c r="N287" s="314"/>
      <c r="O287" s="314"/>
      <c r="P287" s="314"/>
      <c r="Q287" s="314"/>
      <c r="R287" s="314"/>
      <c r="S287" s="314"/>
      <c r="T287" s="314"/>
      <c r="U287" s="313"/>
      <c r="V287" s="315"/>
      <c r="W287" s="316"/>
      <c r="X287" s="314"/>
      <c r="Y287" s="314"/>
      <c r="Z287" s="314"/>
      <c r="AA287" s="314"/>
      <c r="AB287" s="314"/>
    </row>
    <row r="288" spans="1:28" ht="39.75" customHeight="1">
      <c r="A288" s="314"/>
      <c r="B288" s="314"/>
      <c r="C288" s="314"/>
      <c r="D288" s="314"/>
      <c r="E288" s="314"/>
      <c r="F288" s="314"/>
      <c r="G288" s="314"/>
      <c r="H288" s="314"/>
      <c r="I288" s="314"/>
      <c r="J288" s="314"/>
      <c r="K288" s="314"/>
      <c r="L288" s="314"/>
      <c r="M288" s="314"/>
      <c r="N288" s="314"/>
      <c r="O288" s="314"/>
      <c r="P288" s="314"/>
      <c r="Q288" s="314"/>
      <c r="R288" s="314"/>
      <c r="S288" s="314"/>
      <c r="T288" s="314"/>
      <c r="U288" s="313"/>
      <c r="V288" s="315"/>
      <c r="W288" s="316"/>
      <c r="X288" s="314"/>
      <c r="Y288" s="314"/>
      <c r="Z288" s="314"/>
      <c r="AA288" s="314"/>
      <c r="AB288" s="314"/>
    </row>
    <row r="289" spans="1:28" ht="39.75" customHeight="1">
      <c r="A289" s="314"/>
      <c r="B289" s="314"/>
      <c r="C289" s="314"/>
      <c r="D289" s="314"/>
      <c r="E289" s="314"/>
      <c r="F289" s="314"/>
      <c r="G289" s="314"/>
      <c r="H289" s="314"/>
      <c r="I289" s="314"/>
      <c r="J289" s="314"/>
      <c r="K289" s="314"/>
      <c r="L289" s="314"/>
      <c r="M289" s="314"/>
      <c r="N289" s="314"/>
      <c r="O289" s="314"/>
      <c r="P289" s="314"/>
      <c r="Q289" s="314"/>
      <c r="R289" s="314"/>
      <c r="S289" s="314"/>
      <c r="T289" s="314"/>
      <c r="U289" s="313"/>
      <c r="V289" s="315"/>
      <c r="W289" s="316"/>
      <c r="X289" s="314"/>
      <c r="Y289" s="314"/>
      <c r="Z289" s="314"/>
      <c r="AA289" s="314"/>
      <c r="AB289" s="314"/>
    </row>
    <row r="290" spans="1:28" ht="39.75" customHeight="1">
      <c r="A290" s="314"/>
      <c r="B290" s="314"/>
      <c r="C290" s="314"/>
      <c r="D290" s="314"/>
      <c r="E290" s="314"/>
      <c r="F290" s="314"/>
      <c r="G290" s="314"/>
      <c r="H290" s="314"/>
      <c r="I290" s="314"/>
      <c r="J290" s="314"/>
      <c r="K290" s="314"/>
      <c r="L290" s="314"/>
      <c r="M290" s="314"/>
      <c r="N290" s="314"/>
      <c r="O290" s="314"/>
      <c r="P290" s="314"/>
      <c r="Q290" s="314"/>
      <c r="R290" s="314"/>
      <c r="S290" s="314"/>
      <c r="T290" s="314"/>
      <c r="U290" s="313"/>
      <c r="V290" s="315"/>
      <c r="W290" s="316"/>
      <c r="X290" s="314"/>
      <c r="Y290" s="314"/>
      <c r="Z290" s="314"/>
      <c r="AA290" s="314"/>
      <c r="AB290" s="314"/>
    </row>
    <row r="291" spans="1:28" ht="39.75" customHeight="1">
      <c r="A291" s="314"/>
      <c r="B291" s="314"/>
      <c r="C291" s="314"/>
      <c r="D291" s="314"/>
      <c r="E291" s="314"/>
      <c r="F291" s="314"/>
      <c r="G291" s="314"/>
      <c r="H291" s="314"/>
      <c r="I291" s="314"/>
      <c r="J291" s="314"/>
      <c r="K291" s="314"/>
      <c r="L291" s="314"/>
      <c r="M291" s="314"/>
      <c r="N291" s="314"/>
      <c r="O291" s="314"/>
      <c r="P291" s="314"/>
      <c r="Q291" s="314"/>
      <c r="R291" s="314"/>
      <c r="S291" s="314"/>
      <c r="T291" s="314"/>
      <c r="U291" s="313"/>
      <c r="V291" s="315"/>
      <c r="W291" s="316"/>
      <c r="X291" s="314"/>
      <c r="Y291" s="314"/>
      <c r="Z291" s="314"/>
      <c r="AA291" s="314"/>
      <c r="AB291" s="314"/>
    </row>
    <row r="292" spans="1:28" ht="39.75" customHeight="1">
      <c r="A292" s="314"/>
      <c r="B292" s="314"/>
      <c r="C292" s="314"/>
      <c r="D292" s="314"/>
      <c r="E292" s="314"/>
      <c r="F292" s="314"/>
      <c r="G292" s="314"/>
      <c r="H292" s="314"/>
      <c r="I292" s="314"/>
      <c r="J292" s="314"/>
      <c r="K292" s="314"/>
      <c r="L292" s="314"/>
      <c r="M292" s="314"/>
      <c r="N292" s="314"/>
      <c r="O292" s="314"/>
      <c r="P292" s="314"/>
      <c r="Q292" s="314"/>
      <c r="R292" s="314"/>
      <c r="S292" s="314"/>
      <c r="T292" s="314"/>
      <c r="U292" s="313"/>
      <c r="V292" s="315"/>
      <c r="W292" s="316"/>
      <c r="X292" s="314"/>
      <c r="Y292" s="314"/>
      <c r="Z292" s="314"/>
      <c r="AA292" s="314"/>
      <c r="AB292" s="314"/>
    </row>
    <row r="293" spans="1:28" ht="39.75" customHeight="1">
      <c r="A293" s="314"/>
      <c r="B293" s="314"/>
      <c r="C293" s="314"/>
      <c r="D293" s="314"/>
      <c r="E293" s="314"/>
      <c r="F293" s="314"/>
      <c r="G293" s="314"/>
      <c r="H293" s="314"/>
      <c r="I293" s="314"/>
      <c r="J293" s="314"/>
      <c r="K293" s="314"/>
      <c r="L293" s="314"/>
      <c r="M293" s="314"/>
      <c r="N293" s="314"/>
      <c r="O293" s="314"/>
      <c r="P293" s="314"/>
      <c r="Q293" s="314"/>
      <c r="R293" s="314"/>
      <c r="S293" s="314"/>
      <c r="T293" s="314"/>
      <c r="U293" s="313"/>
      <c r="V293" s="315"/>
      <c r="W293" s="316"/>
      <c r="X293" s="314"/>
      <c r="Y293" s="314"/>
      <c r="Z293" s="314"/>
      <c r="AA293" s="314"/>
      <c r="AB293" s="314"/>
    </row>
    <row r="294" spans="1:28" ht="39.75" customHeight="1">
      <c r="A294" s="314"/>
      <c r="B294" s="314"/>
      <c r="C294" s="314"/>
      <c r="D294" s="314"/>
      <c r="E294" s="314"/>
      <c r="F294" s="314"/>
      <c r="G294" s="314"/>
      <c r="H294" s="314"/>
      <c r="I294" s="314"/>
      <c r="J294" s="314"/>
      <c r="K294" s="314"/>
      <c r="L294" s="314"/>
      <c r="M294" s="314"/>
      <c r="N294" s="314"/>
      <c r="O294" s="314"/>
      <c r="P294" s="314"/>
      <c r="Q294" s="314"/>
      <c r="R294" s="314"/>
      <c r="S294" s="314"/>
      <c r="T294" s="314"/>
      <c r="U294" s="313"/>
      <c r="V294" s="315"/>
      <c r="W294" s="316"/>
      <c r="X294" s="314"/>
      <c r="Y294" s="314"/>
      <c r="Z294" s="314"/>
      <c r="AA294" s="314"/>
      <c r="AB294" s="314"/>
    </row>
    <row r="295" spans="1:28" ht="39.75" customHeight="1">
      <c r="A295" s="314"/>
      <c r="B295" s="314"/>
      <c r="C295" s="314"/>
      <c r="D295" s="314"/>
      <c r="E295" s="314"/>
      <c r="F295" s="314"/>
      <c r="G295" s="314"/>
      <c r="H295" s="314"/>
      <c r="I295" s="314"/>
      <c r="J295" s="314"/>
      <c r="K295" s="314"/>
      <c r="L295" s="314"/>
      <c r="M295" s="314"/>
      <c r="N295" s="314"/>
      <c r="O295" s="314"/>
      <c r="P295" s="314"/>
      <c r="Q295" s="314"/>
      <c r="R295" s="314"/>
      <c r="S295" s="314"/>
      <c r="T295" s="314"/>
      <c r="U295" s="313"/>
      <c r="V295" s="315"/>
      <c r="W295" s="316"/>
      <c r="X295" s="314"/>
      <c r="Y295" s="314"/>
      <c r="Z295" s="314"/>
      <c r="AA295" s="314"/>
      <c r="AB295" s="314"/>
    </row>
    <row r="296" spans="1:28" ht="39.75" customHeight="1">
      <c r="A296" s="314"/>
      <c r="B296" s="314"/>
      <c r="C296" s="314"/>
      <c r="D296" s="314"/>
      <c r="E296" s="314"/>
      <c r="F296" s="314"/>
      <c r="G296" s="314"/>
      <c r="H296" s="314"/>
      <c r="I296" s="314"/>
      <c r="J296" s="314"/>
      <c r="K296" s="314"/>
      <c r="L296" s="314"/>
      <c r="M296" s="314"/>
      <c r="N296" s="314"/>
      <c r="O296" s="314"/>
      <c r="P296" s="314"/>
      <c r="Q296" s="314"/>
      <c r="R296" s="314"/>
      <c r="S296" s="314"/>
      <c r="T296" s="314"/>
      <c r="U296" s="313"/>
      <c r="V296" s="315"/>
      <c r="W296" s="316"/>
      <c r="X296" s="314"/>
      <c r="Y296" s="314"/>
      <c r="Z296" s="314"/>
      <c r="AA296" s="314"/>
      <c r="AB296" s="314"/>
    </row>
    <row r="297" spans="1:28" ht="39.75" customHeight="1">
      <c r="A297" s="314"/>
      <c r="B297" s="314"/>
      <c r="C297" s="314"/>
      <c r="D297" s="314"/>
      <c r="E297" s="314"/>
      <c r="F297" s="314"/>
      <c r="G297" s="314"/>
      <c r="H297" s="314"/>
      <c r="I297" s="314"/>
      <c r="J297" s="314"/>
      <c r="K297" s="314"/>
      <c r="L297" s="314"/>
      <c r="M297" s="314"/>
      <c r="N297" s="314"/>
      <c r="O297" s="314"/>
      <c r="P297" s="314"/>
      <c r="Q297" s="314"/>
      <c r="R297" s="314"/>
      <c r="S297" s="314"/>
      <c r="T297" s="314"/>
      <c r="U297" s="313"/>
      <c r="V297" s="315"/>
      <c r="W297" s="316"/>
      <c r="X297" s="314"/>
      <c r="Y297" s="314"/>
      <c r="Z297" s="314"/>
      <c r="AA297" s="314"/>
      <c r="AB297" s="314"/>
    </row>
    <row r="298" spans="1:28" ht="39.75" customHeight="1">
      <c r="A298" s="314"/>
      <c r="B298" s="314"/>
      <c r="C298" s="314"/>
      <c r="D298" s="314"/>
      <c r="E298" s="314"/>
      <c r="F298" s="314"/>
      <c r="G298" s="314"/>
      <c r="H298" s="314"/>
      <c r="I298" s="314"/>
      <c r="J298" s="314"/>
      <c r="K298" s="314"/>
      <c r="L298" s="314"/>
      <c r="M298" s="314"/>
      <c r="N298" s="314"/>
      <c r="O298" s="314"/>
      <c r="P298" s="314"/>
      <c r="Q298" s="314"/>
      <c r="R298" s="314"/>
      <c r="S298" s="314"/>
      <c r="T298" s="314"/>
      <c r="U298" s="313"/>
      <c r="V298" s="315"/>
      <c r="W298" s="316"/>
      <c r="X298" s="314"/>
      <c r="Y298" s="314"/>
      <c r="Z298" s="314"/>
      <c r="AA298" s="314"/>
      <c r="AB298" s="314"/>
    </row>
    <row r="299" spans="1:28" ht="39.75" customHeight="1">
      <c r="A299" s="314"/>
      <c r="B299" s="314"/>
      <c r="C299" s="314"/>
      <c r="D299" s="314"/>
      <c r="E299" s="314"/>
      <c r="F299" s="314"/>
      <c r="G299" s="314"/>
      <c r="H299" s="314"/>
      <c r="I299" s="314"/>
      <c r="J299" s="314"/>
      <c r="K299" s="314"/>
      <c r="L299" s="314"/>
      <c r="M299" s="314"/>
      <c r="N299" s="314"/>
      <c r="O299" s="314"/>
      <c r="P299" s="314"/>
      <c r="Q299" s="314"/>
      <c r="R299" s="314"/>
      <c r="S299" s="314"/>
      <c r="T299" s="314"/>
      <c r="U299" s="313"/>
      <c r="V299" s="315"/>
      <c r="W299" s="316"/>
      <c r="X299" s="314"/>
      <c r="Y299" s="314"/>
      <c r="Z299" s="314"/>
      <c r="AA299" s="314"/>
      <c r="AB299" s="314"/>
    </row>
    <row r="300" spans="1:28" ht="39.75" customHeight="1">
      <c r="A300" s="314"/>
      <c r="B300" s="314"/>
      <c r="C300" s="314"/>
      <c r="D300" s="314"/>
      <c r="E300" s="314"/>
      <c r="F300" s="314"/>
      <c r="G300" s="314"/>
      <c r="H300" s="314"/>
      <c r="I300" s="314"/>
      <c r="J300" s="314"/>
      <c r="K300" s="314"/>
      <c r="L300" s="314"/>
      <c r="M300" s="314"/>
      <c r="N300" s="314"/>
      <c r="O300" s="314"/>
      <c r="P300" s="314"/>
      <c r="Q300" s="314"/>
      <c r="R300" s="314"/>
      <c r="S300" s="314"/>
      <c r="T300" s="314"/>
      <c r="U300" s="313"/>
      <c r="V300" s="315"/>
      <c r="W300" s="316"/>
      <c r="X300" s="314"/>
      <c r="Y300" s="314"/>
      <c r="Z300" s="314"/>
      <c r="AA300" s="314"/>
      <c r="AB300" s="314"/>
    </row>
    <row r="301" spans="1:28" ht="39.75" customHeight="1">
      <c r="A301" s="314"/>
      <c r="B301" s="314"/>
      <c r="C301" s="314"/>
      <c r="D301" s="314"/>
      <c r="E301" s="314"/>
      <c r="F301" s="314"/>
      <c r="G301" s="314"/>
      <c r="H301" s="314"/>
      <c r="I301" s="314"/>
      <c r="J301" s="314"/>
      <c r="K301" s="314"/>
      <c r="L301" s="314"/>
      <c r="M301" s="314"/>
      <c r="N301" s="314"/>
      <c r="O301" s="314"/>
      <c r="P301" s="314"/>
      <c r="Q301" s="314"/>
      <c r="R301" s="314"/>
      <c r="S301" s="314"/>
      <c r="T301" s="314"/>
      <c r="U301" s="313"/>
      <c r="V301" s="315"/>
      <c r="W301" s="316"/>
      <c r="X301" s="314"/>
      <c r="Y301" s="314"/>
      <c r="Z301" s="314"/>
      <c r="AA301" s="314"/>
      <c r="AB301" s="314"/>
    </row>
    <row r="302" spans="1:28" ht="39.75" customHeight="1">
      <c r="A302" s="314"/>
      <c r="B302" s="314"/>
      <c r="C302" s="314"/>
      <c r="D302" s="314"/>
      <c r="E302" s="314"/>
      <c r="F302" s="314"/>
      <c r="G302" s="314"/>
      <c r="H302" s="314"/>
      <c r="I302" s="314"/>
      <c r="J302" s="314"/>
      <c r="K302" s="314"/>
      <c r="L302" s="314"/>
      <c r="M302" s="314"/>
      <c r="N302" s="314"/>
      <c r="O302" s="314"/>
      <c r="P302" s="314"/>
      <c r="Q302" s="314"/>
      <c r="R302" s="314"/>
      <c r="S302" s="314"/>
      <c r="T302" s="314"/>
      <c r="U302" s="313"/>
      <c r="V302" s="315"/>
      <c r="W302" s="316"/>
      <c r="X302" s="314"/>
      <c r="Y302" s="314"/>
      <c r="Z302" s="314"/>
      <c r="AA302" s="314"/>
      <c r="AB302" s="314"/>
    </row>
    <row r="303" spans="1:28" ht="39.75" customHeight="1">
      <c r="A303" s="314"/>
      <c r="B303" s="314"/>
      <c r="C303" s="314"/>
      <c r="D303" s="314"/>
      <c r="E303" s="314"/>
      <c r="F303" s="314"/>
      <c r="G303" s="314"/>
      <c r="H303" s="314"/>
      <c r="I303" s="314"/>
      <c r="J303" s="314"/>
      <c r="K303" s="314"/>
      <c r="L303" s="314"/>
      <c r="M303" s="314"/>
      <c r="N303" s="314"/>
      <c r="O303" s="314"/>
      <c r="P303" s="314"/>
      <c r="Q303" s="314"/>
      <c r="R303" s="314"/>
      <c r="S303" s="314"/>
      <c r="T303" s="314"/>
      <c r="U303" s="313"/>
      <c r="V303" s="315"/>
      <c r="W303" s="316"/>
      <c r="X303" s="314"/>
      <c r="Y303" s="314"/>
      <c r="Z303" s="314"/>
      <c r="AA303" s="314"/>
      <c r="AB303" s="314"/>
    </row>
    <row r="304" spans="1:28" ht="39.75" customHeight="1">
      <c r="A304" s="314"/>
      <c r="B304" s="314"/>
      <c r="C304" s="314"/>
      <c r="D304" s="314"/>
      <c r="E304" s="314"/>
      <c r="F304" s="314"/>
      <c r="G304" s="314"/>
      <c r="H304" s="314"/>
      <c r="I304" s="314"/>
      <c r="J304" s="314"/>
      <c r="K304" s="314"/>
      <c r="L304" s="314"/>
      <c r="M304" s="314"/>
      <c r="N304" s="314"/>
      <c r="O304" s="314"/>
      <c r="P304" s="314"/>
      <c r="Q304" s="314"/>
      <c r="R304" s="314"/>
      <c r="S304" s="314"/>
      <c r="T304" s="314"/>
      <c r="U304" s="313"/>
      <c r="V304" s="315"/>
      <c r="W304" s="316"/>
      <c r="X304" s="314"/>
      <c r="Y304" s="314"/>
      <c r="Z304" s="314"/>
      <c r="AA304" s="314"/>
      <c r="AB304" s="314"/>
    </row>
    <row r="305" spans="1:28" ht="39.75" customHeight="1">
      <c r="A305" s="314"/>
      <c r="B305" s="314"/>
      <c r="C305" s="314"/>
      <c r="D305" s="314"/>
      <c r="E305" s="314"/>
      <c r="F305" s="314"/>
      <c r="G305" s="314"/>
      <c r="H305" s="314"/>
      <c r="I305" s="314"/>
      <c r="J305" s="314"/>
      <c r="K305" s="314"/>
      <c r="L305" s="314"/>
      <c r="M305" s="314"/>
      <c r="N305" s="314"/>
      <c r="O305" s="314"/>
      <c r="P305" s="314"/>
      <c r="Q305" s="314"/>
      <c r="R305" s="314"/>
      <c r="S305" s="314"/>
      <c r="T305" s="314"/>
      <c r="U305" s="313"/>
      <c r="V305" s="315"/>
      <c r="W305" s="316"/>
      <c r="X305" s="314"/>
      <c r="Y305" s="314"/>
      <c r="Z305" s="314"/>
      <c r="AA305" s="314"/>
      <c r="AB305" s="314"/>
    </row>
    <row r="306" spans="1:28" ht="39.75" customHeight="1">
      <c r="A306" s="314"/>
      <c r="B306" s="314"/>
      <c r="C306" s="314"/>
      <c r="D306" s="314"/>
      <c r="E306" s="314"/>
      <c r="F306" s="314"/>
      <c r="G306" s="314"/>
      <c r="H306" s="314"/>
      <c r="I306" s="314"/>
      <c r="J306" s="314"/>
      <c r="K306" s="314"/>
      <c r="L306" s="314"/>
      <c r="M306" s="314"/>
      <c r="N306" s="314"/>
      <c r="O306" s="314"/>
      <c r="P306" s="314"/>
      <c r="Q306" s="314"/>
      <c r="R306" s="314"/>
      <c r="S306" s="314"/>
      <c r="T306" s="314"/>
      <c r="U306" s="313"/>
      <c r="V306" s="315"/>
      <c r="W306" s="316"/>
      <c r="X306" s="314"/>
      <c r="Y306" s="314"/>
      <c r="Z306" s="314"/>
      <c r="AA306" s="314"/>
      <c r="AB306" s="314"/>
    </row>
    <row r="307" spans="1:28" ht="39.75" customHeight="1">
      <c r="A307" s="314"/>
      <c r="B307" s="314"/>
      <c r="C307" s="314"/>
      <c r="D307" s="314"/>
      <c r="E307" s="314"/>
      <c r="F307" s="314"/>
      <c r="G307" s="314"/>
      <c r="H307" s="314"/>
      <c r="I307" s="314"/>
      <c r="J307" s="314"/>
      <c r="K307" s="314"/>
      <c r="L307" s="314"/>
      <c r="M307" s="314"/>
      <c r="N307" s="314"/>
      <c r="O307" s="314"/>
      <c r="P307" s="314"/>
      <c r="Q307" s="314"/>
      <c r="R307" s="314"/>
      <c r="S307" s="314"/>
      <c r="T307" s="314"/>
      <c r="U307" s="313"/>
      <c r="V307" s="315"/>
      <c r="W307" s="316"/>
      <c r="X307" s="314"/>
      <c r="Y307" s="314"/>
      <c r="Z307" s="314"/>
      <c r="AA307" s="314"/>
      <c r="AB307" s="314"/>
    </row>
    <row r="308" spans="1:28" ht="39.75" customHeight="1">
      <c r="A308" s="314"/>
      <c r="B308" s="314"/>
      <c r="C308" s="314"/>
      <c r="D308" s="314"/>
      <c r="E308" s="314"/>
      <c r="F308" s="314"/>
      <c r="G308" s="314"/>
      <c r="H308" s="314"/>
      <c r="I308" s="314"/>
      <c r="J308" s="314"/>
      <c r="K308" s="314"/>
      <c r="L308" s="314"/>
      <c r="M308" s="314"/>
      <c r="N308" s="314"/>
      <c r="O308" s="314"/>
      <c r="P308" s="314"/>
      <c r="Q308" s="314"/>
      <c r="R308" s="314"/>
      <c r="S308" s="314"/>
      <c r="T308" s="314"/>
      <c r="U308" s="313"/>
      <c r="V308" s="315"/>
      <c r="W308" s="316"/>
      <c r="X308" s="314"/>
      <c r="Y308" s="314"/>
      <c r="Z308" s="314"/>
      <c r="AA308" s="314"/>
      <c r="AB308" s="314"/>
    </row>
    <row r="309" spans="1:28" ht="39.75" customHeight="1">
      <c r="A309" s="314"/>
      <c r="B309" s="314"/>
      <c r="C309" s="314"/>
      <c r="D309" s="314"/>
      <c r="E309" s="314"/>
      <c r="F309" s="314"/>
      <c r="G309" s="314"/>
      <c r="H309" s="314"/>
      <c r="I309" s="314"/>
      <c r="J309" s="314"/>
      <c r="K309" s="314"/>
      <c r="L309" s="314"/>
      <c r="M309" s="314"/>
      <c r="N309" s="314"/>
      <c r="O309" s="314"/>
      <c r="P309" s="314"/>
      <c r="Q309" s="314"/>
      <c r="R309" s="314"/>
      <c r="S309" s="314"/>
      <c r="T309" s="314"/>
      <c r="U309" s="313"/>
      <c r="V309" s="315"/>
      <c r="W309" s="316"/>
      <c r="X309" s="314"/>
      <c r="Y309" s="314"/>
      <c r="Z309" s="314"/>
      <c r="AA309" s="314"/>
      <c r="AB309" s="314"/>
    </row>
    <row r="310" spans="1:28" ht="39.75" customHeight="1">
      <c r="A310" s="314"/>
      <c r="B310" s="314"/>
      <c r="C310" s="314"/>
      <c r="D310" s="314"/>
      <c r="E310" s="314"/>
      <c r="F310" s="314"/>
      <c r="G310" s="314"/>
      <c r="H310" s="314"/>
      <c r="I310" s="314"/>
      <c r="J310" s="314"/>
      <c r="K310" s="314"/>
      <c r="L310" s="314"/>
      <c r="M310" s="314"/>
      <c r="N310" s="314"/>
      <c r="O310" s="314"/>
      <c r="P310" s="314"/>
      <c r="Q310" s="314"/>
      <c r="R310" s="314"/>
      <c r="S310" s="314"/>
      <c r="T310" s="314"/>
      <c r="U310" s="313"/>
      <c r="V310" s="315"/>
      <c r="W310" s="316"/>
      <c r="X310" s="314"/>
      <c r="Y310" s="314"/>
      <c r="Z310" s="314"/>
      <c r="AA310" s="314"/>
      <c r="AB310" s="314"/>
    </row>
    <row r="311" spans="1:28" ht="39.75" customHeight="1">
      <c r="A311" s="314"/>
      <c r="B311" s="314"/>
      <c r="C311" s="314"/>
      <c r="D311" s="314"/>
      <c r="E311" s="314"/>
      <c r="F311" s="314"/>
      <c r="G311" s="314"/>
      <c r="H311" s="314"/>
      <c r="I311" s="314"/>
      <c r="J311" s="314"/>
      <c r="K311" s="314"/>
      <c r="L311" s="314"/>
      <c r="M311" s="314"/>
      <c r="N311" s="314"/>
      <c r="O311" s="314"/>
      <c r="P311" s="314"/>
      <c r="Q311" s="314"/>
      <c r="R311" s="314"/>
      <c r="S311" s="314"/>
      <c r="T311" s="314"/>
      <c r="U311" s="313"/>
      <c r="V311" s="315"/>
      <c r="W311" s="316"/>
      <c r="X311" s="314"/>
      <c r="Y311" s="314"/>
      <c r="Z311" s="314"/>
      <c r="AA311" s="314"/>
      <c r="AB311" s="314"/>
    </row>
    <row r="312" spans="1:28" ht="39.75" customHeight="1">
      <c r="A312" s="314"/>
      <c r="B312" s="314"/>
      <c r="C312" s="314"/>
      <c r="D312" s="314"/>
      <c r="E312" s="314"/>
      <c r="F312" s="314"/>
      <c r="G312" s="314"/>
      <c r="H312" s="314"/>
      <c r="I312" s="314"/>
      <c r="J312" s="314"/>
      <c r="K312" s="314"/>
      <c r="L312" s="314"/>
      <c r="M312" s="314"/>
      <c r="N312" s="314"/>
      <c r="O312" s="314"/>
      <c r="P312" s="314"/>
      <c r="Q312" s="314"/>
      <c r="R312" s="314"/>
      <c r="S312" s="314"/>
      <c r="T312" s="314"/>
      <c r="U312" s="313"/>
      <c r="V312" s="315"/>
      <c r="W312" s="316"/>
      <c r="X312" s="314"/>
      <c r="Y312" s="314"/>
      <c r="Z312" s="314"/>
      <c r="AA312" s="314"/>
      <c r="AB312" s="314"/>
    </row>
    <row r="313" spans="1:28" ht="39.75" customHeight="1">
      <c r="A313" s="314"/>
      <c r="B313" s="314"/>
      <c r="C313" s="314"/>
      <c r="D313" s="314"/>
      <c r="E313" s="314"/>
      <c r="F313" s="314"/>
      <c r="G313" s="314"/>
      <c r="H313" s="314"/>
      <c r="I313" s="314"/>
      <c r="J313" s="314"/>
      <c r="K313" s="314"/>
      <c r="L313" s="314"/>
      <c r="M313" s="314"/>
      <c r="N313" s="314"/>
      <c r="O313" s="314"/>
      <c r="P313" s="314"/>
      <c r="Q313" s="314"/>
      <c r="R313" s="314"/>
      <c r="S313" s="314"/>
      <c r="T313" s="314"/>
      <c r="U313" s="313"/>
      <c r="V313" s="315"/>
      <c r="W313" s="316"/>
      <c r="X313" s="314"/>
      <c r="Y313" s="314"/>
      <c r="Z313" s="314"/>
      <c r="AA313" s="314"/>
      <c r="AB313" s="314"/>
    </row>
    <row r="314" spans="1:28" ht="39.75" customHeight="1">
      <c r="A314" s="314"/>
      <c r="B314" s="314"/>
      <c r="C314" s="314"/>
      <c r="D314" s="314"/>
      <c r="E314" s="314"/>
      <c r="F314" s="314"/>
      <c r="G314" s="314"/>
      <c r="H314" s="314"/>
      <c r="I314" s="314"/>
      <c r="J314" s="314"/>
      <c r="K314" s="314"/>
      <c r="L314" s="314"/>
      <c r="M314" s="314"/>
      <c r="N314" s="314"/>
      <c r="O314" s="314"/>
      <c r="P314" s="314"/>
      <c r="Q314" s="314"/>
      <c r="R314" s="314"/>
      <c r="S314" s="314"/>
      <c r="T314" s="314"/>
      <c r="U314" s="313"/>
      <c r="V314" s="315"/>
      <c r="W314" s="316"/>
      <c r="X314" s="314"/>
      <c r="Y314" s="314"/>
      <c r="Z314" s="314"/>
      <c r="AA314" s="314"/>
      <c r="AB314" s="314"/>
    </row>
    <row r="315" spans="1:28" ht="39.75" customHeight="1">
      <c r="A315" s="314"/>
      <c r="B315" s="314"/>
      <c r="C315" s="314"/>
      <c r="D315" s="314"/>
      <c r="E315" s="314"/>
      <c r="F315" s="314"/>
      <c r="G315" s="314"/>
      <c r="H315" s="314"/>
      <c r="I315" s="314"/>
      <c r="J315" s="314"/>
      <c r="K315" s="314"/>
      <c r="L315" s="314"/>
      <c r="M315" s="314"/>
      <c r="N315" s="314"/>
      <c r="O315" s="314"/>
      <c r="P315" s="314"/>
      <c r="Q315" s="314"/>
      <c r="R315" s="314"/>
      <c r="S315" s="314"/>
      <c r="T315" s="314"/>
      <c r="U315" s="313"/>
      <c r="V315" s="315"/>
      <c r="W315" s="316"/>
      <c r="X315" s="314"/>
      <c r="Y315" s="314"/>
      <c r="Z315" s="314"/>
      <c r="AA315" s="314"/>
      <c r="AB315" s="314"/>
    </row>
    <row r="316" spans="1:28" ht="39.75" customHeight="1">
      <c r="A316" s="314"/>
      <c r="B316" s="314"/>
      <c r="C316" s="314"/>
      <c r="D316" s="314"/>
      <c r="E316" s="314"/>
      <c r="F316" s="314"/>
      <c r="G316" s="314"/>
      <c r="H316" s="314"/>
      <c r="I316" s="314"/>
      <c r="J316" s="314"/>
      <c r="K316" s="314"/>
      <c r="L316" s="314"/>
      <c r="M316" s="314"/>
      <c r="N316" s="314"/>
      <c r="O316" s="314"/>
      <c r="P316" s="314"/>
      <c r="Q316" s="314"/>
      <c r="R316" s="314"/>
      <c r="S316" s="314"/>
      <c r="T316" s="314"/>
      <c r="U316" s="313"/>
      <c r="V316" s="315"/>
      <c r="W316" s="316"/>
      <c r="X316" s="314"/>
      <c r="Y316" s="314"/>
      <c r="Z316" s="314"/>
      <c r="AA316" s="314"/>
      <c r="AB316" s="314"/>
    </row>
    <row r="317" spans="1:28" ht="39.75" customHeight="1">
      <c r="A317" s="314"/>
      <c r="B317" s="314"/>
      <c r="C317" s="314"/>
      <c r="D317" s="314"/>
      <c r="E317" s="314"/>
      <c r="F317" s="314"/>
      <c r="G317" s="314"/>
      <c r="H317" s="314"/>
      <c r="I317" s="314"/>
      <c r="J317" s="314"/>
      <c r="K317" s="314"/>
      <c r="L317" s="314"/>
      <c r="M317" s="314"/>
      <c r="N317" s="314"/>
      <c r="O317" s="314"/>
      <c r="P317" s="314"/>
      <c r="Q317" s="314"/>
      <c r="R317" s="314"/>
      <c r="S317" s="314"/>
      <c r="T317" s="314"/>
      <c r="U317" s="313"/>
      <c r="V317" s="315"/>
      <c r="W317" s="316"/>
      <c r="X317" s="314"/>
      <c r="Y317" s="314"/>
      <c r="Z317" s="314"/>
      <c r="AA317" s="314"/>
      <c r="AB317" s="314"/>
    </row>
    <row r="318" spans="1:28" ht="39.75" customHeight="1">
      <c r="A318" s="314"/>
      <c r="B318" s="314"/>
      <c r="C318" s="314"/>
      <c r="D318" s="314"/>
      <c r="E318" s="314"/>
      <c r="F318" s="314"/>
      <c r="G318" s="314"/>
      <c r="H318" s="314"/>
      <c r="I318" s="314"/>
      <c r="J318" s="314"/>
      <c r="K318" s="314"/>
      <c r="L318" s="314"/>
      <c r="M318" s="314"/>
      <c r="N318" s="314"/>
      <c r="O318" s="314"/>
      <c r="P318" s="314"/>
      <c r="Q318" s="314"/>
      <c r="R318" s="314"/>
      <c r="S318" s="314"/>
      <c r="T318" s="314"/>
      <c r="U318" s="313"/>
      <c r="V318" s="315"/>
      <c r="W318" s="316"/>
      <c r="X318" s="314"/>
      <c r="Y318" s="314"/>
      <c r="Z318" s="314"/>
      <c r="AA318" s="314"/>
      <c r="AB318" s="314"/>
    </row>
    <row r="319" spans="1:28" ht="39.75" customHeight="1">
      <c r="A319" s="314"/>
      <c r="B319" s="314"/>
      <c r="C319" s="314"/>
      <c r="D319" s="314"/>
      <c r="E319" s="314"/>
      <c r="F319" s="314"/>
      <c r="G319" s="314"/>
      <c r="H319" s="314"/>
      <c r="I319" s="314"/>
      <c r="J319" s="314"/>
      <c r="K319" s="314"/>
      <c r="L319" s="314"/>
      <c r="M319" s="314"/>
      <c r="N319" s="314"/>
      <c r="O319" s="314"/>
      <c r="P319" s="314"/>
      <c r="Q319" s="314"/>
      <c r="R319" s="314"/>
      <c r="S319" s="314"/>
      <c r="T319" s="314"/>
      <c r="U319" s="313"/>
      <c r="V319" s="315"/>
      <c r="W319" s="316"/>
      <c r="X319" s="314"/>
      <c r="Y319" s="314"/>
      <c r="Z319" s="314"/>
      <c r="AA319" s="314"/>
      <c r="AB319" s="314"/>
    </row>
    <row r="320" spans="1:28" ht="39.75" customHeight="1">
      <c r="A320" s="314"/>
      <c r="B320" s="314"/>
      <c r="C320" s="314"/>
      <c r="D320" s="314"/>
      <c r="E320" s="314"/>
      <c r="F320" s="314"/>
      <c r="G320" s="314"/>
      <c r="H320" s="314"/>
      <c r="I320" s="314"/>
      <c r="J320" s="314"/>
      <c r="K320" s="314"/>
      <c r="L320" s="314"/>
      <c r="M320" s="314"/>
      <c r="N320" s="314"/>
      <c r="O320" s="314"/>
      <c r="P320" s="314"/>
      <c r="Q320" s="314"/>
      <c r="R320" s="314"/>
      <c r="S320" s="314"/>
      <c r="T320" s="314"/>
      <c r="U320" s="313"/>
      <c r="V320" s="315"/>
      <c r="W320" s="316"/>
      <c r="X320" s="314"/>
      <c r="Y320" s="314"/>
      <c r="Z320" s="314"/>
      <c r="AA320" s="314"/>
      <c r="AB320" s="314"/>
    </row>
    <row r="321" spans="1:28" ht="39.75" customHeight="1">
      <c r="A321" s="314"/>
      <c r="B321" s="314"/>
      <c r="C321" s="314"/>
      <c r="D321" s="314"/>
      <c r="E321" s="314"/>
      <c r="F321" s="314"/>
      <c r="G321" s="314"/>
      <c r="H321" s="314"/>
      <c r="I321" s="314"/>
      <c r="J321" s="314"/>
      <c r="K321" s="314"/>
      <c r="L321" s="314"/>
      <c r="M321" s="314"/>
      <c r="N321" s="314"/>
      <c r="O321" s="314"/>
      <c r="P321" s="314"/>
      <c r="Q321" s="314"/>
      <c r="R321" s="314"/>
      <c r="S321" s="314"/>
      <c r="T321" s="314"/>
      <c r="U321" s="313"/>
      <c r="V321" s="315"/>
      <c r="W321" s="316"/>
      <c r="X321" s="314"/>
      <c r="Y321" s="314"/>
      <c r="Z321" s="314"/>
      <c r="AA321" s="314"/>
      <c r="AB321" s="314"/>
    </row>
    <row r="322" spans="1:28" ht="39.75" customHeight="1">
      <c r="A322" s="314"/>
      <c r="B322" s="314"/>
      <c r="C322" s="314"/>
      <c r="D322" s="314"/>
      <c r="E322" s="314"/>
      <c r="F322" s="314"/>
      <c r="G322" s="314"/>
      <c r="H322" s="314"/>
      <c r="I322" s="314"/>
      <c r="J322" s="314"/>
      <c r="K322" s="314"/>
      <c r="L322" s="314"/>
      <c r="M322" s="314"/>
      <c r="N322" s="314"/>
      <c r="O322" s="314"/>
      <c r="P322" s="314"/>
      <c r="Q322" s="314"/>
      <c r="R322" s="314"/>
      <c r="S322" s="314"/>
      <c r="T322" s="314"/>
      <c r="U322" s="313"/>
      <c r="V322" s="315"/>
      <c r="W322" s="316"/>
      <c r="X322" s="314"/>
      <c r="Y322" s="314"/>
      <c r="Z322" s="314"/>
      <c r="AA322" s="314"/>
      <c r="AB322" s="314"/>
    </row>
    <row r="323" spans="1:28" ht="39.75" customHeight="1">
      <c r="A323" s="314"/>
      <c r="B323" s="314"/>
      <c r="C323" s="314"/>
      <c r="D323" s="314"/>
      <c r="E323" s="314"/>
      <c r="F323" s="314"/>
      <c r="G323" s="314"/>
      <c r="H323" s="314"/>
      <c r="I323" s="314"/>
      <c r="J323" s="314"/>
      <c r="K323" s="314"/>
      <c r="L323" s="314"/>
      <c r="M323" s="314"/>
      <c r="N323" s="314"/>
      <c r="O323" s="314"/>
      <c r="P323" s="314"/>
      <c r="Q323" s="314"/>
      <c r="R323" s="314"/>
      <c r="S323" s="314"/>
      <c r="T323" s="314"/>
      <c r="U323" s="313"/>
      <c r="V323" s="315"/>
      <c r="W323" s="316"/>
      <c r="X323" s="314"/>
      <c r="Y323" s="314"/>
      <c r="Z323" s="314"/>
      <c r="AA323" s="314"/>
      <c r="AB323" s="314"/>
    </row>
    <row r="324" spans="1:28" ht="39.75" customHeight="1">
      <c r="A324" s="314"/>
      <c r="B324" s="314"/>
      <c r="C324" s="314"/>
      <c r="D324" s="314"/>
      <c r="E324" s="314"/>
      <c r="F324" s="314"/>
      <c r="G324" s="314"/>
      <c r="H324" s="314"/>
      <c r="I324" s="314"/>
      <c r="J324" s="314"/>
      <c r="K324" s="314"/>
      <c r="L324" s="314"/>
      <c r="M324" s="314"/>
      <c r="N324" s="314"/>
      <c r="O324" s="314"/>
      <c r="P324" s="314"/>
      <c r="Q324" s="314"/>
      <c r="R324" s="314"/>
      <c r="S324" s="314"/>
      <c r="T324" s="314"/>
      <c r="U324" s="313"/>
      <c r="V324" s="315"/>
      <c r="W324" s="316"/>
      <c r="X324" s="314"/>
      <c r="Y324" s="314"/>
      <c r="Z324" s="314"/>
      <c r="AA324" s="314"/>
      <c r="AB324" s="314"/>
    </row>
    <row r="325" spans="1:28" ht="39.75" customHeight="1">
      <c r="A325" s="314"/>
      <c r="B325" s="314"/>
      <c r="C325" s="314"/>
      <c r="D325" s="314"/>
      <c r="E325" s="314"/>
      <c r="F325" s="314"/>
      <c r="G325" s="314"/>
      <c r="H325" s="314"/>
      <c r="I325" s="314"/>
      <c r="J325" s="314"/>
      <c r="K325" s="314"/>
      <c r="L325" s="314"/>
      <c r="M325" s="314"/>
      <c r="N325" s="314"/>
      <c r="O325" s="314"/>
      <c r="P325" s="314"/>
      <c r="Q325" s="314"/>
      <c r="R325" s="314"/>
      <c r="S325" s="314"/>
      <c r="T325" s="314"/>
      <c r="U325" s="313"/>
      <c r="V325" s="315"/>
      <c r="W325" s="316"/>
      <c r="X325" s="314"/>
      <c r="Y325" s="314"/>
      <c r="Z325" s="314"/>
      <c r="AA325" s="314"/>
      <c r="AB325" s="314"/>
    </row>
    <row r="326" spans="1:28" ht="39.75" customHeight="1">
      <c r="A326" s="314"/>
      <c r="B326" s="314"/>
      <c r="C326" s="314"/>
      <c r="D326" s="314"/>
      <c r="E326" s="314"/>
      <c r="F326" s="314"/>
      <c r="G326" s="314"/>
      <c r="H326" s="314"/>
      <c r="I326" s="314"/>
      <c r="J326" s="314"/>
      <c r="K326" s="314"/>
      <c r="L326" s="314"/>
      <c r="M326" s="314"/>
      <c r="N326" s="314"/>
      <c r="O326" s="314"/>
      <c r="P326" s="314"/>
      <c r="Q326" s="314"/>
      <c r="R326" s="314"/>
      <c r="S326" s="314"/>
      <c r="T326" s="314"/>
      <c r="U326" s="313"/>
      <c r="V326" s="315"/>
      <c r="W326" s="316"/>
      <c r="X326" s="314"/>
      <c r="Y326" s="314"/>
      <c r="Z326" s="314"/>
      <c r="AA326" s="314"/>
      <c r="AB326" s="314"/>
    </row>
    <row r="327" spans="1:28" ht="39.75" customHeight="1">
      <c r="A327" s="314"/>
      <c r="B327" s="314"/>
      <c r="C327" s="314"/>
      <c r="D327" s="314"/>
      <c r="E327" s="314"/>
      <c r="F327" s="314"/>
      <c r="G327" s="314"/>
      <c r="H327" s="314"/>
      <c r="I327" s="314"/>
      <c r="J327" s="314"/>
      <c r="K327" s="314"/>
      <c r="L327" s="314"/>
      <c r="M327" s="314"/>
      <c r="N327" s="314"/>
      <c r="O327" s="314"/>
      <c r="P327" s="314"/>
      <c r="Q327" s="314"/>
      <c r="R327" s="314"/>
      <c r="S327" s="314"/>
      <c r="T327" s="314"/>
      <c r="U327" s="313"/>
      <c r="V327" s="315"/>
      <c r="W327" s="316"/>
      <c r="X327" s="314"/>
      <c r="Y327" s="314"/>
      <c r="Z327" s="314"/>
      <c r="AA327" s="314"/>
      <c r="AB327" s="314"/>
    </row>
    <row r="328" spans="1:28" ht="39.75" customHeight="1">
      <c r="A328" s="314"/>
      <c r="B328" s="314"/>
      <c r="C328" s="314"/>
      <c r="D328" s="314"/>
      <c r="E328" s="314"/>
      <c r="F328" s="314"/>
      <c r="G328" s="314"/>
      <c r="H328" s="314"/>
      <c r="I328" s="314"/>
      <c r="J328" s="314"/>
      <c r="K328" s="314"/>
      <c r="L328" s="314"/>
      <c r="M328" s="314"/>
      <c r="N328" s="314"/>
      <c r="O328" s="314"/>
      <c r="P328" s="314"/>
      <c r="Q328" s="314"/>
      <c r="R328" s="314"/>
      <c r="S328" s="314"/>
      <c r="T328" s="314"/>
      <c r="U328" s="313"/>
      <c r="V328" s="315"/>
      <c r="W328" s="316"/>
      <c r="X328" s="314"/>
      <c r="Y328" s="314"/>
      <c r="Z328" s="314"/>
      <c r="AA328" s="314"/>
      <c r="AB328" s="314"/>
    </row>
    <row r="329" spans="1:28" ht="39.75" customHeight="1">
      <c r="A329" s="314"/>
      <c r="B329" s="314"/>
      <c r="C329" s="314"/>
      <c r="D329" s="314"/>
      <c r="E329" s="314"/>
      <c r="F329" s="314"/>
      <c r="G329" s="314"/>
      <c r="H329" s="314"/>
      <c r="I329" s="314"/>
      <c r="J329" s="314"/>
      <c r="K329" s="314"/>
      <c r="L329" s="314"/>
      <c r="M329" s="314"/>
      <c r="N329" s="314"/>
      <c r="O329" s="314"/>
      <c r="P329" s="314"/>
      <c r="Q329" s="314"/>
      <c r="R329" s="314"/>
      <c r="S329" s="314"/>
      <c r="T329" s="314"/>
      <c r="U329" s="313"/>
      <c r="V329" s="315"/>
      <c r="W329" s="316"/>
      <c r="X329" s="314"/>
      <c r="Y329" s="314"/>
      <c r="Z329" s="314"/>
      <c r="AA329" s="314"/>
      <c r="AB329" s="314"/>
    </row>
    <row r="330" spans="1:28" ht="39.75" customHeight="1">
      <c r="A330" s="314"/>
      <c r="B330" s="314"/>
      <c r="C330" s="314"/>
      <c r="D330" s="314"/>
      <c r="E330" s="314"/>
      <c r="F330" s="314"/>
      <c r="G330" s="314"/>
      <c r="H330" s="314"/>
      <c r="I330" s="314"/>
      <c r="J330" s="314"/>
      <c r="K330" s="314"/>
      <c r="L330" s="314"/>
      <c r="M330" s="314"/>
      <c r="N330" s="314"/>
      <c r="O330" s="314"/>
      <c r="P330" s="314"/>
      <c r="Q330" s="314"/>
      <c r="R330" s="314"/>
      <c r="S330" s="314"/>
      <c r="T330" s="314"/>
      <c r="U330" s="313"/>
      <c r="V330" s="315"/>
      <c r="W330" s="316"/>
      <c r="X330" s="314"/>
      <c r="Y330" s="314"/>
      <c r="Z330" s="314"/>
      <c r="AA330" s="314"/>
      <c r="AB330" s="314"/>
    </row>
    <row r="331" spans="1:28" ht="39.75" customHeight="1">
      <c r="A331" s="314"/>
      <c r="B331" s="314"/>
      <c r="C331" s="314"/>
      <c r="D331" s="314"/>
      <c r="E331" s="314"/>
      <c r="F331" s="314"/>
      <c r="G331" s="314"/>
      <c r="H331" s="314"/>
      <c r="I331" s="314"/>
      <c r="J331" s="314"/>
      <c r="K331" s="314"/>
      <c r="L331" s="314"/>
      <c r="M331" s="314"/>
      <c r="N331" s="314"/>
      <c r="O331" s="314"/>
      <c r="P331" s="314"/>
      <c r="Q331" s="314"/>
      <c r="R331" s="314"/>
      <c r="S331" s="314"/>
      <c r="T331" s="314"/>
      <c r="U331" s="313"/>
      <c r="V331" s="315"/>
      <c r="W331" s="316"/>
      <c r="X331" s="314"/>
      <c r="Y331" s="314"/>
      <c r="Z331" s="314"/>
      <c r="AA331" s="314"/>
      <c r="AB331" s="314"/>
    </row>
    <row r="332" spans="1:28" ht="39.75" customHeight="1">
      <c r="A332" s="314"/>
      <c r="B332" s="314"/>
      <c r="C332" s="314"/>
      <c r="D332" s="314"/>
      <c r="E332" s="314"/>
      <c r="F332" s="314"/>
      <c r="G332" s="314"/>
      <c r="H332" s="314"/>
      <c r="I332" s="314"/>
      <c r="J332" s="314"/>
      <c r="K332" s="314"/>
      <c r="L332" s="314"/>
      <c r="M332" s="314"/>
      <c r="N332" s="314"/>
      <c r="O332" s="314"/>
      <c r="P332" s="314"/>
      <c r="Q332" s="314"/>
      <c r="R332" s="314"/>
      <c r="S332" s="314"/>
      <c r="T332" s="314"/>
      <c r="U332" s="313"/>
      <c r="V332" s="315"/>
      <c r="W332" s="316"/>
      <c r="X332" s="314"/>
      <c r="Y332" s="314"/>
      <c r="Z332" s="314"/>
      <c r="AA332" s="314"/>
      <c r="AB332" s="314"/>
    </row>
    <row r="333" spans="1:28" ht="39.75" customHeight="1">
      <c r="A333" s="314"/>
      <c r="B333" s="314"/>
      <c r="C333" s="314"/>
      <c r="D333" s="314"/>
      <c r="E333" s="314"/>
      <c r="F333" s="314"/>
      <c r="G333" s="314"/>
      <c r="H333" s="314"/>
      <c r="I333" s="314"/>
      <c r="J333" s="314"/>
      <c r="K333" s="314"/>
      <c r="L333" s="314"/>
      <c r="M333" s="314"/>
      <c r="N333" s="314"/>
      <c r="O333" s="314"/>
      <c r="P333" s="314"/>
      <c r="Q333" s="314"/>
      <c r="R333" s="314"/>
      <c r="S333" s="314"/>
      <c r="T333" s="314"/>
      <c r="U333" s="313"/>
      <c r="V333" s="315"/>
      <c r="W333" s="316"/>
      <c r="X333" s="314"/>
      <c r="Y333" s="314"/>
      <c r="Z333" s="314"/>
      <c r="AA333" s="314"/>
      <c r="AB333" s="314"/>
    </row>
    <row r="334" spans="1:28" ht="39.75" customHeight="1">
      <c r="A334" s="314"/>
      <c r="B334" s="314"/>
      <c r="C334" s="314"/>
      <c r="D334" s="314"/>
      <c r="E334" s="314"/>
      <c r="F334" s="314"/>
      <c r="G334" s="314"/>
      <c r="H334" s="314"/>
      <c r="I334" s="314"/>
      <c r="J334" s="314"/>
      <c r="K334" s="314"/>
      <c r="L334" s="314"/>
      <c r="M334" s="314"/>
      <c r="N334" s="314"/>
      <c r="O334" s="314"/>
      <c r="P334" s="314"/>
      <c r="Q334" s="314"/>
      <c r="R334" s="314"/>
      <c r="S334" s="314"/>
      <c r="T334" s="314"/>
      <c r="U334" s="313"/>
      <c r="V334" s="315"/>
      <c r="W334" s="316"/>
      <c r="X334" s="314"/>
      <c r="Y334" s="314"/>
      <c r="Z334" s="314"/>
      <c r="AA334" s="314"/>
      <c r="AB334" s="314"/>
    </row>
    <row r="335" spans="1:28" ht="39.75" customHeight="1">
      <c r="A335" s="314"/>
      <c r="B335" s="314"/>
      <c r="C335" s="314"/>
      <c r="D335" s="314"/>
      <c r="E335" s="314"/>
      <c r="F335" s="314"/>
      <c r="G335" s="314"/>
      <c r="H335" s="314"/>
      <c r="I335" s="314"/>
      <c r="J335" s="314"/>
      <c r="K335" s="314"/>
      <c r="L335" s="314"/>
      <c r="M335" s="314"/>
      <c r="N335" s="314"/>
      <c r="O335" s="314"/>
      <c r="P335" s="314"/>
      <c r="Q335" s="314"/>
      <c r="R335" s="314"/>
      <c r="S335" s="314"/>
      <c r="T335" s="314"/>
      <c r="U335" s="313"/>
      <c r="V335" s="315"/>
      <c r="W335" s="316"/>
      <c r="X335" s="314"/>
      <c r="Y335" s="314"/>
      <c r="Z335" s="314"/>
      <c r="AA335" s="314"/>
      <c r="AB335" s="314"/>
    </row>
    <row r="336" spans="1:28" ht="39.75" customHeight="1">
      <c r="A336" s="314"/>
      <c r="B336" s="314"/>
      <c r="C336" s="314"/>
      <c r="D336" s="314"/>
      <c r="E336" s="314"/>
      <c r="F336" s="314"/>
      <c r="G336" s="314"/>
      <c r="H336" s="314"/>
      <c r="I336" s="314"/>
      <c r="J336" s="314"/>
      <c r="K336" s="314"/>
      <c r="L336" s="314"/>
      <c r="M336" s="314"/>
      <c r="N336" s="314"/>
      <c r="O336" s="314"/>
      <c r="P336" s="314"/>
      <c r="Q336" s="314"/>
      <c r="R336" s="314"/>
      <c r="S336" s="314"/>
      <c r="T336" s="314"/>
      <c r="U336" s="313"/>
      <c r="V336" s="315"/>
      <c r="W336" s="316"/>
      <c r="X336" s="314"/>
      <c r="Y336" s="314"/>
      <c r="Z336" s="314"/>
      <c r="AA336" s="314"/>
      <c r="AB336" s="314"/>
    </row>
    <row r="337" spans="1:28" ht="39.75" customHeight="1">
      <c r="A337" s="314"/>
      <c r="B337" s="314"/>
      <c r="C337" s="314"/>
      <c r="D337" s="314"/>
      <c r="E337" s="314"/>
      <c r="F337" s="314"/>
      <c r="G337" s="314"/>
      <c r="H337" s="314"/>
      <c r="I337" s="314"/>
      <c r="J337" s="314"/>
      <c r="K337" s="314"/>
      <c r="L337" s="314"/>
      <c r="M337" s="314"/>
      <c r="N337" s="314"/>
      <c r="O337" s="314"/>
      <c r="P337" s="314"/>
      <c r="Q337" s="314"/>
      <c r="R337" s="314"/>
      <c r="S337" s="314"/>
      <c r="T337" s="314"/>
      <c r="U337" s="313"/>
      <c r="V337" s="315"/>
      <c r="W337" s="316"/>
      <c r="X337" s="314"/>
      <c r="Y337" s="314"/>
      <c r="Z337" s="314"/>
      <c r="AA337" s="314"/>
      <c r="AB337" s="314"/>
    </row>
    <row r="338" spans="1:28" ht="39.75" customHeight="1">
      <c r="A338" s="314"/>
      <c r="B338" s="314"/>
      <c r="C338" s="314"/>
      <c r="D338" s="314"/>
      <c r="E338" s="314"/>
      <c r="F338" s="314"/>
      <c r="G338" s="314"/>
      <c r="H338" s="314"/>
      <c r="I338" s="314"/>
      <c r="J338" s="314"/>
      <c r="K338" s="314"/>
      <c r="L338" s="314"/>
      <c r="M338" s="314"/>
      <c r="N338" s="314"/>
      <c r="O338" s="314"/>
      <c r="P338" s="314"/>
      <c r="Q338" s="314"/>
      <c r="R338" s="314"/>
      <c r="S338" s="314"/>
      <c r="T338" s="314"/>
      <c r="U338" s="313"/>
      <c r="V338" s="315"/>
      <c r="W338" s="316"/>
      <c r="X338" s="314"/>
      <c r="Y338" s="314"/>
      <c r="Z338" s="314"/>
      <c r="AA338" s="314"/>
      <c r="AB338" s="314"/>
    </row>
    <row r="339" spans="1:28" ht="39.75" customHeight="1">
      <c r="A339" s="314"/>
      <c r="B339" s="314"/>
      <c r="C339" s="314"/>
      <c r="D339" s="314"/>
      <c r="E339" s="314"/>
      <c r="F339" s="314"/>
      <c r="G339" s="314"/>
      <c r="H339" s="314"/>
      <c r="I339" s="314"/>
      <c r="J339" s="314"/>
      <c r="K339" s="314"/>
      <c r="L339" s="314"/>
      <c r="M339" s="314"/>
      <c r="N339" s="314"/>
      <c r="O339" s="314"/>
      <c r="P339" s="314"/>
      <c r="Q339" s="314"/>
      <c r="R339" s="314"/>
      <c r="S339" s="314"/>
      <c r="T339" s="314"/>
      <c r="U339" s="313"/>
      <c r="V339" s="315"/>
      <c r="W339" s="316"/>
      <c r="X339" s="314"/>
      <c r="Y339" s="314"/>
      <c r="Z339" s="314"/>
      <c r="AA339" s="314"/>
      <c r="AB339" s="314"/>
    </row>
    <row r="340" spans="1:28" ht="39.75" customHeight="1">
      <c r="A340" s="314"/>
      <c r="B340" s="314"/>
      <c r="C340" s="314"/>
      <c r="D340" s="314"/>
      <c r="E340" s="314"/>
      <c r="F340" s="314"/>
      <c r="G340" s="314"/>
      <c r="H340" s="314"/>
      <c r="I340" s="314"/>
      <c r="J340" s="314"/>
      <c r="K340" s="314"/>
      <c r="L340" s="314"/>
      <c r="M340" s="314"/>
      <c r="N340" s="314"/>
      <c r="O340" s="314"/>
      <c r="P340" s="314"/>
      <c r="Q340" s="314"/>
      <c r="R340" s="314"/>
      <c r="S340" s="314"/>
      <c r="T340" s="314"/>
      <c r="U340" s="313"/>
      <c r="V340" s="315"/>
      <c r="W340" s="316"/>
      <c r="X340" s="314"/>
      <c r="Y340" s="314"/>
      <c r="Z340" s="314"/>
      <c r="AA340" s="314"/>
      <c r="AB340" s="314"/>
    </row>
    <row r="341" spans="1:28" ht="39.75" customHeight="1">
      <c r="A341" s="314"/>
      <c r="B341" s="314"/>
      <c r="C341" s="314"/>
      <c r="D341" s="314"/>
      <c r="E341" s="314"/>
      <c r="F341" s="314"/>
      <c r="G341" s="314"/>
      <c r="H341" s="314"/>
      <c r="I341" s="314"/>
      <c r="J341" s="314"/>
      <c r="K341" s="314"/>
      <c r="L341" s="314"/>
      <c r="M341" s="314"/>
      <c r="N341" s="314"/>
      <c r="O341" s="314"/>
      <c r="P341" s="314"/>
      <c r="Q341" s="314"/>
      <c r="R341" s="314"/>
      <c r="S341" s="314"/>
      <c r="T341" s="314"/>
      <c r="U341" s="313"/>
      <c r="V341" s="315"/>
      <c r="W341" s="316"/>
      <c r="X341" s="314"/>
      <c r="Y341" s="314"/>
      <c r="Z341" s="314"/>
      <c r="AA341" s="314"/>
      <c r="AB341" s="314"/>
    </row>
    <row r="342" spans="1:28" ht="39.75" customHeight="1">
      <c r="A342" s="314"/>
      <c r="B342" s="314"/>
      <c r="C342" s="314"/>
      <c r="D342" s="314"/>
      <c r="E342" s="314"/>
      <c r="F342" s="314"/>
      <c r="G342" s="314"/>
      <c r="H342" s="314"/>
      <c r="I342" s="314"/>
      <c r="J342" s="314"/>
      <c r="K342" s="314"/>
      <c r="L342" s="314"/>
      <c r="M342" s="314"/>
      <c r="N342" s="314"/>
      <c r="O342" s="314"/>
      <c r="P342" s="314"/>
      <c r="Q342" s="314"/>
      <c r="R342" s="314"/>
      <c r="S342" s="314"/>
      <c r="T342" s="314"/>
      <c r="U342" s="313"/>
      <c r="V342" s="315"/>
      <c r="W342" s="316"/>
      <c r="X342" s="314"/>
      <c r="Y342" s="314"/>
      <c r="Z342" s="314"/>
      <c r="AA342" s="314"/>
      <c r="AB342" s="314"/>
    </row>
    <row r="343" spans="1:28" ht="39.75" customHeight="1">
      <c r="A343" s="314"/>
      <c r="B343" s="314"/>
      <c r="C343" s="314"/>
      <c r="D343" s="314"/>
      <c r="E343" s="314"/>
      <c r="F343" s="314"/>
      <c r="G343" s="314"/>
      <c r="H343" s="314"/>
      <c r="I343" s="314"/>
      <c r="J343" s="314"/>
      <c r="K343" s="314"/>
      <c r="L343" s="314"/>
      <c r="M343" s="314"/>
      <c r="N343" s="314"/>
      <c r="O343" s="314"/>
      <c r="P343" s="314"/>
      <c r="Q343" s="314"/>
      <c r="R343" s="314"/>
      <c r="S343" s="314"/>
      <c r="T343" s="314"/>
      <c r="U343" s="313"/>
      <c r="V343" s="315"/>
      <c r="W343" s="316"/>
      <c r="X343" s="314"/>
      <c r="Y343" s="314"/>
      <c r="Z343" s="314"/>
      <c r="AA343" s="314"/>
      <c r="AB343" s="314"/>
    </row>
    <row r="344" spans="1:28" ht="39.75" customHeight="1">
      <c r="A344" s="314"/>
      <c r="B344" s="314"/>
      <c r="C344" s="314"/>
      <c r="D344" s="314"/>
      <c r="E344" s="314"/>
      <c r="F344" s="314"/>
      <c r="G344" s="314"/>
      <c r="H344" s="314"/>
      <c r="I344" s="314"/>
      <c r="J344" s="314"/>
      <c r="K344" s="314"/>
      <c r="L344" s="314"/>
      <c r="M344" s="314"/>
      <c r="N344" s="314"/>
      <c r="O344" s="314"/>
      <c r="P344" s="314"/>
      <c r="Q344" s="314"/>
      <c r="R344" s="314"/>
      <c r="S344" s="314"/>
      <c r="T344" s="314"/>
      <c r="U344" s="313"/>
      <c r="V344" s="315"/>
      <c r="W344" s="316"/>
      <c r="X344" s="314"/>
      <c r="Y344" s="314"/>
      <c r="Z344" s="314"/>
      <c r="AA344" s="314"/>
      <c r="AB344" s="314"/>
    </row>
    <row r="345" spans="1:28" ht="39.75" customHeight="1">
      <c r="A345" s="314"/>
      <c r="B345" s="314"/>
      <c r="C345" s="314"/>
      <c r="D345" s="314"/>
      <c r="E345" s="314"/>
      <c r="F345" s="314"/>
      <c r="G345" s="314"/>
      <c r="H345" s="314"/>
      <c r="I345" s="314"/>
      <c r="J345" s="314"/>
      <c r="K345" s="314"/>
      <c r="L345" s="314"/>
      <c r="M345" s="314"/>
      <c r="N345" s="314"/>
      <c r="O345" s="314"/>
      <c r="P345" s="314"/>
      <c r="Q345" s="314"/>
      <c r="R345" s="314"/>
      <c r="S345" s="314"/>
      <c r="T345" s="314"/>
      <c r="U345" s="313"/>
      <c r="V345" s="315"/>
      <c r="W345" s="316"/>
      <c r="X345" s="314"/>
      <c r="Y345" s="314"/>
      <c r="Z345" s="314"/>
      <c r="AA345" s="314"/>
      <c r="AB345" s="314"/>
    </row>
    <row r="346" spans="1:28" ht="39.75" customHeight="1">
      <c r="A346" s="314"/>
      <c r="B346" s="314"/>
      <c r="C346" s="314"/>
      <c r="D346" s="314"/>
      <c r="E346" s="314"/>
      <c r="F346" s="314"/>
      <c r="G346" s="314"/>
      <c r="H346" s="314"/>
      <c r="I346" s="314"/>
      <c r="J346" s="314"/>
      <c r="K346" s="314"/>
      <c r="L346" s="314"/>
      <c r="M346" s="314"/>
      <c r="N346" s="314"/>
      <c r="O346" s="314"/>
      <c r="P346" s="314"/>
      <c r="Q346" s="314"/>
      <c r="R346" s="314"/>
      <c r="S346" s="314"/>
      <c r="T346" s="314"/>
      <c r="U346" s="313"/>
      <c r="V346" s="315"/>
      <c r="W346" s="316"/>
      <c r="X346" s="314"/>
      <c r="Y346" s="314"/>
      <c r="Z346" s="314"/>
      <c r="AA346" s="314"/>
      <c r="AB346" s="314"/>
    </row>
    <row r="347" spans="1:28" ht="39.75" customHeight="1">
      <c r="A347" s="314"/>
      <c r="B347" s="314"/>
      <c r="C347" s="314"/>
      <c r="D347" s="314"/>
      <c r="E347" s="314"/>
      <c r="F347" s="314"/>
      <c r="G347" s="314"/>
      <c r="H347" s="314"/>
      <c r="I347" s="314"/>
      <c r="J347" s="314"/>
      <c r="K347" s="314"/>
      <c r="L347" s="314"/>
      <c r="M347" s="314"/>
      <c r="N347" s="314"/>
      <c r="O347" s="314"/>
      <c r="P347" s="314"/>
      <c r="Q347" s="314"/>
      <c r="R347" s="314"/>
      <c r="S347" s="314"/>
      <c r="T347" s="314"/>
      <c r="U347" s="313"/>
      <c r="V347" s="315"/>
      <c r="W347" s="316"/>
      <c r="X347" s="314"/>
      <c r="Y347" s="314"/>
      <c r="Z347" s="314"/>
      <c r="AA347" s="314"/>
      <c r="AB347" s="314"/>
    </row>
    <row r="348" spans="1:28" ht="39.75" customHeight="1">
      <c r="A348" s="314"/>
      <c r="B348" s="314"/>
      <c r="C348" s="314"/>
      <c r="D348" s="314"/>
      <c r="E348" s="314"/>
      <c r="F348" s="314"/>
      <c r="G348" s="314"/>
      <c r="H348" s="314"/>
      <c r="I348" s="314"/>
      <c r="J348" s="314"/>
      <c r="K348" s="314"/>
      <c r="L348" s="314"/>
      <c r="M348" s="314"/>
      <c r="N348" s="314"/>
      <c r="O348" s="314"/>
      <c r="P348" s="314"/>
      <c r="Q348" s="314"/>
      <c r="R348" s="314"/>
      <c r="S348" s="314"/>
      <c r="T348" s="314"/>
      <c r="U348" s="313"/>
      <c r="V348" s="315"/>
      <c r="W348" s="316"/>
      <c r="X348" s="314"/>
      <c r="Y348" s="314"/>
      <c r="Z348" s="314"/>
      <c r="AA348" s="314"/>
      <c r="AB348" s="314"/>
    </row>
    <row r="349" spans="1:28" ht="39.75" customHeight="1">
      <c r="A349" s="314"/>
      <c r="B349" s="314"/>
      <c r="C349" s="314"/>
      <c r="D349" s="314"/>
      <c r="E349" s="314"/>
      <c r="F349" s="314"/>
      <c r="G349" s="314"/>
      <c r="H349" s="314"/>
      <c r="I349" s="314"/>
      <c r="J349" s="314"/>
      <c r="K349" s="314"/>
      <c r="L349" s="314"/>
      <c r="M349" s="314"/>
      <c r="N349" s="314"/>
      <c r="O349" s="314"/>
      <c r="P349" s="314"/>
      <c r="Q349" s="314"/>
      <c r="R349" s="314"/>
      <c r="S349" s="314"/>
      <c r="T349" s="314"/>
      <c r="U349" s="313"/>
      <c r="V349" s="315"/>
      <c r="W349" s="316"/>
      <c r="X349" s="314"/>
      <c r="Y349" s="314"/>
      <c r="Z349" s="314"/>
      <c r="AA349" s="314"/>
      <c r="AB349" s="314"/>
    </row>
    <row r="350" spans="1:28" ht="39.75" customHeight="1">
      <c r="A350" s="314"/>
      <c r="B350" s="314"/>
      <c r="C350" s="314"/>
      <c r="D350" s="314"/>
      <c r="E350" s="314"/>
      <c r="F350" s="314"/>
      <c r="G350" s="314"/>
      <c r="H350" s="314"/>
      <c r="I350" s="314"/>
      <c r="J350" s="314"/>
      <c r="K350" s="314"/>
      <c r="L350" s="314"/>
      <c r="M350" s="314"/>
      <c r="N350" s="314"/>
      <c r="O350" s="314"/>
      <c r="P350" s="314"/>
      <c r="Q350" s="314"/>
      <c r="R350" s="314"/>
      <c r="S350" s="314"/>
      <c r="T350" s="314"/>
      <c r="U350" s="313"/>
      <c r="V350" s="315"/>
      <c r="W350" s="316"/>
      <c r="X350" s="314"/>
      <c r="Y350" s="314"/>
      <c r="Z350" s="314"/>
      <c r="AA350" s="314"/>
      <c r="AB350" s="314"/>
    </row>
    <row r="351" spans="1:28" ht="39.75" customHeight="1">
      <c r="A351" s="314"/>
      <c r="B351" s="314"/>
      <c r="C351" s="314"/>
      <c r="D351" s="314"/>
      <c r="E351" s="314"/>
      <c r="F351" s="314"/>
      <c r="G351" s="314"/>
      <c r="H351" s="314"/>
      <c r="I351" s="314"/>
      <c r="J351" s="314"/>
      <c r="K351" s="314"/>
      <c r="L351" s="314"/>
      <c r="M351" s="314"/>
      <c r="N351" s="314"/>
      <c r="O351" s="314"/>
      <c r="P351" s="314"/>
      <c r="Q351" s="314"/>
      <c r="R351" s="314"/>
      <c r="S351" s="314"/>
      <c r="T351" s="314"/>
      <c r="U351" s="313"/>
      <c r="V351" s="315"/>
      <c r="W351" s="316"/>
      <c r="X351" s="314"/>
      <c r="Y351" s="314"/>
      <c r="Z351" s="314"/>
      <c r="AA351" s="314"/>
      <c r="AB351" s="314"/>
    </row>
    <row r="352" spans="1:28" ht="39.75" customHeight="1">
      <c r="A352" s="314"/>
      <c r="B352" s="314"/>
      <c r="C352" s="314"/>
      <c r="D352" s="314"/>
      <c r="E352" s="314"/>
      <c r="F352" s="314"/>
      <c r="G352" s="314"/>
      <c r="H352" s="314"/>
      <c r="I352" s="314"/>
      <c r="J352" s="314"/>
      <c r="K352" s="314"/>
      <c r="L352" s="314"/>
      <c r="M352" s="314"/>
      <c r="N352" s="314"/>
      <c r="O352" s="314"/>
      <c r="P352" s="314"/>
      <c r="Q352" s="314"/>
      <c r="R352" s="314"/>
      <c r="S352" s="314"/>
      <c r="T352" s="314"/>
      <c r="U352" s="313"/>
      <c r="V352" s="315"/>
      <c r="W352" s="316"/>
      <c r="X352" s="314"/>
      <c r="Y352" s="314"/>
      <c r="Z352" s="314"/>
      <c r="AA352" s="314"/>
      <c r="AB352" s="314"/>
    </row>
    <row r="353" spans="1:28" ht="39.75" customHeight="1">
      <c r="A353" s="314"/>
      <c r="B353" s="314"/>
      <c r="C353" s="314"/>
      <c r="D353" s="314"/>
      <c r="E353" s="314"/>
      <c r="F353" s="314"/>
      <c r="G353" s="314"/>
      <c r="H353" s="314"/>
      <c r="I353" s="314"/>
      <c r="J353" s="314"/>
      <c r="K353" s="314"/>
      <c r="L353" s="314"/>
      <c r="M353" s="314"/>
      <c r="N353" s="314"/>
      <c r="O353" s="314"/>
      <c r="P353" s="314"/>
      <c r="Q353" s="314"/>
      <c r="R353" s="314"/>
      <c r="S353" s="314"/>
      <c r="T353" s="314"/>
      <c r="U353" s="313"/>
      <c r="V353" s="315"/>
      <c r="W353" s="316"/>
      <c r="X353" s="314"/>
      <c r="Y353" s="314"/>
      <c r="Z353" s="314"/>
      <c r="AA353" s="314"/>
      <c r="AB353" s="314"/>
    </row>
    <row r="354" spans="1:28" ht="39.75" customHeight="1">
      <c r="A354" s="314"/>
      <c r="B354" s="314"/>
      <c r="C354" s="314"/>
      <c r="D354" s="314"/>
      <c r="E354" s="314"/>
      <c r="F354" s="314"/>
      <c r="G354" s="314"/>
      <c r="H354" s="314"/>
      <c r="I354" s="314"/>
      <c r="J354" s="314"/>
      <c r="K354" s="314"/>
      <c r="L354" s="314"/>
      <c r="M354" s="314"/>
      <c r="N354" s="314"/>
      <c r="O354" s="314"/>
      <c r="P354" s="314"/>
      <c r="Q354" s="314"/>
      <c r="R354" s="314"/>
      <c r="S354" s="314"/>
      <c r="T354" s="314"/>
      <c r="U354" s="313"/>
      <c r="V354" s="315"/>
      <c r="W354" s="316"/>
      <c r="X354" s="314"/>
      <c r="Y354" s="314"/>
      <c r="Z354" s="314"/>
      <c r="AA354" s="314"/>
      <c r="AB354" s="314"/>
    </row>
    <row r="355" spans="1:28" ht="39.75" customHeight="1">
      <c r="A355" s="314"/>
      <c r="B355" s="314"/>
      <c r="C355" s="314"/>
      <c r="D355" s="314"/>
      <c r="E355" s="314"/>
      <c r="F355" s="314"/>
      <c r="G355" s="314"/>
      <c r="H355" s="314"/>
      <c r="I355" s="314"/>
      <c r="J355" s="314"/>
      <c r="K355" s="314"/>
      <c r="L355" s="314"/>
      <c r="M355" s="314"/>
      <c r="N355" s="314"/>
      <c r="O355" s="314"/>
      <c r="P355" s="314"/>
      <c r="Q355" s="314"/>
      <c r="R355" s="314"/>
      <c r="S355" s="314"/>
      <c r="T355" s="314"/>
      <c r="U355" s="313"/>
      <c r="V355" s="315"/>
      <c r="W355" s="316"/>
      <c r="X355" s="314"/>
      <c r="Y355" s="314"/>
      <c r="Z355" s="314"/>
      <c r="AA355" s="314"/>
      <c r="AB355" s="314"/>
    </row>
    <row r="356" spans="1:28" ht="39.75" customHeight="1">
      <c r="A356" s="314"/>
      <c r="B356" s="314"/>
      <c r="C356" s="314"/>
      <c r="D356" s="314"/>
      <c r="E356" s="314"/>
      <c r="F356" s="314"/>
      <c r="G356" s="314"/>
      <c r="H356" s="314"/>
      <c r="I356" s="314"/>
      <c r="J356" s="314"/>
      <c r="K356" s="314"/>
      <c r="L356" s="314"/>
      <c r="M356" s="314"/>
      <c r="N356" s="314"/>
      <c r="O356" s="314"/>
      <c r="P356" s="314"/>
      <c r="Q356" s="314"/>
      <c r="R356" s="314"/>
      <c r="S356" s="314"/>
      <c r="T356" s="314"/>
      <c r="U356" s="313"/>
      <c r="V356" s="315"/>
      <c r="W356" s="316"/>
      <c r="X356" s="314"/>
      <c r="Y356" s="314"/>
      <c r="Z356" s="314"/>
      <c r="AA356" s="314"/>
      <c r="AB356" s="314"/>
    </row>
    <row r="357" spans="1:28" ht="39.75" customHeight="1">
      <c r="A357" s="314"/>
      <c r="B357" s="314"/>
      <c r="C357" s="314"/>
      <c r="D357" s="314"/>
      <c r="E357" s="314"/>
      <c r="F357" s="314"/>
      <c r="G357" s="314"/>
      <c r="H357" s="314"/>
      <c r="I357" s="314"/>
      <c r="J357" s="314"/>
      <c r="K357" s="314"/>
      <c r="L357" s="314"/>
      <c r="M357" s="314"/>
      <c r="N357" s="314"/>
      <c r="O357" s="314"/>
      <c r="P357" s="314"/>
      <c r="Q357" s="314"/>
      <c r="R357" s="314"/>
      <c r="S357" s="314"/>
      <c r="T357" s="314"/>
      <c r="U357" s="313"/>
      <c r="V357" s="315"/>
      <c r="W357" s="316"/>
      <c r="X357" s="314"/>
      <c r="Y357" s="314"/>
      <c r="Z357" s="314"/>
      <c r="AA357" s="314"/>
      <c r="AB357" s="314"/>
    </row>
    <row r="358" spans="1:28" ht="39.75" customHeight="1">
      <c r="A358" s="314"/>
      <c r="B358" s="314"/>
      <c r="C358" s="314"/>
      <c r="D358" s="314"/>
      <c r="E358" s="314"/>
      <c r="F358" s="314"/>
      <c r="G358" s="314"/>
      <c r="H358" s="314"/>
      <c r="I358" s="314"/>
      <c r="J358" s="314"/>
      <c r="K358" s="314"/>
      <c r="L358" s="314"/>
      <c r="M358" s="314"/>
      <c r="N358" s="314"/>
      <c r="O358" s="314"/>
      <c r="P358" s="314"/>
      <c r="Q358" s="314"/>
      <c r="R358" s="314"/>
      <c r="S358" s="314"/>
      <c r="T358" s="314"/>
      <c r="U358" s="313"/>
      <c r="V358" s="315"/>
      <c r="W358" s="316"/>
      <c r="X358" s="314"/>
      <c r="Y358" s="314"/>
      <c r="Z358" s="314"/>
      <c r="AA358" s="314"/>
      <c r="AB358" s="314"/>
    </row>
    <row r="359" spans="1:28" ht="15.75" customHeight="1">
      <c r="A359" s="467"/>
      <c r="B359" s="467"/>
      <c r="C359" s="467"/>
      <c r="D359" s="467"/>
      <c r="E359" s="467"/>
      <c r="F359" s="467"/>
      <c r="G359" s="467"/>
      <c r="H359" s="467"/>
      <c r="I359" s="467"/>
      <c r="J359" s="467"/>
      <c r="K359" s="467"/>
      <c r="L359" s="467"/>
      <c r="M359" s="467"/>
      <c r="N359" s="467"/>
      <c r="O359" s="467"/>
      <c r="P359" s="467"/>
      <c r="Q359" s="467"/>
      <c r="R359" s="467"/>
      <c r="S359" s="467"/>
      <c r="T359" s="467"/>
      <c r="U359" s="468"/>
      <c r="V359" s="319"/>
      <c r="W359" s="319"/>
      <c r="X359" s="467"/>
      <c r="Y359" s="467"/>
      <c r="Z359" s="467"/>
      <c r="AA359" s="467"/>
      <c r="AB359" s="467"/>
    </row>
    <row r="360" spans="1:28" ht="15.75" customHeight="1">
      <c r="A360" s="467"/>
      <c r="B360" s="467"/>
      <c r="C360" s="467"/>
      <c r="D360" s="467"/>
      <c r="E360" s="467"/>
      <c r="F360" s="467"/>
      <c r="G360" s="467"/>
      <c r="H360" s="467"/>
      <c r="I360" s="467"/>
      <c r="J360" s="467"/>
      <c r="K360" s="467"/>
      <c r="L360" s="467"/>
      <c r="M360" s="467"/>
      <c r="N360" s="467"/>
      <c r="O360" s="467"/>
      <c r="P360" s="467"/>
      <c r="Q360" s="467"/>
      <c r="R360" s="467"/>
      <c r="S360" s="467"/>
      <c r="T360" s="467"/>
      <c r="U360" s="468"/>
      <c r="V360" s="319"/>
      <c r="W360" s="319"/>
      <c r="X360" s="467"/>
      <c r="Y360" s="467"/>
      <c r="Z360" s="467"/>
      <c r="AA360" s="467"/>
      <c r="AB360" s="467"/>
    </row>
    <row r="361" spans="1:28" ht="15.75" customHeight="1">
      <c r="A361" s="467"/>
      <c r="B361" s="467"/>
      <c r="C361" s="467"/>
      <c r="D361" s="467"/>
      <c r="E361" s="467"/>
      <c r="F361" s="467"/>
      <c r="G361" s="467"/>
      <c r="H361" s="467"/>
      <c r="I361" s="467"/>
      <c r="J361" s="467"/>
      <c r="K361" s="467"/>
      <c r="L361" s="467"/>
      <c r="M361" s="467"/>
      <c r="N361" s="467"/>
      <c r="O361" s="467"/>
      <c r="P361" s="467"/>
      <c r="Q361" s="467"/>
      <c r="R361" s="467"/>
      <c r="S361" s="467"/>
      <c r="T361" s="467"/>
      <c r="U361" s="468"/>
      <c r="V361" s="319"/>
      <c r="W361" s="319"/>
      <c r="X361" s="467"/>
      <c r="Y361" s="467"/>
      <c r="Z361" s="467"/>
      <c r="AA361" s="467"/>
      <c r="AB361" s="467"/>
    </row>
    <row r="362" spans="1:28" ht="15.75" customHeight="1">
      <c r="A362" s="467"/>
      <c r="B362" s="467"/>
      <c r="C362" s="467"/>
      <c r="D362" s="467"/>
      <c r="E362" s="467"/>
      <c r="F362" s="467"/>
      <c r="G362" s="467"/>
      <c r="H362" s="467"/>
      <c r="I362" s="467"/>
      <c r="J362" s="467"/>
      <c r="K362" s="467"/>
      <c r="L362" s="467"/>
      <c r="M362" s="467"/>
      <c r="N362" s="467"/>
      <c r="O362" s="467"/>
      <c r="P362" s="467"/>
      <c r="Q362" s="467"/>
      <c r="R362" s="467"/>
      <c r="S362" s="467"/>
      <c r="T362" s="467"/>
      <c r="U362" s="468"/>
      <c r="V362" s="319"/>
      <c r="W362" s="319"/>
      <c r="X362" s="467"/>
      <c r="Y362" s="467"/>
      <c r="Z362" s="467"/>
      <c r="AA362" s="467"/>
      <c r="AB362" s="467"/>
    </row>
    <row r="363" spans="1:28" ht="15.75" customHeight="1">
      <c r="A363" s="467"/>
      <c r="B363" s="467"/>
      <c r="C363" s="467"/>
      <c r="D363" s="467"/>
      <c r="E363" s="467"/>
      <c r="F363" s="467"/>
      <c r="G363" s="467"/>
      <c r="H363" s="467"/>
      <c r="I363" s="467"/>
      <c r="J363" s="467"/>
      <c r="K363" s="467"/>
      <c r="L363" s="467"/>
      <c r="M363" s="467"/>
      <c r="N363" s="467"/>
      <c r="O363" s="467"/>
      <c r="P363" s="467"/>
      <c r="Q363" s="467"/>
      <c r="R363" s="467"/>
      <c r="S363" s="467"/>
      <c r="T363" s="467"/>
      <c r="U363" s="468"/>
      <c r="V363" s="319"/>
      <c r="W363" s="319"/>
      <c r="X363" s="467"/>
      <c r="Y363" s="467"/>
      <c r="Z363" s="467"/>
      <c r="AA363" s="467"/>
      <c r="AB363" s="467"/>
    </row>
    <row r="364" spans="1:28" ht="15.75" customHeight="1">
      <c r="A364" s="467"/>
      <c r="B364" s="467"/>
      <c r="C364" s="467"/>
      <c r="D364" s="467"/>
      <c r="E364" s="467"/>
      <c r="F364" s="467"/>
      <c r="G364" s="467"/>
      <c r="H364" s="467"/>
      <c r="I364" s="467"/>
      <c r="J364" s="467"/>
      <c r="K364" s="467"/>
      <c r="L364" s="467"/>
      <c r="M364" s="467"/>
      <c r="N364" s="467"/>
      <c r="O364" s="467"/>
      <c r="P364" s="467"/>
      <c r="Q364" s="467"/>
      <c r="R364" s="467"/>
      <c r="S364" s="467"/>
      <c r="T364" s="467"/>
      <c r="U364" s="468"/>
      <c r="V364" s="319"/>
      <c r="W364" s="319"/>
      <c r="X364" s="467"/>
      <c r="Y364" s="467"/>
      <c r="Z364" s="467"/>
      <c r="AA364" s="467"/>
      <c r="AB364" s="467"/>
    </row>
    <row r="365" spans="1:28" ht="15.75" customHeight="1">
      <c r="A365" s="467"/>
      <c r="B365" s="467"/>
      <c r="C365" s="467"/>
      <c r="D365" s="467"/>
      <c r="E365" s="467"/>
      <c r="F365" s="467"/>
      <c r="G365" s="467"/>
      <c r="H365" s="467"/>
      <c r="I365" s="467"/>
      <c r="J365" s="467"/>
      <c r="K365" s="467"/>
      <c r="L365" s="467"/>
      <c r="M365" s="467"/>
      <c r="N365" s="467"/>
      <c r="O365" s="467"/>
      <c r="P365" s="467"/>
      <c r="Q365" s="467"/>
      <c r="R365" s="467"/>
      <c r="S365" s="467"/>
      <c r="T365" s="467"/>
      <c r="U365" s="468"/>
      <c r="V365" s="319"/>
      <c r="W365" s="319"/>
      <c r="X365" s="467"/>
      <c r="Y365" s="467"/>
      <c r="Z365" s="467"/>
      <c r="AA365" s="467"/>
      <c r="AB365" s="467"/>
    </row>
    <row r="366" spans="1:28" ht="15.75" customHeight="1">
      <c r="A366" s="467"/>
      <c r="B366" s="467"/>
      <c r="C366" s="467"/>
      <c r="D366" s="467"/>
      <c r="E366" s="467"/>
      <c r="F366" s="467"/>
      <c r="G366" s="467"/>
      <c r="H366" s="467"/>
      <c r="I366" s="467"/>
      <c r="J366" s="467"/>
      <c r="K366" s="467"/>
      <c r="L366" s="467"/>
      <c r="M366" s="467"/>
      <c r="N366" s="467"/>
      <c r="O366" s="467"/>
      <c r="P366" s="467"/>
      <c r="Q366" s="467"/>
      <c r="R366" s="467"/>
      <c r="S366" s="467"/>
      <c r="T366" s="467"/>
      <c r="U366" s="468"/>
      <c r="V366" s="319"/>
      <c r="W366" s="319"/>
      <c r="X366" s="467"/>
      <c r="Y366" s="467"/>
      <c r="Z366" s="467"/>
      <c r="AA366" s="467"/>
      <c r="AB366" s="467"/>
    </row>
    <row r="367" spans="1:28" ht="15.75" customHeight="1">
      <c r="A367" s="467"/>
      <c r="B367" s="467"/>
      <c r="C367" s="467"/>
      <c r="D367" s="467"/>
      <c r="E367" s="467"/>
      <c r="F367" s="467"/>
      <c r="G367" s="467"/>
      <c r="H367" s="467"/>
      <c r="I367" s="467"/>
      <c r="J367" s="467"/>
      <c r="K367" s="467"/>
      <c r="L367" s="467"/>
      <c r="M367" s="467"/>
      <c r="N367" s="467"/>
      <c r="O367" s="467"/>
      <c r="P367" s="467"/>
      <c r="Q367" s="467"/>
      <c r="R367" s="467"/>
      <c r="S367" s="467"/>
      <c r="T367" s="467"/>
      <c r="U367" s="468"/>
      <c r="V367" s="319"/>
      <c r="W367" s="319"/>
      <c r="X367" s="467"/>
      <c r="Y367" s="467"/>
      <c r="Z367" s="467"/>
      <c r="AA367" s="467"/>
      <c r="AB367" s="467"/>
    </row>
    <row r="368" spans="1:28" ht="15.75" customHeight="1">
      <c r="A368" s="467"/>
      <c r="B368" s="467"/>
      <c r="C368" s="467"/>
      <c r="D368" s="467"/>
      <c r="E368" s="467"/>
      <c r="F368" s="467"/>
      <c r="G368" s="467"/>
      <c r="H368" s="467"/>
      <c r="I368" s="467"/>
      <c r="J368" s="467"/>
      <c r="K368" s="467"/>
      <c r="L368" s="467"/>
      <c r="M368" s="467"/>
      <c r="N368" s="467"/>
      <c r="O368" s="467"/>
      <c r="P368" s="467"/>
      <c r="Q368" s="467"/>
      <c r="R368" s="467"/>
      <c r="S368" s="467"/>
      <c r="T368" s="467"/>
      <c r="U368" s="468"/>
      <c r="V368" s="319"/>
      <c r="W368" s="319"/>
      <c r="X368" s="467"/>
      <c r="Y368" s="467"/>
      <c r="Z368" s="467"/>
      <c r="AA368" s="467"/>
      <c r="AB368" s="467"/>
    </row>
    <row r="369" spans="1:28" ht="15.75" customHeight="1">
      <c r="A369" s="467"/>
      <c r="B369" s="467"/>
      <c r="C369" s="467"/>
      <c r="D369" s="467"/>
      <c r="E369" s="467"/>
      <c r="F369" s="467"/>
      <c r="G369" s="467"/>
      <c r="H369" s="467"/>
      <c r="I369" s="467"/>
      <c r="J369" s="467"/>
      <c r="K369" s="467"/>
      <c r="L369" s="467"/>
      <c r="M369" s="467"/>
      <c r="N369" s="467"/>
      <c r="O369" s="467"/>
      <c r="P369" s="467"/>
      <c r="Q369" s="467"/>
      <c r="R369" s="467"/>
      <c r="S369" s="467"/>
      <c r="T369" s="467"/>
      <c r="U369" s="468"/>
      <c r="V369" s="319"/>
      <c r="W369" s="319"/>
      <c r="X369" s="467"/>
      <c r="Y369" s="467"/>
      <c r="Z369" s="467"/>
      <c r="AA369" s="467"/>
      <c r="AB369" s="467"/>
    </row>
    <row r="370" spans="1:28" ht="15.75" customHeight="1">
      <c r="A370" s="467"/>
      <c r="B370" s="467"/>
      <c r="C370" s="467"/>
      <c r="D370" s="467"/>
      <c r="E370" s="467"/>
      <c r="F370" s="467"/>
      <c r="G370" s="467"/>
      <c r="H370" s="467"/>
      <c r="I370" s="467"/>
      <c r="J370" s="467"/>
      <c r="K370" s="467"/>
      <c r="L370" s="467"/>
      <c r="M370" s="467"/>
      <c r="N370" s="467"/>
      <c r="O370" s="467"/>
      <c r="P370" s="467"/>
      <c r="Q370" s="467"/>
      <c r="R370" s="467"/>
      <c r="S370" s="467"/>
      <c r="T370" s="467"/>
      <c r="U370" s="468"/>
      <c r="V370" s="319"/>
      <c r="W370" s="319"/>
      <c r="X370" s="467"/>
      <c r="Y370" s="467"/>
      <c r="Z370" s="467"/>
      <c r="AA370" s="467"/>
      <c r="AB370" s="467"/>
    </row>
    <row r="371" spans="1:28" ht="15.75" customHeight="1">
      <c r="A371" s="467"/>
      <c r="B371" s="467"/>
      <c r="C371" s="467"/>
      <c r="D371" s="467"/>
      <c r="E371" s="467"/>
      <c r="F371" s="467"/>
      <c r="G371" s="467"/>
      <c r="H371" s="467"/>
      <c r="I371" s="467"/>
      <c r="J371" s="467"/>
      <c r="K371" s="467"/>
      <c r="L371" s="467"/>
      <c r="M371" s="467"/>
      <c r="N371" s="467"/>
      <c r="O371" s="467"/>
      <c r="P371" s="467"/>
      <c r="Q371" s="467"/>
      <c r="R371" s="467"/>
      <c r="S371" s="467"/>
      <c r="T371" s="467"/>
      <c r="U371" s="468"/>
      <c r="V371" s="319"/>
      <c r="W371" s="319"/>
      <c r="X371" s="467"/>
      <c r="Y371" s="467"/>
      <c r="Z371" s="467"/>
      <c r="AA371" s="467"/>
      <c r="AB371" s="467"/>
    </row>
    <row r="372" spans="1:28" ht="15.75" customHeight="1">
      <c r="A372" s="467"/>
      <c r="B372" s="467"/>
      <c r="C372" s="467"/>
      <c r="D372" s="467"/>
      <c r="E372" s="467"/>
      <c r="F372" s="467"/>
      <c r="G372" s="467"/>
      <c r="H372" s="467"/>
      <c r="I372" s="467"/>
      <c r="J372" s="467"/>
      <c r="K372" s="467"/>
      <c r="L372" s="467"/>
      <c r="M372" s="467"/>
      <c r="N372" s="467"/>
      <c r="O372" s="467"/>
      <c r="P372" s="467"/>
      <c r="Q372" s="467"/>
      <c r="R372" s="467"/>
      <c r="S372" s="467"/>
      <c r="T372" s="467"/>
      <c r="U372" s="468"/>
      <c r="V372" s="319"/>
      <c r="W372" s="319"/>
      <c r="X372" s="467"/>
      <c r="Y372" s="467"/>
      <c r="Z372" s="467"/>
      <c r="AA372" s="467"/>
      <c r="AB372" s="467"/>
    </row>
    <row r="373" spans="1:28" ht="15.75" customHeight="1">
      <c r="A373" s="467"/>
      <c r="B373" s="467"/>
      <c r="C373" s="467"/>
      <c r="D373" s="467"/>
      <c r="E373" s="467"/>
      <c r="F373" s="467"/>
      <c r="G373" s="467"/>
      <c r="H373" s="467"/>
      <c r="I373" s="467"/>
      <c r="J373" s="467"/>
      <c r="K373" s="467"/>
      <c r="L373" s="467"/>
      <c r="M373" s="467"/>
      <c r="N373" s="467"/>
      <c r="O373" s="467"/>
      <c r="P373" s="467"/>
      <c r="Q373" s="467"/>
      <c r="R373" s="467"/>
      <c r="S373" s="467"/>
      <c r="T373" s="467"/>
      <c r="U373" s="468"/>
      <c r="V373" s="319"/>
      <c r="W373" s="319"/>
      <c r="X373" s="467"/>
      <c r="Y373" s="467"/>
      <c r="Z373" s="467"/>
      <c r="AA373" s="467"/>
      <c r="AB373" s="467"/>
    </row>
    <row r="374" spans="1:28" ht="15.75" customHeight="1">
      <c r="A374" s="467"/>
      <c r="B374" s="467"/>
      <c r="C374" s="467"/>
      <c r="D374" s="467"/>
      <c r="E374" s="467"/>
      <c r="F374" s="467"/>
      <c r="G374" s="467"/>
      <c r="H374" s="467"/>
      <c r="I374" s="467"/>
      <c r="J374" s="467"/>
      <c r="K374" s="467"/>
      <c r="L374" s="467"/>
      <c r="M374" s="467"/>
      <c r="N374" s="467"/>
      <c r="O374" s="467"/>
      <c r="P374" s="467"/>
      <c r="Q374" s="467"/>
      <c r="R374" s="467"/>
      <c r="S374" s="467"/>
      <c r="T374" s="467"/>
      <c r="U374" s="468"/>
      <c r="V374" s="319"/>
      <c r="W374" s="319"/>
      <c r="X374" s="467"/>
      <c r="Y374" s="467"/>
      <c r="Z374" s="467"/>
      <c r="AA374" s="467"/>
      <c r="AB374" s="467"/>
    </row>
    <row r="375" spans="1:28" ht="15.75" customHeight="1">
      <c r="A375" s="467"/>
      <c r="B375" s="467"/>
      <c r="C375" s="467"/>
      <c r="D375" s="467"/>
      <c r="E375" s="467"/>
      <c r="F375" s="467"/>
      <c r="G375" s="467"/>
      <c r="H375" s="467"/>
      <c r="I375" s="467"/>
      <c r="J375" s="467"/>
      <c r="K375" s="467"/>
      <c r="L375" s="467"/>
      <c r="M375" s="467"/>
      <c r="N375" s="467"/>
      <c r="O375" s="467"/>
      <c r="P375" s="467"/>
      <c r="Q375" s="467"/>
      <c r="R375" s="467"/>
      <c r="S375" s="467"/>
      <c r="T375" s="467"/>
      <c r="U375" s="468"/>
      <c r="V375" s="319"/>
      <c r="W375" s="319"/>
      <c r="X375" s="467"/>
      <c r="Y375" s="467"/>
      <c r="Z375" s="467"/>
      <c r="AA375" s="467"/>
      <c r="AB375" s="467"/>
    </row>
    <row r="376" spans="1:28" ht="15.75" customHeight="1">
      <c r="A376" s="467"/>
      <c r="B376" s="467"/>
      <c r="C376" s="467"/>
      <c r="D376" s="467"/>
      <c r="E376" s="467"/>
      <c r="F376" s="467"/>
      <c r="G376" s="467"/>
      <c r="H376" s="467"/>
      <c r="I376" s="467"/>
      <c r="J376" s="467"/>
      <c r="K376" s="467"/>
      <c r="L376" s="467"/>
      <c r="M376" s="467"/>
      <c r="N376" s="467"/>
      <c r="O376" s="467"/>
      <c r="P376" s="467"/>
      <c r="Q376" s="467"/>
      <c r="R376" s="467"/>
      <c r="S376" s="467"/>
      <c r="T376" s="467"/>
      <c r="U376" s="468"/>
      <c r="V376" s="319"/>
      <c r="W376" s="319"/>
      <c r="X376" s="467"/>
      <c r="Y376" s="467"/>
      <c r="Z376" s="467"/>
      <c r="AA376" s="467"/>
      <c r="AB376" s="467"/>
    </row>
    <row r="377" spans="1:28" ht="15.75" customHeight="1">
      <c r="A377" s="467"/>
      <c r="B377" s="467"/>
      <c r="C377" s="467"/>
      <c r="D377" s="467"/>
      <c r="E377" s="467"/>
      <c r="F377" s="467"/>
      <c r="G377" s="467"/>
      <c r="H377" s="467"/>
      <c r="I377" s="467"/>
      <c r="J377" s="467"/>
      <c r="K377" s="467"/>
      <c r="L377" s="467"/>
      <c r="M377" s="467"/>
      <c r="N377" s="467"/>
      <c r="O377" s="467"/>
      <c r="P377" s="467"/>
      <c r="Q377" s="467"/>
      <c r="R377" s="467"/>
      <c r="S377" s="467"/>
      <c r="T377" s="467"/>
      <c r="U377" s="468"/>
      <c r="V377" s="319"/>
      <c r="W377" s="319"/>
      <c r="X377" s="467"/>
      <c r="Y377" s="467"/>
      <c r="Z377" s="467"/>
      <c r="AA377" s="467"/>
      <c r="AB377" s="467"/>
    </row>
    <row r="378" spans="1:28" ht="15.75" customHeight="1">
      <c r="A378" s="467"/>
      <c r="B378" s="467"/>
      <c r="C378" s="467"/>
      <c r="D378" s="467"/>
      <c r="E378" s="467"/>
      <c r="F378" s="467"/>
      <c r="G378" s="467"/>
      <c r="H378" s="467"/>
      <c r="I378" s="467"/>
      <c r="J378" s="467"/>
      <c r="K378" s="467"/>
      <c r="L378" s="467"/>
      <c r="M378" s="467"/>
      <c r="N378" s="467"/>
      <c r="O378" s="467"/>
      <c r="P378" s="467"/>
      <c r="Q378" s="467"/>
      <c r="R378" s="467"/>
      <c r="S378" s="467"/>
      <c r="T378" s="467"/>
      <c r="U378" s="468"/>
      <c r="V378" s="319"/>
      <c r="W378" s="319"/>
      <c r="X378" s="467"/>
      <c r="Y378" s="467"/>
      <c r="Z378" s="467"/>
      <c r="AA378" s="467"/>
      <c r="AB378" s="467"/>
    </row>
    <row r="379" spans="1:28" ht="15.75" customHeight="1">
      <c r="A379" s="467"/>
      <c r="B379" s="467"/>
      <c r="C379" s="467"/>
      <c r="D379" s="467"/>
      <c r="E379" s="467"/>
      <c r="F379" s="467"/>
      <c r="G379" s="467"/>
      <c r="H379" s="467"/>
      <c r="I379" s="467"/>
      <c r="J379" s="467"/>
      <c r="K379" s="467"/>
      <c r="L379" s="467"/>
      <c r="M379" s="467"/>
      <c r="N379" s="467"/>
      <c r="O379" s="467"/>
      <c r="P379" s="467"/>
      <c r="Q379" s="467"/>
      <c r="R379" s="467"/>
      <c r="S379" s="467"/>
      <c r="T379" s="467"/>
      <c r="U379" s="468"/>
      <c r="V379" s="319"/>
      <c r="W379" s="319"/>
      <c r="X379" s="467"/>
      <c r="Y379" s="467"/>
      <c r="Z379" s="467"/>
      <c r="AA379" s="467"/>
      <c r="AB379" s="467"/>
    </row>
    <row r="380" spans="1:28" ht="15.75" customHeight="1">
      <c r="A380" s="467"/>
      <c r="B380" s="467"/>
      <c r="C380" s="467"/>
      <c r="D380" s="467"/>
      <c r="E380" s="467"/>
      <c r="F380" s="467"/>
      <c r="G380" s="467"/>
      <c r="H380" s="467"/>
      <c r="I380" s="467"/>
      <c r="J380" s="467"/>
      <c r="K380" s="467"/>
      <c r="L380" s="467"/>
      <c r="M380" s="467"/>
      <c r="N380" s="467"/>
      <c r="O380" s="467"/>
      <c r="P380" s="467"/>
      <c r="Q380" s="467"/>
      <c r="R380" s="467"/>
      <c r="S380" s="467"/>
      <c r="T380" s="467"/>
      <c r="U380" s="468"/>
      <c r="V380" s="319"/>
      <c r="W380" s="319"/>
      <c r="X380" s="467"/>
      <c r="Y380" s="467"/>
      <c r="Z380" s="467"/>
      <c r="AA380" s="467"/>
      <c r="AB380" s="467"/>
    </row>
    <row r="381" spans="1:28" ht="15.75" customHeight="1">
      <c r="A381" s="467"/>
      <c r="B381" s="467"/>
      <c r="C381" s="467"/>
      <c r="D381" s="467"/>
      <c r="E381" s="467"/>
      <c r="F381" s="467"/>
      <c r="G381" s="467"/>
      <c r="H381" s="467"/>
      <c r="I381" s="467"/>
      <c r="J381" s="467"/>
      <c r="K381" s="467"/>
      <c r="L381" s="467"/>
      <c r="M381" s="467"/>
      <c r="N381" s="467"/>
      <c r="O381" s="467"/>
      <c r="P381" s="467"/>
      <c r="Q381" s="467"/>
      <c r="R381" s="467"/>
      <c r="S381" s="467"/>
      <c r="T381" s="467"/>
      <c r="U381" s="468"/>
      <c r="V381" s="319"/>
      <c r="W381" s="319"/>
      <c r="X381" s="467"/>
      <c r="Y381" s="467"/>
      <c r="Z381" s="467"/>
      <c r="AA381" s="467"/>
      <c r="AB381" s="467"/>
    </row>
    <row r="382" spans="1:28" ht="15.75" customHeight="1">
      <c r="A382" s="467"/>
      <c r="B382" s="467"/>
      <c r="C382" s="467"/>
      <c r="D382" s="467"/>
      <c r="E382" s="467"/>
      <c r="F382" s="467"/>
      <c r="G382" s="467"/>
      <c r="H382" s="467"/>
      <c r="I382" s="467"/>
      <c r="J382" s="467"/>
      <c r="K382" s="467"/>
      <c r="L382" s="467"/>
      <c r="M382" s="467"/>
      <c r="N382" s="467"/>
      <c r="O382" s="467"/>
      <c r="P382" s="467"/>
      <c r="Q382" s="467"/>
      <c r="R382" s="467"/>
      <c r="S382" s="467"/>
      <c r="T382" s="467"/>
      <c r="U382" s="468"/>
      <c r="V382" s="319"/>
      <c r="W382" s="319"/>
      <c r="X382" s="467"/>
      <c r="Y382" s="467"/>
      <c r="Z382" s="467"/>
      <c r="AA382" s="467"/>
      <c r="AB382" s="467"/>
    </row>
    <row r="383" spans="1:28" ht="15.75" customHeight="1">
      <c r="A383" s="467"/>
      <c r="B383" s="467"/>
      <c r="C383" s="467"/>
      <c r="D383" s="467"/>
      <c r="E383" s="467"/>
      <c r="F383" s="467"/>
      <c r="G383" s="467"/>
      <c r="H383" s="467"/>
      <c r="I383" s="467"/>
      <c r="J383" s="467"/>
      <c r="K383" s="467"/>
      <c r="L383" s="467"/>
      <c r="M383" s="467"/>
      <c r="N383" s="467"/>
      <c r="O383" s="467"/>
      <c r="P383" s="467"/>
      <c r="Q383" s="467"/>
      <c r="R383" s="467"/>
      <c r="S383" s="467"/>
      <c r="T383" s="467"/>
      <c r="U383" s="468"/>
      <c r="V383" s="319"/>
      <c r="W383" s="319"/>
      <c r="X383" s="467"/>
      <c r="Y383" s="467"/>
      <c r="Z383" s="467"/>
      <c r="AA383" s="467"/>
      <c r="AB383" s="467"/>
    </row>
    <row r="384" spans="1:28" ht="15.75" customHeight="1">
      <c r="A384" s="467"/>
      <c r="B384" s="467"/>
      <c r="C384" s="467"/>
      <c r="D384" s="467"/>
      <c r="E384" s="467"/>
      <c r="F384" s="467"/>
      <c r="G384" s="467"/>
      <c r="H384" s="467"/>
      <c r="I384" s="467"/>
      <c r="J384" s="467"/>
      <c r="K384" s="467"/>
      <c r="L384" s="467"/>
      <c r="M384" s="467"/>
      <c r="N384" s="467"/>
      <c r="O384" s="467"/>
      <c r="P384" s="467"/>
      <c r="Q384" s="467"/>
      <c r="R384" s="467"/>
      <c r="S384" s="467"/>
      <c r="T384" s="467"/>
      <c r="U384" s="468"/>
      <c r="V384" s="319"/>
      <c r="W384" s="319"/>
      <c r="X384" s="467"/>
      <c r="Y384" s="467"/>
      <c r="Z384" s="467"/>
      <c r="AA384" s="467"/>
      <c r="AB384" s="467"/>
    </row>
    <row r="385" spans="1:28" ht="15.75" customHeight="1">
      <c r="A385" s="467"/>
      <c r="B385" s="467"/>
      <c r="C385" s="467"/>
      <c r="D385" s="467"/>
      <c r="E385" s="467"/>
      <c r="F385" s="467"/>
      <c r="G385" s="467"/>
      <c r="H385" s="467"/>
      <c r="I385" s="467"/>
      <c r="J385" s="467"/>
      <c r="K385" s="467"/>
      <c r="L385" s="467"/>
      <c r="M385" s="467"/>
      <c r="N385" s="467"/>
      <c r="O385" s="467"/>
      <c r="P385" s="467"/>
      <c r="Q385" s="467"/>
      <c r="R385" s="467"/>
      <c r="S385" s="467"/>
      <c r="T385" s="467"/>
      <c r="U385" s="468"/>
      <c r="V385" s="319"/>
      <c r="W385" s="319"/>
      <c r="X385" s="467"/>
      <c r="Y385" s="467"/>
      <c r="Z385" s="467"/>
      <c r="AA385" s="467"/>
      <c r="AB385" s="467"/>
    </row>
    <row r="386" spans="1:28" ht="15.75" customHeight="1">
      <c r="A386" s="467"/>
      <c r="B386" s="467"/>
      <c r="C386" s="467"/>
      <c r="D386" s="467"/>
      <c r="E386" s="467"/>
      <c r="F386" s="467"/>
      <c r="G386" s="467"/>
      <c r="H386" s="467"/>
      <c r="I386" s="467"/>
      <c r="J386" s="467"/>
      <c r="K386" s="467"/>
      <c r="L386" s="467"/>
      <c r="M386" s="467"/>
      <c r="N386" s="467"/>
      <c r="O386" s="467"/>
      <c r="P386" s="467"/>
      <c r="Q386" s="467"/>
      <c r="R386" s="467"/>
      <c r="S386" s="467"/>
      <c r="T386" s="467"/>
      <c r="U386" s="468"/>
      <c r="V386" s="319"/>
      <c r="W386" s="319"/>
      <c r="X386" s="467"/>
      <c r="Y386" s="467"/>
      <c r="Z386" s="467"/>
      <c r="AA386" s="467"/>
      <c r="AB386" s="467"/>
    </row>
    <row r="387" spans="1:28" ht="15.75" customHeight="1">
      <c r="A387" s="467"/>
      <c r="B387" s="467"/>
      <c r="C387" s="467"/>
      <c r="D387" s="467"/>
      <c r="E387" s="467"/>
      <c r="F387" s="467"/>
      <c r="G387" s="467"/>
      <c r="H387" s="467"/>
      <c r="I387" s="467"/>
      <c r="J387" s="467"/>
      <c r="K387" s="467"/>
      <c r="L387" s="467"/>
      <c r="M387" s="467"/>
      <c r="N387" s="467"/>
      <c r="O387" s="467"/>
      <c r="P387" s="467"/>
      <c r="Q387" s="467"/>
      <c r="R387" s="467"/>
      <c r="S387" s="467"/>
      <c r="T387" s="467"/>
      <c r="U387" s="468"/>
      <c r="V387" s="319"/>
      <c r="W387" s="319"/>
      <c r="X387" s="467"/>
      <c r="Y387" s="467"/>
      <c r="Z387" s="467"/>
      <c r="AA387" s="467"/>
      <c r="AB387" s="467"/>
    </row>
    <row r="388" spans="1:28" ht="15.75" customHeight="1">
      <c r="A388" s="467"/>
      <c r="B388" s="467"/>
      <c r="C388" s="467"/>
      <c r="D388" s="467"/>
      <c r="E388" s="467"/>
      <c r="F388" s="467"/>
      <c r="G388" s="467"/>
      <c r="H388" s="467"/>
      <c r="I388" s="467"/>
      <c r="J388" s="467"/>
      <c r="K388" s="467"/>
      <c r="L388" s="467"/>
      <c r="M388" s="467"/>
      <c r="N388" s="467"/>
      <c r="O388" s="467"/>
      <c r="P388" s="467"/>
      <c r="Q388" s="467"/>
      <c r="R388" s="467"/>
      <c r="S388" s="467"/>
      <c r="T388" s="467"/>
      <c r="U388" s="468"/>
      <c r="V388" s="319"/>
      <c r="W388" s="319"/>
      <c r="X388" s="467"/>
      <c r="Y388" s="467"/>
      <c r="Z388" s="467"/>
      <c r="AA388" s="467"/>
      <c r="AB388" s="467"/>
    </row>
    <row r="389" spans="1:28" ht="15.75" customHeight="1">
      <c r="A389" s="467"/>
      <c r="B389" s="467"/>
      <c r="C389" s="467"/>
      <c r="D389" s="467"/>
      <c r="E389" s="467"/>
      <c r="F389" s="467"/>
      <c r="G389" s="467"/>
      <c r="H389" s="467"/>
      <c r="I389" s="467"/>
      <c r="J389" s="467"/>
      <c r="K389" s="467"/>
      <c r="L389" s="467"/>
      <c r="M389" s="467"/>
      <c r="N389" s="467"/>
      <c r="O389" s="467"/>
      <c r="P389" s="467"/>
      <c r="Q389" s="467"/>
      <c r="R389" s="467"/>
      <c r="S389" s="467"/>
      <c r="T389" s="467"/>
      <c r="U389" s="468"/>
      <c r="V389" s="319"/>
      <c r="W389" s="319"/>
      <c r="X389" s="467"/>
      <c r="Y389" s="467"/>
      <c r="Z389" s="467"/>
      <c r="AA389" s="467"/>
      <c r="AB389" s="467"/>
    </row>
    <row r="390" spans="1:28" ht="15.75" customHeight="1">
      <c r="A390" s="467"/>
      <c r="B390" s="467"/>
      <c r="C390" s="467"/>
      <c r="D390" s="467"/>
      <c r="E390" s="467"/>
      <c r="F390" s="467"/>
      <c r="G390" s="467"/>
      <c r="H390" s="467"/>
      <c r="I390" s="467"/>
      <c r="J390" s="467"/>
      <c r="K390" s="467"/>
      <c r="L390" s="467"/>
      <c r="M390" s="467"/>
      <c r="N390" s="467"/>
      <c r="O390" s="467"/>
      <c r="P390" s="467"/>
      <c r="Q390" s="467"/>
      <c r="R390" s="467"/>
      <c r="S390" s="467"/>
      <c r="T390" s="467"/>
      <c r="U390" s="468"/>
      <c r="V390" s="319"/>
      <c r="W390" s="319"/>
      <c r="X390" s="467"/>
      <c r="Y390" s="467"/>
      <c r="Z390" s="467"/>
      <c r="AA390" s="467"/>
      <c r="AB390" s="467"/>
    </row>
    <row r="391" spans="1:28" ht="15.75" customHeight="1">
      <c r="A391" s="467"/>
      <c r="B391" s="467"/>
      <c r="C391" s="467"/>
      <c r="D391" s="467"/>
      <c r="E391" s="467"/>
      <c r="F391" s="467"/>
      <c r="G391" s="467"/>
      <c r="H391" s="467"/>
      <c r="I391" s="467"/>
      <c r="J391" s="467"/>
      <c r="K391" s="467"/>
      <c r="L391" s="467"/>
      <c r="M391" s="467"/>
      <c r="N391" s="467"/>
      <c r="O391" s="467"/>
      <c r="P391" s="467"/>
      <c r="Q391" s="467"/>
      <c r="R391" s="467"/>
      <c r="S391" s="467"/>
      <c r="T391" s="467"/>
      <c r="U391" s="468"/>
      <c r="V391" s="319"/>
      <c r="W391" s="319"/>
      <c r="X391" s="467"/>
      <c r="Y391" s="467"/>
      <c r="Z391" s="467"/>
      <c r="AA391" s="467"/>
      <c r="AB391" s="467"/>
    </row>
    <row r="392" spans="1:28" ht="15.75" customHeight="1">
      <c r="A392" s="467"/>
      <c r="B392" s="467"/>
      <c r="C392" s="467"/>
      <c r="D392" s="467"/>
      <c r="E392" s="467"/>
      <c r="F392" s="467"/>
      <c r="G392" s="467"/>
      <c r="H392" s="467"/>
      <c r="I392" s="467"/>
      <c r="J392" s="467"/>
      <c r="K392" s="467"/>
      <c r="L392" s="467"/>
      <c r="M392" s="467"/>
      <c r="N392" s="467"/>
      <c r="O392" s="467"/>
      <c r="P392" s="467"/>
      <c r="Q392" s="467"/>
      <c r="R392" s="467"/>
      <c r="S392" s="467"/>
      <c r="T392" s="467"/>
      <c r="U392" s="468"/>
      <c r="V392" s="319"/>
      <c r="W392" s="319"/>
      <c r="X392" s="467"/>
      <c r="Y392" s="467"/>
      <c r="Z392" s="467"/>
      <c r="AA392" s="467"/>
      <c r="AB392" s="467"/>
    </row>
    <row r="393" spans="1:28" ht="15.75" customHeight="1">
      <c r="A393" s="467"/>
      <c r="B393" s="467"/>
      <c r="C393" s="467"/>
      <c r="D393" s="467"/>
      <c r="E393" s="467"/>
      <c r="F393" s="467"/>
      <c r="G393" s="467"/>
      <c r="H393" s="467"/>
      <c r="I393" s="467"/>
      <c r="J393" s="467"/>
      <c r="K393" s="467"/>
      <c r="L393" s="467"/>
      <c r="M393" s="467"/>
      <c r="N393" s="467"/>
      <c r="O393" s="467"/>
      <c r="P393" s="467"/>
      <c r="Q393" s="467"/>
      <c r="R393" s="467"/>
      <c r="S393" s="467"/>
      <c r="T393" s="467"/>
      <c r="U393" s="468"/>
      <c r="V393" s="319"/>
      <c r="W393" s="319"/>
      <c r="X393" s="467"/>
      <c r="Y393" s="467"/>
      <c r="Z393" s="467"/>
      <c r="AA393" s="467"/>
      <c r="AB393" s="467"/>
    </row>
    <row r="394" spans="1:28" ht="15.75" customHeight="1">
      <c r="A394" s="467"/>
      <c r="B394" s="467"/>
      <c r="C394" s="467"/>
      <c r="D394" s="467"/>
      <c r="E394" s="467"/>
      <c r="F394" s="467"/>
      <c r="G394" s="467"/>
      <c r="H394" s="467"/>
      <c r="I394" s="467"/>
      <c r="J394" s="467"/>
      <c r="K394" s="467"/>
      <c r="L394" s="467"/>
      <c r="M394" s="467"/>
      <c r="N394" s="467"/>
      <c r="O394" s="467"/>
      <c r="P394" s="467"/>
      <c r="Q394" s="467"/>
      <c r="R394" s="467"/>
      <c r="S394" s="467"/>
      <c r="T394" s="467"/>
      <c r="U394" s="468"/>
      <c r="V394" s="319"/>
      <c r="W394" s="319"/>
      <c r="X394" s="467"/>
      <c r="Y394" s="467"/>
      <c r="Z394" s="467"/>
      <c r="AA394" s="467"/>
      <c r="AB394" s="467"/>
    </row>
    <row r="395" spans="1:28" ht="15.75" customHeight="1">
      <c r="A395" s="467"/>
      <c r="B395" s="467"/>
      <c r="C395" s="467"/>
      <c r="D395" s="467"/>
      <c r="E395" s="467"/>
      <c r="F395" s="467"/>
      <c r="G395" s="467"/>
      <c r="H395" s="467"/>
      <c r="I395" s="467"/>
      <c r="J395" s="467"/>
      <c r="K395" s="467"/>
      <c r="L395" s="467"/>
      <c r="M395" s="467"/>
      <c r="N395" s="467"/>
      <c r="O395" s="467"/>
      <c r="P395" s="467"/>
      <c r="Q395" s="467"/>
      <c r="R395" s="467"/>
      <c r="S395" s="467"/>
      <c r="T395" s="467"/>
      <c r="U395" s="468"/>
      <c r="V395" s="319"/>
      <c r="W395" s="319"/>
      <c r="X395" s="467"/>
      <c r="Y395" s="467"/>
      <c r="Z395" s="467"/>
      <c r="AA395" s="467"/>
      <c r="AB395" s="467"/>
    </row>
    <row r="396" spans="1:28" ht="15.75" customHeight="1">
      <c r="A396" s="467"/>
      <c r="B396" s="467"/>
      <c r="C396" s="467"/>
      <c r="D396" s="467"/>
      <c r="E396" s="467"/>
      <c r="F396" s="467"/>
      <c r="G396" s="467"/>
      <c r="H396" s="467"/>
      <c r="I396" s="467"/>
      <c r="J396" s="467"/>
      <c r="K396" s="467"/>
      <c r="L396" s="467"/>
      <c r="M396" s="467"/>
      <c r="N396" s="467"/>
      <c r="O396" s="467"/>
      <c r="P396" s="467"/>
      <c r="Q396" s="467"/>
      <c r="R396" s="467"/>
      <c r="S396" s="467"/>
      <c r="T396" s="467"/>
      <c r="U396" s="468"/>
      <c r="V396" s="319"/>
      <c r="W396" s="319"/>
      <c r="X396" s="467"/>
      <c r="Y396" s="467"/>
      <c r="Z396" s="467"/>
      <c r="AA396" s="467"/>
      <c r="AB396" s="467"/>
    </row>
    <row r="397" spans="1:28" ht="15.75" customHeight="1">
      <c r="A397" s="467"/>
      <c r="B397" s="467"/>
      <c r="C397" s="467"/>
      <c r="D397" s="467"/>
      <c r="E397" s="467"/>
      <c r="F397" s="467"/>
      <c r="G397" s="467"/>
      <c r="H397" s="467"/>
      <c r="I397" s="467"/>
      <c r="J397" s="467"/>
      <c r="K397" s="467"/>
      <c r="L397" s="467"/>
      <c r="M397" s="467"/>
      <c r="N397" s="467"/>
      <c r="O397" s="467"/>
      <c r="P397" s="467"/>
      <c r="Q397" s="467"/>
      <c r="R397" s="467"/>
      <c r="S397" s="467"/>
      <c r="T397" s="467"/>
      <c r="U397" s="468"/>
      <c r="V397" s="319"/>
      <c r="W397" s="319"/>
      <c r="X397" s="467"/>
      <c r="Y397" s="467"/>
      <c r="Z397" s="467"/>
      <c r="AA397" s="467"/>
      <c r="AB397" s="467"/>
    </row>
    <row r="398" spans="1:28" ht="15.75" customHeight="1">
      <c r="A398" s="467"/>
      <c r="B398" s="467"/>
      <c r="C398" s="467"/>
      <c r="D398" s="467"/>
      <c r="E398" s="467"/>
      <c r="F398" s="467"/>
      <c r="G398" s="467"/>
      <c r="H398" s="467"/>
      <c r="I398" s="467"/>
      <c r="J398" s="467"/>
      <c r="K398" s="467"/>
      <c r="L398" s="467"/>
      <c r="M398" s="467"/>
      <c r="N398" s="467"/>
      <c r="O398" s="467"/>
      <c r="P398" s="467"/>
      <c r="Q398" s="467"/>
      <c r="R398" s="467"/>
      <c r="S398" s="467"/>
      <c r="T398" s="467"/>
      <c r="U398" s="468"/>
      <c r="V398" s="319"/>
      <c r="W398" s="319"/>
      <c r="X398" s="467"/>
      <c r="Y398" s="467"/>
      <c r="Z398" s="467"/>
      <c r="AA398" s="467"/>
      <c r="AB398" s="467"/>
    </row>
    <row r="399" spans="1:28" ht="15.75" customHeight="1">
      <c r="A399" s="467"/>
      <c r="B399" s="467"/>
      <c r="C399" s="467"/>
      <c r="D399" s="467"/>
      <c r="E399" s="467"/>
      <c r="F399" s="467"/>
      <c r="G399" s="467"/>
      <c r="H399" s="467"/>
      <c r="I399" s="467"/>
      <c r="J399" s="467"/>
      <c r="K399" s="467"/>
      <c r="L399" s="467"/>
      <c r="M399" s="467"/>
      <c r="N399" s="467"/>
      <c r="O399" s="467"/>
      <c r="P399" s="467"/>
      <c r="Q399" s="467"/>
      <c r="R399" s="467"/>
      <c r="S399" s="467"/>
      <c r="T399" s="467"/>
      <c r="U399" s="468"/>
      <c r="V399" s="319"/>
      <c r="W399" s="319"/>
      <c r="X399" s="467"/>
      <c r="Y399" s="467"/>
      <c r="Z399" s="467"/>
      <c r="AA399" s="467"/>
      <c r="AB399" s="467"/>
    </row>
    <row r="400" spans="1:28" ht="15.75" customHeight="1">
      <c r="A400" s="467"/>
      <c r="B400" s="467"/>
      <c r="C400" s="467"/>
      <c r="D400" s="467"/>
      <c r="E400" s="467"/>
      <c r="F400" s="467"/>
      <c r="G400" s="467"/>
      <c r="H400" s="467"/>
      <c r="I400" s="467"/>
      <c r="J400" s="467"/>
      <c r="K400" s="467"/>
      <c r="L400" s="467"/>
      <c r="M400" s="467"/>
      <c r="N400" s="467"/>
      <c r="O400" s="467"/>
      <c r="P400" s="467"/>
      <c r="Q400" s="467"/>
      <c r="R400" s="467"/>
      <c r="S400" s="467"/>
      <c r="T400" s="467"/>
      <c r="U400" s="468"/>
      <c r="V400" s="319"/>
      <c r="W400" s="319"/>
      <c r="X400" s="467"/>
      <c r="Y400" s="467"/>
      <c r="Z400" s="467"/>
      <c r="AA400" s="467"/>
      <c r="AB400" s="467"/>
    </row>
    <row r="401" spans="1:28" ht="15.75" customHeight="1">
      <c r="A401" s="467"/>
      <c r="B401" s="467"/>
      <c r="C401" s="467"/>
      <c r="D401" s="467"/>
      <c r="E401" s="467"/>
      <c r="F401" s="467"/>
      <c r="G401" s="467"/>
      <c r="H401" s="467"/>
      <c r="I401" s="467"/>
      <c r="J401" s="467"/>
      <c r="K401" s="467"/>
      <c r="L401" s="467"/>
      <c r="M401" s="467"/>
      <c r="N401" s="467"/>
      <c r="O401" s="467"/>
      <c r="P401" s="467"/>
      <c r="Q401" s="467"/>
      <c r="R401" s="467"/>
      <c r="S401" s="467"/>
      <c r="T401" s="467"/>
      <c r="U401" s="468"/>
      <c r="V401" s="319"/>
      <c r="W401" s="319"/>
      <c r="X401" s="467"/>
      <c r="Y401" s="467"/>
      <c r="Z401" s="467"/>
      <c r="AA401" s="467"/>
      <c r="AB401" s="467"/>
    </row>
    <row r="402" spans="1:28" ht="15.75" customHeight="1">
      <c r="A402" s="467"/>
      <c r="B402" s="467"/>
      <c r="C402" s="467"/>
      <c r="D402" s="467"/>
      <c r="E402" s="467"/>
      <c r="F402" s="467"/>
      <c r="G402" s="467"/>
      <c r="H402" s="467"/>
      <c r="I402" s="467"/>
      <c r="J402" s="467"/>
      <c r="K402" s="467"/>
      <c r="L402" s="467"/>
      <c r="M402" s="467"/>
      <c r="N402" s="467"/>
      <c r="O402" s="467"/>
      <c r="P402" s="467"/>
      <c r="Q402" s="467"/>
      <c r="R402" s="467"/>
      <c r="S402" s="467"/>
      <c r="T402" s="467"/>
      <c r="U402" s="468"/>
      <c r="V402" s="319"/>
      <c r="W402" s="319"/>
      <c r="X402" s="467"/>
      <c r="Y402" s="467"/>
      <c r="Z402" s="467"/>
      <c r="AA402" s="467"/>
      <c r="AB402" s="467"/>
    </row>
    <row r="403" spans="1:28" ht="15.75" customHeight="1">
      <c r="A403" s="467"/>
      <c r="B403" s="467"/>
      <c r="C403" s="467"/>
      <c r="D403" s="467"/>
      <c r="E403" s="467"/>
      <c r="F403" s="467"/>
      <c r="G403" s="467"/>
      <c r="H403" s="467"/>
      <c r="I403" s="467"/>
      <c r="J403" s="467"/>
      <c r="K403" s="467"/>
      <c r="L403" s="467"/>
      <c r="M403" s="467"/>
      <c r="N403" s="467"/>
      <c r="O403" s="467"/>
      <c r="P403" s="467"/>
      <c r="Q403" s="467"/>
      <c r="R403" s="467"/>
      <c r="S403" s="467"/>
      <c r="T403" s="467"/>
      <c r="U403" s="468"/>
      <c r="V403" s="319"/>
      <c r="W403" s="319"/>
      <c r="X403" s="467"/>
      <c r="Y403" s="467"/>
      <c r="Z403" s="467"/>
      <c r="AA403" s="467"/>
      <c r="AB403" s="467"/>
    </row>
    <row r="404" spans="1:28" ht="15.75" customHeight="1">
      <c r="A404" s="467"/>
      <c r="B404" s="467"/>
      <c r="C404" s="467"/>
      <c r="D404" s="467"/>
      <c r="E404" s="467"/>
      <c r="F404" s="467"/>
      <c r="G404" s="467"/>
      <c r="H404" s="467"/>
      <c r="I404" s="467"/>
      <c r="J404" s="467"/>
      <c r="K404" s="467"/>
      <c r="L404" s="467"/>
      <c r="M404" s="467"/>
      <c r="N404" s="467"/>
      <c r="O404" s="467"/>
      <c r="P404" s="467"/>
      <c r="Q404" s="467"/>
      <c r="R404" s="467"/>
      <c r="S404" s="467"/>
      <c r="T404" s="467"/>
      <c r="U404" s="468"/>
      <c r="V404" s="319"/>
      <c r="W404" s="319"/>
      <c r="X404" s="467"/>
      <c r="Y404" s="467"/>
      <c r="Z404" s="467"/>
      <c r="AA404" s="467"/>
      <c r="AB404" s="467"/>
    </row>
    <row r="405" spans="1:28" ht="15.75" customHeight="1">
      <c r="A405" s="467"/>
      <c r="B405" s="467"/>
      <c r="C405" s="467"/>
      <c r="D405" s="467"/>
      <c r="E405" s="467"/>
      <c r="F405" s="467"/>
      <c r="G405" s="467"/>
      <c r="H405" s="467"/>
      <c r="I405" s="467"/>
      <c r="J405" s="467"/>
      <c r="K405" s="467"/>
      <c r="L405" s="467"/>
      <c r="M405" s="467"/>
      <c r="N405" s="467"/>
      <c r="O405" s="467"/>
      <c r="P405" s="467"/>
      <c r="Q405" s="467"/>
      <c r="R405" s="467"/>
      <c r="S405" s="467"/>
      <c r="T405" s="467"/>
      <c r="U405" s="468"/>
      <c r="V405" s="319"/>
      <c r="W405" s="319"/>
      <c r="X405" s="467"/>
      <c r="Y405" s="467"/>
      <c r="Z405" s="467"/>
      <c r="AA405" s="467"/>
      <c r="AB405" s="467"/>
    </row>
    <row r="406" spans="1:28" ht="15.75" customHeight="1">
      <c r="A406" s="467"/>
      <c r="B406" s="467"/>
      <c r="C406" s="467"/>
      <c r="D406" s="467"/>
      <c r="E406" s="467"/>
      <c r="F406" s="467"/>
      <c r="G406" s="467"/>
      <c r="H406" s="467"/>
      <c r="I406" s="467"/>
      <c r="J406" s="467"/>
      <c r="K406" s="467"/>
      <c r="L406" s="467"/>
      <c r="M406" s="467"/>
      <c r="N406" s="467"/>
      <c r="O406" s="467"/>
      <c r="P406" s="467"/>
      <c r="Q406" s="467"/>
      <c r="R406" s="467"/>
      <c r="S406" s="467"/>
      <c r="T406" s="467"/>
      <c r="U406" s="468"/>
      <c r="V406" s="319"/>
      <c r="W406" s="319"/>
      <c r="X406" s="467"/>
      <c r="Y406" s="467"/>
      <c r="Z406" s="467"/>
      <c r="AA406" s="467"/>
      <c r="AB406" s="467"/>
    </row>
    <row r="407" spans="1:28" ht="15.75" customHeight="1">
      <c r="A407" s="467"/>
      <c r="B407" s="467"/>
      <c r="C407" s="467"/>
      <c r="D407" s="467"/>
      <c r="E407" s="467"/>
      <c r="F407" s="467"/>
      <c r="G407" s="467"/>
      <c r="H407" s="467"/>
      <c r="I407" s="467"/>
      <c r="J407" s="467"/>
      <c r="K407" s="467"/>
      <c r="L407" s="467"/>
      <c r="M407" s="467"/>
      <c r="N407" s="467"/>
      <c r="O407" s="467"/>
      <c r="P407" s="467"/>
      <c r="Q407" s="467"/>
      <c r="R407" s="467"/>
      <c r="S407" s="467"/>
      <c r="T407" s="467"/>
      <c r="U407" s="468"/>
      <c r="V407" s="319"/>
      <c r="W407" s="319"/>
      <c r="X407" s="467"/>
      <c r="Y407" s="467"/>
      <c r="Z407" s="467"/>
      <c r="AA407" s="467"/>
      <c r="AB407" s="467"/>
    </row>
    <row r="408" spans="1:28" ht="15.75" customHeight="1">
      <c r="A408" s="467"/>
      <c r="B408" s="467"/>
      <c r="C408" s="467"/>
      <c r="D408" s="467"/>
      <c r="E408" s="467"/>
      <c r="F408" s="467"/>
      <c r="G408" s="467"/>
      <c r="H408" s="467"/>
      <c r="I408" s="467"/>
      <c r="J408" s="467"/>
      <c r="K408" s="467"/>
      <c r="L408" s="467"/>
      <c r="M408" s="467"/>
      <c r="N408" s="467"/>
      <c r="O408" s="467"/>
      <c r="P408" s="467"/>
      <c r="Q408" s="467"/>
      <c r="R408" s="467"/>
      <c r="S408" s="467"/>
      <c r="T408" s="467"/>
      <c r="U408" s="468"/>
      <c r="V408" s="319"/>
      <c r="W408" s="319"/>
      <c r="X408" s="467"/>
      <c r="Y408" s="467"/>
      <c r="Z408" s="467"/>
      <c r="AA408" s="467"/>
      <c r="AB408" s="467"/>
    </row>
    <row r="409" spans="1:28" ht="15.75" customHeight="1">
      <c r="A409" s="467"/>
      <c r="B409" s="467"/>
      <c r="C409" s="467"/>
      <c r="D409" s="467"/>
      <c r="E409" s="467"/>
      <c r="F409" s="467"/>
      <c r="G409" s="467"/>
      <c r="H409" s="467"/>
      <c r="I409" s="467"/>
      <c r="J409" s="467"/>
      <c r="K409" s="467"/>
      <c r="L409" s="467"/>
      <c r="M409" s="467"/>
      <c r="N409" s="467"/>
      <c r="O409" s="467"/>
      <c r="P409" s="467"/>
      <c r="Q409" s="467"/>
      <c r="R409" s="467"/>
      <c r="S409" s="467"/>
      <c r="T409" s="467"/>
      <c r="U409" s="468"/>
      <c r="V409" s="319"/>
      <c r="W409" s="319"/>
      <c r="X409" s="467"/>
      <c r="Y409" s="467"/>
      <c r="Z409" s="467"/>
      <c r="AA409" s="467"/>
      <c r="AB409" s="467"/>
    </row>
    <row r="410" spans="1:28" ht="15.75" customHeight="1">
      <c r="A410" s="467"/>
      <c r="B410" s="467"/>
      <c r="C410" s="467"/>
      <c r="D410" s="467"/>
      <c r="E410" s="467"/>
      <c r="F410" s="467"/>
      <c r="G410" s="467"/>
      <c r="H410" s="467"/>
      <c r="I410" s="467"/>
      <c r="J410" s="467"/>
      <c r="K410" s="467"/>
      <c r="L410" s="467"/>
      <c r="M410" s="467"/>
      <c r="N410" s="467"/>
      <c r="O410" s="467"/>
      <c r="P410" s="467"/>
      <c r="Q410" s="467"/>
      <c r="R410" s="467"/>
      <c r="S410" s="467"/>
      <c r="T410" s="467"/>
      <c r="U410" s="468"/>
      <c r="V410" s="319"/>
      <c r="W410" s="319"/>
      <c r="X410" s="467"/>
      <c r="Y410" s="467"/>
      <c r="Z410" s="467"/>
      <c r="AA410" s="467"/>
      <c r="AB410" s="467"/>
    </row>
    <row r="411" spans="1:28" ht="15.75" customHeight="1">
      <c r="A411" s="467"/>
      <c r="B411" s="467"/>
      <c r="C411" s="467"/>
      <c r="D411" s="467"/>
      <c r="E411" s="467"/>
      <c r="F411" s="467"/>
      <c r="G411" s="467"/>
      <c r="H411" s="467"/>
      <c r="I411" s="467"/>
      <c r="J411" s="467"/>
      <c r="K411" s="467"/>
      <c r="L411" s="467"/>
      <c r="M411" s="467"/>
      <c r="N411" s="467"/>
      <c r="O411" s="467"/>
      <c r="P411" s="467"/>
      <c r="Q411" s="467"/>
      <c r="R411" s="467"/>
      <c r="S411" s="467"/>
      <c r="T411" s="467"/>
      <c r="U411" s="468"/>
      <c r="V411" s="319"/>
      <c r="W411" s="319"/>
      <c r="X411" s="467"/>
      <c r="Y411" s="467"/>
      <c r="Z411" s="467"/>
      <c r="AA411" s="467"/>
      <c r="AB411" s="467"/>
    </row>
    <row r="412" spans="1:28" ht="15.75" customHeight="1">
      <c r="A412" s="467"/>
      <c r="B412" s="467"/>
      <c r="C412" s="467"/>
      <c r="D412" s="467"/>
      <c r="E412" s="467"/>
      <c r="F412" s="467"/>
      <c r="G412" s="467"/>
      <c r="H412" s="467"/>
      <c r="I412" s="467"/>
      <c r="J412" s="467"/>
      <c r="K412" s="467"/>
      <c r="L412" s="467"/>
      <c r="M412" s="467"/>
      <c r="N412" s="467"/>
      <c r="O412" s="467"/>
      <c r="P412" s="467"/>
      <c r="Q412" s="467"/>
      <c r="R412" s="467"/>
      <c r="S412" s="467"/>
      <c r="T412" s="467"/>
      <c r="U412" s="468"/>
      <c r="V412" s="319"/>
      <c r="W412" s="319"/>
      <c r="X412" s="467"/>
      <c r="Y412" s="467"/>
      <c r="Z412" s="467"/>
      <c r="AA412" s="467"/>
      <c r="AB412" s="467"/>
    </row>
    <row r="413" spans="1:28" ht="15.75" customHeight="1">
      <c r="A413" s="467"/>
      <c r="B413" s="467"/>
      <c r="C413" s="467"/>
      <c r="D413" s="467"/>
      <c r="E413" s="467"/>
      <c r="F413" s="467"/>
      <c r="G413" s="467"/>
      <c r="H413" s="467"/>
      <c r="I413" s="467"/>
      <c r="J413" s="467"/>
      <c r="K413" s="467"/>
      <c r="L413" s="467"/>
      <c r="M413" s="467"/>
      <c r="N413" s="467"/>
      <c r="O413" s="467"/>
      <c r="P413" s="467"/>
      <c r="Q413" s="467"/>
      <c r="R413" s="467"/>
      <c r="S413" s="467"/>
      <c r="T413" s="467"/>
      <c r="U413" s="468"/>
      <c r="V413" s="319"/>
      <c r="W413" s="319"/>
      <c r="X413" s="467"/>
      <c r="Y413" s="467"/>
      <c r="Z413" s="467"/>
      <c r="AA413" s="467"/>
      <c r="AB413" s="467"/>
    </row>
    <row r="414" spans="1:28" ht="15.75" customHeight="1">
      <c r="A414" s="467"/>
      <c r="B414" s="467"/>
      <c r="C414" s="467"/>
      <c r="D414" s="467"/>
      <c r="E414" s="467"/>
      <c r="F414" s="467"/>
      <c r="G414" s="467"/>
      <c r="H414" s="467"/>
      <c r="I414" s="467"/>
      <c r="J414" s="467"/>
      <c r="K414" s="467"/>
      <c r="L414" s="467"/>
      <c r="M414" s="467"/>
      <c r="N414" s="467"/>
      <c r="O414" s="467"/>
      <c r="P414" s="467"/>
      <c r="Q414" s="467"/>
      <c r="R414" s="467"/>
      <c r="S414" s="467"/>
      <c r="T414" s="467"/>
      <c r="U414" s="468"/>
      <c r="V414" s="319"/>
      <c r="W414" s="319"/>
      <c r="X414" s="467"/>
      <c r="Y414" s="467"/>
      <c r="Z414" s="467"/>
      <c r="AA414" s="467"/>
      <c r="AB414" s="467"/>
    </row>
    <row r="415" spans="1:28" ht="15.75" customHeight="1">
      <c r="A415" s="467"/>
      <c r="B415" s="467"/>
      <c r="C415" s="467"/>
      <c r="D415" s="467"/>
      <c r="E415" s="467"/>
      <c r="F415" s="467"/>
      <c r="G415" s="467"/>
      <c r="H415" s="467"/>
      <c r="I415" s="467"/>
      <c r="J415" s="467"/>
      <c r="K415" s="467"/>
      <c r="L415" s="467"/>
      <c r="M415" s="467"/>
      <c r="N415" s="467"/>
      <c r="O415" s="467"/>
      <c r="P415" s="467"/>
      <c r="Q415" s="467"/>
      <c r="R415" s="467"/>
      <c r="S415" s="467"/>
      <c r="T415" s="467"/>
      <c r="U415" s="468"/>
      <c r="V415" s="319"/>
      <c r="W415" s="319"/>
      <c r="X415" s="467"/>
      <c r="Y415" s="467"/>
      <c r="Z415" s="467"/>
      <c r="AA415" s="467"/>
      <c r="AB415" s="467"/>
    </row>
    <row r="416" spans="1:28" ht="15.75" customHeight="1">
      <c r="A416" s="467"/>
      <c r="B416" s="467"/>
      <c r="C416" s="467"/>
      <c r="D416" s="467"/>
      <c r="E416" s="467"/>
      <c r="F416" s="467"/>
      <c r="G416" s="467"/>
      <c r="H416" s="467"/>
      <c r="I416" s="467"/>
      <c r="J416" s="467"/>
      <c r="K416" s="467"/>
      <c r="L416" s="467"/>
      <c r="M416" s="467"/>
      <c r="N416" s="467"/>
      <c r="O416" s="467"/>
      <c r="P416" s="467"/>
      <c r="Q416" s="467"/>
      <c r="R416" s="467"/>
      <c r="S416" s="467"/>
      <c r="T416" s="467"/>
      <c r="U416" s="468"/>
      <c r="V416" s="319"/>
      <c r="W416" s="319"/>
      <c r="X416" s="467"/>
      <c r="Y416" s="467"/>
      <c r="Z416" s="467"/>
      <c r="AA416" s="467"/>
      <c r="AB416" s="467"/>
    </row>
    <row r="417" spans="1:28" ht="15.75" customHeight="1">
      <c r="A417" s="467"/>
      <c r="B417" s="467"/>
      <c r="C417" s="467"/>
      <c r="D417" s="467"/>
      <c r="E417" s="467"/>
      <c r="F417" s="467"/>
      <c r="G417" s="467"/>
      <c r="H417" s="467"/>
      <c r="I417" s="467"/>
      <c r="J417" s="467"/>
      <c r="K417" s="467"/>
      <c r="L417" s="467"/>
      <c r="M417" s="467"/>
      <c r="N417" s="467"/>
      <c r="O417" s="467"/>
      <c r="P417" s="467"/>
      <c r="Q417" s="467"/>
      <c r="R417" s="467"/>
      <c r="S417" s="467"/>
      <c r="T417" s="467"/>
      <c r="U417" s="468"/>
      <c r="V417" s="319"/>
      <c r="W417" s="319"/>
      <c r="X417" s="467"/>
      <c r="Y417" s="467"/>
      <c r="Z417" s="467"/>
      <c r="AA417" s="467"/>
      <c r="AB417" s="467"/>
    </row>
    <row r="418" spans="1:28" ht="15.75" customHeight="1">
      <c r="A418" s="467"/>
      <c r="B418" s="467"/>
      <c r="C418" s="467"/>
      <c r="D418" s="467"/>
      <c r="E418" s="467"/>
      <c r="F418" s="467"/>
      <c r="G418" s="467"/>
      <c r="H418" s="467"/>
      <c r="I418" s="467"/>
      <c r="J418" s="467"/>
      <c r="K418" s="467"/>
      <c r="L418" s="467"/>
      <c r="M418" s="467"/>
      <c r="N418" s="467"/>
      <c r="O418" s="467"/>
      <c r="P418" s="467"/>
      <c r="Q418" s="467"/>
      <c r="R418" s="467"/>
      <c r="S418" s="467"/>
      <c r="T418" s="467"/>
      <c r="U418" s="468"/>
      <c r="V418" s="319"/>
      <c r="W418" s="319"/>
      <c r="X418" s="467"/>
      <c r="Y418" s="467"/>
      <c r="Z418" s="467"/>
      <c r="AA418" s="467"/>
      <c r="AB418" s="467"/>
    </row>
    <row r="419" spans="1:28" ht="15.75" customHeight="1">
      <c r="A419" s="467"/>
      <c r="B419" s="467"/>
      <c r="C419" s="467"/>
      <c r="D419" s="467"/>
      <c r="E419" s="467"/>
      <c r="F419" s="467"/>
      <c r="G419" s="467"/>
      <c r="H419" s="467"/>
      <c r="I419" s="467"/>
      <c r="J419" s="467"/>
      <c r="K419" s="467"/>
      <c r="L419" s="467"/>
      <c r="M419" s="467"/>
      <c r="N419" s="467"/>
      <c r="O419" s="467"/>
      <c r="P419" s="467"/>
      <c r="Q419" s="467"/>
      <c r="R419" s="467"/>
      <c r="S419" s="467"/>
      <c r="T419" s="467"/>
      <c r="U419" s="468"/>
      <c r="V419" s="319"/>
      <c r="W419" s="319"/>
      <c r="X419" s="467"/>
      <c r="Y419" s="467"/>
      <c r="Z419" s="467"/>
      <c r="AA419" s="467"/>
      <c r="AB419" s="467"/>
    </row>
    <row r="420" spans="1:28" ht="15.75" customHeight="1">
      <c r="A420" s="467"/>
      <c r="B420" s="467"/>
      <c r="C420" s="467"/>
      <c r="D420" s="467"/>
      <c r="E420" s="467"/>
      <c r="F420" s="467"/>
      <c r="G420" s="467"/>
      <c r="H420" s="467"/>
      <c r="I420" s="467"/>
      <c r="J420" s="467"/>
      <c r="K420" s="467"/>
      <c r="L420" s="467"/>
      <c r="M420" s="467"/>
      <c r="N420" s="467"/>
      <c r="O420" s="467"/>
      <c r="P420" s="467"/>
      <c r="Q420" s="467"/>
      <c r="R420" s="467"/>
      <c r="S420" s="467"/>
      <c r="T420" s="467"/>
      <c r="U420" s="468"/>
      <c r="V420" s="319"/>
      <c r="W420" s="319"/>
      <c r="X420" s="467"/>
      <c r="Y420" s="467"/>
      <c r="Z420" s="467"/>
      <c r="AA420" s="467"/>
      <c r="AB420" s="467"/>
    </row>
    <row r="421" spans="1:28" ht="15.75" customHeight="1">
      <c r="A421" s="467"/>
      <c r="B421" s="467"/>
      <c r="C421" s="467"/>
      <c r="D421" s="467"/>
      <c r="E421" s="467"/>
      <c r="F421" s="467"/>
      <c r="G421" s="467"/>
      <c r="H421" s="467"/>
      <c r="I421" s="467"/>
      <c r="J421" s="467"/>
      <c r="K421" s="467"/>
      <c r="L421" s="467"/>
      <c r="M421" s="467"/>
      <c r="N421" s="467"/>
      <c r="O421" s="467"/>
      <c r="P421" s="467"/>
      <c r="Q421" s="467"/>
      <c r="R421" s="467"/>
      <c r="S421" s="467"/>
      <c r="T421" s="467"/>
      <c r="U421" s="468"/>
      <c r="V421" s="319"/>
      <c r="W421" s="319"/>
      <c r="X421" s="467"/>
      <c r="Y421" s="467"/>
      <c r="Z421" s="467"/>
      <c r="AA421" s="467"/>
      <c r="AB421" s="467"/>
    </row>
    <row r="422" spans="1:28" ht="15.75" customHeight="1">
      <c r="A422" s="467"/>
      <c r="B422" s="467"/>
      <c r="C422" s="467"/>
      <c r="D422" s="467"/>
      <c r="E422" s="467"/>
      <c r="F422" s="467"/>
      <c r="G422" s="467"/>
      <c r="H422" s="467"/>
      <c r="I422" s="467"/>
      <c r="J422" s="467"/>
      <c r="K422" s="467"/>
      <c r="L422" s="467"/>
      <c r="M422" s="467"/>
      <c r="N422" s="467"/>
      <c r="O422" s="467"/>
      <c r="P422" s="467"/>
      <c r="Q422" s="467"/>
      <c r="R422" s="467"/>
      <c r="S422" s="467"/>
      <c r="T422" s="467"/>
      <c r="U422" s="468"/>
      <c r="V422" s="319"/>
      <c r="W422" s="319"/>
      <c r="X422" s="467"/>
      <c r="Y422" s="467"/>
      <c r="Z422" s="467"/>
      <c r="AA422" s="467"/>
      <c r="AB422" s="467"/>
    </row>
    <row r="423" spans="1:28" ht="15.75" customHeight="1">
      <c r="A423" s="467"/>
      <c r="B423" s="467"/>
      <c r="C423" s="467"/>
      <c r="D423" s="467"/>
      <c r="E423" s="467"/>
      <c r="F423" s="467"/>
      <c r="G423" s="467"/>
      <c r="H423" s="467"/>
      <c r="I423" s="467"/>
      <c r="J423" s="467"/>
      <c r="K423" s="467"/>
      <c r="L423" s="467"/>
      <c r="M423" s="467"/>
      <c r="N423" s="467"/>
      <c r="O423" s="467"/>
      <c r="P423" s="467"/>
      <c r="Q423" s="467"/>
      <c r="R423" s="467"/>
      <c r="S423" s="467"/>
      <c r="T423" s="467"/>
      <c r="U423" s="468"/>
      <c r="V423" s="319"/>
      <c r="W423" s="319"/>
      <c r="X423" s="467"/>
      <c r="Y423" s="467"/>
      <c r="Z423" s="467"/>
      <c r="AA423" s="467"/>
      <c r="AB423" s="467"/>
    </row>
    <row r="424" spans="1:28" ht="15.75" customHeight="1">
      <c r="A424" s="467"/>
      <c r="B424" s="467"/>
      <c r="C424" s="467"/>
      <c r="D424" s="467"/>
      <c r="E424" s="467"/>
      <c r="F424" s="467"/>
      <c r="G424" s="467"/>
      <c r="H424" s="467"/>
      <c r="I424" s="467"/>
      <c r="J424" s="467"/>
      <c r="K424" s="467"/>
      <c r="L424" s="467"/>
      <c r="M424" s="467"/>
      <c r="N424" s="467"/>
      <c r="O424" s="467"/>
      <c r="P424" s="467"/>
      <c r="Q424" s="467"/>
      <c r="R424" s="467"/>
      <c r="S424" s="467"/>
      <c r="T424" s="467"/>
      <c r="U424" s="468"/>
      <c r="V424" s="319"/>
      <c r="W424" s="319"/>
      <c r="X424" s="467"/>
      <c r="Y424" s="467"/>
      <c r="Z424" s="467"/>
      <c r="AA424" s="467"/>
      <c r="AB424" s="467"/>
    </row>
    <row r="425" spans="1:28" ht="15.75" customHeight="1">
      <c r="A425" s="467"/>
      <c r="B425" s="467"/>
      <c r="C425" s="467"/>
      <c r="D425" s="467"/>
      <c r="E425" s="467"/>
      <c r="F425" s="467"/>
      <c r="G425" s="467"/>
      <c r="H425" s="467"/>
      <c r="I425" s="467"/>
      <c r="J425" s="467"/>
      <c r="K425" s="467"/>
      <c r="L425" s="467"/>
      <c r="M425" s="467"/>
      <c r="N425" s="467"/>
      <c r="O425" s="467"/>
      <c r="P425" s="467"/>
      <c r="Q425" s="467"/>
      <c r="R425" s="467"/>
      <c r="S425" s="467"/>
      <c r="T425" s="467"/>
      <c r="U425" s="468"/>
      <c r="V425" s="319"/>
      <c r="W425" s="319"/>
      <c r="X425" s="467"/>
      <c r="Y425" s="467"/>
      <c r="Z425" s="467"/>
      <c r="AA425" s="467"/>
      <c r="AB425" s="467"/>
    </row>
    <row r="426" spans="1:28" ht="15.75" customHeight="1">
      <c r="A426" s="467"/>
      <c r="B426" s="467"/>
      <c r="C426" s="467"/>
      <c r="D426" s="467"/>
      <c r="E426" s="467"/>
      <c r="F426" s="467"/>
      <c r="G426" s="467"/>
      <c r="H426" s="467"/>
      <c r="I426" s="467"/>
      <c r="J426" s="467"/>
      <c r="K426" s="467"/>
      <c r="L426" s="467"/>
      <c r="M426" s="467"/>
      <c r="N426" s="467"/>
      <c r="O426" s="467"/>
      <c r="P426" s="467"/>
      <c r="Q426" s="467"/>
      <c r="R426" s="467"/>
      <c r="S426" s="467"/>
      <c r="T426" s="467"/>
      <c r="U426" s="468"/>
      <c r="V426" s="319"/>
      <c r="W426" s="319"/>
      <c r="X426" s="467"/>
      <c r="Y426" s="467"/>
      <c r="Z426" s="467"/>
      <c r="AA426" s="467"/>
      <c r="AB426" s="467"/>
    </row>
    <row r="427" spans="1:28" ht="15.75" customHeight="1">
      <c r="A427" s="467"/>
      <c r="B427" s="467"/>
      <c r="C427" s="467"/>
      <c r="D427" s="467"/>
      <c r="E427" s="467"/>
      <c r="F427" s="467"/>
      <c r="G427" s="467"/>
      <c r="H427" s="467"/>
      <c r="I427" s="467"/>
      <c r="J427" s="467"/>
      <c r="K427" s="467"/>
      <c r="L427" s="467"/>
      <c r="M427" s="467"/>
      <c r="N427" s="467"/>
      <c r="O427" s="467"/>
      <c r="P427" s="467"/>
      <c r="Q427" s="467"/>
      <c r="R427" s="467"/>
      <c r="S427" s="467"/>
      <c r="T427" s="467"/>
      <c r="U427" s="468"/>
      <c r="V427" s="319"/>
      <c r="W427" s="319"/>
      <c r="X427" s="467"/>
      <c r="Y427" s="467"/>
      <c r="Z427" s="467"/>
      <c r="AA427" s="467"/>
      <c r="AB427" s="467"/>
    </row>
    <row r="428" spans="1:28" ht="15.75" customHeight="1">
      <c r="A428" s="467"/>
      <c r="B428" s="467"/>
      <c r="C428" s="467"/>
      <c r="D428" s="467"/>
      <c r="E428" s="467"/>
      <c r="F428" s="467"/>
      <c r="G428" s="467"/>
      <c r="H428" s="467"/>
      <c r="I428" s="467"/>
      <c r="J428" s="467"/>
      <c r="K428" s="467"/>
      <c r="L428" s="467"/>
      <c r="M428" s="467"/>
      <c r="N428" s="467"/>
      <c r="O428" s="467"/>
      <c r="P428" s="467"/>
      <c r="Q428" s="467"/>
      <c r="R428" s="467"/>
      <c r="S428" s="467"/>
      <c r="T428" s="467"/>
      <c r="U428" s="468"/>
      <c r="V428" s="319"/>
      <c r="W428" s="319"/>
      <c r="X428" s="467"/>
      <c r="Y428" s="467"/>
      <c r="Z428" s="467"/>
      <c r="AA428" s="467"/>
      <c r="AB428" s="467"/>
    </row>
    <row r="429" spans="1:28" ht="15.75" customHeight="1">
      <c r="A429" s="467"/>
      <c r="B429" s="467"/>
      <c r="C429" s="467"/>
      <c r="D429" s="467"/>
      <c r="E429" s="467"/>
      <c r="F429" s="467"/>
      <c r="G429" s="467"/>
      <c r="H429" s="467"/>
      <c r="I429" s="467"/>
      <c r="J429" s="467"/>
      <c r="K429" s="467"/>
      <c r="L429" s="467"/>
      <c r="M429" s="467"/>
      <c r="N429" s="467"/>
      <c r="O429" s="467"/>
      <c r="P429" s="467"/>
      <c r="Q429" s="467"/>
      <c r="R429" s="467"/>
      <c r="S429" s="467"/>
      <c r="T429" s="467"/>
      <c r="U429" s="468"/>
      <c r="V429" s="319"/>
      <c r="W429" s="319"/>
      <c r="X429" s="467"/>
      <c r="Y429" s="467"/>
      <c r="Z429" s="467"/>
      <c r="AA429" s="467"/>
      <c r="AB429" s="467"/>
    </row>
    <row r="430" spans="1:28" ht="15.75" customHeight="1">
      <c r="A430" s="467"/>
      <c r="B430" s="467"/>
      <c r="C430" s="467"/>
      <c r="D430" s="467"/>
      <c r="E430" s="467"/>
      <c r="F430" s="467"/>
      <c r="G430" s="467"/>
      <c r="H430" s="467"/>
      <c r="I430" s="467"/>
      <c r="J430" s="467"/>
      <c r="K430" s="467"/>
      <c r="L430" s="467"/>
      <c r="M430" s="467"/>
      <c r="N430" s="467"/>
      <c r="O430" s="467"/>
      <c r="P430" s="467"/>
      <c r="Q430" s="467"/>
      <c r="R430" s="467"/>
      <c r="S430" s="467"/>
      <c r="T430" s="467"/>
      <c r="U430" s="468"/>
      <c r="V430" s="319"/>
      <c r="W430" s="319"/>
      <c r="X430" s="467"/>
      <c r="Y430" s="467"/>
      <c r="Z430" s="467"/>
      <c r="AA430" s="467"/>
      <c r="AB430" s="467"/>
    </row>
    <row r="431" spans="1:28" ht="15.75" customHeight="1">
      <c r="A431" s="467"/>
      <c r="B431" s="467"/>
      <c r="C431" s="467"/>
      <c r="D431" s="467"/>
      <c r="E431" s="467"/>
      <c r="F431" s="467"/>
      <c r="G431" s="467"/>
      <c r="H431" s="467"/>
      <c r="I431" s="467"/>
      <c r="J431" s="467"/>
      <c r="K431" s="467"/>
      <c r="L431" s="467"/>
      <c r="M431" s="467"/>
      <c r="N431" s="467"/>
      <c r="O431" s="467"/>
      <c r="P431" s="467"/>
      <c r="Q431" s="467"/>
      <c r="R431" s="467"/>
      <c r="S431" s="467"/>
      <c r="T431" s="467"/>
      <c r="U431" s="468"/>
      <c r="V431" s="319"/>
      <c r="W431" s="319"/>
      <c r="X431" s="467"/>
      <c r="Y431" s="467"/>
      <c r="Z431" s="467"/>
      <c r="AA431" s="467"/>
      <c r="AB431" s="467"/>
    </row>
    <row r="432" spans="1:28" ht="15.75" customHeight="1">
      <c r="A432" s="467"/>
      <c r="B432" s="467"/>
      <c r="C432" s="467"/>
      <c r="D432" s="467"/>
      <c r="E432" s="467"/>
      <c r="F432" s="467"/>
      <c r="G432" s="467"/>
      <c r="H432" s="467"/>
      <c r="I432" s="467"/>
      <c r="J432" s="467"/>
      <c r="K432" s="467"/>
      <c r="L432" s="467"/>
      <c r="M432" s="467"/>
      <c r="N432" s="467"/>
      <c r="O432" s="467"/>
      <c r="P432" s="467"/>
      <c r="Q432" s="467"/>
      <c r="R432" s="467"/>
      <c r="S432" s="467"/>
      <c r="T432" s="467"/>
      <c r="U432" s="468"/>
      <c r="V432" s="319"/>
      <c r="W432" s="319"/>
      <c r="X432" s="467"/>
      <c r="Y432" s="467"/>
      <c r="Z432" s="467"/>
      <c r="AA432" s="467"/>
      <c r="AB432" s="467"/>
    </row>
    <row r="433" spans="1:28" ht="15.75" customHeight="1">
      <c r="A433" s="467"/>
      <c r="B433" s="467"/>
      <c r="C433" s="467"/>
      <c r="D433" s="467"/>
      <c r="E433" s="467"/>
      <c r="F433" s="467"/>
      <c r="G433" s="467"/>
      <c r="H433" s="467"/>
      <c r="I433" s="467"/>
      <c r="J433" s="467"/>
      <c r="K433" s="467"/>
      <c r="L433" s="467"/>
      <c r="M433" s="467"/>
      <c r="N433" s="467"/>
      <c r="O433" s="467"/>
      <c r="P433" s="467"/>
      <c r="Q433" s="467"/>
      <c r="R433" s="467"/>
      <c r="S433" s="467"/>
      <c r="T433" s="467"/>
      <c r="U433" s="468"/>
      <c r="V433" s="319"/>
      <c r="W433" s="319"/>
      <c r="X433" s="467"/>
      <c r="Y433" s="467"/>
      <c r="Z433" s="467"/>
      <c r="AA433" s="467"/>
      <c r="AB433" s="467"/>
    </row>
    <row r="434" spans="1:28" ht="15.75" customHeight="1">
      <c r="A434" s="467"/>
      <c r="B434" s="467"/>
      <c r="C434" s="467"/>
      <c r="D434" s="467"/>
      <c r="E434" s="467"/>
      <c r="F434" s="467"/>
      <c r="G434" s="467"/>
      <c r="H434" s="467"/>
      <c r="I434" s="467"/>
      <c r="J434" s="467"/>
      <c r="K434" s="467"/>
      <c r="L434" s="467"/>
      <c r="M434" s="467"/>
      <c r="N434" s="467"/>
      <c r="O434" s="467"/>
      <c r="P434" s="467"/>
      <c r="Q434" s="467"/>
      <c r="R434" s="467"/>
      <c r="S434" s="467"/>
      <c r="T434" s="467"/>
      <c r="U434" s="468"/>
      <c r="V434" s="319"/>
      <c r="W434" s="319"/>
      <c r="X434" s="467"/>
      <c r="Y434" s="467"/>
      <c r="Z434" s="467"/>
      <c r="AA434" s="467"/>
      <c r="AB434" s="467"/>
    </row>
    <row r="435" spans="1:28" ht="15.75" customHeight="1">
      <c r="A435" s="467"/>
      <c r="B435" s="467"/>
      <c r="C435" s="467"/>
      <c r="D435" s="467"/>
      <c r="E435" s="467"/>
      <c r="F435" s="467"/>
      <c r="G435" s="467"/>
      <c r="H435" s="467"/>
      <c r="I435" s="467"/>
      <c r="J435" s="467"/>
      <c r="K435" s="467"/>
      <c r="L435" s="467"/>
      <c r="M435" s="467"/>
      <c r="N435" s="467"/>
      <c r="O435" s="467"/>
      <c r="P435" s="467"/>
      <c r="Q435" s="467"/>
      <c r="R435" s="467"/>
      <c r="S435" s="467"/>
      <c r="T435" s="467"/>
      <c r="U435" s="468"/>
      <c r="V435" s="319"/>
      <c r="W435" s="319"/>
      <c r="X435" s="467"/>
      <c r="Y435" s="467"/>
      <c r="Z435" s="467"/>
      <c r="AA435" s="467"/>
      <c r="AB435" s="467"/>
    </row>
    <row r="436" spans="1:28" ht="15.75" customHeight="1">
      <c r="A436" s="467"/>
      <c r="B436" s="467"/>
      <c r="C436" s="467"/>
      <c r="D436" s="467"/>
      <c r="E436" s="467"/>
      <c r="F436" s="467"/>
      <c r="G436" s="467"/>
      <c r="H436" s="467"/>
      <c r="I436" s="467"/>
      <c r="J436" s="467"/>
      <c r="K436" s="467"/>
      <c r="L436" s="467"/>
      <c r="M436" s="467"/>
      <c r="N436" s="467"/>
      <c r="O436" s="467"/>
      <c r="P436" s="467"/>
      <c r="Q436" s="467"/>
      <c r="R436" s="467"/>
      <c r="S436" s="467"/>
      <c r="T436" s="467"/>
      <c r="U436" s="468"/>
      <c r="V436" s="319"/>
      <c r="W436" s="319"/>
      <c r="X436" s="467"/>
      <c r="Y436" s="467"/>
      <c r="Z436" s="467"/>
      <c r="AA436" s="467"/>
      <c r="AB436" s="467"/>
    </row>
    <row r="437" spans="1:28" ht="15.75" customHeight="1">
      <c r="A437" s="467"/>
      <c r="B437" s="467"/>
      <c r="C437" s="467"/>
      <c r="D437" s="467"/>
      <c r="E437" s="467"/>
      <c r="F437" s="467"/>
      <c r="G437" s="467"/>
      <c r="H437" s="467"/>
      <c r="I437" s="467"/>
      <c r="J437" s="467"/>
      <c r="K437" s="467"/>
      <c r="L437" s="467"/>
      <c r="M437" s="467"/>
      <c r="N437" s="467"/>
      <c r="O437" s="467"/>
      <c r="P437" s="467"/>
      <c r="Q437" s="467"/>
      <c r="R437" s="467"/>
      <c r="S437" s="467"/>
      <c r="T437" s="467"/>
      <c r="U437" s="468"/>
      <c r="V437" s="319"/>
      <c r="W437" s="319"/>
      <c r="X437" s="467"/>
      <c r="Y437" s="467"/>
      <c r="Z437" s="467"/>
      <c r="AA437" s="467"/>
      <c r="AB437" s="467"/>
    </row>
    <row r="438" spans="1:28" ht="15.75" customHeight="1">
      <c r="A438" s="467"/>
      <c r="B438" s="467"/>
      <c r="C438" s="467"/>
      <c r="D438" s="467"/>
      <c r="E438" s="467"/>
      <c r="F438" s="467"/>
      <c r="G438" s="467"/>
      <c r="H438" s="467"/>
      <c r="I438" s="467"/>
      <c r="J438" s="467"/>
      <c r="K438" s="467"/>
      <c r="L438" s="467"/>
      <c r="M438" s="467"/>
      <c r="N438" s="467"/>
      <c r="O438" s="467"/>
      <c r="P438" s="467"/>
      <c r="Q438" s="467"/>
      <c r="R438" s="467"/>
      <c r="S438" s="467"/>
      <c r="T438" s="467"/>
      <c r="U438" s="468"/>
      <c r="V438" s="319"/>
      <c r="W438" s="319"/>
      <c r="X438" s="467"/>
      <c r="Y438" s="467"/>
      <c r="Z438" s="467"/>
      <c r="AA438" s="467"/>
      <c r="AB438" s="467"/>
    </row>
    <row r="439" spans="1:28" ht="15.75" customHeight="1">
      <c r="A439" s="467"/>
      <c r="B439" s="467"/>
      <c r="C439" s="467"/>
      <c r="D439" s="467"/>
      <c r="E439" s="467"/>
      <c r="F439" s="467"/>
      <c r="G439" s="467"/>
      <c r="H439" s="467"/>
      <c r="I439" s="467"/>
      <c r="J439" s="467"/>
      <c r="K439" s="467"/>
      <c r="L439" s="467"/>
      <c r="M439" s="467"/>
      <c r="N439" s="467"/>
      <c r="O439" s="467"/>
      <c r="P439" s="467"/>
      <c r="Q439" s="467"/>
      <c r="R439" s="467"/>
      <c r="S439" s="467"/>
      <c r="T439" s="467"/>
      <c r="U439" s="468"/>
      <c r="V439" s="319"/>
      <c r="W439" s="319"/>
      <c r="X439" s="467"/>
      <c r="Y439" s="467"/>
      <c r="Z439" s="467"/>
      <c r="AA439" s="467"/>
      <c r="AB439" s="467"/>
    </row>
    <row r="440" spans="1:28" ht="15.75" customHeight="1">
      <c r="A440" s="467"/>
      <c r="B440" s="467"/>
      <c r="C440" s="467"/>
      <c r="D440" s="467"/>
      <c r="E440" s="467"/>
      <c r="F440" s="467"/>
      <c r="G440" s="467"/>
      <c r="H440" s="467"/>
      <c r="I440" s="467"/>
      <c r="J440" s="467"/>
      <c r="K440" s="467"/>
      <c r="L440" s="467"/>
      <c r="M440" s="467"/>
      <c r="N440" s="467"/>
      <c r="O440" s="467"/>
      <c r="P440" s="467"/>
      <c r="Q440" s="467"/>
      <c r="R440" s="467"/>
      <c r="S440" s="467"/>
      <c r="T440" s="467"/>
      <c r="U440" s="468"/>
      <c r="V440" s="319"/>
      <c r="W440" s="319"/>
      <c r="X440" s="467"/>
      <c r="Y440" s="467"/>
      <c r="Z440" s="467"/>
      <c r="AA440" s="467"/>
      <c r="AB440" s="467"/>
    </row>
    <row r="441" spans="1:28" ht="15.75" customHeight="1">
      <c r="A441" s="467"/>
      <c r="B441" s="467"/>
      <c r="C441" s="467"/>
      <c r="D441" s="467"/>
      <c r="E441" s="467"/>
      <c r="F441" s="467"/>
      <c r="G441" s="467"/>
      <c r="H441" s="467"/>
      <c r="I441" s="467"/>
      <c r="J441" s="467"/>
      <c r="K441" s="467"/>
      <c r="L441" s="467"/>
      <c r="M441" s="467"/>
      <c r="N441" s="467"/>
      <c r="O441" s="467"/>
      <c r="P441" s="467"/>
      <c r="Q441" s="467"/>
      <c r="R441" s="467"/>
      <c r="S441" s="467"/>
      <c r="T441" s="467"/>
      <c r="U441" s="468"/>
      <c r="V441" s="319"/>
      <c r="W441" s="319"/>
      <c r="X441" s="467"/>
      <c r="Y441" s="467"/>
      <c r="Z441" s="467"/>
      <c r="AA441" s="467"/>
      <c r="AB441" s="467"/>
    </row>
    <row r="442" spans="1:28" ht="15.75" customHeight="1">
      <c r="A442" s="467"/>
      <c r="B442" s="467"/>
      <c r="C442" s="467"/>
      <c r="D442" s="467"/>
      <c r="E442" s="467"/>
      <c r="F442" s="467"/>
      <c r="G442" s="467"/>
      <c r="H442" s="467"/>
      <c r="I442" s="467"/>
      <c r="J442" s="467"/>
      <c r="K442" s="467"/>
      <c r="L442" s="467"/>
      <c r="M442" s="467"/>
      <c r="N442" s="467"/>
      <c r="O442" s="467"/>
      <c r="P442" s="467"/>
      <c r="Q442" s="467"/>
      <c r="R442" s="467"/>
      <c r="S442" s="467"/>
      <c r="T442" s="467"/>
      <c r="U442" s="468"/>
      <c r="V442" s="319"/>
      <c r="W442" s="319"/>
      <c r="X442" s="467"/>
      <c r="Y442" s="467"/>
      <c r="Z442" s="467"/>
      <c r="AA442" s="467"/>
      <c r="AB442" s="467"/>
    </row>
    <row r="443" spans="1:28" ht="15.75" customHeight="1">
      <c r="A443" s="467"/>
      <c r="B443" s="467"/>
      <c r="C443" s="467"/>
      <c r="D443" s="467"/>
      <c r="E443" s="467"/>
      <c r="F443" s="467"/>
      <c r="G443" s="467"/>
      <c r="H443" s="467"/>
      <c r="I443" s="467"/>
      <c r="J443" s="467"/>
      <c r="K443" s="467"/>
      <c r="L443" s="467"/>
      <c r="M443" s="467"/>
      <c r="N443" s="467"/>
      <c r="O443" s="467"/>
      <c r="P443" s="467"/>
      <c r="Q443" s="467"/>
      <c r="R443" s="467"/>
      <c r="S443" s="467"/>
      <c r="T443" s="467"/>
      <c r="U443" s="468"/>
      <c r="V443" s="319"/>
      <c r="W443" s="319"/>
      <c r="X443" s="467"/>
      <c r="Y443" s="467"/>
      <c r="Z443" s="467"/>
      <c r="AA443" s="467"/>
      <c r="AB443" s="467"/>
    </row>
    <row r="444" spans="1:28" ht="15.75" customHeight="1">
      <c r="A444" s="467"/>
      <c r="B444" s="467"/>
      <c r="C444" s="467"/>
      <c r="D444" s="467"/>
      <c r="E444" s="467"/>
      <c r="F444" s="467"/>
      <c r="G444" s="467"/>
      <c r="H444" s="467"/>
      <c r="I444" s="467"/>
      <c r="J444" s="467"/>
      <c r="K444" s="467"/>
      <c r="L444" s="467"/>
      <c r="M444" s="467"/>
      <c r="N444" s="467"/>
      <c r="O444" s="467"/>
      <c r="P444" s="467"/>
      <c r="Q444" s="467"/>
      <c r="R444" s="467"/>
      <c r="S444" s="467"/>
      <c r="T444" s="467"/>
      <c r="U444" s="468"/>
      <c r="V444" s="319"/>
      <c r="W444" s="319"/>
      <c r="X444" s="467"/>
      <c r="Y444" s="467"/>
      <c r="Z444" s="467"/>
      <c r="AA444" s="467"/>
      <c r="AB444" s="467"/>
    </row>
    <row r="445" spans="1:28" ht="15.75" customHeight="1">
      <c r="A445" s="467"/>
      <c r="B445" s="467"/>
      <c r="C445" s="467"/>
      <c r="D445" s="467"/>
      <c r="E445" s="467"/>
      <c r="F445" s="467"/>
      <c r="G445" s="467"/>
      <c r="H445" s="467"/>
      <c r="I445" s="467"/>
      <c r="J445" s="467"/>
      <c r="K445" s="467"/>
      <c r="L445" s="467"/>
      <c r="M445" s="467"/>
      <c r="N445" s="467"/>
      <c r="O445" s="467"/>
      <c r="P445" s="467"/>
      <c r="Q445" s="467"/>
      <c r="R445" s="467"/>
      <c r="S445" s="467"/>
      <c r="T445" s="467"/>
      <c r="U445" s="468"/>
      <c r="V445" s="319"/>
      <c r="W445" s="319"/>
      <c r="X445" s="467"/>
      <c r="Y445" s="467"/>
      <c r="Z445" s="467"/>
      <c r="AA445" s="467"/>
      <c r="AB445" s="467"/>
    </row>
    <row r="446" spans="1:28" ht="15.75" customHeight="1">
      <c r="A446" s="467"/>
      <c r="B446" s="467"/>
      <c r="C446" s="467"/>
      <c r="D446" s="467"/>
      <c r="E446" s="467"/>
      <c r="F446" s="467"/>
      <c r="G446" s="467"/>
      <c r="H446" s="467"/>
      <c r="I446" s="467"/>
      <c r="J446" s="467"/>
      <c r="K446" s="467"/>
      <c r="L446" s="467"/>
      <c r="M446" s="467"/>
      <c r="N446" s="467"/>
      <c r="O446" s="467"/>
      <c r="P446" s="467"/>
      <c r="Q446" s="467"/>
      <c r="R446" s="467"/>
      <c r="S446" s="467"/>
      <c r="T446" s="467"/>
      <c r="U446" s="468"/>
      <c r="V446" s="319"/>
      <c r="W446" s="319"/>
      <c r="X446" s="467"/>
      <c r="Y446" s="467"/>
      <c r="Z446" s="467"/>
      <c r="AA446" s="467"/>
      <c r="AB446" s="467"/>
    </row>
    <row r="447" spans="1:28" ht="15.75" customHeight="1">
      <c r="A447" s="467"/>
      <c r="B447" s="467"/>
      <c r="C447" s="467"/>
      <c r="D447" s="467"/>
      <c r="E447" s="467"/>
      <c r="F447" s="467"/>
      <c r="G447" s="467"/>
      <c r="H447" s="467"/>
      <c r="I447" s="467"/>
      <c r="J447" s="467"/>
      <c r="K447" s="467"/>
      <c r="L447" s="467"/>
      <c r="M447" s="467"/>
      <c r="N447" s="467"/>
      <c r="O447" s="467"/>
      <c r="P447" s="467"/>
      <c r="Q447" s="467"/>
      <c r="R447" s="467"/>
      <c r="S447" s="467"/>
      <c r="T447" s="467"/>
      <c r="U447" s="468"/>
      <c r="V447" s="319"/>
      <c r="W447" s="319"/>
      <c r="X447" s="467"/>
      <c r="Y447" s="467"/>
      <c r="Z447" s="467"/>
      <c r="AA447" s="467"/>
      <c r="AB447" s="467"/>
    </row>
    <row r="448" spans="1:28" ht="15.75" customHeight="1">
      <c r="A448" s="467"/>
      <c r="B448" s="467"/>
      <c r="C448" s="467"/>
      <c r="D448" s="467"/>
      <c r="E448" s="467"/>
      <c r="F448" s="467"/>
      <c r="G448" s="467"/>
      <c r="H448" s="467"/>
      <c r="I448" s="467"/>
      <c r="J448" s="467"/>
      <c r="K448" s="467"/>
      <c r="L448" s="467"/>
      <c r="M448" s="467"/>
      <c r="N448" s="467"/>
      <c r="O448" s="467"/>
      <c r="P448" s="467"/>
      <c r="Q448" s="467"/>
      <c r="R448" s="467"/>
      <c r="S448" s="467"/>
      <c r="T448" s="467"/>
      <c r="U448" s="468"/>
      <c r="V448" s="319"/>
      <c r="W448" s="319"/>
      <c r="X448" s="467"/>
      <c r="Y448" s="467"/>
      <c r="Z448" s="467"/>
      <c r="AA448" s="467"/>
      <c r="AB448" s="467"/>
    </row>
    <row r="449" spans="1:28" ht="15.75" customHeight="1">
      <c r="A449" s="467"/>
      <c r="B449" s="467"/>
      <c r="C449" s="467"/>
      <c r="D449" s="467"/>
      <c r="E449" s="467"/>
      <c r="F449" s="467"/>
      <c r="G449" s="467"/>
      <c r="H449" s="467"/>
      <c r="I449" s="467"/>
      <c r="J449" s="467"/>
      <c r="K449" s="467"/>
      <c r="L449" s="467"/>
      <c r="M449" s="467"/>
      <c r="N449" s="467"/>
      <c r="O449" s="467"/>
      <c r="P449" s="467"/>
      <c r="Q449" s="467"/>
      <c r="R449" s="467"/>
      <c r="S449" s="467"/>
      <c r="T449" s="467"/>
      <c r="U449" s="468"/>
      <c r="V449" s="319"/>
      <c r="W449" s="319"/>
      <c r="X449" s="467"/>
      <c r="Y449" s="467"/>
      <c r="Z449" s="467"/>
      <c r="AA449" s="467"/>
      <c r="AB449" s="467"/>
    </row>
    <row r="450" spans="1:28" ht="15.75" customHeight="1">
      <c r="A450" s="467"/>
      <c r="B450" s="467"/>
      <c r="C450" s="467"/>
      <c r="D450" s="467"/>
      <c r="E450" s="467"/>
      <c r="F450" s="467"/>
      <c r="G450" s="467"/>
      <c r="H450" s="467"/>
      <c r="I450" s="467"/>
      <c r="J450" s="467"/>
      <c r="K450" s="467"/>
      <c r="L450" s="467"/>
      <c r="M450" s="467"/>
      <c r="N450" s="467"/>
      <c r="O450" s="467"/>
      <c r="P450" s="467"/>
      <c r="Q450" s="467"/>
      <c r="R450" s="467"/>
      <c r="S450" s="467"/>
      <c r="T450" s="467"/>
      <c r="U450" s="468"/>
      <c r="V450" s="319"/>
      <c r="W450" s="319"/>
      <c r="X450" s="467"/>
      <c r="Y450" s="467"/>
      <c r="Z450" s="467"/>
      <c r="AA450" s="467"/>
      <c r="AB450" s="467"/>
    </row>
    <row r="451" spans="1:28" ht="15.75" customHeight="1">
      <c r="A451" s="467"/>
      <c r="B451" s="467"/>
      <c r="C451" s="467"/>
      <c r="D451" s="467"/>
      <c r="E451" s="467"/>
      <c r="F451" s="467"/>
      <c r="G451" s="467"/>
      <c r="H451" s="467"/>
      <c r="I451" s="467"/>
      <c r="J451" s="467"/>
      <c r="K451" s="467"/>
      <c r="L451" s="467"/>
      <c r="M451" s="467"/>
      <c r="N451" s="467"/>
      <c r="O451" s="467"/>
      <c r="P451" s="467"/>
      <c r="Q451" s="467"/>
      <c r="R451" s="467"/>
      <c r="S451" s="467"/>
      <c r="T451" s="467"/>
      <c r="U451" s="468"/>
      <c r="V451" s="319"/>
      <c r="W451" s="319"/>
      <c r="X451" s="467"/>
      <c r="Y451" s="467"/>
      <c r="Z451" s="467"/>
      <c r="AA451" s="467"/>
      <c r="AB451" s="467"/>
    </row>
    <row r="452" spans="1:28" ht="15.75" customHeight="1">
      <c r="A452" s="467"/>
      <c r="B452" s="467"/>
      <c r="C452" s="467"/>
      <c r="D452" s="467"/>
      <c r="E452" s="467"/>
      <c r="F452" s="467"/>
      <c r="G452" s="467"/>
      <c r="H452" s="467"/>
      <c r="I452" s="467"/>
      <c r="J452" s="467"/>
      <c r="K452" s="467"/>
      <c r="L452" s="467"/>
      <c r="M452" s="467"/>
      <c r="N452" s="467"/>
      <c r="O452" s="467"/>
      <c r="P452" s="467"/>
      <c r="Q452" s="467"/>
      <c r="R452" s="467"/>
      <c r="S452" s="467"/>
      <c r="T452" s="467"/>
      <c r="U452" s="468"/>
      <c r="V452" s="319"/>
      <c r="W452" s="319"/>
      <c r="X452" s="467"/>
      <c r="Y452" s="467"/>
      <c r="Z452" s="467"/>
      <c r="AA452" s="467"/>
      <c r="AB452" s="467"/>
    </row>
    <row r="453" spans="1:28" ht="15.75" customHeight="1">
      <c r="A453" s="467"/>
      <c r="B453" s="467"/>
      <c r="C453" s="467"/>
      <c r="D453" s="467"/>
      <c r="E453" s="467"/>
      <c r="F453" s="467"/>
      <c r="G453" s="467"/>
      <c r="H453" s="467"/>
      <c r="I453" s="467"/>
      <c r="J453" s="467"/>
      <c r="K453" s="467"/>
      <c r="L453" s="467"/>
      <c r="M453" s="467"/>
      <c r="N453" s="467"/>
      <c r="O453" s="467"/>
      <c r="P453" s="467"/>
      <c r="Q453" s="467"/>
      <c r="R453" s="467"/>
      <c r="S453" s="467"/>
      <c r="T453" s="467"/>
      <c r="U453" s="468"/>
      <c r="V453" s="319"/>
      <c r="W453" s="319"/>
      <c r="X453" s="467"/>
      <c r="Y453" s="467"/>
      <c r="Z453" s="467"/>
      <c r="AA453" s="467"/>
      <c r="AB453" s="467"/>
    </row>
    <row r="454" spans="1:28" ht="15.75" customHeight="1">
      <c r="A454" s="467"/>
      <c r="B454" s="467"/>
      <c r="C454" s="467"/>
      <c r="D454" s="467"/>
      <c r="E454" s="467"/>
      <c r="F454" s="467"/>
      <c r="G454" s="467"/>
      <c r="H454" s="467"/>
      <c r="I454" s="467"/>
      <c r="J454" s="467"/>
      <c r="K454" s="467"/>
      <c r="L454" s="467"/>
      <c r="M454" s="467"/>
      <c r="N454" s="467"/>
      <c r="O454" s="467"/>
      <c r="P454" s="467"/>
      <c r="Q454" s="467"/>
      <c r="R454" s="467"/>
      <c r="S454" s="467"/>
      <c r="T454" s="467"/>
      <c r="U454" s="468"/>
      <c r="V454" s="319"/>
      <c r="W454" s="319"/>
      <c r="X454" s="467"/>
      <c r="Y454" s="467"/>
      <c r="Z454" s="467"/>
      <c r="AA454" s="467"/>
      <c r="AB454" s="467"/>
    </row>
    <row r="455" spans="1:28" ht="15.75" customHeight="1">
      <c r="A455" s="467"/>
      <c r="B455" s="467"/>
      <c r="C455" s="467"/>
      <c r="D455" s="467"/>
      <c r="E455" s="467"/>
      <c r="F455" s="467"/>
      <c r="G455" s="467"/>
      <c r="H455" s="467"/>
      <c r="I455" s="467"/>
      <c r="J455" s="467"/>
      <c r="K455" s="467"/>
      <c r="L455" s="467"/>
      <c r="M455" s="467"/>
      <c r="N455" s="467"/>
      <c r="O455" s="467"/>
      <c r="P455" s="467"/>
      <c r="Q455" s="467"/>
      <c r="R455" s="467"/>
      <c r="S455" s="467"/>
      <c r="T455" s="467"/>
      <c r="U455" s="468"/>
      <c r="V455" s="319"/>
      <c r="W455" s="319"/>
      <c r="X455" s="467"/>
      <c r="Y455" s="467"/>
      <c r="Z455" s="467"/>
      <c r="AA455" s="467"/>
      <c r="AB455" s="467"/>
    </row>
    <row r="456" spans="1:28" ht="15.75" customHeight="1">
      <c r="A456" s="467"/>
      <c r="B456" s="467"/>
      <c r="C456" s="467"/>
      <c r="D456" s="467"/>
      <c r="E456" s="467"/>
      <c r="F456" s="467"/>
      <c r="G456" s="467"/>
      <c r="H456" s="467"/>
      <c r="I456" s="467"/>
      <c r="J456" s="467"/>
      <c r="K456" s="467"/>
      <c r="L456" s="467"/>
      <c r="M456" s="467"/>
      <c r="N456" s="467"/>
      <c r="O456" s="467"/>
      <c r="P456" s="467"/>
      <c r="Q456" s="467"/>
      <c r="R456" s="467"/>
      <c r="S456" s="467"/>
      <c r="T456" s="467"/>
      <c r="U456" s="468"/>
      <c r="V456" s="319"/>
      <c r="W456" s="319"/>
      <c r="X456" s="467"/>
      <c r="Y456" s="467"/>
      <c r="Z456" s="467"/>
      <c r="AA456" s="467"/>
      <c r="AB456" s="467"/>
    </row>
    <row r="457" spans="1:28" ht="15.75" customHeight="1">
      <c r="A457" s="467"/>
      <c r="B457" s="467"/>
      <c r="C457" s="467"/>
      <c r="D457" s="467"/>
      <c r="E457" s="467"/>
      <c r="F457" s="467"/>
      <c r="G457" s="467"/>
      <c r="H457" s="467"/>
      <c r="I457" s="467"/>
      <c r="J457" s="467"/>
      <c r="K457" s="467"/>
      <c r="L457" s="467"/>
      <c r="M457" s="467"/>
      <c r="N457" s="467"/>
      <c r="O457" s="467"/>
      <c r="P457" s="467"/>
      <c r="Q457" s="467"/>
      <c r="R457" s="467"/>
      <c r="S457" s="467"/>
      <c r="T457" s="467"/>
      <c r="U457" s="468"/>
      <c r="V457" s="319"/>
      <c r="W457" s="319"/>
      <c r="X457" s="467"/>
      <c r="Y457" s="467"/>
      <c r="Z457" s="467"/>
      <c r="AA457" s="467"/>
      <c r="AB457" s="467"/>
    </row>
    <row r="458" spans="1:28" ht="15.75" customHeight="1">
      <c r="A458" s="467"/>
      <c r="B458" s="467"/>
      <c r="C458" s="467"/>
      <c r="D458" s="467"/>
      <c r="E458" s="467"/>
      <c r="F458" s="467"/>
      <c r="G458" s="467"/>
      <c r="H458" s="467"/>
      <c r="I458" s="467"/>
      <c r="J458" s="467"/>
      <c r="K458" s="467"/>
      <c r="L458" s="467"/>
      <c r="M458" s="467"/>
      <c r="N458" s="467"/>
      <c r="O458" s="467"/>
      <c r="P458" s="467"/>
      <c r="Q458" s="467"/>
      <c r="R458" s="467"/>
      <c r="S458" s="467"/>
      <c r="T458" s="467"/>
      <c r="U458" s="468"/>
      <c r="V458" s="319"/>
      <c r="W458" s="319"/>
      <c r="X458" s="467"/>
      <c r="Y458" s="467"/>
      <c r="Z458" s="467"/>
      <c r="AA458" s="467"/>
      <c r="AB458" s="467"/>
    </row>
    <row r="459" spans="1:28" ht="15.75" customHeight="1">
      <c r="A459" s="467"/>
      <c r="B459" s="467"/>
      <c r="C459" s="467"/>
      <c r="D459" s="467"/>
      <c r="E459" s="467"/>
      <c r="F459" s="467"/>
      <c r="G459" s="467"/>
      <c r="H459" s="467"/>
      <c r="I459" s="467"/>
      <c r="J459" s="467"/>
      <c r="K459" s="467"/>
      <c r="L459" s="467"/>
      <c r="M459" s="467"/>
      <c r="N459" s="467"/>
      <c r="O459" s="467"/>
      <c r="P459" s="467"/>
      <c r="Q459" s="467"/>
      <c r="R459" s="467"/>
      <c r="S459" s="467"/>
      <c r="T459" s="467"/>
      <c r="U459" s="468"/>
      <c r="V459" s="319"/>
      <c r="W459" s="319"/>
      <c r="X459" s="467"/>
      <c r="Y459" s="467"/>
      <c r="Z459" s="467"/>
      <c r="AA459" s="467"/>
      <c r="AB459" s="467"/>
    </row>
    <row r="460" spans="1:28" ht="15.75" customHeight="1">
      <c r="A460" s="467"/>
      <c r="B460" s="467"/>
      <c r="C460" s="467"/>
      <c r="D460" s="467"/>
      <c r="E460" s="467"/>
      <c r="F460" s="467"/>
      <c r="G460" s="467"/>
      <c r="H460" s="467"/>
      <c r="I460" s="467"/>
      <c r="J460" s="467"/>
      <c r="K460" s="467"/>
      <c r="L460" s="467"/>
      <c r="M460" s="467"/>
      <c r="N460" s="467"/>
      <c r="O460" s="467"/>
      <c r="P460" s="467"/>
      <c r="Q460" s="467"/>
      <c r="R460" s="467"/>
      <c r="S460" s="467"/>
      <c r="T460" s="467"/>
      <c r="U460" s="468"/>
      <c r="V460" s="319"/>
      <c r="W460" s="319"/>
      <c r="X460" s="467"/>
      <c r="Y460" s="467"/>
      <c r="Z460" s="467"/>
      <c r="AA460" s="467"/>
      <c r="AB460" s="467"/>
    </row>
    <row r="461" spans="1:28" ht="15.75" customHeight="1">
      <c r="A461" s="467"/>
      <c r="B461" s="467"/>
      <c r="C461" s="467"/>
      <c r="D461" s="467"/>
      <c r="E461" s="467"/>
      <c r="F461" s="467"/>
      <c r="G461" s="467"/>
      <c r="H461" s="467"/>
      <c r="I461" s="467"/>
      <c r="J461" s="467"/>
      <c r="K461" s="467"/>
      <c r="L461" s="467"/>
      <c r="M461" s="467"/>
      <c r="N461" s="467"/>
      <c r="O461" s="467"/>
      <c r="P461" s="467"/>
      <c r="Q461" s="467"/>
      <c r="R461" s="467"/>
      <c r="S461" s="467"/>
      <c r="T461" s="467"/>
      <c r="U461" s="468"/>
      <c r="V461" s="319"/>
      <c r="W461" s="319"/>
      <c r="X461" s="467"/>
      <c r="Y461" s="467"/>
      <c r="Z461" s="467"/>
      <c r="AA461" s="467"/>
      <c r="AB461" s="467"/>
    </row>
    <row r="462" spans="1:28" ht="15.75" customHeight="1">
      <c r="A462" s="467"/>
      <c r="B462" s="467"/>
      <c r="C462" s="467"/>
      <c r="D462" s="467"/>
      <c r="E462" s="467"/>
      <c r="F462" s="467"/>
      <c r="G462" s="467"/>
      <c r="H462" s="467"/>
      <c r="I462" s="467"/>
      <c r="J462" s="467"/>
      <c r="K462" s="467"/>
      <c r="L462" s="467"/>
      <c r="M462" s="467"/>
      <c r="N462" s="467"/>
      <c r="O462" s="467"/>
      <c r="P462" s="467"/>
      <c r="Q462" s="467"/>
      <c r="R462" s="467"/>
      <c r="S462" s="467"/>
      <c r="T462" s="467"/>
      <c r="U462" s="468"/>
      <c r="V462" s="319"/>
      <c r="W462" s="319"/>
      <c r="X462" s="467"/>
      <c r="Y462" s="467"/>
      <c r="Z462" s="467"/>
      <c r="AA462" s="467"/>
      <c r="AB462" s="467"/>
    </row>
    <row r="463" spans="1:28" ht="15.75" customHeight="1">
      <c r="A463" s="467"/>
      <c r="B463" s="467"/>
      <c r="C463" s="467"/>
      <c r="D463" s="467"/>
      <c r="E463" s="467"/>
      <c r="F463" s="467"/>
      <c r="G463" s="467"/>
      <c r="H463" s="467"/>
      <c r="I463" s="467"/>
      <c r="J463" s="467"/>
      <c r="K463" s="467"/>
      <c r="L463" s="467"/>
      <c r="M463" s="467"/>
      <c r="N463" s="467"/>
      <c r="O463" s="467"/>
      <c r="P463" s="467"/>
      <c r="Q463" s="467"/>
      <c r="R463" s="467"/>
      <c r="S463" s="467"/>
      <c r="T463" s="467"/>
      <c r="U463" s="468"/>
      <c r="V463" s="319"/>
      <c r="W463" s="319"/>
      <c r="X463" s="467"/>
      <c r="Y463" s="467"/>
      <c r="Z463" s="467"/>
      <c r="AA463" s="467"/>
      <c r="AB463" s="467"/>
    </row>
    <row r="464" spans="1:28" ht="15.75" customHeight="1">
      <c r="A464" s="467"/>
      <c r="B464" s="467"/>
      <c r="C464" s="467"/>
      <c r="D464" s="467"/>
      <c r="E464" s="467"/>
      <c r="F464" s="467"/>
      <c r="G464" s="467"/>
      <c r="H464" s="467"/>
      <c r="I464" s="467"/>
      <c r="J464" s="467"/>
      <c r="K464" s="467"/>
      <c r="L464" s="467"/>
      <c r="M464" s="467"/>
      <c r="N464" s="467"/>
      <c r="O464" s="467"/>
      <c r="P464" s="467"/>
      <c r="Q464" s="467"/>
      <c r="R464" s="467"/>
      <c r="S464" s="467"/>
      <c r="T464" s="467"/>
      <c r="U464" s="468"/>
      <c r="V464" s="319"/>
      <c r="W464" s="319"/>
      <c r="X464" s="467"/>
      <c r="Y464" s="467"/>
      <c r="Z464" s="467"/>
      <c r="AA464" s="467"/>
      <c r="AB464" s="467"/>
    </row>
    <row r="465" spans="1:28" ht="15.75" customHeight="1">
      <c r="A465" s="467"/>
      <c r="B465" s="467"/>
      <c r="C465" s="467"/>
      <c r="D465" s="467"/>
      <c r="E465" s="467"/>
      <c r="F465" s="467"/>
      <c r="G465" s="467"/>
      <c r="H465" s="467"/>
      <c r="I465" s="467"/>
      <c r="J465" s="467"/>
      <c r="K465" s="467"/>
      <c r="L465" s="467"/>
      <c r="M465" s="467"/>
      <c r="N465" s="467"/>
      <c r="O465" s="467"/>
      <c r="P465" s="467"/>
      <c r="Q465" s="467"/>
      <c r="R465" s="467"/>
      <c r="S465" s="467"/>
      <c r="T465" s="467"/>
      <c r="U465" s="468"/>
      <c r="V465" s="319"/>
      <c r="W465" s="319"/>
      <c r="X465" s="467"/>
      <c r="Y465" s="467"/>
      <c r="Z465" s="467"/>
      <c r="AA465" s="467"/>
      <c r="AB465" s="467"/>
    </row>
    <row r="466" spans="1:28" ht="15.75" customHeight="1">
      <c r="A466" s="467"/>
      <c r="B466" s="467"/>
      <c r="C466" s="467"/>
      <c r="D466" s="467"/>
      <c r="E466" s="467"/>
      <c r="F466" s="467"/>
      <c r="G466" s="467"/>
      <c r="H466" s="467"/>
      <c r="I466" s="467"/>
      <c r="J466" s="467"/>
      <c r="K466" s="467"/>
      <c r="L466" s="467"/>
      <c r="M466" s="467"/>
      <c r="N466" s="467"/>
      <c r="O466" s="467"/>
      <c r="P466" s="467"/>
      <c r="Q466" s="467"/>
      <c r="R466" s="467"/>
      <c r="S466" s="467"/>
      <c r="T466" s="467"/>
      <c r="U466" s="468"/>
      <c r="V466" s="319"/>
      <c r="W466" s="319"/>
      <c r="X466" s="467"/>
      <c r="Y466" s="467"/>
      <c r="Z466" s="467"/>
      <c r="AA466" s="467"/>
      <c r="AB466" s="467"/>
    </row>
    <row r="467" spans="1:28" ht="15.75" customHeight="1">
      <c r="A467" s="467"/>
      <c r="B467" s="467"/>
      <c r="C467" s="467"/>
      <c r="D467" s="467"/>
      <c r="E467" s="467"/>
      <c r="F467" s="467"/>
      <c r="G467" s="467"/>
      <c r="H467" s="467"/>
      <c r="I467" s="467"/>
      <c r="J467" s="467"/>
      <c r="K467" s="467"/>
      <c r="L467" s="467"/>
      <c r="M467" s="467"/>
      <c r="N467" s="467"/>
      <c r="O467" s="467"/>
      <c r="P467" s="467"/>
      <c r="Q467" s="467"/>
      <c r="R467" s="467"/>
      <c r="S467" s="467"/>
      <c r="T467" s="467"/>
      <c r="U467" s="468"/>
      <c r="V467" s="319"/>
      <c r="W467" s="319"/>
      <c r="X467" s="467"/>
      <c r="Y467" s="467"/>
      <c r="Z467" s="467"/>
      <c r="AA467" s="467"/>
      <c r="AB467" s="467"/>
    </row>
    <row r="468" spans="1:28" ht="15.75" customHeight="1">
      <c r="A468" s="467"/>
      <c r="B468" s="467"/>
      <c r="C468" s="467"/>
      <c r="D468" s="467"/>
      <c r="E468" s="467"/>
      <c r="F468" s="467"/>
      <c r="G468" s="467"/>
      <c r="H468" s="467"/>
      <c r="I468" s="467"/>
      <c r="J468" s="467"/>
      <c r="K468" s="467"/>
      <c r="L468" s="467"/>
      <c r="M468" s="467"/>
      <c r="N468" s="467"/>
      <c r="O468" s="467"/>
      <c r="P468" s="467"/>
      <c r="Q468" s="467"/>
      <c r="R468" s="467"/>
      <c r="S468" s="467"/>
      <c r="T468" s="467"/>
      <c r="U468" s="468"/>
      <c r="V468" s="319"/>
      <c r="W468" s="319"/>
      <c r="X468" s="467"/>
      <c r="Y468" s="467"/>
      <c r="Z468" s="467"/>
      <c r="AA468" s="467"/>
      <c r="AB468" s="467"/>
    </row>
    <row r="469" spans="1:28" ht="15.75" customHeight="1">
      <c r="A469" s="467"/>
      <c r="B469" s="467"/>
      <c r="C469" s="467"/>
      <c r="D469" s="467"/>
      <c r="E469" s="467"/>
      <c r="F469" s="467"/>
      <c r="G469" s="467"/>
      <c r="H469" s="467"/>
      <c r="I469" s="467"/>
      <c r="J469" s="467"/>
      <c r="K469" s="467"/>
      <c r="L469" s="467"/>
      <c r="M469" s="467"/>
      <c r="N469" s="467"/>
      <c r="O469" s="467"/>
      <c r="P469" s="467"/>
      <c r="Q469" s="467"/>
      <c r="R469" s="467"/>
      <c r="S469" s="467"/>
      <c r="T469" s="467"/>
      <c r="U469" s="468"/>
      <c r="V469" s="319"/>
      <c r="W469" s="319"/>
      <c r="X469" s="467"/>
      <c r="Y469" s="467"/>
      <c r="Z469" s="467"/>
      <c r="AA469" s="467"/>
      <c r="AB469" s="467"/>
    </row>
    <row r="470" spans="1:28" ht="15.75" customHeight="1">
      <c r="A470" s="467"/>
      <c r="B470" s="467"/>
      <c r="C470" s="467"/>
      <c r="D470" s="467"/>
      <c r="E470" s="467"/>
      <c r="F470" s="467"/>
      <c r="G470" s="467"/>
      <c r="H470" s="467"/>
      <c r="I470" s="467"/>
      <c r="J470" s="467"/>
      <c r="K470" s="467"/>
      <c r="L470" s="467"/>
      <c r="M470" s="467"/>
      <c r="N470" s="467"/>
      <c r="O470" s="467"/>
      <c r="P470" s="467"/>
      <c r="Q470" s="467"/>
      <c r="R470" s="467"/>
      <c r="S470" s="467"/>
      <c r="T470" s="467"/>
      <c r="U470" s="468"/>
      <c r="V470" s="319"/>
      <c r="W470" s="319"/>
      <c r="X470" s="467"/>
      <c r="Y470" s="467"/>
      <c r="Z470" s="467"/>
      <c r="AA470" s="467"/>
      <c r="AB470" s="467"/>
    </row>
    <row r="471" spans="1:28" ht="15.75" customHeight="1">
      <c r="A471" s="467"/>
      <c r="B471" s="467"/>
      <c r="C471" s="467"/>
      <c r="D471" s="467"/>
      <c r="E471" s="467"/>
      <c r="F471" s="467"/>
      <c r="G471" s="467"/>
      <c r="H471" s="467"/>
      <c r="I471" s="467"/>
      <c r="J471" s="467"/>
      <c r="K471" s="467"/>
      <c r="L471" s="467"/>
      <c r="M471" s="467"/>
      <c r="N471" s="467"/>
      <c r="O471" s="467"/>
      <c r="P471" s="467"/>
      <c r="Q471" s="467"/>
      <c r="R471" s="467"/>
      <c r="S471" s="467"/>
      <c r="T471" s="467"/>
      <c r="U471" s="468"/>
      <c r="V471" s="319"/>
      <c r="W471" s="319"/>
      <c r="X471" s="467"/>
      <c r="Y471" s="467"/>
      <c r="Z471" s="467"/>
      <c r="AA471" s="467"/>
      <c r="AB471" s="467"/>
    </row>
    <row r="472" spans="1:28" ht="15.75" customHeight="1">
      <c r="A472" s="467"/>
      <c r="B472" s="467"/>
      <c r="C472" s="467"/>
      <c r="D472" s="467"/>
      <c r="E472" s="467"/>
      <c r="F472" s="467"/>
      <c r="G472" s="467"/>
      <c r="H472" s="467"/>
      <c r="I472" s="467"/>
      <c r="J472" s="467"/>
      <c r="K472" s="467"/>
      <c r="L472" s="467"/>
      <c r="M472" s="467"/>
      <c r="N472" s="467"/>
      <c r="O472" s="467"/>
      <c r="P472" s="467"/>
      <c r="Q472" s="467"/>
      <c r="R472" s="467"/>
      <c r="S472" s="467"/>
      <c r="T472" s="467"/>
      <c r="U472" s="468"/>
      <c r="V472" s="319"/>
      <c r="W472" s="319"/>
      <c r="X472" s="467"/>
      <c r="Y472" s="467"/>
      <c r="Z472" s="467"/>
      <c r="AA472" s="467"/>
      <c r="AB472" s="467"/>
    </row>
    <row r="473" spans="1:28" ht="15.75" customHeight="1">
      <c r="A473" s="467"/>
      <c r="B473" s="467"/>
      <c r="C473" s="467"/>
      <c r="D473" s="467"/>
      <c r="E473" s="467"/>
      <c r="F473" s="467"/>
      <c r="G473" s="467"/>
      <c r="H473" s="467"/>
      <c r="I473" s="467"/>
      <c r="J473" s="467"/>
      <c r="K473" s="467"/>
      <c r="L473" s="467"/>
      <c r="M473" s="467"/>
      <c r="N473" s="467"/>
      <c r="O473" s="467"/>
      <c r="P473" s="467"/>
      <c r="Q473" s="467"/>
      <c r="R473" s="467"/>
      <c r="S473" s="467"/>
      <c r="T473" s="467"/>
      <c r="U473" s="468"/>
      <c r="V473" s="319"/>
      <c r="W473" s="319"/>
      <c r="X473" s="467"/>
      <c r="Y473" s="467"/>
      <c r="Z473" s="467"/>
      <c r="AA473" s="467"/>
      <c r="AB473" s="467"/>
    </row>
    <row r="474" spans="1:28" ht="15.75" customHeight="1">
      <c r="A474" s="467"/>
      <c r="B474" s="467"/>
      <c r="C474" s="467"/>
      <c r="D474" s="467"/>
      <c r="E474" s="467"/>
      <c r="F474" s="467"/>
      <c r="G474" s="467"/>
      <c r="H474" s="467"/>
      <c r="I474" s="467"/>
      <c r="J474" s="467"/>
      <c r="K474" s="467"/>
      <c r="L474" s="467"/>
      <c r="M474" s="467"/>
      <c r="N474" s="467"/>
      <c r="O474" s="467"/>
      <c r="P474" s="467"/>
      <c r="Q474" s="467"/>
      <c r="R474" s="467"/>
      <c r="S474" s="467"/>
      <c r="T474" s="467"/>
      <c r="U474" s="468"/>
      <c r="V474" s="319"/>
      <c r="W474" s="319"/>
      <c r="X474" s="467"/>
      <c r="Y474" s="467"/>
      <c r="Z474" s="467"/>
      <c r="AA474" s="467"/>
      <c r="AB474" s="467"/>
    </row>
    <row r="475" spans="1:28" ht="15.75" customHeight="1">
      <c r="A475" s="467"/>
      <c r="B475" s="467"/>
      <c r="C475" s="467"/>
      <c r="D475" s="467"/>
      <c r="E475" s="467"/>
      <c r="F475" s="467"/>
      <c r="G475" s="467"/>
      <c r="H475" s="467"/>
      <c r="I475" s="467"/>
      <c r="J475" s="467"/>
      <c r="K475" s="467"/>
      <c r="L475" s="467"/>
      <c r="M475" s="467"/>
      <c r="N475" s="467"/>
      <c r="O475" s="467"/>
      <c r="P475" s="467"/>
      <c r="Q475" s="467"/>
      <c r="R475" s="467"/>
      <c r="S475" s="467"/>
      <c r="T475" s="467"/>
      <c r="U475" s="468"/>
      <c r="V475" s="319"/>
      <c r="W475" s="319"/>
      <c r="X475" s="467"/>
      <c r="Y475" s="467"/>
      <c r="Z475" s="467"/>
      <c r="AA475" s="467"/>
      <c r="AB475" s="467"/>
    </row>
    <row r="476" spans="1:28" ht="15.75" customHeight="1">
      <c r="A476" s="467"/>
      <c r="B476" s="467"/>
      <c r="C476" s="467"/>
      <c r="D476" s="467"/>
      <c r="E476" s="467"/>
      <c r="F476" s="467"/>
      <c r="G476" s="467"/>
      <c r="H476" s="467"/>
      <c r="I476" s="467"/>
      <c r="J476" s="467"/>
      <c r="K476" s="467"/>
      <c r="L476" s="467"/>
      <c r="M476" s="467"/>
      <c r="N476" s="467"/>
      <c r="O476" s="467"/>
      <c r="P476" s="467"/>
      <c r="Q476" s="467"/>
      <c r="R476" s="467"/>
      <c r="S476" s="467"/>
      <c r="T476" s="467"/>
      <c r="U476" s="468"/>
      <c r="V476" s="319"/>
      <c r="W476" s="319"/>
      <c r="X476" s="467"/>
      <c r="Y476" s="467"/>
      <c r="Z476" s="467"/>
      <c r="AA476" s="467"/>
      <c r="AB476" s="467"/>
    </row>
    <row r="477" spans="1:28" ht="15.75" customHeight="1">
      <c r="A477" s="467"/>
      <c r="B477" s="467"/>
      <c r="C477" s="467"/>
      <c r="D477" s="467"/>
      <c r="E477" s="467"/>
      <c r="F477" s="467"/>
      <c r="G477" s="467"/>
      <c r="H477" s="467"/>
      <c r="I477" s="467"/>
      <c r="J477" s="467"/>
      <c r="K477" s="467"/>
      <c r="L477" s="467"/>
      <c r="M477" s="467"/>
      <c r="N477" s="467"/>
      <c r="O477" s="467"/>
      <c r="P477" s="467"/>
      <c r="Q477" s="467"/>
      <c r="R477" s="467"/>
      <c r="S477" s="467"/>
      <c r="T477" s="467"/>
      <c r="U477" s="468"/>
      <c r="V477" s="319"/>
      <c r="W477" s="319"/>
      <c r="X477" s="467"/>
      <c r="Y477" s="467"/>
      <c r="Z477" s="467"/>
      <c r="AA477" s="467"/>
      <c r="AB477" s="467"/>
    </row>
    <row r="478" spans="1:28" ht="15.75" customHeight="1">
      <c r="A478" s="467"/>
      <c r="B478" s="467"/>
      <c r="C478" s="467"/>
      <c r="D478" s="467"/>
      <c r="E478" s="467"/>
      <c r="F478" s="467"/>
      <c r="G478" s="467"/>
      <c r="H478" s="467"/>
      <c r="I478" s="467"/>
      <c r="J478" s="467"/>
      <c r="K478" s="467"/>
      <c r="L478" s="467"/>
      <c r="M478" s="467"/>
      <c r="N478" s="467"/>
      <c r="O478" s="467"/>
      <c r="P478" s="467"/>
      <c r="Q478" s="467"/>
      <c r="R478" s="467"/>
      <c r="S478" s="467"/>
      <c r="T478" s="467"/>
      <c r="U478" s="468"/>
      <c r="V478" s="319"/>
      <c r="W478" s="319"/>
      <c r="X478" s="467"/>
      <c r="Y478" s="467"/>
      <c r="Z478" s="467"/>
      <c r="AA478" s="467"/>
      <c r="AB478" s="467"/>
    </row>
    <row r="479" spans="1:28" ht="15.75" customHeight="1">
      <c r="A479" s="467"/>
      <c r="B479" s="467"/>
      <c r="C479" s="467"/>
      <c r="D479" s="467"/>
      <c r="E479" s="467"/>
      <c r="F479" s="467"/>
      <c r="G479" s="467"/>
      <c r="H479" s="467"/>
      <c r="I479" s="467"/>
      <c r="J479" s="467"/>
      <c r="K479" s="467"/>
      <c r="L479" s="467"/>
      <c r="M479" s="467"/>
      <c r="N479" s="467"/>
      <c r="O479" s="467"/>
      <c r="P479" s="467"/>
      <c r="Q479" s="467"/>
      <c r="R479" s="467"/>
      <c r="S479" s="467"/>
      <c r="T479" s="467"/>
      <c r="U479" s="468"/>
      <c r="V479" s="319"/>
      <c r="W479" s="319"/>
      <c r="X479" s="467"/>
      <c r="Y479" s="467"/>
      <c r="Z479" s="467"/>
      <c r="AA479" s="467"/>
      <c r="AB479" s="467"/>
    </row>
    <row r="480" spans="1:28" ht="15.75" customHeight="1">
      <c r="A480" s="467"/>
      <c r="B480" s="467"/>
      <c r="C480" s="467"/>
      <c r="D480" s="467"/>
      <c r="E480" s="467"/>
      <c r="F480" s="467"/>
      <c r="G480" s="467"/>
      <c r="H480" s="467"/>
      <c r="I480" s="467"/>
      <c r="J480" s="467"/>
      <c r="K480" s="467"/>
      <c r="L480" s="467"/>
      <c r="M480" s="467"/>
      <c r="N480" s="467"/>
      <c r="O480" s="467"/>
      <c r="P480" s="467"/>
      <c r="Q480" s="467"/>
      <c r="R480" s="467"/>
      <c r="S480" s="467"/>
      <c r="T480" s="467"/>
      <c r="U480" s="468"/>
      <c r="V480" s="319"/>
      <c r="W480" s="319"/>
      <c r="X480" s="467"/>
      <c r="Y480" s="467"/>
      <c r="Z480" s="467"/>
      <c r="AA480" s="467"/>
      <c r="AB480" s="467"/>
    </row>
    <row r="481" spans="1:28" ht="15.75" customHeight="1">
      <c r="A481" s="467"/>
      <c r="B481" s="467"/>
      <c r="C481" s="467"/>
      <c r="D481" s="467"/>
      <c r="E481" s="467"/>
      <c r="F481" s="467"/>
      <c r="G481" s="467"/>
      <c r="H481" s="467"/>
      <c r="I481" s="467"/>
      <c r="J481" s="467"/>
      <c r="K481" s="467"/>
      <c r="L481" s="467"/>
      <c r="M481" s="467"/>
      <c r="N481" s="467"/>
      <c r="O481" s="467"/>
      <c r="P481" s="467"/>
      <c r="Q481" s="467"/>
      <c r="R481" s="467"/>
      <c r="S481" s="467"/>
      <c r="T481" s="467"/>
      <c r="U481" s="468"/>
      <c r="V481" s="319"/>
      <c r="W481" s="319"/>
      <c r="X481" s="467"/>
      <c r="Y481" s="467"/>
      <c r="Z481" s="467"/>
      <c r="AA481" s="467"/>
      <c r="AB481" s="467"/>
    </row>
    <row r="482" spans="1:28" ht="15.75" customHeight="1">
      <c r="A482" s="467"/>
      <c r="B482" s="467"/>
      <c r="C482" s="467"/>
      <c r="D482" s="467"/>
      <c r="E482" s="467"/>
      <c r="F482" s="467"/>
      <c r="G482" s="467"/>
      <c r="H482" s="467"/>
      <c r="I482" s="467"/>
      <c r="J482" s="467"/>
      <c r="K482" s="467"/>
      <c r="L482" s="467"/>
      <c r="M482" s="467"/>
      <c r="N482" s="467"/>
      <c r="O482" s="467"/>
      <c r="P482" s="467"/>
      <c r="Q482" s="467"/>
      <c r="R482" s="467"/>
      <c r="S482" s="467"/>
      <c r="T482" s="467"/>
      <c r="U482" s="468"/>
      <c r="V482" s="319"/>
      <c r="W482" s="319"/>
      <c r="X482" s="467"/>
      <c r="Y482" s="467"/>
      <c r="Z482" s="467"/>
      <c r="AA482" s="467"/>
      <c r="AB482" s="467"/>
    </row>
    <row r="483" spans="1:28" ht="15.75" customHeight="1">
      <c r="A483" s="467"/>
      <c r="B483" s="467"/>
      <c r="C483" s="467"/>
      <c r="D483" s="467"/>
      <c r="E483" s="467"/>
      <c r="F483" s="467"/>
      <c r="G483" s="467"/>
      <c r="H483" s="467"/>
      <c r="I483" s="467"/>
      <c r="J483" s="467"/>
      <c r="K483" s="467"/>
      <c r="L483" s="467"/>
      <c r="M483" s="467"/>
      <c r="N483" s="467"/>
      <c r="O483" s="467"/>
      <c r="P483" s="467"/>
      <c r="Q483" s="467"/>
      <c r="R483" s="467"/>
      <c r="S483" s="467"/>
      <c r="T483" s="467"/>
      <c r="U483" s="468"/>
      <c r="V483" s="319"/>
      <c r="W483" s="319"/>
      <c r="X483" s="467"/>
      <c r="Y483" s="467"/>
      <c r="Z483" s="467"/>
      <c r="AA483" s="467"/>
      <c r="AB483" s="467"/>
    </row>
    <row r="484" spans="1:28" ht="15.75" customHeight="1">
      <c r="A484" s="467"/>
      <c r="B484" s="467"/>
      <c r="C484" s="467"/>
      <c r="D484" s="467"/>
      <c r="E484" s="467"/>
      <c r="F484" s="467"/>
      <c r="G484" s="467"/>
      <c r="H484" s="467"/>
      <c r="I484" s="467"/>
      <c r="J484" s="467"/>
      <c r="K484" s="467"/>
      <c r="L484" s="467"/>
      <c r="M484" s="467"/>
      <c r="N484" s="467"/>
      <c r="O484" s="467"/>
      <c r="P484" s="467"/>
      <c r="Q484" s="467"/>
      <c r="R484" s="467"/>
      <c r="S484" s="467"/>
      <c r="T484" s="467"/>
      <c r="U484" s="468"/>
      <c r="V484" s="319"/>
      <c r="W484" s="319"/>
      <c r="X484" s="467"/>
      <c r="Y484" s="467"/>
      <c r="Z484" s="467"/>
      <c r="AA484" s="467"/>
      <c r="AB484" s="467"/>
    </row>
    <row r="485" spans="1:28" ht="15.75" customHeight="1">
      <c r="A485" s="467"/>
      <c r="B485" s="467"/>
      <c r="C485" s="467"/>
      <c r="D485" s="467"/>
      <c r="E485" s="467"/>
      <c r="F485" s="467"/>
      <c r="G485" s="467"/>
      <c r="H485" s="467"/>
      <c r="I485" s="467"/>
      <c r="J485" s="467"/>
      <c r="K485" s="467"/>
      <c r="L485" s="467"/>
      <c r="M485" s="467"/>
      <c r="N485" s="467"/>
      <c r="O485" s="467"/>
      <c r="P485" s="467"/>
      <c r="Q485" s="467"/>
      <c r="R485" s="467"/>
      <c r="S485" s="467"/>
      <c r="T485" s="467"/>
      <c r="U485" s="468"/>
      <c r="V485" s="319"/>
      <c r="W485" s="319"/>
      <c r="X485" s="467"/>
      <c r="Y485" s="467"/>
      <c r="Z485" s="467"/>
      <c r="AA485" s="467"/>
      <c r="AB485" s="467"/>
    </row>
    <row r="486" spans="1:28" ht="15.75" customHeight="1">
      <c r="A486" s="467"/>
      <c r="B486" s="467"/>
      <c r="C486" s="467"/>
      <c r="D486" s="467"/>
      <c r="E486" s="467"/>
      <c r="F486" s="467"/>
      <c r="G486" s="467"/>
      <c r="H486" s="467"/>
      <c r="I486" s="467"/>
      <c r="J486" s="467"/>
      <c r="K486" s="467"/>
      <c r="L486" s="467"/>
      <c r="M486" s="467"/>
      <c r="N486" s="467"/>
      <c r="O486" s="467"/>
      <c r="P486" s="467"/>
      <c r="Q486" s="467"/>
      <c r="R486" s="467"/>
      <c r="S486" s="467"/>
      <c r="T486" s="467"/>
      <c r="U486" s="468"/>
      <c r="V486" s="319"/>
      <c r="W486" s="319"/>
      <c r="X486" s="467"/>
      <c r="Y486" s="467"/>
      <c r="Z486" s="467"/>
      <c r="AA486" s="467"/>
      <c r="AB486" s="467"/>
    </row>
    <row r="487" spans="1:28" ht="15.75" customHeight="1">
      <c r="A487" s="467"/>
      <c r="B487" s="467"/>
      <c r="C487" s="467"/>
      <c r="D487" s="467"/>
      <c r="E487" s="467"/>
      <c r="F487" s="467"/>
      <c r="G487" s="467"/>
      <c r="H487" s="467"/>
      <c r="I487" s="467"/>
      <c r="J487" s="467"/>
      <c r="K487" s="467"/>
      <c r="L487" s="467"/>
      <c r="M487" s="467"/>
      <c r="N487" s="467"/>
      <c r="O487" s="467"/>
      <c r="P487" s="467"/>
      <c r="Q487" s="467"/>
      <c r="R487" s="467"/>
      <c r="S487" s="467"/>
      <c r="T487" s="467"/>
      <c r="U487" s="468"/>
      <c r="V487" s="319"/>
      <c r="W487" s="319"/>
      <c r="X487" s="467"/>
      <c r="Y487" s="467"/>
      <c r="Z487" s="467"/>
      <c r="AA487" s="467"/>
      <c r="AB487" s="467"/>
    </row>
    <row r="488" spans="1:28" ht="15.75" customHeight="1">
      <c r="A488" s="467"/>
      <c r="B488" s="467"/>
      <c r="C488" s="467"/>
      <c r="D488" s="467"/>
      <c r="E488" s="467"/>
      <c r="F488" s="467"/>
      <c r="G488" s="467"/>
      <c r="H488" s="467"/>
      <c r="I488" s="467"/>
      <c r="J488" s="467"/>
      <c r="K488" s="467"/>
      <c r="L488" s="467"/>
      <c r="M488" s="467"/>
      <c r="N488" s="467"/>
      <c r="O488" s="467"/>
      <c r="P488" s="467"/>
      <c r="Q488" s="467"/>
      <c r="R488" s="467"/>
      <c r="S488" s="467"/>
      <c r="T488" s="467"/>
      <c r="U488" s="468"/>
      <c r="V488" s="319"/>
      <c r="W488" s="319"/>
      <c r="X488" s="467"/>
      <c r="Y488" s="467"/>
      <c r="Z488" s="467"/>
      <c r="AA488" s="467"/>
      <c r="AB488" s="467"/>
    </row>
    <row r="489" spans="1:28" ht="15.75" customHeight="1">
      <c r="A489" s="467"/>
      <c r="B489" s="467"/>
      <c r="C489" s="467"/>
      <c r="D489" s="467"/>
      <c r="E489" s="467"/>
      <c r="F489" s="467"/>
      <c r="G489" s="467"/>
      <c r="H489" s="467"/>
      <c r="I489" s="467"/>
      <c r="J489" s="467"/>
      <c r="K489" s="467"/>
      <c r="L489" s="467"/>
      <c r="M489" s="467"/>
      <c r="N489" s="467"/>
      <c r="O489" s="467"/>
      <c r="P489" s="467"/>
      <c r="Q489" s="467"/>
      <c r="R489" s="467"/>
      <c r="S489" s="467"/>
      <c r="T489" s="467"/>
      <c r="U489" s="468"/>
      <c r="V489" s="319"/>
      <c r="W489" s="319"/>
      <c r="X489" s="467"/>
      <c r="Y489" s="467"/>
      <c r="Z489" s="467"/>
      <c r="AA489" s="467"/>
      <c r="AB489" s="467"/>
    </row>
    <row r="490" spans="1:28" ht="15.75" customHeight="1">
      <c r="A490" s="467"/>
      <c r="B490" s="467"/>
      <c r="C490" s="467"/>
      <c r="D490" s="467"/>
      <c r="E490" s="467"/>
      <c r="F490" s="467"/>
      <c r="G490" s="467"/>
      <c r="H490" s="467"/>
      <c r="I490" s="467"/>
      <c r="J490" s="467"/>
      <c r="K490" s="467"/>
      <c r="L490" s="467"/>
      <c r="M490" s="467"/>
      <c r="N490" s="467"/>
      <c r="O490" s="467"/>
      <c r="P490" s="467"/>
      <c r="Q490" s="467"/>
      <c r="R490" s="467"/>
      <c r="S490" s="467"/>
      <c r="T490" s="467"/>
      <c r="U490" s="468"/>
      <c r="V490" s="319"/>
      <c r="W490" s="319"/>
      <c r="X490" s="467"/>
      <c r="Y490" s="467"/>
      <c r="Z490" s="467"/>
      <c r="AA490" s="467"/>
      <c r="AB490" s="467"/>
    </row>
    <row r="491" spans="1:28" ht="15.75" customHeight="1">
      <c r="A491" s="467"/>
      <c r="B491" s="467"/>
      <c r="C491" s="467"/>
      <c r="D491" s="467"/>
      <c r="E491" s="467"/>
      <c r="F491" s="467"/>
      <c r="G491" s="467"/>
      <c r="H491" s="467"/>
      <c r="I491" s="467"/>
      <c r="J491" s="467"/>
      <c r="K491" s="467"/>
      <c r="L491" s="467"/>
      <c r="M491" s="467"/>
      <c r="N491" s="467"/>
      <c r="O491" s="467"/>
      <c r="P491" s="467"/>
      <c r="Q491" s="467"/>
      <c r="R491" s="467"/>
      <c r="S491" s="467"/>
      <c r="T491" s="467"/>
      <c r="U491" s="468"/>
      <c r="V491" s="319"/>
      <c r="W491" s="319"/>
      <c r="X491" s="467"/>
      <c r="Y491" s="467"/>
      <c r="Z491" s="467"/>
      <c r="AA491" s="467"/>
      <c r="AB491" s="467"/>
    </row>
    <row r="492" spans="1:28" ht="15.75" customHeight="1">
      <c r="A492" s="467"/>
      <c r="B492" s="467"/>
      <c r="C492" s="467"/>
      <c r="D492" s="467"/>
      <c r="E492" s="467"/>
      <c r="F492" s="467"/>
      <c r="G492" s="467"/>
      <c r="H492" s="467"/>
      <c r="I492" s="467"/>
      <c r="J492" s="467"/>
      <c r="K492" s="467"/>
      <c r="L492" s="467"/>
      <c r="M492" s="467"/>
      <c r="N492" s="467"/>
      <c r="O492" s="467"/>
      <c r="P492" s="467"/>
      <c r="Q492" s="467"/>
      <c r="R492" s="467"/>
      <c r="S492" s="467"/>
      <c r="T492" s="467"/>
      <c r="U492" s="468"/>
      <c r="V492" s="319"/>
      <c r="W492" s="319"/>
      <c r="X492" s="467"/>
      <c r="Y492" s="467"/>
      <c r="Z492" s="467"/>
      <c r="AA492" s="467"/>
      <c r="AB492" s="467"/>
    </row>
    <row r="493" spans="1:28" ht="15.75" customHeight="1">
      <c r="A493" s="467"/>
      <c r="B493" s="467"/>
      <c r="C493" s="467"/>
      <c r="D493" s="467"/>
      <c r="E493" s="467"/>
      <c r="F493" s="467"/>
      <c r="G493" s="467"/>
      <c r="H493" s="467"/>
      <c r="I493" s="467"/>
      <c r="J493" s="467"/>
      <c r="K493" s="467"/>
      <c r="L493" s="467"/>
      <c r="M493" s="467"/>
      <c r="N493" s="467"/>
      <c r="O493" s="467"/>
      <c r="P493" s="467"/>
      <c r="Q493" s="467"/>
      <c r="R493" s="467"/>
      <c r="S493" s="467"/>
      <c r="T493" s="467"/>
      <c r="U493" s="468"/>
      <c r="V493" s="319"/>
      <c r="W493" s="319"/>
      <c r="X493" s="467"/>
      <c r="Y493" s="467"/>
      <c r="Z493" s="467"/>
      <c r="AA493" s="467"/>
      <c r="AB493" s="467"/>
    </row>
    <row r="494" spans="1:28" ht="15.75" customHeight="1">
      <c r="A494" s="467"/>
      <c r="B494" s="467"/>
      <c r="C494" s="467"/>
      <c r="D494" s="467"/>
      <c r="E494" s="467"/>
      <c r="F494" s="467"/>
      <c r="G494" s="467"/>
      <c r="H494" s="467"/>
      <c r="I494" s="467"/>
      <c r="J494" s="467"/>
      <c r="K494" s="467"/>
      <c r="L494" s="467"/>
      <c r="M494" s="467"/>
      <c r="N494" s="467"/>
      <c r="O494" s="467"/>
      <c r="P494" s="467"/>
      <c r="Q494" s="467"/>
      <c r="R494" s="467"/>
      <c r="S494" s="467"/>
      <c r="T494" s="467"/>
      <c r="U494" s="468"/>
      <c r="V494" s="319"/>
      <c r="W494" s="319"/>
      <c r="X494" s="467"/>
      <c r="Y494" s="467"/>
      <c r="Z494" s="467"/>
      <c r="AA494" s="467"/>
      <c r="AB494" s="467"/>
    </row>
    <row r="495" spans="1:28" ht="15.75" customHeight="1">
      <c r="A495" s="467"/>
      <c r="B495" s="467"/>
      <c r="C495" s="467"/>
      <c r="D495" s="467"/>
      <c r="E495" s="467"/>
      <c r="F495" s="467"/>
      <c r="G495" s="467"/>
      <c r="H495" s="467"/>
      <c r="I495" s="467"/>
      <c r="J495" s="467"/>
      <c r="K495" s="467"/>
      <c r="L495" s="467"/>
      <c r="M495" s="467"/>
      <c r="N495" s="467"/>
      <c r="O495" s="467"/>
      <c r="P495" s="467"/>
      <c r="Q495" s="467"/>
      <c r="R495" s="467"/>
      <c r="S495" s="467"/>
      <c r="T495" s="467"/>
      <c r="U495" s="468"/>
      <c r="V495" s="319"/>
      <c r="W495" s="319"/>
      <c r="X495" s="467"/>
      <c r="Y495" s="467"/>
      <c r="Z495" s="467"/>
      <c r="AA495" s="467"/>
      <c r="AB495" s="467"/>
    </row>
    <row r="496" spans="1:28" ht="15.75" customHeight="1">
      <c r="A496" s="467"/>
      <c r="B496" s="467"/>
      <c r="C496" s="467"/>
      <c r="D496" s="467"/>
      <c r="E496" s="467"/>
      <c r="F496" s="467"/>
      <c r="G496" s="467"/>
      <c r="H496" s="467"/>
      <c r="I496" s="467"/>
      <c r="J496" s="467"/>
      <c r="K496" s="467"/>
      <c r="L496" s="467"/>
      <c r="M496" s="467"/>
      <c r="N496" s="467"/>
      <c r="O496" s="467"/>
      <c r="P496" s="467"/>
      <c r="Q496" s="467"/>
      <c r="R496" s="467"/>
      <c r="S496" s="467"/>
      <c r="T496" s="467"/>
      <c r="U496" s="468"/>
      <c r="V496" s="319"/>
      <c r="W496" s="319"/>
      <c r="X496" s="467"/>
      <c r="Y496" s="467"/>
      <c r="Z496" s="467"/>
      <c r="AA496" s="467"/>
      <c r="AB496" s="467"/>
    </row>
    <row r="497" spans="1:28" ht="15.75" customHeight="1">
      <c r="A497" s="467"/>
      <c r="B497" s="467"/>
      <c r="C497" s="467"/>
      <c r="D497" s="467"/>
      <c r="E497" s="467"/>
      <c r="F497" s="467"/>
      <c r="G497" s="467"/>
      <c r="H497" s="467"/>
      <c r="I497" s="467"/>
      <c r="J497" s="467"/>
      <c r="K497" s="467"/>
      <c r="L497" s="467"/>
      <c r="M497" s="467"/>
      <c r="N497" s="467"/>
      <c r="O497" s="467"/>
      <c r="P497" s="467"/>
      <c r="Q497" s="467"/>
      <c r="R497" s="467"/>
      <c r="S497" s="467"/>
      <c r="T497" s="467"/>
      <c r="U497" s="468"/>
      <c r="V497" s="319"/>
      <c r="W497" s="319"/>
      <c r="X497" s="467"/>
      <c r="Y497" s="467"/>
      <c r="Z497" s="467"/>
      <c r="AA497" s="467"/>
      <c r="AB497" s="467"/>
    </row>
    <row r="498" spans="1:28" ht="15.75" customHeight="1">
      <c r="A498" s="467"/>
      <c r="B498" s="467"/>
      <c r="C498" s="467"/>
      <c r="D498" s="467"/>
      <c r="E498" s="467"/>
      <c r="F498" s="467"/>
      <c r="G498" s="467"/>
      <c r="H498" s="467"/>
      <c r="I498" s="467"/>
      <c r="J498" s="467"/>
      <c r="K498" s="467"/>
      <c r="L498" s="467"/>
      <c r="M498" s="467"/>
      <c r="N498" s="467"/>
      <c r="O498" s="467"/>
      <c r="P498" s="467"/>
      <c r="Q498" s="467"/>
      <c r="R498" s="467"/>
      <c r="S498" s="467"/>
      <c r="T498" s="467"/>
      <c r="U498" s="468"/>
      <c r="V498" s="319"/>
      <c r="W498" s="319"/>
      <c r="X498" s="467"/>
      <c r="Y498" s="467"/>
      <c r="Z498" s="467"/>
      <c r="AA498" s="467"/>
      <c r="AB498" s="467"/>
    </row>
    <row r="499" spans="1:28" ht="15.75" customHeight="1">
      <c r="A499" s="467"/>
      <c r="B499" s="467"/>
      <c r="C499" s="467"/>
      <c r="D499" s="467"/>
      <c r="E499" s="467"/>
      <c r="F499" s="467"/>
      <c r="G499" s="467"/>
      <c r="H499" s="467"/>
      <c r="I499" s="467"/>
      <c r="J499" s="467"/>
      <c r="K499" s="467"/>
      <c r="L499" s="467"/>
      <c r="M499" s="467"/>
      <c r="N499" s="467"/>
      <c r="O499" s="467"/>
      <c r="P499" s="467"/>
      <c r="Q499" s="467"/>
      <c r="R499" s="467"/>
      <c r="S499" s="467"/>
      <c r="T499" s="467"/>
      <c r="U499" s="468"/>
      <c r="V499" s="319"/>
      <c r="W499" s="319"/>
      <c r="X499" s="467"/>
      <c r="Y499" s="467"/>
      <c r="Z499" s="467"/>
      <c r="AA499" s="467"/>
      <c r="AB499" s="467"/>
    </row>
    <row r="500" spans="1:28" ht="15.75" customHeight="1">
      <c r="A500" s="467"/>
      <c r="B500" s="467"/>
      <c r="C500" s="467"/>
      <c r="D500" s="467"/>
      <c r="E500" s="467"/>
      <c r="F500" s="467"/>
      <c r="G500" s="467"/>
      <c r="H500" s="467"/>
      <c r="I500" s="467"/>
      <c r="J500" s="467"/>
      <c r="K500" s="467"/>
      <c r="L500" s="467"/>
      <c r="M500" s="467"/>
      <c r="N500" s="467"/>
      <c r="O500" s="467"/>
      <c r="P500" s="467"/>
      <c r="Q500" s="467"/>
      <c r="R500" s="467"/>
      <c r="S500" s="467"/>
      <c r="T500" s="467"/>
      <c r="U500" s="468"/>
      <c r="V500" s="319"/>
      <c r="W500" s="319"/>
      <c r="X500" s="467"/>
      <c r="Y500" s="467"/>
      <c r="Z500" s="467"/>
      <c r="AA500" s="467"/>
      <c r="AB500" s="467"/>
    </row>
    <row r="501" spans="1:28" ht="15.75" customHeight="1">
      <c r="A501" s="467"/>
      <c r="B501" s="467"/>
      <c r="C501" s="467"/>
      <c r="D501" s="467"/>
      <c r="E501" s="467"/>
      <c r="F501" s="467"/>
      <c r="G501" s="467"/>
      <c r="H501" s="467"/>
      <c r="I501" s="467"/>
      <c r="J501" s="467"/>
      <c r="K501" s="467"/>
      <c r="L501" s="467"/>
      <c r="M501" s="467"/>
      <c r="N501" s="467"/>
      <c r="O501" s="467"/>
      <c r="P501" s="467"/>
      <c r="Q501" s="467"/>
      <c r="R501" s="467"/>
      <c r="S501" s="467"/>
      <c r="T501" s="467"/>
      <c r="U501" s="468"/>
      <c r="V501" s="319"/>
      <c r="W501" s="319"/>
      <c r="X501" s="467"/>
      <c r="Y501" s="467"/>
      <c r="Z501" s="467"/>
      <c r="AA501" s="467"/>
      <c r="AB501" s="467"/>
    </row>
    <row r="502" spans="1:28" ht="15.75" customHeight="1">
      <c r="A502" s="467"/>
      <c r="B502" s="467"/>
      <c r="C502" s="467"/>
      <c r="D502" s="467"/>
      <c r="E502" s="467"/>
      <c r="F502" s="467"/>
      <c r="G502" s="467"/>
      <c r="H502" s="467"/>
      <c r="I502" s="467"/>
      <c r="J502" s="467"/>
      <c r="K502" s="467"/>
      <c r="L502" s="467"/>
      <c r="M502" s="467"/>
      <c r="N502" s="467"/>
      <c r="O502" s="467"/>
      <c r="P502" s="467"/>
      <c r="Q502" s="467"/>
      <c r="R502" s="467"/>
      <c r="S502" s="467"/>
      <c r="T502" s="467"/>
      <c r="U502" s="468"/>
      <c r="V502" s="319"/>
      <c r="W502" s="319"/>
      <c r="X502" s="467"/>
      <c r="Y502" s="467"/>
      <c r="Z502" s="467"/>
      <c r="AA502" s="467"/>
      <c r="AB502" s="467"/>
    </row>
    <row r="503" spans="1:28" ht="15.75" customHeight="1">
      <c r="A503" s="467"/>
      <c r="B503" s="467"/>
      <c r="C503" s="467"/>
      <c r="D503" s="467"/>
      <c r="E503" s="467"/>
      <c r="F503" s="467"/>
      <c r="G503" s="467"/>
      <c r="H503" s="467"/>
      <c r="I503" s="467"/>
      <c r="J503" s="467"/>
      <c r="K503" s="467"/>
      <c r="L503" s="467"/>
      <c r="M503" s="467"/>
      <c r="N503" s="467"/>
      <c r="O503" s="467"/>
      <c r="P503" s="467"/>
      <c r="Q503" s="467"/>
      <c r="R503" s="467"/>
      <c r="S503" s="467"/>
      <c r="T503" s="467"/>
      <c r="U503" s="468"/>
      <c r="V503" s="319"/>
      <c r="W503" s="319"/>
      <c r="X503" s="467"/>
      <c r="Y503" s="467"/>
      <c r="Z503" s="467"/>
      <c r="AA503" s="467"/>
      <c r="AB503" s="467"/>
    </row>
    <row r="504" spans="1:28" ht="15.75" customHeight="1">
      <c r="A504" s="467"/>
      <c r="B504" s="467"/>
      <c r="C504" s="467"/>
      <c r="D504" s="467"/>
      <c r="E504" s="467"/>
      <c r="F504" s="467"/>
      <c r="G504" s="467"/>
      <c r="H504" s="467"/>
      <c r="I504" s="467"/>
      <c r="J504" s="467"/>
      <c r="K504" s="467"/>
      <c r="L504" s="467"/>
      <c r="M504" s="467"/>
      <c r="N504" s="467"/>
      <c r="O504" s="467"/>
      <c r="P504" s="467"/>
      <c r="Q504" s="467"/>
      <c r="R504" s="467"/>
      <c r="S504" s="467"/>
      <c r="T504" s="467"/>
      <c r="U504" s="468"/>
      <c r="V504" s="319"/>
      <c r="W504" s="319"/>
      <c r="X504" s="467"/>
      <c r="Y504" s="467"/>
      <c r="Z504" s="467"/>
      <c r="AA504" s="467"/>
      <c r="AB504" s="467"/>
    </row>
    <row r="505" spans="1:28" ht="15.75" customHeight="1">
      <c r="A505" s="467"/>
      <c r="B505" s="467"/>
      <c r="C505" s="467"/>
      <c r="D505" s="467"/>
      <c r="E505" s="467"/>
      <c r="F505" s="467"/>
      <c r="G505" s="467"/>
      <c r="H505" s="467"/>
      <c r="I505" s="467"/>
      <c r="J505" s="467"/>
      <c r="K505" s="467"/>
      <c r="L505" s="467"/>
      <c r="M505" s="467"/>
      <c r="N505" s="467"/>
      <c r="O505" s="467"/>
      <c r="P505" s="467"/>
      <c r="Q505" s="467"/>
      <c r="R505" s="467"/>
      <c r="S505" s="467"/>
      <c r="T505" s="467"/>
      <c r="U505" s="468"/>
      <c r="V505" s="319"/>
      <c r="W505" s="319"/>
      <c r="X505" s="467"/>
      <c r="Y505" s="467"/>
      <c r="Z505" s="467"/>
      <c r="AA505" s="467"/>
      <c r="AB505" s="467"/>
    </row>
    <row r="506" spans="1:28" ht="15.75" customHeight="1">
      <c r="A506" s="467"/>
      <c r="B506" s="467"/>
      <c r="C506" s="467"/>
      <c r="D506" s="467"/>
      <c r="E506" s="467"/>
      <c r="F506" s="467"/>
      <c r="G506" s="467"/>
      <c r="H506" s="467"/>
      <c r="I506" s="467"/>
      <c r="J506" s="467"/>
      <c r="K506" s="467"/>
      <c r="L506" s="467"/>
      <c r="M506" s="467"/>
      <c r="N506" s="467"/>
      <c r="O506" s="467"/>
      <c r="P506" s="467"/>
      <c r="Q506" s="467"/>
      <c r="R506" s="467"/>
      <c r="S506" s="467"/>
      <c r="T506" s="467"/>
      <c r="U506" s="468"/>
      <c r="V506" s="319"/>
      <c r="W506" s="319"/>
      <c r="X506" s="467"/>
      <c r="Y506" s="467"/>
      <c r="Z506" s="467"/>
      <c r="AA506" s="467"/>
      <c r="AB506" s="467"/>
    </row>
    <row r="507" spans="1:28" ht="15.75" customHeight="1">
      <c r="A507" s="467"/>
      <c r="B507" s="467"/>
      <c r="C507" s="467"/>
      <c r="D507" s="467"/>
      <c r="E507" s="467"/>
      <c r="F507" s="467"/>
      <c r="G507" s="467"/>
      <c r="H507" s="467"/>
      <c r="I507" s="467"/>
      <c r="J507" s="467"/>
      <c r="K507" s="467"/>
      <c r="L507" s="467"/>
      <c r="M507" s="467"/>
      <c r="N507" s="467"/>
      <c r="O507" s="467"/>
      <c r="P507" s="467"/>
      <c r="Q507" s="467"/>
      <c r="R507" s="467"/>
      <c r="S507" s="467"/>
      <c r="T507" s="467"/>
      <c r="U507" s="468"/>
      <c r="V507" s="319"/>
      <c r="W507" s="319"/>
      <c r="X507" s="467"/>
      <c r="Y507" s="467"/>
      <c r="Z507" s="467"/>
      <c r="AA507" s="467"/>
      <c r="AB507" s="467"/>
    </row>
    <row r="508" spans="1:28" ht="15.75" customHeight="1">
      <c r="A508" s="467"/>
      <c r="B508" s="467"/>
      <c r="C508" s="467"/>
      <c r="D508" s="467"/>
      <c r="E508" s="467"/>
      <c r="F508" s="467"/>
      <c r="G508" s="467"/>
      <c r="H508" s="467"/>
      <c r="I508" s="467"/>
      <c r="J508" s="467"/>
      <c r="K508" s="467"/>
      <c r="L508" s="467"/>
      <c r="M508" s="467"/>
      <c r="N508" s="467"/>
      <c r="O508" s="467"/>
      <c r="P508" s="467"/>
      <c r="Q508" s="467"/>
      <c r="R508" s="467"/>
      <c r="S508" s="467"/>
      <c r="T508" s="467"/>
      <c r="U508" s="468"/>
      <c r="V508" s="319"/>
      <c r="W508" s="319"/>
      <c r="X508" s="467"/>
      <c r="Y508" s="467"/>
      <c r="Z508" s="467"/>
      <c r="AA508" s="467"/>
      <c r="AB508" s="467"/>
    </row>
    <row r="509" spans="1:28" ht="15.75" customHeight="1">
      <c r="A509" s="467"/>
      <c r="B509" s="467"/>
      <c r="C509" s="467"/>
      <c r="D509" s="467"/>
      <c r="E509" s="467"/>
      <c r="F509" s="467"/>
      <c r="G509" s="467"/>
      <c r="H509" s="467"/>
      <c r="I509" s="467"/>
      <c r="J509" s="467"/>
      <c r="K509" s="467"/>
      <c r="L509" s="467"/>
      <c r="M509" s="467"/>
      <c r="N509" s="467"/>
      <c r="O509" s="467"/>
      <c r="P509" s="467"/>
      <c r="Q509" s="467"/>
      <c r="R509" s="467"/>
      <c r="S509" s="467"/>
      <c r="T509" s="467"/>
      <c r="U509" s="468"/>
      <c r="V509" s="319"/>
      <c r="W509" s="319"/>
      <c r="X509" s="467"/>
      <c r="Y509" s="467"/>
      <c r="Z509" s="467"/>
      <c r="AA509" s="467"/>
      <c r="AB509" s="467"/>
    </row>
    <row r="510" spans="1:28" ht="15.75" customHeight="1">
      <c r="A510" s="467"/>
      <c r="B510" s="467"/>
      <c r="C510" s="467"/>
      <c r="D510" s="467"/>
      <c r="E510" s="467"/>
      <c r="F510" s="467"/>
      <c r="G510" s="467"/>
      <c r="H510" s="467"/>
      <c r="I510" s="467"/>
      <c r="J510" s="467"/>
      <c r="K510" s="467"/>
      <c r="L510" s="467"/>
      <c r="M510" s="467"/>
      <c r="N510" s="467"/>
      <c r="O510" s="467"/>
      <c r="P510" s="467"/>
      <c r="Q510" s="467"/>
      <c r="R510" s="467"/>
      <c r="S510" s="467"/>
      <c r="T510" s="467"/>
      <c r="U510" s="468"/>
      <c r="V510" s="319"/>
      <c r="W510" s="319"/>
      <c r="X510" s="467"/>
      <c r="Y510" s="467"/>
      <c r="Z510" s="467"/>
      <c r="AA510" s="467"/>
      <c r="AB510" s="467"/>
    </row>
    <row r="511" spans="1:28" ht="15.75" customHeight="1">
      <c r="A511" s="467"/>
      <c r="B511" s="467"/>
      <c r="C511" s="467"/>
      <c r="D511" s="467"/>
      <c r="E511" s="467"/>
      <c r="F511" s="467"/>
      <c r="G511" s="467"/>
      <c r="H511" s="467"/>
      <c r="I511" s="467"/>
      <c r="J511" s="467"/>
      <c r="K511" s="467"/>
      <c r="L511" s="467"/>
      <c r="M511" s="467"/>
      <c r="N511" s="467"/>
      <c r="O511" s="467"/>
      <c r="P511" s="467"/>
      <c r="Q511" s="467"/>
      <c r="R511" s="467"/>
      <c r="S511" s="467"/>
      <c r="T511" s="467"/>
      <c r="U511" s="468"/>
      <c r="V511" s="319"/>
      <c r="W511" s="319"/>
      <c r="X511" s="467"/>
      <c r="Y511" s="467"/>
      <c r="Z511" s="467"/>
      <c r="AA511" s="467"/>
      <c r="AB511" s="467"/>
    </row>
    <row r="512" spans="1:28" ht="15.75" customHeight="1">
      <c r="A512" s="467"/>
      <c r="B512" s="467"/>
      <c r="C512" s="467"/>
      <c r="D512" s="467"/>
      <c r="E512" s="467"/>
      <c r="F512" s="467"/>
      <c r="G512" s="467"/>
      <c r="H512" s="467"/>
      <c r="I512" s="467"/>
      <c r="J512" s="467"/>
      <c r="K512" s="467"/>
      <c r="L512" s="467"/>
      <c r="M512" s="467"/>
      <c r="N512" s="467"/>
      <c r="O512" s="467"/>
      <c r="P512" s="467"/>
      <c r="Q512" s="467"/>
      <c r="R512" s="467"/>
      <c r="S512" s="467"/>
      <c r="T512" s="467"/>
      <c r="U512" s="468"/>
      <c r="V512" s="319"/>
      <c r="W512" s="319"/>
      <c r="X512" s="467"/>
      <c r="Y512" s="467"/>
      <c r="Z512" s="467"/>
      <c r="AA512" s="467"/>
      <c r="AB512" s="467"/>
    </row>
    <row r="513" spans="1:28" ht="15.75" customHeight="1">
      <c r="A513" s="467"/>
      <c r="B513" s="467"/>
      <c r="C513" s="467"/>
      <c r="D513" s="467"/>
      <c r="E513" s="467"/>
      <c r="F513" s="467"/>
      <c r="G513" s="467"/>
      <c r="H513" s="467"/>
      <c r="I513" s="467"/>
      <c r="J513" s="467"/>
      <c r="K513" s="467"/>
      <c r="L513" s="467"/>
      <c r="M513" s="467"/>
      <c r="N513" s="467"/>
      <c r="O513" s="467"/>
      <c r="P513" s="467"/>
      <c r="Q513" s="467"/>
      <c r="R513" s="467"/>
      <c r="S513" s="467"/>
      <c r="T513" s="467"/>
      <c r="U513" s="468"/>
      <c r="V513" s="319"/>
      <c r="W513" s="319"/>
      <c r="X513" s="467"/>
      <c r="Y513" s="467"/>
      <c r="Z513" s="467"/>
      <c r="AA513" s="467"/>
      <c r="AB513" s="467"/>
    </row>
    <row r="514" spans="1:28" ht="15.75" customHeight="1">
      <c r="A514" s="467"/>
      <c r="B514" s="467"/>
      <c r="C514" s="467"/>
      <c r="D514" s="467"/>
      <c r="E514" s="467"/>
      <c r="F514" s="467"/>
      <c r="G514" s="467"/>
      <c r="H514" s="467"/>
      <c r="I514" s="467"/>
      <c r="J514" s="467"/>
      <c r="K514" s="467"/>
      <c r="L514" s="467"/>
      <c r="M514" s="467"/>
      <c r="N514" s="467"/>
      <c r="O514" s="467"/>
      <c r="P514" s="467"/>
      <c r="Q514" s="467"/>
      <c r="R514" s="467"/>
      <c r="S514" s="467"/>
      <c r="T514" s="467"/>
      <c r="U514" s="468"/>
      <c r="V514" s="319"/>
      <c r="W514" s="319"/>
      <c r="X514" s="467"/>
      <c r="Y514" s="467"/>
      <c r="Z514" s="467"/>
      <c r="AA514" s="467"/>
      <c r="AB514" s="467"/>
    </row>
    <row r="515" spans="1:28" ht="15.75" customHeight="1">
      <c r="A515" s="467"/>
      <c r="B515" s="467"/>
      <c r="C515" s="467"/>
      <c r="D515" s="467"/>
      <c r="E515" s="467"/>
      <c r="F515" s="467"/>
      <c r="G515" s="467"/>
      <c r="H515" s="467"/>
      <c r="I515" s="467"/>
      <c r="J515" s="467"/>
      <c r="K515" s="467"/>
      <c r="L515" s="467"/>
      <c r="M515" s="467"/>
      <c r="N515" s="467"/>
      <c r="O515" s="467"/>
      <c r="P515" s="467"/>
      <c r="Q515" s="467"/>
      <c r="R515" s="467"/>
      <c r="S515" s="467"/>
      <c r="T515" s="467"/>
      <c r="U515" s="468"/>
      <c r="V515" s="319"/>
      <c r="W515" s="319"/>
      <c r="X515" s="467"/>
      <c r="Y515" s="467"/>
      <c r="Z515" s="467"/>
      <c r="AA515" s="467"/>
      <c r="AB515" s="467"/>
    </row>
    <row r="516" spans="1:28" ht="15.75" customHeight="1">
      <c r="A516" s="467"/>
      <c r="B516" s="467"/>
      <c r="C516" s="467"/>
      <c r="D516" s="467"/>
      <c r="E516" s="467"/>
      <c r="F516" s="467"/>
      <c r="G516" s="467"/>
      <c r="H516" s="467"/>
      <c r="I516" s="467"/>
      <c r="J516" s="467"/>
      <c r="K516" s="467"/>
      <c r="L516" s="467"/>
      <c r="M516" s="467"/>
      <c r="N516" s="467"/>
      <c r="O516" s="467"/>
      <c r="P516" s="467"/>
      <c r="Q516" s="467"/>
      <c r="R516" s="467"/>
      <c r="S516" s="467"/>
      <c r="T516" s="467"/>
      <c r="U516" s="468"/>
      <c r="V516" s="319"/>
      <c r="W516" s="319"/>
      <c r="X516" s="467"/>
      <c r="Y516" s="467"/>
      <c r="Z516" s="467"/>
      <c r="AA516" s="467"/>
      <c r="AB516" s="467"/>
    </row>
    <row r="517" spans="1:28" ht="15.75" customHeight="1">
      <c r="A517" s="467"/>
      <c r="B517" s="467"/>
      <c r="C517" s="467"/>
      <c r="D517" s="467"/>
      <c r="E517" s="467"/>
      <c r="F517" s="467"/>
      <c r="G517" s="467"/>
      <c r="H517" s="467"/>
      <c r="I517" s="467"/>
      <c r="J517" s="467"/>
      <c r="K517" s="467"/>
      <c r="L517" s="467"/>
      <c r="M517" s="467"/>
      <c r="N517" s="467"/>
      <c r="O517" s="467"/>
      <c r="P517" s="467"/>
      <c r="Q517" s="467"/>
      <c r="R517" s="467"/>
      <c r="S517" s="467"/>
      <c r="T517" s="467"/>
      <c r="U517" s="468"/>
      <c r="V517" s="319"/>
      <c r="W517" s="319"/>
      <c r="X517" s="467"/>
      <c r="Y517" s="467"/>
      <c r="Z517" s="467"/>
      <c r="AA517" s="467"/>
      <c r="AB517" s="467"/>
    </row>
    <row r="518" spans="1:28" ht="15.75" customHeight="1">
      <c r="A518" s="467"/>
      <c r="B518" s="467"/>
      <c r="C518" s="467"/>
      <c r="D518" s="467"/>
      <c r="E518" s="467"/>
      <c r="F518" s="467"/>
      <c r="G518" s="467"/>
      <c r="H518" s="467"/>
      <c r="I518" s="467"/>
      <c r="J518" s="467"/>
      <c r="K518" s="467"/>
      <c r="L518" s="467"/>
      <c r="M518" s="467"/>
      <c r="N518" s="467"/>
      <c r="O518" s="467"/>
      <c r="P518" s="467"/>
      <c r="Q518" s="467"/>
      <c r="R518" s="467"/>
      <c r="S518" s="467"/>
      <c r="T518" s="467"/>
      <c r="U518" s="468"/>
      <c r="V518" s="319"/>
      <c r="W518" s="319"/>
      <c r="X518" s="467"/>
      <c r="Y518" s="467"/>
      <c r="Z518" s="467"/>
      <c r="AA518" s="467"/>
      <c r="AB518" s="467"/>
    </row>
    <row r="519" spans="1:28" ht="15.75" customHeight="1">
      <c r="A519" s="467"/>
      <c r="B519" s="467"/>
      <c r="C519" s="467"/>
      <c r="D519" s="467"/>
      <c r="E519" s="467"/>
      <c r="F519" s="467"/>
      <c r="G519" s="467"/>
      <c r="H519" s="467"/>
      <c r="I519" s="467"/>
      <c r="J519" s="467"/>
      <c r="K519" s="467"/>
      <c r="L519" s="467"/>
      <c r="M519" s="467"/>
      <c r="N519" s="467"/>
      <c r="O519" s="467"/>
      <c r="P519" s="467"/>
      <c r="Q519" s="467"/>
      <c r="R519" s="467"/>
      <c r="S519" s="467"/>
      <c r="T519" s="467"/>
      <c r="U519" s="468"/>
      <c r="V519" s="319"/>
      <c r="W519" s="319"/>
      <c r="X519" s="467"/>
      <c r="Y519" s="467"/>
      <c r="Z519" s="467"/>
      <c r="AA519" s="467"/>
      <c r="AB519" s="467"/>
    </row>
    <row r="520" spans="1:28" ht="15.75" customHeight="1">
      <c r="A520" s="467"/>
      <c r="B520" s="467"/>
      <c r="C520" s="467"/>
      <c r="D520" s="467"/>
      <c r="E520" s="467"/>
      <c r="F520" s="467"/>
      <c r="G520" s="467"/>
      <c r="H520" s="467"/>
      <c r="I520" s="467"/>
      <c r="J520" s="467"/>
      <c r="K520" s="467"/>
      <c r="L520" s="467"/>
      <c r="M520" s="467"/>
      <c r="N520" s="467"/>
      <c r="O520" s="467"/>
      <c r="P520" s="467"/>
      <c r="Q520" s="467"/>
      <c r="R520" s="467"/>
      <c r="S520" s="467"/>
      <c r="T520" s="467"/>
      <c r="U520" s="468"/>
      <c r="V520" s="319"/>
      <c r="W520" s="319"/>
      <c r="X520" s="467"/>
      <c r="Y520" s="467"/>
      <c r="Z520" s="467"/>
      <c r="AA520" s="467"/>
      <c r="AB520" s="467"/>
    </row>
    <row r="521" spans="1:28" ht="15.75" customHeight="1">
      <c r="A521" s="467"/>
      <c r="B521" s="467"/>
      <c r="C521" s="467"/>
      <c r="D521" s="467"/>
      <c r="E521" s="467"/>
      <c r="F521" s="467"/>
      <c r="G521" s="467"/>
      <c r="H521" s="467"/>
      <c r="I521" s="467"/>
      <c r="J521" s="467"/>
      <c r="K521" s="467"/>
      <c r="L521" s="467"/>
      <c r="M521" s="467"/>
      <c r="N521" s="467"/>
      <c r="O521" s="467"/>
      <c r="P521" s="467"/>
      <c r="Q521" s="467"/>
      <c r="R521" s="467"/>
      <c r="S521" s="467"/>
      <c r="T521" s="467"/>
      <c r="U521" s="468"/>
      <c r="V521" s="319"/>
      <c r="W521" s="319"/>
      <c r="X521" s="467"/>
      <c r="Y521" s="467"/>
      <c r="Z521" s="467"/>
      <c r="AA521" s="467"/>
      <c r="AB521" s="467"/>
    </row>
    <row r="522" spans="1:28" ht="15.75" customHeight="1">
      <c r="A522" s="467"/>
      <c r="B522" s="467"/>
      <c r="C522" s="467"/>
      <c r="D522" s="467"/>
      <c r="E522" s="467"/>
      <c r="F522" s="467"/>
      <c r="G522" s="467"/>
      <c r="H522" s="467"/>
      <c r="I522" s="467"/>
      <c r="J522" s="467"/>
      <c r="K522" s="467"/>
      <c r="L522" s="467"/>
      <c r="M522" s="467"/>
      <c r="N522" s="467"/>
      <c r="O522" s="467"/>
      <c r="P522" s="467"/>
      <c r="Q522" s="467"/>
      <c r="R522" s="467"/>
      <c r="S522" s="467"/>
      <c r="T522" s="467"/>
      <c r="U522" s="468"/>
      <c r="V522" s="319"/>
      <c r="W522" s="319"/>
      <c r="X522" s="467"/>
      <c r="Y522" s="467"/>
      <c r="Z522" s="467"/>
      <c r="AA522" s="467"/>
      <c r="AB522" s="467"/>
    </row>
    <row r="523" spans="1:28" ht="15.75" customHeight="1">
      <c r="A523" s="467"/>
      <c r="B523" s="467"/>
      <c r="C523" s="467"/>
      <c r="D523" s="467"/>
      <c r="E523" s="467"/>
      <c r="F523" s="467"/>
      <c r="G523" s="467"/>
      <c r="H523" s="467"/>
      <c r="I523" s="467"/>
      <c r="J523" s="467"/>
      <c r="K523" s="467"/>
      <c r="L523" s="467"/>
      <c r="M523" s="467"/>
      <c r="N523" s="467"/>
      <c r="O523" s="467"/>
      <c r="P523" s="467"/>
      <c r="Q523" s="467"/>
      <c r="R523" s="467"/>
      <c r="S523" s="467"/>
      <c r="T523" s="467"/>
      <c r="U523" s="468"/>
      <c r="V523" s="319"/>
      <c r="W523" s="319"/>
      <c r="X523" s="467"/>
      <c r="Y523" s="467"/>
      <c r="Z523" s="467"/>
      <c r="AA523" s="467"/>
      <c r="AB523" s="467"/>
    </row>
    <row r="524" spans="1:28" ht="15.75" customHeight="1">
      <c r="A524" s="467"/>
      <c r="B524" s="467"/>
      <c r="C524" s="467"/>
      <c r="D524" s="467"/>
      <c r="E524" s="467"/>
      <c r="F524" s="467"/>
      <c r="G524" s="467"/>
      <c r="H524" s="467"/>
      <c r="I524" s="467"/>
      <c r="J524" s="467"/>
      <c r="K524" s="467"/>
      <c r="L524" s="467"/>
      <c r="M524" s="467"/>
      <c r="N524" s="467"/>
      <c r="O524" s="467"/>
      <c r="P524" s="467"/>
      <c r="Q524" s="467"/>
      <c r="R524" s="467"/>
      <c r="S524" s="467"/>
      <c r="T524" s="467"/>
      <c r="U524" s="468"/>
      <c r="V524" s="319"/>
      <c r="W524" s="319"/>
      <c r="X524" s="467"/>
      <c r="Y524" s="467"/>
      <c r="Z524" s="467"/>
      <c r="AA524" s="467"/>
      <c r="AB524" s="467"/>
    </row>
    <row r="525" spans="1:28" ht="15.75" customHeight="1">
      <c r="A525" s="467"/>
      <c r="B525" s="467"/>
      <c r="C525" s="467"/>
      <c r="D525" s="467"/>
      <c r="E525" s="467"/>
      <c r="F525" s="467"/>
      <c r="G525" s="467"/>
      <c r="H525" s="467"/>
      <c r="I525" s="467"/>
      <c r="J525" s="467"/>
      <c r="K525" s="467"/>
      <c r="L525" s="467"/>
      <c r="M525" s="467"/>
      <c r="N525" s="467"/>
      <c r="O525" s="467"/>
      <c r="P525" s="467"/>
      <c r="Q525" s="467"/>
      <c r="R525" s="467"/>
      <c r="S525" s="467"/>
      <c r="T525" s="467"/>
      <c r="U525" s="468"/>
      <c r="V525" s="319"/>
      <c r="W525" s="319"/>
      <c r="X525" s="467"/>
      <c r="Y525" s="467"/>
      <c r="Z525" s="467"/>
      <c r="AA525" s="467"/>
      <c r="AB525" s="467"/>
    </row>
    <row r="526" spans="1:28" ht="15.75" customHeight="1">
      <c r="A526" s="467"/>
      <c r="B526" s="467"/>
      <c r="C526" s="467"/>
      <c r="D526" s="467"/>
      <c r="E526" s="467"/>
      <c r="F526" s="467"/>
      <c r="G526" s="467"/>
      <c r="H526" s="467"/>
      <c r="I526" s="467"/>
      <c r="J526" s="467"/>
      <c r="K526" s="467"/>
      <c r="L526" s="467"/>
      <c r="M526" s="467"/>
      <c r="N526" s="467"/>
      <c r="O526" s="467"/>
      <c r="P526" s="467"/>
      <c r="Q526" s="467"/>
      <c r="R526" s="467"/>
      <c r="S526" s="467"/>
      <c r="T526" s="467"/>
      <c r="U526" s="468"/>
      <c r="V526" s="319"/>
      <c r="W526" s="319"/>
      <c r="X526" s="467"/>
      <c r="Y526" s="467"/>
      <c r="Z526" s="467"/>
      <c r="AA526" s="467"/>
      <c r="AB526" s="467"/>
    </row>
    <row r="527" spans="1:28" ht="15.75" customHeight="1">
      <c r="A527" s="467"/>
      <c r="B527" s="467"/>
      <c r="C527" s="467"/>
      <c r="D527" s="467"/>
      <c r="E527" s="467"/>
      <c r="F527" s="467"/>
      <c r="G527" s="467"/>
      <c r="H527" s="467"/>
      <c r="I527" s="467"/>
      <c r="J527" s="467"/>
      <c r="K527" s="467"/>
      <c r="L527" s="467"/>
      <c r="M527" s="467"/>
      <c r="N527" s="467"/>
      <c r="O527" s="467"/>
      <c r="P527" s="467"/>
      <c r="Q527" s="467"/>
      <c r="R527" s="467"/>
      <c r="S527" s="467"/>
      <c r="T527" s="467"/>
      <c r="U527" s="468"/>
      <c r="V527" s="319"/>
      <c r="W527" s="319"/>
      <c r="X527" s="467"/>
      <c r="Y527" s="467"/>
      <c r="Z527" s="467"/>
      <c r="AA527" s="467"/>
      <c r="AB527" s="467"/>
    </row>
    <row r="528" spans="1:28" ht="15.75" customHeight="1">
      <c r="A528" s="467"/>
      <c r="B528" s="467"/>
      <c r="C528" s="467"/>
      <c r="D528" s="467"/>
      <c r="E528" s="467"/>
      <c r="F528" s="467"/>
      <c r="G528" s="467"/>
      <c r="H528" s="467"/>
      <c r="I528" s="467"/>
      <c r="J528" s="467"/>
      <c r="K528" s="467"/>
      <c r="L528" s="467"/>
      <c r="M528" s="467"/>
      <c r="N528" s="467"/>
      <c r="O528" s="467"/>
      <c r="P528" s="467"/>
      <c r="Q528" s="467"/>
      <c r="R528" s="467"/>
      <c r="S528" s="467"/>
      <c r="T528" s="467"/>
      <c r="U528" s="468"/>
      <c r="V528" s="319"/>
      <c r="W528" s="319"/>
      <c r="X528" s="467"/>
      <c r="Y528" s="467"/>
      <c r="Z528" s="467"/>
      <c r="AA528" s="467"/>
      <c r="AB528" s="467"/>
    </row>
    <row r="529" spans="1:28" ht="15.75" customHeight="1">
      <c r="A529" s="467"/>
      <c r="B529" s="467"/>
      <c r="C529" s="467"/>
      <c r="D529" s="467"/>
      <c r="E529" s="467"/>
      <c r="F529" s="467"/>
      <c r="G529" s="467"/>
      <c r="H529" s="467"/>
      <c r="I529" s="467"/>
      <c r="J529" s="467"/>
      <c r="K529" s="467"/>
      <c r="L529" s="467"/>
      <c r="M529" s="467"/>
      <c r="N529" s="467"/>
      <c r="O529" s="467"/>
      <c r="P529" s="467"/>
      <c r="Q529" s="467"/>
      <c r="R529" s="467"/>
      <c r="S529" s="467"/>
      <c r="T529" s="467"/>
      <c r="U529" s="468"/>
      <c r="V529" s="319"/>
      <c r="W529" s="319"/>
      <c r="X529" s="467"/>
      <c r="Y529" s="467"/>
      <c r="Z529" s="467"/>
      <c r="AA529" s="467"/>
      <c r="AB529" s="467"/>
    </row>
    <row r="530" spans="1:28" ht="15.75" customHeight="1">
      <c r="A530" s="467"/>
      <c r="B530" s="467"/>
      <c r="C530" s="467"/>
      <c r="D530" s="467"/>
      <c r="E530" s="467"/>
      <c r="F530" s="467"/>
      <c r="G530" s="467"/>
      <c r="H530" s="467"/>
      <c r="I530" s="467"/>
      <c r="J530" s="467"/>
      <c r="K530" s="467"/>
      <c r="L530" s="467"/>
      <c r="M530" s="467"/>
      <c r="N530" s="467"/>
      <c r="O530" s="467"/>
      <c r="P530" s="467"/>
      <c r="Q530" s="467"/>
      <c r="R530" s="467"/>
      <c r="S530" s="467"/>
      <c r="T530" s="467"/>
      <c r="U530" s="468"/>
      <c r="V530" s="319"/>
      <c r="W530" s="319"/>
      <c r="X530" s="467"/>
      <c r="Y530" s="467"/>
      <c r="Z530" s="467"/>
      <c r="AA530" s="467"/>
      <c r="AB530" s="467"/>
    </row>
    <row r="531" spans="1:28" ht="15.75" customHeight="1">
      <c r="A531" s="467"/>
      <c r="B531" s="467"/>
      <c r="C531" s="467"/>
      <c r="D531" s="467"/>
      <c r="E531" s="467"/>
      <c r="F531" s="467"/>
      <c r="G531" s="467"/>
      <c r="H531" s="467"/>
      <c r="I531" s="467"/>
      <c r="J531" s="467"/>
      <c r="K531" s="467"/>
      <c r="L531" s="467"/>
      <c r="M531" s="467"/>
      <c r="N531" s="467"/>
      <c r="O531" s="467"/>
      <c r="P531" s="467"/>
      <c r="Q531" s="467"/>
      <c r="R531" s="467"/>
      <c r="S531" s="467"/>
      <c r="T531" s="467"/>
      <c r="U531" s="468"/>
      <c r="V531" s="319"/>
      <c r="W531" s="319"/>
      <c r="X531" s="467"/>
      <c r="Y531" s="467"/>
      <c r="Z531" s="467"/>
      <c r="AA531" s="467"/>
      <c r="AB531" s="467"/>
    </row>
    <row r="532" spans="1:28" ht="15.75" customHeight="1">
      <c r="A532" s="467"/>
      <c r="B532" s="467"/>
      <c r="C532" s="467"/>
      <c r="D532" s="467"/>
      <c r="E532" s="467"/>
      <c r="F532" s="467"/>
      <c r="G532" s="467"/>
      <c r="H532" s="467"/>
      <c r="I532" s="467"/>
      <c r="J532" s="467"/>
      <c r="K532" s="467"/>
      <c r="L532" s="467"/>
      <c r="M532" s="467"/>
      <c r="N532" s="467"/>
      <c r="O532" s="467"/>
      <c r="P532" s="467"/>
      <c r="Q532" s="467"/>
      <c r="R532" s="467"/>
      <c r="S532" s="467"/>
      <c r="T532" s="467"/>
      <c r="U532" s="468"/>
      <c r="V532" s="319"/>
      <c r="W532" s="319"/>
      <c r="X532" s="467"/>
      <c r="Y532" s="467"/>
      <c r="Z532" s="467"/>
      <c r="AA532" s="467"/>
      <c r="AB532" s="467"/>
    </row>
    <row r="533" spans="1:28" ht="15.75" customHeight="1">
      <c r="A533" s="467"/>
      <c r="B533" s="467"/>
      <c r="C533" s="467"/>
      <c r="D533" s="467"/>
      <c r="E533" s="467"/>
      <c r="F533" s="467"/>
      <c r="G533" s="467"/>
      <c r="H533" s="467"/>
      <c r="I533" s="467"/>
      <c r="J533" s="467"/>
      <c r="K533" s="467"/>
      <c r="L533" s="467"/>
      <c r="M533" s="467"/>
      <c r="N533" s="467"/>
      <c r="O533" s="467"/>
      <c r="P533" s="467"/>
      <c r="Q533" s="467"/>
      <c r="R533" s="467"/>
      <c r="S533" s="467"/>
      <c r="T533" s="467"/>
      <c r="U533" s="468"/>
      <c r="V533" s="319"/>
      <c r="W533" s="319"/>
      <c r="X533" s="467"/>
      <c r="Y533" s="467"/>
      <c r="Z533" s="467"/>
      <c r="AA533" s="467"/>
      <c r="AB533" s="467"/>
    </row>
    <row r="534" spans="1:28" ht="15.75" customHeight="1">
      <c r="A534" s="467"/>
      <c r="B534" s="467"/>
      <c r="C534" s="467"/>
      <c r="D534" s="467"/>
      <c r="E534" s="467"/>
      <c r="F534" s="467"/>
      <c r="G534" s="467"/>
      <c r="H534" s="467"/>
      <c r="I534" s="467"/>
      <c r="J534" s="467"/>
      <c r="K534" s="467"/>
      <c r="L534" s="467"/>
      <c r="M534" s="467"/>
      <c r="N534" s="467"/>
      <c r="O534" s="467"/>
      <c r="P534" s="467"/>
      <c r="Q534" s="467"/>
      <c r="R534" s="467"/>
      <c r="S534" s="467"/>
      <c r="T534" s="467"/>
      <c r="U534" s="468"/>
      <c r="V534" s="319"/>
      <c r="W534" s="319"/>
      <c r="X534" s="467"/>
      <c r="Y534" s="467"/>
      <c r="Z534" s="467"/>
      <c r="AA534" s="467"/>
      <c r="AB534" s="467"/>
    </row>
    <row r="535" spans="1:28" ht="15.75" customHeight="1">
      <c r="A535" s="467"/>
      <c r="B535" s="467"/>
      <c r="C535" s="467"/>
      <c r="D535" s="467"/>
      <c r="E535" s="467"/>
      <c r="F535" s="467"/>
      <c r="G535" s="467"/>
      <c r="H535" s="467"/>
      <c r="I535" s="467"/>
      <c r="J535" s="467"/>
      <c r="K535" s="467"/>
      <c r="L535" s="467"/>
      <c r="M535" s="467"/>
      <c r="N535" s="467"/>
      <c r="O535" s="467"/>
      <c r="P535" s="467"/>
      <c r="Q535" s="467"/>
      <c r="R535" s="467"/>
      <c r="S535" s="467"/>
      <c r="T535" s="467"/>
      <c r="U535" s="468"/>
      <c r="V535" s="319"/>
      <c r="W535" s="319"/>
      <c r="X535" s="467"/>
      <c r="Y535" s="467"/>
      <c r="Z535" s="467"/>
      <c r="AA535" s="467"/>
      <c r="AB535" s="467"/>
    </row>
    <row r="536" spans="1:28" ht="15.75" customHeight="1">
      <c r="A536" s="467"/>
      <c r="B536" s="467"/>
      <c r="C536" s="467"/>
      <c r="D536" s="467"/>
      <c r="E536" s="467"/>
      <c r="F536" s="467"/>
      <c r="G536" s="467"/>
      <c r="H536" s="467"/>
      <c r="I536" s="467"/>
      <c r="J536" s="467"/>
      <c r="K536" s="467"/>
      <c r="L536" s="467"/>
      <c r="M536" s="467"/>
      <c r="N536" s="467"/>
      <c r="O536" s="467"/>
      <c r="P536" s="467"/>
      <c r="Q536" s="467"/>
      <c r="R536" s="467"/>
      <c r="S536" s="467"/>
      <c r="T536" s="467"/>
      <c r="U536" s="468"/>
      <c r="V536" s="319"/>
      <c r="W536" s="319"/>
      <c r="X536" s="467"/>
      <c r="Y536" s="467"/>
      <c r="Z536" s="467"/>
      <c r="AA536" s="467"/>
      <c r="AB536" s="467"/>
    </row>
    <row r="537" spans="1:28" ht="15.75" customHeight="1">
      <c r="A537" s="467"/>
      <c r="B537" s="467"/>
      <c r="C537" s="467"/>
      <c r="D537" s="467"/>
      <c r="E537" s="467"/>
      <c r="F537" s="467"/>
      <c r="G537" s="467"/>
      <c r="H537" s="467"/>
      <c r="I537" s="467"/>
      <c r="J537" s="467"/>
      <c r="K537" s="467"/>
      <c r="L537" s="467"/>
      <c r="M537" s="467"/>
      <c r="N537" s="467"/>
      <c r="O537" s="467"/>
      <c r="P537" s="467"/>
      <c r="Q537" s="467"/>
      <c r="R537" s="467"/>
      <c r="S537" s="467"/>
      <c r="T537" s="467"/>
      <c r="U537" s="468"/>
      <c r="V537" s="319"/>
      <c r="W537" s="319"/>
      <c r="X537" s="467"/>
      <c r="Y537" s="467"/>
      <c r="Z537" s="467"/>
      <c r="AA537" s="467"/>
      <c r="AB537" s="467"/>
    </row>
    <row r="538" spans="1:28" ht="15.75" customHeight="1">
      <c r="A538" s="467"/>
      <c r="B538" s="467"/>
      <c r="C538" s="467"/>
      <c r="D538" s="467"/>
      <c r="E538" s="467"/>
      <c r="F538" s="467"/>
      <c r="G538" s="467"/>
      <c r="H538" s="467"/>
      <c r="I538" s="467"/>
      <c r="J538" s="467"/>
      <c r="K538" s="467"/>
      <c r="L538" s="467"/>
      <c r="M538" s="467"/>
      <c r="N538" s="467"/>
      <c r="O538" s="467"/>
      <c r="P538" s="467"/>
      <c r="Q538" s="467"/>
      <c r="R538" s="467"/>
      <c r="S538" s="467"/>
      <c r="T538" s="467"/>
      <c r="U538" s="468"/>
      <c r="V538" s="319"/>
      <c r="W538" s="319"/>
      <c r="X538" s="467"/>
      <c r="Y538" s="467"/>
      <c r="Z538" s="467"/>
      <c r="AA538" s="467"/>
      <c r="AB538" s="467"/>
    </row>
    <row r="539" spans="1:28" ht="15.75" customHeight="1">
      <c r="A539" s="467"/>
      <c r="B539" s="467"/>
      <c r="C539" s="467"/>
      <c r="D539" s="467"/>
      <c r="E539" s="467"/>
      <c r="F539" s="467"/>
      <c r="G539" s="467"/>
      <c r="H539" s="467"/>
      <c r="I539" s="467"/>
      <c r="J539" s="467"/>
      <c r="K539" s="467"/>
      <c r="L539" s="467"/>
      <c r="M539" s="467"/>
      <c r="N539" s="467"/>
      <c r="O539" s="467"/>
      <c r="P539" s="467"/>
      <c r="Q539" s="467"/>
      <c r="R539" s="467"/>
      <c r="S539" s="467"/>
      <c r="T539" s="467"/>
      <c r="U539" s="468"/>
      <c r="V539" s="319"/>
      <c r="W539" s="319"/>
      <c r="X539" s="467"/>
      <c r="Y539" s="467"/>
      <c r="Z539" s="467"/>
      <c r="AA539" s="467"/>
      <c r="AB539" s="467"/>
    </row>
    <row r="540" spans="1:28" ht="15.75" customHeight="1">
      <c r="A540" s="467"/>
      <c r="B540" s="467"/>
      <c r="C540" s="467"/>
      <c r="D540" s="467"/>
      <c r="E540" s="467"/>
      <c r="F540" s="467"/>
      <c r="G540" s="467"/>
      <c r="H540" s="467"/>
      <c r="I540" s="467"/>
      <c r="J540" s="467"/>
      <c r="K540" s="467"/>
      <c r="L540" s="467"/>
      <c r="M540" s="467"/>
      <c r="N540" s="467"/>
      <c r="O540" s="467"/>
      <c r="P540" s="467"/>
      <c r="Q540" s="467"/>
      <c r="R540" s="467"/>
      <c r="S540" s="467"/>
      <c r="T540" s="467"/>
      <c r="U540" s="468"/>
      <c r="V540" s="319"/>
      <c r="W540" s="319"/>
      <c r="X540" s="467"/>
      <c r="Y540" s="467"/>
      <c r="Z540" s="467"/>
      <c r="AA540" s="467"/>
      <c r="AB540" s="467"/>
    </row>
    <row r="541" spans="1:28" ht="15.75" customHeight="1">
      <c r="A541" s="467"/>
      <c r="B541" s="467"/>
      <c r="C541" s="467"/>
      <c r="D541" s="467"/>
      <c r="E541" s="467"/>
      <c r="F541" s="467"/>
      <c r="G541" s="467"/>
      <c r="H541" s="467"/>
      <c r="I541" s="467"/>
      <c r="J541" s="467"/>
      <c r="K541" s="467"/>
      <c r="L541" s="467"/>
      <c r="M541" s="467"/>
      <c r="N541" s="467"/>
      <c r="O541" s="467"/>
      <c r="P541" s="467"/>
      <c r="Q541" s="467"/>
      <c r="R541" s="467"/>
      <c r="S541" s="467"/>
      <c r="T541" s="467"/>
      <c r="U541" s="468"/>
      <c r="V541" s="319"/>
      <c r="W541" s="319"/>
      <c r="X541" s="467"/>
      <c r="Y541" s="467"/>
      <c r="Z541" s="467"/>
      <c r="AA541" s="467"/>
      <c r="AB541" s="467"/>
    </row>
    <row r="542" spans="1:28" ht="15.75" customHeight="1">
      <c r="A542" s="467"/>
      <c r="B542" s="467"/>
      <c r="C542" s="467"/>
      <c r="D542" s="467"/>
      <c r="E542" s="467"/>
      <c r="F542" s="467"/>
      <c r="G542" s="467"/>
      <c r="H542" s="467"/>
      <c r="I542" s="467"/>
      <c r="J542" s="467"/>
      <c r="K542" s="467"/>
      <c r="L542" s="467"/>
      <c r="M542" s="467"/>
      <c r="N542" s="467"/>
      <c r="O542" s="467"/>
      <c r="P542" s="467"/>
      <c r="Q542" s="467"/>
      <c r="R542" s="467"/>
      <c r="S542" s="467"/>
      <c r="T542" s="467"/>
      <c r="U542" s="468"/>
      <c r="V542" s="319"/>
      <c r="W542" s="319"/>
      <c r="X542" s="467"/>
      <c r="Y542" s="467"/>
      <c r="Z542" s="467"/>
      <c r="AA542" s="467"/>
      <c r="AB542" s="467"/>
    </row>
    <row r="543" spans="1:28" ht="15.75" customHeight="1">
      <c r="A543" s="467"/>
      <c r="B543" s="467"/>
      <c r="C543" s="467"/>
      <c r="D543" s="467"/>
      <c r="E543" s="467"/>
      <c r="F543" s="467"/>
      <c r="G543" s="467"/>
      <c r="H543" s="467"/>
      <c r="I543" s="467"/>
      <c r="J543" s="467"/>
      <c r="K543" s="467"/>
      <c r="L543" s="467"/>
      <c r="M543" s="467"/>
      <c r="N543" s="467"/>
      <c r="O543" s="467"/>
      <c r="P543" s="467"/>
      <c r="Q543" s="467"/>
      <c r="R543" s="467"/>
      <c r="S543" s="467"/>
      <c r="T543" s="467"/>
      <c r="U543" s="468"/>
      <c r="V543" s="319"/>
      <c r="W543" s="319"/>
      <c r="X543" s="467"/>
      <c r="Y543" s="467"/>
      <c r="Z543" s="467"/>
      <c r="AA543" s="467"/>
      <c r="AB543" s="467"/>
    </row>
    <row r="544" spans="1:28" ht="15.75" customHeight="1">
      <c r="A544" s="467"/>
      <c r="B544" s="467"/>
      <c r="C544" s="467"/>
      <c r="D544" s="467"/>
      <c r="E544" s="467"/>
      <c r="F544" s="467"/>
      <c r="G544" s="467"/>
      <c r="H544" s="467"/>
      <c r="I544" s="467"/>
      <c r="J544" s="467"/>
      <c r="K544" s="467"/>
      <c r="L544" s="467"/>
      <c r="M544" s="467"/>
      <c r="N544" s="467"/>
      <c r="O544" s="467"/>
      <c r="P544" s="467"/>
      <c r="Q544" s="467"/>
      <c r="R544" s="467"/>
      <c r="S544" s="467"/>
      <c r="T544" s="467"/>
      <c r="U544" s="468"/>
      <c r="V544" s="319"/>
      <c r="W544" s="319"/>
      <c r="X544" s="467"/>
      <c r="Y544" s="467"/>
      <c r="Z544" s="467"/>
      <c r="AA544" s="467"/>
      <c r="AB544" s="467"/>
    </row>
    <row r="545" spans="1:28" ht="15.75" customHeight="1">
      <c r="A545" s="467"/>
      <c r="B545" s="467"/>
      <c r="C545" s="467"/>
      <c r="D545" s="467"/>
      <c r="E545" s="467"/>
      <c r="F545" s="467"/>
      <c r="G545" s="467"/>
      <c r="H545" s="467"/>
      <c r="I545" s="467"/>
      <c r="J545" s="467"/>
      <c r="K545" s="467"/>
      <c r="L545" s="467"/>
      <c r="M545" s="467"/>
      <c r="N545" s="467"/>
      <c r="O545" s="467"/>
      <c r="P545" s="467"/>
      <c r="Q545" s="467"/>
      <c r="R545" s="467"/>
      <c r="S545" s="467"/>
      <c r="T545" s="467"/>
      <c r="U545" s="468"/>
      <c r="V545" s="319"/>
      <c r="W545" s="319"/>
      <c r="X545" s="467"/>
      <c r="Y545" s="467"/>
      <c r="Z545" s="467"/>
      <c r="AA545" s="467"/>
      <c r="AB545" s="467"/>
    </row>
    <row r="546" spans="1:28" ht="15.75" customHeight="1">
      <c r="A546" s="467"/>
      <c r="B546" s="467"/>
      <c r="C546" s="467"/>
      <c r="D546" s="467"/>
      <c r="E546" s="467"/>
      <c r="F546" s="467"/>
      <c r="G546" s="467"/>
      <c r="H546" s="467"/>
      <c r="I546" s="467"/>
      <c r="J546" s="467"/>
      <c r="K546" s="467"/>
      <c r="L546" s="467"/>
      <c r="M546" s="467"/>
      <c r="N546" s="467"/>
      <c r="O546" s="467"/>
      <c r="P546" s="467"/>
      <c r="Q546" s="467"/>
      <c r="R546" s="467"/>
      <c r="S546" s="467"/>
      <c r="T546" s="467"/>
      <c r="U546" s="468"/>
      <c r="V546" s="319"/>
      <c r="W546" s="319"/>
      <c r="X546" s="467"/>
      <c r="Y546" s="467"/>
      <c r="Z546" s="467"/>
      <c r="AA546" s="467"/>
      <c r="AB546" s="467"/>
    </row>
    <row r="547" spans="1:28" ht="15.75" customHeight="1">
      <c r="A547" s="467"/>
      <c r="B547" s="467"/>
      <c r="C547" s="467"/>
      <c r="D547" s="467"/>
      <c r="E547" s="467"/>
      <c r="F547" s="467"/>
      <c r="G547" s="467"/>
      <c r="H547" s="467"/>
      <c r="I547" s="467"/>
      <c r="J547" s="467"/>
      <c r="K547" s="467"/>
      <c r="L547" s="467"/>
      <c r="M547" s="467"/>
      <c r="N547" s="467"/>
      <c r="O547" s="467"/>
      <c r="P547" s="467"/>
      <c r="Q547" s="467"/>
      <c r="R547" s="467"/>
      <c r="S547" s="467"/>
      <c r="T547" s="467"/>
      <c r="U547" s="468"/>
      <c r="V547" s="319"/>
      <c r="W547" s="319"/>
      <c r="X547" s="467"/>
      <c r="Y547" s="467"/>
      <c r="Z547" s="467"/>
      <c r="AA547" s="467"/>
      <c r="AB547" s="467"/>
    </row>
    <row r="548" spans="1:28" ht="15.75" customHeight="1">
      <c r="A548" s="467"/>
      <c r="B548" s="467"/>
      <c r="C548" s="467"/>
      <c r="D548" s="467"/>
      <c r="E548" s="467"/>
      <c r="F548" s="467"/>
      <c r="G548" s="467"/>
      <c r="H548" s="467"/>
      <c r="I548" s="467"/>
      <c r="J548" s="467"/>
      <c r="K548" s="467"/>
      <c r="L548" s="467"/>
      <c r="M548" s="467"/>
      <c r="N548" s="467"/>
      <c r="O548" s="467"/>
      <c r="P548" s="467"/>
      <c r="Q548" s="467"/>
      <c r="R548" s="467"/>
      <c r="S548" s="467"/>
      <c r="T548" s="467"/>
      <c r="U548" s="468"/>
      <c r="V548" s="319"/>
      <c r="W548" s="319"/>
      <c r="X548" s="467"/>
      <c r="Y548" s="467"/>
      <c r="Z548" s="467"/>
      <c r="AA548" s="467"/>
      <c r="AB548" s="467"/>
    </row>
    <row r="549" spans="1:28" ht="15.75" customHeight="1">
      <c r="A549" s="467"/>
      <c r="B549" s="467"/>
      <c r="C549" s="467"/>
      <c r="D549" s="467"/>
      <c r="E549" s="467"/>
      <c r="F549" s="467"/>
      <c r="G549" s="467"/>
      <c r="H549" s="467"/>
      <c r="I549" s="467"/>
      <c r="J549" s="467"/>
      <c r="K549" s="467"/>
      <c r="L549" s="467"/>
      <c r="M549" s="467"/>
      <c r="N549" s="467"/>
      <c r="O549" s="467"/>
      <c r="P549" s="467"/>
      <c r="Q549" s="467"/>
      <c r="R549" s="467"/>
      <c r="S549" s="467"/>
      <c r="T549" s="467"/>
      <c r="U549" s="468"/>
      <c r="V549" s="319"/>
      <c r="W549" s="319"/>
      <c r="X549" s="467"/>
      <c r="Y549" s="467"/>
      <c r="Z549" s="467"/>
      <c r="AA549" s="467"/>
      <c r="AB549" s="467"/>
    </row>
    <row r="550" spans="1:28" ht="15.75" customHeight="1">
      <c r="A550" s="467"/>
      <c r="B550" s="467"/>
      <c r="C550" s="467"/>
      <c r="D550" s="467"/>
      <c r="E550" s="467"/>
      <c r="F550" s="467"/>
      <c r="G550" s="467"/>
      <c r="H550" s="467"/>
      <c r="I550" s="467"/>
      <c r="J550" s="467"/>
      <c r="K550" s="467"/>
      <c r="L550" s="467"/>
      <c r="M550" s="467"/>
      <c r="N550" s="467"/>
      <c r="O550" s="467"/>
      <c r="P550" s="467"/>
      <c r="Q550" s="467"/>
      <c r="R550" s="467"/>
      <c r="S550" s="467"/>
      <c r="T550" s="467"/>
      <c r="U550" s="468"/>
      <c r="V550" s="319"/>
      <c r="W550" s="319"/>
      <c r="X550" s="467"/>
      <c r="Y550" s="467"/>
      <c r="Z550" s="467"/>
      <c r="AA550" s="467"/>
      <c r="AB550" s="467"/>
    </row>
    <row r="551" spans="1:28" ht="15.75" customHeight="1">
      <c r="A551" s="467"/>
      <c r="B551" s="467"/>
      <c r="C551" s="467"/>
      <c r="D551" s="467"/>
      <c r="E551" s="467"/>
      <c r="F551" s="467"/>
      <c r="G551" s="467"/>
      <c r="H551" s="467"/>
      <c r="I551" s="467"/>
      <c r="J551" s="467"/>
      <c r="K551" s="467"/>
      <c r="L551" s="467"/>
      <c r="M551" s="467"/>
      <c r="N551" s="467"/>
      <c r="O551" s="467"/>
      <c r="P551" s="467"/>
      <c r="Q551" s="467"/>
      <c r="R551" s="467"/>
      <c r="S551" s="467"/>
      <c r="T551" s="467"/>
      <c r="U551" s="468"/>
      <c r="V551" s="319"/>
      <c r="W551" s="319"/>
      <c r="X551" s="467"/>
      <c r="Y551" s="467"/>
      <c r="Z551" s="467"/>
      <c r="AA551" s="467"/>
      <c r="AB551" s="467"/>
    </row>
    <row r="552" spans="1:28" ht="15.75" customHeight="1">
      <c r="A552" s="467"/>
      <c r="B552" s="467"/>
      <c r="C552" s="467"/>
      <c r="D552" s="467"/>
      <c r="E552" s="467"/>
      <c r="F552" s="467"/>
      <c r="G552" s="467"/>
      <c r="H552" s="467"/>
      <c r="I552" s="467"/>
      <c r="J552" s="467"/>
      <c r="K552" s="467"/>
      <c r="L552" s="467"/>
      <c r="M552" s="467"/>
      <c r="N552" s="467"/>
      <c r="O552" s="467"/>
      <c r="P552" s="467"/>
      <c r="Q552" s="467"/>
      <c r="R552" s="467"/>
      <c r="S552" s="467"/>
      <c r="T552" s="467"/>
      <c r="U552" s="468"/>
      <c r="V552" s="319"/>
      <c r="W552" s="319"/>
      <c r="X552" s="467"/>
      <c r="Y552" s="467"/>
      <c r="Z552" s="467"/>
      <c r="AA552" s="467"/>
      <c r="AB552" s="467"/>
    </row>
    <row r="553" spans="1:28" ht="15.75" customHeight="1">
      <c r="A553" s="467"/>
      <c r="B553" s="467"/>
      <c r="C553" s="467"/>
      <c r="D553" s="467"/>
      <c r="E553" s="467"/>
      <c r="F553" s="467"/>
      <c r="G553" s="467"/>
      <c r="H553" s="467"/>
      <c r="I553" s="467"/>
      <c r="J553" s="467"/>
      <c r="K553" s="467"/>
      <c r="L553" s="467"/>
      <c r="M553" s="467"/>
      <c r="N553" s="467"/>
      <c r="O553" s="467"/>
      <c r="P553" s="467"/>
      <c r="Q553" s="467"/>
      <c r="R553" s="467"/>
      <c r="S553" s="467"/>
      <c r="T553" s="467"/>
      <c r="U553" s="468"/>
      <c r="V553" s="319"/>
      <c r="W553" s="319"/>
      <c r="X553" s="467"/>
      <c r="Y553" s="467"/>
      <c r="Z553" s="467"/>
      <c r="AA553" s="467"/>
      <c r="AB553" s="467"/>
    </row>
    <row r="554" spans="1:28" ht="15.75" customHeight="1">
      <c r="A554" s="467"/>
      <c r="B554" s="467"/>
      <c r="C554" s="467"/>
      <c r="D554" s="467"/>
      <c r="E554" s="467"/>
      <c r="F554" s="467"/>
      <c r="G554" s="467"/>
      <c r="H554" s="467"/>
      <c r="I554" s="467"/>
      <c r="J554" s="467"/>
      <c r="K554" s="467"/>
      <c r="L554" s="467"/>
      <c r="M554" s="467"/>
      <c r="N554" s="467"/>
      <c r="O554" s="467"/>
      <c r="P554" s="467"/>
      <c r="Q554" s="467"/>
      <c r="R554" s="467"/>
      <c r="S554" s="467"/>
      <c r="T554" s="467"/>
      <c r="U554" s="468"/>
      <c r="V554" s="319"/>
      <c r="W554" s="319"/>
      <c r="X554" s="467"/>
      <c r="Y554" s="467"/>
      <c r="Z554" s="467"/>
      <c r="AA554" s="467"/>
      <c r="AB554" s="467"/>
    </row>
    <row r="555" spans="1:28" ht="15.75" customHeight="1">
      <c r="A555" s="467"/>
      <c r="B555" s="467"/>
      <c r="C555" s="467"/>
      <c r="D555" s="467"/>
      <c r="E555" s="467"/>
      <c r="F555" s="467"/>
      <c r="G555" s="467"/>
      <c r="H555" s="467"/>
      <c r="I555" s="467"/>
      <c r="J555" s="467"/>
      <c r="K555" s="467"/>
      <c r="L555" s="467"/>
      <c r="M555" s="467"/>
      <c r="N555" s="467"/>
      <c r="O555" s="467"/>
      <c r="P555" s="467"/>
      <c r="Q555" s="467"/>
      <c r="R555" s="467"/>
      <c r="S555" s="467"/>
      <c r="T555" s="467"/>
      <c r="U555" s="468"/>
      <c r="V555" s="319"/>
      <c r="W555" s="319"/>
      <c r="X555" s="467"/>
      <c r="Y555" s="467"/>
      <c r="Z555" s="467"/>
      <c r="AA555" s="467"/>
      <c r="AB555" s="467"/>
    </row>
    <row r="556" spans="1:28" ht="15.75" customHeight="1">
      <c r="A556" s="467"/>
      <c r="B556" s="467"/>
      <c r="C556" s="467"/>
      <c r="D556" s="467"/>
      <c r="E556" s="467"/>
      <c r="F556" s="467"/>
      <c r="G556" s="467"/>
      <c r="H556" s="467"/>
      <c r="I556" s="467"/>
      <c r="J556" s="467"/>
      <c r="K556" s="467"/>
      <c r="L556" s="467"/>
      <c r="M556" s="467"/>
      <c r="N556" s="467"/>
      <c r="O556" s="467"/>
      <c r="P556" s="467"/>
      <c r="Q556" s="467"/>
      <c r="R556" s="467"/>
      <c r="S556" s="467"/>
      <c r="T556" s="467"/>
      <c r="U556" s="468"/>
      <c r="V556" s="319"/>
      <c r="W556" s="319"/>
      <c r="X556" s="467"/>
      <c r="Y556" s="467"/>
      <c r="Z556" s="467"/>
      <c r="AA556" s="467"/>
      <c r="AB556" s="467"/>
    </row>
    <row r="557" spans="1:28" ht="15.75" customHeight="1">
      <c r="A557" s="467"/>
      <c r="B557" s="467"/>
      <c r="C557" s="467"/>
      <c r="D557" s="467"/>
      <c r="E557" s="467"/>
      <c r="F557" s="467"/>
      <c r="G557" s="467"/>
      <c r="H557" s="467"/>
      <c r="I557" s="467"/>
      <c r="J557" s="467"/>
      <c r="K557" s="467"/>
      <c r="L557" s="467"/>
      <c r="M557" s="467"/>
      <c r="N557" s="467"/>
      <c r="O557" s="467"/>
      <c r="P557" s="467"/>
      <c r="Q557" s="467"/>
      <c r="R557" s="467"/>
      <c r="S557" s="467"/>
      <c r="T557" s="467"/>
      <c r="U557" s="468"/>
      <c r="V557" s="319"/>
      <c r="W557" s="319"/>
      <c r="X557" s="467"/>
      <c r="Y557" s="467"/>
      <c r="Z557" s="467"/>
      <c r="AA557" s="467"/>
      <c r="AB557" s="467"/>
    </row>
    <row r="558" spans="1:28" ht="15.75" customHeight="1">
      <c r="A558" s="467"/>
      <c r="B558" s="467"/>
      <c r="C558" s="467"/>
      <c r="D558" s="467"/>
      <c r="E558" s="467"/>
      <c r="F558" s="467"/>
      <c r="G558" s="467"/>
      <c r="H558" s="467"/>
      <c r="I558" s="467"/>
      <c r="J558" s="467"/>
      <c r="K558" s="467"/>
      <c r="L558" s="467"/>
      <c r="M558" s="467"/>
      <c r="N558" s="467"/>
      <c r="O558" s="467"/>
      <c r="P558" s="467"/>
      <c r="Q558" s="467"/>
      <c r="R558" s="467"/>
      <c r="S558" s="467"/>
      <c r="T558" s="467"/>
      <c r="U558" s="468"/>
      <c r="V558" s="319"/>
      <c r="W558" s="319"/>
      <c r="X558" s="467"/>
      <c r="Y558" s="467"/>
      <c r="Z558" s="467"/>
      <c r="AA558" s="467"/>
      <c r="AB558" s="467"/>
    </row>
    <row r="559" spans="1:28" ht="15.75" customHeight="1">
      <c r="A559" s="467"/>
      <c r="B559" s="467"/>
      <c r="C559" s="467"/>
      <c r="D559" s="467"/>
      <c r="E559" s="467"/>
      <c r="F559" s="467"/>
      <c r="G559" s="467"/>
      <c r="H559" s="467"/>
      <c r="I559" s="467"/>
      <c r="J559" s="467"/>
      <c r="K559" s="467"/>
      <c r="L559" s="467"/>
      <c r="M559" s="467"/>
      <c r="N559" s="467"/>
      <c r="O559" s="467"/>
      <c r="P559" s="467"/>
      <c r="Q559" s="467"/>
      <c r="R559" s="467"/>
      <c r="S559" s="467"/>
      <c r="T559" s="467"/>
      <c r="U559" s="468"/>
      <c r="V559" s="319"/>
      <c r="W559" s="319"/>
      <c r="X559" s="467"/>
      <c r="Y559" s="467"/>
      <c r="Z559" s="467"/>
      <c r="AA559" s="467"/>
      <c r="AB559" s="467"/>
    </row>
    <row r="560" spans="1:28" ht="15.75" customHeight="1">
      <c r="A560" s="467"/>
      <c r="B560" s="467"/>
      <c r="C560" s="467"/>
      <c r="D560" s="467"/>
      <c r="E560" s="467"/>
      <c r="F560" s="467"/>
      <c r="G560" s="467"/>
      <c r="H560" s="467"/>
      <c r="I560" s="467"/>
      <c r="J560" s="467"/>
      <c r="K560" s="467"/>
      <c r="L560" s="467"/>
      <c r="M560" s="467"/>
      <c r="N560" s="467"/>
      <c r="O560" s="467"/>
      <c r="P560" s="467"/>
      <c r="Q560" s="467"/>
      <c r="R560" s="467"/>
      <c r="S560" s="467"/>
      <c r="T560" s="467"/>
      <c r="U560" s="468"/>
      <c r="V560" s="319"/>
      <c r="W560" s="319"/>
      <c r="X560" s="467"/>
      <c r="Y560" s="467"/>
      <c r="Z560" s="467"/>
      <c r="AA560" s="467"/>
      <c r="AB560" s="467"/>
    </row>
    <row r="561" spans="1:28" ht="15.75" customHeight="1">
      <c r="A561" s="467"/>
      <c r="B561" s="467"/>
      <c r="C561" s="467"/>
      <c r="D561" s="467"/>
      <c r="E561" s="467"/>
      <c r="F561" s="467"/>
      <c r="G561" s="467"/>
      <c r="H561" s="467"/>
      <c r="I561" s="467"/>
      <c r="J561" s="467"/>
      <c r="K561" s="467"/>
      <c r="L561" s="467"/>
      <c r="M561" s="467"/>
      <c r="N561" s="467"/>
      <c r="O561" s="467"/>
      <c r="P561" s="467"/>
      <c r="Q561" s="467"/>
      <c r="R561" s="467"/>
      <c r="S561" s="467"/>
      <c r="T561" s="467"/>
      <c r="U561" s="468"/>
      <c r="V561" s="319"/>
      <c r="W561" s="319"/>
      <c r="X561" s="467"/>
      <c r="Y561" s="467"/>
      <c r="Z561" s="467"/>
      <c r="AA561" s="467"/>
      <c r="AB561" s="467"/>
    </row>
    <row r="562" spans="1:28" ht="15.75" customHeight="1">
      <c r="A562" s="467"/>
      <c r="B562" s="467"/>
      <c r="C562" s="467"/>
      <c r="D562" s="467"/>
      <c r="E562" s="467"/>
      <c r="F562" s="467"/>
      <c r="G562" s="467"/>
      <c r="H562" s="467"/>
      <c r="I562" s="467"/>
      <c r="J562" s="467"/>
      <c r="K562" s="467"/>
      <c r="L562" s="467"/>
      <c r="M562" s="467"/>
      <c r="N562" s="467"/>
      <c r="O562" s="467"/>
      <c r="P562" s="467"/>
      <c r="Q562" s="467"/>
      <c r="R562" s="467"/>
      <c r="S562" s="467"/>
      <c r="T562" s="467"/>
      <c r="U562" s="468"/>
      <c r="V562" s="319"/>
      <c r="W562" s="319"/>
      <c r="X562" s="467"/>
      <c r="Y562" s="467"/>
      <c r="Z562" s="467"/>
      <c r="AA562" s="467"/>
      <c r="AB562" s="467"/>
    </row>
    <row r="563" spans="1:28" ht="15.75" customHeight="1">
      <c r="A563" s="467"/>
      <c r="B563" s="467"/>
      <c r="C563" s="467"/>
      <c r="D563" s="467"/>
      <c r="E563" s="467"/>
      <c r="F563" s="467"/>
      <c r="G563" s="467"/>
      <c r="H563" s="467"/>
      <c r="I563" s="467"/>
      <c r="J563" s="467"/>
      <c r="K563" s="467"/>
      <c r="L563" s="467"/>
      <c r="M563" s="467"/>
      <c r="N563" s="467"/>
      <c r="O563" s="467"/>
      <c r="P563" s="467"/>
      <c r="Q563" s="467"/>
      <c r="R563" s="467"/>
      <c r="S563" s="467"/>
      <c r="T563" s="467"/>
      <c r="U563" s="468"/>
      <c r="V563" s="319"/>
      <c r="W563" s="319"/>
      <c r="X563" s="467"/>
      <c r="Y563" s="467"/>
      <c r="Z563" s="467"/>
      <c r="AA563" s="467"/>
      <c r="AB563" s="467"/>
    </row>
    <row r="564" spans="1:28" ht="15.75" customHeight="1">
      <c r="A564" s="467"/>
      <c r="B564" s="467"/>
      <c r="C564" s="467"/>
      <c r="D564" s="467"/>
      <c r="E564" s="467"/>
      <c r="F564" s="467"/>
      <c r="G564" s="467"/>
      <c r="H564" s="467"/>
      <c r="I564" s="467"/>
      <c r="J564" s="467"/>
      <c r="K564" s="467"/>
      <c r="L564" s="467"/>
      <c r="M564" s="467"/>
      <c r="N564" s="467"/>
      <c r="O564" s="467"/>
      <c r="P564" s="467"/>
      <c r="Q564" s="467"/>
      <c r="R564" s="467"/>
      <c r="S564" s="467"/>
      <c r="T564" s="467"/>
      <c r="U564" s="468"/>
      <c r="V564" s="319"/>
      <c r="W564" s="319"/>
      <c r="X564" s="467"/>
      <c r="Y564" s="467"/>
      <c r="Z564" s="467"/>
      <c r="AA564" s="467"/>
      <c r="AB564" s="467"/>
    </row>
    <row r="565" spans="1:28" ht="15.75" customHeight="1">
      <c r="A565" s="467"/>
      <c r="B565" s="467"/>
      <c r="C565" s="467"/>
      <c r="D565" s="467"/>
      <c r="E565" s="467"/>
      <c r="F565" s="467"/>
      <c r="G565" s="467"/>
      <c r="H565" s="467"/>
      <c r="I565" s="467"/>
      <c r="J565" s="467"/>
      <c r="K565" s="467"/>
      <c r="L565" s="467"/>
      <c r="M565" s="467"/>
      <c r="N565" s="467"/>
      <c r="O565" s="467"/>
      <c r="P565" s="467"/>
      <c r="Q565" s="467"/>
      <c r="R565" s="467"/>
      <c r="S565" s="467"/>
      <c r="T565" s="467"/>
      <c r="U565" s="468"/>
      <c r="V565" s="319"/>
      <c r="W565" s="319"/>
      <c r="X565" s="467"/>
      <c r="Y565" s="467"/>
      <c r="Z565" s="467"/>
      <c r="AA565" s="467"/>
      <c r="AB565" s="467"/>
    </row>
    <row r="566" spans="1:28" ht="15.75" customHeight="1">
      <c r="A566" s="467"/>
      <c r="B566" s="467"/>
      <c r="C566" s="467"/>
      <c r="D566" s="467"/>
      <c r="E566" s="467"/>
      <c r="F566" s="467"/>
      <c r="G566" s="467"/>
      <c r="H566" s="467"/>
      <c r="I566" s="467"/>
      <c r="J566" s="467"/>
      <c r="K566" s="467"/>
      <c r="L566" s="467"/>
      <c r="M566" s="467"/>
      <c r="N566" s="467"/>
      <c r="O566" s="467"/>
      <c r="P566" s="467"/>
      <c r="Q566" s="467"/>
      <c r="R566" s="467"/>
      <c r="S566" s="467"/>
      <c r="T566" s="467"/>
      <c r="U566" s="468"/>
      <c r="V566" s="319"/>
      <c r="W566" s="319"/>
      <c r="X566" s="467"/>
      <c r="Y566" s="467"/>
      <c r="Z566" s="467"/>
      <c r="AA566" s="467"/>
      <c r="AB566" s="467"/>
    </row>
    <row r="567" spans="1:28" ht="15.75" customHeight="1">
      <c r="A567" s="467"/>
      <c r="B567" s="467"/>
      <c r="C567" s="467"/>
      <c r="D567" s="467"/>
      <c r="E567" s="467"/>
      <c r="F567" s="467"/>
      <c r="G567" s="467"/>
      <c r="H567" s="467"/>
      <c r="I567" s="467"/>
      <c r="J567" s="467"/>
      <c r="K567" s="467"/>
      <c r="L567" s="467"/>
      <c r="M567" s="467"/>
      <c r="N567" s="467"/>
      <c r="O567" s="467"/>
      <c r="P567" s="467"/>
      <c r="Q567" s="467"/>
      <c r="R567" s="467"/>
      <c r="S567" s="467"/>
      <c r="T567" s="467"/>
      <c r="U567" s="468"/>
      <c r="V567" s="319"/>
      <c r="W567" s="319"/>
      <c r="X567" s="467"/>
      <c r="Y567" s="467"/>
      <c r="Z567" s="467"/>
      <c r="AA567" s="467"/>
      <c r="AB567" s="467"/>
    </row>
    <row r="568" spans="1:28" ht="15.75" customHeight="1">
      <c r="A568" s="467"/>
      <c r="B568" s="467"/>
      <c r="C568" s="467"/>
      <c r="D568" s="467"/>
      <c r="E568" s="467"/>
      <c r="F568" s="467"/>
      <c r="G568" s="467"/>
      <c r="H568" s="467"/>
      <c r="I568" s="467"/>
      <c r="J568" s="467"/>
      <c r="K568" s="467"/>
      <c r="L568" s="467"/>
      <c r="M568" s="467"/>
      <c r="N568" s="467"/>
      <c r="O568" s="467"/>
      <c r="P568" s="467"/>
      <c r="Q568" s="467"/>
      <c r="R568" s="467"/>
      <c r="S568" s="467"/>
      <c r="T568" s="467"/>
      <c r="U568" s="468"/>
      <c r="V568" s="319"/>
      <c r="W568" s="319"/>
      <c r="X568" s="467"/>
      <c r="Y568" s="467"/>
      <c r="Z568" s="467"/>
      <c r="AA568" s="467"/>
      <c r="AB568" s="467"/>
    </row>
    <row r="569" spans="1:28" ht="15.75" customHeight="1">
      <c r="A569" s="467"/>
      <c r="B569" s="467"/>
      <c r="C569" s="467"/>
      <c r="D569" s="467"/>
      <c r="E569" s="467"/>
      <c r="F569" s="467"/>
      <c r="G569" s="467"/>
      <c r="H569" s="467"/>
      <c r="I569" s="467"/>
      <c r="J569" s="467"/>
      <c r="K569" s="467"/>
      <c r="L569" s="467"/>
      <c r="M569" s="467"/>
      <c r="N569" s="467"/>
      <c r="O569" s="467"/>
      <c r="P569" s="467"/>
      <c r="Q569" s="467"/>
      <c r="R569" s="467"/>
      <c r="S569" s="467"/>
      <c r="T569" s="467"/>
      <c r="U569" s="468"/>
      <c r="V569" s="319"/>
      <c r="W569" s="319"/>
      <c r="X569" s="467"/>
      <c r="Y569" s="467"/>
      <c r="Z569" s="467"/>
      <c r="AA569" s="467"/>
      <c r="AB569" s="467"/>
    </row>
    <row r="570" spans="1:28" ht="15.75" customHeight="1">
      <c r="A570" s="467"/>
      <c r="B570" s="467"/>
      <c r="C570" s="467"/>
      <c r="D570" s="467"/>
      <c r="E570" s="467"/>
      <c r="F570" s="467"/>
      <c r="G570" s="467"/>
      <c r="H570" s="467"/>
      <c r="I570" s="467"/>
      <c r="J570" s="467"/>
      <c r="K570" s="467"/>
      <c r="L570" s="467"/>
      <c r="M570" s="467"/>
      <c r="N570" s="467"/>
      <c r="O570" s="467"/>
      <c r="P570" s="467"/>
      <c r="Q570" s="467"/>
      <c r="R570" s="467"/>
      <c r="S570" s="467"/>
      <c r="T570" s="467"/>
      <c r="U570" s="468"/>
      <c r="V570" s="319"/>
      <c r="W570" s="319"/>
      <c r="X570" s="467"/>
      <c r="Y570" s="467"/>
      <c r="Z570" s="467"/>
      <c r="AA570" s="467"/>
      <c r="AB570" s="467"/>
    </row>
    <row r="571" spans="1:28" ht="15.75" customHeight="1">
      <c r="A571" s="467"/>
      <c r="B571" s="467"/>
      <c r="C571" s="467"/>
      <c r="D571" s="467"/>
      <c r="E571" s="467"/>
      <c r="F571" s="467"/>
      <c r="G571" s="467"/>
      <c r="H571" s="467"/>
      <c r="I571" s="467"/>
      <c r="J571" s="467"/>
      <c r="K571" s="467"/>
      <c r="L571" s="467"/>
      <c r="M571" s="467"/>
      <c r="N571" s="467"/>
      <c r="O571" s="467"/>
      <c r="P571" s="467"/>
      <c r="Q571" s="467"/>
      <c r="R571" s="467"/>
      <c r="S571" s="467"/>
      <c r="T571" s="467"/>
      <c r="U571" s="468"/>
      <c r="V571" s="319"/>
      <c r="W571" s="319"/>
      <c r="X571" s="467"/>
      <c r="Y571" s="467"/>
      <c r="Z571" s="467"/>
      <c r="AA571" s="467"/>
      <c r="AB571" s="467"/>
    </row>
    <row r="572" spans="1:28" ht="15.75" customHeight="1">
      <c r="A572" s="467"/>
      <c r="B572" s="467"/>
      <c r="C572" s="467"/>
      <c r="D572" s="467"/>
      <c r="E572" s="467"/>
      <c r="F572" s="467"/>
      <c r="G572" s="467"/>
      <c r="H572" s="467"/>
      <c r="I572" s="467"/>
      <c r="J572" s="467"/>
      <c r="K572" s="467"/>
      <c r="L572" s="467"/>
      <c r="M572" s="467"/>
      <c r="N572" s="467"/>
      <c r="O572" s="467"/>
      <c r="P572" s="467"/>
      <c r="Q572" s="467"/>
      <c r="R572" s="467"/>
      <c r="S572" s="467"/>
      <c r="T572" s="467"/>
      <c r="U572" s="468"/>
      <c r="V572" s="319"/>
      <c r="W572" s="319"/>
      <c r="X572" s="467"/>
      <c r="Y572" s="467"/>
      <c r="Z572" s="467"/>
      <c r="AA572" s="467"/>
      <c r="AB572" s="467"/>
    </row>
    <row r="573" spans="1:28" ht="15.75" customHeight="1">
      <c r="A573" s="467"/>
      <c r="B573" s="467"/>
      <c r="C573" s="467"/>
      <c r="D573" s="467"/>
      <c r="E573" s="467"/>
      <c r="F573" s="467"/>
      <c r="G573" s="467"/>
      <c r="H573" s="467"/>
      <c r="I573" s="467"/>
      <c r="J573" s="467"/>
      <c r="K573" s="467"/>
      <c r="L573" s="467"/>
      <c r="M573" s="467"/>
      <c r="N573" s="467"/>
      <c r="O573" s="467"/>
      <c r="P573" s="467"/>
      <c r="Q573" s="467"/>
      <c r="R573" s="467"/>
      <c r="S573" s="467"/>
      <c r="T573" s="467"/>
      <c r="U573" s="468"/>
      <c r="V573" s="319"/>
      <c r="W573" s="319"/>
      <c r="X573" s="467"/>
      <c r="Y573" s="467"/>
      <c r="Z573" s="467"/>
      <c r="AA573" s="467"/>
      <c r="AB573" s="467"/>
    </row>
    <row r="574" spans="1:28" ht="15.75" customHeight="1">
      <c r="A574" s="467"/>
      <c r="B574" s="467"/>
      <c r="C574" s="467"/>
      <c r="D574" s="467"/>
      <c r="E574" s="467"/>
      <c r="F574" s="467"/>
      <c r="G574" s="467"/>
      <c r="H574" s="467"/>
      <c r="I574" s="467"/>
      <c r="J574" s="467"/>
      <c r="K574" s="467"/>
      <c r="L574" s="467"/>
      <c r="M574" s="467"/>
      <c r="N574" s="467"/>
      <c r="O574" s="467"/>
      <c r="P574" s="467"/>
      <c r="Q574" s="467"/>
      <c r="R574" s="467"/>
      <c r="S574" s="467"/>
      <c r="T574" s="467"/>
      <c r="U574" s="468"/>
      <c r="V574" s="319"/>
      <c r="W574" s="319"/>
      <c r="X574" s="467"/>
      <c r="Y574" s="467"/>
      <c r="Z574" s="467"/>
      <c r="AA574" s="467"/>
      <c r="AB574" s="467"/>
    </row>
    <row r="575" spans="1:28" ht="15.75" customHeight="1">
      <c r="A575" s="467"/>
      <c r="B575" s="467"/>
      <c r="C575" s="467"/>
      <c r="D575" s="467"/>
      <c r="E575" s="467"/>
      <c r="F575" s="467"/>
      <c r="G575" s="467"/>
      <c r="H575" s="467"/>
      <c r="I575" s="467"/>
      <c r="J575" s="467"/>
      <c r="K575" s="467"/>
      <c r="L575" s="467"/>
      <c r="M575" s="467"/>
      <c r="N575" s="467"/>
      <c r="O575" s="467"/>
      <c r="P575" s="467"/>
      <c r="Q575" s="467"/>
      <c r="R575" s="467"/>
      <c r="S575" s="467"/>
      <c r="T575" s="467"/>
      <c r="U575" s="468"/>
      <c r="V575" s="319"/>
      <c r="W575" s="319"/>
      <c r="X575" s="467"/>
      <c r="Y575" s="467"/>
      <c r="Z575" s="467"/>
      <c r="AA575" s="467"/>
      <c r="AB575" s="467"/>
    </row>
    <row r="576" spans="1:28" ht="15.75" customHeight="1">
      <c r="A576" s="467"/>
      <c r="B576" s="467"/>
      <c r="C576" s="467"/>
      <c r="D576" s="467"/>
      <c r="E576" s="467"/>
      <c r="F576" s="467"/>
      <c r="G576" s="467"/>
      <c r="H576" s="467"/>
      <c r="I576" s="467"/>
      <c r="J576" s="467"/>
      <c r="K576" s="467"/>
      <c r="L576" s="467"/>
      <c r="M576" s="467"/>
      <c r="N576" s="467"/>
      <c r="O576" s="467"/>
      <c r="P576" s="467"/>
      <c r="Q576" s="467"/>
      <c r="R576" s="467"/>
      <c r="S576" s="467"/>
      <c r="T576" s="467"/>
      <c r="U576" s="468"/>
      <c r="V576" s="319"/>
      <c r="W576" s="319"/>
      <c r="X576" s="467"/>
      <c r="Y576" s="467"/>
      <c r="Z576" s="467"/>
      <c r="AA576" s="467"/>
      <c r="AB576" s="467"/>
    </row>
    <row r="577" spans="1:28" ht="15.75" customHeight="1">
      <c r="A577" s="467"/>
      <c r="B577" s="467"/>
      <c r="C577" s="467"/>
      <c r="D577" s="467"/>
      <c r="E577" s="467"/>
      <c r="F577" s="467"/>
      <c r="G577" s="467"/>
      <c r="H577" s="467"/>
      <c r="I577" s="467"/>
      <c r="J577" s="467"/>
      <c r="K577" s="467"/>
      <c r="L577" s="467"/>
      <c r="M577" s="467"/>
      <c r="N577" s="467"/>
      <c r="O577" s="467"/>
      <c r="P577" s="467"/>
      <c r="Q577" s="467"/>
      <c r="R577" s="467"/>
      <c r="S577" s="467"/>
      <c r="T577" s="467"/>
      <c r="U577" s="468"/>
      <c r="V577" s="319"/>
      <c r="W577" s="319"/>
      <c r="X577" s="467"/>
      <c r="Y577" s="467"/>
      <c r="Z577" s="467"/>
      <c r="AA577" s="467"/>
      <c r="AB577" s="467"/>
    </row>
    <row r="578" spans="1:28" ht="15.75" customHeight="1">
      <c r="A578" s="467"/>
      <c r="B578" s="467"/>
      <c r="C578" s="467"/>
      <c r="D578" s="467"/>
      <c r="E578" s="467"/>
      <c r="F578" s="467"/>
      <c r="G578" s="467"/>
      <c r="H578" s="467"/>
      <c r="I578" s="467"/>
      <c r="J578" s="467"/>
      <c r="K578" s="467"/>
      <c r="L578" s="467"/>
      <c r="M578" s="467"/>
      <c r="N578" s="467"/>
      <c r="O578" s="467"/>
      <c r="P578" s="467"/>
      <c r="Q578" s="467"/>
      <c r="R578" s="467"/>
      <c r="S578" s="467"/>
      <c r="T578" s="467"/>
      <c r="U578" s="468"/>
      <c r="V578" s="319"/>
      <c r="W578" s="319"/>
      <c r="X578" s="467"/>
      <c r="Y578" s="467"/>
      <c r="Z578" s="467"/>
      <c r="AA578" s="467"/>
      <c r="AB578" s="467"/>
    </row>
    <row r="579" spans="1:28" ht="15.75" customHeight="1">
      <c r="A579" s="467"/>
      <c r="B579" s="467"/>
      <c r="C579" s="467"/>
      <c r="D579" s="467"/>
      <c r="E579" s="467"/>
      <c r="F579" s="467"/>
      <c r="G579" s="467"/>
      <c r="H579" s="467"/>
      <c r="I579" s="467"/>
      <c r="J579" s="467"/>
      <c r="K579" s="467"/>
      <c r="L579" s="467"/>
      <c r="M579" s="467"/>
      <c r="N579" s="467"/>
      <c r="O579" s="467"/>
      <c r="P579" s="467"/>
      <c r="Q579" s="467"/>
      <c r="R579" s="467"/>
      <c r="S579" s="467"/>
      <c r="T579" s="467"/>
      <c r="U579" s="468"/>
      <c r="V579" s="319"/>
      <c r="W579" s="319"/>
      <c r="X579" s="467"/>
      <c r="Y579" s="467"/>
      <c r="Z579" s="467"/>
      <c r="AA579" s="467"/>
      <c r="AB579" s="467"/>
    </row>
    <row r="580" spans="1:28" ht="15.75" customHeight="1">
      <c r="A580" s="467"/>
      <c r="B580" s="467"/>
      <c r="C580" s="467"/>
      <c r="D580" s="467"/>
      <c r="E580" s="467"/>
      <c r="F580" s="467"/>
      <c r="G580" s="467"/>
      <c r="H580" s="467"/>
      <c r="I580" s="467"/>
      <c r="J580" s="467"/>
      <c r="K580" s="467"/>
      <c r="L580" s="467"/>
      <c r="M580" s="467"/>
      <c r="N580" s="467"/>
      <c r="O580" s="467"/>
      <c r="P580" s="467"/>
      <c r="Q580" s="467"/>
      <c r="R580" s="467"/>
      <c r="S580" s="467"/>
      <c r="T580" s="467"/>
      <c r="U580" s="468"/>
      <c r="V580" s="319"/>
      <c r="W580" s="319"/>
      <c r="X580" s="467"/>
      <c r="Y580" s="467"/>
      <c r="Z580" s="467"/>
      <c r="AA580" s="467"/>
      <c r="AB580" s="467"/>
    </row>
    <row r="581" spans="1:28" ht="15.75" customHeight="1">
      <c r="A581" s="467"/>
      <c r="B581" s="467"/>
      <c r="C581" s="467"/>
      <c r="D581" s="467"/>
      <c r="E581" s="467"/>
      <c r="F581" s="467"/>
      <c r="G581" s="467"/>
      <c r="H581" s="467"/>
      <c r="I581" s="467"/>
      <c r="J581" s="467"/>
      <c r="K581" s="467"/>
      <c r="L581" s="467"/>
      <c r="M581" s="467"/>
      <c r="N581" s="467"/>
      <c r="O581" s="467"/>
      <c r="P581" s="467"/>
      <c r="Q581" s="467"/>
      <c r="R581" s="467"/>
      <c r="S581" s="467"/>
      <c r="T581" s="467"/>
      <c r="U581" s="468"/>
      <c r="V581" s="319"/>
      <c r="W581" s="319"/>
      <c r="X581" s="467"/>
      <c r="Y581" s="467"/>
      <c r="Z581" s="467"/>
      <c r="AA581" s="467"/>
      <c r="AB581" s="467"/>
    </row>
    <row r="582" spans="1:28" ht="15.75" customHeight="1">
      <c r="A582" s="467"/>
      <c r="B582" s="467"/>
      <c r="C582" s="467"/>
      <c r="D582" s="467"/>
      <c r="E582" s="467"/>
      <c r="F582" s="467"/>
      <c r="G582" s="467"/>
      <c r="H582" s="467"/>
      <c r="I582" s="467"/>
      <c r="J582" s="467"/>
      <c r="K582" s="467"/>
      <c r="L582" s="467"/>
      <c r="M582" s="467"/>
      <c r="N582" s="467"/>
      <c r="O582" s="467"/>
      <c r="P582" s="467"/>
      <c r="Q582" s="467"/>
      <c r="R582" s="467"/>
      <c r="S582" s="467"/>
      <c r="T582" s="467"/>
      <c r="U582" s="468"/>
      <c r="V582" s="319"/>
      <c r="W582" s="319"/>
      <c r="X582" s="467"/>
      <c r="Y582" s="467"/>
      <c r="Z582" s="467"/>
      <c r="AA582" s="467"/>
      <c r="AB582" s="467"/>
    </row>
    <row r="583" spans="1:28" ht="15.75" customHeight="1">
      <c r="A583" s="467"/>
      <c r="B583" s="467"/>
      <c r="C583" s="467"/>
      <c r="D583" s="467"/>
      <c r="E583" s="467"/>
      <c r="F583" s="467"/>
      <c r="G583" s="467"/>
      <c r="H583" s="467"/>
      <c r="I583" s="467"/>
      <c r="J583" s="467"/>
      <c r="K583" s="467"/>
      <c r="L583" s="467"/>
      <c r="M583" s="467"/>
      <c r="N583" s="467"/>
      <c r="O583" s="467"/>
      <c r="P583" s="467"/>
      <c r="Q583" s="467"/>
      <c r="R583" s="467"/>
      <c r="S583" s="467"/>
      <c r="T583" s="467"/>
      <c r="U583" s="468"/>
      <c r="V583" s="319"/>
      <c r="W583" s="319"/>
      <c r="X583" s="467"/>
      <c r="Y583" s="467"/>
      <c r="Z583" s="467"/>
      <c r="AA583" s="467"/>
      <c r="AB583" s="467"/>
    </row>
    <row r="584" spans="1:28" ht="15.75" customHeight="1">
      <c r="A584" s="467"/>
      <c r="B584" s="467"/>
      <c r="C584" s="467"/>
      <c r="D584" s="467"/>
      <c r="E584" s="467"/>
      <c r="F584" s="467"/>
      <c r="G584" s="467"/>
      <c r="H584" s="467"/>
      <c r="I584" s="467"/>
      <c r="J584" s="467"/>
      <c r="K584" s="467"/>
      <c r="L584" s="467"/>
      <c r="M584" s="467"/>
      <c r="N584" s="467"/>
      <c r="O584" s="467"/>
      <c r="P584" s="467"/>
      <c r="Q584" s="467"/>
      <c r="R584" s="467"/>
      <c r="S584" s="467"/>
      <c r="T584" s="467"/>
      <c r="U584" s="468"/>
      <c r="V584" s="319"/>
      <c r="W584" s="319"/>
      <c r="X584" s="467"/>
      <c r="Y584" s="467"/>
      <c r="Z584" s="467"/>
      <c r="AA584" s="467"/>
      <c r="AB584" s="467"/>
    </row>
    <row r="585" spans="1:28" ht="15.75" customHeight="1">
      <c r="A585" s="467"/>
      <c r="B585" s="467"/>
      <c r="C585" s="467"/>
      <c r="D585" s="467"/>
      <c r="E585" s="467"/>
      <c r="F585" s="467"/>
      <c r="G585" s="467"/>
      <c r="H585" s="467"/>
      <c r="I585" s="467"/>
      <c r="J585" s="467"/>
      <c r="K585" s="467"/>
      <c r="L585" s="467"/>
      <c r="M585" s="467"/>
      <c r="N585" s="467"/>
      <c r="O585" s="467"/>
      <c r="P585" s="467"/>
      <c r="Q585" s="467"/>
      <c r="R585" s="467"/>
      <c r="S585" s="467"/>
      <c r="T585" s="467"/>
      <c r="U585" s="468"/>
      <c r="V585" s="319"/>
      <c r="W585" s="319"/>
      <c r="X585" s="467"/>
      <c r="Y585" s="467"/>
      <c r="Z585" s="467"/>
      <c r="AA585" s="467"/>
      <c r="AB585" s="467"/>
    </row>
    <row r="586" spans="1:28" ht="15.75" customHeight="1">
      <c r="A586" s="467"/>
      <c r="B586" s="467"/>
      <c r="C586" s="467"/>
      <c r="D586" s="467"/>
      <c r="E586" s="467"/>
      <c r="F586" s="467"/>
      <c r="G586" s="467"/>
      <c r="H586" s="467"/>
      <c r="I586" s="467"/>
      <c r="J586" s="467"/>
      <c r="K586" s="467"/>
      <c r="L586" s="467"/>
      <c r="M586" s="467"/>
      <c r="N586" s="467"/>
      <c r="O586" s="467"/>
      <c r="P586" s="467"/>
      <c r="Q586" s="467"/>
      <c r="R586" s="467"/>
      <c r="S586" s="467"/>
      <c r="T586" s="467"/>
      <c r="U586" s="468"/>
      <c r="V586" s="319"/>
      <c r="W586" s="319"/>
      <c r="X586" s="467"/>
      <c r="Y586" s="467"/>
      <c r="Z586" s="467"/>
      <c r="AA586" s="467"/>
      <c r="AB586" s="467"/>
    </row>
    <row r="587" spans="1:28" ht="15.75" customHeight="1">
      <c r="A587" s="467"/>
      <c r="B587" s="467"/>
      <c r="C587" s="467"/>
      <c r="D587" s="467"/>
      <c r="E587" s="467"/>
      <c r="F587" s="467"/>
      <c r="G587" s="467"/>
      <c r="H587" s="467"/>
      <c r="I587" s="467"/>
      <c r="J587" s="467"/>
      <c r="K587" s="467"/>
      <c r="L587" s="467"/>
      <c r="M587" s="467"/>
      <c r="N587" s="467"/>
      <c r="O587" s="467"/>
      <c r="P587" s="467"/>
      <c r="Q587" s="467"/>
      <c r="R587" s="467"/>
      <c r="S587" s="467"/>
      <c r="T587" s="467"/>
      <c r="U587" s="468"/>
      <c r="V587" s="319"/>
      <c r="W587" s="319"/>
      <c r="X587" s="467"/>
      <c r="Y587" s="467"/>
      <c r="Z587" s="467"/>
      <c r="AA587" s="467"/>
      <c r="AB587" s="467"/>
    </row>
    <row r="588" spans="1:28" ht="15.75" customHeight="1">
      <c r="A588" s="467"/>
      <c r="B588" s="467"/>
      <c r="C588" s="467"/>
      <c r="D588" s="467"/>
      <c r="E588" s="467"/>
      <c r="F588" s="467"/>
      <c r="G588" s="467"/>
      <c r="H588" s="467"/>
      <c r="I588" s="467"/>
      <c r="J588" s="467"/>
      <c r="K588" s="467"/>
      <c r="L588" s="467"/>
      <c r="M588" s="467"/>
      <c r="N588" s="467"/>
      <c r="O588" s="467"/>
      <c r="P588" s="467"/>
      <c r="Q588" s="467"/>
      <c r="R588" s="467"/>
      <c r="S588" s="467"/>
      <c r="T588" s="467"/>
      <c r="U588" s="468"/>
      <c r="V588" s="319"/>
      <c r="W588" s="319"/>
      <c r="X588" s="467"/>
      <c r="Y588" s="467"/>
      <c r="Z588" s="467"/>
      <c r="AA588" s="467"/>
      <c r="AB588" s="467"/>
    </row>
    <row r="589" spans="1:28" ht="15.75" customHeight="1">
      <c r="A589" s="467"/>
      <c r="B589" s="467"/>
      <c r="C589" s="467"/>
      <c r="D589" s="467"/>
      <c r="E589" s="467"/>
      <c r="F589" s="467"/>
      <c r="G589" s="467"/>
      <c r="H589" s="467"/>
      <c r="I589" s="467"/>
      <c r="J589" s="467"/>
      <c r="K589" s="467"/>
      <c r="L589" s="467"/>
      <c r="M589" s="467"/>
      <c r="N589" s="467"/>
      <c r="O589" s="467"/>
      <c r="P589" s="467"/>
      <c r="Q589" s="467"/>
      <c r="R589" s="467"/>
      <c r="S589" s="467"/>
      <c r="T589" s="467"/>
      <c r="U589" s="468"/>
      <c r="V589" s="319"/>
      <c r="W589" s="319"/>
      <c r="X589" s="467"/>
      <c r="Y589" s="467"/>
      <c r="Z589" s="467"/>
      <c r="AA589" s="467"/>
      <c r="AB589" s="467"/>
    </row>
    <row r="590" spans="1:28" ht="15.75" customHeight="1">
      <c r="A590" s="467"/>
      <c r="B590" s="467"/>
      <c r="C590" s="467"/>
      <c r="D590" s="467"/>
      <c r="E590" s="467"/>
      <c r="F590" s="467"/>
      <c r="G590" s="467"/>
      <c r="H590" s="467"/>
      <c r="I590" s="467"/>
      <c r="J590" s="467"/>
      <c r="K590" s="467"/>
      <c r="L590" s="467"/>
      <c r="M590" s="467"/>
      <c r="N590" s="467"/>
      <c r="O590" s="467"/>
      <c r="P590" s="467"/>
      <c r="Q590" s="467"/>
      <c r="R590" s="467"/>
      <c r="S590" s="467"/>
      <c r="T590" s="467"/>
      <c r="U590" s="468"/>
      <c r="V590" s="319"/>
      <c r="W590" s="319"/>
      <c r="X590" s="467"/>
      <c r="Y590" s="467"/>
      <c r="Z590" s="467"/>
      <c r="AA590" s="467"/>
      <c r="AB590" s="467"/>
    </row>
    <row r="591" spans="1:28" ht="15.75" customHeight="1">
      <c r="A591" s="467"/>
      <c r="B591" s="467"/>
      <c r="C591" s="467"/>
      <c r="D591" s="467"/>
      <c r="E591" s="467"/>
      <c r="F591" s="467"/>
      <c r="G591" s="467"/>
      <c r="H591" s="467"/>
      <c r="I591" s="467"/>
      <c r="J591" s="467"/>
      <c r="K591" s="467"/>
      <c r="L591" s="467"/>
      <c r="M591" s="467"/>
      <c r="N591" s="467"/>
      <c r="O591" s="467"/>
      <c r="P591" s="467"/>
      <c r="Q591" s="467"/>
      <c r="R591" s="467"/>
      <c r="S591" s="467"/>
      <c r="T591" s="467"/>
      <c r="U591" s="468"/>
      <c r="V591" s="319"/>
      <c r="W591" s="319"/>
      <c r="X591" s="467"/>
      <c r="Y591" s="467"/>
      <c r="Z591" s="467"/>
      <c r="AA591" s="467"/>
      <c r="AB591" s="467"/>
    </row>
    <row r="592" spans="1:28" ht="15.75" customHeight="1">
      <c r="A592" s="467"/>
      <c r="B592" s="467"/>
      <c r="C592" s="467"/>
      <c r="D592" s="467"/>
      <c r="E592" s="467"/>
      <c r="F592" s="467"/>
      <c r="G592" s="467"/>
      <c r="H592" s="467"/>
      <c r="I592" s="467"/>
      <c r="J592" s="467"/>
      <c r="K592" s="467"/>
      <c r="L592" s="467"/>
      <c r="M592" s="467"/>
      <c r="N592" s="467"/>
      <c r="O592" s="467"/>
      <c r="P592" s="467"/>
      <c r="Q592" s="467"/>
      <c r="R592" s="467"/>
      <c r="S592" s="467"/>
      <c r="T592" s="467"/>
      <c r="U592" s="468"/>
      <c r="V592" s="319"/>
      <c r="W592" s="319"/>
      <c r="X592" s="467"/>
      <c r="Y592" s="467"/>
      <c r="Z592" s="467"/>
      <c r="AA592" s="467"/>
      <c r="AB592" s="467"/>
    </row>
    <row r="593" spans="1:28" ht="15.75" customHeight="1">
      <c r="A593" s="467"/>
      <c r="B593" s="467"/>
      <c r="C593" s="467"/>
      <c r="D593" s="467"/>
      <c r="E593" s="467"/>
      <c r="F593" s="467"/>
      <c r="G593" s="467"/>
      <c r="H593" s="467"/>
      <c r="I593" s="467"/>
      <c r="J593" s="467"/>
      <c r="K593" s="467"/>
      <c r="L593" s="467"/>
      <c r="M593" s="467"/>
      <c r="N593" s="467"/>
      <c r="O593" s="467"/>
      <c r="P593" s="467"/>
      <c r="Q593" s="467"/>
      <c r="R593" s="467"/>
      <c r="S593" s="467"/>
      <c r="T593" s="467"/>
      <c r="U593" s="468"/>
      <c r="V593" s="319"/>
      <c r="W593" s="319"/>
      <c r="X593" s="467"/>
      <c r="Y593" s="467"/>
      <c r="Z593" s="467"/>
      <c r="AA593" s="467"/>
      <c r="AB593" s="467"/>
    </row>
    <row r="594" spans="1:28" ht="15.75" customHeight="1">
      <c r="A594" s="467"/>
      <c r="B594" s="467"/>
      <c r="C594" s="467"/>
      <c r="D594" s="467"/>
      <c r="E594" s="467"/>
      <c r="F594" s="467"/>
      <c r="G594" s="467"/>
      <c r="H594" s="467"/>
      <c r="I594" s="467"/>
      <c r="J594" s="467"/>
      <c r="K594" s="467"/>
      <c r="L594" s="467"/>
      <c r="M594" s="467"/>
      <c r="N594" s="467"/>
      <c r="O594" s="467"/>
      <c r="P594" s="467"/>
      <c r="Q594" s="467"/>
      <c r="R594" s="467"/>
      <c r="S594" s="467"/>
      <c r="T594" s="467"/>
      <c r="U594" s="468"/>
      <c r="V594" s="319"/>
      <c r="W594" s="319"/>
      <c r="X594" s="467"/>
      <c r="Y594" s="467"/>
      <c r="Z594" s="467"/>
      <c r="AA594" s="467"/>
      <c r="AB594" s="467"/>
    </row>
    <row r="595" spans="1:28" ht="15.75" customHeight="1">
      <c r="A595" s="467"/>
      <c r="B595" s="467"/>
      <c r="C595" s="467"/>
      <c r="D595" s="467"/>
      <c r="E595" s="467"/>
      <c r="F595" s="467"/>
      <c r="G595" s="467"/>
      <c r="H595" s="467"/>
      <c r="I595" s="467"/>
      <c r="J595" s="467"/>
      <c r="K595" s="467"/>
      <c r="L595" s="467"/>
      <c r="M595" s="467"/>
      <c r="N595" s="467"/>
      <c r="O595" s="467"/>
      <c r="P595" s="467"/>
      <c r="Q595" s="467"/>
      <c r="R595" s="467"/>
      <c r="S595" s="467"/>
      <c r="T595" s="467"/>
      <c r="U595" s="468"/>
      <c r="V595" s="319"/>
      <c r="W595" s="319"/>
      <c r="X595" s="467"/>
      <c r="Y595" s="467"/>
      <c r="Z595" s="467"/>
      <c r="AA595" s="467"/>
      <c r="AB595" s="467"/>
    </row>
    <row r="596" spans="1:28" ht="15.75" customHeight="1">
      <c r="A596" s="467"/>
      <c r="B596" s="467"/>
      <c r="C596" s="467"/>
      <c r="D596" s="467"/>
      <c r="E596" s="467"/>
      <c r="F596" s="467"/>
      <c r="G596" s="467"/>
      <c r="H596" s="467"/>
      <c r="I596" s="467"/>
      <c r="J596" s="467"/>
      <c r="K596" s="467"/>
      <c r="L596" s="467"/>
      <c r="M596" s="467"/>
      <c r="N596" s="467"/>
      <c r="O596" s="467"/>
      <c r="P596" s="467"/>
      <c r="Q596" s="467"/>
      <c r="R596" s="467"/>
      <c r="S596" s="467"/>
      <c r="T596" s="467"/>
      <c r="U596" s="468"/>
      <c r="V596" s="319"/>
      <c r="W596" s="319"/>
      <c r="X596" s="467"/>
      <c r="Y596" s="467"/>
      <c r="Z596" s="467"/>
      <c r="AA596" s="467"/>
      <c r="AB596" s="467"/>
    </row>
    <row r="597" spans="1:28" ht="15.75" customHeight="1">
      <c r="A597" s="467"/>
      <c r="B597" s="467"/>
      <c r="C597" s="467"/>
      <c r="D597" s="467"/>
      <c r="E597" s="467"/>
      <c r="F597" s="467"/>
      <c r="G597" s="467"/>
      <c r="H597" s="467"/>
      <c r="I597" s="467"/>
      <c r="J597" s="467"/>
      <c r="K597" s="467"/>
      <c r="L597" s="467"/>
      <c r="M597" s="467"/>
      <c r="N597" s="467"/>
      <c r="O597" s="467"/>
      <c r="P597" s="467"/>
      <c r="Q597" s="467"/>
      <c r="R597" s="467"/>
      <c r="S597" s="467"/>
      <c r="T597" s="467"/>
      <c r="U597" s="468"/>
      <c r="V597" s="319"/>
      <c r="W597" s="319"/>
      <c r="X597" s="467"/>
      <c r="Y597" s="467"/>
      <c r="Z597" s="467"/>
      <c r="AA597" s="467"/>
      <c r="AB597" s="467"/>
    </row>
    <row r="598" spans="1:28" ht="15.75" customHeight="1">
      <c r="A598" s="467"/>
      <c r="B598" s="467"/>
      <c r="C598" s="467"/>
      <c r="D598" s="467"/>
      <c r="E598" s="467"/>
      <c r="F598" s="467"/>
      <c r="G598" s="467"/>
      <c r="H598" s="467"/>
      <c r="I598" s="467"/>
      <c r="J598" s="467"/>
      <c r="K598" s="467"/>
      <c r="L598" s="467"/>
      <c r="M598" s="467"/>
      <c r="N598" s="467"/>
      <c r="O598" s="467"/>
      <c r="P598" s="467"/>
      <c r="Q598" s="467"/>
      <c r="R598" s="467"/>
      <c r="S598" s="467"/>
      <c r="T598" s="467"/>
      <c r="U598" s="468"/>
      <c r="V598" s="319"/>
      <c r="W598" s="319"/>
      <c r="X598" s="467"/>
      <c r="Y598" s="467"/>
      <c r="Z598" s="467"/>
      <c r="AA598" s="467"/>
      <c r="AB598" s="467"/>
    </row>
    <row r="599" spans="1:28" ht="15.75" customHeight="1">
      <c r="A599" s="467"/>
      <c r="B599" s="467"/>
      <c r="C599" s="467"/>
      <c r="D599" s="467"/>
      <c r="E599" s="467"/>
      <c r="F599" s="467"/>
      <c r="G599" s="467"/>
      <c r="H599" s="467"/>
      <c r="I599" s="467"/>
      <c r="J599" s="467"/>
      <c r="K599" s="467"/>
      <c r="L599" s="467"/>
      <c r="M599" s="467"/>
      <c r="N599" s="467"/>
      <c r="O599" s="467"/>
      <c r="P599" s="467"/>
      <c r="Q599" s="467"/>
      <c r="R599" s="467"/>
      <c r="S599" s="467"/>
      <c r="T599" s="467"/>
      <c r="U599" s="468"/>
      <c r="V599" s="319"/>
      <c r="W599" s="319"/>
      <c r="X599" s="467"/>
      <c r="Y599" s="467"/>
      <c r="Z599" s="467"/>
      <c r="AA599" s="467"/>
      <c r="AB599" s="467"/>
    </row>
    <row r="600" spans="1:28" ht="15.75" customHeight="1">
      <c r="A600" s="467"/>
      <c r="B600" s="467"/>
      <c r="C600" s="467"/>
      <c r="D600" s="467"/>
      <c r="E600" s="467"/>
      <c r="F600" s="467"/>
      <c r="G600" s="467"/>
      <c r="H600" s="467"/>
      <c r="I600" s="467"/>
      <c r="J600" s="467"/>
      <c r="K600" s="467"/>
      <c r="L600" s="467"/>
      <c r="M600" s="467"/>
      <c r="N600" s="467"/>
      <c r="O600" s="467"/>
      <c r="P600" s="467"/>
      <c r="Q600" s="467"/>
      <c r="R600" s="467"/>
      <c r="S600" s="467"/>
      <c r="T600" s="467"/>
      <c r="U600" s="468"/>
      <c r="V600" s="319"/>
      <c r="W600" s="319"/>
      <c r="X600" s="467"/>
      <c r="Y600" s="467"/>
      <c r="Z600" s="467"/>
      <c r="AA600" s="467"/>
      <c r="AB600" s="467"/>
    </row>
    <row r="601" spans="1:28" ht="15.75" customHeight="1">
      <c r="A601" s="467"/>
      <c r="B601" s="467"/>
      <c r="C601" s="467"/>
      <c r="D601" s="467"/>
      <c r="E601" s="467"/>
      <c r="F601" s="467"/>
      <c r="G601" s="467"/>
      <c r="H601" s="467"/>
      <c r="I601" s="467"/>
      <c r="J601" s="467"/>
      <c r="K601" s="467"/>
      <c r="L601" s="467"/>
      <c r="M601" s="467"/>
      <c r="N601" s="467"/>
      <c r="O601" s="467"/>
      <c r="P601" s="467"/>
      <c r="Q601" s="467"/>
      <c r="R601" s="467"/>
      <c r="S601" s="467"/>
      <c r="T601" s="467"/>
      <c r="U601" s="468"/>
      <c r="V601" s="319"/>
      <c r="W601" s="319"/>
      <c r="X601" s="467"/>
      <c r="Y601" s="467"/>
      <c r="Z601" s="467"/>
      <c r="AA601" s="467"/>
      <c r="AB601" s="467"/>
    </row>
    <row r="602" spans="1:28" ht="15.75" customHeight="1">
      <c r="A602" s="467"/>
      <c r="B602" s="467"/>
      <c r="C602" s="467"/>
      <c r="D602" s="467"/>
      <c r="E602" s="467"/>
      <c r="F602" s="467"/>
      <c r="G602" s="467"/>
      <c r="H602" s="467"/>
      <c r="I602" s="467"/>
      <c r="J602" s="467"/>
      <c r="K602" s="467"/>
      <c r="L602" s="467"/>
      <c r="M602" s="467"/>
      <c r="N602" s="467"/>
      <c r="O602" s="467"/>
      <c r="P602" s="467"/>
      <c r="Q602" s="467"/>
      <c r="R602" s="467"/>
      <c r="S602" s="467"/>
      <c r="T602" s="467"/>
      <c r="U602" s="468"/>
      <c r="V602" s="319"/>
      <c r="W602" s="319"/>
      <c r="X602" s="467"/>
      <c r="Y602" s="467"/>
      <c r="Z602" s="467"/>
      <c r="AA602" s="467"/>
      <c r="AB602" s="467"/>
    </row>
    <row r="603" spans="1:28" ht="15.75" customHeight="1">
      <c r="A603" s="467"/>
      <c r="B603" s="467"/>
      <c r="C603" s="467"/>
      <c r="D603" s="467"/>
      <c r="E603" s="467"/>
      <c r="F603" s="467"/>
      <c r="G603" s="467"/>
      <c r="H603" s="467"/>
      <c r="I603" s="467"/>
      <c r="J603" s="467"/>
      <c r="K603" s="467"/>
      <c r="L603" s="467"/>
      <c r="M603" s="467"/>
      <c r="N603" s="467"/>
      <c r="O603" s="467"/>
      <c r="P603" s="467"/>
      <c r="Q603" s="467"/>
      <c r="R603" s="467"/>
      <c r="S603" s="467"/>
      <c r="T603" s="467"/>
      <c r="U603" s="468"/>
      <c r="V603" s="319"/>
      <c r="W603" s="319"/>
      <c r="X603" s="467"/>
      <c r="Y603" s="467"/>
      <c r="Z603" s="467"/>
      <c r="AA603" s="467"/>
      <c r="AB603" s="467"/>
    </row>
    <row r="604" spans="1:28" ht="15.75" customHeight="1">
      <c r="A604" s="467"/>
      <c r="B604" s="467"/>
      <c r="C604" s="467"/>
      <c r="D604" s="467"/>
      <c r="E604" s="467"/>
      <c r="F604" s="467"/>
      <c r="G604" s="467"/>
      <c r="H604" s="467"/>
      <c r="I604" s="467"/>
      <c r="J604" s="467"/>
      <c r="K604" s="467"/>
      <c r="L604" s="467"/>
      <c r="M604" s="467"/>
      <c r="N604" s="467"/>
      <c r="O604" s="467"/>
      <c r="P604" s="467"/>
      <c r="Q604" s="467"/>
      <c r="R604" s="467"/>
      <c r="S604" s="467"/>
      <c r="T604" s="467"/>
      <c r="U604" s="468"/>
      <c r="V604" s="319"/>
      <c r="W604" s="319"/>
      <c r="X604" s="467"/>
      <c r="Y604" s="467"/>
      <c r="Z604" s="467"/>
      <c r="AA604" s="467"/>
      <c r="AB604" s="467"/>
    </row>
    <row r="605" spans="1:28" ht="15.75" customHeight="1">
      <c r="A605" s="467"/>
      <c r="B605" s="467"/>
      <c r="C605" s="467"/>
      <c r="D605" s="467"/>
      <c r="E605" s="467"/>
      <c r="F605" s="467"/>
      <c r="G605" s="467"/>
      <c r="H605" s="467"/>
      <c r="I605" s="467"/>
      <c r="J605" s="467"/>
      <c r="K605" s="467"/>
      <c r="L605" s="467"/>
      <c r="M605" s="467"/>
      <c r="N605" s="467"/>
      <c r="O605" s="467"/>
      <c r="P605" s="467"/>
      <c r="Q605" s="467"/>
      <c r="R605" s="467"/>
      <c r="S605" s="467"/>
      <c r="T605" s="467"/>
      <c r="U605" s="468"/>
      <c r="V605" s="319"/>
      <c r="W605" s="319"/>
      <c r="X605" s="467"/>
      <c r="Y605" s="467"/>
      <c r="Z605" s="467"/>
      <c r="AA605" s="467"/>
      <c r="AB605" s="467"/>
    </row>
    <row r="606" spans="1:28" ht="15.75" customHeight="1">
      <c r="A606" s="467"/>
      <c r="B606" s="467"/>
      <c r="C606" s="467"/>
      <c r="D606" s="467"/>
      <c r="E606" s="467"/>
      <c r="F606" s="467"/>
      <c r="G606" s="467"/>
      <c r="H606" s="467"/>
      <c r="I606" s="467"/>
      <c r="J606" s="467"/>
      <c r="K606" s="467"/>
      <c r="L606" s="467"/>
      <c r="M606" s="467"/>
      <c r="N606" s="467"/>
      <c r="O606" s="467"/>
      <c r="P606" s="467"/>
      <c r="Q606" s="467"/>
      <c r="R606" s="467"/>
      <c r="S606" s="467"/>
      <c r="T606" s="467"/>
      <c r="U606" s="468"/>
      <c r="V606" s="319"/>
      <c r="W606" s="319"/>
      <c r="X606" s="467"/>
      <c r="Y606" s="467"/>
      <c r="Z606" s="467"/>
      <c r="AA606" s="467"/>
      <c r="AB606" s="467"/>
    </row>
    <row r="607" spans="1:28" ht="15.75" customHeight="1">
      <c r="A607" s="467"/>
      <c r="B607" s="467"/>
      <c r="C607" s="467"/>
      <c r="D607" s="467"/>
      <c r="E607" s="467"/>
      <c r="F607" s="467"/>
      <c r="G607" s="467"/>
      <c r="H607" s="467"/>
      <c r="I607" s="467"/>
      <c r="J607" s="467"/>
      <c r="K607" s="467"/>
      <c r="L607" s="467"/>
      <c r="M607" s="467"/>
      <c r="N607" s="467"/>
      <c r="O607" s="467"/>
      <c r="P607" s="467"/>
      <c r="Q607" s="467"/>
      <c r="R607" s="467"/>
      <c r="S607" s="467"/>
      <c r="T607" s="467"/>
      <c r="U607" s="468"/>
      <c r="V607" s="319"/>
      <c r="W607" s="319"/>
      <c r="X607" s="467"/>
      <c r="Y607" s="467"/>
      <c r="Z607" s="467"/>
      <c r="AA607" s="467"/>
      <c r="AB607" s="467"/>
    </row>
    <row r="608" spans="1:28" ht="15.75" customHeight="1">
      <c r="A608" s="467"/>
      <c r="B608" s="467"/>
      <c r="C608" s="467"/>
      <c r="D608" s="467"/>
      <c r="E608" s="467"/>
      <c r="F608" s="467"/>
      <c r="G608" s="467"/>
      <c r="H608" s="467"/>
      <c r="I608" s="467"/>
      <c r="J608" s="467"/>
      <c r="K608" s="467"/>
      <c r="L608" s="467"/>
      <c r="M608" s="467"/>
      <c r="N608" s="467"/>
      <c r="O608" s="467"/>
      <c r="P608" s="467"/>
      <c r="Q608" s="467"/>
      <c r="R608" s="467"/>
      <c r="S608" s="467"/>
      <c r="T608" s="467"/>
      <c r="U608" s="468"/>
      <c r="V608" s="319"/>
      <c r="W608" s="319"/>
      <c r="X608" s="467"/>
      <c r="Y608" s="467"/>
      <c r="Z608" s="467"/>
      <c r="AA608" s="467"/>
      <c r="AB608" s="467"/>
    </row>
    <row r="609" spans="1:28" ht="15.75" customHeight="1">
      <c r="A609" s="467"/>
      <c r="B609" s="467"/>
      <c r="C609" s="467"/>
      <c r="D609" s="467"/>
      <c r="E609" s="467"/>
      <c r="F609" s="467"/>
      <c r="G609" s="467"/>
      <c r="H609" s="467"/>
      <c r="I609" s="467"/>
      <c r="J609" s="467"/>
      <c r="K609" s="467"/>
      <c r="L609" s="467"/>
      <c r="M609" s="467"/>
      <c r="N609" s="467"/>
      <c r="O609" s="467"/>
      <c r="P609" s="467"/>
      <c r="Q609" s="467"/>
      <c r="R609" s="467"/>
      <c r="S609" s="467"/>
      <c r="T609" s="467"/>
      <c r="U609" s="468"/>
      <c r="V609" s="319"/>
      <c r="W609" s="319"/>
      <c r="X609" s="467"/>
      <c r="Y609" s="467"/>
      <c r="Z609" s="467"/>
      <c r="AA609" s="467"/>
      <c r="AB609" s="467"/>
    </row>
    <row r="610" spans="1:28" ht="15.75" customHeight="1">
      <c r="A610" s="467"/>
      <c r="B610" s="467"/>
      <c r="C610" s="467"/>
      <c r="D610" s="467"/>
      <c r="E610" s="467"/>
      <c r="F610" s="467"/>
      <c r="G610" s="467"/>
      <c r="H610" s="467"/>
      <c r="I610" s="467"/>
      <c r="J610" s="467"/>
      <c r="K610" s="467"/>
      <c r="L610" s="467"/>
      <c r="M610" s="467"/>
      <c r="N610" s="467"/>
      <c r="O610" s="467"/>
      <c r="P610" s="467"/>
      <c r="Q610" s="467"/>
      <c r="R610" s="467"/>
      <c r="S610" s="467"/>
      <c r="T610" s="467"/>
      <c r="U610" s="468"/>
      <c r="V610" s="319"/>
      <c r="W610" s="319"/>
      <c r="X610" s="467"/>
      <c r="Y610" s="467"/>
      <c r="Z610" s="467"/>
      <c r="AA610" s="467"/>
      <c r="AB610" s="467"/>
    </row>
    <row r="611" spans="1:28" ht="15.75" customHeight="1">
      <c r="A611" s="467"/>
      <c r="B611" s="467"/>
      <c r="C611" s="467"/>
      <c r="D611" s="467"/>
      <c r="E611" s="467"/>
      <c r="F611" s="467"/>
      <c r="G611" s="467"/>
      <c r="H611" s="467"/>
      <c r="I611" s="467"/>
      <c r="J611" s="467"/>
      <c r="K611" s="467"/>
      <c r="L611" s="467"/>
      <c r="M611" s="467"/>
      <c r="N611" s="467"/>
      <c r="O611" s="467"/>
      <c r="P611" s="467"/>
      <c r="Q611" s="467"/>
      <c r="R611" s="467"/>
      <c r="S611" s="467"/>
      <c r="T611" s="467"/>
      <c r="U611" s="468"/>
      <c r="V611" s="319"/>
      <c r="W611" s="319"/>
      <c r="X611" s="467"/>
      <c r="Y611" s="467"/>
      <c r="Z611" s="467"/>
      <c r="AA611" s="467"/>
      <c r="AB611" s="467"/>
    </row>
    <row r="612" spans="1:28" ht="15.75" customHeight="1">
      <c r="A612" s="467"/>
      <c r="B612" s="467"/>
      <c r="C612" s="467"/>
      <c r="D612" s="467"/>
      <c r="E612" s="467"/>
      <c r="F612" s="467"/>
      <c r="G612" s="467"/>
      <c r="H612" s="467"/>
      <c r="I612" s="467"/>
      <c r="J612" s="467"/>
      <c r="K612" s="467"/>
      <c r="L612" s="467"/>
      <c r="M612" s="467"/>
      <c r="N612" s="467"/>
      <c r="O612" s="467"/>
      <c r="P612" s="467"/>
      <c r="Q612" s="467"/>
      <c r="R612" s="467"/>
      <c r="S612" s="467"/>
      <c r="T612" s="467"/>
      <c r="U612" s="468"/>
      <c r="V612" s="319"/>
      <c r="W612" s="319"/>
      <c r="X612" s="467"/>
      <c r="Y612" s="467"/>
      <c r="Z612" s="467"/>
      <c r="AA612" s="467"/>
      <c r="AB612" s="467"/>
    </row>
    <row r="613" spans="1:28" ht="15.75" customHeight="1">
      <c r="A613" s="467"/>
      <c r="B613" s="467"/>
      <c r="C613" s="467"/>
      <c r="D613" s="467"/>
      <c r="E613" s="467"/>
      <c r="F613" s="467"/>
      <c r="G613" s="467"/>
      <c r="H613" s="467"/>
      <c r="I613" s="467"/>
      <c r="J613" s="467"/>
      <c r="K613" s="467"/>
      <c r="L613" s="467"/>
      <c r="M613" s="467"/>
      <c r="N613" s="467"/>
      <c r="O613" s="467"/>
      <c r="P613" s="467"/>
      <c r="Q613" s="467"/>
      <c r="R613" s="467"/>
      <c r="S613" s="467"/>
      <c r="T613" s="467"/>
      <c r="U613" s="468"/>
      <c r="V613" s="319"/>
      <c r="W613" s="319"/>
      <c r="X613" s="467"/>
      <c r="Y613" s="467"/>
      <c r="Z613" s="467"/>
      <c r="AA613" s="467"/>
      <c r="AB613" s="467"/>
    </row>
    <row r="614" spans="1:28" ht="15.75" customHeight="1">
      <c r="A614" s="467"/>
      <c r="B614" s="467"/>
      <c r="C614" s="467"/>
      <c r="D614" s="467"/>
      <c r="E614" s="467"/>
      <c r="F614" s="467"/>
      <c r="G614" s="467"/>
      <c r="H614" s="467"/>
      <c r="I614" s="467"/>
      <c r="J614" s="467"/>
      <c r="K614" s="467"/>
      <c r="L614" s="467"/>
      <c r="M614" s="467"/>
      <c r="N614" s="467"/>
      <c r="O614" s="467"/>
      <c r="P614" s="467"/>
      <c r="Q614" s="467"/>
      <c r="R614" s="467"/>
      <c r="S614" s="467"/>
      <c r="T614" s="467"/>
      <c r="U614" s="468"/>
      <c r="V614" s="319"/>
      <c r="W614" s="319"/>
      <c r="X614" s="467"/>
      <c r="Y614" s="467"/>
      <c r="Z614" s="467"/>
      <c r="AA614" s="467"/>
      <c r="AB614" s="467"/>
    </row>
    <row r="615" spans="1:28" ht="15.75" customHeight="1">
      <c r="A615" s="467"/>
      <c r="B615" s="467"/>
      <c r="C615" s="467"/>
      <c r="D615" s="467"/>
      <c r="E615" s="467"/>
      <c r="F615" s="467"/>
      <c r="G615" s="467"/>
      <c r="H615" s="467"/>
      <c r="I615" s="467"/>
      <c r="J615" s="467"/>
      <c r="K615" s="467"/>
      <c r="L615" s="467"/>
      <c r="M615" s="467"/>
      <c r="N615" s="467"/>
      <c r="O615" s="467"/>
      <c r="P615" s="467"/>
      <c r="Q615" s="467"/>
      <c r="R615" s="467"/>
      <c r="S615" s="467"/>
      <c r="T615" s="467"/>
      <c r="U615" s="468"/>
      <c r="V615" s="319"/>
      <c r="W615" s="319"/>
      <c r="X615" s="467"/>
      <c r="Y615" s="467"/>
      <c r="Z615" s="467"/>
      <c r="AA615" s="467"/>
      <c r="AB615" s="467"/>
    </row>
    <row r="616" spans="1:28" ht="15.75" customHeight="1">
      <c r="A616" s="467"/>
      <c r="B616" s="467"/>
      <c r="C616" s="467"/>
      <c r="D616" s="467"/>
      <c r="E616" s="467"/>
      <c r="F616" s="467"/>
      <c r="G616" s="467"/>
      <c r="H616" s="467"/>
      <c r="I616" s="467"/>
      <c r="J616" s="467"/>
      <c r="K616" s="467"/>
      <c r="L616" s="467"/>
      <c r="M616" s="467"/>
      <c r="N616" s="467"/>
      <c r="O616" s="467"/>
      <c r="P616" s="467"/>
      <c r="Q616" s="467"/>
      <c r="R616" s="467"/>
      <c r="S616" s="467"/>
      <c r="T616" s="467"/>
      <c r="U616" s="468"/>
      <c r="V616" s="319"/>
      <c r="W616" s="319"/>
      <c r="X616" s="467"/>
      <c r="Y616" s="467"/>
      <c r="Z616" s="467"/>
      <c r="AA616" s="467"/>
      <c r="AB616" s="467"/>
    </row>
    <row r="617" spans="1:28" ht="15.75" customHeight="1">
      <c r="A617" s="467"/>
      <c r="B617" s="467"/>
      <c r="C617" s="467"/>
      <c r="D617" s="467"/>
      <c r="E617" s="467"/>
      <c r="F617" s="467"/>
      <c r="G617" s="467"/>
      <c r="H617" s="467"/>
      <c r="I617" s="467"/>
      <c r="J617" s="467"/>
      <c r="K617" s="467"/>
      <c r="L617" s="467"/>
      <c r="M617" s="467"/>
      <c r="N617" s="467"/>
      <c r="O617" s="467"/>
      <c r="P617" s="467"/>
      <c r="Q617" s="467"/>
      <c r="R617" s="467"/>
      <c r="S617" s="467"/>
      <c r="T617" s="467"/>
      <c r="U617" s="468"/>
      <c r="V617" s="319"/>
      <c r="W617" s="319"/>
      <c r="X617" s="467"/>
      <c r="Y617" s="467"/>
      <c r="Z617" s="467"/>
      <c r="AA617" s="467"/>
      <c r="AB617" s="467"/>
    </row>
    <row r="618" spans="1:28" ht="15.75" customHeight="1">
      <c r="A618" s="467"/>
      <c r="B618" s="467"/>
      <c r="C618" s="467"/>
      <c r="D618" s="467"/>
      <c r="E618" s="467"/>
      <c r="F618" s="467"/>
      <c r="G618" s="467"/>
      <c r="H618" s="467"/>
      <c r="I618" s="467"/>
      <c r="J618" s="467"/>
      <c r="K618" s="467"/>
      <c r="L618" s="467"/>
      <c r="M618" s="467"/>
      <c r="N618" s="467"/>
      <c r="O618" s="467"/>
      <c r="P618" s="467"/>
      <c r="Q618" s="467"/>
      <c r="R618" s="467"/>
      <c r="S618" s="467"/>
      <c r="T618" s="467"/>
      <c r="U618" s="468"/>
      <c r="V618" s="319"/>
      <c r="W618" s="319"/>
      <c r="X618" s="467"/>
      <c r="Y618" s="467"/>
      <c r="Z618" s="467"/>
      <c r="AA618" s="467"/>
      <c r="AB618" s="467"/>
    </row>
    <row r="619" spans="1:28" ht="15.75" customHeight="1">
      <c r="A619" s="467"/>
      <c r="B619" s="467"/>
      <c r="C619" s="467"/>
      <c r="D619" s="467"/>
      <c r="E619" s="467"/>
      <c r="F619" s="467"/>
      <c r="G619" s="467"/>
      <c r="H619" s="467"/>
      <c r="I619" s="467"/>
      <c r="J619" s="467"/>
      <c r="K619" s="467"/>
      <c r="L619" s="467"/>
      <c r="M619" s="467"/>
      <c r="N619" s="467"/>
      <c r="O619" s="467"/>
      <c r="P619" s="467"/>
      <c r="Q619" s="467"/>
      <c r="R619" s="467"/>
      <c r="S619" s="467"/>
      <c r="T619" s="467"/>
      <c r="U619" s="468"/>
      <c r="V619" s="319"/>
      <c r="W619" s="319"/>
      <c r="X619" s="467"/>
      <c r="Y619" s="467"/>
      <c r="Z619" s="467"/>
      <c r="AA619" s="467"/>
      <c r="AB619" s="467"/>
    </row>
    <row r="620" spans="1:28" ht="15.75" customHeight="1">
      <c r="A620" s="467"/>
      <c r="B620" s="467"/>
      <c r="C620" s="467"/>
      <c r="D620" s="467"/>
      <c r="E620" s="467"/>
      <c r="F620" s="467"/>
      <c r="G620" s="467"/>
      <c r="H620" s="467"/>
      <c r="I620" s="467"/>
      <c r="J620" s="467"/>
      <c r="K620" s="467"/>
      <c r="L620" s="467"/>
      <c r="M620" s="467"/>
      <c r="N620" s="467"/>
      <c r="O620" s="467"/>
      <c r="P620" s="467"/>
      <c r="Q620" s="467"/>
      <c r="R620" s="467"/>
      <c r="S620" s="467"/>
      <c r="T620" s="467"/>
      <c r="U620" s="468"/>
      <c r="V620" s="319"/>
      <c r="W620" s="319"/>
      <c r="X620" s="467"/>
      <c r="Y620" s="467"/>
      <c r="Z620" s="467"/>
      <c r="AA620" s="467"/>
      <c r="AB620" s="467"/>
    </row>
    <row r="621" spans="1:28" ht="15.75" customHeight="1">
      <c r="A621" s="467"/>
      <c r="B621" s="467"/>
      <c r="C621" s="467"/>
      <c r="D621" s="467"/>
      <c r="E621" s="467"/>
      <c r="F621" s="467"/>
      <c r="G621" s="467"/>
      <c r="H621" s="467"/>
      <c r="I621" s="467"/>
      <c r="J621" s="467"/>
      <c r="K621" s="467"/>
      <c r="L621" s="467"/>
      <c r="M621" s="467"/>
      <c r="N621" s="467"/>
      <c r="O621" s="467"/>
      <c r="P621" s="467"/>
      <c r="Q621" s="467"/>
      <c r="R621" s="467"/>
      <c r="S621" s="467"/>
      <c r="T621" s="467"/>
      <c r="U621" s="468"/>
      <c r="V621" s="319"/>
      <c r="W621" s="319"/>
      <c r="X621" s="467"/>
      <c r="Y621" s="467"/>
      <c r="Z621" s="467"/>
      <c r="AA621" s="467"/>
      <c r="AB621" s="467"/>
    </row>
    <row r="622" spans="1:28" ht="15.75" customHeight="1">
      <c r="A622" s="467"/>
      <c r="B622" s="467"/>
      <c r="C622" s="467"/>
      <c r="D622" s="467"/>
      <c r="E622" s="467"/>
      <c r="F622" s="467"/>
      <c r="G622" s="467"/>
      <c r="H622" s="467"/>
      <c r="I622" s="467"/>
      <c r="J622" s="467"/>
      <c r="K622" s="467"/>
      <c r="L622" s="467"/>
      <c r="M622" s="467"/>
      <c r="N622" s="467"/>
      <c r="O622" s="467"/>
      <c r="P622" s="467"/>
      <c r="Q622" s="467"/>
      <c r="R622" s="467"/>
      <c r="S622" s="467"/>
      <c r="T622" s="467"/>
      <c r="U622" s="468"/>
      <c r="V622" s="319"/>
      <c r="W622" s="319"/>
      <c r="X622" s="467"/>
      <c r="Y622" s="467"/>
      <c r="Z622" s="467"/>
      <c r="AA622" s="467"/>
      <c r="AB622" s="467"/>
    </row>
    <row r="623" spans="1:28" ht="15.75" customHeight="1">
      <c r="A623" s="467"/>
      <c r="B623" s="467"/>
      <c r="C623" s="467"/>
      <c r="D623" s="467"/>
      <c r="E623" s="467"/>
      <c r="F623" s="467"/>
      <c r="G623" s="467"/>
      <c r="H623" s="467"/>
      <c r="I623" s="467"/>
      <c r="J623" s="467"/>
      <c r="K623" s="467"/>
      <c r="L623" s="467"/>
      <c r="M623" s="467"/>
      <c r="N623" s="467"/>
      <c r="O623" s="467"/>
      <c r="P623" s="467"/>
      <c r="Q623" s="467"/>
      <c r="R623" s="467"/>
      <c r="S623" s="467"/>
      <c r="T623" s="467"/>
      <c r="U623" s="468"/>
      <c r="V623" s="319"/>
      <c r="W623" s="319"/>
      <c r="X623" s="467"/>
      <c r="Y623" s="467"/>
      <c r="Z623" s="467"/>
      <c r="AA623" s="467"/>
      <c r="AB623" s="467"/>
    </row>
    <row r="624" spans="1:28" ht="15.75" customHeight="1">
      <c r="A624" s="467"/>
      <c r="B624" s="467"/>
      <c r="C624" s="467"/>
      <c r="D624" s="467"/>
      <c r="E624" s="467"/>
      <c r="F624" s="467"/>
      <c r="G624" s="467"/>
      <c r="H624" s="467"/>
      <c r="I624" s="467"/>
      <c r="J624" s="467"/>
      <c r="K624" s="467"/>
      <c r="L624" s="467"/>
      <c r="M624" s="467"/>
      <c r="N624" s="467"/>
      <c r="O624" s="467"/>
      <c r="P624" s="467"/>
      <c r="Q624" s="467"/>
      <c r="R624" s="467"/>
      <c r="S624" s="467"/>
      <c r="T624" s="467"/>
      <c r="U624" s="468"/>
      <c r="V624" s="319"/>
      <c r="W624" s="319"/>
      <c r="X624" s="467"/>
      <c r="Y624" s="467"/>
      <c r="Z624" s="467"/>
      <c r="AA624" s="467"/>
      <c r="AB624" s="467"/>
    </row>
    <row r="625" spans="1:28" ht="15.75" customHeight="1">
      <c r="A625" s="467"/>
      <c r="B625" s="467"/>
      <c r="C625" s="467"/>
      <c r="D625" s="467"/>
      <c r="E625" s="467"/>
      <c r="F625" s="467"/>
      <c r="G625" s="467"/>
      <c r="H625" s="467"/>
      <c r="I625" s="467"/>
      <c r="J625" s="467"/>
      <c r="K625" s="467"/>
      <c r="L625" s="467"/>
      <c r="M625" s="467"/>
      <c r="N625" s="467"/>
      <c r="O625" s="467"/>
      <c r="P625" s="467"/>
      <c r="Q625" s="467"/>
      <c r="R625" s="467"/>
      <c r="S625" s="467"/>
      <c r="T625" s="467"/>
      <c r="U625" s="468"/>
      <c r="V625" s="319"/>
      <c r="W625" s="319"/>
      <c r="X625" s="467"/>
      <c r="Y625" s="467"/>
      <c r="Z625" s="467"/>
      <c r="AA625" s="467"/>
      <c r="AB625" s="467"/>
    </row>
    <row r="626" spans="1:28" ht="15.75" customHeight="1">
      <c r="A626" s="467"/>
      <c r="B626" s="467"/>
      <c r="C626" s="467"/>
      <c r="D626" s="467"/>
      <c r="E626" s="467"/>
      <c r="F626" s="467"/>
      <c r="G626" s="467"/>
      <c r="H626" s="467"/>
      <c r="I626" s="467"/>
      <c r="J626" s="467"/>
      <c r="K626" s="467"/>
      <c r="L626" s="467"/>
      <c r="M626" s="467"/>
      <c r="N626" s="467"/>
      <c r="O626" s="467"/>
      <c r="P626" s="467"/>
      <c r="Q626" s="467"/>
      <c r="R626" s="467"/>
      <c r="S626" s="467"/>
      <c r="T626" s="467"/>
      <c r="U626" s="468"/>
      <c r="V626" s="319"/>
      <c r="W626" s="319"/>
      <c r="X626" s="467"/>
      <c r="Y626" s="467"/>
      <c r="Z626" s="467"/>
      <c r="AA626" s="467"/>
      <c r="AB626" s="467"/>
    </row>
    <row r="627" spans="1:28" ht="15.75" customHeight="1">
      <c r="A627" s="467"/>
      <c r="B627" s="467"/>
      <c r="C627" s="467"/>
      <c r="D627" s="467"/>
      <c r="E627" s="467"/>
      <c r="F627" s="467"/>
      <c r="G627" s="467"/>
      <c r="H627" s="467"/>
      <c r="I627" s="467"/>
      <c r="J627" s="467"/>
      <c r="K627" s="467"/>
      <c r="L627" s="467"/>
      <c r="M627" s="467"/>
      <c r="N627" s="467"/>
      <c r="O627" s="467"/>
      <c r="P627" s="467"/>
      <c r="Q627" s="467"/>
      <c r="R627" s="467"/>
      <c r="S627" s="467"/>
      <c r="T627" s="467"/>
      <c r="U627" s="468"/>
      <c r="V627" s="319"/>
      <c r="W627" s="319"/>
      <c r="X627" s="467"/>
      <c r="Y627" s="467"/>
      <c r="Z627" s="467"/>
      <c r="AA627" s="467"/>
      <c r="AB627" s="467"/>
    </row>
    <row r="628" spans="1:28" ht="15.75" customHeight="1">
      <c r="A628" s="467"/>
      <c r="B628" s="467"/>
      <c r="C628" s="467"/>
      <c r="D628" s="467"/>
      <c r="E628" s="467"/>
      <c r="F628" s="467"/>
      <c r="G628" s="467"/>
      <c r="H628" s="467"/>
      <c r="I628" s="467"/>
      <c r="J628" s="467"/>
      <c r="K628" s="467"/>
      <c r="L628" s="467"/>
      <c r="M628" s="467"/>
      <c r="N628" s="467"/>
      <c r="O628" s="467"/>
      <c r="P628" s="467"/>
      <c r="Q628" s="467"/>
      <c r="R628" s="467"/>
      <c r="S628" s="467"/>
      <c r="T628" s="467"/>
      <c r="U628" s="468"/>
      <c r="V628" s="319"/>
      <c r="W628" s="319"/>
      <c r="X628" s="467"/>
      <c r="Y628" s="467"/>
      <c r="Z628" s="467"/>
      <c r="AA628" s="467"/>
      <c r="AB628" s="467"/>
    </row>
    <row r="629" spans="1:28" ht="15.75" customHeight="1">
      <c r="A629" s="467"/>
      <c r="B629" s="467"/>
      <c r="C629" s="467"/>
      <c r="D629" s="467"/>
      <c r="E629" s="467"/>
      <c r="F629" s="467"/>
      <c r="G629" s="467"/>
      <c r="H629" s="467"/>
      <c r="I629" s="467"/>
      <c r="J629" s="467"/>
      <c r="K629" s="467"/>
      <c r="L629" s="467"/>
      <c r="M629" s="467"/>
      <c r="N629" s="467"/>
      <c r="O629" s="467"/>
      <c r="P629" s="467"/>
      <c r="Q629" s="467"/>
      <c r="R629" s="467"/>
      <c r="S629" s="467"/>
      <c r="T629" s="467"/>
      <c r="U629" s="468"/>
      <c r="V629" s="319"/>
      <c r="W629" s="319"/>
      <c r="X629" s="467"/>
      <c r="Y629" s="467"/>
      <c r="Z629" s="467"/>
      <c r="AA629" s="467"/>
      <c r="AB629" s="467"/>
    </row>
    <row r="630" spans="1:28" ht="15.75" customHeight="1">
      <c r="A630" s="467"/>
      <c r="B630" s="467"/>
      <c r="C630" s="467"/>
      <c r="D630" s="467"/>
      <c r="E630" s="467"/>
      <c r="F630" s="467"/>
      <c r="G630" s="467"/>
      <c r="H630" s="467"/>
      <c r="I630" s="467"/>
      <c r="J630" s="467"/>
      <c r="K630" s="467"/>
      <c r="L630" s="467"/>
      <c r="M630" s="467"/>
      <c r="N630" s="467"/>
      <c r="O630" s="467"/>
      <c r="P630" s="467"/>
      <c r="Q630" s="467"/>
      <c r="R630" s="467"/>
      <c r="S630" s="467"/>
      <c r="T630" s="467"/>
      <c r="U630" s="468"/>
      <c r="V630" s="319"/>
      <c r="W630" s="319"/>
      <c r="X630" s="467"/>
      <c r="Y630" s="467"/>
      <c r="Z630" s="467"/>
      <c r="AA630" s="467"/>
      <c r="AB630" s="467"/>
    </row>
    <row r="631" spans="1:28" ht="15.75" customHeight="1">
      <c r="A631" s="467"/>
      <c r="B631" s="467"/>
      <c r="C631" s="467"/>
      <c r="D631" s="467"/>
      <c r="E631" s="467"/>
      <c r="F631" s="467"/>
      <c r="G631" s="467"/>
      <c r="H631" s="467"/>
      <c r="I631" s="467"/>
      <c r="J631" s="467"/>
      <c r="K631" s="467"/>
      <c r="L631" s="467"/>
      <c r="M631" s="467"/>
      <c r="N631" s="467"/>
      <c r="O631" s="467"/>
      <c r="P631" s="467"/>
      <c r="Q631" s="467"/>
      <c r="R631" s="467"/>
      <c r="S631" s="467"/>
      <c r="T631" s="467"/>
      <c r="U631" s="468"/>
      <c r="V631" s="319"/>
      <c r="W631" s="319"/>
      <c r="X631" s="467"/>
      <c r="Y631" s="467"/>
      <c r="Z631" s="467"/>
      <c r="AA631" s="467"/>
      <c r="AB631" s="467"/>
    </row>
    <row r="632" spans="1:28" ht="15.75" customHeight="1">
      <c r="A632" s="467"/>
      <c r="B632" s="467"/>
      <c r="C632" s="467"/>
      <c r="D632" s="467"/>
      <c r="E632" s="467"/>
      <c r="F632" s="467"/>
      <c r="G632" s="467"/>
      <c r="H632" s="467"/>
      <c r="I632" s="467"/>
      <c r="J632" s="467"/>
      <c r="K632" s="467"/>
      <c r="L632" s="467"/>
      <c r="M632" s="467"/>
      <c r="N632" s="467"/>
      <c r="O632" s="467"/>
      <c r="P632" s="467"/>
      <c r="Q632" s="467"/>
      <c r="R632" s="467"/>
      <c r="S632" s="467"/>
      <c r="T632" s="467"/>
      <c r="U632" s="468"/>
      <c r="V632" s="319"/>
      <c r="W632" s="319"/>
      <c r="X632" s="467"/>
      <c r="Y632" s="467"/>
      <c r="Z632" s="467"/>
      <c r="AA632" s="467"/>
      <c r="AB632" s="467"/>
    </row>
    <row r="633" spans="1:28" ht="15.75" customHeight="1">
      <c r="A633" s="467"/>
      <c r="B633" s="467"/>
      <c r="C633" s="467"/>
      <c r="D633" s="467"/>
      <c r="E633" s="467"/>
      <c r="F633" s="467"/>
      <c r="G633" s="467"/>
      <c r="H633" s="467"/>
      <c r="I633" s="467"/>
      <c r="J633" s="467"/>
      <c r="K633" s="467"/>
      <c r="L633" s="467"/>
      <c r="M633" s="467"/>
      <c r="N633" s="467"/>
      <c r="O633" s="467"/>
      <c r="P633" s="467"/>
      <c r="Q633" s="467"/>
      <c r="R633" s="467"/>
      <c r="S633" s="467"/>
      <c r="T633" s="467"/>
      <c r="U633" s="468"/>
      <c r="V633" s="319"/>
      <c r="W633" s="319"/>
      <c r="X633" s="467"/>
      <c r="Y633" s="467"/>
      <c r="Z633" s="467"/>
      <c r="AA633" s="467"/>
      <c r="AB633" s="467"/>
    </row>
    <row r="634" spans="1:28" ht="15.75" customHeight="1">
      <c r="A634" s="467"/>
      <c r="B634" s="467"/>
      <c r="C634" s="467"/>
      <c r="D634" s="467"/>
      <c r="E634" s="467"/>
      <c r="F634" s="467"/>
      <c r="G634" s="467"/>
      <c r="H634" s="467"/>
      <c r="I634" s="467"/>
      <c r="J634" s="467"/>
      <c r="K634" s="467"/>
      <c r="L634" s="467"/>
      <c r="M634" s="467"/>
      <c r="N634" s="467"/>
      <c r="O634" s="467"/>
      <c r="P634" s="467"/>
      <c r="Q634" s="467"/>
      <c r="R634" s="467"/>
      <c r="S634" s="467"/>
      <c r="T634" s="467"/>
      <c r="U634" s="468"/>
      <c r="V634" s="319"/>
      <c r="W634" s="319"/>
      <c r="X634" s="467"/>
      <c r="Y634" s="467"/>
      <c r="Z634" s="467"/>
      <c r="AA634" s="467"/>
      <c r="AB634" s="467"/>
    </row>
    <row r="635" spans="1:28" ht="15.75" customHeight="1">
      <c r="A635" s="467"/>
      <c r="B635" s="467"/>
      <c r="C635" s="467"/>
      <c r="D635" s="467"/>
      <c r="E635" s="467"/>
      <c r="F635" s="467"/>
      <c r="G635" s="467"/>
      <c r="H635" s="467"/>
      <c r="I635" s="467"/>
      <c r="J635" s="467"/>
      <c r="K635" s="467"/>
      <c r="L635" s="467"/>
      <c r="M635" s="467"/>
      <c r="N635" s="467"/>
      <c r="O635" s="467"/>
      <c r="P635" s="467"/>
      <c r="Q635" s="467"/>
      <c r="R635" s="467"/>
      <c r="S635" s="467"/>
      <c r="T635" s="467"/>
      <c r="U635" s="468"/>
      <c r="V635" s="319"/>
      <c r="W635" s="319"/>
      <c r="X635" s="467"/>
      <c r="Y635" s="467"/>
      <c r="Z635" s="467"/>
      <c r="AA635" s="467"/>
      <c r="AB635" s="467"/>
    </row>
    <row r="636" spans="1:28" ht="15.75" customHeight="1">
      <c r="A636" s="467"/>
      <c r="B636" s="467"/>
      <c r="C636" s="467"/>
      <c r="D636" s="467"/>
      <c r="E636" s="467"/>
      <c r="F636" s="467"/>
      <c r="G636" s="467"/>
      <c r="H636" s="467"/>
      <c r="I636" s="467"/>
      <c r="J636" s="467"/>
      <c r="K636" s="467"/>
      <c r="L636" s="467"/>
      <c r="M636" s="467"/>
      <c r="N636" s="467"/>
      <c r="O636" s="467"/>
      <c r="P636" s="467"/>
      <c r="Q636" s="467"/>
      <c r="R636" s="467"/>
      <c r="S636" s="467"/>
      <c r="T636" s="467"/>
      <c r="U636" s="468"/>
      <c r="V636" s="319"/>
      <c r="W636" s="319"/>
      <c r="X636" s="467"/>
      <c r="Y636" s="467"/>
      <c r="Z636" s="467"/>
      <c r="AA636" s="467"/>
      <c r="AB636" s="467"/>
    </row>
    <row r="637" spans="1:28" ht="15.75" customHeight="1">
      <c r="A637" s="467"/>
      <c r="B637" s="467"/>
      <c r="C637" s="467"/>
      <c r="D637" s="467"/>
      <c r="E637" s="467"/>
      <c r="F637" s="467"/>
      <c r="G637" s="467"/>
      <c r="H637" s="467"/>
      <c r="I637" s="467"/>
      <c r="J637" s="467"/>
      <c r="K637" s="467"/>
      <c r="L637" s="467"/>
      <c r="M637" s="467"/>
      <c r="N637" s="467"/>
      <c r="O637" s="467"/>
      <c r="P637" s="467"/>
      <c r="Q637" s="467"/>
      <c r="R637" s="467"/>
      <c r="S637" s="467"/>
      <c r="T637" s="467"/>
      <c r="U637" s="468"/>
      <c r="V637" s="319"/>
      <c r="W637" s="319"/>
      <c r="X637" s="467"/>
      <c r="Y637" s="467"/>
      <c r="Z637" s="467"/>
      <c r="AA637" s="467"/>
      <c r="AB637" s="467"/>
    </row>
    <row r="638" spans="1:28" ht="15.75" customHeight="1">
      <c r="A638" s="467"/>
      <c r="B638" s="467"/>
      <c r="C638" s="467"/>
      <c r="D638" s="467"/>
      <c r="E638" s="467"/>
      <c r="F638" s="467"/>
      <c r="G638" s="467"/>
      <c r="H638" s="467"/>
      <c r="I638" s="467"/>
      <c r="J638" s="467"/>
      <c r="K638" s="467"/>
      <c r="L638" s="467"/>
      <c r="M638" s="467"/>
      <c r="N638" s="467"/>
      <c r="O638" s="467"/>
      <c r="P638" s="467"/>
      <c r="Q638" s="467"/>
      <c r="R638" s="467"/>
      <c r="S638" s="467"/>
      <c r="T638" s="467"/>
      <c r="U638" s="468"/>
      <c r="V638" s="319"/>
      <c r="W638" s="319"/>
      <c r="X638" s="467"/>
      <c r="Y638" s="467"/>
      <c r="Z638" s="467"/>
      <c r="AA638" s="467"/>
      <c r="AB638" s="467"/>
    </row>
    <row r="639" spans="1:28" ht="15.75" customHeight="1">
      <c r="A639" s="467"/>
      <c r="B639" s="467"/>
      <c r="C639" s="467"/>
      <c r="D639" s="467"/>
      <c r="E639" s="467"/>
      <c r="F639" s="467"/>
      <c r="G639" s="467"/>
      <c r="H639" s="467"/>
      <c r="I639" s="467"/>
      <c r="J639" s="467"/>
      <c r="K639" s="467"/>
      <c r="L639" s="467"/>
      <c r="M639" s="467"/>
      <c r="N639" s="467"/>
      <c r="O639" s="467"/>
      <c r="P639" s="467"/>
      <c r="Q639" s="467"/>
      <c r="R639" s="467"/>
      <c r="S639" s="467"/>
      <c r="T639" s="467"/>
      <c r="U639" s="468"/>
      <c r="V639" s="319"/>
      <c r="W639" s="319"/>
      <c r="X639" s="467"/>
      <c r="Y639" s="467"/>
      <c r="Z639" s="467"/>
      <c r="AA639" s="467"/>
      <c r="AB639" s="467"/>
    </row>
    <row r="640" spans="1:28" ht="15.75" customHeight="1">
      <c r="A640" s="467"/>
      <c r="B640" s="467"/>
      <c r="C640" s="467"/>
      <c r="D640" s="467"/>
      <c r="E640" s="467"/>
      <c r="F640" s="467"/>
      <c r="G640" s="467"/>
      <c r="H640" s="467"/>
      <c r="I640" s="467"/>
      <c r="J640" s="467"/>
      <c r="K640" s="467"/>
      <c r="L640" s="467"/>
      <c r="M640" s="467"/>
      <c r="N640" s="467"/>
      <c r="O640" s="467"/>
      <c r="P640" s="467"/>
      <c r="Q640" s="467"/>
      <c r="R640" s="467"/>
      <c r="S640" s="467"/>
      <c r="T640" s="467"/>
      <c r="U640" s="468"/>
      <c r="V640" s="319"/>
      <c r="W640" s="319"/>
      <c r="X640" s="467"/>
      <c r="Y640" s="467"/>
      <c r="Z640" s="467"/>
      <c r="AA640" s="467"/>
      <c r="AB640" s="467"/>
    </row>
    <row r="641" spans="1:28" ht="15.75" customHeight="1">
      <c r="A641" s="467"/>
      <c r="B641" s="467"/>
      <c r="C641" s="467"/>
      <c r="D641" s="467"/>
      <c r="E641" s="467"/>
      <c r="F641" s="467"/>
      <c r="G641" s="467"/>
      <c r="H641" s="467"/>
      <c r="I641" s="467"/>
      <c r="J641" s="467"/>
      <c r="K641" s="467"/>
      <c r="L641" s="467"/>
      <c r="M641" s="467"/>
      <c r="N641" s="467"/>
      <c r="O641" s="467"/>
      <c r="P641" s="467"/>
      <c r="Q641" s="467"/>
      <c r="R641" s="467"/>
      <c r="S641" s="467"/>
      <c r="T641" s="467"/>
      <c r="U641" s="468"/>
      <c r="V641" s="319"/>
      <c r="W641" s="319"/>
      <c r="X641" s="467"/>
      <c r="Y641" s="467"/>
      <c r="Z641" s="467"/>
      <c r="AA641" s="467"/>
      <c r="AB641" s="467"/>
    </row>
    <row r="642" spans="1:28" ht="15.75" customHeight="1">
      <c r="A642" s="467"/>
      <c r="B642" s="467"/>
      <c r="C642" s="467"/>
      <c r="D642" s="467"/>
      <c r="E642" s="467"/>
      <c r="F642" s="467"/>
      <c r="G642" s="467"/>
      <c r="H642" s="467"/>
      <c r="I642" s="467"/>
      <c r="J642" s="467"/>
      <c r="K642" s="467"/>
      <c r="L642" s="467"/>
      <c r="M642" s="467"/>
      <c r="N642" s="467"/>
      <c r="O642" s="467"/>
      <c r="P642" s="467"/>
      <c r="Q642" s="467"/>
      <c r="R642" s="467"/>
      <c r="S642" s="467"/>
      <c r="T642" s="467"/>
      <c r="U642" s="468"/>
      <c r="V642" s="319"/>
      <c r="W642" s="319"/>
      <c r="X642" s="467"/>
      <c r="Y642" s="467"/>
      <c r="Z642" s="467"/>
      <c r="AA642" s="467"/>
      <c r="AB642" s="467"/>
    </row>
    <row r="643" spans="1:28" ht="15.75" customHeight="1">
      <c r="A643" s="467"/>
      <c r="B643" s="467"/>
      <c r="C643" s="467"/>
      <c r="D643" s="467"/>
      <c r="E643" s="467"/>
      <c r="F643" s="467"/>
      <c r="G643" s="467"/>
      <c r="H643" s="467"/>
      <c r="I643" s="467"/>
      <c r="J643" s="467"/>
      <c r="K643" s="467"/>
      <c r="L643" s="467"/>
      <c r="M643" s="467"/>
      <c r="N643" s="467"/>
      <c r="O643" s="467"/>
      <c r="P643" s="467"/>
      <c r="Q643" s="467"/>
      <c r="R643" s="467"/>
      <c r="S643" s="467"/>
      <c r="T643" s="467"/>
      <c r="U643" s="468"/>
      <c r="V643" s="319"/>
      <c r="W643" s="319"/>
      <c r="X643" s="467"/>
      <c r="Y643" s="467"/>
      <c r="Z643" s="467"/>
      <c r="AA643" s="467"/>
      <c r="AB643" s="467"/>
    </row>
    <row r="644" spans="1:28" ht="15.75" customHeight="1">
      <c r="A644" s="467"/>
      <c r="B644" s="467"/>
      <c r="C644" s="467"/>
      <c r="D644" s="467"/>
      <c r="E644" s="467"/>
      <c r="F644" s="467"/>
      <c r="G644" s="467"/>
      <c r="H644" s="467"/>
      <c r="I644" s="467"/>
      <c r="J644" s="467"/>
      <c r="K644" s="467"/>
      <c r="L644" s="467"/>
      <c r="M644" s="467"/>
      <c r="N644" s="467"/>
      <c r="O644" s="467"/>
      <c r="P644" s="467"/>
      <c r="Q644" s="467"/>
      <c r="R644" s="467"/>
      <c r="S644" s="467"/>
      <c r="T644" s="467"/>
      <c r="U644" s="468"/>
      <c r="V644" s="319"/>
      <c r="W644" s="319"/>
      <c r="X644" s="467"/>
      <c r="Y644" s="467"/>
      <c r="Z644" s="467"/>
      <c r="AA644" s="467"/>
      <c r="AB644" s="467"/>
    </row>
    <row r="645" spans="1:28" ht="15.75" customHeight="1">
      <c r="A645" s="467"/>
      <c r="B645" s="467"/>
      <c r="C645" s="467"/>
      <c r="D645" s="467"/>
      <c r="E645" s="467"/>
      <c r="F645" s="467"/>
      <c r="G645" s="467"/>
      <c r="H645" s="467"/>
      <c r="I645" s="467"/>
      <c r="J645" s="467"/>
      <c r="K645" s="467"/>
      <c r="L645" s="467"/>
      <c r="M645" s="467"/>
      <c r="N645" s="467"/>
      <c r="O645" s="467"/>
      <c r="P645" s="467"/>
      <c r="Q645" s="467"/>
      <c r="R645" s="467"/>
      <c r="S645" s="467"/>
      <c r="T645" s="467"/>
      <c r="U645" s="468"/>
      <c r="V645" s="319"/>
      <c r="W645" s="319"/>
      <c r="X645" s="467"/>
      <c r="Y645" s="467"/>
      <c r="Z645" s="467"/>
      <c r="AA645" s="467"/>
      <c r="AB645" s="467"/>
    </row>
    <row r="646" spans="1:28" ht="15.75" customHeight="1">
      <c r="A646" s="467"/>
      <c r="B646" s="467"/>
      <c r="C646" s="467"/>
      <c r="D646" s="467"/>
      <c r="E646" s="467"/>
      <c r="F646" s="467"/>
      <c r="G646" s="467"/>
      <c r="H646" s="467"/>
      <c r="I646" s="467"/>
      <c r="J646" s="467"/>
      <c r="K646" s="467"/>
      <c r="L646" s="467"/>
      <c r="M646" s="467"/>
      <c r="N646" s="467"/>
      <c r="O646" s="467"/>
      <c r="P646" s="467"/>
      <c r="Q646" s="467"/>
      <c r="R646" s="467"/>
      <c r="S646" s="467"/>
      <c r="T646" s="467"/>
      <c r="U646" s="468"/>
      <c r="V646" s="319"/>
      <c r="W646" s="319"/>
      <c r="X646" s="467"/>
      <c r="Y646" s="467"/>
      <c r="Z646" s="467"/>
      <c r="AA646" s="467"/>
      <c r="AB646" s="467"/>
    </row>
    <row r="647" spans="1:28" ht="15.75" customHeight="1">
      <c r="A647" s="467"/>
      <c r="B647" s="467"/>
      <c r="C647" s="467"/>
      <c r="D647" s="467"/>
      <c r="E647" s="467"/>
      <c r="F647" s="467"/>
      <c r="G647" s="467"/>
      <c r="H647" s="467"/>
      <c r="I647" s="467"/>
      <c r="J647" s="467"/>
      <c r="K647" s="467"/>
      <c r="L647" s="467"/>
      <c r="M647" s="467"/>
      <c r="N647" s="467"/>
      <c r="O647" s="467"/>
      <c r="P647" s="467"/>
      <c r="Q647" s="467"/>
      <c r="R647" s="467"/>
      <c r="S647" s="467"/>
      <c r="T647" s="467"/>
      <c r="U647" s="468"/>
      <c r="V647" s="319"/>
      <c r="W647" s="319"/>
      <c r="X647" s="467"/>
      <c r="Y647" s="467"/>
      <c r="Z647" s="467"/>
      <c r="AA647" s="467"/>
      <c r="AB647" s="467"/>
    </row>
    <row r="648" spans="1:28" ht="15.75" customHeight="1">
      <c r="A648" s="467"/>
      <c r="B648" s="467"/>
      <c r="C648" s="467"/>
      <c r="D648" s="467"/>
      <c r="E648" s="467"/>
      <c r="F648" s="467"/>
      <c r="G648" s="467"/>
      <c r="H648" s="467"/>
      <c r="I648" s="467"/>
      <c r="J648" s="467"/>
      <c r="K648" s="467"/>
      <c r="L648" s="467"/>
      <c r="M648" s="467"/>
      <c r="N648" s="467"/>
      <c r="O648" s="467"/>
      <c r="P648" s="467"/>
      <c r="Q648" s="467"/>
      <c r="R648" s="467"/>
      <c r="S648" s="467"/>
      <c r="T648" s="467"/>
      <c r="U648" s="468"/>
      <c r="V648" s="319"/>
      <c r="W648" s="319"/>
      <c r="X648" s="467"/>
      <c r="Y648" s="467"/>
      <c r="Z648" s="467"/>
      <c r="AA648" s="467"/>
      <c r="AB648" s="467"/>
    </row>
    <row r="649" spans="1:28" ht="15.75" customHeight="1">
      <c r="A649" s="467"/>
      <c r="B649" s="467"/>
      <c r="C649" s="467"/>
      <c r="D649" s="467"/>
      <c r="E649" s="467"/>
      <c r="F649" s="467"/>
      <c r="G649" s="467"/>
      <c r="H649" s="467"/>
      <c r="I649" s="467"/>
      <c r="J649" s="467"/>
      <c r="K649" s="467"/>
      <c r="L649" s="467"/>
      <c r="M649" s="467"/>
      <c r="N649" s="467"/>
      <c r="O649" s="467"/>
      <c r="P649" s="467"/>
      <c r="Q649" s="467"/>
      <c r="R649" s="467"/>
      <c r="S649" s="467"/>
      <c r="T649" s="467"/>
      <c r="U649" s="468"/>
      <c r="V649" s="319"/>
      <c r="W649" s="319"/>
      <c r="X649" s="467"/>
      <c r="Y649" s="467"/>
      <c r="Z649" s="467"/>
      <c r="AA649" s="467"/>
      <c r="AB649" s="467"/>
    </row>
    <row r="650" spans="1:28" ht="15.75" customHeight="1">
      <c r="A650" s="467"/>
      <c r="B650" s="467"/>
      <c r="C650" s="467"/>
      <c r="D650" s="467"/>
      <c r="E650" s="467"/>
      <c r="F650" s="467"/>
      <c r="G650" s="467"/>
      <c r="H650" s="467"/>
      <c r="I650" s="467"/>
      <c r="J650" s="467"/>
      <c r="K650" s="467"/>
      <c r="L650" s="467"/>
      <c r="M650" s="467"/>
      <c r="N650" s="467"/>
      <c r="O650" s="467"/>
      <c r="P650" s="467"/>
      <c r="Q650" s="467"/>
      <c r="R650" s="467"/>
      <c r="S650" s="467"/>
      <c r="T650" s="467"/>
      <c r="U650" s="468"/>
      <c r="V650" s="319"/>
      <c r="W650" s="319"/>
      <c r="X650" s="467"/>
      <c r="Y650" s="467"/>
      <c r="Z650" s="467"/>
      <c r="AA650" s="467"/>
      <c r="AB650" s="467"/>
    </row>
    <row r="651" spans="1:28" ht="15.75" customHeight="1">
      <c r="A651" s="467"/>
      <c r="B651" s="467"/>
      <c r="C651" s="467"/>
      <c r="D651" s="467"/>
      <c r="E651" s="467"/>
      <c r="F651" s="467"/>
      <c r="G651" s="467"/>
      <c r="H651" s="467"/>
      <c r="I651" s="467"/>
      <c r="J651" s="467"/>
      <c r="K651" s="467"/>
      <c r="L651" s="467"/>
      <c r="M651" s="467"/>
      <c r="N651" s="467"/>
      <c r="O651" s="467"/>
      <c r="P651" s="467"/>
      <c r="Q651" s="467"/>
      <c r="R651" s="467"/>
      <c r="S651" s="467"/>
      <c r="T651" s="467"/>
      <c r="U651" s="468"/>
      <c r="V651" s="319"/>
      <c r="W651" s="319"/>
      <c r="X651" s="467"/>
      <c r="Y651" s="467"/>
      <c r="Z651" s="467"/>
      <c r="AA651" s="467"/>
      <c r="AB651" s="467"/>
    </row>
    <row r="652" spans="1:28" ht="15.75" customHeight="1">
      <c r="A652" s="467"/>
      <c r="B652" s="467"/>
      <c r="C652" s="467"/>
      <c r="D652" s="467"/>
      <c r="E652" s="467"/>
      <c r="F652" s="467"/>
      <c r="G652" s="467"/>
      <c r="H652" s="467"/>
      <c r="I652" s="467"/>
      <c r="J652" s="467"/>
      <c r="K652" s="467"/>
      <c r="L652" s="467"/>
      <c r="M652" s="467"/>
      <c r="N652" s="467"/>
      <c r="O652" s="467"/>
      <c r="P652" s="467"/>
      <c r="Q652" s="467"/>
      <c r="R652" s="467"/>
      <c r="S652" s="467"/>
      <c r="T652" s="467"/>
      <c r="U652" s="468"/>
      <c r="V652" s="319"/>
      <c r="W652" s="319"/>
      <c r="X652" s="467"/>
      <c r="Y652" s="467"/>
      <c r="Z652" s="467"/>
      <c r="AA652" s="467"/>
      <c r="AB652" s="467"/>
    </row>
    <row r="653" spans="1:28" ht="15.75" customHeight="1">
      <c r="A653" s="467"/>
      <c r="B653" s="467"/>
      <c r="C653" s="467"/>
      <c r="D653" s="467"/>
      <c r="E653" s="467"/>
      <c r="F653" s="467"/>
      <c r="G653" s="467"/>
      <c r="H653" s="467"/>
      <c r="I653" s="467"/>
      <c r="J653" s="467"/>
      <c r="K653" s="467"/>
      <c r="L653" s="467"/>
      <c r="M653" s="467"/>
      <c r="N653" s="467"/>
      <c r="O653" s="467"/>
      <c r="P653" s="467"/>
      <c r="Q653" s="467"/>
      <c r="R653" s="467"/>
      <c r="S653" s="467"/>
      <c r="T653" s="467"/>
      <c r="U653" s="468"/>
      <c r="V653" s="319"/>
      <c r="W653" s="319"/>
      <c r="X653" s="467"/>
      <c r="Y653" s="467"/>
      <c r="Z653" s="467"/>
      <c r="AA653" s="467"/>
      <c r="AB653" s="467"/>
    </row>
    <row r="654" spans="1:28" ht="15.75" customHeight="1">
      <c r="A654" s="467"/>
      <c r="B654" s="467"/>
      <c r="C654" s="467"/>
      <c r="D654" s="467"/>
      <c r="E654" s="467"/>
      <c r="F654" s="467"/>
      <c r="G654" s="467"/>
      <c r="H654" s="467"/>
      <c r="I654" s="467"/>
      <c r="J654" s="467"/>
      <c r="K654" s="467"/>
      <c r="L654" s="467"/>
      <c r="M654" s="467"/>
      <c r="N654" s="467"/>
      <c r="O654" s="467"/>
      <c r="P654" s="467"/>
      <c r="Q654" s="467"/>
      <c r="R654" s="467"/>
      <c r="S654" s="467"/>
      <c r="T654" s="467"/>
      <c r="U654" s="468"/>
      <c r="V654" s="319"/>
      <c r="W654" s="319"/>
      <c r="X654" s="467"/>
      <c r="Y654" s="467"/>
      <c r="Z654" s="467"/>
      <c r="AA654" s="467"/>
      <c r="AB654" s="467"/>
    </row>
    <row r="655" spans="1:28" ht="15.75" customHeight="1">
      <c r="A655" s="467"/>
      <c r="B655" s="467"/>
      <c r="C655" s="467"/>
      <c r="D655" s="467"/>
      <c r="E655" s="467"/>
      <c r="F655" s="467"/>
      <c r="G655" s="467"/>
      <c r="H655" s="467"/>
      <c r="I655" s="467"/>
      <c r="J655" s="467"/>
      <c r="K655" s="467"/>
      <c r="L655" s="467"/>
      <c r="M655" s="467"/>
      <c r="N655" s="467"/>
      <c r="O655" s="467"/>
      <c r="P655" s="467"/>
      <c r="Q655" s="467"/>
      <c r="R655" s="467"/>
      <c r="S655" s="467"/>
      <c r="T655" s="467"/>
      <c r="U655" s="468"/>
      <c r="V655" s="319"/>
      <c r="W655" s="319"/>
      <c r="X655" s="467"/>
      <c r="Y655" s="467"/>
      <c r="Z655" s="467"/>
      <c r="AA655" s="467"/>
      <c r="AB655" s="467"/>
    </row>
    <row r="656" spans="1:28" ht="15.75" customHeight="1">
      <c r="A656" s="467"/>
      <c r="B656" s="467"/>
      <c r="C656" s="467"/>
      <c r="D656" s="467"/>
      <c r="E656" s="467"/>
      <c r="F656" s="467"/>
      <c r="G656" s="467"/>
      <c r="H656" s="467"/>
      <c r="I656" s="467"/>
      <c r="J656" s="467"/>
      <c r="K656" s="467"/>
      <c r="L656" s="467"/>
      <c r="M656" s="467"/>
      <c r="N656" s="467"/>
      <c r="O656" s="467"/>
      <c r="P656" s="467"/>
      <c r="Q656" s="467"/>
      <c r="R656" s="467"/>
      <c r="S656" s="467"/>
      <c r="T656" s="467"/>
      <c r="U656" s="468"/>
      <c r="V656" s="319"/>
      <c r="W656" s="319"/>
      <c r="X656" s="467"/>
      <c r="Y656" s="467"/>
      <c r="Z656" s="467"/>
      <c r="AA656" s="467"/>
      <c r="AB656" s="467"/>
    </row>
    <row r="657" spans="1:28" ht="15.75" customHeight="1">
      <c r="A657" s="467"/>
      <c r="B657" s="467"/>
      <c r="C657" s="467"/>
      <c r="D657" s="467"/>
      <c r="E657" s="467"/>
      <c r="F657" s="467"/>
      <c r="G657" s="467"/>
      <c r="H657" s="467"/>
      <c r="I657" s="467"/>
      <c r="J657" s="467"/>
      <c r="K657" s="467"/>
      <c r="L657" s="467"/>
      <c r="M657" s="467"/>
      <c r="N657" s="467"/>
      <c r="O657" s="467"/>
      <c r="P657" s="467"/>
      <c r="Q657" s="467"/>
      <c r="R657" s="467"/>
      <c r="S657" s="467"/>
      <c r="T657" s="467"/>
      <c r="U657" s="468"/>
      <c r="V657" s="319"/>
      <c r="W657" s="319"/>
      <c r="X657" s="467"/>
      <c r="Y657" s="467"/>
      <c r="Z657" s="467"/>
      <c r="AA657" s="467"/>
      <c r="AB657" s="467"/>
    </row>
    <row r="658" spans="1:28" ht="15.75" customHeight="1">
      <c r="A658" s="467"/>
      <c r="B658" s="467"/>
      <c r="C658" s="467"/>
      <c r="D658" s="467"/>
      <c r="E658" s="467"/>
      <c r="F658" s="467"/>
      <c r="G658" s="467"/>
      <c r="H658" s="467"/>
      <c r="I658" s="467"/>
      <c r="J658" s="467"/>
      <c r="K658" s="467"/>
      <c r="L658" s="467"/>
      <c r="M658" s="467"/>
      <c r="N658" s="467"/>
      <c r="O658" s="467"/>
      <c r="P658" s="467"/>
      <c r="Q658" s="467"/>
      <c r="R658" s="467"/>
      <c r="S658" s="467"/>
      <c r="T658" s="467"/>
      <c r="U658" s="468"/>
      <c r="V658" s="319"/>
      <c r="W658" s="319"/>
      <c r="X658" s="467"/>
      <c r="Y658" s="467"/>
      <c r="Z658" s="467"/>
      <c r="AA658" s="467"/>
      <c r="AB658" s="467"/>
    </row>
    <row r="659" spans="1:28" ht="15.75" customHeight="1">
      <c r="A659" s="467"/>
      <c r="B659" s="467"/>
      <c r="C659" s="467"/>
      <c r="D659" s="467"/>
      <c r="E659" s="467"/>
      <c r="F659" s="467"/>
      <c r="G659" s="467"/>
      <c r="H659" s="467"/>
      <c r="I659" s="467"/>
      <c r="J659" s="467"/>
      <c r="K659" s="467"/>
      <c r="L659" s="467"/>
      <c r="M659" s="467"/>
      <c r="N659" s="467"/>
      <c r="O659" s="467"/>
      <c r="P659" s="467"/>
      <c r="Q659" s="467"/>
      <c r="R659" s="467"/>
      <c r="S659" s="467"/>
      <c r="T659" s="467"/>
      <c r="U659" s="468"/>
      <c r="V659" s="319"/>
      <c r="W659" s="319"/>
      <c r="X659" s="467"/>
      <c r="Y659" s="467"/>
      <c r="Z659" s="467"/>
      <c r="AA659" s="467"/>
      <c r="AB659" s="467"/>
    </row>
    <row r="660" spans="1:28" ht="15.75" customHeight="1">
      <c r="A660" s="467"/>
      <c r="B660" s="467"/>
      <c r="C660" s="467"/>
      <c r="D660" s="467"/>
      <c r="E660" s="467"/>
      <c r="F660" s="467"/>
      <c r="G660" s="467"/>
      <c r="H660" s="467"/>
      <c r="I660" s="467"/>
      <c r="J660" s="467"/>
      <c r="K660" s="467"/>
      <c r="L660" s="467"/>
      <c r="M660" s="467"/>
      <c r="N660" s="467"/>
      <c r="O660" s="467"/>
      <c r="P660" s="467"/>
      <c r="Q660" s="467"/>
      <c r="R660" s="467"/>
      <c r="S660" s="467"/>
      <c r="T660" s="467"/>
      <c r="U660" s="468"/>
      <c r="V660" s="319"/>
      <c r="W660" s="319"/>
      <c r="X660" s="467"/>
      <c r="Y660" s="467"/>
      <c r="Z660" s="467"/>
      <c r="AA660" s="467"/>
      <c r="AB660" s="467"/>
    </row>
    <row r="661" spans="1:28" ht="15.75" customHeight="1">
      <c r="A661" s="467"/>
      <c r="B661" s="467"/>
      <c r="C661" s="467"/>
      <c r="D661" s="467"/>
      <c r="E661" s="467"/>
      <c r="F661" s="467"/>
      <c r="G661" s="467"/>
      <c r="H661" s="467"/>
      <c r="I661" s="467"/>
      <c r="J661" s="467"/>
      <c r="K661" s="467"/>
      <c r="L661" s="467"/>
      <c r="M661" s="467"/>
      <c r="N661" s="467"/>
      <c r="O661" s="467"/>
      <c r="P661" s="467"/>
      <c r="Q661" s="467"/>
      <c r="R661" s="467"/>
      <c r="S661" s="467"/>
      <c r="T661" s="467"/>
      <c r="U661" s="468"/>
      <c r="V661" s="319"/>
      <c r="W661" s="319"/>
      <c r="X661" s="467"/>
      <c r="Y661" s="467"/>
      <c r="Z661" s="467"/>
      <c r="AA661" s="467"/>
      <c r="AB661" s="467"/>
    </row>
    <row r="662" spans="1:28" ht="15.75" customHeight="1">
      <c r="A662" s="467"/>
      <c r="B662" s="467"/>
      <c r="C662" s="467"/>
      <c r="D662" s="467"/>
      <c r="E662" s="467"/>
      <c r="F662" s="467"/>
      <c r="G662" s="467"/>
      <c r="H662" s="467"/>
      <c r="I662" s="467"/>
      <c r="J662" s="467"/>
      <c r="K662" s="467"/>
      <c r="L662" s="467"/>
      <c r="M662" s="467"/>
      <c r="N662" s="467"/>
      <c r="O662" s="467"/>
      <c r="P662" s="467"/>
      <c r="Q662" s="467"/>
      <c r="R662" s="467"/>
      <c r="S662" s="467"/>
      <c r="T662" s="467"/>
      <c r="U662" s="468"/>
      <c r="V662" s="319"/>
      <c r="W662" s="319"/>
      <c r="X662" s="467"/>
      <c r="Y662" s="467"/>
      <c r="Z662" s="467"/>
      <c r="AA662" s="467"/>
      <c r="AB662" s="467"/>
    </row>
    <row r="663" spans="1:28" ht="15.75" customHeight="1">
      <c r="A663" s="467"/>
      <c r="B663" s="467"/>
      <c r="C663" s="467"/>
      <c r="D663" s="467"/>
      <c r="E663" s="467"/>
      <c r="F663" s="467"/>
      <c r="G663" s="467"/>
      <c r="H663" s="467"/>
      <c r="I663" s="467"/>
      <c r="J663" s="467"/>
      <c r="K663" s="467"/>
      <c r="L663" s="467"/>
      <c r="M663" s="467"/>
      <c r="N663" s="467"/>
      <c r="O663" s="467"/>
      <c r="P663" s="467"/>
      <c r="Q663" s="467"/>
      <c r="R663" s="467"/>
      <c r="S663" s="467"/>
      <c r="T663" s="467"/>
      <c r="U663" s="468"/>
      <c r="V663" s="319"/>
      <c r="W663" s="319"/>
      <c r="X663" s="467"/>
      <c r="Y663" s="467"/>
      <c r="Z663" s="467"/>
      <c r="AA663" s="467"/>
      <c r="AB663" s="467"/>
    </row>
    <row r="664" spans="1:28" ht="15.75" customHeight="1">
      <c r="A664" s="467"/>
      <c r="B664" s="467"/>
      <c r="C664" s="467"/>
      <c r="D664" s="467"/>
      <c r="E664" s="467"/>
      <c r="F664" s="467"/>
      <c r="G664" s="467"/>
      <c r="H664" s="467"/>
      <c r="I664" s="467"/>
      <c r="J664" s="467"/>
      <c r="K664" s="467"/>
      <c r="L664" s="467"/>
      <c r="M664" s="467"/>
      <c r="N664" s="467"/>
      <c r="O664" s="467"/>
      <c r="P664" s="467"/>
      <c r="Q664" s="467"/>
      <c r="R664" s="467"/>
      <c r="S664" s="467"/>
      <c r="T664" s="467"/>
      <c r="U664" s="468"/>
      <c r="V664" s="319"/>
      <c r="W664" s="319"/>
      <c r="X664" s="467"/>
      <c r="Y664" s="467"/>
      <c r="Z664" s="467"/>
      <c r="AA664" s="467"/>
      <c r="AB664" s="467"/>
    </row>
    <row r="665" spans="1:28" ht="15.75" customHeight="1">
      <c r="A665" s="467"/>
      <c r="B665" s="467"/>
      <c r="C665" s="467"/>
      <c r="D665" s="467"/>
      <c r="E665" s="467"/>
      <c r="F665" s="467"/>
      <c r="G665" s="467"/>
      <c r="H665" s="467"/>
      <c r="I665" s="467"/>
      <c r="J665" s="467"/>
      <c r="K665" s="467"/>
      <c r="L665" s="467"/>
      <c r="M665" s="467"/>
      <c r="N665" s="467"/>
      <c r="O665" s="467"/>
      <c r="P665" s="467"/>
      <c r="Q665" s="467"/>
      <c r="R665" s="467"/>
      <c r="S665" s="467"/>
      <c r="T665" s="467"/>
      <c r="U665" s="468"/>
      <c r="V665" s="319"/>
      <c r="W665" s="319"/>
      <c r="X665" s="467"/>
      <c r="Y665" s="467"/>
      <c r="Z665" s="467"/>
      <c r="AA665" s="467"/>
      <c r="AB665" s="467"/>
    </row>
    <row r="666" spans="1:28" ht="15.75" customHeight="1">
      <c r="A666" s="467"/>
      <c r="B666" s="467"/>
      <c r="C666" s="467"/>
      <c r="D666" s="467"/>
      <c r="E666" s="467"/>
      <c r="F666" s="467"/>
      <c r="G666" s="467"/>
      <c r="H666" s="467"/>
      <c r="I666" s="467"/>
      <c r="J666" s="467"/>
      <c r="K666" s="467"/>
      <c r="L666" s="467"/>
      <c r="M666" s="467"/>
      <c r="N666" s="467"/>
      <c r="O666" s="467"/>
      <c r="P666" s="467"/>
      <c r="Q666" s="467"/>
      <c r="R666" s="467"/>
      <c r="S666" s="467"/>
      <c r="T666" s="467"/>
      <c r="U666" s="468"/>
      <c r="V666" s="319"/>
      <c r="W666" s="319"/>
      <c r="X666" s="467"/>
      <c r="Y666" s="467"/>
      <c r="Z666" s="467"/>
      <c r="AA666" s="467"/>
      <c r="AB666" s="467"/>
    </row>
    <row r="667" spans="1:28" ht="15.75" customHeight="1">
      <c r="A667" s="467"/>
      <c r="B667" s="467"/>
      <c r="C667" s="467"/>
      <c r="D667" s="467"/>
      <c r="E667" s="467"/>
      <c r="F667" s="467"/>
      <c r="G667" s="467"/>
      <c r="H667" s="467"/>
      <c r="I667" s="467"/>
      <c r="J667" s="467"/>
      <c r="K667" s="467"/>
      <c r="L667" s="467"/>
      <c r="M667" s="467"/>
      <c r="N667" s="467"/>
      <c r="O667" s="467"/>
      <c r="P667" s="467"/>
      <c r="Q667" s="467"/>
      <c r="R667" s="467"/>
      <c r="S667" s="467"/>
      <c r="T667" s="467"/>
      <c r="U667" s="468"/>
      <c r="V667" s="319"/>
      <c r="W667" s="319"/>
      <c r="X667" s="467"/>
      <c r="Y667" s="467"/>
      <c r="Z667" s="467"/>
      <c r="AA667" s="467"/>
      <c r="AB667" s="467"/>
    </row>
    <row r="668" spans="1:28" ht="15.75" customHeight="1">
      <c r="A668" s="467"/>
      <c r="B668" s="467"/>
      <c r="C668" s="467"/>
      <c r="D668" s="467"/>
      <c r="E668" s="467"/>
      <c r="F668" s="467"/>
      <c r="G668" s="467"/>
      <c r="H668" s="467"/>
      <c r="I668" s="467"/>
      <c r="J668" s="467"/>
      <c r="K668" s="467"/>
      <c r="L668" s="467"/>
      <c r="M668" s="467"/>
      <c r="N668" s="467"/>
      <c r="O668" s="467"/>
      <c r="P668" s="467"/>
      <c r="Q668" s="467"/>
      <c r="R668" s="467"/>
      <c r="S668" s="467"/>
      <c r="T668" s="467"/>
      <c r="U668" s="468"/>
      <c r="V668" s="319"/>
      <c r="W668" s="319"/>
      <c r="X668" s="467"/>
      <c r="Y668" s="467"/>
      <c r="Z668" s="467"/>
      <c r="AA668" s="467"/>
      <c r="AB668" s="467"/>
    </row>
    <row r="669" spans="1:28" ht="15.75" customHeight="1">
      <c r="A669" s="467"/>
      <c r="B669" s="467"/>
      <c r="C669" s="467"/>
      <c r="D669" s="467"/>
      <c r="E669" s="467"/>
      <c r="F669" s="467"/>
      <c r="G669" s="467"/>
      <c r="H669" s="467"/>
      <c r="I669" s="467"/>
      <c r="J669" s="467"/>
      <c r="K669" s="467"/>
      <c r="L669" s="467"/>
      <c r="M669" s="467"/>
      <c r="N669" s="467"/>
      <c r="O669" s="467"/>
      <c r="P669" s="467"/>
      <c r="Q669" s="467"/>
      <c r="R669" s="467"/>
      <c r="S669" s="467"/>
      <c r="T669" s="467"/>
      <c r="U669" s="468"/>
      <c r="V669" s="319"/>
      <c r="W669" s="319"/>
      <c r="X669" s="467"/>
      <c r="Y669" s="467"/>
      <c r="Z669" s="467"/>
      <c r="AA669" s="467"/>
      <c r="AB669" s="467"/>
    </row>
    <row r="670" spans="1:28" ht="15.75" customHeight="1">
      <c r="A670" s="467"/>
      <c r="B670" s="467"/>
      <c r="C670" s="467"/>
      <c r="D670" s="467"/>
      <c r="E670" s="467"/>
      <c r="F670" s="467"/>
      <c r="G670" s="467"/>
      <c r="H670" s="467"/>
      <c r="I670" s="467"/>
      <c r="J670" s="467"/>
      <c r="K670" s="467"/>
      <c r="L670" s="467"/>
      <c r="M670" s="467"/>
      <c r="N670" s="467"/>
      <c r="O670" s="467"/>
      <c r="P670" s="467"/>
      <c r="Q670" s="467"/>
      <c r="R670" s="467"/>
      <c r="S670" s="467"/>
      <c r="T670" s="467"/>
      <c r="U670" s="468"/>
      <c r="V670" s="319"/>
      <c r="W670" s="319"/>
      <c r="X670" s="467"/>
      <c r="Y670" s="467"/>
      <c r="Z670" s="467"/>
      <c r="AA670" s="467"/>
      <c r="AB670" s="467"/>
    </row>
    <row r="671" spans="1:28" ht="15.75" customHeight="1">
      <c r="A671" s="467"/>
      <c r="B671" s="467"/>
      <c r="C671" s="467"/>
      <c r="D671" s="467"/>
      <c r="E671" s="467"/>
      <c r="F671" s="467"/>
      <c r="G671" s="467"/>
      <c r="H671" s="467"/>
      <c r="I671" s="467"/>
      <c r="J671" s="467"/>
      <c r="K671" s="467"/>
      <c r="L671" s="467"/>
      <c r="M671" s="467"/>
      <c r="N671" s="467"/>
      <c r="O671" s="467"/>
      <c r="P671" s="467"/>
      <c r="Q671" s="467"/>
      <c r="R671" s="467"/>
      <c r="S671" s="467"/>
      <c r="T671" s="467"/>
      <c r="U671" s="468"/>
      <c r="V671" s="319"/>
      <c r="W671" s="319"/>
      <c r="X671" s="467"/>
      <c r="Y671" s="467"/>
      <c r="Z671" s="467"/>
      <c r="AA671" s="467"/>
      <c r="AB671" s="467"/>
    </row>
    <row r="672" spans="1:28" ht="15.75" customHeight="1">
      <c r="A672" s="467"/>
      <c r="B672" s="467"/>
      <c r="C672" s="467"/>
      <c r="D672" s="467"/>
      <c r="E672" s="467"/>
      <c r="F672" s="467"/>
      <c r="G672" s="467"/>
      <c r="H672" s="467"/>
      <c r="I672" s="467"/>
      <c r="J672" s="467"/>
      <c r="K672" s="467"/>
      <c r="L672" s="467"/>
      <c r="M672" s="467"/>
      <c r="N672" s="467"/>
      <c r="O672" s="467"/>
      <c r="P672" s="467"/>
      <c r="Q672" s="467"/>
      <c r="R672" s="467"/>
      <c r="S672" s="467"/>
      <c r="T672" s="467"/>
      <c r="U672" s="468"/>
      <c r="V672" s="319"/>
      <c r="W672" s="319"/>
      <c r="X672" s="467"/>
      <c r="Y672" s="467"/>
      <c r="Z672" s="467"/>
      <c r="AA672" s="467"/>
      <c r="AB672" s="467"/>
    </row>
    <row r="673" spans="1:28" ht="15.75" customHeight="1">
      <c r="A673" s="467"/>
      <c r="B673" s="467"/>
      <c r="C673" s="467"/>
      <c r="D673" s="467"/>
      <c r="E673" s="467"/>
      <c r="F673" s="467"/>
      <c r="G673" s="467"/>
      <c r="H673" s="467"/>
      <c r="I673" s="467"/>
      <c r="J673" s="467"/>
      <c r="K673" s="467"/>
      <c r="L673" s="467"/>
      <c r="M673" s="467"/>
      <c r="N673" s="467"/>
      <c r="O673" s="467"/>
      <c r="P673" s="467"/>
      <c r="Q673" s="467"/>
      <c r="R673" s="467"/>
      <c r="S673" s="467"/>
      <c r="T673" s="467"/>
      <c r="U673" s="468"/>
      <c r="V673" s="319"/>
      <c r="W673" s="319"/>
      <c r="X673" s="467"/>
      <c r="Y673" s="467"/>
      <c r="Z673" s="467"/>
      <c r="AA673" s="467"/>
      <c r="AB673" s="467"/>
    </row>
    <row r="674" spans="1:28" ht="15.75" customHeight="1">
      <c r="A674" s="467"/>
      <c r="B674" s="467"/>
      <c r="C674" s="467"/>
      <c r="D674" s="467"/>
      <c r="E674" s="467"/>
      <c r="F674" s="467"/>
      <c r="G674" s="467"/>
      <c r="H674" s="467"/>
      <c r="I674" s="467"/>
      <c r="J674" s="467"/>
      <c r="K674" s="467"/>
      <c r="L674" s="467"/>
      <c r="M674" s="467"/>
      <c r="N674" s="467"/>
      <c r="O674" s="467"/>
      <c r="P674" s="467"/>
      <c r="Q674" s="467"/>
      <c r="R674" s="467"/>
      <c r="S674" s="467"/>
      <c r="T674" s="467"/>
      <c r="U674" s="468"/>
      <c r="V674" s="319"/>
      <c r="W674" s="319"/>
      <c r="X674" s="467"/>
      <c r="Y674" s="467"/>
      <c r="Z674" s="467"/>
      <c r="AA674" s="467"/>
      <c r="AB674" s="467"/>
    </row>
    <row r="675" spans="1:28" ht="15.75" customHeight="1">
      <c r="A675" s="467"/>
      <c r="B675" s="467"/>
      <c r="C675" s="467"/>
      <c r="D675" s="467"/>
      <c r="E675" s="467"/>
      <c r="F675" s="467"/>
      <c r="G675" s="467"/>
      <c r="H675" s="467"/>
      <c r="I675" s="467"/>
      <c r="J675" s="467"/>
      <c r="K675" s="467"/>
      <c r="L675" s="467"/>
      <c r="M675" s="467"/>
      <c r="N675" s="467"/>
      <c r="O675" s="467"/>
      <c r="P675" s="467"/>
      <c r="Q675" s="467"/>
      <c r="R675" s="467"/>
      <c r="S675" s="467"/>
      <c r="T675" s="467"/>
      <c r="U675" s="468"/>
      <c r="V675" s="319"/>
      <c r="W675" s="319"/>
      <c r="X675" s="467"/>
      <c r="Y675" s="467"/>
      <c r="Z675" s="467"/>
      <c r="AA675" s="467"/>
      <c r="AB675" s="467"/>
    </row>
    <row r="676" spans="1:28" ht="15.75" customHeight="1">
      <c r="A676" s="467"/>
      <c r="B676" s="467"/>
      <c r="C676" s="467"/>
      <c r="D676" s="467"/>
      <c r="E676" s="467"/>
      <c r="F676" s="467"/>
      <c r="G676" s="467"/>
      <c r="H676" s="467"/>
      <c r="I676" s="467"/>
      <c r="J676" s="467"/>
      <c r="K676" s="467"/>
      <c r="L676" s="467"/>
      <c r="M676" s="467"/>
      <c r="N676" s="467"/>
      <c r="O676" s="467"/>
      <c r="P676" s="467"/>
      <c r="Q676" s="467"/>
      <c r="R676" s="467"/>
      <c r="S676" s="467"/>
      <c r="T676" s="467"/>
      <c r="U676" s="468"/>
      <c r="V676" s="319"/>
      <c r="W676" s="319"/>
      <c r="X676" s="467"/>
      <c r="Y676" s="467"/>
      <c r="Z676" s="467"/>
      <c r="AA676" s="467"/>
      <c r="AB676" s="467"/>
    </row>
    <row r="677" spans="1:28" ht="15.75" customHeight="1">
      <c r="A677" s="467"/>
      <c r="B677" s="467"/>
      <c r="C677" s="467"/>
      <c r="D677" s="467"/>
      <c r="E677" s="467"/>
      <c r="F677" s="467"/>
      <c r="G677" s="467"/>
      <c r="H677" s="467"/>
      <c r="I677" s="467"/>
      <c r="J677" s="467"/>
      <c r="K677" s="467"/>
      <c r="L677" s="467"/>
      <c r="M677" s="467"/>
      <c r="N677" s="467"/>
      <c r="O677" s="467"/>
      <c r="P677" s="467"/>
      <c r="Q677" s="467"/>
      <c r="R677" s="467"/>
      <c r="S677" s="467"/>
      <c r="T677" s="467"/>
      <c r="U677" s="468"/>
      <c r="V677" s="319"/>
      <c r="W677" s="319"/>
      <c r="X677" s="467"/>
      <c r="Y677" s="467"/>
      <c r="Z677" s="467"/>
      <c r="AA677" s="467"/>
      <c r="AB677" s="467"/>
    </row>
    <row r="678" spans="1:28" ht="15.75" customHeight="1">
      <c r="A678" s="467"/>
      <c r="B678" s="467"/>
      <c r="C678" s="467"/>
      <c r="D678" s="467"/>
      <c r="E678" s="467"/>
      <c r="F678" s="467"/>
      <c r="G678" s="467"/>
      <c r="H678" s="467"/>
      <c r="I678" s="467"/>
      <c r="J678" s="467"/>
      <c r="K678" s="467"/>
      <c r="L678" s="467"/>
      <c r="M678" s="467"/>
      <c r="N678" s="467"/>
      <c r="O678" s="467"/>
      <c r="P678" s="467"/>
      <c r="Q678" s="467"/>
      <c r="R678" s="467"/>
      <c r="S678" s="467"/>
      <c r="T678" s="467"/>
      <c r="U678" s="468"/>
      <c r="V678" s="319"/>
      <c r="W678" s="319"/>
      <c r="X678" s="467"/>
      <c r="Y678" s="467"/>
      <c r="Z678" s="467"/>
      <c r="AA678" s="467"/>
      <c r="AB678" s="467"/>
    </row>
    <row r="679" spans="1:28" ht="15.75" customHeight="1">
      <c r="A679" s="467"/>
      <c r="B679" s="467"/>
      <c r="C679" s="467"/>
      <c r="D679" s="467"/>
      <c r="E679" s="467"/>
      <c r="F679" s="467"/>
      <c r="G679" s="467"/>
      <c r="H679" s="467"/>
      <c r="I679" s="467"/>
      <c r="J679" s="467"/>
      <c r="K679" s="467"/>
      <c r="L679" s="467"/>
      <c r="M679" s="467"/>
      <c r="N679" s="467"/>
      <c r="O679" s="467"/>
      <c r="P679" s="467"/>
      <c r="Q679" s="467"/>
      <c r="R679" s="467"/>
      <c r="S679" s="467"/>
      <c r="T679" s="467"/>
      <c r="U679" s="468"/>
      <c r="V679" s="319"/>
      <c r="W679" s="319"/>
      <c r="X679" s="467"/>
      <c r="Y679" s="467"/>
      <c r="Z679" s="467"/>
      <c r="AA679" s="467"/>
      <c r="AB679" s="467"/>
    </row>
    <row r="680" spans="1:28" ht="15.75" customHeight="1">
      <c r="A680" s="467"/>
      <c r="B680" s="467"/>
      <c r="C680" s="467"/>
      <c r="D680" s="467"/>
      <c r="E680" s="467"/>
      <c r="F680" s="467"/>
      <c r="G680" s="467"/>
      <c r="H680" s="467"/>
      <c r="I680" s="467"/>
      <c r="J680" s="467"/>
      <c r="K680" s="467"/>
      <c r="L680" s="467"/>
      <c r="M680" s="467"/>
      <c r="N680" s="467"/>
      <c r="O680" s="467"/>
      <c r="P680" s="467"/>
      <c r="Q680" s="467"/>
      <c r="R680" s="467"/>
      <c r="S680" s="467"/>
      <c r="T680" s="467"/>
      <c r="U680" s="468"/>
      <c r="V680" s="319"/>
      <c r="W680" s="319"/>
      <c r="X680" s="467"/>
      <c r="Y680" s="467"/>
      <c r="Z680" s="467"/>
      <c r="AA680" s="467"/>
      <c r="AB680" s="467"/>
    </row>
    <row r="681" spans="1:28" ht="15.75" customHeight="1">
      <c r="A681" s="467"/>
      <c r="B681" s="467"/>
      <c r="C681" s="467"/>
      <c r="D681" s="467"/>
      <c r="E681" s="467"/>
      <c r="F681" s="467"/>
      <c r="G681" s="467"/>
      <c r="H681" s="467"/>
      <c r="I681" s="467"/>
      <c r="J681" s="467"/>
      <c r="K681" s="467"/>
      <c r="L681" s="467"/>
      <c r="M681" s="467"/>
      <c r="N681" s="467"/>
      <c r="O681" s="467"/>
      <c r="P681" s="467"/>
      <c r="Q681" s="467"/>
      <c r="R681" s="467"/>
      <c r="S681" s="467"/>
      <c r="T681" s="467"/>
      <c r="U681" s="468"/>
      <c r="V681" s="319"/>
      <c r="W681" s="319"/>
      <c r="X681" s="467"/>
      <c r="Y681" s="467"/>
      <c r="Z681" s="467"/>
      <c r="AA681" s="467"/>
      <c r="AB681" s="467"/>
    </row>
    <row r="682" spans="1:28" ht="15.75" customHeight="1">
      <c r="A682" s="467"/>
      <c r="B682" s="467"/>
      <c r="C682" s="467"/>
      <c r="D682" s="467"/>
      <c r="E682" s="467"/>
      <c r="F682" s="467"/>
      <c r="G682" s="467"/>
      <c r="H682" s="467"/>
      <c r="I682" s="467"/>
      <c r="J682" s="467"/>
      <c r="K682" s="467"/>
      <c r="L682" s="467"/>
      <c r="M682" s="467"/>
      <c r="N682" s="467"/>
      <c r="O682" s="467"/>
      <c r="P682" s="467"/>
      <c r="Q682" s="467"/>
      <c r="R682" s="467"/>
      <c r="S682" s="467"/>
      <c r="T682" s="467"/>
      <c r="U682" s="468"/>
      <c r="V682" s="319"/>
      <c r="W682" s="319"/>
      <c r="X682" s="467"/>
      <c r="Y682" s="467"/>
      <c r="Z682" s="467"/>
      <c r="AA682" s="467"/>
      <c r="AB682" s="467"/>
    </row>
    <row r="683" spans="1:28" ht="15.75" customHeight="1">
      <c r="A683" s="467"/>
      <c r="B683" s="467"/>
      <c r="C683" s="467"/>
      <c r="D683" s="467"/>
      <c r="E683" s="467"/>
      <c r="F683" s="467"/>
      <c r="G683" s="467"/>
      <c r="H683" s="467"/>
      <c r="I683" s="467"/>
      <c r="J683" s="467"/>
      <c r="K683" s="467"/>
      <c r="L683" s="467"/>
      <c r="M683" s="467"/>
      <c r="N683" s="467"/>
      <c r="O683" s="467"/>
      <c r="P683" s="467"/>
      <c r="Q683" s="467"/>
      <c r="R683" s="467"/>
      <c r="S683" s="467"/>
      <c r="T683" s="467"/>
      <c r="U683" s="468"/>
      <c r="V683" s="319"/>
      <c r="W683" s="319"/>
      <c r="X683" s="467"/>
      <c r="Y683" s="467"/>
      <c r="Z683" s="467"/>
      <c r="AA683" s="467"/>
      <c r="AB683" s="467"/>
    </row>
    <row r="684" spans="1:28" ht="15.75" customHeight="1">
      <c r="A684" s="467"/>
      <c r="B684" s="467"/>
      <c r="C684" s="467"/>
      <c r="D684" s="467"/>
      <c r="E684" s="467"/>
      <c r="F684" s="467"/>
      <c r="G684" s="467"/>
      <c r="H684" s="467"/>
      <c r="I684" s="467"/>
      <c r="J684" s="467"/>
      <c r="K684" s="467"/>
      <c r="L684" s="467"/>
      <c r="M684" s="467"/>
      <c r="N684" s="467"/>
      <c r="O684" s="467"/>
      <c r="P684" s="467"/>
      <c r="Q684" s="467"/>
      <c r="R684" s="467"/>
      <c r="S684" s="467"/>
      <c r="T684" s="467"/>
      <c r="U684" s="468"/>
      <c r="V684" s="319"/>
      <c r="W684" s="319"/>
      <c r="X684" s="467"/>
      <c r="Y684" s="467"/>
      <c r="Z684" s="467"/>
      <c r="AA684" s="467"/>
      <c r="AB684" s="467"/>
    </row>
    <row r="685" spans="1:28" ht="15.75" customHeight="1">
      <c r="A685" s="467"/>
      <c r="B685" s="467"/>
      <c r="C685" s="467"/>
      <c r="D685" s="467"/>
      <c r="E685" s="467"/>
      <c r="F685" s="467"/>
      <c r="G685" s="467"/>
      <c r="H685" s="467"/>
      <c r="I685" s="467"/>
      <c r="J685" s="467"/>
      <c r="K685" s="467"/>
      <c r="L685" s="467"/>
      <c r="M685" s="467"/>
      <c r="N685" s="467"/>
      <c r="O685" s="467"/>
      <c r="P685" s="467"/>
      <c r="Q685" s="467"/>
      <c r="R685" s="467"/>
      <c r="S685" s="467"/>
      <c r="T685" s="467"/>
      <c r="U685" s="468"/>
      <c r="V685" s="319"/>
      <c r="W685" s="319"/>
      <c r="X685" s="467"/>
      <c r="Y685" s="467"/>
      <c r="Z685" s="467"/>
      <c r="AA685" s="467"/>
      <c r="AB685" s="467"/>
    </row>
    <row r="686" spans="1:28" ht="15.75" customHeight="1">
      <c r="A686" s="467"/>
      <c r="B686" s="467"/>
      <c r="C686" s="467"/>
      <c r="D686" s="467"/>
      <c r="E686" s="467"/>
      <c r="F686" s="467"/>
      <c r="G686" s="467"/>
      <c r="H686" s="467"/>
      <c r="I686" s="467"/>
      <c r="J686" s="467"/>
      <c r="K686" s="467"/>
      <c r="L686" s="467"/>
      <c r="M686" s="467"/>
      <c r="N686" s="467"/>
      <c r="O686" s="467"/>
      <c r="P686" s="467"/>
      <c r="Q686" s="467"/>
      <c r="R686" s="467"/>
      <c r="S686" s="467"/>
      <c r="T686" s="467"/>
      <c r="U686" s="468"/>
      <c r="V686" s="319"/>
      <c r="W686" s="319"/>
      <c r="X686" s="467"/>
      <c r="Y686" s="467"/>
      <c r="Z686" s="467"/>
      <c r="AA686" s="467"/>
      <c r="AB686" s="467"/>
    </row>
    <row r="687" spans="1:28" ht="15.75" customHeight="1">
      <c r="A687" s="467"/>
      <c r="B687" s="467"/>
      <c r="C687" s="467"/>
      <c r="D687" s="467"/>
      <c r="E687" s="467"/>
      <c r="F687" s="467"/>
      <c r="G687" s="467"/>
      <c r="H687" s="467"/>
      <c r="I687" s="467"/>
      <c r="J687" s="467"/>
      <c r="K687" s="467"/>
      <c r="L687" s="467"/>
      <c r="M687" s="467"/>
      <c r="N687" s="467"/>
      <c r="O687" s="467"/>
      <c r="P687" s="467"/>
      <c r="Q687" s="467"/>
      <c r="R687" s="467"/>
      <c r="S687" s="467"/>
      <c r="T687" s="467"/>
      <c r="U687" s="468"/>
      <c r="V687" s="319"/>
      <c r="W687" s="319"/>
      <c r="X687" s="467"/>
      <c r="Y687" s="467"/>
      <c r="Z687" s="467"/>
      <c r="AA687" s="467"/>
      <c r="AB687" s="467"/>
    </row>
    <row r="688" spans="1:28" ht="15.75" customHeight="1">
      <c r="A688" s="467"/>
      <c r="B688" s="467"/>
      <c r="C688" s="467"/>
      <c r="D688" s="467"/>
      <c r="E688" s="467"/>
      <c r="F688" s="467"/>
      <c r="G688" s="467"/>
      <c r="H688" s="467"/>
      <c r="I688" s="467"/>
      <c r="J688" s="467"/>
      <c r="K688" s="467"/>
      <c r="L688" s="467"/>
      <c r="M688" s="467"/>
      <c r="N688" s="467"/>
      <c r="O688" s="467"/>
      <c r="P688" s="467"/>
      <c r="Q688" s="467"/>
      <c r="R688" s="467"/>
      <c r="S688" s="467"/>
      <c r="T688" s="467"/>
      <c r="U688" s="468"/>
      <c r="V688" s="319"/>
      <c r="W688" s="319"/>
      <c r="X688" s="467"/>
      <c r="Y688" s="467"/>
      <c r="Z688" s="467"/>
      <c r="AA688" s="467"/>
      <c r="AB688" s="467"/>
    </row>
    <row r="689" spans="1:28" ht="15.75" customHeight="1">
      <c r="A689" s="467"/>
      <c r="B689" s="467"/>
      <c r="C689" s="467"/>
      <c r="D689" s="467"/>
      <c r="E689" s="467"/>
      <c r="F689" s="467"/>
      <c r="G689" s="467"/>
      <c r="H689" s="467"/>
      <c r="I689" s="467"/>
      <c r="J689" s="467"/>
      <c r="K689" s="467"/>
      <c r="L689" s="467"/>
      <c r="M689" s="467"/>
      <c r="N689" s="467"/>
      <c r="O689" s="467"/>
      <c r="P689" s="467"/>
      <c r="Q689" s="467"/>
      <c r="R689" s="467"/>
      <c r="S689" s="467"/>
      <c r="T689" s="467"/>
      <c r="U689" s="468"/>
      <c r="V689" s="319"/>
      <c r="W689" s="319"/>
      <c r="X689" s="467"/>
      <c r="Y689" s="467"/>
      <c r="Z689" s="467"/>
      <c r="AA689" s="467"/>
      <c r="AB689" s="467"/>
    </row>
    <row r="690" spans="1:28" ht="15.75" customHeight="1">
      <c r="A690" s="467"/>
      <c r="B690" s="467"/>
      <c r="C690" s="467"/>
      <c r="D690" s="467"/>
      <c r="E690" s="467"/>
      <c r="F690" s="467"/>
      <c r="G690" s="467"/>
      <c r="H690" s="467"/>
      <c r="I690" s="467"/>
      <c r="J690" s="467"/>
      <c r="K690" s="467"/>
      <c r="L690" s="467"/>
      <c r="M690" s="467"/>
      <c r="N690" s="467"/>
      <c r="O690" s="467"/>
      <c r="P690" s="467"/>
      <c r="Q690" s="467"/>
      <c r="R690" s="467"/>
      <c r="S690" s="467"/>
      <c r="T690" s="467"/>
      <c r="U690" s="468"/>
      <c r="V690" s="319"/>
      <c r="W690" s="319"/>
      <c r="X690" s="467"/>
      <c r="Y690" s="467"/>
      <c r="Z690" s="467"/>
      <c r="AA690" s="467"/>
      <c r="AB690" s="467"/>
    </row>
    <row r="691" spans="1:28" ht="15.75" customHeight="1">
      <c r="A691" s="467"/>
      <c r="B691" s="467"/>
      <c r="C691" s="467"/>
      <c r="D691" s="467"/>
      <c r="E691" s="467"/>
      <c r="F691" s="467"/>
      <c r="G691" s="467"/>
      <c r="H691" s="467"/>
      <c r="I691" s="467"/>
      <c r="J691" s="467"/>
      <c r="K691" s="467"/>
      <c r="L691" s="467"/>
      <c r="M691" s="467"/>
      <c r="N691" s="467"/>
      <c r="O691" s="467"/>
      <c r="P691" s="467"/>
      <c r="Q691" s="467"/>
      <c r="R691" s="467"/>
      <c r="S691" s="467"/>
      <c r="T691" s="467"/>
      <c r="U691" s="468"/>
      <c r="V691" s="319"/>
      <c r="W691" s="319"/>
      <c r="X691" s="467"/>
      <c r="Y691" s="467"/>
      <c r="Z691" s="467"/>
      <c r="AA691" s="467"/>
      <c r="AB691" s="467"/>
    </row>
    <row r="692" spans="1:28" ht="15.75" customHeight="1">
      <c r="A692" s="467"/>
      <c r="B692" s="467"/>
      <c r="C692" s="467"/>
      <c r="D692" s="467"/>
      <c r="E692" s="467"/>
      <c r="F692" s="467"/>
      <c r="G692" s="467"/>
      <c r="H692" s="467"/>
      <c r="I692" s="467"/>
      <c r="J692" s="467"/>
      <c r="K692" s="467"/>
      <c r="L692" s="467"/>
      <c r="M692" s="467"/>
      <c r="N692" s="467"/>
      <c r="O692" s="467"/>
      <c r="P692" s="467"/>
      <c r="Q692" s="467"/>
      <c r="R692" s="467"/>
      <c r="S692" s="467"/>
      <c r="T692" s="467"/>
      <c r="U692" s="468"/>
      <c r="V692" s="319"/>
      <c r="W692" s="319"/>
      <c r="X692" s="467"/>
      <c r="Y692" s="467"/>
      <c r="Z692" s="467"/>
      <c r="AA692" s="467"/>
      <c r="AB692" s="467"/>
    </row>
    <row r="693" spans="1:28" ht="15.75" customHeight="1">
      <c r="A693" s="467"/>
      <c r="B693" s="467"/>
      <c r="C693" s="467"/>
      <c r="D693" s="467"/>
      <c r="E693" s="467"/>
      <c r="F693" s="467"/>
      <c r="G693" s="467"/>
      <c r="H693" s="467"/>
      <c r="I693" s="467"/>
      <c r="J693" s="467"/>
      <c r="K693" s="467"/>
      <c r="L693" s="467"/>
      <c r="M693" s="467"/>
      <c r="N693" s="467"/>
      <c r="O693" s="467"/>
      <c r="P693" s="467"/>
      <c r="Q693" s="467"/>
      <c r="R693" s="467"/>
      <c r="S693" s="467"/>
      <c r="T693" s="467"/>
      <c r="U693" s="468"/>
      <c r="V693" s="319"/>
      <c r="W693" s="319"/>
      <c r="X693" s="467"/>
      <c r="Y693" s="467"/>
      <c r="Z693" s="467"/>
      <c r="AA693" s="467"/>
      <c r="AB693" s="467"/>
    </row>
    <row r="694" spans="1:28" ht="15.75" customHeight="1">
      <c r="A694" s="467"/>
      <c r="B694" s="467"/>
      <c r="C694" s="467"/>
      <c r="D694" s="467"/>
      <c r="E694" s="467"/>
      <c r="F694" s="467"/>
      <c r="G694" s="467"/>
      <c r="H694" s="467"/>
      <c r="I694" s="467"/>
      <c r="J694" s="467"/>
      <c r="K694" s="467"/>
      <c r="L694" s="467"/>
      <c r="M694" s="467"/>
      <c r="N694" s="467"/>
      <c r="O694" s="467"/>
      <c r="P694" s="467"/>
      <c r="Q694" s="467"/>
      <c r="R694" s="467"/>
      <c r="S694" s="467"/>
      <c r="T694" s="467"/>
      <c r="U694" s="468"/>
      <c r="V694" s="319"/>
      <c r="W694" s="319"/>
      <c r="X694" s="467"/>
      <c r="Y694" s="467"/>
      <c r="Z694" s="467"/>
      <c r="AA694" s="467"/>
      <c r="AB694" s="467"/>
    </row>
    <row r="695" spans="1:28" ht="15.75" customHeight="1">
      <c r="A695" s="467"/>
      <c r="B695" s="467"/>
      <c r="C695" s="467"/>
      <c r="D695" s="467"/>
      <c r="E695" s="467"/>
      <c r="F695" s="467"/>
      <c r="G695" s="467"/>
      <c r="H695" s="467"/>
      <c r="I695" s="467"/>
      <c r="J695" s="467"/>
      <c r="K695" s="467"/>
      <c r="L695" s="467"/>
      <c r="M695" s="467"/>
      <c r="N695" s="467"/>
      <c r="O695" s="467"/>
      <c r="P695" s="467"/>
      <c r="Q695" s="467"/>
      <c r="R695" s="467"/>
      <c r="S695" s="467"/>
      <c r="T695" s="467"/>
      <c r="U695" s="468"/>
      <c r="V695" s="319"/>
      <c r="W695" s="319"/>
      <c r="X695" s="467"/>
      <c r="Y695" s="467"/>
      <c r="Z695" s="467"/>
      <c r="AA695" s="467"/>
      <c r="AB695" s="467"/>
    </row>
    <row r="696" spans="1:28" ht="15.75" customHeight="1">
      <c r="A696" s="467"/>
      <c r="B696" s="467"/>
      <c r="C696" s="467"/>
      <c r="D696" s="467"/>
      <c r="E696" s="467"/>
      <c r="F696" s="467"/>
      <c r="G696" s="467"/>
      <c r="H696" s="467"/>
      <c r="I696" s="467"/>
      <c r="J696" s="467"/>
      <c r="K696" s="467"/>
      <c r="L696" s="467"/>
      <c r="M696" s="467"/>
      <c r="N696" s="467"/>
      <c r="O696" s="467"/>
      <c r="P696" s="467"/>
      <c r="Q696" s="467"/>
      <c r="R696" s="467"/>
      <c r="S696" s="467"/>
      <c r="T696" s="467"/>
      <c r="U696" s="468"/>
      <c r="V696" s="319"/>
      <c r="W696" s="319"/>
      <c r="X696" s="467"/>
      <c r="Y696" s="467"/>
      <c r="Z696" s="467"/>
      <c r="AA696" s="467"/>
      <c r="AB696" s="467"/>
    </row>
    <row r="697" spans="1:28" ht="15.75" customHeight="1">
      <c r="A697" s="467"/>
      <c r="B697" s="467"/>
      <c r="C697" s="467"/>
      <c r="D697" s="467"/>
      <c r="E697" s="467"/>
      <c r="F697" s="467"/>
      <c r="G697" s="467"/>
      <c r="H697" s="467"/>
      <c r="I697" s="467"/>
      <c r="J697" s="467"/>
      <c r="K697" s="467"/>
      <c r="L697" s="467"/>
      <c r="M697" s="467"/>
      <c r="N697" s="467"/>
      <c r="O697" s="467"/>
      <c r="P697" s="467"/>
      <c r="Q697" s="467"/>
      <c r="R697" s="467"/>
      <c r="S697" s="467"/>
      <c r="T697" s="467"/>
      <c r="U697" s="468"/>
      <c r="V697" s="319"/>
      <c r="W697" s="319"/>
      <c r="X697" s="467"/>
      <c r="Y697" s="467"/>
      <c r="Z697" s="467"/>
      <c r="AA697" s="467"/>
      <c r="AB697" s="467"/>
    </row>
    <row r="698" spans="1:28" ht="15.75" customHeight="1">
      <c r="A698" s="467"/>
      <c r="B698" s="467"/>
      <c r="C698" s="467"/>
      <c r="D698" s="467"/>
      <c r="E698" s="467"/>
      <c r="F698" s="467"/>
      <c r="G698" s="467"/>
      <c r="H698" s="467"/>
      <c r="I698" s="467"/>
      <c r="J698" s="467"/>
      <c r="K698" s="467"/>
      <c r="L698" s="467"/>
      <c r="M698" s="467"/>
      <c r="N698" s="467"/>
      <c r="O698" s="467"/>
      <c r="P698" s="467"/>
      <c r="Q698" s="467"/>
      <c r="R698" s="467"/>
      <c r="S698" s="467"/>
      <c r="T698" s="467"/>
      <c r="U698" s="468"/>
      <c r="V698" s="319"/>
      <c r="W698" s="319"/>
      <c r="X698" s="467"/>
      <c r="Y698" s="467"/>
      <c r="Z698" s="467"/>
      <c r="AA698" s="467"/>
      <c r="AB698" s="467"/>
    </row>
    <row r="699" spans="1:28" ht="15.75" customHeight="1">
      <c r="A699" s="467"/>
      <c r="B699" s="467"/>
      <c r="C699" s="467"/>
      <c r="D699" s="467"/>
      <c r="E699" s="467"/>
      <c r="F699" s="467"/>
      <c r="G699" s="467"/>
      <c r="H699" s="467"/>
      <c r="I699" s="467"/>
      <c r="J699" s="467"/>
      <c r="K699" s="467"/>
      <c r="L699" s="467"/>
      <c r="M699" s="467"/>
      <c r="N699" s="467"/>
      <c r="O699" s="467"/>
      <c r="P699" s="467"/>
      <c r="Q699" s="467"/>
      <c r="R699" s="467"/>
      <c r="S699" s="467"/>
      <c r="T699" s="467"/>
      <c r="U699" s="468"/>
      <c r="V699" s="319"/>
      <c r="W699" s="319"/>
      <c r="X699" s="467"/>
      <c r="Y699" s="467"/>
      <c r="Z699" s="467"/>
      <c r="AA699" s="467"/>
      <c r="AB699" s="467"/>
    </row>
    <row r="700" spans="1:28" ht="15.75" customHeight="1">
      <c r="A700" s="467"/>
      <c r="B700" s="467"/>
      <c r="C700" s="467"/>
      <c r="D700" s="467"/>
      <c r="E700" s="467"/>
      <c r="F700" s="467"/>
      <c r="G700" s="467"/>
      <c r="H700" s="467"/>
      <c r="I700" s="467"/>
      <c r="J700" s="467"/>
      <c r="K700" s="467"/>
      <c r="L700" s="467"/>
      <c r="M700" s="467"/>
      <c r="N700" s="467"/>
      <c r="O700" s="467"/>
      <c r="P700" s="467"/>
      <c r="Q700" s="467"/>
      <c r="R700" s="467"/>
      <c r="S700" s="467"/>
      <c r="T700" s="467"/>
      <c r="U700" s="468"/>
      <c r="V700" s="319"/>
      <c r="W700" s="319"/>
      <c r="X700" s="467"/>
      <c r="Y700" s="467"/>
      <c r="Z700" s="467"/>
      <c r="AA700" s="467"/>
      <c r="AB700" s="467"/>
    </row>
    <row r="701" spans="1:28" ht="15.75" customHeight="1">
      <c r="A701" s="467"/>
      <c r="B701" s="467"/>
      <c r="C701" s="467"/>
      <c r="D701" s="467"/>
      <c r="E701" s="467"/>
      <c r="F701" s="467"/>
      <c r="G701" s="467"/>
      <c r="H701" s="467"/>
      <c r="I701" s="467"/>
      <c r="J701" s="467"/>
      <c r="K701" s="467"/>
      <c r="L701" s="467"/>
      <c r="M701" s="467"/>
      <c r="N701" s="467"/>
      <c r="O701" s="467"/>
      <c r="P701" s="467"/>
      <c r="Q701" s="467"/>
      <c r="R701" s="467"/>
      <c r="S701" s="467"/>
      <c r="T701" s="467"/>
      <c r="U701" s="468"/>
      <c r="V701" s="319"/>
      <c r="W701" s="319"/>
      <c r="X701" s="467"/>
      <c r="Y701" s="467"/>
      <c r="Z701" s="467"/>
      <c r="AA701" s="467"/>
      <c r="AB701" s="467"/>
    </row>
    <row r="702" spans="1:28" ht="15.75" customHeight="1">
      <c r="A702" s="467"/>
      <c r="B702" s="467"/>
      <c r="C702" s="467"/>
      <c r="D702" s="467"/>
      <c r="E702" s="467"/>
      <c r="F702" s="467"/>
      <c r="G702" s="467"/>
      <c r="H702" s="467"/>
      <c r="I702" s="467"/>
      <c r="J702" s="467"/>
      <c r="K702" s="467"/>
      <c r="L702" s="467"/>
      <c r="M702" s="467"/>
      <c r="N702" s="467"/>
      <c r="O702" s="467"/>
      <c r="P702" s="467"/>
      <c r="Q702" s="467"/>
      <c r="R702" s="467"/>
      <c r="S702" s="467"/>
      <c r="T702" s="467"/>
      <c r="U702" s="468"/>
      <c r="V702" s="319"/>
      <c r="W702" s="319"/>
      <c r="X702" s="467"/>
      <c r="Y702" s="467"/>
      <c r="Z702" s="467"/>
      <c r="AA702" s="467"/>
      <c r="AB702" s="467"/>
    </row>
    <row r="703" spans="1:28" ht="15.75" customHeight="1">
      <c r="A703" s="467"/>
      <c r="B703" s="467"/>
      <c r="C703" s="467"/>
      <c r="D703" s="467"/>
      <c r="E703" s="467"/>
      <c r="F703" s="467"/>
      <c r="G703" s="467"/>
      <c r="H703" s="467"/>
      <c r="I703" s="467"/>
      <c r="J703" s="467"/>
      <c r="K703" s="467"/>
      <c r="L703" s="467"/>
      <c r="M703" s="467"/>
      <c r="N703" s="467"/>
      <c r="O703" s="467"/>
      <c r="P703" s="467"/>
      <c r="Q703" s="467"/>
      <c r="R703" s="467"/>
      <c r="S703" s="467"/>
      <c r="T703" s="467"/>
      <c r="U703" s="468"/>
      <c r="V703" s="319"/>
      <c r="W703" s="319"/>
      <c r="X703" s="467"/>
      <c r="Y703" s="467"/>
      <c r="Z703" s="467"/>
      <c r="AA703" s="467"/>
      <c r="AB703" s="467"/>
    </row>
    <row r="704" spans="1:28" ht="15.75" customHeight="1">
      <c r="A704" s="467"/>
      <c r="B704" s="467"/>
      <c r="C704" s="467"/>
      <c r="D704" s="467"/>
      <c r="E704" s="467"/>
      <c r="F704" s="467"/>
      <c r="G704" s="467"/>
      <c r="H704" s="467"/>
      <c r="I704" s="467"/>
      <c r="J704" s="467"/>
      <c r="K704" s="467"/>
      <c r="L704" s="467"/>
      <c r="M704" s="467"/>
      <c r="N704" s="467"/>
      <c r="O704" s="467"/>
      <c r="P704" s="467"/>
      <c r="Q704" s="467"/>
      <c r="R704" s="467"/>
      <c r="S704" s="467"/>
      <c r="T704" s="467"/>
      <c r="U704" s="468"/>
      <c r="V704" s="319"/>
      <c r="W704" s="319"/>
      <c r="X704" s="467"/>
      <c r="Y704" s="467"/>
      <c r="Z704" s="467"/>
      <c r="AA704" s="467"/>
      <c r="AB704" s="467"/>
    </row>
    <row r="705" spans="1:28" ht="15.75" customHeight="1">
      <c r="A705" s="467"/>
      <c r="B705" s="467"/>
      <c r="C705" s="467"/>
      <c r="D705" s="467"/>
      <c r="E705" s="467"/>
      <c r="F705" s="467"/>
      <c r="G705" s="467"/>
      <c r="H705" s="467"/>
      <c r="I705" s="467"/>
      <c r="J705" s="467"/>
      <c r="K705" s="467"/>
      <c r="L705" s="467"/>
      <c r="M705" s="467"/>
      <c r="N705" s="467"/>
      <c r="O705" s="467"/>
      <c r="P705" s="467"/>
      <c r="Q705" s="467"/>
      <c r="R705" s="467"/>
      <c r="S705" s="467"/>
      <c r="T705" s="467"/>
      <c r="U705" s="468"/>
      <c r="V705" s="319"/>
      <c r="W705" s="319"/>
      <c r="X705" s="467"/>
      <c r="Y705" s="467"/>
      <c r="Z705" s="467"/>
      <c r="AA705" s="467"/>
      <c r="AB705" s="467"/>
    </row>
    <row r="706" spans="1:28" ht="15.75" customHeight="1">
      <c r="A706" s="467"/>
      <c r="B706" s="467"/>
      <c r="C706" s="467"/>
      <c r="D706" s="467"/>
      <c r="E706" s="467"/>
      <c r="F706" s="467"/>
      <c r="G706" s="467"/>
      <c r="H706" s="467"/>
      <c r="I706" s="467"/>
      <c r="J706" s="467"/>
      <c r="K706" s="467"/>
      <c r="L706" s="467"/>
      <c r="M706" s="467"/>
      <c r="N706" s="467"/>
      <c r="O706" s="467"/>
      <c r="P706" s="467"/>
      <c r="Q706" s="467"/>
      <c r="R706" s="467"/>
      <c r="S706" s="467"/>
      <c r="T706" s="467"/>
      <c r="U706" s="468"/>
      <c r="V706" s="319"/>
      <c r="W706" s="319"/>
      <c r="X706" s="467"/>
      <c r="Y706" s="467"/>
      <c r="Z706" s="467"/>
      <c r="AA706" s="467"/>
      <c r="AB706" s="467"/>
    </row>
    <row r="707" spans="1:28" ht="15.75" customHeight="1">
      <c r="A707" s="467"/>
      <c r="B707" s="467"/>
      <c r="C707" s="467"/>
      <c r="D707" s="467"/>
      <c r="E707" s="467"/>
      <c r="F707" s="467"/>
      <c r="G707" s="467"/>
      <c r="H707" s="467"/>
      <c r="I707" s="467"/>
      <c r="J707" s="467"/>
      <c r="K707" s="467"/>
      <c r="L707" s="467"/>
      <c r="M707" s="467"/>
      <c r="N707" s="467"/>
      <c r="O707" s="467"/>
      <c r="P707" s="467"/>
      <c r="Q707" s="467"/>
      <c r="R707" s="467"/>
      <c r="S707" s="467"/>
      <c r="T707" s="467"/>
      <c r="U707" s="468"/>
      <c r="V707" s="319"/>
      <c r="W707" s="319"/>
      <c r="X707" s="467"/>
      <c r="Y707" s="467"/>
      <c r="Z707" s="467"/>
      <c r="AA707" s="467"/>
      <c r="AB707" s="467"/>
    </row>
    <row r="708" spans="1:28" ht="15.75" customHeight="1">
      <c r="A708" s="467"/>
      <c r="B708" s="467"/>
      <c r="C708" s="467"/>
      <c r="D708" s="467"/>
      <c r="E708" s="467"/>
      <c r="F708" s="467"/>
      <c r="G708" s="467"/>
      <c r="H708" s="467"/>
      <c r="I708" s="467"/>
      <c r="J708" s="467"/>
      <c r="K708" s="467"/>
      <c r="L708" s="467"/>
      <c r="M708" s="467"/>
      <c r="N708" s="467"/>
      <c r="O708" s="467"/>
      <c r="P708" s="467"/>
      <c r="Q708" s="467"/>
      <c r="R708" s="467"/>
      <c r="S708" s="467"/>
      <c r="T708" s="467"/>
      <c r="U708" s="468"/>
      <c r="V708" s="319"/>
      <c r="W708" s="319"/>
      <c r="X708" s="467"/>
      <c r="Y708" s="467"/>
      <c r="Z708" s="467"/>
      <c r="AA708" s="467"/>
      <c r="AB708" s="467"/>
    </row>
    <row r="709" spans="1:28" ht="15.75" customHeight="1">
      <c r="A709" s="467"/>
      <c r="B709" s="467"/>
      <c r="C709" s="467"/>
      <c r="D709" s="467"/>
      <c r="E709" s="467"/>
      <c r="F709" s="467"/>
      <c r="G709" s="467"/>
      <c r="H709" s="467"/>
      <c r="I709" s="467"/>
      <c r="J709" s="467"/>
      <c r="K709" s="467"/>
      <c r="L709" s="467"/>
      <c r="M709" s="467"/>
      <c r="N709" s="467"/>
      <c r="O709" s="467"/>
      <c r="P709" s="467"/>
      <c r="Q709" s="467"/>
      <c r="R709" s="467"/>
      <c r="S709" s="467"/>
      <c r="T709" s="467"/>
      <c r="U709" s="468"/>
      <c r="V709" s="319"/>
      <c r="W709" s="319"/>
      <c r="X709" s="467"/>
      <c r="Y709" s="467"/>
      <c r="Z709" s="467"/>
      <c r="AA709" s="467"/>
      <c r="AB709" s="467"/>
    </row>
    <row r="710" spans="1:28" ht="15.75" customHeight="1">
      <c r="A710" s="467"/>
      <c r="B710" s="467"/>
      <c r="C710" s="467"/>
      <c r="D710" s="467"/>
      <c r="E710" s="467"/>
      <c r="F710" s="467"/>
      <c r="G710" s="467"/>
      <c r="H710" s="467"/>
      <c r="I710" s="467"/>
      <c r="J710" s="467"/>
      <c r="K710" s="467"/>
      <c r="L710" s="467"/>
      <c r="M710" s="467"/>
      <c r="N710" s="467"/>
      <c r="O710" s="467"/>
      <c r="P710" s="467"/>
      <c r="Q710" s="467"/>
      <c r="R710" s="467"/>
      <c r="S710" s="467"/>
      <c r="T710" s="467"/>
      <c r="U710" s="468"/>
      <c r="V710" s="319"/>
      <c r="W710" s="319"/>
      <c r="X710" s="467"/>
      <c r="Y710" s="467"/>
      <c r="Z710" s="467"/>
      <c r="AA710" s="467"/>
      <c r="AB710" s="467"/>
    </row>
    <row r="711" spans="1:28" ht="15.75" customHeight="1">
      <c r="A711" s="467"/>
      <c r="B711" s="467"/>
      <c r="C711" s="467"/>
      <c r="D711" s="467"/>
      <c r="E711" s="467"/>
      <c r="F711" s="467"/>
      <c r="G711" s="467"/>
      <c r="H711" s="467"/>
      <c r="I711" s="467"/>
      <c r="J711" s="467"/>
      <c r="K711" s="467"/>
      <c r="L711" s="467"/>
      <c r="M711" s="467"/>
      <c r="N711" s="467"/>
      <c r="O711" s="467"/>
      <c r="P711" s="467"/>
      <c r="Q711" s="467"/>
      <c r="R711" s="467"/>
      <c r="S711" s="467"/>
      <c r="T711" s="467"/>
      <c r="U711" s="468"/>
      <c r="V711" s="319"/>
      <c r="W711" s="319"/>
      <c r="X711" s="467"/>
      <c r="Y711" s="467"/>
      <c r="Z711" s="467"/>
      <c r="AA711" s="467"/>
      <c r="AB711" s="467"/>
    </row>
    <row r="712" spans="1:28" ht="15.75" customHeight="1">
      <c r="A712" s="467"/>
      <c r="B712" s="467"/>
      <c r="C712" s="467"/>
      <c r="D712" s="467"/>
      <c r="E712" s="467"/>
      <c r="F712" s="467"/>
      <c r="G712" s="467"/>
      <c r="H712" s="467"/>
      <c r="I712" s="467"/>
      <c r="J712" s="467"/>
      <c r="K712" s="467"/>
      <c r="L712" s="467"/>
      <c r="M712" s="467"/>
      <c r="N712" s="467"/>
      <c r="O712" s="467"/>
      <c r="P712" s="467"/>
      <c r="Q712" s="467"/>
      <c r="R712" s="467"/>
      <c r="S712" s="467"/>
      <c r="T712" s="467"/>
      <c r="U712" s="468"/>
      <c r="V712" s="319"/>
      <c r="W712" s="319"/>
      <c r="X712" s="467"/>
      <c r="Y712" s="467"/>
      <c r="Z712" s="467"/>
      <c r="AA712" s="467"/>
      <c r="AB712" s="467"/>
    </row>
    <row r="713" spans="1:28" ht="15.75" customHeight="1">
      <c r="A713" s="467"/>
      <c r="B713" s="467"/>
      <c r="C713" s="467"/>
      <c r="D713" s="467"/>
      <c r="E713" s="467"/>
      <c r="F713" s="467"/>
      <c r="G713" s="467"/>
      <c r="H713" s="467"/>
      <c r="I713" s="467"/>
      <c r="J713" s="467"/>
      <c r="K713" s="467"/>
      <c r="L713" s="467"/>
      <c r="M713" s="467"/>
      <c r="N713" s="467"/>
      <c r="O713" s="467"/>
      <c r="P713" s="467"/>
      <c r="Q713" s="467"/>
      <c r="R713" s="467"/>
      <c r="S713" s="467"/>
      <c r="T713" s="467"/>
      <c r="U713" s="468"/>
      <c r="V713" s="319"/>
      <c r="W713" s="319"/>
      <c r="X713" s="467"/>
      <c r="Y713" s="467"/>
      <c r="Z713" s="467"/>
      <c r="AA713" s="467"/>
      <c r="AB713" s="467"/>
    </row>
    <row r="714" spans="1:28" ht="15.75" customHeight="1">
      <c r="A714" s="467"/>
      <c r="B714" s="467"/>
      <c r="C714" s="467"/>
      <c r="D714" s="467"/>
      <c r="E714" s="467"/>
      <c r="F714" s="467"/>
      <c r="G714" s="467"/>
      <c r="H714" s="467"/>
      <c r="I714" s="467"/>
      <c r="J714" s="467"/>
      <c r="K714" s="467"/>
      <c r="L714" s="467"/>
      <c r="M714" s="467"/>
      <c r="N714" s="467"/>
      <c r="O714" s="467"/>
      <c r="P714" s="467"/>
      <c r="Q714" s="467"/>
      <c r="R714" s="467"/>
      <c r="S714" s="467"/>
      <c r="T714" s="467"/>
      <c r="U714" s="468"/>
      <c r="V714" s="319"/>
      <c r="W714" s="319"/>
      <c r="X714" s="467"/>
      <c r="Y714" s="467"/>
      <c r="Z714" s="467"/>
      <c r="AA714" s="467"/>
      <c r="AB714" s="467"/>
    </row>
    <row r="715" spans="1:28" ht="15.75" customHeight="1">
      <c r="A715" s="467"/>
      <c r="B715" s="467"/>
      <c r="C715" s="467"/>
      <c r="D715" s="467"/>
      <c r="E715" s="467"/>
      <c r="F715" s="467"/>
      <c r="G715" s="467"/>
      <c r="H715" s="467"/>
      <c r="I715" s="467"/>
      <c r="J715" s="467"/>
      <c r="K715" s="467"/>
      <c r="L715" s="467"/>
      <c r="M715" s="467"/>
      <c r="N715" s="467"/>
      <c r="O715" s="467"/>
      <c r="P715" s="467"/>
      <c r="Q715" s="467"/>
      <c r="R715" s="467"/>
      <c r="S715" s="467"/>
      <c r="T715" s="467"/>
      <c r="U715" s="468"/>
      <c r="V715" s="319"/>
      <c r="W715" s="319"/>
      <c r="X715" s="467"/>
      <c r="Y715" s="467"/>
      <c r="Z715" s="467"/>
      <c r="AA715" s="467"/>
      <c r="AB715" s="467"/>
    </row>
    <row r="716" spans="1:28" ht="15.75" customHeight="1">
      <c r="A716" s="467"/>
      <c r="B716" s="467"/>
      <c r="C716" s="467"/>
      <c r="D716" s="467"/>
      <c r="E716" s="467"/>
      <c r="F716" s="467"/>
      <c r="G716" s="467"/>
      <c r="H716" s="467"/>
      <c r="I716" s="467"/>
      <c r="J716" s="467"/>
      <c r="K716" s="467"/>
      <c r="L716" s="467"/>
      <c r="M716" s="467"/>
      <c r="N716" s="467"/>
      <c r="O716" s="467"/>
      <c r="P716" s="467"/>
      <c r="Q716" s="467"/>
      <c r="R716" s="467"/>
      <c r="S716" s="467"/>
      <c r="T716" s="467"/>
      <c r="U716" s="468"/>
      <c r="V716" s="319"/>
      <c r="W716" s="319"/>
      <c r="X716" s="467"/>
      <c r="Y716" s="467"/>
      <c r="Z716" s="467"/>
      <c r="AA716" s="467"/>
      <c r="AB716" s="467"/>
    </row>
    <row r="717" spans="1:28" ht="15.75" customHeight="1">
      <c r="A717" s="467"/>
      <c r="B717" s="467"/>
      <c r="C717" s="467"/>
      <c r="D717" s="467"/>
      <c r="E717" s="467"/>
      <c r="F717" s="467"/>
      <c r="G717" s="467"/>
      <c r="H717" s="467"/>
      <c r="I717" s="467"/>
      <c r="J717" s="467"/>
      <c r="K717" s="467"/>
      <c r="L717" s="467"/>
      <c r="M717" s="467"/>
      <c r="N717" s="467"/>
      <c r="O717" s="467"/>
      <c r="P717" s="467"/>
      <c r="Q717" s="467"/>
      <c r="R717" s="467"/>
      <c r="S717" s="467"/>
      <c r="T717" s="467"/>
      <c r="U717" s="468"/>
      <c r="V717" s="319"/>
      <c r="W717" s="319"/>
      <c r="X717" s="467"/>
      <c r="Y717" s="467"/>
      <c r="Z717" s="467"/>
      <c r="AA717" s="467"/>
      <c r="AB717" s="467"/>
    </row>
    <row r="718" spans="1:28" ht="15.75" customHeight="1">
      <c r="A718" s="467"/>
      <c r="B718" s="467"/>
      <c r="C718" s="467"/>
      <c r="D718" s="467"/>
      <c r="E718" s="467"/>
      <c r="F718" s="467"/>
      <c r="G718" s="467"/>
      <c r="H718" s="467"/>
      <c r="I718" s="467"/>
      <c r="J718" s="467"/>
      <c r="K718" s="467"/>
      <c r="L718" s="467"/>
      <c r="M718" s="467"/>
      <c r="N718" s="467"/>
      <c r="O718" s="467"/>
      <c r="P718" s="467"/>
      <c r="Q718" s="467"/>
      <c r="R718" s="467"/>
      <c r="S718" s="467"/>
      <c r="T718" s="467"/>
      <c r="U718" s="468"/>
      <c r="V718" s="319"/>
      <c r="W718" s="319"/>
      <c r="X718" s="467"/>
      <c r="Y718" s="467"/>
      <c r="Z718" s="467"/>
      <c r="AA718" s="467"/>
      <c r="AB718" s="467"/>
    </row>
    <row r="719" spans="1:28" ht="15.75" customHeight="1">
      <c r="A719" s="467"/>
      <c r="B719" s="467"/>
      <c r="C719" s="467"/>
      <c r="D719" s="467"/>
      <c r="E719" s="467"/>
      <c r="F719" s="467"/>
      <c r="G719" s="467"/>
      <c r="H719" s="467"/>
      <c r="I719" s="467"/>
      <c r="J719" s="467"/>
      <c r="K719" s="467"/>
      <c r="L719" s="467"/>
      <c r="M719" s="467"/>
      <c r="N719" s="467"/>
      <c r="O719" s="467"/>
      <c r="P719" s="467"/>
      <c r="Q719" s="467"/>
      <c r="R719" s="467"/>
      <c r="S719" s="467"/>
      <c r="T719" s="467"/>
      <c r="U719" s="468"/>
      <c r="V719" s="319"/>
      <c r="W719" s="319"/>
      <c r="X719" s="467"/>
      <c r="Y719" s="467"/>
      <c r="Z719" s="467"/>
      <c r="AA719" s="467"/>
      <c r="AB719" s="467"/>
    </row>
    <row r="720" spans="1:28" ht="15.75" customHeight="1">
      <c r="A720" s="467"/>
      <c r="B720" s="467"/>
      <c r="C720" s="467"/>
      <c r="D720" s="467"/>
      <c r="E720" s="467"/>
      <c r="F720" s="467"/>
      <c r="G720" s="467"/>
      <c r="H720" s="467"/>
      <c r="I720" s="467"/>
      <c r="J720" s="467"/>
      <c r="K720" s="467"/>
      <c r="L720" s="467"/>
      <c r="M720" s="467"/>
      <c r="N720" s="467"/>
      <c r="O720" s="467"/>
      <c r="P720" s="467"/>
      <c r="Q720" s="467"/>
      <c r="R720" s="467"/>
      <c r="S720" s="467"/>
      <c r="T720" s="467"/>
      <c r="U720" s="468"/>
      <c r="V720" s="319"/>
      <c r="W720" s="319"/>
      <c r="X720" s="467"/>
      <c r="Y720" s="467"/>
      <c r="Z720" s="467"/>
      <c r="AA720" s="467"/>
      <c r="AB720" s="467"/>
    </row>
    <row r="721" spans="1:28" ht="15.75" customHeight="1">
      <c r="A721" s="467"/>
      <c r="B721" s="467"/>
      <c r="C721" s="467"/>
      <c r="D721" s="467"/>
      <c r="E721" s="467"/>
      <c r="F721" s="467"/>
      <c r="G721" s="467"/>
      <c r="H721" s="467"/>
      <c r="I721" s="467"/>
      <c r="J721" s="467"/>
      <c r="K721" s="467"/>
      <c r="L721" s="467"/>
      <c r="M721" s="467"/>
      <c r="N721" s="467"/>
      <c r="O721" s="467"/>
      <c r="P721" s="467"/>
      <c r="Q721" s="467"/>
      <c r="R721" s="467"/>
      <c r="S721" s="467"/>
      <c r="T721" s="467"/>
      <c r="U721" s="468"/>
      <c r="V721" s="319"/>
      <c r="W721" s="319"/>
      <c r="X721" s="467"/>
      <c r="Y721" s="467"/>
      <c r="Z721" s="467"/>
      <c r="AA721" s="467"/>
      <c r="AB721" s="467"/>
    </row>
    <row r="722" spans="1:28" ht="15.75" customHeight="1">
      <c r="A722" s="467"/>
      <c r="B722" s="467"/>
      <c r="C722" s="467"/>
      <c r="D722" s="467"/>
      <c r="E722" s="467"/>
      <c r="F722" s="467"/>
      <c r="G722" s="467"/>
      <c r="H722" s="467"/>
      <c r="I722" s="467"/>
      <c r="J722" s="467"/>
      <c r="K722" s="467"/>
      <c r="L722" s="467"/>
      <c r="M722" s="467"/>
      <c r="N722" s="467"/>
      <c r="O722" s="467"/>
      <c r="P722" s="467"/>
      <c r="Q722" s="467"/>
      <c r="R722" s="467"/>
      <c r="S722" s="467"/>
      <c r="T722" s="467"/>
      <c r="U722" s="468"/>
      <c r="V722" s="319"/>
      <c r="W722" s="319"/>
      <c r="X722" s="467"/>
      <c r="Y722" s="467"/>
      <c r="Z722" s="467"/>
      <c r="AA722" s="467"/>
      <c r="AB722" s="467"/>
    </row>
    <row r="723" spans="1:28" ht="15.75" customHeight="1">
      <c r="A723" s="467"/>
      <c r="B723" s="467"/>
      <c r="C723" s="467"/>
      <c r="D723" s="467"/>
      <c r="E723" s="467"/>
      <c r="F723" s="467"/>
      <c r="G723" s="467"/>
      <c r="H723" s="467"/>
      <c r="I723" s="467"/>
      <c r="J723" s="467"/>
      <c r="K723" s="467"/>
      <c r="L723" s="467"/>
      <c r="M723" s="467"/>
      <c r="N723" s="467"/>
      <c r="O723" s="467"/>
      <c r="P723" s="467"/>
      <c r="Q723" s="467"/>
      <c r="R723" s="467"/>
      <c r="S723" s="467"/>
      <c r="T723" s="467"/>
      <c r="U723" s="468"/>
      <c r="V723" s="319"/>
      <c r="W723" s="319"/>
      <c r="X723" s="467"/>
      <c r="Y723" s="467"/>
      <c r="Z723" s="467"/>
      <c r="AA723" s="467"/>
      <c r="AB723" s="467"/>
    </row>
    <row r="724" spans="1:28" ht="15.75" customHeight="1">
      <c r="A724" s="467"/>
      <c r="B724" s="467"/>
      <c r="C724" s="467"/>
      <c r="D724" s="467"/>
      <c r="E724" s="467"/>
      <c r="F724" s="467"/>
      <c r="G724" s="467"/>
      <c r="H724" s="467"/>
      <c r="I724" s="467"/>
      <c r="J724" s="467"/>
      <c r="K724" s="467"/>
      <c r="L724" s="467"/>
      <c r="M724" s="467"/>
      <c r="N724" s="467"/>
      <c r="O724" s="467"/>
      <c r="P724" s="467"/>
      <c r="Q724" s="467"/>
      <c r="R724" s="467"/>
      <c r="S724" s="467"/>
      <c r="T724" s="467"/>
      <c r="U724" s="468"/>
      <c r="V724" s="319"/>
      <c r="W724" s="319"/>
      <c r="X724" s="467"/>
      <c r="Y724" s="467"/>
      <c r="Z724" s="467"/>
      <c r="AA724" s="467"/>
      <c r="AB724" s="467"/>
    </row>
    <row r="725" spans="1:28" ht="15.75" customHeight="1">
      <c r="A725" s="467"/>
      <c r="B725" s="467"/>
      <c r="C725" s="467"/>
      <c r="D725" s="467"/>
      <c r="E725" s="467"/>
      <c r="F725" s="467"/>
      <c r="G725" s="467"/>
      <c r="H725" s="467"/>
      <c r="I725" s="467"/>
      <c r="J725" s="467"/>
      <c r="K725" s="467"/>
      <c r="L725" s="467"/>
      <c r="M725" s="467"/>
      <c r="N725" s="467"/>
      <c r="O725" s="467"/>
      <c r="P725" s="467"/>
      <c r="Q725" s="467"/>
      <c r="R725" s="467"/>
      <c r="S725" s="467"/>
      <c r="T725" s="467"/>
      <c r="U725" s="468"/>
      <c r="V725" s="319"/>
      <c r="W725" s="319"/>
      <c r="X725" s="467"/>
      <c r="Y725" s="467"/>
      <c r="Z725" s="467"/>
      <c r="AA725" s="467"/>
      <c r="AB725" s="467"/>
    </row>
    <row r="726" spans="1:28" ht="15.75" customHeight="1">
      <c r="A726" s="467"/>
      <c r="B726" s="467"/>
      <c r="C726" s="467"/>
      <c r="D726" s="467"/>
      <c r="E726" s="467"/>
      <c r="F726" s="467"/>
      <c r="G726" s="467"/>
      <c r="H726" s="467"/>
      <c r="I726" s="467"/>
      <c r="J726" s="467"/>
      <c r="K726" s="467"/>
      <c r="L726" s="467"/>
      <c r="M726" s="467"/>
      <c r="N726" s="467"/>
      <c r="O726" s="467"/>
      <c r="P726" s="467"/>
      <c r="Q726" s="467"/>
      <c r="R726" s="467"/>
      <c r="S726" s="467"/>
      <c r="T726" s="467"/>
      <c r="U726" s="468"/>
      <c r="V726" s="319"/>
      <c r="W726" s="319"/>
      <c r="X726" s="467"/>
      <c r="Y726" s="467"/>
      <c r="Z726" s="467"/>
      <c r="AA726" s="467"/>
      <c r="AB726" s="467"/>
    </row>
    <row r="727" spans="1:28" ht="15.75" customHeight="1">
      <c r="A727" s="467"/>
      <c r="B727" s="467"/>
      <c r="C727" s="467"/>
      <c r="D727" s="467"/>
      <c r="E727" s="467"/>
      <c r="F727" s="467"/>
      <c r="G727" s="467"/>
      <c r="H727" s="467"/>
      <c r="I727" s="467"/>
      <c r="J727" s="467"/>
      <c r="K727" s="467"/>
      <c r="L727" s="467"/>
      <c r="M727" s="467"/>
      <c r="N727" s="467"/>
      <c r="O727" s="467"/>
      <c r="P727" s="467"/>
      <c r="Q727" s="467"/>
      <c r="R727" s="467"/>
      <c r="S727" s="467"/>
      <c r="T727" s="467"/>
      <c r="U727" s="468"/>
      <c r="V727" s="319"/>
      <c r="W727" s="319"/>
      <c r="X727" s="467"/>
      <c r="Y727" s="467"/>
      <c r="Z727" s="467"/>
      <c r="AA727" s="467"/>
      <c r="AB727" s="467"/>
    </row>
    <row r="728" spans="1:28" ht="15.75" customHeight="1">
      <c r="A728" s="467"/>
      <c r="B728" s="467"/>
      <c r="C728" s="467"/>
      <c r="D728" s="467"/>
      <c r="E728" s="467"/>
      <c r="F728" s="467"/>
      <c r="G728" s="467"/>
      <c r="H728" s="467"/>
      <c r="I728" s="467"/>
      <c r="J728" s="467"/>
      <c r="K728" s="467"/>
      <c r="L728" s="467"/>
      <c r="M728" s="467"/>
      <c r="N728" s="467"/>
      <c r="O728" s="467"/>
      <c r="P728" s="467"/>
      <c r="Q728" s="467"/>
      <c r="R728" s="467"/>
      <c r="S728" s="467"/>
      <c r="T728" s="467"/>
      <c r="U728" s="468"/>
      <c r="V728" s="319"/>
      <c r="W728" s="319"/>
      <c r="X728" s="467"/>
      <c r="Y728" s="467"/>
      <c r="Z728" s="467"/>
      <c r="AA728" s="467"/>
      <c r="AB728" s="467"/>
    </row>
    <row r="729" spans="1:28" ht="15.75" customHeight="1">
      <c r="A729" s="467"/>
      <c r="B729" s="467"/>
      <c r="C729" s="467"/>
      <c r="D729" s="467"/>
      <c r="E729" s="467"/>
      <c r="F729" s="467"/>
      <c r="G729" s="467"/>
      <c r="H729" s="467"/>
      <c r="I729" s="467"/>
      <c r="J729" s="467"/>
      <c r="K729" s="467"/>
      <c r="L729" s="467"/>
      <c r="M729" s="467"/>
      <c r="N729" s="467"/>
      <c r="O729" s="467"/>
      <c r="P729" s="467"/>
      <c r="Q729" s="467"/>
      <c r="R729" s="467"/>
      <c r="S729" s="467"/>
      <c r="T729" s="467"/>
      <c r="U729" s="468"/>
      <c r="V729" s="319"/>
      <c r="W729" s="319"/>
      <c r="X729" s="467"/>
      <c r="Y729" s="467"/>
      <c r="Z729" s="467"/>
      <c r="AA729" s="467"/>
      <c r="AB729" s="467"/>
    </row>
    <row r="730" spans="1:28" ht="15.75" customHeight="1">
      <c r="A730" s="467"/>
      <c r="B730" s="467"/>
      <c r="C730" s="467"/>
      <c r="D730" s="467"/>
      <c r="E730" s="467"/>
      <c r="F730" s="467"/>
      <c r="G730" s="467"/>
      <c r="H730" s="467"/>
      <c r="I730" s="467"/>
      <c r="J730" s="467"/>
      <c r="K730" s="467"/>
      <c r="L730" s="467"/>
      <c r="M730" s="467"/>
      <c r="N730" s="467"/>
      <c r="O730" s="467"/>
      <c r="P730" s="467"/>
      <c r="Q730" s="467"/>
      <c r="R730" s="467"/>
      <c r="S730" s="467"/>
      <c r="T730" s="467"/>
      <c r="U730" s="468"/>
      <c r="V730" s="319"/>
      <c r="W730" s="319"/>
      <c r="X730" s="467"/>
      <c r="Y730" s="467"/>
      <c r="Z730" s="467"/>
      <c r="AA730" s="467"/>
      <c r="AB730" s="467"/>
    </row>
    <row r="731" spans="1:28" ht="15.75" customHeight="1">
      <c r="A731" s="467"/>
      <c r="B731" s="467"/>
      <c r="C731" s="467"/>
      <c r="D731" s="467"/>
      <c r="E731" s="467"/>
      <c r="F731" s="467"/>
      <c r="G731" s="467"/>
      <c r="H731" s="467"/>
      <c r="I731" s="467"/>
      <c r="J731" s="467"/>
      <c r="K731" s="467"/>
      <c r="L731" s="467"/>
      <c r="M731" s="467"/>
      <c r="N731" s="467"/>
      <c r="O731" s="467"/>
      <c r="P731" s="467"/>
      <c r="Q731" s="467"/>
      <c r="R731" s="467"/>
      <c r="S731" s="467"/>
      <c r="T731" s="467"/>
      <c r="U731" s="468"/>
      <c r="V731" s="319"/>
      <c r="W731" s="319"/>
      <c r="X731" s="467"/>
      <c r="Y731" s="467"/>
      <c r="Z731" s="467"/>
      <c r="AA731" s="467"/>
      <c r="AB731" s="467"/>
    </row>
    <row r="732" spans="1:28" ht="15.75" customHeight="1">
      <c r="A732" s="467"/>
      <c r="B732" s="467"/>
      <c r="C732" s="467"/>
      <c r="D732" s="467"/>
      <c r="E732" s="467"/>
      <c r="F732" s="467"/>
      <c r="G732" s="467"/>
      <c r="H732" s="467"/>
      <c r="I732" s="467"/>
      <c r="J732" s="467"/>
      <c r="K732" s="467"/>
      <c r="L732" s="467"/>
      <c r="M732" s="467"/>
      <c r="N732" s="467"/>
      <c r="O732" s="467"/>
      <c r="P732" s="467"/>
      <c r="Q732" s="467"/>
      <c r="R732" s="467"/>
      <c r="S732" s="467"/>
      <c r="T732" s="467"/>
      <c r="U732" s="468"/>
      <c r="V732" s="319"/>
      <c r="W732" s="319"/>
      <c r="X732" s="467"/>
      <c r="Y732" s="467"/>
      <c r="Z732" s="467"/>
      <c r="AA732" s="467"/>
      <c r="AB732" s="467"/>
    </row>
    <row r="733" spans="1:28" ht="15.75" customHeight="1">
      <c r="A733" s="467"/>
      <c r="B733" s="467"/>
      <c r="C733" s="467"/>
      <c r="D733" s="467"/>
      <c r="E733" s="467"/>
      <c r="F733" s="467"/>
      <c r="G733" s="467"/>
      <c r="H733" s="467"/>
      <c r="I733" s="467"/>
      <c r="J733" s="467"/>
      <c r="K733" s="467"/>
      <c r="L733" s="467"/>
      <c r="M733" s="467"/>
      <c r="N733" s="467"/>
      <c r="O733" s="467"/>
      <c r="P733" s="467"/>
      <c r="Q733" s="467"/>
      <c r="R733" s="467"/>
      <c r="S733" s="467"/>
      <c r="T733" s="467"/>
      <c r="U733" s="468"/>
      <c r="V733" s="319"/>
      <c r="W733" s="319"/>
      <c r="X733" s="467"/>
      <c r="Y733" s="467"/>
      <c r="Z733" s="467"/>
      <c r="AA733" s="467"/>
      <c r="AB733" s="467"/>
    </row>
    <row r="734" spans="1:28" ht="15.75" customHeight="1">
      <c r="A734" s="467"/>
      <c r="B734" s="467"/>
      <c r="C734" s="467"/>
      <c r="D734" s="467"/>
      <c r="E734" s="467"/>
      <c r="F734" s="467"/>
      <c r="G734" s="467"/>
      <c r="H734" s="467"/>
      <c r="I734" s="467"/>
      <c r="J734" s="467"/>
      <c r="K734" s="467"/>
      <c r="L734" s="467"/>
      <c r="M734" s="467"/>
      <c r="N734" s="467"/>
      <c r="O734" s="467"/>
      <c r="P734" s="467"/>
      <c r="Q734" s="467"/>
      <c r="R734" s="467"/>
      <c r="S734" s="467"/>
      <c r="T734" s="467"/>
      <c r="U734" s="468"/>
      <c r="V734" s="319"/>
      <c r="W734" s="319"/>
      <c r="X734" s="467"/>
      <c r="Y734" s="467"/>
      <c r="Z734" s="467"/>
      <c r="AA734" s="467"/>
      <c r="AB734" s="467"/>
    </row>
    <row r="735" spans="1:28" ht="15.75" customHeight="1">
      <c r="A735" s="467"/>
      <c r="B735" s="467"/>
      <c r="C735" s="467"/>
      <c r="D735" s="467"/>
      <c r="E735" s="467"/>
      <c r="F735" s="467"/>
      <c r="G735" s="467"/>
      <c r="H735" s="467"/>
      <c r="I735" s="467"/>
      <c r="J735" s="467"/>
      <c r="K735" s="467"/>
      <c r="L735" s="467"/>
      <c r="M735" s="467"/>
      <c r="N735" s="467"/>
      <c r="O735" s="467"/>
      <c r="P735" s="467"/>
      <c r="Q735" s="467"/>
      <c r="R735" s="467"/>
      <c r="S735" s="467"/>
      <c r="T735" s="467"/>
      <c r="U735" s="468"/>
      <c r="V735" s="319"/>
      <c r="W735" s="319"/>
      <c r="X735" s="467"/>
      <c r="Y735" s="467"/>
      <c r="Z735" s="467"/>
      <c r="AA735" s="467"/>
      <c r="AB735" s="467"/>
    </row>
    <row r="736" spans="1:28" ht="15.75" customHeight="1">
      <c r="A736" s="467"/>
      <c r="B736" s="467"/>
      <c r="C736" s="467"/>
      <c r="D736" s="467"/>
      <c r="E736" s="467"/>
      <c r="F736" s="467"/>
      <c r="G736" s="467"/>
      <c r="H736" s="467"/>
      <c r="I736" s="467"/>
      <c r="J736" s="467"/>
      <c r="K736" s="467"/>
      <c r="L736" s="467"/>
      <c r="M736" s="467"/>
      <c r="N736" s="467"/>
      <c r="O736" s="467"/>
      <c r="P736" s="467"/>
      <c r="Q736" s="467"/>
      <c r="R736" s="467"/>
      <c r="S736" s="467"/>
      <c r="T736" s="467"/>
      <c r="U736" s="468"/>
      <c r="V736" s="319"/>
      <c r="W736" s="319"/>
      <c r="X736" s="467"/>
      <c r="Y736" s="467"/>
      <c r="Z736" s="467"/>
      <c r="AA736" s="467"/>
      <c r="AB736" s="467"/>
    </row>
    <row r="737" spans="1:28" ht="15.75" customHeight="1">
      <c r="A737" s="467"/>
      <c r="B737" s="467"/>
      <c r="C737" s="467"/>
      <c r="D737" s="467"/>
      <c r="E737" s="467"/>
      <c r="F737" s="467"/>
      <c r="G737" s="467"/>
      <c r="H737" s="467"/>
      <c r="I737" s="467"/>
      <c r="J737" s="467"/>
      <c r="K737" s="467"/>
      <c r="L737" s="467"/>
      <c r="M737" s="467"/>
      <c r="N737" s="467"/>
      <c r="O737" s="467"/>
      <c r="P737" s="467"/>
      <c r="Q737" s="467"/>
      <c r="R737" s="467"/>
      <c r="S737" s="467"/>
      <c r="T737" s="467"/>
      <c r="U737" s="468"/>
      <c r="V737" s="319"/>
      <c r="W737" s="319"/>
      <c r="X737" s="467"/>
      <c r="Y737" s="467"/>
      <c r="Z737" s="467"/>
      <c r="AA737" s="467"/>
      <c r="AB737" s="467"/>
    </row>
    <row r="738" spans="1:28" ht="15.75" customHeight="1">
      <c r="A738" s="467"/>
      <c r="B738" s="467"/>
      <c r="C738" s="467"/>
      <c r="D738" s="467"/>
      <c r="E738" s="467"/>
      <c r="F738" s="467"/>
      <c r="G738" s="467"/>
      <c r="H738" s="467"/>
      <c r="I738" s="467"/>
      <c r="J738" s="467"/>
      <c r="K738" s="467"/>
      <c r="L738" s="467"/>
      <c r="M738" s="467"/>
      <c r="N738" s="467"/>
      <c r="O738" s="467"/>
      <c r="P738" s="467"/>
      <c r="Q738" s="467"/>
      <c r="R738" s="467"/>
      <c r="S738" s="467"/>
      <c r="T738" s="467"/>
      <c r="U738" s="468"/>
      <c r="V738" s="319"/>
      <c r="W738" s="319"/>
      <c r="X738" s="467"/>
      <c r="Y738" s="467"/>
      <c r="Z738" s="467"/>
      <c r="AA738" s="467"/>
      <c r="AB738" s="467"/>
    </row>
    <row r="739" spans="1:28" ht="15.75" customHeight="1">
      <c r="A739" s="467"/>
      <c r="B739" s="467"/>
      <c r="C739" s="467"/>
      <c r="D739" s="467"/>
      <c r="E739" s="467"/>
      <c r="F739" s="467"/>
      <c r="G739" s="467"/>
      <c r="H739" s="467"/>
      <c r="I739" s="467"/>
      <c r="J739" s="467"/>
      <c r="K739" s="467"/>
      <c r="L739" s="467"/>
      <c r="M739" s="467"/>
      <c r="N739" s="467"/>
      <c r="O739" s="467"/>
      <c r="P739" s="467"/>
      <c r="Q739" s="467"/>
      <c r="R739" s="467"/>
      <c r="S739" s="467"/>
      <c r="T739" s="467"/>
      <c r="U739" s="468"/>
      <c r="V739" s="319"/>
      <c r="W739" s="319"/>
      <c r="X739" s="467"/>
      <c r="Y739" s="467"/>
      <c r="Z739" s="467"/>
      <c r="AA739" s="467"/>
      <c r="AB739" s="467"/>
    </row>
    <row r="740" spans="1:28" ht="15.75" customHeight="1">
      <c r="A740" s="467"/>
      <c r="B740" s="467"/>
      <c r="C740" s="467"/>
      <c r="D740" s="467"/>
      <c r="E740" s="467"/>
      <c r="F740" s="467"/>
      <c r="G740" s="467"/>
      <c r="H740" s="467"/>
      <c r="I740" s="467"/>
      <c r="J740" s="467"/>
      <c r="K740" s="467"/>
      <c r="L740" s="467"/>
      <c r="M740" s="467"/>
      <c r="N740" s="467"/>
      <c r="O740" s="467"/>
      <c r="P740" s="467"/>
      <c r="Q740" s="467"/>
      <c r="R740" s="467"/>
      <c r="S740" s="467"/>
      <c r="T740" s="467"/>
      <c r="U740" s="468"/>
      <c r="V740" s="319"/>
      <c r="W740" s="319"/>
      <c r="X740" s="467"/>
      <c r="Y740" s="467"/>
      <c r="Z740" s="467"/>
      <c r="AA740" s="467"/>
      <c r="AB740" s="467"/>
    </row>
    <row r="741" spans="1:28" ht="15.75" customHeight="1">
      <c r="A741" s="467"/>
      <c r="B741" s="467"/>
      <c r="C741" s="467"/>
      <c r="D741" s="467"/>
      <c r="E741" s="467"/>
      <c r="F741" s="467"/>
      <c r="G741" s="467"/>
      <c r="H741" s="467"/>
      <c r="I741" s="467"/>
      <c r="J741" s="467"/>
      <c r="K741" s="467"/>
      <c r="L741" s="467"/>
      <c r="M741" s="467"/>
      <c r="N741" s="467"/>
      <c r="O741" s="467"/>
      <c r="P741" s="467"/>
      <c r="Q741" s="467"/>
      <c r="R741" s="467"/>
      <c r="S741" s="467"/>
      <c r="T741" s="467"/>
      <c r="U741" s="468"/>
      <c r="V741" s="319"/>
      <c r="W741" s="319"/>
      <c r="X741" s="467"/>
      <c r="Y741" s="467"/>
      <c r="Z741" s="467"/>
      <c r="AA741" s="467"/>
      <c r="AB741" s="467"/>
    </row>
    <row r="742" spans="1:28" ht="15.75" customHeight="1">
      <c r="A742" s="467"/>
      <c r="B742" s="467"/>
      <c r="C742" s="467"/>
      <c r="D742" s="467"/>
      <c r="E742" s="467"/>
      <c r="F742" s="467"/>
      <c r="G742" s="467"/>
      <c r="H742" s="467"/>
      <c r="I742" s="467"/>
      <c r="J742" s="467"/>
      <c r="K742" s="467"/>
      <c r="L742" s="467"/>
      <c r="M742" s="467"/>
      <c r="N742" s="467"/>
      <c r="O742" s="467"/>
      <c r="P742" s="467"/>
      <c r="Q742" s="467"/>
      <c r="R742" s="467"/>
      <c r="S742" s="467"/>
      <c r="T742" s="467"/>
      <c r="U742" s="468"/>
      <c r="V742" s="319"/>
      <c r="W742" s="319"/>
      <c r="X742" s="467"/>
      <c r="Y742" s="467"/>
      <c r="Z742" s="467"/>
      <c r="AA742" s="467"/>
      <c r="AB742" s="467"/>
    </row>
    <row r="743" spans="1:28" ht="15.75" customHeight="1">
      <c r="A743" s="467"/>
      <c r="B743" s="467"/>
      <c r="C743" s="467"/>
      <c r="D743" s="467"/>
      <c r="E743" s="467"/>
      <c r="F743" s="467"/>
      <c r="G743" s="467"/>
      <c r="H743" s="467"/>
      <c r="I743" s="467"/>
      <c r="J743" s="467"/>
      <c r="K743" s="467"/>
      <c r="L743" s="467"/>
      <c r="M743" s="467"/>
      <c r="N743" s="467"/>
      <c r="O743" s="467"/>
      <c r="P743" s="467"/>
      <c r="Q743" s="467"/>
      <c r="R743" s="467"/>
      <c r="S743" s="467"/>
      <c r="T743" s="467"/>
      <c r="U743" s="468"/>
      <c r="V743" s="319"/>
      <c r="W743" s="319"/>
      <c r="X743" s="467"/>
      <c r="Y743" s="467"/>
      <c r="Z743" s="467"/>
      <c r="AA743" s="467"/>
      <c r="AB743" s="467"/>
    </row>
    <row r="744" spans="1:28" ht="15.75" customHeight="1">
      <c r="A744" s="467"/>
      <c r="B744" s="467"/>
      <c r="C744" s="467"/>
      <c r="D744" s="467"/>
      <c r="E744" s="467"/>
      <c r="F744" s="467"/>
      <c r="G744" s="467"/>
      <c r="H744" s="467"/>
      <c r="I744" s="467"/>
      <c r="J744" s="467"/>
      <c r="K744" s="467"/>
      <c r="L744" s="467"/>
      <c r="M744" s="467"/>
      <c r="N744" s="467"/>
      <c r="O744" s="467"/>
      <c r="P744" s="467"/>
      <c r="Q744" s="467"/>
      <c r="R744" s="467"/>
      <c r="S744" s="467"/>
      <c r="T744" s="467"/>
      <c r="U744" s="468"/>
      <c r="V744" s="319"/>
      <c r="W744" s="319"/>
      <c r="X744" s="467"/>
      <c r="Y744" s="467"/>
      <c r="Z744" s="467"/>
      <c r="AA744" s="467"/>
      <c r="AB744" s="467"/>
    </row>
    <row r="745" spans="1:28" ht="15.75" customHeight="1">
      <c r="A745" s="467"/>
      <c r="B745" s="467"/>
      <c r="C745" s="467"/>
      <c r="D745" s="467"/>
      <c r="E745" s="467"/>
      <c r="F745" s="467"/>
      <c r="G745" s="467"/>
      <c r="H745" s="467"/>
      <c r="I745" s="467"/>
      <c r="J745" s="467"/>
      <c r="K745" s="467"/>
      <c r="L745" s="467"/>
      <c r="M745" s="467"/>
      <c r="N745" s="467"/>
      <c r="O745" s="467"/>
      <c r="P745" s="467"/>
      <c r="Q745" s="467"/>
      <c r="R745" s="467"/>
      <c r="S745" s="467"/>
      <c r="T745" s="467"/>
      <c r="U745" s="468"/>
      <c r="V745" s="319"/>
      <c r="W745" s="319"/>
      <c r="X745" s="467"/>
      <c r="Y745" s="467"/>
      <c r="Z745" s="467"/>
      <c r="AA745" s="467"/>
      <c r="AB745" s="467"/>
    </row>
    <row r="746" spans="1:28" ht="15.75" customHeight="1">
      <c r="A746" s="467"/>
      <c r="B746" s="467"/>
      <c r="C746" s="467"/>
      <c r="D746" s="467"/>
      <c r="E746" s="467"/>
      <c r="F746" s="467"/>
      <c r="G746" s="467"/>
      <c r="H746" s="467"/>
      <c r="I746" s="467"/>
      <c r="J746" s="467"/>
      <c r="K746" s="467"/>
      <c r="L746" s="467"/>
      <c r="M746" s="467"/>
      <c r="N746" s="467"/>
      <c r="O746" s="467"/>
      <c r="P746" s="467"/>
      <c r="Q746" s="467"/>
      <c r="R746" s="467"/>
      <c r="S746" s="467"/>
      <c r="T746" s="467"/>
      <c r="U746" s="468"/>
      <c r="V746" s="319"/>
      <c r="W746" s="319"/>
      <c r="X746" s="467"/>
      <c r="Y746" s="467"/>
      <c r="Z746" s="467"/>
      <c r="AA746" s="467"/>
      <c r="AB746" s="467"/>
    </row>
    <row r="747" spans="1:28" ht="15.75" customHeight="1">
      <c r="A747" s="467"/>
      <c r="B747" s="467"/>
      <c r="C747" s="467"/>
      <c r="D747" s="467"/>
      <c r="E747" s="467"/>
      <c r="F747" s="467"/>
      <c r="G747" s="467"/>
      <c r="H747" s="467"/>
      <c r="I747" s="467"/>
      <c r="J747" s="467"/>
      <c r="K747" s="467"/>
      <c r="L747" s="467"/>
      <c r="M747" s="467"/>
      <c r="N747" s="467"/>
      <c r="O747" s="467"/>
      <c r="P747" s="467"/>
      <c r="Q747" s="467"/>
      <c r="R747" s="467"/>
      <c r="S747" s="467"/>
      <c r="T747" s="467"/>
      <c r="U747" s="468"/>
      <c r="V747" s="319"/>
      <c r="W747" s="319"/>
      <c r="X747" s="467"/>
      <c r="Y747" s="467"/>
      <c r="Z747" s="467"/>
      <c r="AA747" s="467"/>
      <c r="AB747" s="467"/>
    </row>
    <row r="748" spans="1:28" ht="15.75" customHeight="1">
      <c r="A748" s="467"/>
      <c r="B748" s="467"/>
      <c r="C748" s="467"/>
      <c r="D748" s="467"/>
      <c r="E748" s="467"/>
      <c r="F748" s="467"/>
      <c r="G748" s="467"/>
      <c r="H748" s="467"/>
      <c r="I748" s="467"/>
      <c r="J748" s="467"/>
      <c r="K748" s="467"/>
      <c r="L748" s="467"/>
      <c r="M748" s="467"/>
      <c r="N748" s="467"/>
      <c r="O748" s="467"/>
      <c r="P748" s="467"/>
      <c r="Q748" s="467"/>
      <c r="R748" s="467"/>
      <c r="S748" s="467"/>
      <c r="T748" s="467"/>
      <c r="U748" s="468"/>
      <c r="V748" s="319"/>
      <c r="W748" s="319"/>
      <c r="X748" s="467"/>
      <c r="Y748" s="467"/>
      <c r="Z748" s="467"/>
      <c r="AA748" s="467"/>
      <c r="AB748" s="467"/>
    </row>
    <row r="749" spans="1:28" ht="15.75" customHeight="1">
      <c r="A749" s="467"/>
      <c r="B749" s="467"/>
      <c r="C749" s="467"/>
      <c r="D749" s="467"/>
      <c r="E749" s="467"/>
      <c r="F749" s="467"/>
      <c r="G749" s="467"/>
      <c r="H749" s="467"/>
      <c r="I749" s="467"/>
      <c r="J749" s="467"/>
      <c r="K749" s="467"/>
      <c r="L749" s="467"/>
      <c r="M749" s="467"/>
      <c r="N749" s="467"/>
      <c r="O749" s="467"/>
      <c r="P749" s="467"/>
      <c r="Q749" s="467"/>
      <c r="R749" s="467"/>
      <c r="S749" s="467"/>
      <c r="T749" s="467"/>
      <c r="U749" s="468"/>
      <c r="V749" s="319"/>
      <c r="W749" s="319"/>
      <c r="X749" s="467"/>
      <c r="Y749" s="467"/>
      <c r="Z749" s="467"/>
      <c r="AA749" s="467"/>
      <c r="AB749" s="467"/>
    </row>
    <row r="750" spans="1:28" ht="15.75" customHeight="1">
      <c r="A750" s="467"/>
      <c r="B750" s="467"/>
      <c r="C750" s="467"/>
      <c r="D750" s="467"/>
      <c r="E750" s="467"/>
      <c r="F750" s="467"/>
      <c r="G750" s="467"/>
      <c r="H750" s="467"/>
      <c r="I750" s="467"/>
      <c r="J750" s="467"/>
      <c r="K750" s="467"/>
      <c r="L750" s="467"/>
      <c r="M750" s="467"/>
      <c r="N750" s="467"/>
      <c r="O750" s="467"/>
      <c r="P750" s="467"/>
      <c r="Q750" s="467"/>
      <c r="R750" s="467"/>
      <c r="S750" s="467"/>
      <c r="T750" s="467"/>
      <c r="U750" s="468"/>
      <c r="V750" s="319"/>
      <c r="W750" s="319"/>
      <c r="X750" s="467"/>
      <c r="Y750" s="467"/>
      <c r="Z750" s="467"/>
      <c r="AA750" s="467"/>
      <c r="AB750" s="467"/>
    </row>
    <row r="751" spans="1:28" ht="15.75" customHeight="1">
      <c r="A751" s="467"/>
      <c r="B751" s="467"/>
      <c r="C751" s="467"/>
      <c r="D751" s="467"/>
      <c r="E751" s="467"/>
      <c r="F751" s="467"/>
      <c r="G751" s="467"/>
      <c r="H751" s="467"/>
      <c r="I751" s="467"/>
      <c r="J751" s="467"/>
      <c r="K751" s="467"/>
      <c r="L751" s="467"/>
      <c r="M751" s="467"/>
      <c r="N751" s="467"/>
      <c r="O751" s="467"/>
      <c r="P751" s="467"/>
      <c r="Q751" s="467"/>
      <c r="R751" s="467"/>
      <c r="S751" s="467"/>
      <c r="T751" s="467"/>
      <c r="U751" s="468"/>
      <c r="V751" s="319"/>
      <c r="W751" s="319"/>
      <c r="X751" s="467"/>
      <c r="Y751" s="467"/>
      <c r="Z751" s="467"/>
      <c r="AA751" s="467"/>
      <c r="AB751" s="467"/>
    </row>
    <row r="752" spans="1:28" ht="15.75" customHeight="1">
      <c r="A752" s="467"/>
      <c r="B752" s="467"/>
      <c r="C752" s="467"/>
      <c r="D752" s="467"/>
      <c r="E752" s="467"/>
      <c r="F752" s="467"/>
      <c r="G752" s="467"/>
      <c r="H752" s="467"/>
      <c r="I752" s="467"/>
      <c r="J752" s="467"/>
      <c r="K752" s="467"/>
      <c r="L752" s="467"/>
      <c r="M752" s="467"/>
      <c r="N752" s="467"/>
      <c r="O752" s="467"/>
      <c r="P752" s="467"/>
      <c r="Q752" s="467"/>
      <c r="R752" s="467"/>
      <c r="S752" s="467"/>
      <c r="T752" s="467"/>
      <c r="U752" s="468"/>
      <c r="V752" s="319"/>
      <c r="W752" s="319"/>
      <c r="X752" s="467"/>
      <c r="Y752" s="467"/>
      <c r="Z752" s="467"/>
      <c r="AA752" s="467"/>
      <c r="AB752" s="467"/>
    </row>
    <row r="753" spans="1:28" ht="15.75" customHeight="1">
      <c r="A753" s="467"/>
      <c r="B753" s="467"/>
      <c r="C753" s="467"/>
      <c r="D753" s="467"/>
      <c r="E753" s="467"/>
      <c r="F753" s="467"/>
      <c r="G753" s="467"/>
      <c r="H753" s="467"/>
      <c r="I753" s="467"/>
      <c r="J753" s="467"/>
      <c r="K753" s="467"/>
      <c r="L753" s="467"/>
      <c r="M753" s="467"/>
      <c r="N753" s="467"/>
      <c r="O753" s="467"/>
      <c r="P753" s="467"/>
      <c r="Q753" s="467"/>
      <c r="R753" s="467"/>
      <c r="S753" s="467"/>
      <c r="T753" s="467"/>
      <c r="U753" s="468"/>
      <c r="V753" s="319"/>
      <c r="W753" s="319"/>
      <c r="X753" s="467"/>
      <c r="Y753" s="467"/>
      <c r="Z753" s="467"/>
      <c r="AA753" s="467"/>
      <c r="AB753" s="467"/>
    </row>
    <row r="754" spans="1:28" ht="15.75" customHeight="1">
      <c r="A754" s="467"/>
      <c r="B754" s="467"/>
      <c r="C754" s="467"/>
      <c r="D754" s="467"/>
      <c r="E754" s="467"/>
      <c r="F754" s="467"/>
      <c r="G754" s="467"/>
      <c r="H754" s="467"/>
      <c r="I754" s="467"/>
      <c r="J754" s="467"/>
      <c r="K754" s="467"/>
      <c r="L754" s="467"/>
      <c r="M754" s="467"/>
      <c r="N754" s="467"/>
      <c r="O754" s="467"/>
      <c r="P754" s="467"/>
      <c r="Q754" s="467"/>
      <c r="R754" s="467"/>
      <c r="S754" s="467"/>
      <c r="T754" s="467"/>
      <c r="U754" s="468"/>
      <c r="V754" s="319"/>
      <c r="W754" s="319"/>
      <c r="X754" s="467"/>
      <c r="Y754" s="467"/>
      <c r="Z754" s="467"/>
      <c r="AA754" s="467"/>
      <c r="AB754" s="467"/>
    </row>
    <row r="755" spans="1:28" ht="15.75" customHeight="1">
      <c r="A755" s="467"/>
      <c r="B755" s="467"/>
      <c r="C755" s="467"/>
      <c r="D755" s="467"/>
      <c r="E755" s="467"/>
      <c r="F755" s="467"/>
      <c r="G755" s="467"/>
      <c r="H755" s="467"/>
      <c r="I755" s="467"/>
      <c r="J755" s="467"/>
      <c r="K755" s="467"/>
      <c r="L755" s="467"/>
      <c r="M755" s="467"/>
      <c r="N755" s="467"/>
      <c r="O755" s="467"/>
      <c r="P755" s="467"/>
      <c r="Q755" s="467"/>
      <c r="R755" s="467"/>
      <c r="S755" s="467"/>
      <c r="T755" s="467"/>
      <c r="U755" s="468"/>
      <c r="V755" s="319"/>
      <c r="W755" s="319"/>
      <c r="X755" s="467"/>
      <c r="Y755" s="467"/>
      <c r="Z755" s="467"/>
      <c r="AA755" s="467"/>
      <c r="AB755" s="467"/>
    </row>
    <row r="756" spans="1:28" ht="15.75" customHeight="1">
      <c r="A756" s="467"/>
      <c r="B756" s="467"/>
      <c r="C756" s="467"/>
      <c r="D756" s="467"/>
      <c r="E756" s="467"/>
      <c r="F756" s="467"/>
      <c r="G756" s="467"/>
      <c r="H756" s="467"/>
      <c r="I756" s="467"/>
      <c r="J756" s="467"/>
      <c r="K756" s="467"/>
      <c r="L756" s="467"/>
      <c r="M756" s="467"/>
      <c r="N756" s="467"/>
      <c r="O756" s="467"/>
      <c r="P756" s="467"/>
      <c r="Q756" s="467"/>
      <c r="R756" s="467"/>
      <c r="S756" s="467"/>
      <c r="T756" s="467"/>
      <c r="U756" s="468"/>
      <c r="V756" s="319"/>
      <c r="W756" s="319"/>
      <c r="X756" s="467"/>
      <c r="Y756" s="467"/>
      <c r="Z756" s="467"/>
      <c r="AA756" s="467"/>
      <c r="AB756" s="467"/>
    </row>
    <row r="757" spans="1:28" ht="15.75" customHeight="1">
      <c r="A757" s="467"/>
      <c r="B757" s="467"/>
      <c r="C757" s="467"/>
      <c r="D757" s="467"/>
      <c r="E757" s="467"/>
      <c r="F757" s="467"/>
      <c r="G757" s="467"/>
      <c r="H757" s="467"/>
      <c r="I757" s="467"/>
      <c r="J757" s="467"/>
      <c r="K757" s="467"/>
      <c r="L757" s="467"/>
      <c r="M757" s="467"/>
      <c r="N757" s="467"/>
      <c r="O757" s="467"/>
      <c r="P757" s="467"/>
      <c r="Q757" s="467"/>
      <c r="R757" s="467"/>
      <c r="S757" s="467"/>
      <c r="T757" s="467"/>
      <c r="U757" s="468"/>
      <c r="V757" s="319"/>
      <c r="W757" s="319"/>
      <c r="X757" s="467"/>
      <c r="Y757" s="467"/>
      <c r="Z757" s="467"/>
      <c r="AA757" s="467"/>
      <c r="AB757" s="467"/>
    </row>
    <row r="758" spans="1:28" ht="15.75" customHeight="1">
      <c r="A758" s="467"/>
      <c r="B758" s="467"/>
      <c r="C758" s="467"/>
      <c r="D758" s="467"/>
      <c r="E758" s="467"/>
      <c r="F758" s="467"/>
      <c r="G758" s="467"/>
      <c r="H758" s="467"/>
      <c r="I758" s="467"/>
      <c r="J758" s="467"/>
      <c r="K758" s="467"/>
      <c r="L758" s="467"/>
      <c r="M758" s="467"/>
      <c r="N758" s="467"/>
      <c r="O758" s="467"/>
      <c r="P758" s="467"/>
      <c r="Q758" s="467"/>
      <c r="R758" s="467"/>
      <c r="S758" s="467"/>
      <c r="T758" s="467"/>
      <c r="U758" s="468"/>
      <c r="V758" s="319"/>
      <c r="W758" s="319"/>
      <c r="X758" s="467"/>
      <c r="Y758" s="467"/>
      <c r="Z758" s="467"/>
      <c r="AA758" s="467"/>
      <c r="AB758" s="467"/>
    </row>
    <row r="759" spans="1:28" ht="15.75" customHeight="1">
      <c r="A759" s="467"/>
      <c r="B759" s="467"/>
      <c r="C759" s="467"/>
      <c r="D759" s="467"/>
      <c r="E759" s="467"/>
      <c r="F759" s="467"/>
      <c r="G759" s="467"/>
      <c r="H759" s="467"/>
      <c r="I759" s="467"/>
      <c r="J759" s="467"/>
      <c r="K759" s="467"/>
      <c r="L759" s="467"/>
      <c r="M759" s="467"/>
      <c r="N759" s="467"/>
      <c r="O759" s="467"/>
      <c r="P759" s="467"/>
      <c r="Q759" s="467"/>
      <c r="R759" s="467"/>
      <c r="S759" s="467"/>
      <c r="T759" s="467"/>
      <c r="U759" s="468"/>
      <c r="V759" s="319"/>
      <c r="W759" s="319"/>
      <c r="X759" s="467"/>
      <c r="Y759" s="467"/>
      <c r="Z759" s="467"/>
      <c r="AA759" s="467"/>
      <c r="AB759" s="467"/>
    </row>
    <row r="760" spans="1:28" ht="15.75" customHeight="1">
      <c r="A760" s="467"/>
      <c r="B760" s="467"/>
      <c r="C760" s="467"/>
      <c r="D760" s="467"/>
      <c r="E760" s="467"/>
      <c r="F760" s="467"/>
      <c r="G760" s="467"/>
      <c r="H760" s="467"/>
      <c r="I760" s="467"/>
      <c r="J760" s="467"/>
      <c r="K760" s="467"/>
      <c r="L760" s="467"/>
      <c r="M760" s="467"/>
      <c r="N760" s="467"/>
      <c r="O760" s="467"/>
      <c r="P760" s="467"/>
      <c r="Q760" s="467"/>
      <c r="R760" s="467"/>
      <c r="S760" s="467"/>
      <c r="T760" s="467"/>
      <c r="U760" s="468"/>
      <c r="V760" s="319"/>
      <c r="W760" s="319"/>
      <c r="X760" s="467"/>
      <c r="Y760" s="467"/>
      <c r="Z760" s="467"/>
      <c r="AA760" s="467"/>
      <c r="AB760" s="467"/>
    </row>
    <row r="761" spans="1:28" ht="15.75" customHeight="1">
      <c r="A761" s="467"/>
      <c r="B761" s="467"/>
      <c r="C761" s="467"/>
      <c r="D761" s="467"/>
      <c r="E761" s="467"/>
      <c r="F761" s="467"/>
      <c r="G761" s="467"/>
      <c r="H761" s="467"/>
      <c r="I761" s="467"/>
      <c r="J761" s="467"/>
      <c r="K761" s="467"/>
      <c r="L761" s="467"/>
      <c r="M761" s="467"/>
      <c r="N761" s="467"/>
      <c r="O761" s="467"/>
      <c r="P761" s="467"/>
      <c r="Q761" s="467"/>
      <c r="R761" s="467"/>
      <c r="S761" s="467"/>
      <c r="T761" s="467"/>
      <c r="U761" s="468"/>
      <c r="V761" s="319"/>
      <c r="W761" s="319"/>
      <c r="X761" s="467"/>
      <c r="Y761" s="467"/>
      <c r="Z761" s="467"/>
      <c r="AA761" s="467"/>
      <c r="AB761" s="467"/>
    </row>
    <row r="762" spans="1:28" ht="15.75" customHeight="1">
      <c r="A762" s="467"/>
      <c r="B762" s="467"/>
      <c r="C762" s="467"/>
      <c r="D762" s="467"/>
      <c r="E762" s="467"/>
      <c r="F762" s="467"/>
      <c r="G762" s="467"/>
      <c r="H762" s="467"/>
      <c r="I762" s="467"/>
      <c r="J762" s="467"/>
      <c r="K762" s="467"/>
      <c r="L762" s="467"/>
      <c r="M762" s="467"/>
      <c r="N762" s="467"/>
      <c r="O762" s="467"/>
      <c r="P762" s="467"/>
      <c r="Q762" s="467"/>
      <c r="R762" s="467"/>
      <c r="S762" s="467"/>
      <c r="T762" s="467"/>
      <c r="U762" s="468"/>
      <c r="V762" s="319"/>
      <c r="W762" s="319"/>
      <c r="X762" s="467"/>
      <c r="Y762" s="467"/>
      <c r="Z762" s="467"/>
      <c r="AA762" s="467"/>
      <c r="AB762" s="467"/>
    </row>
    <row r="763" spans="1:28" ht="15.75" customHeight="1">
      <c r="A763" s="467"/>
      <c r="B763" s="467"/>
      <c r="C763" s="467"/>
      <c r="D763" s="467"/>
      <c r="E763" s="467"/>
      <c r="F763" s="467"/>
      <c r="G763" s="467"/>
      <c r="H763" s="467"/>
      <c r="I763" s="467"/>
      <c r="J763" s="467"/>
      <c r="K763" s="467"/>
      <c r="L763" s="467"/>
      <c r="M763" s="467"/>
      <c r="N763" s="467"/>
      <c r="O763" s="467"/>
      <c r="P763" s="467"/>
      <c r="Q763" s="467"/>
      <c r="R763" s="467"/>
      <c r="S763" s="467"/>
      <c r="T763" s="467"/>
      <c r="U763" s="468"/>
      <c r="V763" s="319"/>
      <c r="W763" s="319"/>
      <c r="X763" s="467"/>
      <c r="Y763" s="467"/>
      <c r="Z763" s="467"/>
      <c r="AA763" s="467"/>
      <c r="AB763" s="467"/>
    </row>
    <row r="764" spans="1:28" ht="15.75" customHeight="1">
      <c r="A764" s="467"/>
      <c r="B764" s="467"/>
      <c r="C764" s="467"/>
      <c r="D764" s="467"/>
      <c r="E764" s="467"/>
      <c r="F764" s="467"/>
      <c r="G764" s="467"/>
      <c r="H764" s="467"/>
      <c r="I764" s="467"/>
      <c r="J764" s="467"/>
      <c r="K764" s="467"/>
      <c r="L764" s="467"/>
      <c r="M764" s="467"/>
      <c r="N764" s="467"/>
      <c r="O764" s="467"/>
      <c r="P764" s="467"/>
      <c r="Q764" s="467"/>
      <c r="R764" s="467"/>
      <c r="S764" s="467"/>
      <c r="T764" s="467"/>
      <c r="U764" s="468"/>
      <c r="V764" s="319"/>
      <c r="W764" s="319"/>
      <c r="X764" s="467"/>
      <c r="Y764" s="467"/>
      <c r="Z764" s="467"/>
      <c r="AA764" s="467"/>
      <c r="AB764" s="467"/>
    </row>
    <row r="765" spans="1:28" ht="15.75" customHeight="1">
      <c r="A765" s="467"/>
      <c r="B765" s="467"/>
      <c r="C765" s="467"/>
      <c r="D765" s="467"/>
      <c r="E765" s="467"/>
      <c r="F765" s="467"/>
      <c r="G765" s="467"/>
      <c r="H765" s="467"/>
      <c r="I765" s="467"/>
      <c r="J765" s="467"/>
      <c r="K765" s="467"/>
      <c r="L765" s="467"/>
      <c r="M765" s="467"/>
      <c r="N765" s="467"/>
      <c r="O765" s="467"/>
      <c r="P765" s="467"/>
      <c r="Q765" s="467"/>
      <c r="R765" s="467"/>
      <c r="S765" s="467"/>
      <c r="T765" s="467"/>
      <c r="U765" s="468"/>
      <c r="V765" s="319"/>
      <c r="W765" s="319"/>
      <c r="X765" s="467"/>
      <c r="Y765" s="467"/>
      <c r="Z765" s="467"/>
      <c r="AA765" s="467"/>
      <c r="AB765" s="467"/>
    </row>
    <row r="766" spans="1:28" ht="15.75" customHeight="1">
      <c r="A766" s="467"/>
      <c r="B766" s="467"/>
      <c r="C766" s="467"/>
      <c r="D766" s="467"/>
      <c r="E766" s="467"/>
      <c r="F766" s="467"/>
      <c r="G766" s="467"/>
      <c r="H766" s="467"/>
      <c r="I766" s="467"/>
      <c r="J766" s="467"/>
      <c r="K766" s="467"/>
      <c r="L766" s="467"/>
      <c r="M766" s="467"/>
      <c r="N766" s="467"/>
      <c r="O766" s="467"/>
      <c r="P766" s="467"/>
      <c r="Q766" s="467"/>
      <c r="R766" s="467"/>
      <c r="S766" s="467"/>
      <c r="T766" s="467"/>
      <c r="U766" s="468"/>
      <c r="V766" s="319"/>
      <c r="W766" s="319"/>
      <c r="X766" s="467"/>
      <c r="Y766" s="467"/>
      <c r="Z766" s="467"/>
      <c r="AA766" s="467"/>
      <c r="AB766" s="467"/>
    </row>
    <row r="767" spans="1:28" ht="15.75" customHeight="1">
      <c r="A767" s="467"/>
      <c r="B767" s="467"/>
      <c r="C767" s="467"/>
      <c r="D767" s="467"/>
      <c r="E767" s="467"/>
      <c r="F767" s="467"/>
      <c r="G767" s="467"/>
      <c r="H767" s="467"/>
      <c r="I767" s="467"/>
      <c r="J767" s="467"/>
      <c r="K767" s="467"/>
      <c r="L767" s="467"/>
      <c r="M767" s="467"/>
      <c r="N767" s="467"/>
      <c r="O767" s="467"/>
      <c r="P767" s="467"/>
      <c r="Q767" s="467"/>
      <c r="R767" s="467"/>
      <c r="S767" s="467"/>
      <c r="T767" s="467"/>
      <c r="U767" s="468"/>
      <c r="V767" s="319"/>
      <c r="W767" s="319"/>
      <c r="X767" s="467"/>
      <c r="Y767" s="467"/>
      <c r="Z767" s="467"/>
      <c r="AA767" s="467"/>
      <c r="AB767" s="467"/>
    </row>
    <row r="768" spans="1:28" ht="15.75" customHeight="1">
      <c r="A768" s="467"/>
      <c r="B768" s="467"/>
      <c r="C768" s="467"/>
      <c r="D768" s="467"/>
      <c r="E768" s="467"/>
      <c r="F768" s="467"/>
      <c r="G768" s="467"/>
      <c r="H768" s="467"/>
      <c r="I768" s="467"/>
      <c r="J768" s="467"/>
      <c r="K768" s="467"/>
      <c r="L768" s="467"/>
      <c r="M768" s="467"/>
      <c r="N768" s="467"/>
      <c r="O768" s="467"/>
      <c r="P768" s="467"/>
      <c r="Q768" s="467"/>
      <c r="R768" s="467"/>
      <c r="S768" s="467"/>
      <c r="T768" s="467"/>
      <c r="U768" s="468"/>
      <c r="V768" s="319"/>
      <c r="W768" s="319"/>
      <c r="X768" s="467"/>
      <c r="Y768" s="467"/>
      <c r="Z768" s="467"/>
      <c r="AA768" s="467"/>
      <c r="AB768" s="467"/>
    </row>
    <row r="769" spans="1:28" ht="15.75" customHeight="1">
      <c r="A769" s="467"/>
      <c r="B769" s="467"/>
      <c r="C769" s="467"/>
      <c r="D769" s="467"/>
      <c r="E769" s="467"/>
      <c r="F769" s="467"/>
      <c r="G769" s="467"/>
      <c r="H769" s="467"/>
      <c r="I769" s="467"/>
      <c r="J769" s="467"/>
      <c r="K769" s="467"/>
      <c r="L769" s="467"/>
      <c r="M769" s="467"/>
      <c r="N769" s="467"/>
      <c r="O769" s="467"/>
      <c r="P769" s="467"/>
      <c r="Q769" s="467"/>
      <c r="R769" s="467"/>
      <c r="S769" s="467"/>
      <c r="T769" s="467"/>
      <c r="U769" s="468"/>
      <c r="V769" s="319"/>
      <c r="W769" s="319"/>
      <c r="X769" s="467"/>
      <c r="Y769" s="467"/>
      <c r="Z769" s="467"/>
      <c r="AA769" s="467"/>
      <c r="AB769" s="467"/>
    </row>
    <row r="770" spans="1:28" ht="15.75" customHeight="1">
      <c r="A770" s="467"/>
      <c r="B770" s="467"/>
      <c r="C770" s="467"/>
      <c r="D770" s="467"/>
      <c r="E770" s="467"/>
      <c r="F770" s="467"/>
      <c r="G770" s="467"/>
      <c r="H770" s="467"/>
      <c r="I770" s="467"/>
      <c r="J770" s="467"/>
      <c r="K770" s="467"/>
      <c r="L770" s="467"/>
      <c r="M770" s="467"/>
      <c r="N770" s="467"/>
      <c r="O770" s="467"/>
      <c r="P770" s="467"/>
      <c r="Q770" s="467"/>
      <c r="R770" s="467"/>
      <c r="S770" s="467"/>
      <c r="T770" s="467"/>
      <c r="U770" s="468"/>
      <c r="V770" s="319"/>
      <c r="W770" s="319"/>
      <c r="X770" s="467"/>
      <c r="Y770" s="467"/>
      <c r="Z770" s="467"/>
      <c r="AA770" s="467"/>
      <c r="AB770" s="467"/>
    </row>
    <row r="771" spans="1:28" ht="15.75" customHeight="1">
      <c r="A771" s="467"/>
      <c r="B771" s="467"/>
      <c r="C771" s="467"/>
      <c r="D771" s="467"/>
      <c r="E771" s="467"/>
      <c r="F771" s="467"/>
      <c r="G771" s="467"/>
      <c r="H771" s="467"/>
      <c r="I771" s="467"/>
      <c r="J771" s="467"/>
      <c r="K771" s="467"/>
      <c r="L771" s="467"/>
      <c r="M771" s="467"/>
      <c r="N771" s="467"/>
      <c r="O771" s="467"/>
      <c r="P771" s="467"/>
      <c r="Q771" s="467"/>
      <c r="R771" s="467"/>
      <c r="S771" s="467"/>
      <c r="T771" s="467"/>
      <c r="U771" s="468"/>
      <c r="V771" s="319"/>
      <c r="W771" s="319"/>
      <c r="X771" s="467"/>
      <c r="Y771" s="467"/>
      <c r="Z771" s="467"/>
      <c r="AA771" s="467"/>
      <c r="AB771" s="467"/>
    </row>
    <row r="772" spans="1:28" ht="15.75" customHeight="1">
      <c r="A772" s="467"/>
      <c r="B772" s="467"/>
      <c r="C772" s="467"/>
      <c r="D772" s="467"/>
      <c r="E772" s="467"/>
      <c r="F772" s="467"/>
      <c r="G772" s="467"/>
      <c r="H772" s="467"/>
      <c r="I772" s="467"/>
      <c r="J772" s="467"/>
      <c r="K772" s="467"/>
      <c r="L772" s="467"/>
      <c r="M772" s="467"/>
      <c r="N772" s="467"/>
      <c r="O772" s="467"/>
      <c r="P772" s="467"/>
      <c r="Q772" s="467"/>
      <c r="R772" s="467"/>
      <c r="S772" s="467"/>
      <c r="T772" s="467"/>
      <c r="U772" s="468"/>
      <c r="V772" s="319"/>
      <c r="W772" s="319"/>
      <c r="X772" s="467"/>
      <c r="Y772" s="467"/>
      <c r="Z772" s="467"/>
      <c r="AA772" s="467"/>
      <c r="AB772" s="467"/>
    </row>
    <row r="773" spans="1:28" ht="15.75" customHeight="1">
      <c r="A773" s="467"/>
      <c r="B773" s="467"/>
      <c r="C773" s="467"/>
      <c r="D773" s="467"/>
      <c r="E773" s="467"/>
      <c r="F773" s="467"/>
      <c r="G773" s="467"/>
      <c r="H773" s="467"/>
      <c r="I773" s="467"/>
      <c r="J773" s="467"/>
      <c r="K773" s="467"/>
      <c r="L773" s="467"/>
      <c r="M773" s="467"/>
      <c r="N773" s="467"/>
      <c r="O773" s="467"/>
      <c r="P773" s="467"/>
      <c r="Q773" s="467"/>
      <c r="R773" s="467"/>
      <c r="S773" s="467"/>
      <c r="T773" s="467"/>
      <c r="U773" s="468"/>
      <c r="V773" s="319"/>
      <c r="W773" s="319"/>
      <c r="X773" s="467"/>
      <c r="Y773" s="467"/>
      <c r="Z773" s="467"/>
      <c r="AA773" s="467"/>
      <c r="AB773" s="467"/>
    </row>
    <row r="774" spans="1:28" ht="15.75" customHeight="1">
      <c r="A774" s="467"/>
      <c r="B774" s="467"/>
      <c r="C774" s="467"/>
      <c r="D774" s="467"/>
      <c r="E774" s="467"/>
      <c r="F774" s="467"/>
      <c r="G774" s="467"/>
      <c r="H774" s="467"/>
      <c r="I774" s="467"/>
      <c r="J774" s="467"/>
      <c r="K774" s="467"/>
      <c r="L774" s="467"/>
      <c r="M774" s="467"/>
      <c r="N774" s="467"/>
      <c r="O774" s="467"/>
      <c r="P774" s="467"/>
      <c r="Q774" s="467"/>
      <c r="R774" s="467"/>
      <c r="S774" s="467"/>
      <c r="T774" s="467"/>
      <c r="U774" s="468"/>
      <c r="V774" s="319"/>
      <c r="W774" s="319"/>
      <c r="X774" s="467"/>
      <c r="Y774" s="467"/>
      <c r="Z774" s="467"/>
      <c r="AA774" s="467"/>
      <c r="AB774" s="467"/>
    </row>
    <row r="775" spans="1:28" ht="15.75" customHeight="1">
      <c r="A775" s="467"/>
      <c r="B775" s="467"/>
      <c r="C775" s="467"/>
      <c r="D775" s="467"/>
      <c r="E775" s="467"/>
      <c r="F775" s="467"/>
      <c r="G775" s="467"/>
      <c r="H775" s="467"/>
      <c r="I775" s="467"/>
      <c r="J775" s="467"/>
      <c r="K775" s="467"/>
      <c r="L775" s="467"/>
      <c r="M775" s="467"/>
      <c r="N775" s="467"/>
      <c r="O775" s="467"/>
      <c r="P775" s="467"/>
      <c r="Q775" s="467"/>
      <c r="R775" s="467"/>
      <c r="S775" s="467"/>
      <c r="T775" s="467"/>
      <c r="U775" s="468"/>
      <c r="V775" s="319"/>
      <c r="W775" s="319"/>
      <c r="X775" s="467"/>
      <c r="Y775" s="467"/>
      <c r="Z775" s="467"/>
      <c r="AA775" s="467"/>
      <c r="AB775" s="467"/>
    </row>
    <row r="776" spans="1:28" ht="15.75" customHeight="1">
      <c r="A776" s="467"/>
      <c r="B776" s="467"/>
      <c r="C776" s="467"/>
      <c r="D776" s="467"/>
      <c r="E776" s="467"/>
      <c r="F776" s="467"/>
      <c r="G776" s="467"/>
      <c r="H776" s="467"/>
      <c r="I776" s="467"/>
      <c r="J776" s="467"/>
      <c r="K776" s="467"/>
      <c r="L776" s="467"/>
      <c r="M776" s="467"/>
      <c r="N776" s="467"/>
      <c r="O776" s="467"/>
      <c r="P776" s="467"/>
      <c r="Q776" s="467"/>
      <c r="R776" s="467"/>
      <c r="S776" s="467"/>
      <c r="T776" s="467"/>
      <c r="U776" s="468"/>
      <c r="V776" s="319"/>
      <c r="W776" s="319"/>
      <c r="X776" s="467"/>
      <c r="Y776" s="467"/>
      <c r="Z776" s="467"/>
      <c r="AA776" s="467"/>
      <c r="AB776" s="467"/>
    </row>
    <row r="777" spans="1:28" ht="15.75" customHeight="1">
      <c r="A777" s="467"/>
      <c r="B777" s="467"/>
      <c r="C777" s="467"/>
      <c r="D777" s="467"/>
      <c r="E777" s="467"/>
      <c r="F777" s="467"/>
      <c r="G777" s="467"/>
      <c r="H777" s="467"/>
      <c r="I777" s="467"/>
      <c r="J777" s="467"/>
      <c r="K777" s="467"/>
      <c r="L777" s="467"/>
      <c r="M777" s="467"/>
      <c r="N777" s="467"/>
      <c r="O777" s="467"/>
      <c r="P777" s="467"/>
      <c r="Q777" s="467"/>
      <c r="R777" s="467"/>
      <c r="S777" s="467"/>
      <c r="T777" s="467"/>
      <c r="U777" s="468"/>
      <c r="V777" s="319"/>
      <c r="W777" s="319"/>
      <c r="X777" s="467"/>
      <c r="Y777" s="467"/>
      <c r="Z777" s="467"/>
      <c r="AA777" s="467"/>
      <c r="AB777" s="467"/>
    </row>
    <row r="778" spans="1:28" ht="15.75" customHeight="1">
      <c r="A778" s="467"/>
      <c r="B778" s="467"/>
      <c r="C778" s="467"/>
      <c r="D778" s="467"/>
      <c r="E778" s="467"/>
      <c r="F778" s="467"/>
      <c r="G778" s="467"/>
      <c r="H778" s="467"/>
      <c r="I778" s="467"/>
      <c r="J778" s="467"/>
      <c r="K778" s="467"/>
      <c r="L778" s="467"/>
      <c r="M778" s="467"/>
      <c r="N778" s="467"/>
      <c r="O778" s="467"/>
      <c r="P778" s="467"/>
      <c r="Q778" s="467"/>
      <c r="R778" s="467"/>
      <c r="S778" s="467"/>
      <c r="T778" s="467"/>
      <c r="U778" s="468"/>
      <c r="V778" s="319"/>
      <c r="W778" s="319"/>
      <c r="X778" s="467"/>
      <c r="Y778" s="467"/>
      <c r="Z778" s="467"/>
      <c r="AA778" s="467"/>
      <c r="AB778" s="467"/>
    </row>
    <row r="779" spans="1:28" ht="15.75" customHeight="1">
      <c r="A779" s="467"/>
      <c r="B779" s="467"/>
      <c r="C779" s="467"/>
      <c r="D779" s="467"/>
      <c r="E779" s="467"/>
      <c r="F779" s="467"/>
      <c r="G779" s="467"/>
      <c r="H779" s="467"/>
      <c r="I779" s="467"/>
      <c r="J779" s="467"/>
      <c r="K779" s="467"/>
      <c r="L779" s="467"/>
      <c r="M779" s="467"/>
      <c r="N779" s="467"/>
      <c r="O779" s="467"/>
      <c r="P779" s="467"/>
      <c r="Q779" s="467"/>
      <c r="R779" s="467"/>
      <c r="S779" s="467"/>
      <c r="T779" s="467"/>
      <c r="U779" s="468"/>
      <c r="V779" s="319"/>
      <c r="W779" s="319"/>
      <c r="X779" s="467"/>
      <c r="Y779" s="467"/>
      <c r="Z779" s="467"/>
      <c r="AA779" s="467"/>
      <c r="AB779" s="467"/>
    </row>
    <row r="780" spans="1:28" ht="15.75" customHeight="1">
      <c r="A780" s="467"/>
      <c r="B780" s="467"/>
      <c r="C780" s="467"/>
      <c r="D780" s="467"/>
      <c r="E780" s="467"/>
      <c r="F780" s="467"/>
      <c r="G780" s="467"/>
      <c r="H780" s="467"/>
      <c r="I780" s="467"/>
      <c r="J780" s="467"/>
      <c r="K780" s="467"/>
      <c r="L780" s="467"/>
      <c r="M780" s="467"/>
      <c r="N780" s="467"/>
      <c r="O780" s="467"/>
      <c r="P780" s="467"/>
      <c r="Q780" s="467"/>
      <c r="R780" s="467"/>
      <c r="S780" s="467"/>
      <c r="T780" s="467"/>
      <c r="U780" s="468"/>
      <c r="V780" s="319"/>
      <c r="W780" s="319"/>
      <c r="X780" s="467"/>
      <c r="Y780" s="467"/>
      <c r="Z780" s="467"/>
      <c r="AA780" s="467"/>
      <c r="AB780" s="467"/>
    </row>
    <row r="781" spans="1:28" ht="15.75" customHeight="1">
      <c r="A781" s="467"/>
      <c r="B781" s="467"/>
      <c r="C781" s="467"/>
      <c r="D781" s="467"/>
      <c r="E781" s="467"/>
      <c r="F781" s="467"/>
      <c r="G781" s="467"/>
      <c r="H781" s="467"/>
      <c r="I781" s="467"/>
      <c r="J781" s="467"/>
      <c r="K781" s="467"/>
      <c r="L781" s="467"/>
      <c r="M781" s="467"/>
      <c r="N781" s="467"/>
      <c r="O781" s="467"/>
      <c r="P781" s="467"/>
      <c r="Q781" s="467"/>
      <c r="R781" s="467"/>
      <c r="S781" s="467"/>
      <c r="T781" s="467"/>
      <c r="U781" s="468"/>
      <c r="V781" s="319"/>
      <c r="W781" s="319"/>
      <c r="X781" s="467"/>
      <c r="Y781" s="467"/>
      <c r="Z781" s="467"/>
      <c r="AA781" s="467"/>
      <c r="AB781" s="467"/>
    </row>
    <row r="782" spans="1:28" ht="15.75" customHeight="1">
      <c r="A782" s="467"/>
      <c r="B782" s="467"/>
      <c r="C782" s="467"/>
      <c r="D782" s="467"/>
      <c r="E782" s="467"/>
      <c r="F782" s="467"/>
      <c r="G782" s="467"/>
      <c r="H782" s="467"/>
      <c r="I782" s="467"/>
      <c r="J782" s="467"/>
      <c r="K782" s="467"/>
      <c r="L782" s="467"/>
      <c r="M782" s="467"/>
      <c r="N782" s="467"/>
      <c r="O782" s="467"/>
      <c r="P782" s="467"/>
      <c r="Q782" s="467"/>
      <c r="R782" s="467"/>
      <c r="S782" s="467"/>
      <c r="T782" s="467"/>
      <c r="U782" s="468"/>
      <c r="V782" s="319"/>
      <c r="W782" s="319"/>
      <c r="X782" s="467"/>
      <c r="Y782" s="467"/>
      <c r="Z782" s="467"/>
      <c r="AA782" s="467"/>
      <c r="AB782" s="467"/>
    </row>
    <row r="783" spans="1:28" ht="15.75" customHeight="1">
      <c r="A783" s="467"/>
      <c r="B783" s="467"/>
      <c r="C783" s="467"/>
      <c r="D783" s="467"/>
      <c r="E783" s="467"/>
      <c r="F783" s="467"/>
      <c r="G783" s="467"/>
      <c r="H783" s="467"/>
      <c r="I783" s="467"/>
      <c r="J783" s="467"/>
      <c r="K783" s="467"/>
      <c r="L783" s="467"/>
      <c r="M783" s="467"/>
      <c r="N783" s="467"/>
      <c r="O783" s="467"/>
      <c r="P783" s="467"/>
      <c r="Q783" s="467"/>
      <c r="R783" s="467"/>
      <c r="S783" s="467"/>
      <c r="T783" s="467"/>
      <c r="U783" s="468"/>
      <c r="V783" s="319"/>
      <c r="W783" s="319"/>
      <c r="X783" s="467"/>
      <c r="Y783" s="467"/>
      <c r="Z783" s="467"/>
      <c r="AA783" s="467"/>
      <c r="AB783" s="467"/>
    </row>
    <row r="784" spans="1:28" ht="15.75" customHeight="1">
      <c r="A784" s="467"/>
      <c r="B784" s="467"/>
      <c r="C784" s="467"/>
      <c r="D784" s="467"/>
      <c r="E784" s="467"/>
      <c r="F784" s="467"/>
      <c r="G784" s="467"/>
      <c r="H784" s="467"/>
      <c r="I784" s="467"/>
      <c r="J784" s="467"/>
      <c r="K784" s="467"/>
      <c r="L784" s="467"/>
      <c r="M784" s="467"/>
      <c r="N784" s="467"/>
      <c r="O784" s="467"/>
      <c r="P784" s="467"/>
      <c r="Q784" s="467"/>
      <c r="R784" s="467"/>
      <c r="S784" s="467"/>
      <c r="T784" s="467"/>
      <c r="U784" s="468"/>
      <c r="V784" s="319"/>
      <c r="W784" s="319"/>
      <c r="X784" s="467"/>
      <c r="Y784" s="467"/>
      <c r="Z784" s="467"/>
      <c r="AA784" s="467"/>
      <c r="AB784" s="467"/>
    </row>
    <row r="785" spans="1:28" ht="15.75" customHeight="1">
      <c r="A785" s="467"/>
      <c r="B785" s="467"/>
      <c r="C785" s="467"/>
      <c r="D785" s="467"/>
      <c r="E785" s="467"/>
      <c r="F785" s="467"/>
      <c r="G785" s="467"/>
      <c r="H785" s="467"/>
      <c r="I785" s="467"/>
      <c r="J785" s="467"/>
      <c r="K785" s="467"/>
      <c r="L785" s="467"/>
      <c r="M785" s="467"/>
      <c r="N785" s="467"/>
      <c r="O785" s="467"/>
      <c r="P785" s="467"/>
      <c r="Q785" s="467"/>
      <c r="R785" s="467"/>
      <c r="S785" s="467"/>
      <c r="T785" s="467"/>
      <c r="U785" s="468"/>
      <c r="V785" s="319"/>
      <c r="W785" s="319"/>
      <c r="X785" s="467"/>
      <c r="Y785" s="467"/>
      <c r="Z785" s="467"/>
      <c r="AA785" s="467"/>
      <c r="AB785" s="467"/>
    </row>
    <row r="786" spans="1:28" ht="15.75" customHeight="1">
      <c r="A786" s="467"/>
      <c r="B786" s="467"/>
      <c r="C786" s="467"/>
      <c r="D786" s="467"/>
      <c r="E786" s="467"/>
      <c r="F786" s="467"/>
      <c r="G786" s="467"/>
      <c r="H786" s="467"/>
      <c r="I786" s="467"/>
      <c r="J786" s="467"/>
      <c r="K786" s="467"/>
      <c r="L786" s="467"/>
      <c r="M786" s="467"/>
      <c r="N786" s="467"/>
      <c r="O786" s="467"/>
      <c r="P786" s="467"/>
      <c r="Q786" s="467"/>
      <c r="R786" s="467"/>
      <c r="S786" s="467"/>
      <c r="T786" s="467"/>
      <c r="U786" s="468"/>
      <c r="V786" s="319"/>
      <c r="W786" s="319"/>
      <c r="X786" s="467"/>
      <c r="Y786" s="467"/>
      <c r="Z786" s="467"/>
      <c r="AA786" s="467"/>
      <c r="AB786" s="467"/>
    </row>
    <row r="787" spans="1:28" ht="15.75" customHeight="1">
      <c r="A787" s="467"/>
      <c r="B787" s="467"/>
      <c r="C787" s="467"/>
      <c r="D787" s="467"/>
      <c r="E787" s="467"/>
      <c r="F787" s="467"/>
      <c r="G787" s="467"/>
      <c r="H787" s="467"/>
      <c r="I787" s="467"/>
      <c r="J787" s="467"/>
      <c r="K787" s="467"/>
      <c r="L787" s="467"/>
      <c r="M787" s="467"/>
      <c r="N787" s="467"/>
      <c r="O787" s="467"/>
      <c r="P787" s="467"/>
      <c r="Q787" s="467"/>
      <c r="R787" s="467"/>
      <c r="S787" s="467"/>
      <c r="T787" s="467"/>
      <c r="U787" s="468"/>
      <c r="V787" s="319"/>
      <c r="W787" s="319"/>
      <c r="X787" s="467"/>
      <c r="Y787" s="467"/>
      <c r="Z787" s="467"/>
      <c r="AA787" s="467"/>
      <c r="AB787" s="467"/>
    </row>
    <row r="788" spans="1:28" ht="15.75" customHeight="1">
      <c r="A788" s="467"/>
      <c r="B788" s="467"/>
      <c r="C788" s="467"/>
      <c r="D788" s="467"/>
      <c r="E788" s="467"/>
      <c r="F788" s="467"/>
      <c r="G788" s="467"/>
      <c r="H788" s="467"/>
      <c r="I788" s="467"/>
      <c r="J788" s="467"/>
      <c r="K788" s="467"/>
      <c r="L788" s="467"/>
      <c r="M788" s="467"/>
      <c r="N788" s="467"/>
      <c r="O788" s="467"/>
      <c r="P788" s="467"/>
      <c r="Q788" s="467"/>
      <c r="R788" s="467"/>
      <c r="S788" s="467"/>
      <c r="T788" s="467"/>
      <c r="U788" s="468"/>
      <c r="V788" s="319"/>
      <c r="W788" s="319"/>
      <c r="X788" s="467"/>
      <c r="Y788" s="467"/>
      <c r="Z788" s="467"/>
      <c r="AA788" s="467"/>
      <c r="AB788" s="467"/>
    </row>
    <row r="789" spans="1:28" ht="15.75" customHeight="1">
      <c r="A789" s="467"/>
      <c r="B789" s="467"/>
      <c r="C789" s="467"/>
      <c r="D789" s="467"/>
      <c r="E789" s="467"/>
      <c r="F789" s="467"/>
      <c r="G789" s="467"/>
      <c r="H789" s="467"/>
      <c r="I789" s="467"/>
      <c r="J789" s="467"/>
      <c r="K789" s="467"/>
      <c r="L789" s="467"/>
      <c r="M789" s="467"/>
      <c r="N789" s="467"/>
      <c r="O789" s="467"/>
      <c r="P789" s="467"/>
      <c r="Q789" s="467"/>
      <c r="R789" s="467"/>
      <c r="S789" s="467"/>
      <c r="T789" s="467"/>
      <c r="U789" s="468"/>
      <c r="V789" s="319"/>
      <c r="W789" s="319"/>
      <c r="X789" s="467"/>
      <c r="Y789" s="467"/>
      <c r="Z789" s="467"/>
      <c r="AA789" s="467"/>
      <c r="AB789" s="467"/>
    </row>
    <row r="790" spans="1:28" ht="15.75" customHeight="1">
      <c r="A790" s="467"/>
      <c r="B790" s="467"/>
      <c r="C790" s="467"/>
      <c r="D790" s="467"/>
      <c r="E790" s="467"/>
      <c r="F790" s="467"/>
      <c r="G790" s="467"/>
      <c r="H790" s="467"/>
      <c r="I790" s="467"/>
      <c r="J790" s="467"/>
      <c r="K790" s="467"/>
      <c r="L790" s="467"/>
      <c r="M790" s="467"/>
      <c r="N790" s="467"/>
      <c r="O790" s="467"/>
      <c r="P790" s="467"/>
      <c r="Q790" s="467"/>
      <c r="R790" s="467"/>
      <c r="S790" s="467"/>
      <c r="T790" s="467"/>
      <c r="U790" s="468"/>
      <c r="V790" s="319"/>
      <c r="W790" s="319"/>
      <c r="X790" s="467"/>
      <c r="Y790" s="467"/>
      <c r="Z790" s="467"/>
      <c r="AA790" s="467"/>
      <c r="AB790" s="467"/>
    </row>
    <row r="791" spans="1:28" ht="15.75" customHeight="1">
      <c r="A791" s="467"/>
      <c r="B791" s="467"/>
      <c r="C791" s="467"/>
      <c r="D791" s="467"/>
      <c r="E791" s="467"/>
      <c r="F791" s="467"/>
      <c r="G791" s="467"/>
      <c r="H791" s="467"/>
      <c r="I791" s="467"/>
      <c r="J791" s="467"/>
      <c r="K791" s="467"/>
      <c r="L791" s="467"/>
      <c r="M791" s="467"/>
      <c r="N791" s="467"/>
      <c r="O791" s="467"/>
      <c r="P791" s="467"/>
      <c r="Q791" s="467"/>
      <c r="R791" s="467"/>
      <c r="S791" s="467"/>
      <c r="T791" s="467"/>
      <c r="U791" s="468"/>
      <c r="V791" s="319"/>
      <c r="W791" s="319"/>
      <c r="X791" s="467"/>
      <c r="Y791" s="467"/>
      <c r="Z791" s="467"/>
      <c r="AA791" s="467"/>
      <c r="AB791" s="467"/>
    </row>
    <row r="792" spans="1:28" ht="15.75" customHeight="1">
      <c r="A792" s="467"/>
      <c r="B792" s="467"/>
      <c r="C792" s="467"/>
      <c r="D792" s="467"/>
      <c r="E792" s="467"/>
      <c r="F792" s="467"/>
      <c r="G792" s="467"/>
      <c r="H792" s="467"/>
      <c r="I792" s="467"/>
      <c r="J792" s="467"/>
      <c r="K792" s="467"/>
      <c r="L792" s="467"/>
      <c r="M792" s="467"/>
      <c r="N792" s="467"/>
      <c r="O792" s="467"/>
      <c r="P792" s="467"/>
      <c r="Q792" s="467"/>
      <c r="R792" s="467"/>
      <c r="S792" s="467"/>
      <c r="T792" s="467"/>
      <c r="U792" s="468"/>
      <c r="V792" s="319"/>
      <c r="W792" s="319"/>
      <c r="X792" s="467"/>
      <c r="Y792" s="467"/>
      <c r="Z792" s="467"/>
      <c r="AA792" s="467"/>
      <c r="AB792" s="467"/>
    </row>
    <row r="793" spans="1:28" ht="15.75" customHeight="1">
      <c r="A793" s="467"/>
      <c r="B793" s="467"/>
      <c r="C793" s="467"/>
      <c r="D793" s="467"/>
      <c r="E793" s="467"/>
      <c r="F793" s="467"/>
      <c r="G793" s="467"/>
      <c r="H793" s="467"/>
      <c r="I793" s="467"/>
      <c r="J793" s="467"/>
      <c r="K793" s="467"/>
      <c r="L793" s="467"/>
      <c r="M793" s="467"/>
      <c r="N793" s="467"/>
      <c r="O793" s="467"/>
      <c r="P793" s="467"/>
      <c r="Q793" s="467"/>
      <c r="R793" s="467"/>
      <c r="S793" s="467"/>
      <c r="T793" s="467"/>
      <c r="U793" s="468"/>
      <c r="V793" s="319"/>
      <c r="W793" s="319"/>
      <c r="X793" s="467"/>
      <c r="Y793" s="467"/>
      <c r="Z793" s="467"/>
      <c r="AA793" s="467"/>
      <c r="AB793" s="467"/>
    </row>
    <row r="794" spans="1:28" ht="15.75" customHeight="1">
      <c r="A794" s="467"/>
      <c r="B794" s="467"/>
      <c r="C794" s="467"/>
      <c r="D794" s="467"/>
      <c r="E794" s="467"/>
      <c r="F794" s="467"/>
      <c r="G794" s="467"/>
      <c r="H794" s="467"/>
      <c r="I794" s="467"/>
      <c r="J794" s="467"/>
      <c r="K794" s="467"/>
      <c r="L794" s="467"/>
      <c r="M794" s="467"/>
      <c r="N794" s="467"/>
      <c r="O794" s="467"/>
      <c r="P794" s="467"/>
      <c r="Q794" s="467"/>
      <c r="R794" s="467"/>
      <c r="S794" s="467"/>
      <c r="T794" s="467"/>
      <c r="U794" s="468"/>
      <c r="V794" s="319"/>
      <c r="W794" s="319"/>
      <c r="X794" s="467"/>
      <c r="Y794" s="467"/>
      <c r="Z794" s="467"/>
      <c r="AA794" s="467"/>
      <c r="AB794" s="467"/>
    </row>
    <row r="795" spans="1:28" ht="15.75" customHeight="1">
      <c r="A795" s="467"/>
      <c r="B795" s="467"/>
      <c r="C795" s="467"/>
      <c r="D795" s="467"/>
      <c r="E795" s="467"/>
      <c r="F795" s="467"/>
      <c r="G795" s="467"/>
      <c r="H795" s="467"/>
      <c r="I795" s="467"/>
      <c r="J795" s="467"/>
      <c r="K795" s="467"/>
      <c r="L795" s="467"/>
      <c r="M795" s="467"/>
      <c r="N795" s="467"/>
      <c r="O795" s="467"/>
      <c r="P795" s="467"/>
      <c r="Q795" s="467"/>
      <c r="R795" s="467"/>
      <c r="S795" s="467"/>
      <c r="T795" s="467"/>
      <c r="U795" s="468"/>
      <c r="V795" s="319"/>
      <c r="W795" s="319"/>
      <c r="X795" s="467"/>
      <c r="Y795" s="467"/>
      <c r="Z795" s="467"/>
      <c r="AA795" s="467"/>
      <c r="AB795" s="467"/>
    </row>
    <row r="796" spans="1:28" ht="15.75" customHeight="1">
      <c r="A796" s="467"/>
      <c r="B796" s="467"/>
      <c r="C796" s="467"/>
      <c r="D796" s="467"/>
      <c r="E796" s="467"/>
      <c r="F796" s="467"/>
      <c r="G796" s="467"/>
      <c r="H796" s="467"/>
      <c r="I796" s="467"/>
      <c r="J796" s="467"/>
      <c r="K796" s="467"/>
      <c r="L796" s="467"/>
      <c r="M796" s="467"/>
      <c r="N796" s="467"/>
      <c r="O796" s="467"/>
      <c r="P796" s="467"/>
      <c r="Q796" s="467"/>
      <c r="R796" s="467"/>
      <c r="S796" s="467"/>
      <c r="T796" s="467"/>
      <c r="U796" s="468"/>
      <c r="V796" s="319"/>
      <c r="W796" s="319"/>
      <c r="X796" s="467"/>
      <c r="Y796" s="467"/>
      <c r="Z796" s="467"/>
      <c r="AA796" s="467"/>
      <c r="AB796" s="467"/>
    </row>
    <row r="797" spans="1:28" ht="15.75" customHeight="1">
      <c r="A797" s="467"/>
      <c r="B797" s="467"/>
      <c r="C797" s="467"/>
      <c r="D797" s="467"/>
      <c r="E797" s="467"/>
      <c r="F797" s="467"/>
      <c r="G797" s="467"/>
      <c r="H797" s="467"/>
      <c r="I797" s="467"/>
      <c r="J797" s="467"/>
      <c r="K797" s="467"/>
      <c r="L797" s="467"/>
      <c r="M797" s="467"/>
      <c r="N797" s="467"/>
      <c r="O797" s="467"/>
      <c r="P797" s="467"/>
      <c r="Q797" s="467"/>
      <c r="R797" s="467"/>
      <c r="S797" s="467"/>
      <c r="T797" s="467"/>
      <c r="U797" s="468"/>
      <c r="V797" s="319"/>
      <c r="W797" s="319"/>
      <c r="X797" s="467"/>
      <c r="Y797" s="467"/>
      <c r="Z797" s="467"/>
      <c r="AA797" s="467"/>
      <c r="AB797" s="467"/>
    </row>
    <row r="798" spans="1:28" ht="15.75" customHeight="1">
      <c r="A798" s="467"/>
      <c r="B798" s="467"/>
      <c r="C798" s="467"/>
      <c r="D798" s="467"/>
      <c r="E798" s="467"/>
      <c r="F798" s="467"/>
      <c r="G798" s="467"/>
      <c r="H798" s="467"/>
      <c r="I798" s="467"/>
      <c r="J798" s="467"/>
      <c r="K798" s="467"/>
      <c r="L798" s="467"/>
      <c r="M798" s="467"/>
      <c r="N798" s="467"/>
      <c r="O798" s="467"/>
      <c r="P798" s="467"/>
      <c r="Q798" s="467"/>
      <c r="R798" s="467"/>
      <c r="S798" s="467"/>
      <c r="T798" s="467"/>
      <c r="U798" s="468"/>
      <c r="V798" s="319"/>
      <c r="W798" s="319"/>
      <c r="X798" s="467"/>
      <c r="Y798" s="467"/>
      <c r="Z798" s="467"/>
      <c r="AA798" s="467"/>
      <c r="AB798" s="467"/>
    </row>
    <row r="799" spans="1:28" ht="15.75" customHeight="1">
      <c r="A799" s="467"/>
      <c r="B799" s="467"/>
      <c r="C799" s="467"/>
      <c r="D799" s="467"/>
      <c r="E799" s="467"/>
      <c r="F799" s="467"/>
      <c r="G799" s="467"/>
      <c r="H799" s="467"/>
      <c r="I799" s="467"/>
      <c r="J799" s="467"/>
      <c r="K799" s="467"/>
      <c r="L799" s="467"/>
      <c r="M799" s="467"/>
      <c r="N799" s="467"/>
      <c r="O799" s="467"/>
      <c r="P799" s="467"/>
      <c r="Q799" s="467"/>
      <c r="R799" s="467"/>
      <c r="S799" s="467"/>
      <c r="T799" s="467"/>
      <c r="U799" s="468"/>
      <c r="V799" s="319"/>
      <c r="W799" s="319"/>
      <c r="X799" s="467"/>
      <c r="Y799" s="467"/>
      <c r="Z799" s="467"/>
      <c r="AA799" s="467"/>
      <c r="AB799" s="467"/>
    </row>
    <row r="800" spans="1:28" ht="15.75" customHeight="1">
      <c r="A800" s="467"/>
      <c r="B800" s="467"/>
      <c r="C800" s="467"/>
      <c r="D800" s="467"/>
      <c r="E800" s="467"/>
      <c r="F800" s="467"/>
      <c r="G800" s="467"/>
      <c r="H800" s="467"/>
      <c r="I800" s="467"/>
      <c r="J800" s="467"/>
      <c r="K800" s="467"/>
      <c r="L800" s="467"/>
      <c r="M800" s="467"/>
      <c r="N800" s="467"/>
      <c r="O800" s="467"/>
      <c r="P800" s="467"/>
      <c r="Q800" s="467"/>
      <c r="R800" s="467"/>
      <c r="S800" s="467"/>
      <c r="T800" s="467"/>
      <c r="U800" s="468"/>
      <c r="V800" s="319"/>
      <c r="W800" s="319"/>
      <c r="X800" s="467"/>
      <c r="Y800" s="467"/>
      <c r="Z800" s="467"/>
      <c r="AA800" s="467"/>
      <c r="AB800" s="467"/>
    </row>
    <row r="801" spans="1:28" ht="15.75" customHeight="1">
      <c r="A801" s="467"/>
      <c r="B801" s="467"/>
      <c r="C801" s="467"/>
      <c r="D801" s="467"/>
      <c r="E801" s="467"/>
      <c r="F801" s="467"/>
      <c r="G801" s="467"/>
      <c r="H801" s="467"/>
      <c r="I801" s="467"/>
      <c r="J801" s="467"/>
      <c r="K801" s="467"/>
      <c r="L801" s="467"/>
      <c r="M801" s="467"/>
      <c r="N801" s="467"/>
      <c r="O801" s="467"/>
      <c r="P801" s="467"/>
      <c r="Q801" s="467"/>
      <c r="R801" s="467"/>
      <c r="S801" s="467"/>
      <c r="T801" s="467"/>
      <c r="U801" s="468"/>
      <c r="V801" s="319"/>
      <c r="W801" s="319"/>
      <c r="X801" s="467"/>
      <c r="Y801" s="467"/>
      <c r="Z801" s="467"/>
      <c r="AA801" s="467"/>
      <c r="AB801" s="467"/>
    </row>
    <row r="802" spans="1:28" ht="15.75" customHeight="1">
      <c r="A802" s="467"/>
      <c r="B802" s="467"/>
      <c r="C802" s="467"/>
      <c r="D802" s="467"/>
      <c r="E802" s="467"/>
      <c r="F802" s="467"/>
      <c r="G802" s="467"/>
      <c r="H802" s="467"/>
      <c r="I802" s="467"/>
      <c r="J802" s="467"/>
      <c r="K802" s="467"/>
      <c r="L802" s="467"/>
      <c r="M802" s="467"/>
      <c r="N802" s="467"/>
      <c r="O802" s="467"/>
      <c r="P802" s="467"/>
      <c r="Q802" s="467"/>
      <c r="R802" s="467"/>
      <c r="S802" s="467"/>
      <c r="T802" s="467"/>
      <c r="U802" s="468"/>
      <c r="V802" s="319"/>
      <c r="W802" s="319"/>
      <c r="X802" s="467"/>
      <c r="Y802" s="467"/>
      <c r="Z802" s="467"/>
      <c r="AA802" s="467"/>
      <c r="AB802" s="467"/>
    </row>
    <row r="803" spans="1:28" ht="15.75" customHeight="1">
      <c r="A803" s="467"/>
      <c r="B803" s="467"/>
      <c r="C803" s="467"/>
      <c r="D803" s="467"/>
      <c r="E803" s="467"/>
      <c r="F803" s="467"/>
      <c r="G803" s="467"/>
      <c r="H803" s="467"/>
      <c r="I803" s="467"/>
      <c r="J803" s="467"/>
      <c r="K803" s="467"/>
      <c r="L803" s="467"/>
      <c r="M803" s="467"/>
      <c r="N803" s="467"/>
      <c r="O803" s="467"/>
      <c r="P803" s="467"/>
      <c r="Q803" s="467"/>
      <c r="R803" s="467"/>
      <c r="S803" s="467"/>
      <c r="T803" s="467"/>
      <c r="U803" s="468"/>
      <c r="V803" s="319"/>
      <c r="W803" s="319"/>
      <c r="X803" s="467"/>
      <c r="Y803" s="467"/>
      <c r="Z803" s="467"/>
      <c r="AA803" s="467"/>
      <c r="AB803" s="467"/>
    </row>
    <row r="804" spans="1:28" ht="15.75" customHeight="1">
      <c r="A804" s="467"/>
      <c r="B804" s="467"/>
      <c r="C804" s="467"/>
      <c r="D804" s="467"/>
      <c r="E804" s="467"/>
      <c r="F804" s="467"/>
      <c r="G804" s="467"/>
      <c r="H804" s="467"/>
      <c r="I804" s="467"/>
      <c r="J804" s="467"/>
      <c r="K804" s="467"/>
      <c r="L804" s="467"/>
      <c r="M804" s="467"/>
      <c r="N804" s="467"/>
      <c r="O804" s="467"/>
      <c r="P804" s="467"/>
      <c r="Q804" s="467"/>
      <c r="R804" s="467"/>
      <c r="S804" s="467"/>
      <c r="T804" s="467"/>
      <c r="U804" s="468"/>
      <c r="V804" s="319"/>
      <c r="W804" s="319"/>
      <c r="X804" s="467"/>
      <c r="Y804" s="467"/>
      <c r="Z804" s="467"/>
      <c r="AA804" s="467"/>
      <c r="AB804" s="467"/>
    </row>
    <row r="805" spans="1:28" ht="15.75" customHeight="1">
      <c r="A805" s="467"/>
      <c r="B805" s="467"/>
      <c r="C805" s="467"/>
      <c r="D805" s="467"/>
      <c r="E805" s="467"/>
      <c r="F805" s="467"/>
      <c r="G805" s="467"/>
      <c r="H805" s="467"/>
      <c r="I805" s="467"/>
      <c r="J805" s="467"/>
      <c r="K805" s="467"/>
      <c r="L805" s="467"/>
      <c r="M805" s="467"/>
      <c r="N805" s="467"/>
      <c r="O805" s="467"/>
      <c r="P805" s="467"/>
      <c r="Q805" s="467"/>
      <c r="R805" s="467"/>
      <c r="S805" s="467"/>
      <c r="T805" s="467"/>
      <c r="U805" s="468"/>
      <c r="V805" s="319"/>
      <c r="W805" s="319"/>
      <c r="X805" s="467"/>
      <c r="Y805" s="467"/>
      <c r="Z805" s="467"/>
      <c r="AA805" s="467"/>
      <c r="AB805" s="467"/>
    </row>
    <row r="806" spans="1:28" ht="15.75" customHeight="1">
      <c r="A806" s="467"/>
      <c r="B806" s="467"/>
      <c r="C806" s="467"/>
      <c r="D806" s="467"/>
      <c r="E806" s="467"/>
      <c r="F806" s="467"/>
      <c r="G806" s="467"/>
      <c r="H806" s="467"/>
      <c r="I806" s="467"/>
      <c r="J806" s="467"/>
      <c r="K806" s="467"/>
      <c r="L806" s="467"/>
      <c r="M806" s="467"/>
      <c r="N806" s="467"/>
      <c r="O806" s="467"/>
      <c r="P806" s="467"/>
      <c r="Q806" s="467"/>
      <c r="R806" s="467"/>
      <c r="S806" s="467"/>
      <c r="T806" s="467"/>
      <c r="U806" s="468"/>
      <c r="V806" s="319"/>
      <c r="W806" s="319"/>
      <c r="X806" s="467"/>
      <c r="Y806" s="467"/>
      <c r="Z806" s="467"/>
      <c r="AA806" s="467"/>
      <c r="AB806" s="467"/>
    </row>
    <row r="807" spans="1:28" ht="15.75" customHeight="1">
      <c r="A807" s="467"/>
      <c r="B807" s="467"/>
      <c r="C807" s="467"/>
      <c r="D807" s="467"/>
      <c r="E807" s="467"/>
      <c r="F807" s="467"/>
      <c r="G807" s="467"/>
      <c r="H807" s="467"/>
      <c r="I807" s="467"/>
      <c r="J807" s="467"/>
      <c r="K807" s="467"/>
      <c r="L807" s="467"/>
      <c r="M807" s="467"/>
      <c r="N807" s="467"/>
      <c r="O807" s="467"/>
      <c r="P807" s="467"/>
      <c r="Q807" s="467"/>
      <c r="R807" s="467"/>
      <c r="S807" s="467"/>
      <c r="T807" s="467"/>
      <c r="U807" s="468"/>
      <c r="V807" s="319"/>
      <c r="W807" s="319"/>
      <c r="X807" s="467"/>
      <c r="Y807" s="467"/>
      <c r="Z807" s="467"/>
      <c r="AA807" s="467"/>
      <c r="AB807" s="467"/>
    </row>
    <row r="808" spans="1:28" ht="15.75" customHeight="1">
      <c r="A808" s="467"/>
      <c r="B808" s="467"/>
      <c r="C808" s="467"/>
      <c r="D808" s="467"/>
      <c r="E808" s="467"/>
      <c r="F808" s="467"/>
      <c r="G808" s="467"/>
      <c r="H808" s="467"/>
      <c r="I808" s="467"/>
      <c r="J808" s="467"/>
      <c r="K808" s="467"/>
      <c r="L808" s="467"/>
      <c r="M808" s="467"/>
      <c r="N808" s="467"/>
      <c r="O808" s="467"/>
      <c r="P808" s="467"/>
      <c r="Q808" s="467"/>
      <c r="R808" s="467"/>
      <c r="S808" s="467"/>
      <c r="T808" s="467"/>
      <c r="U808" s="468"/>
      <c r="V808" s="319"/>
      <c r="W808" s="319"/>
      <c r="X808" s="467"/>
      <c r="Y808" s="467"/>
      <c r="Z808" s="467"/>
      <c r="AA808" s="467"/>
      <c r="AB808" s="467"/>
    </row>
    <row r="809" spans="1:28" ht="15.75" customHeight="1">
      <c r="A809" s="467"/>
      <c r="B809" s="467"/>
      <c r="C809" s="467"/>
      <c r="D809" s="467"/>
      <c r="E809" s="467"/>
      <c r="F809" s="467"/>
      <c r="G809" s="467"/>
      <c r="H809" s="467"/>
      <c r="I809" s="467"/>
      <c r="J809" s="467"/>
      <c r="K809" s="467"/>
      <c r="L809" s="467"/>
      <c r="M809" s="467"/>
      <c r="N809" s="467"/>
      <c r="O809" s="467"/>
      <c r="P809" s="467"/>
      <c r="Q809" s="467"/>
      <c r="R809" s="467"/>
      <c r="S809" s="467"/>
      <c r="T809" s="467"/>
      <c r="U809" s="468"/>
      <c r="V809" s="319"/>
      <c r="W809" s="319"/>
      <c r="X809" s="467"/>
      <c r="Y809" s="467"/>
      <c r="Z809" s="467"/>
      <c r="AA809" s="467"/>
      <c r="AB809" s="467"/>
    </row>
    <row r="810" spans="1:28" ht="15.75" customHeight="1">
      <c r="A810" s="467"/>
      <c r="B810" s="467"/>
      <c r="C810" s="467"/>
      <c r="D810" s="467"/>
      <c r="E810" s="467"/>
      <c r="F810" s="467"/>
      <c r="G810" s="467"/>
      <c r="H810" s="467"/>
      <c r="I810" s="467"/>
      <c r="J810" s="467"/>
      <c r="K810" s="467"/>
      <c r="L810" s="467"/>
      <c r="M810" s="467"/>
      <c r="N810" s="467"/>
      <c r="O810" s="467"/>
      <c r="P810" s="467"/>
      <c r="Q810" s="467"/>
      <c r="R810" s="467"/>
      <c r="S810" s="467"/>
      <c r="T810" s="467"/>
      <c r="U810" s="468"/>
      <c r="V810" s="319"/>
      <c r="W810" s="319"/>
      <c r="X810" s="467"/>
      <c r="Y810" s="467"/>
      <c r="Z810" s="467"/>
      <c r="AA810" s="467"/>
      <c r="AB810" s="467"/>
    </row>
    <row r="811" spans="1:28" ht="15.75" customHeight="1">
      <c r="A811" s="467"/>
      <c r="B811" s="467"/>
      <c r="C811" s="467"/>
      <c r="D811" s="467"/>
      <c r="E811" s="467"/>
      <c r="F811" s="467"/>
      <c r="G811" s="467"/>
      <c r="H811" s="467"/>
      <c r="I811" s="467"/>
      <c r="J811" s="467"/>
      <c r="K811" s="467"/>
      <c r="L811" s="467"/>
      <c r="M811" s="467"/>
      <c r="N811" s="467"/>
      <c r="O811" s="467"/>
      <c r="P811" s="467"/>
      <c r="Q811" s="467"/>
      <c r="R811" s="467"/>
      <c r="S811" s="467"/>
      <c r="T811" s="467"/>
      <c r="U811" s="468"/>
      <c r="V811" s="319"/>
      <c r="W811" s="319"/>
      <c r="X811" s="467"/>
      <c r="Y811" s="467"/>
      <c r="Z811" s="467"/>
      <c r="AA811" s="467"/>
      <c r="AB811" s="467"/>
    </row>
    <row r="812" spans="1:28" ht="15.75" customHeight="1">
      <c r="A812" s="467"/>
      <c r="B812" s="467"/>
      <c r="C812" s="467"/>
      <c r="D812" s="467"/>
      <c r="E812" s="467"/>
      <c r="F812" s="467"/>
      <c r="G812" s="467"/>
      <c r="H812" s="467"/>
      <c r="I812" s="467"/>
      <c r="J812" s="467"/>
      <c r="K812" s="467"/>
      <c r="L812" s="467"/>
      <c r="M812" s="467"/>
      <c r="N812" s="467"/>
      <c r="O812" s="467"/>
      <c r="P812" s="467"/>
      <c r="Q812" s="467"/>
      <c r="R812" s="467"/>
      <c r="S812" s="467"/>
      <c r="T812" s="467"/>
      <c r="U812" s="468"/>
      <c r="V812" s="319"/>
      <c r="W812" s="319"/>
      <c r="X812" s="467"/>
      <c r="Y812" s="467"/>
      <c r="Z812" s="467"/>
      <c r="AA812" s="467"/>
      <c r="AB812" s="467"/>
    </row>
    <row r="813" spans="1:28" ht="15.75" customHeight="1">
      <c r="A813" s="467"/>
      <c r="B813" s="467"/>
      <c r="C813" s="467"/>
      <c r="D813" s="467"/>
      <c r="E813" s="467"/>
      <c r="F813" s="467"/>
      <c r="G813" s="467"/>
      <c r="H813" s="467"/>
      <c r="I813" s="467"/>
      <c r="J813" s="467"/>
      <c r="K813" s="467"/>
      <c r="L813" s="467"/>
      <c r="M813" s="467"/>
      <c r="N813" s="467"/>
      <c r="O813" s="467"/>
      <c r="P813" s="467"/>
      <c r="Q813" s="467"/>
      <c r="R813" s="467"/>
      <c r="S813" s="467"/>
      <c r="T813" s="467"/>
      <c r="U813" s="468"/>
      <c r="V813" s="319"/>
      <c r="W813" s="319"/>
      <c r="X813" s="467"/>
      <c r="Y813" s="467"/>
      <c r="Z813" s="467"/>
      <c r="AA813" s="467"/>
      <c r="AB813" s="467"/>
    </row>
    <row r="814" spans="1:28" ht="15.75" customHeight="1">
      <c r="A814" s="467"/>
      <c r="B814" s="467"/>
      <c r="C814" s="467"/>
      <c r="D814" s="467"/>
      <c r="E814" s="467"/>
      <c r="F814" s="467"/>
      <c r="G814" s="467"/>
      <c r="H814" s="467"/>
      <c r="I814" s="467"/>
      <c r="J814" s="467"/>
      <c r="K814" s="467"/>
      <c r="L814" s="467"/>
      <c r="M814" s="467"/>
      <c r="N814" s="467"/>
      <c r="O814" s="467"/>
      <c r="P814" s="467"/>
      <c r="Q814" s="467"/>
      <c r="R814" s="467"/>
      <c r="S814" s="467"/>
      <c r="T814" s="467"/>
      <c r="U814" s="468"/>
      <c r="V814" s="319"/>
      <c r="W814" s="319"/>
      <c r="X814" s="467"/>
      <c r="Y814" s="467"/>
      <c r="Z814" s="467"/>
      <c r="AA814" s="467"/>
      <c r="AB814" s="467"/>
    </row>
    <row r="815" spans="1:28" ht="15.75" customHeight="1">
      <c r="A815" s="467"/>
      <c r="B815" s="467"/>
      <c r="C815" s="467"/>
      <c r="D815" s="467"/>
      <c r="E815" s="467"/>
      <c r="F815" s="467"/>
      <c r="G815" s="467"/>
      <c r="H815" s="467"/>
      <c r="I815" s="467"/>
      <c r="J815" s="467"/>
      <c r="K815" s="467"/>
      <c r="L815" s="467"/>
      <c r="M815" s="467"/>
      <c r="N815" s="467"/>
      <c r="O815" s="467"/>
      <c r="P815" s="467"/>
      <c r="Q815" s="467"/>
      <c r="R815" s="467"/>
      <c r="S815" s="467"/>
      <c r="T815" s="467"/>
      <c r="U815" s="468"/>
      <c r="V815" s="319"/>
      <c r="W815" s="319"/>
      <c r="X815" s="467"/>
      <c r="Y815" s="467"/>
      <c r="Z815" s="467"/>
      <c r="AA815" s="467"/>
      <c r="AB815" s="467"/>
    </row>
    <row r="816" spans="1:28" ht="15.75" customHeight="1">
      <c r="A816" s="467"/>
      <c r="B816" s="467"/>
      <c r="C816" s="467"/>
      <c r="D816" s="467"/>
      <c r="E816" s="467"/>
      <c r="F816" s="467"/>
      <c r="G816" s="467"/>
      <c r="H816" s="467"/>
      <c r="I816" s="467"/>
      <c r="J816" s="467"/>
      <c r="K816" s="467"/>
      <c r="L816" s="467"/>
      <c r="M816" s="467"/>
      <c r="N816" s="467"/>
      <c r="O816" s="467"/>
      <c r="P816" s="467"/>
      <c r="Q816" s="467"/>
      <c r="R816" s="467"/>
      <c r="S816" s="467"/>
      <c r="T816" s="467"/>
      <c r="U816" s="468"/>
      <c r="V816" s="319"/>
      <c r="W816" s="319"/>
      <c r="X816" s="467"/>
      <c r="Y816" s="467"/>
      <c r="Z816" s="467"/>
      <c r="AA816" s="467"/>
      <c r="AB816" s="467"/>
    </row>
    <row r="817" spans="1:28" ht="15.75" customHeight="1">
      <c r="A817" s="467"/>
      <c r="B817" s="467"/>
      <c r="C817" s="467"/>
      <c r="D817" s="467"/>
      <c r="E817" s="467"/>
      <c r="F817" s="467"/>
      <c r="G817" s="467"/>
      <c r="H817" s="467"/>
      <c r="I817" s="467"/>
      <c r="J817" s="467"/>
      <c r="K817" s="467"/>
      <c r="L817" s="467"/>
      <c r="M817" s="467"/>
      <c r="N817" s="467"/>
      <c r="O817" s="467"/>
      <c r="P817" s="467"/>
      <c r="Q817" s="467"/>
      <c r="R817" s="467"/>
      <c r="S817" s="467"/>
      <c r="T817" s="467"/>
      <c r="U817" s="468"/>
      <c r="V817" s="319"/>
      <c r="W817" s="319"/>
      <c r="X817" s="467"/>
      <c r="Y817" s="467"/>
      <c r="Z817" s="467"/>
      <c r="AA817" s="467"/>
      <c r="AB817" s="467"/>
    </row>
    <row r="818" spans="1:28" ht="15.75" customHeight="1">
      <c r="A818" s="467"/>
      <c r="B818" s="467"/>
      <c r="C818" s="467"/>
      <c r="D818" s="467"/>
      <c r="E818" s="467"/>
      <c r="F818" s="467"/>
      <c r="G818" s="467"/>
      <c r="H818" s="467"/>
      <c r="I818" s="467"/>
      <c r="J818" s="467"/>
      <c r="K818" s="467"/>
      <c r="L818" s="467"/>
      <c r="M818" s="467"/>
      <c r="N818" s="467"/>
      <c r="O818" s="467"/>
      <c r="P818" s="467"/>
      <c r="Q818" s="467"/>
      <c r="R818" s="467"/>
      <c r="S818" s="467"/>
      <c r="T818" s="467"/>
      <c r="U818" s="468"/>
      <c r="V818" s="319"/>
      <c r="W818" s="319"/>
      <c r="X818" s="467"/>
      <c r="Y818" s="467"/>
      <c r="Z818" s="467"/>
      <c r="AA818" s="467"/>
      <c r="AB818" s="467"/>
    </row>
    <row r="819" spans="1:28" ht="15.75" customHeight="1">
      <c r="A819" s="467"/>
      <c r="B819" s="467"/>
      <c r="C819" s="467"/>
      <c r="D819" s="467"/>
      <c r="E819" s="467"/>
      <c r="F819" s="467"/>
      <c r="G819" s="467"/>
      <c r="H819" s="467"/>
      <c r="I819" s="467"/>
      <c r="J819" s="467"/>
      <c r="K819" s="467"/>
      <c r="L819" s="467"/>
      <c r="M819" s="467"/>
      <c r="N819" s="467"/>
      <c r="O819" s="467"/>
      <c r="P819" s="467"/>
      <c r="Q819" s="467"/>
      <c r="R819" s="467"/>
      <c r="S819" s="467"/>
      <c r="T819" s="467"/>
      <c r="U819" s="468"/>
      <c r="V819" s="319"/>
      <c r="W819" s="319"/>
      <c r="X819" s="467"/>
      <c r="Y819" s="467"/>
      <c r="Z819" s="467"/>
      <c r="AA819" s="467"/>
      <c r="AB819" s="467"/>
    </row>
    <row r="820" spans="1:28" ht="15.75" customHeight="1">
      <c r="A820" s="467"/>
      <c r="B820" s="467"/>
      <c r="C820" s="467"/>
      <c r="D820" s="467"/>
      <c r="E820" s="467"/>
      <c r="F820" s="467"/>
      <c r="G820" s="467"/>
      <c r="H820" s="467"/>
      <c r="I820" s="467"/>
      <c r="J820" s="467"/>
      <c r="K820" s="467"/>
      <c r="L820" s="467"/>
      <c r="M820" s="467"/>
      <c r="N820" s="467"/>
      <c r="O820" s="467"/>
      <c r="P820" s="467"/>
      <c r="Q820" s="467"/>
      <c r="R820" s="467"/>
      <c r="S820" s="467"/>
      <c r="T820" s="467"/>
      <c r="U820" s="468"/>
      <c r="V820" s="319"/>
      <c r="W820" s="319"/>
      <c r="X820" s="467"/>
      <c r="Y820" s="467"/>
      <c r="Z820" s="467"/>
      <c r="AA820" s="467"/>
      <c r="AB820" s="467"/>
    </row>
    <row r="821" spans="1:28" ht="15.75" customHeight="1">
      <c r="A821" s="467"/>
      <c r="B821" s="467"/>
      <c r="C821" s="467"/>
      <c r="D821" s="467"/>
      <c r="E821" s="467"/>
      <c r="F821" s="467"/>
      <c r="G821" s="467"/>
      <c r="H821" s="467"/>
      <c r="I821" s="467"/>
      <c r="J821" s="467"/>
      <c r="K821" s="467"/>
      <c r="L821" s="467"/>
      <c r="M821" s="467"/>
      <c r="N821" s="467"/>
      <c r="O821" s="467"/>
      <c r="P821" s="467"/>
      <c r="Q821" s="467"/>
      <c r="R821" s="467"/>
      <c r="S821" s="467"/>
      <c r="T821" s="467"/>
      <c r="U821" s="468"/>
      <c r="V821" s="319"/>
      <c r="W821" s="319"/>
      <c r="X821" s="467"/>
      <c r="Y821" s="467"/>
      <c r="Z821" s="467"/>
      <c r="AA821" s="467"/>
      <c r="AB821" s="467"/>
    </row>
    <row r="822" spans="1:28" ht="15.75" customHeight="1">
      <c r="A822" s="467"/>
      <c r="B822" s="467"/>
      <c r="C822" s="467"/>
      <c r="D822" s="467"/>
      <c r="E822" s="467"/>
      <c r="F822" s="467"/>
      <c r="G822" s="467"/>
      <c r="H822" s="467"/>
      <c r="I822" s="467"/>
      <c r="J822" s="467"/>
      <c r="K822" s="467"/>
      <c r="L822" s="467"/>
      <c r="M822" s="467"/>
      <c r="N822" s="467"/>
      <c r="O822" s="467"/>
      <c r="P822" s="467"/>
      <c r="Q822" s="467"/>
      <c r="R822" s="467"/>
      <c r="S822" s="467"/>
      <c r="T822" s="467"/>
      <c r="U822" s="468"/>
      <c r="V822" s="319"/>
      <c r="W822" s="319"/>
      <c r="X822" s="467"/>
      <c r="Y822" s="467"/>
      <c r="Z822" s="467"/>
      <c r="AA822" s="467"/>
      <c r="AB822" s="467"/>
    </row>
    <row r="823" spans="1:28" ht="15.75" customHeight="1">
      <c r="A823" s="467"/>
      <c r="B823" s="467"/>
      <c r="C823" s="467"/>
      <c r="D823" s="467"/>
      <c r="E823" s="467"/>
      <c r="F823" s="467"/>
      <c r="G823" s="467"/>
      <c r="H823" s="467"/>
      <c r="I823" s="467"/>
      <c r="J823" s="467"/>
      <c r="K823" s="467"/>
      <c r="L823" s="467"/>
      <c r="M823" s="467"/>
      <c r="N823" s="467"/>
      <c r="O823" s="467"/>
      <c r="P823" s="467"/>
      <c r="Q823" s="467"/>
      <c r="R823" s="467"/>
      <c r="S823" s="467"/>
      <c r="T823" s="467"/>
      <c r="U823" s="468"/>
      <c r="V823" s="319"/>
      <c r="W823" s="319"/>
      <c r="X823" s="467"/>
      <c r="Y823" s="467"/>
      <c r="Z823" s="467"/>
      <c r="AA823" s="467"/>
      <c r="AB823" s="467"/>
    </row>
    <row r="824" spans="1:28" ht="15.75" customHeight="1">
      <c r="A824" s="467"/>
      <c r="B824" s="467"/>
      <c r="C824" s="467"/>
      <c r="D824" s="467"/>
      <c r="E824" s="467"/>
      <c r="F824" s="467"/>
      <c r="G824" s="467"/>
      <c r="H824" s="467"/>
      <c r="I824" s="467"/>
      <c r="J824" s="467"/>
      <c r="K824" s="467"/>
      <c r="L824" s="467"/>
      <c r="M824" s="467"/>
      <c r="N824" s="467"/>
      <c r="O824" s="467"/>
      <c r="P824" s="467"/>
      <c r="Q824" s="467"/>
      <c r="R824" s="467"/>
      <c r="S824" s="467"/>
      <c r="T824" s="467"/>
      <c r="U824" s="468"/>
      <c r="V824" s="319"/>
      <c r="W824" s="319"/>
      <c r="X824" s="467"/>
      <c r="Y824" s="467"/>
      <c r="Z824" s="467"/>
      <c r="AA824" s="467"/>
      <c r="AB824" s="467"/>
    </row>
    <row r="825" spans="1:28" ht="15.75" customHeight="1">
      <c r="A825" s="467"/>
      <c r="B825" s="467"/>
      <c r="C825" s="467"/>
      <c r="D825" s="467"/>
      <c r="E825" s="467"/>
      <c r="F825" s="467"/>
      <c r="G825" s="467"/>
      <c r="H825" s="467"/>
      <c r="I825" s="467"/>
      <c r="J825" s="467"/>
      <c r="K825" s="467"/>
      <c r="L825" s="467"/>
      <c r="M825" s="467"/>
      <c r="N825" s="467"/>
      <c r="O825" s="467"/>
      <c r="P825" s="467"/>
      <c r="Q825" s="467"/>
      <c r="R825" s="467"/>
      <c r="S825" s="467"/>
      <c r="T825" s="467"/>
      <c r="U825" s="468"/>
      <c r="V825" s="319"/>
      <c r="W825" s="319"/>
      <c r="X825" s="467"/>
      <c r="Y825" s="467"/>
      <c r="Z825" s="467"/>
      <c r="AA825" s="467"/>
      <c r="AB825" s="467"/>
    </row>
    <row r="826" spans="1:28" ht="15.75" customHeight="1">
      <c r="A826" s="467"/>
      <c r="B826" s="467"/>
      <c r="C826" s="467"/>
      <c r="D826" s="467"/>
      <c r="E826" s="467"/>
      <c r="F826" s="467"/>
      <c r="G826" s="467"/>
      <c r="H826" s="467"/>
      <c r="I826" s="467"/>
      <c r="J826" s="467"/>
      <c r="K826" s="467"/>
      <c r="L826" s="467"/>
      <c r="M826" s="467"/>
      <c r="N826" s="467"/>
      <c r="O826" s="467"/>
      <c r="P826" s="467"/>
      <c r="Q826" s="467"/>
      <c r="R826" s="467"/>
      <c r="S826" s="467"/>
      <c r="T826" s="467"/>
      <c r="U826" s="468"/>
      <c r="V826" s="319"/>
      <c r="W826" s="319"/>
      <c r="X826" s="467"/>
      <c r="Y826" s="467"/>
      <c r="Z826" s="467"/>
      <c r="AA826" s="467"/>
      <c r="AB826" s="467"/>
    </row>
    <row r="827" spans="1:28" ht="15.75" customHeight="1">
      <c r="A827" s="467"/>
      <c r="B827" s="467"/>
      <c r="C827" s="467"/>
      <c r="D827" s="467"/>
      <c r="E827" s="467"/>
      <c r="F827" s="467"/>
      <c r="G827" s="467"/>
      <c r="H827" s="467"/>
      <c r="I827" s="467"/>
      <c r="J827" s="467"/>
      <c r="K827" s="467"/>
      <c r="L827" s="467"/>
      <c r="M827" s="467"/>
      <c r="N827" s="467"/>
      <c r="O827" s="467"/>
      <c r="P827" s="467"/>
      <c r="Q827" s="467"/>
      <c r="R827" s="467"/>
      <c r="S827" s="467"/>
      <c r="T827" s="467"/>
      <c r="U827" s="468"/>
      <c r="V827" s="319"/>
      <c r="W827" s="319"/>
      <c r="X827" s="467"/>
      <c r="Y827" s="467"/>
      <c r="Z827" s="467"/>
      <c r="AA827" s="467"/>
      <c r="AB827" s="467"/>
    </row>
    <row r="828" spans="1:28" ht="15.75" customHeight="1">
      <c r="A828" s="467"/>
      <c r="B828" s="467"/>
      <c r="C828" s="467"/>
      <c r="D828" s="467"/>
      <c r="E828" s="467"/>
      <c r="F828" s="467"/>
      <c r="G828" s="467"/>
      <c r="H828" s="467"/>
      <c r="I828" s="467"/>
      <c r="J828" s="467"/>
      <c r="K828" s="467"/>
      <c r="L828" s="467"/>
      <c r="M828" s="467"/>
      <c r="N828" s="467"/>
      <c r="O828" s="467"/>
      <c r="P828" s="467"/>
      <c r="Q828" s="467"/>
      <c r="R828" s="467"/>
      <c r="S828" s="467"/>
      <c r="T828" s="467"/>
      <c r="U828" s="468"/>
      <c r="V828" s="319"/>
      <c r="W828" s="319"/>
      <c r="X828" s="467"/>
      <c r="Y828" s="467"/>
      <c r="Z828" s="467"/>
      <c r="AA828" s="467"/>
      <c r="AB828" s="467"/>
    </row>
    <row r="829" spans="1:28" ht="15.75" customHeight="1">
      <c r="A829" s="467"/>
      <c r="B829" s="467"/>
      <c r="C829" s="467"/>
      <c r="D829" s="467"/>
      <c r="E829" s="467"/>
      <c r="F829" s="467"/>
      <c r="G829" s="467"/>
      <c r="H829" s="467"/>
      <c r="I829" s="467"/>
      <c r="J829" s="467"/>
      <c r="K829" s="467"/>
      <c r="L829" s="467"/>
      <c r="M829" s="467"/>
      <c r="N829" s="467"/>
      <c r="O829" s="467"/>
      <c r="P829" s="467"/>
      <c r="Q829" s="467"/>
      <c r="R829" s="467"/>
      <c r="S829" s="467"/>
      <c r="T829" s="467"/>
      <c r="U829" s="468"/>
      <c r="V829" s="319"/>
      <c r="W829" s="319"/>
      <c r="X829" s="467"/>
      <c r="Y829" s="467"/>
      <c r="Z829" s="467"/>
      <c r="AA829" s="467"/>
      <c r="AB829" s="467"/>
    </row>
    <row r="830" spans="1:28" ht="15.75" customHeight="1">
      <c r="A830" s="467"/>
      <c r="B830" s="467"/>
      <c r="C830" s="467"/>
      <c r="D830" s="467"/>
      <c r="E830" s="467"/>
      <c r="F830" s="467"/>
      <c r="G830" s="467"/>
      <c r="H830" s="467"/>
      <c r="I830" s="467"/>
      <c r="J830" s="467"/>
      <c r="K830" s="467"/>
      <c r="L830" s="467"/>
      <c r="M830" s="467"/>
      <c r="N830" s="467"/>
      <c r="O830" s="467"/>
      <c r="P830" s="467"/>
      <c r="Q830" s="467"/>
      <c r="R830" s="467"/>
      <c r="S830" s="467"/>
      <c r="T830" s="467"/>
      <c r="U830" s="468"/>
      <c r="V830" s="319"/>
      <c r="W830" s="319"/>
      <c r="X830" s="467"/>
      <c r="Y830" s="467"/>
      <c r="Z830" s="467"/>
      <c r="AA830" s="467"/>
      <c r="AB830" s="467"/>
    </row>
    <row r="831" spans="1:28" ht="15.75" customHeight="1">
      <c r="A831" s="467"/>
      <c r="B831" s="467"/>
      <c r="C831" s="467"/>
      <c r="D831" s="467"/>
      <c r="E831" s="467"/>
      <c r="F831" s="467"/>
      <c r="G831" s="467"/>
      <c r="H831" s="467"/>
      <c r="I831" s="467"/>
      <c r="J831" s="467"/>
      <c r="K831" s="467"/>
      <c r="L831" s="467"/>
      <c r="M831" s="467"/>
      <c r="N831" s="467"/>
      <c r="O831" s="467"/>
      <c r="P831" s="467"/>
      <c r="Q831" s="467"/>
      <c r="R831" s="467"/>
      <c r="S831" s="467"/>
      <c r="T831" s="467"/>
      <c r="U831" s="468"/>
      <c r="V831" s="319"/>
      <c r="W831" s="319"/>
      <c r="X831" s="467"/>
      <c r="Y831" s="467"/>
      <c r="Z831" s="467"/>
      <c r="AA831" s="467"/>
      <c r="AB831" s="467"/>
    </row>
    <row r="832" spans="1:28" ht="15.75" customHeight="1">
      <c r="A832" s="467"/>
      <c r="B832" s="467"/>
      <c r="C832" s="467"/>
      <c r="D832" s="467"/>
      <c r="E832" s="467"/>
      <c r="F832" s="467"/>
      <c r="G832" s="467"/>
      <c r="H832" s="467"/>
      <c r="I832" s="467"/>
      <c r="J832" s="467"/>
      <c r="K832" s="467"/>
      <c r="L832" s="467"/>
      <c r="M832" s="467"/>
      <c r="N832" s="467"/>
      <c r="O832" s="467"/>
      <c r="P832" s="467"/>
      <c r="Q832" s="467"/>
      <c r="R832" s="467"/>
      <c r="S832" s="467"/>
      <c r="T832" s="467"/>
      <c r="U832" s="468"/>
      <c r="V832" s="319"/>
      <c r="W832" s="319"/>
      <c r="X832" s="467"/>
      <c r="Y832" s="467"/>
      <c r="Z832" s="467"/>
      <c r="AA832" s="467"/>
      <c r="AB832" s="467"/>
    </row>
    <row r="833" spans="1:28" ht="15.75" customHeight="1">
      <c r="A833" s="467"/>
      <c r="B833" s="467"/>
      <c r="C833" s="467"/>
      <c r="D833" s="467"/>
      <c r="E833" s="467"/>
      <c r="F833" s="467"/>
      <c r="G833" s="467"/>
      <c r="H833" s="467"/>
      <c r="I833" s="467"/>
      <c r="J833" s="467"/>
      <c r="K833" s="467"/>
      <c r="L833" s="467"/>
      <c r="M833" s="467"/>
      <c r="N833" s="467"/>
      <c r="O833" s="467"/>
      <c r="P833" s="467"/>
      <c r="Q833" s="467"/>
      <c r="R833" s="467"/>
      <c r="S833" s="467"/>
      <c r="T833" s="467"/>
      <c r="U833" s="468"/>
      <c r="V833" s="319"/>
      <c r="W833" s="319"/>
      <c r="X833" s="467"/>
      <c r="Y833" s="467"/>
      <c r="Z833" s="467"/>
      <c r="AA833" s="467"/>
      <c r="AB833" s="467"/>
    </row>
    <row r="834" spans="1:28" ht="15.75" customHeight="1">
      <c r="A834" s="467"/>
      <c r="B834" s="467"/>
      <c r="C834" s="467"/>
      <c r="D834" s="467"/>
      <c r="E834" s="467"/>
      <c r="F834" s="467"/>
      <c r="G834" s="467"/>
      <c r="H834" s="467"/>
      <c r="I834" s="467"/>
      <c r="J834" s="467"/>
      <c r="K834" s="467"/>
      <c r="L834" s="467"/>
      <c r="M834" s="467"/>
      <c r="N834" s="467"/>
      <c r="O834" s="467"/>
      <c r="P834" s="467"/>
      <c r="Q834" s="467"/>
      <c r="R834" s="467"/>
      <c r="S834" s="467"/>
      <c r="T834" s="467"/>
      <c r="U834" s="468"/>
      <c r="V834" s="319"/>
      <c r="W834" s="319"/>
      <c r="X834" s="467"/>
      <c r="Y834" s="467"/>
      <c r="Z834" s="467"/>
      <c r="AA834" s="467"/>
      <c r="AB834" s="467"/>
    </row>
    <row r="835" spans="1:28" ht="15.75" customHeight="1">
      <c r="A835" s="467"/>
      <c r="B835" s="467"/>
      <c r="C835" s="467"/>
      <c r="D835" s="467"/>
      <c r="E835" s="467"/>
      <c r="F835" s="467"/>
      <c r="G835" s="467"/>
      <c r="H835" s="467"/>
      <c r="I835" s="467"/>
      <c r="J835" s="467"/>
      <c r="K835" s="467"/>
      <c r="L835" s="467"/>
      <c r="M835" s="467"/>
      <c r="N835" s="467"/>
      <c r="O835" s="467"/>
      <c r="P835" s="467"/>
      <c r="Q835" s="467"/>
      <c r="R835" s="467"/>
      <c r="S835" s="467"/>
      <c r="T835" s="467"/>
      <c r="U835" s="468"/>
      <c r="V835" s="319"/>
      <c r="W835" s="319"/>
      <c r="X835" s="467"/>
      <c r="Y835" s="467"/>
      <c r="Z835" s="467"/>
      <c r="AA835" s="467"/>
      <c r="AB835" s="467"/>
    </row>
    <row r="836" spans="1:28" ht="15.75" customHeight="1">
      <c r="A836" s="467"/>
      <c r="B836" s="467"/>
      <c r="C836" s="467"/>
      <c r="D836" s="467"/>
      <c r="E836" s="467"/>
      <c r="F836" s="467"/>
      <c r="G836" s="467"/>
      <c r="H836" s="467"/>
      <c r="I836" s="467"/>
      <c r="J836" s="467"/>
      <c r="K836" s="467"/>
      <c r="L836" s="467"/>
      <c r="M836" s="467"/>
      <c r="N836" s="467"/>
      <c r="O836" s="467"/>
      <c r="P836" s="467"/>
      <c r="Q836" s="467"/>
      <c r="R836" s="467"/>
      <c r="S836" s="467"/>
      <c r="T836" s="467"/>
      <c r="U836" s="468"/>
      <c r="V836" s="319"/>
      <c r="W836" s="319"/>
      <c r="X836" s="467"/>
      <c r="Y836" s="467"/>
      <c r="Z836" s="467"/>
      <c r="AA836" s="467"/>
      <c r="AB836" s="467"/>
    </row>
    <row r="837" spans="1:28" ht="15.75" customHeight="1">
      <c r="A837" s="467"/>
      <c r="B837" s="467"/>
      <c r="C837" s="467"/>
      <c r="D837" s="467"/>
      <c r="E837" s="467"/>
      <c r="F837" s="467"/>
      <c r="G837" s="467"/>
      <c r="H837" s="467"/>
      <c r="I837" s="467"/>
      <c r="J837" s="467"/>
      <c r="K837" s="467"/>
      <c r="L837" s="467"/>
      <c r="M837" s="467"/>
      <c r="N837" s="467"/>
      <c r="O837" s="467"/>
      <c r="P837" s="467"/>
      <c r="Q837" s="467"/>
      <c r="R837" s="467"/>
      <c r="S837" s="467"/>
      <c r="T837" s="467"/>
      <c r="U837" s="468"/>
      <c r="V837" s="319"/>
      <c r="W837" s="319"/>
      <c r="X837" s="467"/>
      <c r="Y837" s="467"/>
      <c r="Z837" s="467"/>
      <c r="AA837" s="467"/>
      <c r="AB837" s="467"/>
    </row>
    <row r="838" spans="1:28" ht="15.75" customHeight="1">
      <c r="A838" s="467"/>
      <c r="B838" s="467"/>
      <c r="C838" s="467"/>
      <c r="D838" s="467"/>
      <c r="E838" s="467"/>
      <c r="F838" s="467"/>
      <c r="G838" s="467"/>
      <c r="H838" s="467"/>
      <c r="I838" s="467"/>
      <c r="J838" s="467"/>
      <c r="K838" s="467"/>
      <c r="L838" s="467"/>
      <c r="M838" s="467"/>
      <c r="N838" s="467"/>
      <c r="O838" s="467"/>
      <c r="P838" s="467"/>
      <c r="Q838" s="467"/>
      <c r="R838" s="467"/>
      <c r="S838" s="467"/>
      <c r="T838" s="467"/>
      <c r="U838" s="468"/>
      <c r="V838" s="319"/>
      <c r="W838" s="319"/>
      <c r="X838" s="467"/>
      <c r="Y838" s="467"/>
      <c r="Z838" s="467"/>
      <c r="AA838" s="467"/>
      <c r="AB838" s="467"/>
    </row>
    <row r="839" spans="1:28" ht="15.75" customHeight="1">
      <c r="A839" s="467"/>
      <c r="B839" s="467"/>
      <c r="C839" s="467"/>
      <c r="D839" s="467"/>
      <c r="E839" s="467"/>
      <c r="F839" s="467"/>
      <c r="G839" s="467"/>
      <c r="H839" s="467"/>
      <c r="I839" s="467"/>
      <c r="J839" s="467"/>
      <c r="K839" s="467"/>
      <c r="L839" s="467"/>
      <c r="M839" s="467"/>
      <c r="N839" s="467"/>
      <c r="O839" s="467"/>
      <c r="P839" s="467"/>
      <c r="Q839" s="467"/>
      <c r="R839" s="467"/>
      <c r="S839" s="467"/>
      <c r="T839" s="467"/>
      <c r="U839" s="468"/>
      <c r="V839" s="319"/>
      <c r="W839" s="319"/>
      <c r="X839" s="467"/>
      <c r="Y839" s="467"/>
      <c r="Z839" s="467"/>
      <c r="AA839" s="467"/>
      <c r="AB839" s="467"/>
    </row>
    <row r="840" spans="1:28" ht="15.75" customHeight="1">
      <c r="A840" s="467"/>
      <c r="B840" s="467"/>
      <c r="C840" s="467"/>
      <c r="D840" s="467"/>
      <c r="E840" s="467"/>
      <c r="F840" s="467"/>
      <c r="G840" s="467"/>
      <c r="H840" s="467"/>
      <c r="I840" s="467"/>
      <c r="J840" s="467"/>
      <c r="K840" s="467"/>
      <c r="L840" s="467"/>
      <c r="M840" s="467"/>
      <c r="N840" s="467"/>
      <c r="O840" s="467"/>
      <c r="P840" s="467"/>
      <c r="Q840" s="467"/>
      <c r="R840" s="467"/>
      <c r="S840" s="467"/>
      <c r="T840" s="467"/>
      <c r="U840" s="468"/>
      <c r="V840" s="319"/>
      <c r="W840" s="319"/>
      <c r="X840" s="467"/>
      <c r="Y840" s="467"/>
      <c r="Z840" s="467"/>
      <c r="AA840" s="467"/>
      <c r="AB840" s="467"/>
    </row>
    <row r="841" spans="1:28" ht="15.75" customHeight="1">
      <c r="A841" s="467"/>
      <c r="B841" s="467"/>
      <c r="C841" s="467"/>
      <c r="D841" s="467"/>
      <c r="E841" s="467"/>
      <c r="F841" s="467"/>
      <c r="G841" s="467"/>
      <c r="H841" s="467"/>
      <c r="I841" s="467"/>
      <c r="J841" s="467"/>
      <c r="K841" s="467"/>
      <c r="L841" s="467"/>
      <c r="M841" s="467"/>
      <c r="N841" s="467"/>
      <c r="O841" s="467"/>
      <c r="P841" s="467"/>
      <c r="Q841" s="467"/>
      <c r="R841" s="467"/>
      <c r="S841" s="467"/>
      <c r="T841" s="467"/>
      <c r="U841" s="468"/>
      <c r="V841" s="319"/>
      <c r="W841" s="319"/>
      <c r="X841" s="467"/>
      <c r="Y841" s="467"/>
      <c r="Z841" s="467"/>
      <c r="AA841" s="467"/>
      <c r="AB841" s="467"/>
    </row>
    <row r="842" spans="1:28" ht="15.75" customHeight="1">
      <c r="A842" s="467"/>
      <c r="B842" s="467"/>
      <c r="C842" s="467"/>
      <c r="D842" s="467"/>
      <c r="E842" s="467"/>
      <c r="F842" s="467"/>
      <c r="G842" s="467"/>
      <c r="H842" s="467"/>
      <c r="I842" s="467"/>
      <c r="J842" s="467"/>
      <c r="K842" s="467"/>
      <c r="L842" s="467"/>
      <c r="M842" s="467"/>
      <c r="N842" s="467"/>
      <c r="O842" s="467"/>
      <c r="P842" s="467"/>
      <c r="Q842" s="467"/>
      <c r="R842" s="467"/>
      <c r="S842" s="467"/>
      <c r="T842" s="467"/>
      <c r="U842" s="468"/>
      <c r="V842" s="319"/>
      <c r="W842" s="319"/>
      <c r="X842" s="467"/>
      <c r="Y842" s="467"/>
      <c r="Z842" s="467"/>
      <c r="AA842" s="467"/>
      <c r="AB842" s="467"/>
    </row>
    <row r="843" spans="1:28" ht="15.75" customHeight="1">
      <c r="A843" s="467"/>
      <c r="B843" s="467"/>
      <c r="C843" s="467"/>
      <c r="D843" s="467"/>
      <c r="E843" s="467"/>
      <c r="F843" s="467"/>
      <c r="G843" s="467"/>
      <c r="H843" s="467"/>
      <c r="I843" s="467"/>
      <c r="J843" s="467"/>
      <c r="K843" s="467"/>
      <c r="L843" s="467"/>
      <c r="M843" s="467"/>
      <c r="N843" s="467"/>
      <c r="O843" s="467"/>
      <c r="P843" s="467"/>
      <c r="Q843" s="467"/>
      <c r="R843" s="467"/>
      <c r="S843" s="467"/>
      <c r="T843" s="467"/>
      <c r="U843" s="468"/>
      <c r="V843" s="319"/>
      <c r="W843" s="319"/>
      <c r="X843" s="467"/>
      <c r="Y843" s="467"/>
      <c r="Z843" s="467"/>
      <c r="AA843" s="467"/>
      <c r="AB843" s="467"/>
    </row>
    <row r="844" spans="1:28" ht="15.75" customHeight="1">
      <c r="A844" s="467"/>
      <c r="B844" s="467"/>
      <c r="C844" s="467"/>
      <c r="D844" s="467"/>
      <c r="E844" s="467"/>
      <c r="F844" s="467"/>
      <c r="G844" s="467"/>
      <c r="H844" s="467"/>
      <c r="I844" s="467"/>
      <c r="J844" s="467"/>
      <c r="K844" s="467"/>
      <c r="L844" s="467"/>
      <c r="M844" s="467"/>
      <c r="N844" s="467"/>
      <c r="O844" s="467"/>
      <c r="P844" s="467"/>
      <c r="Q844" s="467"/>
      <c r="R844" s="467"/>
      <c r="S844" s="467"/>
      <c r="T844" s="467"/>
      <c r="U844" s="468"/>
      <c r="V844" s="319"/>
      <c r="W844" s="319"/>
      <c r="X844" s="467"/>
      <c r="Y844" s="467"/>
      <c r="Z844" s="467"/>
      <c r="AA844" s="467"/>
      <c r="AB844" s="467"/>
    </row>
    <row r="845" spans="1:28" ht="15.75" customHeight="1">
      <c r="A845" s="467"/>
      <c r="B845" s="467"/>
      <c r="C845" s="467"/>
      <c r="D845" s="467"/>
      <c r="E845" s="467"/>
      <c r="F845" s="467"/>
      <c r="G845" s="467"/>
      <c r="H845" s="467"/>
      <c r="I845" s="467"/>
      <c r="J845" s="467"/>
      <c r="K845" s="467"/>
      <c r="L845" s="467"/>
      <c r="M845" s="467"/>
      <c r="N845" s="467"/>
      <c r="O845" s="467"/>
      <c r="P845" s="467"/>
      <c r="Q845" s="467"/>
      <c r="R845" s="467"/>
      <c r="S845" s="467"/>
      <c r="T845" s="467"/>
      <c r="U845" s="468"/>
      <c r="V845" s="319"/>
      <c r="W845" s="319"/>
      <c r="X845" s="467"/>
      <c r="Y845" s="467"/>
      <c r="Z845" s="467"/>
      <c r="AA845" s="467"/>
      <c r="AB845" s="467"/>
    </row>
    <row r="846" spans="1:28" ht="15.75" customHeight="1">
      <c r="A846" s="467"/>
      <c r="B846" s="467"/>
      <c r="C846" s="467"/>
      <c r="D846" s="467"/>
      <c r="E846" s="467"/>
      <c r="F846" s="467"/>
      <c r="G846" s="467"/>
      <c r="H846" s="467"/>
      <c r="I846" s="467"/>
      <c r="J846" s="467"/>
      <c r="K846" s="467"/>
      <c r="L846" s="467"/>
      <c r="M846" s="467"/>
      <c r="N846" s="467"/>
      <c r="O846" s="467"/>
      <c r="P846" s="467"/>
      <c r="Q846" s="467"/>
      <c r="R846" s="467"/>
      <c r="S846" s="467"/>
      <c r="T846" s="467"/>
      <c r="U846" s="468"/>
      <c r="V846" s="319"/>
      <c r="W846" s="319"/>
      <c r="X846" s="467"/>
      <c r="Y846" s="467"/>
      <c r="Z846" s="467"/>
      <c r="AA846" s="467"/>
      <c r="AB846" s="467"/>
    </row>
    <row r="847" spans="1:28" ht="15.75" customHeight="1">
      <c r="A847" s="467"/>
      <c r="B847" s="467"/>
      <c r="C847" s="467"/>
      <c r="D847" s="467"/>
      <c r="E847" s="467"/>
      <c r="F847" s="467"/>
      <c r="G847" s="467"/>
      <c r="H847" s="467"/>
      <c r="I847" s="467"/>
      <c r="J847" s="467"/>
      <c r="K847" s="467"/>
      <c r="L847" s="467"/>
      <c r="M847" s="467"/>
      <c r="N847" s="467"/>
      <c r="O847" s="467"/>
      <c r="P847" s="467"/>
      <c r="Q847" s="467"/>
      <c r="R847" s="467"/>
      <c r="S847" s="467"/>
      <c r="T847" s="467"/>
      <c r="U847" s="468"/>
      <c r="V847" s="319"/>
      <c r="W847" s="319"/>
      <c r="X847" s="467"/>
      <c r="Y847" s="467"/>
      <c r="Z847" s="467"/>
      <c r="AA847" s="467"/>
      <c r="AB847" s="467"/>
    </row>
    <row r="848" spans="1:28" ht="15.75" customHeight="1">
      <c r="A848" s="467"/>
      <c r="B848" s="467"/>
      <c r="C848" s="467"/>
      <c r="D848" s="467"/>
      <c r="E848" s="467"/>
      <c r="F848" s="467"/>
      <c r="G848" s="467"/>
      <c r="H848" s="467"/>
      <c r="I848" s="467"/>
      <c r="J848" s="467"/>
      <c r="K848" s="467"/>
      <c r="L848" s="467"/>
      <c r="M848" s="467"/>
      <c r="N848" s="467"/>
      <c r="O848" s="467"/>
      <c r="P848" s="467"/>
      <c r="Q848" s="467"/>
      <c r="R848" s="467"/>
      <c r="S848" s="467"/>
      <c r="T848" s="467"/>
      <c r="U848" s="468"/>
      <c r="V848" s="319"/>
      <c r="W848" s="319"/>
      <c r="X848" s="467"/>
      <c r="Y848" s="467"/>
      <c r="Z848" s="467"/>
      <c r="AA848" s="467"/>
      <c r="AB848" s="467"/>
    </row>
    <row r="849" spans="1:28" ht="15.75" customHeight="1">
      <c r="A849" s="467"/>
      <c r="B849" s="467"/>
      <c r="C849" s="467"/>
      <c r="D849" s="467"/>
      <c r="E849" s="467"/>
      <c r="F849" s="467"/>
      <c r="G849" s="467"/>
      <c r="H849" s="467"/>
      <c r="I849" s="467"/>
      <c r="J849" s="467"/>
      <c r="K849" s="467"/>
      <c r="L849" s="467"/>
      <c r="M849" s="467"/>
      <c r="N849" s="467"/>
      <c r="O849" s="467"/>
      <c r="P849" s="467"/>
      <c r="Q849" s="467"/>
      <c r="R849" s="467"/>
      <c r="S849" s="467"/>
      <c r="T849" s="467"/>
      <c r="U849" s="468"/>
      <c r="V849" s="319"/>
      <c r="W849" s="319"/>
      <c r="X849" s="467"/>
      <c r="Y849" s="467"/>
      <c r="Z849" s="467"/>
      <c r="AA849" s="467"/>
      <c r="AB849" s="467"/>
    </row>
    <row r="850" spans="1:28" ht="15.75" customHeight="1">
      <c r="A850" s="467"/>
      <c r="B850" s="467"/>
      <c r="C850" s="467"/>
      <c r="D850" s="467"/>
      <c r="E850" s="467"/>
      <c r="F850" s="467"/>
      <c r="G850" s="467"/>
      <c r="H850" s="467"/>
      <c r="I850" s="467"/>
      <c r="J850" s="467"/>
      <c r="K850" s="467"/>
      <c r="L850" s="467"/>
      <c r="M850" s="467"/>
      <c r="N850" s="467"/>
      <c r="O850" s="467"/>
      <c r="P850" s="467"/>
      <c r="Q850" s="467"/>
      <c r="R850" s="467"/>
      <c r="S850" s="467"/>
      <c r="T850" s="467"/>
      <c r="U850" s="468"/>
      <c r="V850" s="319"/>
      <c r="W850" s="319"/>
      <c r="X850" s="467"/>
      <c r="Y850" s="467"/>
      <c r="Z850" s="467"/>
      <c r="AA850" s="467"/>
      <c r="AB850" s="467"/>
    </row>
    <row r="851" spans="1:28" ht="15.75" customHeight="1">
      <c r="A851" s="467"/>
      <c r="B851" s="467"/>
      <c r="C851" s="467"/>
      <c r="D851" s="467"/>
      <c r="E851" s="467"/>
      <c r="F851" s="467"/>
      <c r="G851" s="467"/>
      <c r="H851" s="467"/>
      <c r="I851" s="467"/>
      <c r="J851" s="467"/>
      <c r="K851" s="467"/>
      <c r="L851" s="467"/>
      <c r="M851" s="467"/>
      <c r="N851" s="467"/>
      <c r="O851" s="467"/>
      <c r="P851" s="467"/>
      <c r="Q851" s="467"/>
      <c r="R851" s="467"/>
      <c r="S851" s="467"/>
      <c r="T851" s="467"/>
      <c r="U851" s="468"/>
      <c r="V851" s="319"/>
      <c r="W851" s="319"/>
      <c r="X851" s="467"/>
      <c r="Y851" s="467"/>
      <c r="Z851" s="467"/>
      <c r="AA851" s="467"/>
      <c r="AB851" s="467"/>
    </row>
    <row r="852" spans="1:28" ht="15.75" customHeight="1">
      <c r="A852" s="467"/>
      <c r="B852" s="467"/>
      <c r="C852" s="467"/>
      <c r="D852" s="467"/>
      <c r="E852" s="467"/>
      <c r="F852" s="467"/>
      <c r="G852" s="467"/>
      <c r="H852" s="467"/>
      <c r="I852" s="467"/>
      <c r="J852" s="467"/>
      <c r="K852" s="467"/>
      <c r="L852" s="467"/>
      <c r="M852" s="467"/>
      <c r="N852" s="467"/>
      <c r="O852" s="467"/>
      <c r="P852" s="467"/>
      <c r="Q852" s="467"/>
      <c r="R852" s="467"/>
      <c r="S852" s="467"/>
      <c r="T852" s="467"/>
      <c r="U852" s="468"/>
      <c r="V852" s="319"/>
      <c r="W852" s="319"/>
      <c r="X852" s="467"/>
      <c r="Y852" s="467"/>
      <c r="Z852" s="467"/>
      <c r="AA852" s="467"/>
      <c r="AB852" s="467"/>
    </row>
    <row r="853" spans="1:28" ht="15.75" customHeight="1">
      <c r="A853" s="467"/>
      <c r="B853" s="467"/>
      <c r="C853" s="467"/>
      <c r="D853" s="467"/>
      <c r="E853" s="467"/>
      <c r="F853" s="467"/>
      <c r="G853" s="467"/>
      <c r="H853" s="467"/>
      <c r="I853" s="467"/>
      <c r="J853" s="467"/>
      <c r="K853" s="467"/>
      <c r="L853" s="467"/>
      <c r="M853" s="467"/>
      <c r="N853" s="467"/>
      <c r="O853" s="467"/>
      <c r="P853" s="467"/>
      <c r="Q853" s="467"/>
      <c r="R853" s="467"/>
      <c r="S853" s="467"/>
      <c r="T853" s="467"/>
      <c r="U853" s="468"/>
      <c r="V853" s="319"/>
      <c r="W853" s="319"/>
      <c r="X853" s="467"/>
      <c r="Y853" s="467"/>
      <c r="Z853" s="467"/>
      <c r="AA853" s="467"/>
      <c r="AB853" s="467"/>
    </row>
    <row r="854" spans="1:28" ht="15.75" customHeight="1">
      <c r="A854" s="467"/>
      <c r="B854" s="467"/>
      <c r="C854" s="467"/>
      <c r="D854" s="467"/>
      <c r="E854" s="467"/>
      <c r="F854" s="467"/>
      <c r="G854" s="467"/>
      <c r="H854" s="467"/>
      <c r="I854" s="467"/>
      <c r="J854" s="467"/>
      <c r="K854" s="467"/>
      <c r="L854" s="467"/>
      <c r="M854" s="467"/>
      <c r="N854" s="467"/>
      <c r="O854" s="467"/>
      <c r="P854" s="467"/>
      <c r="Q854" s="467"/>
      <c r="R854" s="467"/>
      <c r="S854" s="467"/>
      <c r="T854" s="467"/>
      <c r="U854" s="468"/>
      <c r="V854" s="319"/>
      <c r="W854" s="319"/>
      <c r="X854" s="467"/>
      <c r="Y854" s="467"/>
      <c r="Z854" s="467"/>
      <c r="AA854" s="467"/>
      <c r="AB854" s="467"/>
    </row>
    <row r="855" spans="1:28" ht="15.75" customHeight="1">
      <c r="A855" s="467"/>
      <c r="B855" s="467"/>
      <c r="C855" s="467"/>
      <c r="D855" s="467"/>
      <c r="E855" s="467"/>
      <c r="F855" s="467"/>
      <c r="G855" s="467"/>
      <c r="H855" s="467"/>
      <c r="I855" s="467"/>
      <c r="J855" s="467"/>
      <c r="K855" s="467"/>
      <c r="L855" s="467"/>
      <c r="M855" s="467"/>
      <c r="N855" s="467"/>
      <c r="O855" s="467"/>
      <c r="P855" s="467"/>
      <c r="Q855" s="467"/>
      <c r="R855" s="467"/>
      <c r="S855" s="467"/>
      <c r="T855" s="467"/>
      <c r="U855" s="468"/>
      <c r="V855" s="319"/>
      <c r="W855" s="319"/>
      <c r="X855" s="467"/>
      <c r="Y855" s="467"/>
      <c r="Z855" s="467"/>
      <c r="AA855" s="467"/>
      <c r="AB855" s="467"/>
    </row>
    <row r="856" spans="1:28" ht="15.75" customHeight="1">
      <c r="A856" s="467"/>
      <c r="B856" s="467"/>
      <c r="C856" s="467"/>
      <c r="D856" s="467"/>
      <c r="E856" s="467"/>
      <c r="F856" s="467"/>
      <c r="G856" s="467"/>
      <c r="H856" s="467"/>
      <c r="I856" s="467"/>
      <c r="J856" s="467"/>
      <c r="K856" s="467"/>
      <c r="L856" s="467"/>
      <c r="M856" s="467"/>
      <c r="N856" s="467"/>
      <c r="O856" s="467"/>
      <c r="P856" s="467"/>
      <c r="Q856" s="467"/>
      <c r="R856" s="467"/>
      <c r="S856" s="467"/>
      <c r="T856" s="467"/>
      <c r="U856" s="468"/>
      <c r="V856" s="319"/>
      <c r="W856" s="319"/>
      <c r="X856" s="467"/>
      <c r="Y856" s="467"/>
      <c r="Z856" s="467"/>
      <c r="AA856" s="467"/>
      <c r="AB856" s="467"/>
    </row>
    <row r="857" spans="1:28" ht="15.75" customHeight="1">
      <c r="A857" s="467"/>
      <c r="B857" s="467"/>
      <c r="C857" s="467"/>
      <c r="D857" s="467"/>
      <c r="E857" s="467"/>
      <c r="F857" s="467"/>
      <c r="G857" s="467"/>
      <c r="H857" s="467"/>
      <c r="I857" s="467"/>
      <c r="J857" s="467"/>
      <c r="K857" s="467"/>
      <c r="L857" s="467"/>
      <c r="M857" s="467"/>
      <c r="N857" s="467"/>
      <c r="O857" s="467"/>
      <c r="P857" s="467"/>
      <c r="Q857" s="467"/>
      <c r="R857" s="467"/>
      <c r="S857" s="467"/>
      <c r="T857" s="467"/>
      <c r="U857" s="468"/>
      <c r="V857" s="319"/>
      <c r="W857" s="319"/>
      <c r="X857" s="467"/>
      <c r="Y857" s="467"/>
      <c r="Z857" s="467"/>
      <c r="AA857" s="467"/>
      <c r="AB857" s="467"/>
    </row>
    <row r="858" spans="1:28" ht="15.75" customHeight="1">
      <c r="A858" s="467"/>
      <c r="B858" s="467"/>
      <c r="C858" s="467"/>
      <c r="D858" s="467"/>
      <c r="E858" s="467"/>
      <c r="F858" s="467"/>
      <c r="G858" s="467"/>
      <c r="H858" s="467"/>
      <c r="I858" s="467"/>
      <c r="J858" s="467"/>
      <c r="K858" s="467"/>
      <c r="L858" s="467"/>
      <c r="M858" s="467"/>
      <c r="N858" s="467"/>
      <c r="O858" s="467"/>
      <c r="P858" s="467"/>
      <c r="Q858" s="467"/>
      <c r="R858" s="467"/>
      <c r="S858" s="467"/>
      <c r="T858" s="467"/>
      <c r="U858" s="468"/>
      <c r="V858" s="319"/>
      <c r="W858" s="319"/>
      <c r="X858" s="467"/>
      <c r="Y858" s="467"/>
      <c r="Z858" s="467"/>
      <c r="AA858" s="467"/>
      <c r="AB858" s="467"/>
    </row>
    <row r="859" spans="1:28" ht="15.75" customHeight="1">
      <c r="A859" s="467"/>
      <c r="B859" s="467"/>
      <c r="C859" s="467"/>
      <c r="D859" s="467"/>
      <c r="E859" s="467"/>
      <c r="F859" s="467"/>
      <c r="G859" s="467"/>
      <c r="H859" s="467"/>
      <c r="I859" s="467"/>
      <c r="J859" s="467"/>
      <c r="K859" s="467"/>
      <c r="L859" s="467"/>
      <c r="M859" s="467"/>
      <c r="N859" s="467"/>
      <c r="O859" s="467"/>
      <c r="P859" s="467"/>
      <c r="Q859" s="467"/>
      <c r="R859" s="467"/>
      <c r="S859" s="467"/>
      <c r="T859" s="467"/>
      <c r="U859" s="468"/>
      <c r="V859" s="319"/>
      <c r="W859" s="319"/>
      <c r="X859" s="467"/>
      <c r="Y859" s="467"/>
      <c r="Z859" s="467"/>
      <c r="AA859" s="467"/>
      <c r="AB859" s="467"/>
    </row>
    <row r="860" spans="1:28" ht="15.75" customHeight="1">
      <c r="A860" s="467"/>
      <c r="B860" s="467"/>
      <c r="C860" s="467"/>
      <c r="D860" s="467"/>
      <c r="E860" s="467"/>
      <c r="F860" s="467"/>
      <c r="G860" s="467"/>
      <c r="H860" s="467"/>
      <c r="I860" s="467"/>
      <c r="J860" s="467"/>
      <c r="K860" s="467"/>
      <c r="L860" s="467"/>
      <c r="M860" s="467"/>
      <c r="N860" s="467"/>
      <c r="O860" s="467"/>
      <c r="P860" s="467"/>
      <c r="Q860" s="467"/>
      <c r="R860" s="467"/>
      <c r="S860" s="467"/>
      <c r="T860" s="467"/>
      <c r="U860" s="468"/>
      <c r="V860" s="319"/>
      <c r="W860" s="319"/>
      <c r="X860" s="467"/>
      <c r="Y860" s="467"/>
      <c r="Z860" s="467"/>
      <c r="AA860" s="467"/>
      <c r="AB860" s="467"/>
    </row>
    <row r="861" spans="1:28" ht="15.75" customHeight="1">
      <c r="A861" s="467"/>
      <c r="B861" s="467"/>
      <c r="C861" s="467"/>
      <c r="D861" s="467"/>
      <c r="E861" s="467"/>
      <c r="F861" s="467"/>
      <c r="G861" s="467"/>
      <c r="H861" s="467"/>
      <c r="I861" s="467"/>
      <c r="J861" s="467"/>
      <c r="K861" s="467"/>
      <c r="L861" s="467"/>
      <c r="M861" s="467"/>
      <c r="N861" s="467"/>
      <c r="O861" s="467"/>
      <c r="P861" s="467"/>
      <c r="Q861" s="467"/>
      <c r="R861" s="467"/>
      <c r="S861" s="467"/>
      <c r="T861" s="467"/>
      <c r="U861" s="468"/>
      <c r="V861" s="319"/>
      <c r="W861" s="319"/>
      <c r="X861" s="467"/>
      <c r="Y861" s="467"/>
      <c r="Z861" s="467"/>
      <c r="AA861" s="467"/>
      <c r="AB861" s="467"/>
    </row>
    <row r="862" spans="1:28" ht="15.75" customHeight="1">
      <c r="A862" s="467"/>
      <c r="B862" s="467"/>
      <c r="C862" s="467"/>
      <c r="D862" s="467"/>
      <c r="E862" s="467"/>
      <c r="F862" s="467"/>
      <c r="G862" s="467"/>
      <c r="H862" s="467"/>
      <c r="I862" s="467"/>
      <c r="J862" s="467"/>
      <c r="K862" s="467"/>
      <c r="L862" s="467"/>
      <c r="M862" s="467"/>
      <c r="N862" s="467"/>
      <c r="O862" s="467"/>
      <c r="P862" s="467"/>
      <c r="Q862" s="467"/>
      <c r="R862" s="467"/>
      <c r="S862" s="467"/>
      <c r="T862" s="467"/>
      <c r="U862" s="468"/>
      <c r="V862" s="319"/>
      <c r="W862" s="319"/>
      <c r="X862" s="467"/>
      <c r="Y862" s="467"/>
      <c r="Z862" s="467"/>
      <c r="AA862" s="467"/>
      <c r="AB862" s="467"/>
    </row>
    <row r="863" spans="1:28" ht="15.75" customHeight="1">
      <c r="A863" s="467"/>
      <c r="B863" s="467"/>
      <c r="C863" s="467"/>
      <c r="D863" s="467"/>
      <c r="E863" s="467"/>
      <c r="F863" s="467"/>
      <c r="G863" s="467"/>
      <c r="H863" s="467"/>
      <c r="I863" s="467"/>
      <c r="J863" s="467"/>
      <c r="K863" s="467"/>
      <c r="L863" s="467"/>
      <c r="M863" s="467"/>
      <c r="N863" s="467"/>
      <c r="O863" s="467"/>
      <c r="P863" s="467"/>
      <c r="Q863" s="467"/>
      <c r="R863" s="467"/>
      <c r="S863" s="467"/>
      <c r="T863" s="467"/>
      <c r="U863" s="468"/>
      <c r="V863" s="319"/>
      <c r="W863" s="319"/>
      <c r="X863" s="467"/>
      <c r="Y863" s="467"/>
      <c r="Z863" s="467"/>
      <c r="AA863" s="467"/>
      <c r="AB863" s="467"/>
    </row>
    <row r="864" spans="1:28" ht="15.75" customHeight="1">
      <c r="A864" s="467"/>
      <c r="B864" s="467"/>
      <c r="C864" s="467"/>
      <c r="D864" s="467"/>
      <c r="E864" s="467"/>
      <c r="F864" s="467"/>
      <c r="G864" s="467"/>
      <c r="H864" s="467"/>
      <c r="I864" s="467"/>
      <c r="J864" s="467"/>
      <c r="K864" s="467"/>
      <c r="L864" s="467"/>
      <c r="M864" s="467"/>
      <c r="N864" s="467"/>
      <c r="O864" s="467"/>
      <c r="P864" s="467"/>
      <c r="Q864" s="467"/>
      <c r="R864" s="467"/>
      <c r="S864" s="467"/>
      <c r="T864" s="467"/>
      <c r="U864" s="468"/>
      <c r="V864" s="319"/>
      <c r="W864" s="319"/>
      <c r="X864" s="467"/>
      <c r="Y864" s="467"/>
      <c r="Z864" s="467"/>
      <c r="AA864" s="467"/>
      <c r="AB864" s="467"/>
    </row>
    <row r="865" spans="1:28" ht="15.75" customHeight="1">
      <c r="A865" s="467"/>
      <c r="B865" s="467"/>
      <c r="C865" s="467"/>
      <c r="D865" s="467"/>
      <c r="E865" s="467"/>
      <c r="F865" s="467"/>
      <c r="G865" s="467"/>
      <c r="H865" s="467"/>
      <c r="I865" s="467"/>
      <c r="J865" s="467"/>
      <c r="K865" s="467"/>
      <c r="L865" s="467"/>
      <c r="M865" s="467"/>
      <c r="N865" s="467"/>
      <c r="O865" s="467"/>
      <c r="P865" s="467"/>
      <c r="Q865" s="467"/>
      <c r="R865" s="467"/>
      <c r="S865" s="467"/>
      <c r="T865" s="467"/>
      <c r="U865" s="468"/>
      <c r="V865" s="319"/>
      <c r="W865" s="319"/>
      <c r="X865" s="467"/>
      <c r="Y865" s="467"/>
      <c r="Z865" s="467"/>
      <c r="AA865" s="467"/>
      <c r="AB865" s="467"/>
    </row>
    <row r="866" spans="1:28" ht="15.75" customHeight="1">
      <c r="A866" s="467"/>
      <c r="B866" s="467"/>
      <c r="C866" s="467"/>
      <c r="D866" s="467"/>
      <c r="E866" s="467"/>
      <c r="F866" s="467"/>
      <c r="G866" s="467"/>
      <c r="H866" s="467"/>
      <c r="I866" s="467"/>
      <c r="J866" s="467"/>
      <c r="K866" s="467"/>
      <c r="L866" s="467"/>
      <c r="M866" s="467"/>
      <c r="N866" s="467"/>
      <c r="O866" s="467"/>
      <c r="P866" s="467"/>
      <c r="Q866" s="467"/>
      <c r="R866" s="467"/>
      <c r="S866" s="467"/>
      <c r="T866" s="467"/>
      <c r="U866" s="468"/>
      <c r="V866" s="319"/>
      <c r="W866" s="319"/>
      <c r="X866" s="467"/>
      <c r="Y866" s="467"/>
      <c r="Z866" s="467"/>
      <c r="AA866" s="467"/>
      <c r="AB866" s="467"/>
    </row>
    <row r="867" spans="1:28" ht="15.75" customHeight="1">
      <c r="A867" s="467"/>
      <c r="B867" s="467"/>
      <c r="C867" s="467"/>
      <c r="D867" s="467"/>
      <c r="E867" s="467"/>
      <c r="F867" s="467"/>
      <c r="G867" s="467"/>
      <c r="H867" s="467"/>
      <c r="I867" s="467"/>
      <c r="J867" s="467"/>
      <c r="K867" s="467"/>
      <c r="L867" s="467"/>
      <c r="M867" s="467"/>
      <c r="N867" s="467"/>
      <c r="O867" s="467"/>
      <c r="P867" s="467"/>
      <c r="Q867" s="467"/>
      <c r="R867" s="467"/>
      <c r="S867" s="467"/>
      <c r="T867" s="467"/>
      <c r="U867" s="468"/>
      <c r="V867" s="319"/>
      <c r="W867" s="319"/>
      <c r="X867" s="467"/>
      <c r="Y867" s="467"/>
      <c r="Z867" s="467"/>
      <c r="AA867" s="467"/>
      <c r="AB867" s="467"/>
    </row>
    <row r="868" spans="1:28" ht="15.75" customHeight="1">
      <c r="A868" s="467"/>
      <c r="B868" s="467"/>
      <c r="C868" s="467"/>
      <c r="D868" s="467"/>
      <c r="E868" s="467"/>
      <c r="F868" s="467"/>
      <c r="G868" s="467"/>
      <c r="H868" s="467"/>
      <c r="I868" s="467"/>
      <c r="J868" s="467"/>
      <c r="K868" s="467"/>
      <c r="L868" s="467"/>
      <c r="M868" s="467"/>
      <c r="N868" s="467"/>
      <c r="O868" s="467"/>
      <c r="P868" s="467"/>
      <c r="Q868" s="467"/>
      <c r="R868" s="467"/>
      <c r="S868" s="467"/>
      <c r="T868" s="467"/>
      <c r="U868" s="468"/>
      <c r="V868" s="319"/>
      <c r="W868" s="319"/>
      <c r="X868" s="467"/>
      <c r="Y868" s="467"/>
      <c r="Z868" s="467"/>
      <c r="AA868" s="467"/>
      <c r="AB868" s="467"/>
    </row>
    <row r="869" spans="1:28" ht="15.75" customHeight="1">
      <c r="A869" s="467"/>
      <c r="B869" s="467"/>
      <c r="C869" s="467"/>
      <c r="D869" s="467"/>
      <c r="E869" s="467"/>
      <c r="F869" s="467"/>
      <c r="G869" s="467"/>
      <c r="H869" s="467"/>
      <c r="I869" s="467"/>
      <c r="J869" s="467"/>
      <c r="K869" s="467"/>
      <c r="L869" s="467"/>
      <c r="M869" s="467"/>
      <c r="N869" s="467"/>
      <c r="O869" s="467"/>
      <c r="P869" s="467"/>
      <c r="Q869" s="467"/>
      <c r="R869" s="467"/>
      <c r="S869" s="467"/>
      <c r="T869" s="467"/>
      <c r="U869" s="468"/>
      <c r="V869" s="319"/>
      <c r="W869" s="319"/>
      <c r="X869" s="467"/>
      <c r="Y869" s="467"/>
      <c r="Z869" s="467"/>
      <c r="AA869" s="467"/>
      <c r="AB869" s="467"/>
    </row>
    <row r="870" spans="1:28" ht="15.75" customHeight="1">
      <c r="A870" s="467"/>
      <c r="B870" s="467"/>
      <c r="C870" s="467"/>
      <c r="D870" s="467"/>
      <c r="E870" s="467"/>
      <c r="F870" s="467"/>
      <c r="G870" s="467"/>
      <c r="H870" s="467"/>
      <c r="I870" s="467"/>
      <c r="J870" s="467"/>
      <c r="K870" s="467"/>
      <c r="L870" s="467"/>
      <c r="M870" s="467"/>
      <c r="N870" s="467"/>
      <c r="O870" s="467"/>
      <c r="P870" s="467"/>
      <c r="Q870" s="467"/>
      <c r="R870" s="467"/>
      <c r="S870" s="467"/>
      <c r="T870" s="467"/>
      <c r="U870" s="468"/>
      <c r="V870" s="319"/>
      <c r="W870" s="319"/>
      <c r="X870" s="467"/>
      <c r="Y870" s="467"/>
      <c r="Z870" s="467"/>
      <c r="AA870" s="467"/>
      <c r="AB870" s="467"/>
    </row>
    <row r="871" spans="1:28" ht="15.75" customHeight="1">
      <c r="A871" s="467"/>
      <c r="B871" s="467"/>
      <c r="C871" s="467"/>
      <c r="D871" s="467"/>
      <c r="E871" s="467"/>
      <c r="F871" s="467"/>
      <c r="G871" s="467"/>
      <c r="H871" s="467"/>
      <c r="I871" s="467"/>
      <c r="J871" s="467"/>
      <c r="K871" s="467"/>
      <c r="L871" s="467"/>
      <c r="M871" s="467"/>
      <c r="N871" s="467"/>
      <c r="O871" s="467"/>
      <c r="P871" s="467"/>
      <c r="Q871" s="467"/>
      <c r="R871" s="467"/>
      <c r="S871" s="467"/>
      <c r="T871" s="467"/>
      <c r="U871" s="468"/>
      <c r="V871" s="319"/>
      <c r="W871" s="319"/>
      <c r="X871" s="467"/>
      <c r="Y871" s="467"/>
      <c r="Z871" s="467"/>
      <c r="AA871" s="467"/>
      <c r="AB871" s="467"/>
    </row>
    <row r="872" spans="1:28" ht="15.75" customHeight="1">
      <c r="A872" s="467"/>
      <c r="B872" s="467"/>
      <c r="C872" s="467"/>
      <c r="D872" s="467"/>
      <c r="E872" s="467"/>
      <c r="F872" s="467"/>
      <c r="G872" s="467"/>
      <c r="H872" s="467"/>
      <c r="I872" s="467"/>
      <c r="J872" s="467"/>
      <c r="K872" s="467"/>
      <c r="L872" s="467"/>
      <c r="M872" s="467"/>
      <c r="N872" s="467"/>
      <c r="O872" s="467"/>
      <c r="P872" s="467"/>
      <c r="Q872" s="467"/>
      <c r="R872" s="467"/>
      <c r="S872" s="467"/>
      <c r="T872" s="467"/>
      <c r="U872" s="468"/>
      <c r="V872" s="319"/>
      <c r="W872" s="319"/>
      <c r="X872" s="467"/>
      <c r="Y872" s="467"/>
      <c r="Z872" s="467"/>
      <c r="AA872" s="467"/>
      <c r="AB872" s="467"/>
    </row>
    <row r="873" spans="1:28" ht="15.75" customHeight="1">
      <c r="A873" s="467"/>
      <c r="B873" s="467"/>
      <c r="C873" s="467"/>
      <c r="D873" s="467"/>
      <c r="E873" s="467"/>
      <c r="F873" s="467"/>
      <c r="G873" s="467"/>
      <c r="H873" s="467"/>
      <c r="I873" s="467"/>
      <c r="J873" s="467"/>
      <c r="K873" s="467"/>
      <c r="L873" s="467"/>
      <c r="M873" s="467"/>
      <c r="N873" s="467"/>
      <c r="O873" s="467"/>
      <c r="P873" s="467"/>
      <c r="Q873" s="467"/>
      <c r="R873" s="467"/>
      <c r="S873" s="467"/>
      <c r="T873" s="467"/>
      <c r="U873" s="468"/>
      <c r="V873" s="319"/>
      <c r="W873" s="319"/>
      <c r="X873" s="467"/>
      <c r="Y873" s="467"/>
      <c r="Z873" s="467"/>
      <c r="AA873" s="467"/>
      <c r="AB873" s="467"/>
    </row>
    <row r="874" spans="1:28" ht="15.75" customHeight="1">
      <c r="A874" s="467"/>
      <c r="B874" s="467"/>
      <c r="C874" s="467"/>
      <c r="D874" s="467"/>
      <c r="E874" s="467"/>
      <c r="F874" s="467"/>
      <c r="G874" s="467"/>
      <c r="H874" s="467"/>
      <c r="I874" s="467"/>
      <c r="J874" s="467"/>
      <c r="K874" s="467"/>
      <c r="L874" s="467"/>
      <c r="M874" s="467"/>
      <c r="N874" s="467"/>
      <c r="O874" s="467"/>
      <c r="P874" s="467"/>
      <c r="Q874" s="467"/>
      <c r="R874" s="467"/>
      <c r="S874" s="467"/>
      <c r="T874" s="467"/>
      <c r="U874" s="468"/>
      <c r="V874" s="319"/>
      <c r="W874" s="319"/>
      <c r="X874" s="467"/>
      <c r="Y874" s="467"/>
      <c r="Z874" s="467"/>
      <c r="AA874" s="467"/>
      <c r="AB874" s="467"/>
    </row>
    <row r="875" spans="1:28" ht="15.75" customHeight="1">
      <c r="A875" s="467"/>
      <c r="B875" s="467"/>
      <c r="C875" s="467"/>
      <c r="D875" s="467"/>
      <c r="E875" s="467"/>
      <c r="F875" s="467"/>
      <c r="G875" s="467"/>
      <c r="H875" s="467"/>
      <c r="I875" s="467"/>
      <c r="J875" s="467"/>
      <c r="K875" s="467"/>
      <c r="L875" s="467"/>
      <c r="M875" s="467"/>
      <c r="N875" s="467"/>
      <c r="O875" s="467"/>
      <c r="P875" s="467"/>
      <c r="Q875" s="467"/>
      <c r="R875" s="467"/>
      <c r="S875" s="467"/>
      <c r="T875" s="467"/>
      <c r="U875" s="468"/>
      <c r="V875" s="319"/>
      <c r="W875" s="319"/>
      <c r="X875" s="467"/>
      <c r="Y875" s="467"/>
      <c r="Z875" s="467"/>
      <c r="AA875" s="467"/>
      <c r="AB875" s="467"/>
    </row>
    <row r="876" spans="1:28" ht="15.75" customHeight="1">
      <c r="A876" s="467"/>
      <c r="B876" s="467"/>
      <c r="C876" s="467"/>
      <c r="D876" s="467"/>
      <c r="E876" s="467"/>
      <c r="F876" s="467"/>
      <c r="G876" s="467"/>
      <c r="H876" s="467"/>
      <c r="I876" s="467"/>
      <c r="J876" s="467"/>
      <c r="K876" s="467"/>
      <c r="L876" s="467"/>
      <c r="M876" s="467"/>
      <c r="N876" s="467"/>
      <c r="O876" s="467"/>
      <c r="P876" s="467"/>
      <c r="Q876" s="467"/>
      <c r="R876" s="467"/>
      <c r="S876" s="467"/>
      <c r="T876" s="467"/>
      <c r="U876" s="468"/>
      <c r="V876" s="319"/>
      <c r="W876" s="319"/>
      <c r="X876" s="467"/>
      <c r="Y876" s="467"/>
      <c r="Z876" s="467"/>
      <c r="AA876" s="467"/>
      <c r="AB876" s="467"/>
    </row>
    <row r="877" spans="1:28" ht="15.75" customHeight="1">
      <c r="A877" s="467"/>
      <c r="B877" s="467"/>
      <c r="C877" s="467"/>
      <c r="D877" s="467"/>
      <c r="E877" s="467"/>
      <c r="F877" s="467"/>
      <c r="G877" s="467"/>
      <c r="H877" s="467"/>
      <c r="I877" s="467"/>
      <c r="J877" s="467"/>
      <c r="K877" s="467"/>
      <c r="L877" s="467"/>
      <c r="M877" s="467"/>
      <c r="N877" s="467"/>
      <c r="O877" s="467"/>
      <c r="P877" s="467"/>
      <c r="Q877" s="467"/>
      <c r="R877" s="467"/>
      <c r="S877" s="467"/>
      <c r="T877" s="467"/>
      <c r="U877" s="468"/>
      <c r="V877" s="319"/>
      <c r="W877" s="319"/>
      <c r="X877" s="467"/>
      <c r="Y877" s="467"/>
      <c r="Z877" s="467"/>
      <c r="AA877" s="467"/>
      <c r="AB877" s="467"/>
    </row>
    <row r="878" spans="1:28" ht="15.75" customHeight="1">
      <c r="A878" s="467"/>
      <c r="B878" s="467"/>
      <c r="C878" s="467"/>
      <c r="D878" s="467"/>
      <c r="E878" s="467"/>
      <c r="F878" s="467"/>
      <c r="G878" s="467"/>
      <c r="H878" s="467"/>
      <c r="I878" s="467"/>
      <c r="J878" s="467"/>
      <c r="K878" s="467"/>
      <c r="L878" s="467"/>
      <c r="M878" s="467"/>
      <c r="N878" s="467"/>
      <c r="O878" s="467"/>
      <c r="P878" s="467"/>
      <c r="Q878" s="467"/>
      <c r="R878" s="467"/>
      <c r="S878" s="467"/>
      <c r="T878" s="467"/>
      <c r="U878" s="468"/>
      <c r="V878" s="319"/>
      <c r="W878" s="319"/>
      <c r="X878" s="467"/>
      <c r="Y878" s="467"/>
      <c r="Z878" s="467"/>
      <c r="AA878" s="467"/>
      <c r="AB878" s="467"/>
    </row>
    <row r="879" spans="1:28" ht="15.75" customHeight="1">
      <c r="A879" s="467"/>
      <c r="B879" s="467"/>
      <c r="C879" s="467"/>
      <c r="D879" s="467"/>
      <c r="E879" s="467"/>
      <c r="F879" s="467"/>
      <c r="G879" s="467"/>
      <c r="H879" s="467"/>
      <c r="I879" s="467"/>
      <c r="J879" s="467"/>
      <c r="K879" s="467"/>
      <c r="L879" s="467"/>
      <c r="M879" s="467"/>
      <c r="N879" s="467"/>
      <c r="O879" s="467"/>
      <c r="P879" s="467"/>
      <c r="Q879" s="467"/>
      <c r="R879" s="467"/>
      <c r="S879" s="467"/>
      <c r="T879" s="467"/>
      <c r="U879" s="468"/>
      <c r="V879" s="319"/>
      <c r="W879" s="319"/>
      <c r="X879" s="467"/>
      <c r="Y879" s="467"/>
      <c r="Z879" s="467"/>
      <c r="AA879" s="467"/>
      <c r="AB879" s="467"/>
    </row>
    <row r="880" spans="1:28" ht="15.75" customHeight="1">
      <c r="A880" s="467"/>
      <c r="B880" s="467"/>
      <c r="C880" s="467"/>
      <c r="D880" s="467"/>
      <c r="E880" s="467"/>
      <c r="F880" s="467"/>
      <c r="G880" s="467"/>
      <c r="H880" s="467"/>
      <c r="I880" s="467"/>
      <c r="J880" s="467"/>
      <c r="K880" s="467"/>
      <c r="L880" s="467"/>
      <c r="M880" s="467"/>
      <c r="N880" s="467"/>
      <c r="O880" s="467"/>
      <c r="P880" s="467"/>
      <c r="Q880" s="467"/>
      <c r="R880" s="467"/>
      <c r="S880" s="467"/>
      <c r="T880" s="467"/>
      <c r="U880" s="468"/>
      <c r="V880" s="319"/>
      <c r="W880" s="319"/>
      <c r="X880" s="467"/>
      <c r="Y880" s="467"/>
      <c r="Z880" s="467"/>
      <c r="AA880" s="467"/>
      <c r="AB880" s="467"/>
    </row>
    <row r="881" spans="1:28" ht="15.75" customHeight="1">
      <c r="A881" s="467"/>
      <c r="B881" s="467"/>
      <c r="C881" s="467"/>
      <c r="D881" s="467"/>
      <c r="E881" s="467"/>
      <c r="F881" s="467"/>
      <c r="G881" s="467"/>
      <c r="H881" s="467"/>
      <c r="I881" s="467"/>
      <c r="J881" s="467"/>
      <c r="K881" s="467"/>
      <c r="L881" s="467"/>
      <c r="M881" s="467"/>
      <c r="N881" s="467"/>
      <c r="O881" s="467"/>
      <c r="P881" s="467"/>
      <c r="Q881" s="467"/>
      <c r="R881" s="467"/>
      <c r="S881" s="467"/>
      <c r="T881" s="467"/>
      <c r="U881" s="468"/>
      <c r="V881" s="319"/>
      <c r="W881" s="319"/>
      <c r="X881" s="467"/>
      <c r="Y881" s="467"/>
      <c r="Z881" s="467"/>
      <c r="AA881" s="467"/>
      <c r="AB881" s="467"/>
    </row>
    <row r="882" spans="1:28" ht="15.75" customHeight="1">
      <c r="A882" s="467"/>
      <c r="B882" s="467"/>
      <c r="C882" s="467"/>
      <c r="D882" s="467"/>
      <c r="E882" s="467"/>
      <c r="F882" s="467"/>
      <c r="G882" s="467"/>
      <c r="H882" s="467"/>
      <c r="I882" s="467"/>
      <c r="J882" s="467"/>
      <c r="K882" s="467"/>
      <c r="L882" s="467"/>
      <c r="M882" s="467"/>
      <c r="N882" s="467"/>
      <c r="O882" s="467"/>
      <c r="P882" s="467"/>
      <c r="Q882" s="467"/>
      <c r="R882" s="467"/>
      <c r="S882" s="467"/>
      <c r="T882" s="467"/>
      <c r="U882" s="468"/>
      <c r="V882" s="319"/>
      <c r="W882" s="319"/>
      <c r="X882" s="467"/>
      <c r="Y882" s="467"/>
      <c r="Z882" s="467"/>
      <c r="AA882" s="467"/>
      <c r="AB882" s="467"/>
    </row>
    <row r="883" spans="1:28" ht="15.75" customHeight="1">
      <c r="A883" s="467"/>
      <c r="B883" s="467"/>
      <c r="C883" s="467"/>
      <c r="D883" s="467"/>
      <c r="E883" s="467"/>
      <c r="F883" s="467"/>
      <c r="G883" s="467"/>
      <c r="H883" s="467"/>
      <c r="I883" s="467"/>
      <c r="J883" s="467"/>
      <c r="K883" s="467"/>
      <c r="L883" s="467"/>
      <c r="M883" s="467"/>
      <c r="N883" s="467"/>
      <c r="O883" s="467"/>
      <c r="P883" s="467"/>
      <c r="Q883" s="467"/>
      <c r="R883" s="467"/>
      <c r="S883" s="467"/>
      <c r="T883" s="467"/>
      <c r="U883" s="468"/>
      <c r="V883" s="319"/>
      <c r="W883" s="319"/>
      <c r="X883" s="467"/>
      <c r="Y883" s="467"/>
      <c r="Z883" s="467"/>
      <c r="AA883" s="467"/>
      <c r="AB883" s="467"/>
    </row>
    <row r="884" spans="1:28" ht="15.75" customHeight="1">
      <c r="A884" s="467"/>
      <c r="B884" s="467"/>
      <c r="C884" s="467"/>
      <c r="D884" s="467"/>
      <c r="E884" s="467"/>
      <c r="F884" s="467"/>
      <c r="G884" s="467"/>
      <c r="H884" s="467"/>
      <c r="I884" s="467"/>
      <c r="J884" s="467"/>
      <c r="K884" s="467"/>
      <c r="L884" s="467"/>
      <c r="M884" s="467"/>
      <c r="N884" s="467"/>
      <c r="O884" s="467"/>
      <c r="P884" s="467"/>
      <c r="Q884" s="467"/>
      <c r="R884" s="467"/>
      <c r="S884" s="467"/>
      <c r="T884" s="467"/>
      <c r="U884" s="468"/>
      <c r="V884" s="319"/>
      <c r="W884" s="319"/>
      <c r="X884" s="467"/>
      <c r="Y884" s="467"/>
      <c r="Z884" s="467"/>
      <c r="AA884" s="467"/>
      <c r="AB884" s="467"/>
    </row>
    <row r="885" spans="1:28" ht="15.75" customHeight="1">
      <c r="A885" s="467"/>
      <c r="B885" s="467"/>
      <c r="C885" s="467"/>
      <c r="D885" s="467"/>
      <c r="E885" s="467"/>
      <c r="F885" s="467"/>
      <c r="G885" s="467"/>
      <c r="H885" s="467"/>
      <c r="I885" s="467"/>
      <c r="J885" s="467"/>
      <c r="K885" s="467"/>
      <c r="L885" s="467"/>
      <c r="M885" s="467"/>
      <c r="N885" s="467"/>
      <c r="O885" s="467"/>
      <c r="P885" s="467"/>
      <c r="Q885" s="467"/>
      <c r="R885" s="467"/>
      <c r="S885" s="467"/>
      <c r="T885" s="467"/>
      <c r="U885" s="468"/>
      <c r="V885" s="319"/>
      <c r="W885" s="319"/>
      <c r="X885" s="467"/>
      <c r="Y885" s="467"/>
      <c r="Z885" s="467"/>
      <c r="AA885" s="467"/>
      <c r="AB885" s="467"/>
    </row>
    <row r="886" spans="1:28" ht="15.75" customHeight="1">
      <c r="A886" s="467"/>
      <c r="B886" s="467"/>
      <c r="C886" s="467"/>
      <c r="D886" s="467"/>
      <c r="E886" s="467"/>
      <c r="F886" s="467"/>
      <c r="G886" s="467"/>
      <c r="H886" s="467"/>
      <c r="I886" s="467"/>
      <c r="J886" s="467"/>
      <c r="K886" s="467"/>
      <c r="L886" s="467"/>
      <c r="M886" s="467"/>
      <c r="N886" s="467"/>
      <c r="O886" s="467"/>
      <c r="P886" s="467"/>
      <c r="Q886" s="467"/>
      <c r="R886" s="467"/>
      <c r="S886" s="467"/>
      <c r="T886" s="467"/>
      <c r="U886" s="468"/>
      <c r="V886" s="319"/>
      <c r="W886" s="319"/>
      <c r="X886" s="467"/>
      <c r="Y886" s="467"/>
      <c r="Z886" s="467"/>
      <c r="AA886" s="467"/>
      <c r="AB886" s="467"/>
    </row>
    <row r="887" spans="1:28" ht="15.75" customHeight="1">
      <c r="A887" s="467"/>
      <c r="B887" s="467"/>
      <c r="C887" s="467"/>
      <c r="D887" s="467"/>
      <c r="E887" s="467"/>
      <c r="F887" s="467"/>
      <c r="G887" s="467"/>
      <c r="H887" s="467"/>
      <c r="I887" s="467"/>
      <c r="J887" s="467"/>
      <c r="K887" s="467"/>
      <c r="L887" s="467"/>
      <c r="M887" s="467"/>
      <c r="N887" s="467"/>
      <c r="O887" s="467"/>
      <c r="P887" s="467"/>
      <c r="Q887" s="467"/>
      <c r="R887" s="467"/>
      <c r="S887" s="467"/>
      <c r="T887" s="467"/>
      <c r="U887" s="468"/>
      <c r="V887" s="319"/>
      <c r="W887" s="319"/>
      <c r="X887" s="467"/>
      <c r="Y887" s="467"/>
      <c r="Z887" s="467"/>
      <c r="AA887" s="467"/>
      <c r="AB887" s="467"/>
    </row>
    <row r="888" spans="1:28" ht="15.75" customHeight="1">
      <c r="A888" s="467"/>
      <c r="B888" s="467"/>
      <c r="C888" s="467"/>
      <c r="D888" s="467"/>
      <c r="E888" s="467"/>
      <c r="F888" s="467"/>
      <c r="G888" s="467"/>
      <c r="H888" s="467"/>
      <c r="I888" s="467"/>
      <c r="J888" s="467"/>
      <c r="K888" s="467"/>
      <c r="L888" s="467"/>
      <c r="M888" s="467"/>
      <c r="N888" s="467"/>
      <c r="O888" s="467"/>
      <c r="P888" s="467"/>
      <c r="Q888" s="467"/>
      <c r="R888" s="467"/>
      <c r="S888" s="467"/>
      <c r="T888" s="467"/>
      <c r="U888" s="468"/>
      <c r="V888" s="319"/>
      <c r="W888" s="319"/>
      <c r="X888" s="467"/>
      <c r="Y888" s="467"/>
      <c r="Z888" s="467"/>
      <c r="AA888" s="467"/>
      <c r="AB888" s="467"/>
    </row>
    <row r="889" spans="1:28" ht="15.75" customHeight="1">
      <c r="A889" s="467"/>
      <c r="B889" s="467"/>
      <c r="C889" s="467"/>
      <c r="D889" s="467"/>
      <c r="E889" s="467"/>
      <c r="F889" s="467"/>
      <c r="G889" s="467"/>
      <c r="H889" s="467"/>
      <c r="I889" s="467"/>
      <c r="J889" s="467"/>
      <c r="K889" s="467"/>
      <c r="L889" s="467"/>
      <c r="M889" s="467"/>
      <c r="N889" s="467"/>
      <c r="O889" s="467"/>
      <c r="P889" s="467"/>
      <c r="Q889" s="467"/>
      <c r="R889" s="467"/>
      <c r="S889" s="467"/>
      <c r="T889" s="467"/>
      <c r="U889" s="468"/>
      <c r="V889" s="319"/>
      <c r="W889" s="319"/>
      <c r="X889" s="467"/>
      <c r="Y889" s="467"/>
      <c r="Z889" s="467"/>
      <c r="AA889" s="467"/>
      <c r="AB889" s="467"/>
    </row>
    <row r="890" spans="1:28" ht="15.75" customHeight="1">
      <c r="A890" s="467"/>
      <c r="B890" s="467"/>
      <c r="C890" s="467"/>
      <c r="D890" s="467"/>
      <c r="E890" s="467"/>
      <c r="F890" s="467"/>
      <c r="G890" s="467"/>
      <c r="H890" s="467"/>
      <c r="I890" s="467"/>
      <c r="J890" s="467"/>
      <c r="K890" s="467"/>
      <c r="L890" s="467"/>
      <c r="M890" s="467"/>
      <c r="N890" s="467"/>
      <c r="O890" s="467"/>
      <c r="P890" s="467"/>
      <c r="Q890" s="467"/>
      <c r="R890" s="467"/>
      <c r="S890" s="467"/>
      <c r="T890" s="467"/>
      <c r="U890" s="468"/>
      <c r="V890" s="319"/>
      <c r="W890" s="319"/>
      <c r="X890" s="467"/>
      <c r="Y890" s="467"/>
      <c r="Z890" s="467"/>
      <c r="AA890" s="467"/>
      <c r="AB890" s="467"/>
    </row>
    <row r="891" spans="1:28" ht="15.75" customHeight="1">
      <c r="A891" s="467"/>
      <c r="B891" s="467"/>
      <c r="C891" s="467"/>
      <c r="D891" s="467"/>
      <c r="E891" s="467"/>
      <c r="F891" s="467"/>
      <c r="G891" s="467"/>
      <c r="H891" s="467"/>
      <c r="I891" s="467"/>
      <c r="J891" s="467"/>
      <c r="K891" s="467"/>
      <c r="L891" s="467"/>
      <c r="M891" s="467"/>
      <c r="N891" s="467"/>
      <c r="O891" s="467"/>
      <c r="P891" s="467"/>
      <c r="Q891" s="467"/>
      <c r="R891" s="467"/>
      <c r="S891" s="467"/>
      <c r="T891" s="467"/>
      <c r="U891" s="468"/>
      <c r="V891" s="319"/>
      <c r="W891" s="319"/>
      <c r="X891" s="467"/>
      <c r="Y891" s="467"/>
      <c r="Z891" s="467"/>
      <c r="AA891" s="467"/>
      <c r="AB891" s="467"/>
    </row>
    <row r="892" spans="1:28" ht="15.75" customHeight="1">
      <c r="A892" s="467"/>
      <c r="B892" s="467"/>
      <c r="C892" s="467"/>
      <c r="D892" s="467"/>
      <c r="E892" s="467"/>
      <c r="F892" s="467"/>
      <c r="G892" s="467"/>
      <c r="H892" s="467"/>
      <c r="I892" s="467"/>
      <c r="J892" s="467"/>
      <c r="K892" s="467"/>
      <c r="L892" s="467"/>
      <c r="M892" s="467"/>
      <c r="N892" s="467"/>
      <c r="O892" s="467"/>
      <c r="P892" s="467"/>
      <c r="Q892" s="467"/>
      <c r="R892" s="467"/>
      <c r="S892" s="467"/>
      <c r="T892" s="467"/>
      <c r="U892" s="468"/>
      <c r="V892" s="319"/>
      <c r="W892" s="319"/>
      <c r="X892" s="467"/>
      <c r="Y892" s="467"/>
      <c r="Z892" s="467"/>
      <c r="AA892" s="467"/>
      <c r="AB892" s="467"/>
    </row>
    <row r="893" spans="1:28" ht="15.75" customHeight="1">
      <c r="A893" s="467"/>
      <c r="B893" s="467"/>
      <c r="C893" s="467"/>
      <c r="D893" s="467"/>
      <c r="E893" s="467"/>
      <c r="F893" s="467"/>
      <c r="G893" s="467"/>
      <c r="H893" s="467"/>
      <c r="I893" s="467"/>
      <c r="J893" s="467"/>
      <c r="K893" s="467"/>
      <c r="L893" s="467"/>
      <c r="M893" s="467"/>
      <c r="N893" s="467"/>
      <c r="O893" s="467"/>
      <c r="P893" s="467"/>
      <c r="Q893" s="467"/>
      <c r="R893" s="467"/>
      <c r="S893" s="467"/>
      <c r="T893" s="467"/>
      <c r="U893" s="468"/>
      <c r="V893" s="319"/>
      <c r="W893" s="319"/>
      <c r="X893" s="467"/>
      <c r="Y893" s="467"/>
      <c r="Z893" s="467"/>
      <c r="AA893" s="467"/>
      <c r="AB893" s="467"/>
    </row>
    <row r="894" spans="1:28" ht="15.75" customHeight="1">
      <c r="A894" s="467"/>
      <c r="B894" s="467"/>
      <c r="C894" s="467"/>
      <c r="D894" s="467"/>
      <c r="E894" s="467"/>
      <c r="F894" s="467"/>
      <c r="G894" s="467"/>
      <c r="H894" s="467"/>
      <c r="I894" s="467"/>
      <c r="J894" s="467"/>
      <c r="K894" s="467"/>
      <c r="L894" s="467"/>
      <c r="M894" s="467"/>
      <c r="N894" s="467"/>
      <c r="O894" s="467"/>
      <c r="P894" s="467"/>
      <c r="Q894" s="467"/>
      <c r="R894" s="467"/>
      <c r="S894" s="467"/>
      <c r="T894" s="467"/>
      <c r="U894" s="468"/>
      <c r="V894" s="319"/>
      <c r="W894" s="319"/>
      <c r="X894" s="467"/>
      <c r="Y894" s="467"/>
      <c r="Z894" s="467"/>
      <c r="AA894" s="467"/>
      <c r="AB894" s="467"/>
    </row>
    <row r="895" spans="1:28" ht="15.75" customHeight="1">
      <c r="A895" s="467"/>
      <c r="B895" s="467"/>
      <c r="C895" s="467"/>
      <c r="D895" s="467"/>
      <c r="E895" s="467"/>
      <c r="F895" s="467"/>
      <c r="G895" s="467"/>
      <c r="H895" s="467"/>
      <c r="I895" s="467"/>
      <c r="J895" s="467"/>
      <c r="K895" s="467"/>
      <c r="L895" s="467"/>
      <c r="M895" s="467"/>
      <c r="N895" s="467"/>
      <c r="O895" s="467"/>
      <c r="P895" s="467"/>
      <c r="Q895" s="467"/>
      <c r="R895" s="467"/>
      <c r="S895" s="467"/>
      <c r="T895" s="467"/>
      <c r="U895" s="468"/>
      <c r="V895" s="319"/>
      <c r="W895" s="319"/>
      <c r="X895" s="467"/>
      <c r="Y895" s="467"/>
      <c r="Z895" s="467"/>
      <c r="AA895" s="467"/>
      <c r="AB895" s="467"/>
    </row>
    <row r="896" spans="1:28" ht="15.75" customHeight="1">
      <c r="A896" s="467"/>
      <c r="B896" s="467"/>
      <c r="C896" s="467"/>
      <c r="D896" s="467"/>
      <c r="E896" s="467"/>
      <c r="F896" s="467"/>
      <c r="G896" s="467"/>
      <c r="H896" s="467"/>
      <c r="I896" s="467"/>
      <c r="J896" s="467"/>
      <c r="K896" s="467"/>
      <c r="L896" s="467"/>
      <c r="M896" s="467"/>
      <c r="N896" s="467"/>
      <c r="O896" s="467"/>
      <c r="P896" s="467"/>
      <c r="Q896" s="467"/>
      <c r="R896" s="467"/>
      <c r="S896" s="467"/>
      <c r="T896" s="467"/>
      <c r="U896" s="468"/>
      <c r="V896" s="319"/>
      <c r="W896" s="319"/>
      <c r="X896" s="467"/>
      <c r="Y896" s="467"/>
      <c r="Z896" s="467"/>
      <c r="AA896" s="467"/>
      <c r="AB896" s="467"/>
    </row>
    <row r="897" spans="1:28" ht="15.75" customHeight="1">
      <c r="A897" s="467"/>
      <c r="B897" s="467"/>
      <c r="C897" s="467"/>
      <c r="D897" s="467"/>
      <c r="E897" s="467"/>
      <c r="F897" s="467"/>
      <c r="G897" s="467"/>
      <c r="H897" s="467"/>
      <c r="I897" s="467"/>
      <c r="J897" s="467"/>
      <c r="K897" s="467"/>
      <c r="L897" s="467"/>
      <c r="M897" s="467"/>
      <c r="N897" s="467"/>
      <c r="O897" s="467"/>
      <c r="P897" s="467"/>
      <c r="Q897" s="467"/>
      <c r="R897" s="467"/>
      <c r="S897" s="467"/>
      <c r="T897" s="467"/>
      <c r="U897" s="468"/>
      <c r="V897" s="319"/>
      <c r="W897" s="319"/>
      <c r="X897" s="467"/>
      <c r="Y897" s="467"/>
      <c r="Z897" s="467"/>
      <c r="AA897" s="467"/>
      <c r="AB897" s="467"/>
    </row>
    <row r="898" spans="1:28" ht="15.75" customHeight="1">
      <c r="A898" s="467"/>
      <c r="B898" s="467"/>
      <c r="C898" s="467"/>
      <c r="D898" s="467"/>
      <c r="E898" s="467"/>
      <c r="F898" s="467"/>
      <c r="G898" s="467"/>
      <c r="H898" s="467"/>
      <c r="I898" s="467"/>
      <c r="J898" s="467"/>
      <c r="K898" s="467"/>
      <c r="L898" s="467"/>
      <c r="M898" s="467"/>
      <c r="N898" s="467"/>
      <c r="O898" s="467"/>
      <c r="P898" s="467"/>
      <c r="Q898" s="467"/>
      <c r="R898" s="467"/>
      <c r="S898" s="467"/>
      <c r="T898" s="467"/>
      <c r="U898" s="468"/>
      <c r="V898" s="319"/>
      <c r="W898" s="319"/>
      <c r="X898" s="467"/>
      <c r="Y898" s="467"/>
      <c r="Z898" s="467"/>
      <c r="AA898" s="467"/>
      <c r="AB898" s="467"/>
    </row>
    <row r="899" spans="1:28" ht="15.75" customHeight="1">
      <c r="A899" s="467"/>
      <c r="B899" s="467"/>
      <c r="C899" s="467"/>
      <c r="D899" s="467"/>
      <c r="E899" s="467"/>
      <c r="F899" s="467"/>
      <c r="G899" s="467"/>
      <c r="H899" s="467"/>
      <c r="I899" s="467"/>
      <c r="J899" s="467"/>
      <c r="K899" s="467"/>
      <c r="L899" s="467"/>
      <c r="M899" s="467"/>
      <c r="N899" s="467"/>
      <c r="O899" s="467"/>
      <c r="P899" s="467"/>
      <c r="Q899" s="467"/>
      <c r="R899" s="467"/>
      <c r="S899" s="467"/>
      <c r="T899" s="467"/>
      <c r="U899" s="468"/>
      <c r="V899" s="319"/>
      <c r="W899" s="319"/>
      <c r="X899" s="467"/>
      <c r="Y899" s="467"/>
      <c r="Z899" s="467"/>
      <c r="AA899" s="467"/>
      <c r="AB899" s="467"/>
    </row>
    <row r="900" spans="1:28" ht="15.75" customHeight="1">
      <c r="A900" s="467"/>
      <c r="B900" s="467"/>
      <c r="C900" s="467"/>
      <c r="D900" s="467"/>
      <c r="E900" s="467"/>
      <c r="F900" s="467"/>
      <c r="G900" s="467"/>
      <c r="H900" s="467"/>
      <c r="I900" s="467"/>
      <c r="J900" s="467"/>
      <c r="K900" s="467"/>
      <c r="L900" s="467"/>
      <c r="M900" s="467"/>
      <c r="N900" s="467"/>
      <c r="O900" s="467"/>
      <c r="P900" s="467"/>
      <c r="Q900" s="467"/>
      <c r="R900" s="467"/>
      <c r="S900" s="467"/>
      <c r="T900" s="467"/>
      <c r="U900" s="468"/>
      <c r="V900" s="319"/>
      <c r="W900" s="319"/>
      <c r="X900" s="467"/>
      <c r="Y900" s="467"/>
      <c r="Z900" s="467"/>
      <c r="AA900" s="467"/>
      <c r="AB900" s="467"/>
    </row>
    <row r="901" spans="1:28" ht="15.75" customHeight="1">
      <c r="A901" s="467"/>
      <c r="B901" s="467"/>
      <c r="C901" s="467"/>
      <c r="D901" s="467"/>
      <c r="E901" s="467"/>
      <c r="F901" s="467"/>
      <c r="G901" s="467"/>
      <c r="H901" s="467"/>
      <c r="I901" s="467"/>
      <c r="J901" s="467"/>
      <c r="K901" s="467"/>
      <c r="L901" s="467"/>
      <c r="M901" s="467"/>
      <c r="N901" s="467"/>
      <c r="O901" s="467"/>
      <c r="P901" s="467"/>
      <c r="Q901" s="467"/>
      <c r="R901" s="467"/>
      <c r="S901" s="467"/>
      <c r="T901" s="467"/>
      <c r="U901" s="468"/>
      <c r="V901" s="319"/>
      <c r="W901" s="319"/>
      <c r="X901" s="467"/>
      <c r="Y901" s="467"/>
      <c r="Z901" s="467"/>
      <c r="AA901" s="467"/>
      <c r="AB901" s="467"/>
    </row>
    <row r="902" spans="1:28" ht="15.75" customHeight="1">
      <c r="A902" s="467"/>
      <c r="B902" s="467"/>
      <c r="C902" s="467"/>
      <c r="D902" s="467"/>
      <c r="E902" s="467"/>
      <c r="F902" s="467"/>
      <c r="G902" s="467"/>
      <c r="H902" s="467"/>
      <c r="I902" s="467"/>
      <c r="J902" s="467"/>
      <c r="K902" s="467"/>
      <c r="L902" s="467"/>
      <c r="M902" s="467"/>
      <c r="N902" s="467"/>
      <c r="O902" s="467"/>
      <c r="P902" s="467"/>
      <c r="Q902" s="467"/>
      <c r="R902" s="467"/>
      <c r="S902" s="467"/>
      <c r="T902" s="467"/>
      <c r="U902" s="468"/>
      <c r="V902" s="319"/>
      <c r="W902" s="319"/>
      <c r="X902" s="467"/>
      <c r="Y902" s="467"/>
      <c r="Z902" s="467"/>
      <c r="AA902" s="467"/>
      <c r="AB902" s="467"/>
    </row>
    <row r="903" spans="1:28" ht="15.75" customHeight="1">
      <c r="A903" s="467"/>
      <c r="B903" s="467"/>
      <c r="C903" s="467"/>
      <c r="D903" s="467"/>
      <c r="E903" s="467"/>
      <c r="F903" s="467"/>
      <c r="G903" s="467"/>
      <c r="H903" s="467"/>
      <c r="I903" s="467"/>
      <c r="J903" s="467"/>
      <c r="K903" s="467"/>
      <c r="L903" s="467"/>
      <c r="M903" s="467"/>
      <c r="N903" s="467"/>
      <c r="O903" s="467"/>
      <c r="P903" s="467"/>
      <c r="Q903" s="467"/>
      <c r="R903" s="467"/>
      <c r="S903" s="467"/>
      <c r="T903" s="467"/>
      <c r="U903" s="468"/>
      <c r="V903" s="319"/>
      <c r="W903" s="319"/>
      <c r="X903" s="467"/>
      <c r="Y903" s="467"/>
      <c r="Z903" s="467"/>
      <c r="AA903" s="467"/>
      <c r="AB903" s="467"/>
    </row>
    <row r="904" spans="1:28" ht="15.75" customHeight="1">
      <c r="A904" s="467"/>
      <c r="B904" s="467"/>
      <c r="C904" s="467"/>
      <c r="D904" s="467"/>
      <c r="E904" s="467"/>
      <c r="F904" s="467"/>
      <c r="G904" s="467"/>
      <c r="H904" s="467"/>
      <c r="I904" s="467"/>
      <c r="J904" s="467"/>
      <c r="K904" s="467"/>
      <c r="L904" s="467"/>
      <c r="M904" s="467"/>
      <c r="N904" s="467"/>
      <c r="O904" s="467"/>
      <c r="P904" s="467"/>
      <c r="Q904" s="467"/>
      <c r="R904" s="467"/>
      <c r="S904" s="467"/>
      <c r="T904" s="467"/>
      <c r="U904" s="468"/>
      <c r="V904" s="319"/>
      <c r="W904" s="319"/>
      <c r="X904" s="467"/>
      <c r="Y904" s="467"/>
      <c r="Z904" s="467"/>
      <c r="AA904" s="467"/>
      <c r="AB904" s="467"/>
    </row>
    <row r="905" spans="1:28" ht="15.75" customHeight="1">
      <c r="A905" s="467"/>
      <c r="B905" s="467"/>
      <c r="C905" s="467"/>
      <c r="D905" s="467"/>
      <c r="E905" s="467"/>
      <c r="F905" s="467"/>
      <c r="G905" s="467"/>
      <c r="H905" s="467"/>
      <c r="I905" s="467"/>
      <c r="J905" s="467"/>
      <c r="K905" s="467"/>
      <c r="L905" s="467"/>
      <c r="M905" s="467"/>
      <c r="N905" s="467"/>
      <c r="O905" s="467"/>
      <c r="P905" s="467"/>
      <c r="Q905" s="467"/>
      <c r="R905" s="467"/>
      <c r="S905" s="467"/>
      <c r="T905" s="467"/>
      <c r="U905" s="468"/>
      <c r="V905" s="319"/>
      <c r="W905" s="319"/>
      <c r="X905" s="467"/>
      <c r="Y905" s="467"/>
      <c r="Z905" s="467"/>
      <c r="AA905" s="467"/>
      <c r="AB905" s="467"/>
    </row>
    <row r="906" spans="1:28" ht="15.75" customHeight="1">
      <c r="A906" s="467"/>
      <c r="B906" s="467"/>
      <c r="C906" s="467"/>
      <c r="D906" s="467"/>
      <c r="E906" s="467"/>
      <c r="F906" s="467"/>
      <c r="G906" s="467"/>
      <c r="H906" s="467"/>
      <c r="I906" s="467"/>
      <c r="J906" s="467"/>
      <c r="K906" s="467"/>
      <c r="L906" s="467"/>
      <c r="M906" s="467"/>
      <c r="N906" s="467"/>
      <c r="O906" s="467"/>
      <c r="P906" s="467"/>
      <c r="Q906" s="467"/>
      <c r="R906" s="467"/>
      <c r="S906" s="467"/>
      <c r="T906" s="467"/>
      <c r="U906" s="468"/>
      <c r="V906" s="319"/>
      <c r="W906" s="319"/>
      <c r="X906" s="467"/>
      <c r="Y906" s="467"/>
      <c r="Z906" s="467"/>
      <c r="AA906" s="467"/>
      <c r="AB906" s="467"/>
    </row>
    <row r="907" spans="1:28" ht="15.75" customHeight="1">
      <c r="A907" s="467"/>
      <c r="B907" s="467"/>
      <c r="C907" s="467"/>
      <c r="D907" s="467"/>
      <c r="E907" s="467"/>
      <c r="F907" s="467"/>
      <c r="G907" s="467"/>
      <c r="H907" s="467"/>
      <c r="I907" s="467"/>
      <c r="J907" s="467"/>
      <c r="K907" s="467"/>
      <c r="L907" s="467"/>
      <c r="M907" s="467"/>
      <c r="N907" s="467"/>
      <c r="O907" s="467"/>
      <c r="P907" s="467"/>
      <c r="Q907" s="467"/>
      <c r="R907" s="467"/>
      <c r="S907" s="467"/>
      <c r="T907" s="467"/>
      <c r="U907" s="468"/>
      <c r="V907" s="319"/>
      <c r="W907" s="319"/>
      <c r="X907" s="467"/>
      <c r="Y907" s="467"/>
      <c r="Z907" s="467"/>
      <c r="AA907" s="467"/>
      <c r="AB907" s="467"/>
    </row>
    <row r="908" spans="1:28" ht="15.75" customHeight="1">
      <c r="A908" s="467"/>
      <c r="B908" s="467"/>
      <c r="C908" s="467"/>
      <c r="D908" s="467"/>
      <c r="E908" s="467"/>
      <c r="F908" s="467"/>
      <c r="G908" s="467"/>
      <c r="H908" s="467"/>
      <c r="I908" s="467"/>
      <c r="J908" s="467"/>
      <c r="K908" s="467"/>
      <c r="L908" s="467"/>
      <c r="M908" s="467"/>
      <c r="N908" s="467"/>
      <c r="O908" s="467"/>
      <c r="P908" s="467"/>
      <c r="Q908" s="467"/>
      <c r="R908" s="467"/>
      <c r="S908" s="467"/>
      <c r="T908" s="467"/>
      <c r="U908" s="468"/>
      <c r="V908" s="319"/>
      <c r="W908" s="319"/>
      <c r="X908" s="467"/>
      <c r="Y908" s="467"/>
      <c r="Z908" s="467"/>
      <c r="AA908" s="467"/>
      <c r="AB908" s="467"/>
    </row>
    <row r="909" spans="1:28" ht="15.75" customHeight="1">
      <c r="A909" s="467"/>
      <c r="B909" s="467"/>
      <c r="C909" s="467"/>
      <c r="D909" s="467"/>
      <c r="E909" s="467"/>
      <c r="F909" s="467"/>
      <c r="G909" s="467"/>
      <c r="H909" s="467"/>
      <c r="I909" s="467"/>
      <c r="J909" s="467"/>
      <c r="K909" s="467"/>
      <c r="L909" s="467"/>
      <c r="M909" s="467"/>
      <c r="N909" s="467"/>
      <c r="O909" s="467"/>
      <c r="P909" s="467"/>
      <c r="Q909" s="467"/>
      <c r="R909" s="467"/>
      <c r="S909" s="467"/>
      <c r="T909" s="467"/>
      <c r="U909" s="468"/>
      <c r="V909" s="319"/>
      <c r="W909" s="319"/>
      <c r="X909" s="467"/>
      <c r="Y909" s="467"/>
      <c r="Z909" s="467"/>
      <c r="AA909" s="467"/>
      <c r="AB909" s="467"/>
    </row>
    <row r="910" spans="1:28" ht="15.75" customHeight="1">
      <c r="A910" s="467"/>
      <c r="B910" s="467"/>
      <c r="C910" s="467"/>
      <c r="D910" s="467"/>
      <c r="E910" s="467"/>
      <c r="F910" s="467"/>
      <c r="G910" s="467"/>
      <c r="H910" s="467"/>
      <c r="I910" s="467"/>
      <c r="J910" s="467"/>
      <c r="K910" s="467"/>
      <c r="L910" s="467"/>
      <c r="M910" s="467"/>
      <c r="N910" s="467"/>
      <c r="O910" s="467"/>
      <c r="P910" s="467"/>
      <c r="Q910" s="467"/>
      <c r="R910" s="467"/>
      <c r="S910" s="467"/>
      <c r="T910" s="467"/>
      <c r="U910" s="468"/>
      <c r="V910" s="319"/>
      <c r="W910" s="319"/>
      <c r="X910" s="467"/>
      <c r="Y910" s="467"/>
      <c r="Z910" s="467"/>
      <c r="AA910" s="467"/>
      <c r="AB910" s="467"/>
    </row>
    <row r="911" spans="1:28" ht="15.75" customHeight="1">
      <c r="A911" s="467"/>
      <c r="B911" s="467"/>
      <c r="C911" s="467"/>
      <c r="D911" s="467"/>
      <c r="E911" s="467"/>
      <c r="F911" s="467"/>
      <c r="G911" s="467"/>
      <c r="H911" s="467"/>
      <c r="I911" s="467"/>
      <c r="J911" s="467"/>
      <c r="K911" s="467"/>
      <c r="L911" s="467"/>
      <c r="M911" s="467"/>
      <c r="N911" s="467"/>
      <c r="O911" s="467"/>
      <c r="P911" s="467"/>
      <c r="Q911" s="467"/>
      <c r="R911" s="467"/>
      <c r="S911" s="467"/>
      <c r="T911" s="467"/>
      <c r="U911" s="468"/>
      <c r="V911" s="319"/>
      <c r="W911" s="319"/>
      <c r="X911" s="467"/>
      <c r="Y911" s="467"/>
      <c r="Z911" s="467"/>
      <c r="AA911" s="467"/>
      <c r="AB911" s="467"/>
    </row>
    <row r="912" spans="1:28" ht="15.75" customHeight="1">
      <c r="A912" s="467"/>
      <c r="B912" s="467"/>
      <c r="C912" s="467"/>
      <c r="D912" s="467"/>
      <c r="E912" s="467"/>
      <c r="F912" s="467"/>
      <c r="G912" s="467"/>
      <c r="H912" s="467"/>
      <c r="I912" s="467"/>
      <c r="J912" s="467"/>
      <c r="K912" s="467"/>
      <c r="L912" s="467"/>
      <c r="M912" s="467"/>
      <c r="N912" s="467"/>
      <c r="O912" s="467"/>
      <c r="P912" s="467"/>
      <c r="Q912" s="467"/>
      <c r="R912" s="467"/>
      <c r="S912" s="467"/>
      <c r="T912" s="467"/>
      <c r="U912" s="468"/>
      <c r="V912" s="319"/>
      <c r="W912" s="319"/>
      <c r="X912" s="467"/>
      <c r="Y912" s="467"/>
      <c r="Z912" s="467"/>
      <c r="AA912" s="467"/>
      <c r="AB912" s="467"/>
    </row>
    <row r="913" spans="1:28" ht="15.75" customHeight="1">
      <c r="A913" s="467"/>
      <c r="B913" s="467"/>
      <c r="C913" s="467"/>
      <c r="D913" s="467"/>
      <c r="E913" s="467"/>
      <c r="F913" s="467"/>
      <c r="G913" s="467"/>
      <c r="H913" s="467"/>
      <c r="I913" s="467"/>
      <c r="J913" s="467"/>
      <c r="K913" s="467"/>
      <c r="L913" s="467"/>
      <c r="M913" s="467"/>
      <c r="N913" s="467"/>
      <c r="O913" s="467"/>
      <c r="P913" s="467"/>
      <c r="Q913" s="467"/>
      <c r="R913" s="467"/>
      <c r="S913" s="467"/>
      <c r="T913" s="467"/>
      <c r="U913" s="468"/>
      <c r="V913" s="319"/>
      <c r="W913" s="319"/>
      <c r="X913" s="467"/>
      <c r="Y913" s="467"/>
      <c r="Z913" s="467"/>
      <c r="AA913" s="467"/>
      <c r="AB913" s="467"/>
    </row>
    <row r="914" spans="1:28" ht="15.75" customHeight="1">
      <c r="A914" s="467"/>
      <c r="B914" s="467"/>
      <c r="C914" s="467"/>
      <c r="D914" s="467"/>
      <c r="E914" s="467"/>
      <c r="F914" s="467"/>
      <c r="G914" s="467"/>
      <c r="H914" s="467"/>
      <c r="I914" s="467"/>
      <c r="J914" s="467"/>
      <c r="K914" s="467"/>
      <c r="L914" s="467"/>
      <c r="M914" s="467"/>
      <c r="N914" s="467"/>
      <c r="O914" s="467"/>
      <c r="P914" s="467"/>
      <c r="Q914" s="467"/>
      <c r="R914" s="467"/>
      <c r="S914" s="467"/>
      <c r="T914" s="467"/>
      <c r="U914" s="468"/>
      <c r="V914" s="319"/>
      <c r="W914" s="319"/>
      <c r="X914" s="467"/>
      <c r="Y914" s="467"/>
      <c r="Z914" s="467"/>
      <c r="AA914" s="467"/>
      <c r="AB914" s="467"/>
    </row>
    <row r="915" spans="1:28" ht="15.75" customHeight="1">
      <c r="A915" s="467"/>
      <c r="B915" s="467"/>
      <c r="C915" s="467"/>
      <c r="D915" s="467"/>
      <c r="E915" s="467"/>
      <c r="F915" s="467"/>
      <c r="G915" s="467"/>
      <c r="H915" s="467"/>
      <c r="I915" s="467"/>
      <c r="J915" s="467"/>
      <c r="K915" s="467"/>
      <c r="L915" s="467"/>
      <c r="M915" s="467"/>
      <c r="N915" s="467"/>
      <c r="O915" s="467"/>
      <c r="P915" s="467"/>
      <c r="Q915" s="467"/>
      <c r="R915" s="467"/>
      <c r="S915" s="467"/>
      <c r="T915" s="467"/>
      <c r="U915" s="468"/>
      <c r="V915" s="319"/>
      <c r="W915" s="319"/>
      <c r="X915" s="467"/>
      <c r="Y915" s="467"/>
      <c r="Z915" s="467"/>
      <c r="AA915" s="467"/>
      <c r="AB915" s="467"/>
    </row>
    <row r="916" spans="1:28" ht="15.75" customHeight="1">
      <c r="A916" s="467"/>
      <c r="B916" s="467"/>
      <c r="C916" s="467"/>
      <c r="D916" s="467"/>
      <c r="E916" s="467"/>
      <c r="F916" s="467"/>
      <c r="G916" s="467"/>
      <c r="H916" s="467"/>
      <c r="I916" s="467"/>
      <c r="J916" s="467"/>
      <c r="K916" s="467"/>
      <c r="L916" s="467"/>
      <c r="M916" s="467"/>
      <c r="N916" s="467"/>
      <c r="O916" s="467"/>
      <c r="P916" s="467"/>
      <c r="Q916" s="467"/>
      <c r="R916" s="467"/>
      <c r="S916" s="467"/>
      <c r="T916" s="467"/>
      <c r="U916" s="468"/>
      <c r="V916" s="319"/>
      <c r="W916" s="319"/>
      <c r="X916" s="467"/>
      <c r="Y916" s="467"/>
      <c r="Z916" s="467"/>
      <c r="AA916" s="467"/>
      <c r="AB916" s="467"/>
    </row>
    <row r="917" spans="1:28" ht="15.75" customHeight="1">
      <c r="A917" s="467"/>
      <c r="B917" s="467"/>
      <c r="C917" s="467"/>
      <c r="D917" s="467"/>
      <c r="E917" s="467"/>
      <c r="F917" s="467"/>
      <c r="G917" s="467"/>
      <c r="H917" s="467"/>
      <c r="I917" s="467"/>
      <c r="J917" s="467"/>
      <c r="K917" s="467"/>
      <c r="L917" s="467"/>
      <c r="M917" s="467"/>
      <c r="N917" s="467"/>
      <c r="O917" s="467"/>
      <c r="P917" s="467"/>
      <c r="Q917" s="467"/>
      <c r="R917" s="467"/>
      <c r="S917" s="467"/>
      <c r="T917" s="467"/>
      <c r="U917" s="468"/>
      <c r="V917" s="319"/>
      <c r="W917" s="319"/>
      <c r="X917" s="467"/>
      <c r="Y917" s="467"/>
      <c r="Z917" s="467"/>
      <c r="AA917" s="467"/>
      <c r="AB917" s="467"/>
    </row>
    <row r="918" spans="1:28" ht="15.75" customHeight="1">
      <c r="A918" s="467"/>
      <c r="B918" s="467"/>
      <c r="C918" s="467"/>
      <c r="D918" s="467"/>
      <c r="E918" s="467"/>
      <c r="F918" s="467"/>
      <c r="G918" s="467"/>
      <c r="H918" s="467"/>
      <c r="I918" s="467"/>
      <c r="J918" s="467"/>
      <c r="K918" s="467"/>
      <c r="L918" s="467"/>
      <c r="M918" s="467"/>
      <c r="N918" s="467"/>
      <c r="O918" s="467"/>
      <c r="P918" s="467"/>
      <c r="Q918" s="467"/>
      <c r="R918" s="467"/>
      <c r="S918" s="467"/>
      <c r="T918" s="467"/>
      <c r="U918" s="468"/>
      <c r="V918" s="319"/>
      <c r="W918" s="319"/>
      <c r="X918" s="467"/>
      <c r="Y918" s="467"/>
      <c r="Z918" s="467"/>
      <c r="AA918" s="467"/>
      <c r="AB918" s="467"/>
    </row>
    <row r="919" spans="1:28" ht="15.75" customHeight="1">
      <c r="A919" s="467"/>
      <c r="B919" s="467"/>
      <c r="C919" s="467"/>
      <c r="D919" s="467"/>
      <c r="E919" s="467"/>
      <c r="F919" s="467"/>
      <c r="G919" s="467"/>
      <c r="H919" s="467"/>
      <c r="I919" s="467"/>
      <c r="J919" s="467"/>
      <c r="K919" s="467"/>
      <c r="L919" s="467"/>
      <c r="M919" s="467"/>
      <c r="N919" s="467"/>
      <c r="O919" s="467"/>
      <c r="P919" s="467"/>
      <c r="Q919" s="467"/>
      <c r="R919" s="467"/>
      <c r="S919" s="467"/>
      <c r="T919" s="467"/>
      <c r="U919" s="468"/>
      <c r="V919" s="319"/>
      <c r="W919" s="319"/>
      <c r="X919" s="467"/>
      <c r="Y919" s="467"/>
      <c r="Z919" s="467"/>
      <c r="AA919" s="467"/>
      <c r="AB919" s="467"/>
    </row>
    <row r="920" spans="1:28" ht="15.75" customHeight="1">
      <c r="A920" s="467"/>
      <c r="B920" s="467"/>
      <c r="C920" s="467"/>
      <c r="D920" s="467"/>
      <c r="E920" s="467"/>
      <c r="F920" s="467"/>
      <c r="G920" s="467"/>
      <c r="H920" s="467"/>
      <c r="I920" s="467"/>
      <c r="J920" s="467"/>
      <c r="K920" s="467"/>
      <c r="L920" s="467"/>
      <c r="M920" s="467"/>
      <c r="N920" s="467"/>
      <c r="O920" s="467"/>
      <c r="P920" s="467"/>
      <c r="Q920" s="467"/>
      <c r="R920" s="467"/>
      <c r="S920" s="467"/>
      <c r="T920" s="467"/>
      <c r="U920" s="468"/>
      <c r="V920" s="319"/>
      <c r="W920" s="319"/>
      <c r="X920" s="467"/>
      <c r="Y920" s="467"/>
      <c r="Z920" s="467"/>
      <c r="AA920" s="467"/>
      <c r="AB920" s="467"/>
    </row>
    <row r="921" spans="1:28" ht="15.75" customHeight="1">
      <c r="A921" s="467"/>
      <c r="B921" s="467"/>
      <c r="C921" s="467"/>
      <c r="D921" s="467"/>
      <c r="E921" s="467"/>
      <c r="F921" s="467"/>
      <c r="G921" s="467"/>
      <c r="H921" s="467"/>
      <c r="I921" s="467"/>
      <c r="J921" s="467"/>
      <c r="K921" s="467"/>
      <c r="L921" s="467"/>
      <c r="M921" s="467"/>
      <c r="N921" s="467"/>
      <c r="O921" s="467"/>
      <c r="P921" s="467"/>
      <c r="Q921" s="467"/>
      <c r="R921" s="467"/>
      <c r="S921" s="467"/>
      <c r="T921" s="467"/>
      <c r="U921" s="468"/>
      <c r="V921" s="319"/>
      <c r="W921" s="319"/>
      <c r="X921" s="467"/>
      <c r="Y921" s="467"/>
      <c r="Z921" s="467"/>
      <c r="AA921" s="467"/>
      <c r="AB921" s="467"/>
    </row>
    <row r="922" spans="1:28" ht="15.75" customHeight="1">
      <c r="A922" s="467"/>
      <c r="B922" s="467"/>
      <c r="C922" s="467"/>
      <c r="D922" s="467"/>
      <c r="E922" s="467"/>
      <c r="F922" s="467"/>
      <c r="G922" s="467"/>
      <c r="H922" s="467"/>
      <c r="I922" s="467"/>
      <c r="J922" s="467"/>
      <c r="K922" s="467"/>
      <c r="L922" s="467"/>
      <c r="M922" s="467"/>
      <c r="N922" s="467"/>
      <c r="O922" s="467"/>
      <c r="P922" s="467"/>
      <c r="Q922" s="467"/>
      <c r="R922" s="467"/>
      <c r="S922" s="467"/>
      <c r="T922" s="467"/>
      <c r="U922" s="468"/>
      <c r="V922" s="319"/>
      <c r="W922" s="319"/>
      <c r="X922" s="467"/>
      <c r="Y922" s="467"/>
      <c r="Z922" s="467"/>
      <c r="AA922" s="467"/>
      <c r="AB922" s="467"/>
    </row>
    <row r="923" spans="1:28" ht="15.75" customHeight="1">
      <c r="A923" s="467"/>
      <c r="B923" s="467"/>
      <c r="C923" s="467"/>
      <c r="D923" s="467"/>
      <c r="E923" s="467"/>
      <c r="F923" s="467"/>
      <c r="G923" s="467"/>
      <c r="H923" s="467"/>
      <c r="I923" s="467"/>
      <c r="J923" s="467"/>
      <c r="K923" s="467"/>
      <c r="L923" s="467"/>
      <c r="M923" s="467"/>
      <c r="N923" s="467"/>
      <c r="O923" s="467"/>
      <c r="P923" s="467"/>
      <c r="Q923" s="467"/>
      <c r="R923" s="467"/>
      <c r="S923" s="467"/>
      <c r="T923" s="467"/>
      <c r="U923" s="468"/>
      <c r="V923" s="319"/>
      <c r="W923" s="319"/>
      <c r="X923" s="467"/>
      <c r="Y923" s="467"/>
      <c r="Z923" s="467"/>
      <c r="AA923" s="467"/>
      <c r="AB923" s="467"/>
    </row>
    <row r="924" spans="1:28" ht="15.75" customHeight="1">
      <c r="A924" s="467"/>
      <c r="B924" s="467"/>
      <c r="C924" s="467"/>
      <c r="D924" s="467"/>
      <c r="E924" s="467"/>
      <c r="F924" s="467"/>
      <c r="G924" s="467"/>
      <c r="H924" s="467"/>
      <c r="I924" s="467"/>
      <c r="J924" s="467"/>
      <c r="K924" s="467"/>
      <c r="L924" s="467"/>
      <c r="M924" s="467"/>
      <c r="N924" s="467"/>
      <c r="O924" s="467"/>
      <c r="P924" s="467"/>
      <c r="Q924" s="467"/>
      <c r="R924" s="467"/>
      <c r="S924" s="467"/>
      <c r="T924" s="467"/>
      <c r="U924" s="468"/>
      <c r="V924" s="319"/>
      <c r="W924" s="319"/>
      <c r="X924" s="467"/>
      <c r="Y924" s="467"/>
      <c r="Z924" s="467"/>
      <c r="AA924" s="467"/>
      <c r="AB924" s="467"/>
    </row>
    <row r="925" spans="1:28" ht="15.75" customHeight="1">
      <c r="A925" s="467"/>
      <c r="B925" s="467"/>
      <c r="C925" s="467"/>
      <c r="D925" s="467"/>
      <c r="E925" s="467"/>
      <c r="F925" s="467"/>
      <c r="G925" s="467"/>
      <c r="H925" s="467"/>
      <c r="I925" s="467"/>
      <c r="J925" s="467"/>
      <c r="K925" s="467"/>
      <c r="L925" s="467"/>
      <c r="M925" s="467"/>
      <c r="N925" s="467"/>
      <c r="O925" s="467"/>
      <c r="P925" s="467"/>
      <c r="Q925" s="467"/>
      <c r="R925" s="467"/>
      <c r="S925" s="467"/>
      <c r="T925" s="467"/>
      <c r="U925" s="468"/>
      <c r="V925" s="319"/>
      <c r="W925" s="319"/>
      <c r="X925" s="467"/>
      <c r="Y925" s="467"/>
      <c r="Z925" s="467"/>
      <c r="AA925" s="467"/>
      <c r="AB925" s="467"/>
    </row>
    <row r="926" spans="1:28" ht="15.75" customHeight="1">
      <c r="A926" s="467"/>
      <c r="B926" s="467"/>
      <c r="C926" s="467"/>
      <c r="D926" s="467"/>
      <c r="E926" s="467"/>
      <c r="F926" s="467"/>
      <c r="G926" s="467"/>
      <c r="H926" s="467"/>
      <c r="I926" s="467"/>
      <c r="J926" s="467"/>
      <c r="K926" s="467"/>
      <c r="L926" s="467"/>
      <c r="M926" s="467"/>
      <c r="N926" s="467"/>
      <c r="O926" s="467"/>
      <c r="P926" s="467"/>
      <c r="Q926" s="467"/>
      <c r="R926" s="467"/>
      <c r="S926" s="467"/>
      <c r="T926" s="467"/>
      <c r="U926" s="468"/>
      <c r="V926" s="319"/>
      <c r="W926" s="319"/>
      <c r="X926" s="467"/>
      <c r="Y926" s="467"/>
      <c r="Z926" s="467"/>
      <c r="AA926" s="467"/>
      <c r="AB926" s="467"/>
    </row>
    <row r="927" spans="1:28" ht="15.75" customHeight="1">
      <c r="A927" s="467"/>
      <c r="B927" s="467"/>
      <c r="C927" s="467"/>
      <c r="D927" s="467"/>
      <c r="E927" s="467"/>
      <c r="F927" s="467"/>
      <c r="G927" s="467"/>
      <c r="H927" s="467"/>
      <c r="I927" s="467"/>
      <c r="J927" s="467"/>
      <c r="K927" s="467"/>
      <c r="L927" s="467"/>
      <c r="M927" s="467"/>
      <c r="N927" s="467"/>
      <c r="O927" s="467"/>
      <c r="P927" s="467"/>
      <c r="Q927" s="467"/>
      <c r="R927" s="467"/>
      <c r="S927" s="467"/>
      <c r="T927" s="467"/>
      <c r="U927" s="468"/>
      <c r="V927" s="319"/>
      <c r="W927" s="319"/>
      <c r="X927" s="467"/>
      <c r="Y927" s="467"/>
      <c r="Z927" s="467"/>
      <c r="AA927" s="467"/>
      <c r="AB927" s="467"/>
    </row>
    <row r="928" spans="1:28" ht="15.75" customHeight="1">
      <c r="A928" s="467"/>
      <c r="B928" s="467"/>
      <c r="C928" s="467"/>
      <c r="D928" s="467"/>
      <c r="E928" s="467"/>
      <c r="F928" s="467"/>
      <c r="G928" s="467"/>
      <c r="H928" s="467"/>
      <c r="I928" s="467"/>
      <c r="J928" s="467"/>
      <c r="K928" s="467"/>
      <c r="L928" s="467"/>
      <c r="M928" s="467"/>
      <c r="N928" s="467"/>
      <c r="O928" s="467"/>
      <c r="P928" s="467"/>
      <c r="Q928" s="467"/>
      <c r="R928" s="467"/>
      <c r="S928" s="467"/>
      <c r="T928" s="467"/>
      <c r="U928" s="468"/>
      <c r="V928" s="319"/>
      <c r="W928" s="319"/>
      <c r="X928" s="467"/>
      <c r="Y928" s="467"/>
      <c r="Z928" s="467"/>
      <c r="AA928" s="467"/>
      <c r="AB928" s="467"/>
    </row>
    <row r="929" spans="1:28" ht="15.75" customHeight="1">
      <c r="A929" s="467"/>
      <c r="B929" s="467"/>
      <c r="C929" s="467"/>
      <c r="D929" s="467"/>
      <c r="E929" s="467"/>
      <c r="F929" s="467"/>
      <c r="G929" s="467"/>
      <c r="H929" s="467"/>
      <c r="I929" s="467"/>
      <c r="J929" s="467"/>
      <c r="K929" s="467"/>
      <c r="L929" s="467"/>
      <c r="M929" s="467"/>
      <c r="N929" s="467"/>
      <c r="O929" s="467"/>
      <c r="P929" s="467"/>
      <c r="Q929" s="467"/>
      <c r="R929" s="467"/>
      <c r="S929" s="467"/>
      <c r="T929" s="467"/>
      <c r="U929" s="468"/>
      <c r="V929" s="319"/>
      <c r="W929" s="319"/>
      <c r="X929" s="467"/>
      <c r="Y929" s="467"/>
      <c r="Z929" s="467"/>
      <c r="AA929" s="467"/>
      <c r="AB929" s="467"/>
    </row>
    <row r="930" spans="1:28" ht="15.75" customHeight="1">
      <c r="A930" s="467"/>
      <c r="B930" s="467"/>
      <c r="C930" s="467"/>
      <c r="D930" s="467"/>
      <c r="E930" s="467"/>
      <c r="F930" s="467"/>
      <c r="G930" s="467"/>
      <c r="H930" s="467"/>
      <c r="I930" s="467"/>
      <c r="J930" s="467"/>
      <c r="K930" s="467"/>
      <c r="L930" s="467"/>
      <c r="M930" s="467"/>
      <c r="N930" s="467"/>
      <c r="O930" s="467"/>
      <c r="P930" s="467"/>
      <c r="Q930" s="467"/>
      <c r="R930" s="467"/>
      <c r="S930" s="467"/>
      <c r="T930" s="467"/>
      <c r="U930" s="468"/>
      <c r="V930" s="319"/>
      <c r="W930" s="319"/>
      <c r="X930" s="467"/>
      <c r="Y930" s="467"/>
      <c r="Z930" s="467"/>
      <c r="AA930" s="467"/>
      <c r="AB930" s="467"/>
    </row>
    <row r="931" spans="1:28" ht="15.75" customHeight="1">
      <c r="A931" s="467"/>
      <c r="B931" s="467"/>
      <c r="C931" s="467"/>
      <c r="D931" s="467"/>
      <c r="E931" s="467"/>
      <c r="F931" s="467"/>
      <c r="G931" s="467"/>
      <c r="H931" s="467"/>
      <c r="I931" s="467"/>
      <c r="J931" s="467"/>
      <c r="K931" s="467"/>
      <c r="L931" s="467"/>
      <c r="M931" s="467"/>
      <c r="N931" s="467"/>
      <c r="O931" s="467"/>
      <c r="P931" s="467"/>
      <c r="Q931" s="467"/>
      <c r="R931" s="467"/>
      <c r="S931" s="467"/>
      <c r="T931" s="467"/>
      <c r="U931" s="468"/>
      <c r="V931" s="319"/>
      <c r="W931" s="319"/>
      <c r="X931" s="467"/>
      <c r="Y931" s="467"/>
      <c r="Z931" s="467"/>
      <c r="AA931" s="467"/>
      <c r="AB931" s="467"/>
    </row>
    <row r="932" spans="1:28" ht="15.75" customHeight="1">
      <c r="A932" s="467"/>
      <c r="B932" s="467"/>
      <c r="C932" s="467"/>
      <c r="D932" s="467"/>
      <c r="E932" s="467"/>
      <c r="F932" s="467"/>
      <c r="G932" s="467"/>
      <c r="H932" s="467"/>
      <c r="I932" s="467"/>
      <c r="J932" s="467"/>
      <c r="K932" s="467"/>
      <c r="L932" s="467"/>
      <c r="M932" s="467"/>
      <c r="N932" s="467"/>
      <c r="O932" s="467"/>
      <c r="P932" s="467"/>
      <c r="Q932" s="467"/>
      <c r="R932" s="467"/>
      <c r="S932" s="467"/>
      <c r="T932" s="467"/>
      <c r="U932" s="468"/>
      <c r="V932" s="319"/>
      <c r="W932" s="319"/>
      <c r="X932" s="467"/>
      <c r="Y932" s="467"/>
      <c r="Z932" s="467"/>
      <c r="AA932" s="467"/>
      <c r="AB932" s="467"/>
    </row>
    <row r="933" spans="1:28" ht="15.75" customHeight="1">
      <c r="A933" s="467"/>
      <c r="B933" s="467"/>
      <c r="C933" s="467"/>
      <c r="D933" s="467"/>
      <c r="E933" s="467"/>
      <c r="F933" s="467"/>
      <c r="G933" s="467"/>
      <c r="H933" s="467"/>
      <c r="I933" s="467"/>
      <c r="J933" s="467"/>
      <c r="K933" s="467"/>
      <c r="L933" s="467"/>
      <c r="M933" s="467"/>
      <c r="N933" s="467"/>
      <c r="O933" s="467"/>
      <c r="P933" s="467"/>
      <c r="Q933" s="467"/>
      <c r="R933" s="467"/>
      <c r="S933" s="467"/>
      <c r="T933" s="467"/>
      <c r="U933" s="468"/>
      <c r="V933" s="319"/>
      <c r="W933" s="319"/>
      <c r="X933" s="467"/>
      <c r="Y933" s="467"/>
      <c r="Z933" s="467"/>
      <c r="AA933" s="467"/>
      <c r="AB933" s="467"/>
    </row>
    <row r="934" spans="1:28" ht="15.75" customHeight="1">
      <c r="A934" s="467"/>
      <c r="B934" s="467"/>
      <c r="C934" s="467"/>
      <c r="D934" s="467"/>
      <c r="E934" s="467"/>
      <c r="F934" s="467"/>
      <c r="G934" s="467"/>
      <c r="H934" s="467"/>
      <c r="I934" s="467"/>
      <c r="J934" s="467"/>
      <c r="K934" s="467"/>
      <c r="L934" s="467"/>
      <c r="M934" s="467"/>
      <c r="N934" s="467"/>
      <c r="O934" s="467"/>
      <c r="P934" s="467"/>
      <c r="Q934" s="467"/>
      <c r="R934" s="467"/>
      <c r="S934" s="467"/>
      <c r="T934" s="467"/>
      <c r="U934" s="468"/>
      <c r="V934" s="319"/>
      <c r="W934" s="319"/>
      <c r="X934" s="467"/>
      <c r="Y934" s="467"/>
      <c r="Z934" s="467"/>
      <c r="AA934" s="467"/>
      <c r="AB934" s="467"/>
    </row>
    <row r="935" spans="1:28" ht="15.75" customHeight="1">
      <c r="A935" s="467"/>
      <c r="B935" s="467"/>
      <c r="C935" s="467"/>
      <c r="D935" s="467"/>
      <c r="E935" s="467"/>
      <c r="F935" s="467"/>
      <c r="G935" s="467"/>
      <c r="H935" s="467"/>
      <c r="I935" s="467"/>
      <c r="J935" s="467"/>
      <c r="K935" s="467"/>
      <c r="L935" s="467"/>
      <c r="M935" s="467"/>
      <c r="N935" s="467"/>
      <c r="O935" s="467"/>
      <c r="P935" s="467"/>
      <c r="Q935" s="467"/>
      <c r="R935" s="467"/>
      <c r="S935" s="467"/>
      <c r="T935" s="467"/>
      <c r="U935" s="468"/>
      <c r="V935" s="319"/>
      <c r="W935" s="319"/>
      <c r="X935" s="467"/>
      <c r="Y935" s="467"/>
      <c r="Z935" s="467"/>
      <c r="AA935" s="467"/>
      <c r="AB935" s="467"/>
    </row>
    <row r="936" spans="1:28" ht="15.75" customHeight="1">
      <c r="A936" s="467"/>
      <c r="B936" s="467"/>
      <c r="C936" s="467"/>
      <c r="D936" s="467"/>
      <c r="E936" s="467"/>
      <c r="F936" s="467"/>
      <c r="G936" s="467"/>
      <c r="H936" s="467"/>
      <c r="I936" s="467"/>
      <c r="J936" s="467"/>
      <c r="K936" s="467"/>
      <c r="L936" s="467"/>
      <c r="M936" s="467"/>
      <c r="N936" s="467"/>
      <c r="O936" s="467"/>
      <c r="P936" s="467"/>
      <c r="Q936" s="467"/>
      <c r="R936" s="467"/>
      <c r="S936" s="467"/>
      <c r="T936" s="467"/>
      <c r="U936" s="468"/>
      <c r="V936" s="319"/>
      <c r="W936" s="319"/>
      <c r="X936" s="467"/>
      <c r="Y936" s="467"/>
      <c r="Z936" s="467"/>
      <c r="AA936" s="467"/>
      <c r="AB936" s="467"/>
    </row>
    <row r="937" spans="1:28" ht="15.75" customHeight="1">
      <c r="A937" s="467"/>
      <c r="B937" s="467"/>
      <c r="C937" s="467"/>
      <c r="D937" s="467"/>
      <c r="E937" s="467"/>
      <c r="F937" s="467"/>
      <c r="G937" s="467"/>
      <c r="H937" s="467"/>
      <c r="I937" s="467"/>
      <c r="J937" s="467"/>
      <c r="K937" s="467"/>
      <c r="L937" s="467"/>
      <c r="M937" s="467"/>
      <c r="N937" s="467"/>
      <c r="O937" s="467"/>
      <c r="P937" s="467"/>
      <c r="Q937" s="467"/>
      <c r="R937" s="467"/>
      <c r="S937" s="467"/>
      <c r="T937" s="467"/>
      <c r="U937" s="468"/>
      <c r="V937" s="319"/>
      <c r="W937" s="319"/>
      <c r="X937" s="467"/>
      <c r="Y937" s="467"/>
      <c r="Z937" s="467"/>
      <c r="AA937" s="467"/>
      <c r="AB937" s="467"/>
    </row>
    <row r="938" spans="1:28" ht="15.75" customHeight="1">
      <c r="A938" s="467"/>
      <c r="B938" s="467"/>
      <c r="C938" s="467"/>
      <c r="D938" s="467"/>
      <c r="E938" s="467"/>
      <c r="F938" s="467"/>
      <c r="G938" s="467"/>
      <c r="H938" s="467"/>
      <c r="I938" s="467"/>
      <c r="J938" s="467"/>
      <c r="K938" s="467"/>
      <c r="L938" s="467"/>
      <c r="M938" s="467"/>
      <c r="N938" s="467"/>
      <c r="O938" s="467"/>
      <c r="P938" s="467"/>
      <c r="Q938" s="467"/>
      <c r="R938" s="467"/>
      <c r="S938" s="467"/>
      <c r="T938" s="467"/>
      <c r="U938" s="468"/>
      <c r="V938" s="319"/>
      <c r="W938" s="319"/>
      <c r="X938" s="467"/>
      <c r="Y938" s="467"/>
      <c r="Z938" s="467"/>
      <c r="AA938" s="467"/>
      <c r="AB938" s="467"/>
    </row>
    <row r="939" spans="1:28" ht="15.75" customHeight="1">
      <c r="A939" s="467"/>
      <c r="B939" s="467"/>
      <c r="C939" s="467"/>
      <c r="D939" s="467"/>
      <c r="E939" s="467"/>
      <c r="F939" s="467"/>
      <c r="G939" s="467"/>
      <c r="H939" s="467"/>
      <c r="I939" s="467"/>
      <c r="J939" s="467"/>
      <c r="K939" s="467"/>
      <c r="L939" s="467"/>
      <c r="M939" s="467"/>
      <c r="N939" s="467"/>
      <c r="O939" s="467"/>
      <c r="P939" s="467"/>
      <c r="Q939" s="467"/>
      <c r="R939" s="467"/>
      <c r="S939" s="467"/>
      <c r="T939" s="467"/>
      <c r="U939" s="468"/>
      <c r="V939" s="319"/>
      <c r="W939" s="319"/>
      <c r="X939" s="467"/>
      <c r="Y939" s="467"/>
      <c r="Z939" s="467"/>
      <c r="AA939" s="467"/>
      <c r="AB939" s="467"/>
    </row>
    <row r="940" spans="1:28" ht="15.75" customHeight="1">
      <c r="A940" s="467"/>
      <c r="B940" s="467"/>
      <c r="C940" s="467"/>
      <c r="D940" s="467"/>
      <c r="E940" s="467"/>
      <c r="F940" s="467"/>
      <c r="G940" s="467"/>
      <c r="H940" s="467"/>
      <c r="I940" s="467"/>
      <c r="J940" s="467"/>
      <c r="K940" s="467"/>
      <c r="L940" s="467"/>
      <c r="M940" s="467"/>
      <c r="N940" s="467"/>
      <c r="O940" s="467"/>
      <c r="P940" s="467"/>
      <c r="Q940" s="467"/>
      <c r="R940" s="467"/>
      <c r="S940" s="467"/>
      <c r="T940" s="467"/>
      <c r="U940" s="468"/>
      <c r="V940" s="319"/>
      <c r="W940" s="319"/>
      <c r="X940" s="467"/>
      <c r="Y940" s="467"/>
      <c r="Z940" s="467"/>
      <c r="AA940" s="467"/>
      <c r="AB940" s="467"/>
    </row>
    <row r="941" spans="1:28" ht="15.75" customHeight="1">
      <c r="A941" s="467"/>
      <c r="B941" s="467"/>
      <c r="C941" s="467"/>
      <c r="D941" s="467"/>
      <c r="E941" s="467"/>
      <c r="F941" s="467"/>
      <c r="G941" s="467"/>
      <c r="H941" s="467"/>
      <c r="I941" s="467"/>
      <c r="J941" s="467"/>
      <c r="K941" s="467"/>
      <c r="L941" s="467"/>
      <c r="M941" s="467"/>
      <c r="N941" s="467"/>
      <c r="O941" s="467"/>
      <c r="P941" s="467"/>
      <c r="Q941" s="467"/>
      <c r="R941" s="467"/>
      <c r="S941" s="467"/>
      <c r="T941" s="467"/>
      <c r="U941" s="468"/>
      <c r="V941" s="319"/>
      <c r="W941" s="319"/>
      <c r="X941" s="467"/>
      <c r="Y941" s="467"/>
      <c r="Z941" s="467"/>
      <c r="AA941" s="467"/>
      <c r="AB941" s="467"/>
    </row>
    <row r="942" spans="1:28" ht="15.75" customHeight="1">
      <c r="A942" s="467"/>
      <c r="B942" s="467"/>
      <c r="C942" s="467"/>
      <c r="D942" s="467"/>
      <c r="E942" s="467"/>
      <c r="F942" s="467"/>
      <c r="G942" s="467"/>
      <c r="H942" s="467"/>
      <c r="I942" s="467"/>
      <c r="J942" s="467"/>
      <c r="K942" s="467"/>
      <c r="L942" s="467"/>
      <c r="M942" s="467"/>
      <c r="N942" s="467"/>
      <c r="O942" s="467"/>
      <c r="P942" s="467"/>
      <c r="Q942" s="467"/>
      <c r="R942" s="467"/>
      <c r="S942" s="467"/>
      <c r="T942" s="467"/>
      <c r="U942" s="468"/>
      <c r="V942" s="319"/>
      <c r="W942" s="319"/>
      <c r="X942" s="467"/>
      <c r="Y942" s="467"/>
      <c r="Z942" s="467"/>
      <c r="AA942" s="467"/>
      <c r="AB942" s="467"/>
    </row>
    <row r="943" spans="1:28" ht="15.75" customHeight="1">
      <c r="A943" s="467"/>
      <c r="B943" s="467"/>
      <c r="C943" s="467"/>
      <c r="D943" s="467"/>
      <c r="E943" s="467"/>
      <c r="F943" s="467"/>
      <c r="G943" s="467"/>
      <c r="H943" s="467"/>
      <c r="I943" s="467"/>
      <c r="J943" s="467"/>
      <c r="K943" s="467"/>
      <c r="L943" s="467"/>
      <c r="M943" s="467"/>
      <c r="N943" s="467"/>
      <c r="O943" s="467"/>
      <c r="P943" s="467"/>
      <c r="Q943" s="467"/>
      <c r="R943" s="467"/>
      <c r="S943" s="467"/>
      <c r="T943" s="467"/>
      <c r="U943" s="468"/>
      <c r="V943" s="319"/>
      <c r="W943" s="319"/>
      <c r="X943" s="467"/>
      <c r="Y943" s="467"/>
      <c r="Z943" s="467"/>
      <c r="AA943" s="467"/>
      <c r="AB943" s="467"/>
    </row>
    <row r="944" spans="1:28" ht="15.75" customHeight="1">
      <c r="A944" s="467"/>
      <c r="B944" s="467"/>
      <c r="C944" s="467"/>
      <c r="D944" s="467"/>
      <c r="E944" s="467"/>
      <c r="F944" s="467"/>
      <c r="G944" s="467"/>
      <c r="H944" s="467"/>
      <c r="I944" s="467"/>
      <c r="J944" s="467"/>
      <c r="K944" s="467"/>
      <c r="L944" s="467"/>
      <c r="M944" s="467"/>
      <c r="N944" s="467"/>
      <c r="O944" s="467"/>
      <c r="P944" s="467"/>
      <c r="Q944" s="467"/>
      <c r="R944" s="467"/>
      <c r="S944" s="467"/>
      <c r="T944" s="467"/>
      <c r="U944" s="468"/>
      <c r="V944" s="319"/>
      <c r="W944" s="319"/>
      <c r="X944" s="467"/>
      <c r="Y944" s="467"/>
      <c r="Z944" s="467"/>
      <c r="AA944" s="467"/>
      <c r="AB944" s="467"/>
    </row>
    <row r="945" spans="1:28" ht="15.75" customHeight="1">
      <c r="A945" s="467"/>
      <c r="B945" s="467"/>
      <c r="C945" s="467"/>
      <c r="D945" s="467"/>
      <c r="E945" s="467"/>
      <c r="F945" s="467"/>
      <c r="G945" s="467"/>
      <c r="H945" s="467"/>
      <c r="I945" s="467"/>
      <c r="J945" s="467"/>
      <c r="K945" s="467"/>
      <c r="L945" s="467"/>
      <c r="M945" s="467"/>
      <c r="N945" s="467"/>
      <c r="O945" s="467"/>
      <c r="P945" s="467"/>
      <c r="Q945" s="467"/>
      <c r="R945" s="467"/>
      <c r="S945" s="467"/>
      <c r="T945" s="467"/>
      <c r="U945" s="468"/>
      <c r="V945" s="319"/>
      <c r="W945" s="319"/>
      <c r="X945" s="467"/>
      <c r="Y945" s="467"/>
      <c r="Z945" s="467"/>
      <c r="AA945" s="467"/>
      <c r="AB945" s="467"/>
    </row>
    <row r="946" spans="1:28" ht="15.75" customHeight="1">
      <c r="A946" s="467"/>
      <c r="B946" s="467"/>
      <c r="C946" s="467"/>
      <c r="D946" s="467"/>
      <c r="E946" s="467"/>
      <c r="F946" s="467"/>
      <c r="G946" s="467"/>
      <c r="H946" s="467"/>
      <c r="I946" s="467"/>
      <c r="J946" s="467"/>
      <c r="K946" s="467"/>
      <c r="L946" s="467"/>
      <c r="M946" s="467"/>
      <c r="N946" s="467"/>
      <c r="O946" s="467"/>
      <c r="P946" s="467"/>
      <c r="Q946" s="467"/>
      <c r="R946" s="467"/>
      <c r="S946" s="467"/>
      <c r="T946" s="467"/>
      <c r="U946" s="468"/>
      <c r="V946" s="319"/>
      <c r="W946" s="319"/>
      <c r="X946" s="467"/>
      <c r="Y946" s="467"/>
      <c r="Z946" s="467"/>
      <c r="AA946" s="467"/>
      <c r="AB946" s="467"/>
    </row>
    <row r="947" spans="1:28" ht="15.75" customHeight="1">
      <c r="A947" s="467"/>
      <c r="B947" s="467"/>
      <c r="C947" s="467"/>
      <c r="D947" s="467"/>
      <c r="E947" s="467"/>
      <c r="F947" s="467"/>
      <c r="G947" s="467"/>
      <c r="H947" s="467"/>
      <c r="I947" s="467"/>
      <c r="J947" s="467"/>
      <c r="K947" s="467"/>
      <c r="L947" s="467"/>
      <c r="M947" s="467"/>
      <c r="N947" s="467"/>
      <c r="O947" s="467"/>
      <c r="P947" s="467"/>
      <c r="Q947" s="467"/>
      <c r="R947" s="467"/>
      <c r="S947" s="467"/>
      <c r="T947" s="467"/>
      <c r="U947" s="468"/>
      <c r="V947" s="319"/>
      <c r="W947" s="319"/>
      <c r="X947" s="467"/>
      <c r="Y947" s="467"/>
      <c r="Z947" s="467"/>
      <c r="AA947" s="467"/>
      <c r="AB947" s="467"/>
    </row>
  </sheetData>
  <mergeCells count="102">
    <mergeCell ref="B204:B206"/>
    <mergeCell ref="C204:C206"/>
    <mergeCell ref="B210:D210"/>
    <mergeCell ref="A211:D211"/>
    <mergeCell ref="A135:A158"/>
    <mergeCell ref="B135:B136"/>
    <mergeCell ref="B138:B144"/>
    <mergeCell ref="B145:B146"/>
    <mergeCell ref="B147:B149"/>
    <mergeCell ref="B158:D158"/>
    <mergeCell ref="A159:A210"/>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A94:A134"/>
    <mergeCell ref="B114:B118"/>
    <mergeCell ref="C114:C118"/>
    <mergeCell ref="B119:B120"/>
    <mergeCell ref="C119:C120"/>
    <mergeCell ref="B122:B125"/>
    <mergeCell ref="C122:C125"/>
    <mergeCell ref="B128:B130"/>
    <mergeCell ref="C128:C130"/>
    <mergeCell ref="B131:B132"/>
    <mergeCell ref="C131:C132"/>
    <mergeCell ref="B134:D134"/>
    <mergeCell ref="B86:B89"/>
    <mergeCell ref="C86:C89"/>
    <mergeCell ref="B93:D93"/>
    <mergeCell ref="C94:C103"/>
    <mergeCell ref="B104:B105"/>
    <mergeCell ref="C104:C105"/>
    <mergeCell ref="B106:B110"/>
    <mergeCell ref="C106:C110"/>
    <mergeCell ref="B111:B113"/>
    <mergeCell ref="C111:C113"/>
    <mergeCell ref="B94:B103"/>
    <mergeCell ref="A1:E1"/>
    <mergeCell ref="A4:A5"/>
    <mergeCell ref="C4:C5"/>
    <mergeCell ref="D4:D5"/>
    <mergeCell ref="E4:E5"/>
    <mergeCell ref="F4:F5"/>
    <mergeCell ref="A6:A68"/>
    <mergeCell ref="B68:D68"/>
    <mergeCell ref="B79:B85"/>
    <mergeCell ref="C79:C85"/>
    <mergeCell ref="B75:B78"/>
    <mergeCell ref="B57:B66"/>
    <mergeCell ref="C57:C66"/>
    <mergeCell ref="A69:A93"/>
    <mergeCell ref="B70:B74"/>
    <mergeCell ref="C70:C74"/>
    <mergeCell ref="C75:C78"/>
    <mergeCell ref="B4:B5"/>
    <mergeCell ref="B6:B23"/>
    <mergeCell ref="B26:B36"/>
    <mergeCell ref="C26:C36"/>
    <mergeCell ref="B37:B39"/>
    <mergeCell ref="C37:C39"/>
    <mergeCell ref="B40:B46"/>
    <mergeCell ref="C40:C46"/>
    <mergeCell ref="B47:B56"/>
    <mergeCell ref="C47:C56"/>
    <mergeCell ref="C6:C23"/>
    <mergeCell ref="B24:B25"/>
    <mergeCell ref="C24:C25"/>
    <mergeCell ref="Q4:Q5"/>
    <mergeCell ref="R4:R5"/>
    <mergeCell ref="S4:S5"/>
    <mergeCell ref="V4:V5"/>
    <mergeCell ref="W4:W5"/>
    <mergeCell ref="G4:H4"/>
    <mergeCell ref="I4:I5"/>
    <mergeCell ref="J4:L4"/>
    <mergeCell ref="M4:M5"/>
    <mergeCell ref="N4:N5"/>
    <mergeCell ref="O4:O5"/>
    <mergeCell ref="P4:P5"/>
  </mergeCells>
  <hyperlinks>
    <hyperlink ref="V184" r:id="rId1"/>
  </hyperlinks>
  <pageMargins left="0.7" right="0.7" top="0.75" bottom="0.75" header="0" footer="0"/>
  <pageSetup paperSize="9" orientation="landscape" r:id="rId2"/>
</worksheet>
</file>

<file path=xl/worksheets/sheet2.xml><?xml version="1.0" encoding="utf-8"?>
<worksheet xmlns="http://schemas.openxmlformats.org/spreadsheetml/2006/main" xmlns:r="http://schemas.openxmlformats.org/officeDocument/2006/relationships">
  <dimension ref="A1:X1000"/>
  <sheetViews>
    <sheetView workbookViewId="0">
      <pane xSplit="3" ySplit="5" topLeftCell="D186" activePane="bottomRight" state="frozen"/>
      <selection pane="topRight" activeCell="D1" sqref="D1"/>
      <selection pane="bottomLeft" activeCell="A6" sqref="A6"/>
      <selection pane="bottomRight" activeCell="P187" sqref="P187:V187"/>
    </sheetView>
  </sheetViews>
  <sheetFormatPr defaultColWidth="14.42578125" defaultRowHeight="15" customHeight="1"/>
  <cols>
    <col min="1" max="1" width="5.5703125" style="784" customWidth="1"/>
    <col min="2" max="2" width="7.28515625" style="784" customWidth="1"/>
    <col min="3" max="3" width="6.140625" style="784" customWidth="1"/>
    <col min="4" max="4" width="5.140625" style="784" customWidth="1"/>
    <col min="5" max="5" width="20.42578125" style="784" customWidth="1"/>
    <col min="6" max="6" width="7.42578125" style="784" customWidth="1"/>
    <col min="7" max="7" width="6.7109375" style="784" customWidth="1"/>
    <col min="8" max="8" width="8.28515625" style="784" customWidth="1"/>
    <col min="9" max="9" width="12.7109375" style="784" customWidth="1"/>
    <col min="10" max="10" width="4.7109375" style="784" customWidth="1"/>
    <col min="11" max="11" width="9.28515625" style="784" customWidth="1"/>
    <col min="12" max="12" width="6.7109375" style="784" customWidth="1"/>
    <col min="13" max="13" width="8.28515625" style="784" customWidth="1"/>
    <col min="14" max="14" width="9.7109375" style="784" customWidth="1"/>
    <col min="15" max="15" width="7.85546875" style="784" customWidth="1"/>
    <col min="16" max="16" width="9.42578125" style="784" customWidth="1"/>
    <col min="17" max="17" width="8.28515625" style="784" customWidth="1"/>
    <col min="18" max="18" width="7.85546875" style="784" customWidth="1"/>
    <col min="19" max="19" width="10.42578125" style="784" customWidth="1"/>
    <col min="20" max="20" width="10.5703125" style="784" customWidth="1"/>
    <col min="21" max="21" width="10.85546875" style="784" customWidth="1"/>
    <col min="22" max="22" width="55.7109375" style="793" customWidth="1"/>
    <col min="23" max="24" width="14.42578125" style="784" customWidth="1"/>
    <col min="25" max="16384" width="14.42578125" style="784"/>
  </cols>
  <sheetData>
    <row r="1" spans="1:24" ht="20.25" customHeight="1">
      <c r="A1" s="1"/>
      <c r="B1" s="2"/>
      <c r="C1" s="2"/>
      <c r="D1" s="2"/>
      <c r="E1" s="469" t="s">
        <v>0</v>
      </c>
      <c r="J1" s="3"/>
      <c r="K1" s="3"/>
      <c r="L1" s="3"/>
      <c r="M1" s="3"/>
      <c r="N1" s="3"/>
      <c r="O1" s="3"/>
      <c r="P1" s="3"/>
      <c r="Q1" s="3"/>
      <c r="R1" s="3"/>
      <c r="S1" s="3"/>
      <c r="T1" s="3"/>
      <c r="U1" s="3"/>
      <c r="V1" s="905"/>
    </row>
    <row r="2" spans="1:24" ht="23.25" customHeight="1">
      <c r="A2" s="3"/>
      <c r="B2" s="3"/>
      <c r="C2" s="3"/>
      <c r="D2" s="3"/>
      <c r="E2" s="3"/>
      <c r="F2" s="3"/>
      <c r="G2" s="3"/>
      <c r="H2" s="3"/>
      <c r="I2" s="3"/>
      <c r="J2" s="3"/>
      <c r="K2" s="3"/>
      <c r="L2" s="3"/>
      <c r="M2" s="3"/>
      <c r="N2" s="3"/>
      <c r="O2" s="3"/>
      <c r="P2" s="3"/>
      <c r="Q2" s="3"/>
      <c r="R2" s="3"/>
      <c r="S2" s="3"/>
      <c r="T2" s="3"/>
      <c r="U2" s="3"/>
      <c r="V2" s="905"/>
    </row>
    <row r="3" spans="1:24" ht="22.5" customHeight="1">
      <c r="A3" s="827" t="s">
        <v>1589</v>
      </c>
      <c r="B3" s="827"/>
      <c r="C3" s="827"/>
      <c r="D3" s="827"/>
      <c r="E3" s="827"/>
      <c r="F3" s="470"/>
      <c r="G3" s="470"/>
      <c r="H3" s="470"/>
      <c r="I3" s="470"/>
      <c r="J3" s="470"/>
      <c r="K3" s="470"/>
      <c r="L3" s="470"/>
      <c r="M3" s="470"/>
      <c r="N3" s="470"/>
      <c r="O3" s="470"/>
      <c r="P3" s="470"/>
      <c r="Q3" s="470"/>
      <c r="R3" s="470"/>
      <c r="S3" s="470"/>
      <c r="T3" s="471"/>
      <c r="U3" s="470"/>
      <c r="V3" s="481" t="s">
        <v>2</v>
      </c>
    </row>
    <row r="4" spans="1:24" ht="24.75" customHeight="1">
      <c r="A4" s="828" t="s">
        <v>3</v>
      </c>
      <c r="B4" s="828" t="s">
        <v>4</v>
      </c>
      <c r="C4" s="828" t="s">
        <v>5</v>
      </c>
      <c r="D4" s="828" t="s">
        <v>6</v>
      </c>
      <c r="E4" s="828" t="s">
        <v>388</v>
      </c>
      <c r="F4" s="828" t="s">
        <v>8</v>
      </c>
      <c r="G4" s="828" t="s">
        <v>9</v>
      </c>
      <c r="H4" s="736"/>
      <c r="I4" s="828" t="s">
        <v>10</v>
      </c>
      <c r="J4" s="828" t="s">
        <v>11</v>
      </c>
      <c r="K4" s="736"/>
      <c r="L4" s="736"/>
      <c r="M4" s="828" t="s">
        <v>12</v>
      </c>
      <c r="N4" s="828" t="s">
        <v>13</v>
      </c>
      <c r="O4" s="828" t="s">
        <v>14</v>
      </c>
      <c r="P4" s="828" t="s">
        <v>15</v>
      </c>
      <c r="Q4" s="828" t="s">
        <v>16</v>
      </c>
      <c r="R4" s="828" t="s">
        <v>17</v>
      </c>
      <c r="S4" s="828" t="s">
        <v>18</v>
      </c>
      <c r="T4" s="829" t="s">
        <v>19</v>
      </c>
      <c r="U4" s="829" t="s">
        <v>19</v>
      </c>
      <c r="V4" s="906" t="s">
        <v>389</v>
      </c>
      <c r="W4" s="3"/>
      <c r="X4" s="3"/>
    </row>
    <row r="5" spans="1:24" ht="68.25" customHeight="1">
      <c r="A5" s="736"/>
      <c r="B5" s="736"/>
      <c r="C5" s="736"/>
      <c r="D5" s="736"/>
      <c r="E5" s="736"/>
      <c r="F5" s="736"/>
      <c r="G5" s="829" t="s">
        <v>21</v>
      </c>
      <c r="H5" s="829" t="s">
        <v>22</v>
      </c>
      <c r="I5" s="736"/>
      <c r="J5" s="829" t="s">
        <v>1564</v>
      </c>
      <c r="K5" s="829" t="s">
        <v>23</v>
      </c>
      <c r="L5" s="829" t="s">
        <v>24</v>
      </c>
      <c r="M5" s="736"/>
      <c r="N5" s="736"/>
      <c r="O5" s="736"/>
      <c r="P5" s="736"/>
      <c r="Q5" s="736"/>
      <c r="R5" s="736"/>
      <c r="S5" s="736"/>
      <c r="T5" s="829" t="s">
        <v>25</v>
      </c>
      <c r="U5" s="829" t="s">
        <v>26</v>
      </c>
      <c r="V5" s="794"/>
      <c r="W5" s="3"/>
      <c r="X5" s="3"/>
    </row>
    <row r="6" spans="1:24" ht="49.5" customHeight="1">
      <c r="A6" s="831" t="s">
        <v>27</v>
      </c>
      <c r="B6" s="828" t="s">
        <v>28</v>
      </c>
      <c r="C6" s="828" t="s">
        <v>29</v>
      </c>
      <c r="D6" s="829">
        <v>1</v>
      </c>
      <c r="E6" s="829" t="s">
        <v>30</v>
      </c>
      <c r="F6" s="829"/>
      <c r="G6" s="829"/>
      <c r="H6" s="829"/>
      <c r="I6" s="829"/>
      <c r="J6" s="829"/>
      <c r="K6" s="829"/>
      <c r="L6" s="829"/>
      <c r="M6" s="829"/>
      <c r="N6" s="829"/>
      <c r="O6" s="829"/>
      <c r="P6" s="907"/>
      <c r="Q6" s="829"/>
      <c r="R6" s="829"/>
      <c r="S6" s="829"/>
      <c r="T6" s="847">
        <f t="shared" ref="T6:T67" si="0">SUM(F6:S6)</f>
        <v>0</v>
      </c>
      <c r="U6" s="847">
        <f t="shared" ref="U6:U7" si="1">T6+T6*5/100</f>
        <v>0</v>
      </c>
      <c r="V6" s="744"/>
      <c r="W6" s="3"/>
      <c r="X6" s="3"/>
    </row>
    <row r="7" spans="1:24" ht="52.5" customHeight="1">
      <c r="A7" s="736"/>
      <c r="B7" s="736"/>
      <c r="C7" s="736"/>
      <c r="D7" s="829">
        <v>2</v>
      </c>
      <c r="E7" s="829" t="s">
        <v>31</v>
      </c>
      <c r="F7" s="829"/>
      <c r="G7" s="829"/>
      <c r="H7" s="829"/>
      <c r="I7" s="829"/>
      <c r="J7" s="829"/>
      <c r="K7" s="908"/>
      <c r="L7" s="829"/>
      <c r="M7" s="829"/>
      <c r="N7" s="829"/>
      <c r="O7" s="829"/>
      <c r="P7" s="845"/>
      <c r="Q7" s="829"/>
      <c r="R7" s="829"/>
      <c r="S7" s="829"/>
      <c r="T7" s="847">
        <f t="shared" si="0"/>
        <v>0</v>
      </c>
      <c r="U7" s="847">
        <f t="shared" si="1"/>
        <v>0</v>
      </c>
      <c r="V7" s="744"/>
      <c r="W7" s="3"/>
      <c r="X7" s="3"/>
    </row>
    <row r="8" spans="1:24" ht="99.75" customHeight="1">
      <c r="A8" s="736"/>
      <c r="B8" s="736"/>
      <c r="C8" s="736"/>
      <c r="D8" s="829">
        <v>3</v>
      </c>
      <c r="E8" s="829" t="s">
        <v>32</v>
      </c>
      <c r="F8" s="845">
        <v>70.33</v>
      </c>
      <c r="G8" s="829"/>
      <c r="H8" s="829"/>
      <c r="I8" s="829"/>
      <c r="J8" s="829"/>
      <c r="K8" s="829"/>
      <c r="L8" s="829"/>
      <c r="M8" s="829"/>
      <c r="N8" s="829"/>
      <c r="O8" s="909">
        <v>57.46</v>
      </c>
      <c r="P8" s="829"/>
      <c r="Q8" s="829"/>
      <c r="R8" s="845">
        <v>2.81</v>
      </c>
      <c r="S8" s="829"/>
      <c r="T8" s="847">
        <f t="shared" si="0"/>
        <v>130.6</v>
      </c>
      <c r="U8" s="847">
        <f t="shared" ref="U8:U12" si="2">T8</f>
        <v>130.6</v>
      </c>
      <c r="V8" s="729" t="s">
        <v>1590</v>
      </c>
      <c r="W8" s="3"/>
      <c r="X8" s="3"/>
    </row>
    <row r="9" spans="1:24" ht="201.75" customHeight="1">
      <c r="A9" s="736"/>
      <c r="B9" s="736"/>
      <c r="C9" s="736"/>
      <c r="D9" s="829">
        <v>4</v>
      </c>
      <c r="E9" s="829" t="s">
        <v>34</v>
      </c>
      <c r="F9" s="829"/>
      <c r="G9" s="829"/>
      <c r="H9" s="829"/>
      <c r="I9" s="829"/>
      <c r="J9" s="829"/>
      <c r="K9" s="829">
        <v>99.736000000000004</v>
      </c>
      <c r="L9" s="829"/>
      <c r="M9" s="847">
        <v>20.74</v>
      </c>
      <c r="N9" s="829"/>
      <c r="O9" s="829">
        <v>0</v>
      </c>
      <c r="P9" s="845">
        <v>54.52</v>
      </c>
      <c r="Q9" s="829"/>
      <c r="R9" s="829"/>
      <c r="S9" s="829"/>
      <c r="T9" s="847">
        <f t="shared" si="0"/>
        <v>174.99600000000001</v>
      </c>
      <c r="U9" s="847">
        <f t="shared" si="2"/>
        <v>174.99600000000001</v>
      </c>
      <c r="V9" s="729" t="s">
        <v>1591</v>
      </c>
      <c r="W9" s="3"/>
      <c r="X9" s="3"/>
    </row>
    <row r="10" spans="1:24" ht="69" customHeight="1">
      <c r="A10" s="736"/>
      <c r="B10" s="736"/>
      <c r="C10" s="736"/>
      <c r="D10" s="829">
        <v>5</v>
      </c>
      <c r="E10" s="829" t="s">
        <v>36</v>
      </c>
      <c r="F10" s="829"/>
      <c r="G10" s="829"/>
      <c r="H10" s="829"/>
      <c r="I10" s="829"/>
      <c r="J10" s="829"/>
      <c r="K10" s="829"/>
      <c r="L10" s="829"/>
      <c r="M10" s="829"/>
      <c r="N10" s="829"/>
      <c r="O10" s="829"/>
      <c r="P10" s="847">
        <v>51.854999999999997</v>
      </c>
      <c r="Q10" s="829"/>
      <c r="R10" s="829"/>
      <c r="S10" s="829"/>
      <c r="T10" s="847">
        <f t="shared" si="0"/>
        <v>51.854999999999997</v>
      </c>
      <c r="U10" s="847">
        <f t="shared" si="2"/>
        <v>51.854999999999997</v>
      </c>
      <c r="V10" s="729" t="s">
        <v>390</v>
      </c>
      <c r="W10" s="3"/>
      <c r="X10" s="3"/>
    </row>
    <row r="11" spans="1:24" ht="250.5" customHeight="1">
      <c r="A11" s="736"/>
      <c r="B11" s="736"/>
      <c r="C11" s="736"/>
      <c r="D11" s="829">
        <v>6</v>
      </c>
      <c r="E11" s="829" t="s">
        <v>38</v>
      </c>
      <c r="F11" s="829">
        <v>0.69</v>
      </c>
      <c r="G11" s="829"/>
      <c r="H11" s="829"/>
      <c r="I11" s="829"/>
      <c r="J11" s="829"/>
      <c r="K11" s="829"/>
      <c r="L11" s="829"/>
      <c r="M11" s="829"/>
      <c r="N11" s="845"/>
      <c r="O11" s="829">
        <v>2.14</v>
      </c>
      <c r="P11" s="909">
        <v>3.06</v>
      </c>
      <c r="Q11" s="829"/>
      <c r="R11" s="829"/>
      <c r="S11" s="829"/>
      <c r="T11" s="847">
        <f t="shared" si="0"/>
        <v>5.8900000000000006</v>
      </c>
      <c r="U11" s="847">
        <f t="shared" si="2"/>
        <v>5.8900000000000006</v>
      </c>
      <c r="V11" s="729" t="s">
        <v>391</v>
      </c>
      <c r="W11" s="3"/>
      <c r="X11" s="3"/>
    </row>
    <row r="12" spans="1:24" ht="90">
      <c r="A12" s="736"/>
      <c r="B12" s="736"/>
      <c r="C12" s="736"/>
      <c r="D12" s="829">
        <v>7</v>
      </c>
      <c r="E12" s="829" t="s">
        <v>40</v>
      </c>
      <c r="F12" s="829"/>
      <c r="G12" s="829"/>
      <c r="H12" s="829"/>
      <c r="I12" s="829"/>
      <c r="J12" s="829"/>
      <c r="K12" s="829"/>
      <c r="L12" s="829"/>
      <c r="M12" s="829"/>
      <c r="N12" s="829"/>
      <c r="O12" s="829"/>
      <c r="P12" s="909">
        <v>0</v>
      </c>
      <c r="Q12" s="847">
        <v>2</v>
      </c>
      <c r="R12" s="829">
        <v>0.1</v>
      </c>
      <c r="S12" s="829"/>
      <c r="T12" s="847">
        <f t="shared" si="0"/>
        <v>2.1</v>
      </c>
      <c r="U12" s="847">
        <f t="shared" si="2"/>
        <v>2.1</v>
      </c>
      <c r="V12" s="729" t="s">
        <v>392</v>
      </c>
      <c r="W12" s="3"/>
      <c r="X12" s="3"/>
    </row>
    <row r="13" spans="1:24" ht="24.75" customHeight="1">
      <c r="A13" s="736"/>
      <c r="B13" s="736"/>
      <c r="C13" s="736"/>
      <c r="D13" s="829">
        <v>8</v>
      </c>
      <c r="E13" s="829" t="s">
        <v>42</v>
      </c>
      <c r="F13" s="829"/>
      <c r="G13" s="829"/>
      <c r="H13" s="829"/>
      <c r="I13" s="829"/>
      <c r="J13" s="829"/>
      <c r="K13" s="829"/>
      <c r="L13" s="829"/>
      <c r="M13" s="829"/>
      <c r="N13" s="847"/>
      <c r="O13" s="829"/>
      <c r="P13" s="829"/>
      <c r="Q13" s="829"/>
      <c r="R13" s="829"/>
      <c r="S13" s="829"/>
      <c r="T13" s="847">
        <f t="shared" si="0"/>
        <v>0</v>
      </c>
      <c r="U13" s="847">
        <f>T13*1.05</f>
        <v>0</v>
      </c>
      <c r="V13" s="744"/>
      <c r="W13" s="3"/>
      <c r="X13" s="3"/>
    </row>
    <row r="14" spans="1:24" ht="87" customHeight="1">
      <c r="A14" s="736"/>
      <c r="B14" s="736"/>
      <c r="C14" s="736"/>
      <c r="D14" s="829">
        <v>9</v>
      </c>
      <c r="E14" s="829" t="s">
        <v>43</v>
      </c>
      <c r="F14" s="829"/>
      <c r="G14" s="829"/>
      <c r="H14" s="829"/>
      <c r="I14" s="829"/>
      <c r="J14" s="829"/>
      <c r="K14" s="829"/>
      <c r="L14" s="829"/>
      <c r="M14" s="829"/>
      <c r="N14" s="847"/>
      <c r="O14" s="829"/>
      <c r="P14" s="836">
        <v>0.15851999999999999</v>
      </c>
      <c r="Q14" s="837"/>
      <c r="R14" s="837">
        <v>0.24</v>
      </c>
      <c r="S14" s="837"/>
      <c r="T14" s="847">
        <f t="shared" si="0"/>
        <v>0.39851999999999999</v>
      </c>
      <c r="U14" s="847">
        <f>T14</f>
        <v>0.39851999999999999</v>
      </c>
      <c r="V14" s="729" t="s">
        <v>393</v>
      </c>
      <c r="W14" s="3"/>
      <c r="X14" s="3"/>
    </row>
    <row r="15" spans="1:24" ht="90">
      <c r="A15" s="736"/>
      <c r="B15" s="736"/>
      <c r="C15" s="736"/>
      <c r="D15" s="829">
        <v>10</v>
      </c>
      <c r="E15" s="829" t="s">
        <v>44</v>
      </c>
      <c r="F15" s="829"/>
      <c r="G15" s="829"/>
      <c r="H15" s="829"/>
      <c r="I15" s="847">
        <v>0.04</v>
      </c>
      <c r="J15" s="829"/>
      <c r="K15" s="829"/>
      <c r="L15" s="829"/>
      <c r="M15" s="829"/>
      <c r="N15" s="847">
        <v>0.82</v>
      </c>
      <c r="O15" s="829"/>
      <c r="P15" s="829"/>
      <c r="Q15" s="829"/>
      <c r="R15" s="829"/>
      <c r="S15" s="829"/>
      <c r="T15" s="847">
        <f t="shared" si="0"/>
        <v>0.86</v>
      </c>
      <c r="U15" s="847">
        <v>0.82</v>
      </c>
      <c r="V15" s="744" t="s">
        <v>1598</v>
      </c>
      <c r="W15" s="3"/>
      <c r="X15" s="3"/>
    </row>
    <row r="16" spans="1:24" ht="24.75" customHeight="1">
      <c r="A16" s="736"/>
      <c r="B16" s="736"/>
      <c r="C16" s="736"/>
      <c r="D16" s="829">
        <v>11</v>
      </c>
      <c r="E16" s="829" t="s">
        <v>45</v>
      </c>
      <c r="F16" s="829"/>
      <c r="G16" s="845"/>
      <c r="H16" s="845"/>
      <c r="I16" s="829"/>
      <c r="J16" s="829"/>
      <c r="K16" s="829"/>
      <c r="L16" s="829"/>
      <c r="M16" s="829"/>
      <c r="N16" s="907"/>
      <c r="O16" s="829"/>
      <c r="P16" s="829"/>
      <c r="Q16" s="829"/>
      <c r="R16" s="829"/>
      <c r="S16" s="829"/>
      <c r="T16" s="847">
        <f t="shared" si="0"/>
        <v>0</v>
      </c>
      <c r="U16" s="847">
        <f>T16*1.05</f>
        <v>0</v>
      </c>
      <c r="V16" s="744"/>
      <c r="W16" s="3"/>
      <c r="X16" s="3"/>
    </row>
    <row r="17" spans="1:24" ht="45">
      <c r="A17" s="736"/>
      <c r="B17" s="736"/>
      <c r="C17" s="736"/>
      <c r="D17" s="829">
        <v>12</v>
      </c>
      <c r="E17" s="829" t="s">
        <v>46</v>
      </c>
      <c r="F17" s="829"/>
      <c r="G17" s="829"/>
      <c r="H17" s="829"/>
      <c r="I17" s="829"/>
      <c r="J17" s="829"/>
      <c r="K17" s="829"/>
      <c r="L17" s="829"/>
      <c r="M17" s="829"/>
      <c r="N17" s="908">
        <v>2</v>
      </c>
      <c r="O17" s="829"/>
      <c r="P17" s="829"/>
      <c r="Q17" s="829"/>
      <c r="R17" s="829"/>
      <c r="S17" s="829"/>
      <c r="T17" s="847">
        <f t="shared" si="0"/>
        <v>2</v>
      </c>
      <c r="U17" s="847">
        <v>2</v>
      </c>
      <c r="V17" s="744" t="s">
        <v>47</v>
      </c>
      <c r="W17" s="3"/>
      <c r="X17" s="3"/>
    </row>
    <row r="18" spans="1:24" ht="24.75" customHeight="1">
      <c r="A18" s="736"/>
      <c r="B18" s="736"/>
      <c r="C18" s="736"/>
      <c r="D18" s="829">
        <v>13</v>
      </c>
      <c r="E18" s="829" t="s">
        <v>48</v>
      </c>
      <c r="F18" s="829"/>
      <c r="G18" s="829"/>
      <c r="H18" s="829"/>
      <c r="I18" s="829"/>
      <c r="J18" s="829"/>
      <c r="K18" s="829"/>
      <c r="L18" s="829"/>
      <c r="M18" s="829"/>
      <c r="N18" s="829"/>
      <c r="O18" s="829"/>
      <c r="P18" s="845"/>
      <c r="Q18" s="829"/>
      <c r="R18" s="829"/>
      <c r="S18" s="829"/>
      <c r="T18" s="847">
        <f t="shared" si="0"/>
        <v>0</v>
      </c>
      <c r="U18" s="847">
        <f t="shared" ref="U18:U19" si="3">T18*1.05</f>
        <v>0</v>
      </c>
      <c r="V18" s="744"/>
      <c r="W18" s="3"/>
      <c r="X18" s="3"/>
    </row>
    <row r="19" spans="1:24" ht="24.75" customHeight="1">
      <c r="A19" s="736"/>
      <c r="B19" s="736"/>
      <c r="C19" s="736"/>
      <c r="D19" s="829">
        <v>14</v>
      </c>
      <c r="E19" s="829" t="s">
        <v>49</v>
      </c>
      <c r="F19" s="829"/>
      <c r="G19" s="829"/>
      <c r="H19" s="829"/>
      <c r="I19" s="829"/>
      <c r="J19" s="829"/>
      <c r="K19" s="829"/>
      <c r="L19" s="829"/>
      <c r="M19" s="829"/>
      <c r="N19" s="829"/>
      <c r="O19" s="829"/>
      <c r="P19" s="829"/>
      <c r="Q19" s="829"/>
      <c r="R19" s="829"/>
      <c r="S19" s="829"/>
      <c r="T19" s="847">
        <f t="shared" si="0"/>
        <v>0</v>
      </c>
      <c r="U19" s="847">
        <f t="shared" si="3"/>
        <v>0</v>
      </c>
      <c r="V19" s="744"/>
      <c r="W19" s="3"/>
      <c r="X19" s="3"/>
    </row>
    <row r="20" spans="1:24" ht="360">
      <c r="A20" s="736"/>
      <c r="B20" s="736"/>
      <c r="C20" s="736"/>
      <c r="D20" s="829">
        <v>15</v>
      </c>
      <c r="E20" s="829" t="s">
        <v>50</v>
      </c>
      <c r="F20" s="829"/>
      <c r="G20" s="829"/>
      <c r="H20" s="829"/>
      <c r="I20" s="909">
        <v>1.72</v>
      </c>
      <c r="J20" s="829"/>
      <c r="K20" s="829"/>
      <c r="L20" s="829"/>
      <c r="M20" s="829"/>
      <c r="N20" s="847">
        <v>0.75</v>
      </c>
      <c r="O20" s="829"/>
      <c r="P20" s="845">
        <v>3</v>
      </c>
      <c r="Q20" s="845"/>
      <c r="R20" s="829"/>
      <c r="S20" s="829"/>
      <c r="T20" s="847">
        <f t="shared" si="0"/>
        <v>5.47</v>
      </c>
      <c r="U20" s="847">
        <f>1.89+1+1+2</f>
        <v>5.89</v>
      </c>
      <c r="V20" s="744" t="s">
        <v>394</v>
      </c>
      <c r="W20" s="3"/>
      <c r="X20" s="3"/>
    </row>
    <row r="21" spans="1:24" ht="24.75" customHeight="1">
      <c r="A21" s="736"/>
      <c r="B21" s="736"/>
      <c r="C21" s="736"/>
      <c r="D21" s="829">
        <v>16</v>
      </c>
      <c r="E21" s="829" t="s">
        <v>51</v>
      </c>
      <c r="F21" s="829"/>
      <c r="G21" s="829"/>
      <c r="H21" s="829"/>
      <c r="I21" s="829"/>
      <c r="J21" s="829"/>
      <c r="K21" s="829"/>
      <c r="L21" s="829"/>
      <c r="M21" s="829"/>
      <c r="N21" s="907"/>
      <c r="O21" s="829"/>
      <c r="P21" s="829"/>
      <c r="Q21" s="829"/>
      <c r="R21" s="829"/>
      <c r="S21" s="829"/>
      <c r="T21" s="847">
        <f t="shared" si="0"/>
        <v>0</v>
      </c>
      <c r="U21" s="847">
        <f>T21*1.05</f>
        <v>0</v>
      </c>
      <c r="V21" s="742"/>
      <c r="W21" s="3"/>
      <c r="X21" s="3"/>
    </row>
    <row r="22" spans="1:24" ht="68.25" customHeight="1">
      <c r="A22" s="736"/>
      <c r="B22" s="736"/>
      <c r="C22" s="736"/>
      <c r="D22" s="829">
        <v>17</v>
      </c>
      <c r="E22" s="829" t="s">
        <v>52</v>
      </c>
      <c r="F22" s="829"/>
      <c r="G22" s="829"/>
      <c r="H22" s="829"/>
      <c r="I22" s="847"/>
      <c r="J22" s="829"/>
      <c r="K22" s="829"/>
      <c r="L22" s="829"/>
      <c r="M22" s="829"/>
      <c r="N22" s="847"/>
      <c r="O22" s="829"/>
      <c r="P22" s="845">
        <v>0.6</v>
      </c>
      <c r="Q22" s="829">
        <v>4.24</v>
      </c>
      <c r="R22" s="829"/>
      <c r="S22" s="910"/>
      <c r="T22" s="847">
        <f t="shared" si="0"/>
        <v>4.84</v>
      </c>
      <c r="U22" s="728">
        <f>T22+0.5</f>
        <v>5.34</v>
      </c>
      <c r="V22" s="729" t="s">
        <v>395</v>
      </c>
      <c r="W22" s="3"/>
      <c r="X22" s="3"/>
    </row>
    <row r="23" spans="1:24" ht="60">
      <c r="A23" s="736"/>
      <c r="B23" s="736"/>
      <c r="C23" s="736"/>
      <c r="D23" s="829">
        <v>18</v>
      </c>
      <c r="E23" s="829" t="s">
        <v>53</v>
      </c>
      <c r="F23" s="829"/>
      <c r="G23" s="829"/>
      <c r="H23" s="829"/>
      <c r="I23" s="829"/>
      <c r="J23" s="829"/>
      <c r="K23" s="829"/>
      <c r="L23" s="829"/>
      <c r="M23" s="829"/>
      <c r="N23" s="911"/>
      <c r="O23" s="829"/>
      <c r="P23" s="845">
        <v>1.55</v>
      </c>
      <c r="Q23" s="845"/>
      <c r="R23" s="829"/>
      <c r="S23" s="845"/>
      <c r="T23" s="847">
        <f t="shared" si="0"/>
        <v>1.55</v>
      </c>
      <c r="U23" s="847">
        <f>T23</f>
        <v>1.55</v>
      </c>
      <c r="V23" s="729" t="s">
        <v>1776</v>
      </c>
      <c r="W23" s="3"/>
      <c r="X23" s="3"/>
    </row>
    <row r="24" spans="1:24" ht="24.75" customHeight="1">
      <c r="A24" s="736"/>
      <c r="B24" s="828" t="s">
        <v>54</v>
      </c>
      <c r="C24" s="828" t="s">
        <v>55</v>
      </c>
      <c r="D24" s="829">
        <v>19</v>
      </c>
      <c r="E24" s="829" t="s">
        <v>55</v>
      </c>
      <c r="F24" s="829"/>
      <c r="G24" s="829"/>
      <c r="H24" s="829"/>
      <c r="I24" s="829"/>
      <c r="J24" s="829"/>
      <c r="K24" s="829"/>
      <c r="L24" s="829"/>
      <c r="M24" s="829"/>
      <c r="N24" s="829"/>
      <c r="O24" s="829"/>
      <c r="P24" s="829"/>
      <c r="Q24" s="829"/>
      <c r="R24" s="829"/>
      <c r="S24" s="829"/>
      <c r="T24" s="847">
        <f t="shared" si="0"/>
        <v>0</v>
      </c>
      <c r="U24" s="847">
        <f>T24+T24*5/100</f>
        <v>0</v>
      </c>
      <c r="V24" s="744"/>
      <c r="W24" s="3"/>
      <c r="X24" s="3"/>
    </row>
    <row r="25" spans="1:24" ht="110.25" customHeight="1">
      <c r="A25" s="736"/>
      <c r="B25" s="736"/>
      <c r="C25" s="736"/>
      <c r="D25" s="829">
        <v>20</v>
      </c>
      <c r="E25" s="829" t="s">
        <v>56</v>
      </c>
      <c r="F25" s="829"/>
      <c r="G25" s="829"/>
      <c r="H25" s="829"/>
      <c r="I25" s="829"/>
      <c r="J25" s="829"/>
      <c r="K25" s="829"/>
      <c r="L25" s="829"/>
      <c r="M25" s="829"/>
      <c r="N25" s="829"/>
      <c r="O25" s="829"/>
      <c r="P25" s="829"/>
      <c r="Q25" s="847">
        <v>2</v>
      </c>
      <c r="R25" s="829"/>
      <c r="S25" s="829"/>
      <c r="T25" s="847">
        <f t="shared" si="0"/>
        <v>2</v>
      </c>
      <c r="U25" s="847">
        <f>2</f>
        <v>2</v>
      </c>
      <c r="V25" s="770" t="s">
        <v>396</v>
      </c>
      <c r="W25" s="3"/>
      <c r="X25" s="3"/>
    </row>
    <row r="26" spans="1:24" ht="309.75" customHeight="1">
      <c r="A26" s="736"/>
      <c r="B26" s="828" t="s">
        <v>58</v>
      </c>
      <c r="C26" s="828" t="s">
        <v>59</v>
      </c>
      <c r="D26" s="829">
        <v>21</v>
      </c>
      <c r="E26" s="912" t="s">
        <v>60</v>
      </c>
      <c r="F26" s="913"/>
      <c r="G26" s="913"/>
      <c r="H26" s="914"/>
      <c r="I26" s="915">
        <v>1.7</v>
      </c>
      <c r="J26" s="913"/>
      <c r="K26" s="915"/>
      <c r="L26" s="913"/>
      <c r="M26" s="913"/>
      <c r="N26" s="915">
        <f>1+0.42+0.4</f>
        <v>1.8199999999999998</v>
      </c>
      <c r="O26" s="913"/>
      <c r="P26" s="914">
        <f>15.96+3.276</f>
        <v>19.236000000000001</v>
      </c>
      <c r="Q26" s="916">
        <v>0.21249999999999999</v>
      </c>
      <c r="R26" s="915">
        <v>0.5</v>
      </c>
      <c r="S26" s="913"/>
      <c r="T26" s="847">
        <f t="shared" si="0"/>
        <v>23.468499999999999</v>
      </c>
      <c r="U26" s="728">
        <f>I26+N26+P26+Q26+R26</f>
        <v>23.468499999999999</v>
      </c>
      <c r="V26" s="729" t="s">
        <v>397</v>
      </c>
      <c r="W26" s="3"/>
      <c r="X26" s="3"/>
    </row>
    <row r="27" spans="1:24" ht="198.75" customHeight="1">
      <c r="A27" s="736"/>
      <c r="B27" s="736"/>
      <c r="C27" s="736"/>
      <c r="D27" s="829">
        <v>22</v>
      </c>
      <c r="E27" s="912" t="s">
        <v>62</v>
      </c>
      <c r="F27" s="914"/>
      <c r="G27" s="913"/>
      <c r="H27" s="917"/>
      <c r="I27" s="841">
        <f>393553/100000</f>
        <v>3.93553</v>
      </c>
      <c r="J27" s="913"/>
      <c r="K27" s="913"/>
      <c r="L27" s="913"/>
      <c r="M27" s="914">
        <v>1</v>
      </c>
      <c r="N27" s="913"/>
      <c r="O27" s="913"/>
      <c r="P27" s="914">
        <f>134.806+2.4</f>
        <v>137.20600000000002</v>
      </c>
      <c r="Q27" s="914">
        <v>1</v>
      </c>
      <c r="R27" s="915"/>
      <c r="S27" s="913"/>
      <c r="T27" s="847">
        <f t="shared" si="0"/>
        <v>143.14153000000002</v>
      </c>
      <c r="U27" s="728">
        <f>M27+P27+Q27</f>
        <v>139.20600000000002</v>
      </c>
      <c r="V27" s="729" t="s">
        <v>1593</v>
      </c>
      <c r="W27" s="3"/>
      <c r="X27" s="3"/>
    </row>
    <row r="28" spans="1:24" ht="100.5" customHeight="1">
      <c r="A28" s="736"/>
      <c r="B28" s="736"/>
      <c r="C28" s="736"/>
      <c r="D28" s="829">
        <v>23</v>
      </c>
      <c r="E28" s="829" t="s">
        <v>64</v>
      </c>
      <c r="F28" s="913"/>
      <c r="G28" s="913"/>
      <c r="H28" s="913"/>
      <c r="I28" s="913"/>
      <c r="J28" s="913"/>
      <c r="K28" s="915"/>
      <c r="L28" s="913"/>
      <c r="M28" s="913"/>
      <c r="N28" s="918">
        <v>0.11</v>
      </c>
      <c r="O28" s="917">
        <v>58.53</v>
      </c>
      <c r="P28" s="913"/>
      <c r="Q28" s="914"/>
      <c r="R28" s="913"/>
      <c r="S28" s="913"/>
      <c r="T28" s="847">
        <f t="shared" si="0"/>
        <v>58.64</v>
      </c>
      <c r="U28" s="728">
        <f>T28</f>
        <v>58.64</v>
      </c>
      <c r="V28" s="729" t="s">
        <v>398</v>
      </c>
      <c r="W28" s="3"/>
      <c r="X28" s="3"/>
    </row>
    <row r="29" spans="1:24" ht="316.5" customHeight="1">
      <c r="A29" s="736"/>
      <c r="B29" s="736"/>
      <c r="C29" s="736"/>
      <c r="D29" s="829">
        <v>24</v>
      </c>
      <c r="E29" s="912" t="s">
        <v>66</v>
      </c>
      <c r="F29" s="913"/>
      <c r="G29" s="913"/>
      <c r="H29" s="917"/>
      <c r="I29" s="913"/>
      <c r="J29" s="913"/>
      <c r="K29" s="913"/>
      <c r="L29" s="913"/>
      <c r="M29" s="913"/>
      <c r="N29" s="919">
        <f>1+0.688+0.688+0.5+8</f>
        <v>10.875999999999999</v>
      </c>
      <c r="O29" s="914"/>
      <c r="P29" s="913">
        <v>14.15</v>
      </c>
      <c r="Q29" s="915">
        <v>3</v>
      </c>
      <c r="R29" s="913"/>
      <c r="S29" s="913"/>
      <c r="T29" s="847">
        <f t="shared" si="0"/>
        <v>28.026</v>
      </c>
      <c r="U29" s="920">
        <v>27.025999999999996</v>
      </c>
      <c r="V29" s="729" t="s">
        <v>1594</v>
      </c>
      <c r="W29" s="3"/>
      <c r="X29" s="3"/>
    </row>
    <row r="30" spans="1:24" ht="258.75" customHeight="1">
      <c r="A30" s="736"/>
      <c r="B30" s="736"/>
      <c r="C30" s="736"/>
      <c r="D30" s="829">
        <v>25</v>
      </c>
      <c r="E30" s="829" t="s">
        <v>68</v>
      </c>
      <c r="F30" s="913"/>
      <c r="G30" s="913"/>
      <c r="H30" s="913"/>
      <c r="I30" s="913"/>
      <c r="J30" s="913"/>
      <c r="K30" s="913"/>
      <c r="L30" s="913"/>
      <c r="M30" s="913"/>
      <c r="N30" s="915">
        <v>0.5</v>
      </c>
      <c r="O30" s="921">
        <v>6.4500000000000002E-2</v>
      </c>
      <c r="P30" s="913">
        <v>0.89600000000000002</v>
      </c>
      <c r="Q30" s="913"/>
      <c r="R30" s="913"/>
      <c r="S30" s="913"/>
      <c r="T30" s="847">
        <f t="shared" si="0"/>
        <v>1.4605000000000001</v>
      </c>
      <c r="U30" s="728">
        <f>T30</f>
        <v>1.4605000000000001</v>
      </c>
      <c r="V30" s="729" t="s">
        <v>1592</v>
      </c>
      <c r="W30" s="3"/>
      <c r="X30" s="3"/>
    </row>
    <row r="31" spans="1:24" ht="220.5" customHeight="1">
      <c r="A31" s="736"/>
      <c r="B31" s="736"/>
      <c r="C31" s="736"/>
      <c r="D31" s="829">
        <v>26</v>
      </c>
      <c r="E31" s="912" t="s">
        <v>70</v>
      </c>
      <c r="F31" s="913"/>
      <c r="G31" s="913"/>
      <c r="H31" s="913"/>
      <c r="I31" s="915"/>
      <c r="J31" s="913"/>
      <c r="K31" s="913"/>
      <c r="L31" s="913"/>
      <c r="M31" s="913"/>
      <c r="N31" s="915">
        <v>3.6</v>
      </c>
      <c r="O31" s="913"/>
      <c r="P31" s="913"/>
      <c r="Q31" s="919">
        <v>3.2</v>
      </c>
      <c r="R31" s="922">
        <v>0.2</v>
      </c>
      <c r="S31" s="913"/>
      <c r="T31" s="847">
        <f t="shared" si="0"/>
        <v>7.0000000000000009</v>
      </c>
      <c r="U31" s="728">
        <f>T31-0.2</f>
        <v>6.8000000000000007</v>
      </c>
      <c r="V31" s="729" t="s">
        <v>1595</v>
      </c>
      <c r="W31" s="3"/>
      <c r="X31" s="3"/>
    </row>
    <row r="32" spans="1:24" ht="115.5" customHeight="1">
      <c r="A32" s="736"/>
      <c r="B32" s="736"/>
      <c r="C32" s="736"/>
      <c r="D32" s="829">
        <v>27</v>
      </c>
      <c r="E32" s="829" t="s">
        <v>72</v>
      </c>
      <c r="F32" s="913"/>
      <c r="G32" s="913"/>
      <c r="H32" s="914"/>
      <c r="I32" s="915"/>
      <c r="J32" s="913"/>
      <c r="K32" s="913"/>
      <c r="L32" s="913"/>
      <c r="M32" s="913"/>
      <c r="N32" s="915">
        <v>1</v>
      </c>
      <c r="O32" s="914"/>
      <c r="P32" s="914">
        <v>1.5</v>
      </c>
      <c r="Q32" s="913"/>
      <c r="R32" s="913"/>
      <c r="S32" s="913"/>
      <c r="T32" s="847">
        <f t="shared" si="0"/>
        <v>2.5</v>
      </c>
      <c r="U32" s="847">
        <f>T32</f>
        <v>2.5</v>
      </c>
      <c r="V32" s="738" t="s">
        <v>1596</v>
      </c>
      <c r="W32" s="3"/>
      <c r="X32" s="3"/>
    </row>
    <row r="33" spans="1:24" ht="61.5" customHeight="1">
      <c r="A33" s="736"/>
      <c r="B33" s="736"/>
      <c r="C33" s="736"/>
      <c r="D33" s="829">
        <v>28</v>
      </c>
      <c r="E33" s="829" t="s">
        <v>34</v>
      </c>
      <c r="F33" s="913"/>
      <c r="G33" s="913"/>
      <c r="H33" s="913"/>
      <c r="I33" s="913"/>
      <c r="J33" s="913"/>
      <c r="K33" s="915">
        <v>3.1120000000000001</v>
      </c>
      <c r="L33" s="913"/>
      <c r="M33" s="915">
        <v>3.1120000000000001</v>
      </c>
      <c r="N33" s="913"/>
      <c r="O33" s="913"/>
      <c r="P33" s="913"/>
      <c r="Q33" s="913"/>
      <c r="R33" s="913"/>
      <c r="S33" s="913"/>
      <c r="T33" s="847">
        <f t="shared" si="0"/>
        <v>6.2240000000000002</v>
      </c>
      <c r="U33" s="847">
        <f>6.22</f>
        <v>6.22</v>
      </c>
      <c r="V33" s="744" t="s">
        <v>1777</v>
      </c>
      <c r="W33" s="3"/>
      <c r="X33" s="3"/>
    </row>
    <row r="34" spans="1:24" ht="45" customHeight="1">
      <c r="A34" s="736"/>
      <c r="B34" s="736"/>
      <c r="C34" s="736"/>
      <c r="D34" s="829">
        <v>29</v>
      </c>
      <c r="E34" s="829" t="s">
        <v>36</v>
      </c>
      <c r="F34" s="913"/>
      <c r="G34" s="913"/>
      <c r="H34" s="913"/>
      <c r="I34" s="913"/>
      <c r="J34" s="913"/>
      <c r="K34" s="913"/>
      <c r="L34" s="913"/>
      <c r="M34" s="913"/>
      <c r="N34" s="913"/>
      <c r="O34" s="913"/>
      <c r="P34" s="915">
        <v>7.78</v>
      </c>
      <c r="Q34" s="913"/>
      <c r="R34" s="913"/>
      <c r="S34" s="913"/>
      <c r="T34" s="847">
        <f t="shared" si="0"/>
        <v>7.78</v>
      </c>
      <c r="U34" s="847">
        <f t="shared" ref="U34:U35" si="4">T34</f>
        <v>7.78</v>
      </c>
      <c r="V34" s="729" t="s">
        <v>1778</v>
      </c>
      <c r="W34" s="3"/>
      <c r="X34" s="3"/>
    </row>
    <row r="35" spans="1:24" ht="73.5" customHeight="1">
      <c r="A35" s="736"/>
      <c r="B35" s="736"/>
      <c r="C35" s="736"/>
      <c r="D35" s="829">
        <v>30</v>
      </c>
      <c r="E35" s="912" t="s">
        <v>74</v>
      </c>
      <c r="F35" s="913"/>
      <c r="G35" s="913"/>
      <c r="H35" s="913"/>
      <c r="I35" s="915"/>
      <c r="J35" s="913"/>
      <c r="K35" s="913"/>
      <c r="L35" s="913"/>
      <c r="M35" s="913"/>
      <c r="N35" s="913"/>
      <c r="O35" s="913"/>
      <c r="P35" s="913"/>
      <c r="Q35" s="915">
        <v>3.19</v>
      </c>
      <c r="R35" s="922">
        <v>1.75</v>
      </c>
      <c r="S35" s="913"/>
      <c r="T35" s="847">
        <f t="shared" si="0"/>
        <v>4.9399999999999995</v>
      </c>
      <c r="U35" s="847">
        <f t="shared" si="4"/>
        <v>4.9399999999999995</v>
      </c>
      <c r="V35" s="729" t="s">
        <v>1597</v>
      </c>
      <c r="W35" s="3"/>
      <c r="X35" s="3"/>
    </row>
    <row r="36" spans="1:24" ht="42" customHeight="1">
      <c r="A36" s="736"/>
      <c r="B36" s="736"/>
      <c r="C36" s="736"/>
      <c r="D36" s="829">
        <v>31</v>
      </c>
      <c r="E36" s="912" t="s">
        <v>53</v>
      </c>
      <c r="F36" s="913"/>
      <c r="G36" s="913"/>
      <c r="H36" s="913"/>
      <c r="I36" s="913"/>
      <c r="J36" s="913"/>
      <c r="K36" s="913"/>
      <c r="L36" s="913"/>
      <c r="M36" s="913"/>
      <c r="N36" s="913"/>
      <c r="O36" s="913"/>
      <c r="P36" s="923"/>
      <c r="Q36" s="913"/>
      <c r="R36" s="913"/>
      <c r="S36" s="913"/>
      <c r="T36" s="847">
        <f t="shared" si="0"/>
        <v>0</v>
      </c>
      <c r="U36" s="847">
        <f>T36+T36*5/100</f>
        <v>0</v>
      </c>
      <c r="V36" s="742"/>
      <c r="W36" s="3"/>
      <c r="X36" s="3"/>
    </row>
    <row r="37" spans="1:24" ht="44.25" customHeight="1">
      <c r="A37" s="736"/>
      <c r="B37" s="828" t="s">
        <v>76</v>
      </c>
      <c r="C37" s="828" t="s">
        <v>77</v>
      </c>
      <c r="D37" s="829">
        <v>32</v>
      </c>
      <c r="E37" s="829" t="s">
        <v>78</v>
      </c>
      <c r="F37" s="829"/>
      <c r="G37" s="829"/>
      <c r="H37" s="829"/>
      <c r="I37" s="847"/>
      <c r="J37" s="829"/>
      <c r="K37" s="829"/>
      <c r="L37" s="829"/>
      <c r="M37" s="847"/>
      <c r="N37" s="847">
        <v>6.1680000000000001</v>
      </c>
      <c r="O37" s="845">
        <v>66.749499999999998</v>
      </c>
      <c r="P37" s="845">
        <v>14.0642</v>
      </c>
      <c r="Q37" s="847">
        <v>2.25</v>
      </c>
      <c r="R37" s="845">
        <v>4.7649999999999997</v>
      </c>
      <c r="S37" s="829">
        <v>3.55</v>
      </c>
      <c r="T37" s="847">
        <f t="shared" si="0"/>
        <v>97.546700000000001</v>
      </c>
      <c r="U37" s="847">
        <f>T37-1.4665</f>
        <v>96.080200000000005</v>
      </c>
      <c r="V37" s="744" t="s">
        <v>400</v>
      </c>
      <c r="W37" s="3"/>
      <c r="X37" s="3"/>
    </row>
    <row r="38" spans="1:24" ht="24.75" customHeight="1">
      <c r="A38" s="736"/>
      <c r="B38" s="736"/>
      <c r="C38" s="736"/>
      <c r="D38" s="829">
        <v>33</v>
      </c>
      <c r="E38" s="829" t="s">
        <v>80</v>
      </c>
      <c r="F38" s="829"/>
      <c r="G38" s="829"/>
      <c r="H38" s="829"/>
      <c r="I38" s="829"/>
      <c r="J38" s="829"/>
      <c r="K38" s="829"/>
      <c r="L38" s="829"/>
      <c r="M38" s="829"/>
      <c r="N38" s="829"/>
      <c r="O38" s="829"/>
      <c r="P38" s="829"/>
      <c r="Q38" s="829"/>
      <c r="R38" s="829"/>
      <c r="S38" s="829"/>
      <c r="T38" s="847">
        <f t="shared" si="0"/>
        <v>0</v>
      </c>
      <c r="U38" s="847">
        <f t="shared" ref="U38:U39" si="5">T38+T38*5/100</f>
        <v>0</v>
      </c>
      <c r="V38" s="744"/>
      <c r="W38" s="3"/>
      <c r="X38" s="3"/>
    </row>
    <row r="39" spans="1:24" ht="24.75" customHeight="1">
      <c r="A39" s="736"/>
      <c r="B39" s="736"/>
      <c r="C39" s="736"/>
      <c r="D39" s="829">
        <v>34</v>
      </c>
      <c r="E39" s="829" t="s">
        <v>81</v>
      </c>
      <c r="F39" s="829"/>
      <c r="G39" s="829"/>
      <c r="H39" s="829"/>
      <c r="I39" s="829"/>
      <c r="J39" s="829"/>
      <c r="K39" s="829"/>
      <c r="L39" s="829"/>
      <c r="M39" s="829"/>
      <c r="N39" s="847"/>
      <c r="O39" s="829"/>
      <c r="P39" s="845"/>
      <c r="Q39" s="829"/>
      <c r="R39" s="829"/>
      <c r="S39" s="829"/>
      <c r="T39" s="847">
        <f t="shared" si="0"/>
        <v>0</v>
      </c>
      <c r="U39" s="847">
        <f t="shared" si="5"/>
        <v>0</v>
      </c>
      <c r="V39" s="744"/>
      <c r="W39" s="3"/>
      <c r="X39" s="3"/>
    </row>
    <row r="40" spans="1:24" ht="270">
      <c r="A40" s="736"/>
      <c r="B40" s="828" t="s">
        <v>82</v>
      </c>
      <c r="C40" s="828" t="s">
        <v>83</v>
      </c>
      <c r="D40" s="829">
        <v>35</v>
      </c>
      <c r="E40" s="829" t="s">
        <v>84</v>
      </c>
      <c r="F40" s="924"/>
      <c r="G40" s="924"/>
      <c r="H40" s="924"/>
      <c r="I40" s="925"/>
      <c r="J40" s="924"/>
      <c r="K40" s="924"/>
      <c r="L40" s="924"/>
      <c r="M40" s="924"/>
      <c r="N40" s="925">
        <v>1.2</v>
      </c>
      <c r="O40" s="924"/>
      <c r="P40" s="926">
        <f>0.6+1.92+0.15+0.1</f>
        <v>2.77</v>
      </c>
      <c r="Q40" s="926">
        <v>0.25</v>
      </c>
      <c r="R40" s="924"/>
      <c r="S40" s="924"/>
      <c r="T40" s="847">
        <f t="shared" si="0"/>
        <v>4.22</v>
      </c>
      <c r="U40" s="728">
        <f>T40</f>
        <v>4.22</v>
      </c>
      <c r="V40" s="744" t="s">
        <v>1779</v>
      </c>
      <c r="W40" s="3"/>
      <c r="X40" s="3"/>
    </row>
    <row r="41" spans="1:24" ht="45">
      <c r="A41" s="736"/>
      <c r="B41" s="736"/>
      <c r="C41" s="736"/>
      <c r="D41" s="829">
        <v>36</v>
      </c>
      <c r="E41" s="829" t="s">
        <v>85</v>
      </c>
      <c r="F41" s="924"/>
      <c r="G41" s="924"/>
      <c r="H41" s="924"/>
      <c r="I41" s="924"/>
      <c r="J41" s="924"/>
      <c r="K41" s="925"/>
      <c r="L41" s="924"/>
      <c r="M41" s="924"/>
      <c r="N41" s="925">
        <v>0.8</v>
      </c>
      <c r="O41" s="924"/>
      <c r="P41" s="924"/>
      <c r="Q41" s="924"/>
      <c r="R41" s="924"/>
      <c r="S41" s="924"/>
      <c r="T41" s="847">
        <f t="shared" si="0"/>
        <v>0.8</v>
      </c>
      <c r="U41" s="847">
        <v>0.8</v>
      </c>
      <c r="V41" s="744" t="s">
        <v>1780</v>
      </c>
      <c r="W41" s="3"/>
      <c r="X41" s="3"/>
    </row>
    <row r="42" spans="1:24" ht="24.75" customHeight="1">
      <c r="A42" s="736"/>
      <c r="B42" s="736"/>
      <c r="C42" s="736"/>
      <c r="D42" s="829">
        <v>37</v>
      </c>
      <c r="E42" s="829" t="s">
        <v>86</v>
      </c>
      <c r="F42" s="924"/>
      <c r="G42" s="924"/>
      <c r="H42" s="924"/>
      <c r="I42" s="924"/>
      <c r="J42" s="924"/>
      <c r="K42" s="925"/>
      <c r="L42" s="924"/>
      <c r="M42" s="924"/>
      <c r="N42" s="927"/>
      <c r="O42" s="924"/>
      <c r="P42" s="924"/>
      <c r="Q42" s="927"/>
      <c r="R42" s="924"/>
      <c r="S42" s="924"/>
      <c r="T42" s="847">
        <f t="shared" si="0"/>
        <v>0</v>
      </c>
      <c r="U42" s="847">
        <f>T42*1.05</f>
        <v>0</v>
      </c>
      <c r="V42" s="744"/>
      <c r="W42" s="3"/>
      <c r="X42" s="3"/>
    </row>
    <row r="43" spans="1:24" ht="300" customHeight="1">
      <c r="A43" s="736"/>
      <c r="B43" s="736"/>
      <c r="C43" s="736"/>
      <c r="D43" s="829">
        <v>38</v>
      </c>
      <c r="E43" s="829" t="s">
        <v>87</v>
      </c>
      <c r="F43" s="924"/>
      <c r="G43" s="924"/>
      <c r="H43" s="924"/>
      <c r="I43" s="924"/>
      <c r="J43" s="924"/>
      <c r="K43" s="924"/>
      <c r="L43" s="924"/>
      <c r="M43" s="924"/>
      <c r="N43" s="928">
        <v>3.5</v>
      </c>
      <c r="O43" s="926">
        <v>0.16</v>
      </c>
      <c r="P43" s="926">
        <v>6.8</v>
      </c>
      <c r="Q43" s="926">
        <v>0.7</v>
      </c>
      <c r="R43" s="924"/>
      <c r="S43" s="924"/>
      <c r="T43" s="847">
        <f t="shared" si="0"/>
        <v>11.16</v>
      </c>
      <c r="U43" s="847">
        <v>11.16</v>
      </c>
      <c r="V43" s="729" t="s">
        <v>1781</v>
      </c>
      <c r="W43" s="3"/>
      <c r="X43" s="3"/>
    </row>
    <row r="44" spans="1:24" ht="82.5" customHeight="1">
      <c r="A44" s="736"/>
      <c r="B44" s="736"/>
      <c r="C44" s="736"/>
      <c r="D44" s="829">
        <v>39</v>
      </c>
      <c r="E44" s="829" t="s">
        <v>88</v>
      </c>
      <c r="F44" s="924"/>
      <c r="G44" s="924"/>
      <c r="H44" s="924"/>
      <c r="I44" s="924"/>
      <c r="J44" s="924"/>
      <c r="K44" s="924"/>
      <c r="L44" s="924"/>
      <c r="M44" s="924"/>
      <c r="N44" s="924">
        <v>1</v>
      </c>
      <c r="O44" s="924"/>
      <c r="P44" s="926">
        <v>0.4</v>
      </c>
      <c r="Q44" s="926"/>
      <c r="R44" s="924"/>
      <c r="S44" s="924"/>
      <c r="T44" s="847">
        <f t="shared" si="0"/>
        <v>1.4</v>
      </c>
      <c r="U44" s="847">
        <v>1.4</v>
      </c>
      <c r="V44" s="729" t="s">
        <v>401</v>
      </c>
      <c r="W44" s="3"/>
      <c r="X44" s="3"/>
    </row>
    <row r="45" spans="1:24" ht="191.25" customHeight="1">
      <c r="A45" s="736"/>
      <c r="B45" s="736"/>
      <c r="C45" s="736"/>
      <c r="D45" s="829">
        <v>40</v>
      </c>
      <c r="E45" s="829" t="s">
        <v>89</v>
      </c>
      <c r="F45" s="924"/>
      <c r="G45" s="924"/>
      <c r="H45" s="924"/>
      <c r="I45" s="924"/>
      <c r="J45" s="924"/>
      <c r="K45" s="924"/>
      <c r="L45" s="924"/>
      <c r="M45" s="924"/>
      <c r="N45" s="925">
        <v>0.10920000000000001</v>
      </c>
      <c r="O45" s="924"/>
      <c r="P45" s="926"/>
      <c r="Q45" s="925">
        <f>0.1+0.32+1.7</f>
        <v>2.12</v>
      </c>
      <c r="R45" s="926"/>
      <c r="S45" s="924"/>
      <c r="T45" s="847">
        <f t="shared" si="0"/>
        <v>2.2292000000000001</v>
      </c>
      <c r="U45" s="847">
        <v>2.23</v>
      </c>
      <c r="V45" s="729" t="s">
        <v>1782</v>
      </c>
      <c r="W45" s="3"/>
      <c r="X45" s="3"/>
    </row>
    <row r="46" spans="1:24" ht="24.75" customHeight="1">
      <c r="A46" s="736"/>
      <c r="B46" s="736"/>
      <c r="C46" s="736"/>
      <c r="D46" s="829">
        <v>41</v>
      </c>
      <c r="E46" s="829" t="s">
        <v>53</v>
      </c>
      <c r="F46" s="924"/>
      <c r="G46" s="924"/>
      <c r="H46" s="924"/>
      <c r="I46" s="924"/>
      <c r="J46" s="924"/>
      <c r="K46" s="924"/>
      <c r="L46" s="924"/>
      <c r="M46" s="924"/>
      <c r="N46" s="924"/>
      <c r="O46" s="924"/>
      <c r="P46" s="924"/>
      <c r="Q46" s="924"/>
      <c r="R46" s="924"/>
      <c r="S46" s="924"/>
      <c r="T46" s="847">
        <f t="shared" si="0"/>
        <v>0</v>
      </c>
      <c r="U46" s="847">
        <f>T46*1.05</f>
        <v>0</v>
      </c>
      <c r="V46" s="744"/>
      <c r="W46" s="3"/>
      <c r="X46" s="3"/>
    </row>
    <row r="47" spans="1:24" ht="99.75" customHeight="1">
      <c r="A47" s="736"/>
      <c r="B47" s="828" t="s">
        <v>90</v>
      </c>
      <c r="C47" s="828" t="s">
        <v>91</v>
      </c>
      <c r="D47" s="829">
        <v>42</v>
      </c>
      <c r="E47" s="829" t="s">
        <v>92</v>
      </c>
      <c r="F47" s="845">
        <v>11.545</v>
      </c>
      <c r="G47" s="829"/>
      <c r="H47" s="829"/>
      <c r="I47" s="847"/>
      <c r="J47" s="829"/>
      <c r="K47" s="829"/>
      <c r="L47" s="829"/>
      <c r="M47" s="829"/>
      <c r="N47" s="835">
        <v>1.1000000000000001</v>
      </c>
      <c r="O47" s="829"/>
      <c r="P47" s="845"/>
      <c r="Q47" s="829"/>
      <c r="R47" s="829"/>
      <c r="S47" s="829"/>
      <c r="T47" s="847">
        <f t="shared" si="0"/>
        <v>12.645</v>
      </c>
      <c r="U47" s="847">
        <f t="shared" ref="U47:U50" si="6">T47</f>
        <v>12.645</v>
      </c>
      <c r="V47" s="729" t="s">
        <v>1599</v>
      </c>
      <c r="W47" s="3"/>
      <c r="X47" s="3"/>
    </row>
    <row r="48" spans="1:24" ht="67.5" customHeight="1">
      <c r="A48" s="736"/>
      <c r="B48" s="736"/>
      <c r="C48" s="736"/>
      <c r="D48" s="829">
        <v>43</v>
      </c>
      <c r="E48" s="829" t="s">
        <v>93</v>
      </c>
      <c r="F48" s="845">
        <v>0.29699999999999999</v>
      </c>
      <c r="G48" s="829"/>
      <c r="H48" s="829"/>
      <c r="I48" s="847"/>
      <c r="J48" s="829"/>
      <c r="K48" s="829"/>
      <c r="L48" s="829"/>
      <c r="M48" s="829"/>
      <c r="N48" s="835">
        <v>0.34499999999999997</v>
      </c>
      <c r="O48" s="829"/>
      <c r="P48" s="845"/>
      <c r="Q48" s="829"/>
      <c r="R48" s="829"/>
      <c r="S48" s="829"/>
      <c r="T48" s="847">
        <f t="shared" si="0"/>
        <v>0.6419999999999999</v>
      </c>
      <c r="U48" s="847">
        <f t="shared" si="6"/>
        <v>0.6419999999999999</v>
      </c>
      <c r="V48" s="729" t="s">
        <v>402</v>
      </c>
      <c r="W48" s="3"/>
      <c r="X48" s="3"/>
    </row>
    <row r="49" spans="1:24" ht="172.5" customHeight="1">
      <c r="A49" s="736"/>
      <c r="B49" s="736"/>
      <c r="C49" s="736"/>
      <c r="D49" s="829">
        <v>44</v>
      </c>
      <c r="E49" s="829" t="s">
        <v>95</v>
      </c>
      <c r="F49" s="845">
        <v>0.69159999999999999</v>
      </c>
      <c r="G49" s="829"/>
      <c r="H49" s="829"/>
      <c r="I49" s="847"/>
      <c r="J49" s="829"/>
      <c r="K49" s="829"/>
      <c r="L49" s="829"/>
      <c r="M49" s="829"/>
      <c r="N49" s="929">
        <v>1.125</v>
      </c>
      <c r="O49" s="845">
        <v>0.17699999999999999</v>
      </c>
      <c r="P49" s="845"/>
      <c r="Q49" s="829"/>
      <c r="R49" s="829"/>
      <c r="S49" s="829"/>
      <c r="T49" s="847">
        <f t="shared" si="0"/>
        <v>1.9936</v>
      </c>
      <c r="U49" s="847">
        <f t="shared" si="6"/>
        <v>1.9936</v>
      </c>
      <c r="V49" s="744" t="s">
        <v>1600</v>
      </c>
      <c r="W49" s="3"/>
      <c r="X49" s="3"/>
    </row>
    <row r="50" spans="1:24" ht="48" customHeight="1">
      <c r="A50" s="736"/>
      <c r="B50" s="736"/>
      <c r="C50" s="736"/>
      <c r="D50" s="829">
        <v>45</v>
      </c>
      <c r="E50" s="829" t="s">
        <v>96</v>
      </c>
      <c r="F50" s="845">
        <v>0.113</v>
      </c>
      <c r="G50" s="829"/>
      <c r="H50" s="829"/>
      <c r="I50" s="829"/>
      <c r="J50" s="829"/>
      <c r="K50" s="829"/>
      <c r="L50" s="829"/>
      <c r="M50" s="829"/>
      <c r="N50" s="847"/>
      <c r="O50" s="845">
        <v>0.113</v>
      </c>
      <c r="P50" s="829"/>
      <c r="Q50" s="829"/>
      <c r="R50" s="829"/>
      <c r="S50" s="829"/>
      <c r="T50" s="847">
        <f t="shared" si="0"/>
        <v>0.22600000000000001</v>
      </c>
      <c r="U50" s="847">
        <f t="shared" si="6"/>
        <v>0.22600000000000001</v>
      </c>
      <c r="V50" s="744" t="s">
        <v>403</v>
      </c>
      <c r="W50" s="3"/>
      <c r="X50" s="3"/>
    </row>
    <row r="51" spans="1:24" ht="24.75" customHeight="1">
      <c r="A51" s="736"/>
      <c r="B51" s="736"/>
      <c r="C51" s="736"/>
      <c r="D51" s="829">
        <v>46</v>
      </c>
      <c r="E51" s="829" t="s">
        <v>98</v>
      </c>
      <c r="F51" s="829"/>
      <c r="G51" s="829"/>
      <c r="H51" s="829"/>
      <c r="I51" s="829"/>
      <c r="J51" s="829"/>
      <c r="K51" s="829"/>
      <c r="L51" s="829"/>
      <c r="M51" s="829"/>
      <c r="N51" s="829"/>
      <c r="O51" s="829"/>
      <c r="P51" s="829"/>
      <c r="Q51" s="829"/>
      <c r="R51" s="829"/>
      <c r="S51" s="829"/>
      <c r="T51" s="847">
        <f t="shared" si="0"/>
        <v>0</v>
      </c>
      <c r="U51" s="847">
        <f>T51+T51*5/100</f>
        <v>0</v>
      </c>
      <c r="V51" s="744"/>
      <c r="W51" s="3"/>
      <c r="X51" s="3"/>
    </row>
    <row r="52" spans="1:24" ht="24.75" customHeight="1">
      <c r="A52" s="736"/>
      <c r="B52" s="736"/>
      <c r="C52" s="736"/>
      <c r="D52" s="829">
        <v>47</v>
      </c>
      <c r="E52" s="829" t="s">
        <v>99</v>
      </c>
      <c r="F52" s="845">
        <v>3</v>
      </c>
      <c r="G52" s="829">
        <v>0</v>
      </c>
      <c r="H52" s="829">
        <v>0</v>
      </c>
      <c r="I52" s="829"/>
      <c r="J52" s="829"/>
      <c r="K52" s="829"/>
      <c r="L52" s="829"/>
      <c r="M52" s="829"/>
      <c r="N52" s="829"/>
      <c r="O52" s="829"/>
      <c r="P52" s="829"/>
      <c r="Q52" s="829"/>
      <c r="R52" s="829"/>
      <c r="S52" s="829"/>
      <c r="T52" s="847">
        <f t="shared" si="0"/>
        <v>3</v>
      </c>
      <c r="U52" s="847">
        <f t="shared" ref="U52:U55" si="7">T52</f>
        <v>3</v>
      </c>
      <c r="V52" s="744" t="s">
        <v>404</v>
      </c>
      <c r="W52" s="3"/>
      <c r="X52" s="3"/>
    </row>
    <row r="53" spans="1:24" ht="50.25" customHeight="1">
      <c r="A53" s="736"/>
      <c r="B53" s="736"/>
      <c r="C53" s="736"/>
      <c r="D53" s="829">
        <v>48</v>
      </c>
      <c r="E53" s="829" t="s">
        <v>101</v>
      </c>
      <c r="F53" s="829"/>
      <c r="G53" s="829"/>
      <c r="H53" s="829"/>
      <c r="I53" s="829"/>
      <c r="J53" s="829"/>
      <c r="K53" s="829"/>
      <c r="L53" s="829"/>
      <c r="M53" s="829"/>
      <c r="N53" s="847">
        <v>0.28899999999999998</v>
      </c>
      <c r="O53" s="829"/>
      <c r="P53" s="845"/>
      <c r="Q53" s="829"/>
      <c r="R53" s="829"/>
      <c r="S53" s="829"/>
      <c r="T53" s="847">
        <f t="shared" si="0"/>
        <v>0.28899999999999998</v>
      </c>
      <c r="U53" s="847">
        <f t="shared" si="7"/>
        <v>0.28899999999999998</v>
      </c>
      <c r="V53" s="729" t="s">
        <v>102</v>
      </c>
      <c r="W53" s="3"/>
      <c r="X53" s="3"/>
    </row>
    <row r="54" spans="1:24" ht="47.25" customHeight="1">
      <c r="A54" s="736"/>
      <c r="B54" s="736"/>
      <c r="C54" s="736"/>
      <c r="D54" s="829">
        <v>49</v>
      </c>
      <c r="E54" s="829" t="s">
        <v>103</v>
      </c>
      <c r="F54" s="829"/>
      <c r="G54" s="829"/>
      <c r="H54" s="829"/>
      <c r="I54" s="829"/>
      <c r="J54" s="829"/>
      <c r="K54" s="829"/>
      <c r="L54" s="829"/>
      <c r="M54" s="829"/>
      <c r="N54" s="829"/>
      <c r="O54" s="829"/>
      <c r="P54" s="829"/>
      <c r="Q54" s="847">
        <v>2.5</v>
      </c>
      <c r="R54" s="845">
        <v>1</v>
      </c>
      <c r="S54" s="829"/>
      <c r="T54" s="847">
        <f t="shared" si="0"/>
        <v>3.5</v>
      </c>
      <c r="U54" s="847">
        <f t="shared" si="7"/>
        <v>3.5</v>
      </c>
      <c r="V54" s="744" t="s">
        <v>405</v>
      </c>
      <c r="W54" s="3"/>
      <c r="X54" s="3"/>
    </row>
    <row r="55" spans="1:24" ht="103.5" customHeight="1">
      <c r="A55" s="736"/>
      <c r="B55" s="736"/>
      <c r="C55" s="736"/>
      <c r="D55" s="829">
        <v>50</v>
      </c>
      <c r="E55" s="829" t="s">
        <v>105</v>
      </c>
      <c r="F55" s="829"/>
      <c r="G55" s="829"/>
      <c r="H55" s="829"/>
      <c r="I55" s="847"/>
      <c r="J55" s="829"/>
      <c r="K55" s="829">
        <v>0.37</v>
      </c>
      <c r="L55" s="829"/>
      <c r="M55" s="829"/>
      <c r="N55" s="847"/>
      <c r="O55" s="829"/>
      <c r="P55" s="845"/>
      <c r="Q55" s="847">
        <v>3.2</v>
      </c>
      <c r="R55" s="845">
        <v>0.04</v>
      </c>
      <c r="S55" s="829"/>
      <c r="T55" s="847">
        <f t="shared" si="0"/>
        <v>3.6100000000000003</v>
      </c>
      <c r="U55" s="847">
        <f t="shared" si="7"/>
        <v>3.6100000000000003</v>
      </c>
      <c r="V55" s="770" t="s">
        <v>406</v>
      </c>
      <c r="W55" s="3"/>
      <c r="X55" s="3"/>
    </row>
    <row r="56" spans="1:24" ht="24.75" customHeight="1">
      <c r="A56" s="736"/>
      <c r="B56" s="736"/>
      <c r="C56" s="736"/>
      <c r="D56" s="829">
        <v>51</v>
      </c>
      <c r="E56" s="829" t="s">
        <v>53</v>
      </c>
      <c r="F56" s="829"/>
      <c r="G56" s="829"/>
      <c r="H56" s="829"/>
      <c r="I56" s="829"/>
      <c r="J56" s="829"/>
      <c r="K56" s="829"/>
      <c r="L56" s="829"/>
      <c r="M56" s="829"/>
      <c r="N56" s="845"/>
      <c r="O56" s="829"/>
      <c r="P56" s="829"/>
      <c r="Q56" s="829"/>
      <c r="R56" s="829"/>
      <c r="S56" s="829"/>
      <c r="T56" s="847">
        <f t="shared" si="0"/>
        <v>0</v>
      </c>
      <c r="U56" s="847">
        <f>T56+T56*5/100</f>
        <v>0</v>
      </c>
      <c r="V56" s="744"/>
      <c r="W56" s="3"/>
      <c r="X56" s="3"/>
    </row>
    <row r="57" spans="1:24" ht="222.75" customHeight="1">
      <c r="A57" s="736"/>
      <c r="B57" s="828" t="s">
        <v>107</v>
      </c>
      <c r="C57" s="828" t="s">
        <v>108</v>
      </c>
      <c r="D57" s="829">
        <v>52</v>
      </c>
      <c r="E57" s="829" t="s">
        <v>109</v>
      </c>
      <c r="F57" s="913"/>
      <c r="G57" s="913"/>
      <c r="H57" s="913"/>
      <c r="I57" s="930"/>
      <c r="J57" s="913"/>
      <c r="K57" s="915"/>
      <c r="L57" s="913"/>
      <c r="M57" s="913"/>
      <c r="N57" s="915">
        <v>2</v>
      </c>
      <c r="O57" s="914">
        <v>35.118000000000002</v>
      </c>
      <c r="P57" s="913"/>
      <c r="Q57" s="913"/>
      <c r="R57" s="913"/>
      <c r="S57" s="913"/>
      <c r="T57" s="847">
        <f t="shared" si="0"/>
        <v>37.118000000000002</v>
      </c>
      <c r="U57" s="728">
        <f>N57+O57</f>
        <v>37.118000000000002</v>
      </c>
      <c r="V57" s="729" t="s">
        <v>407</v>
      </c>
      <c r="W57" s="3"/>
      <c r="X57" s="3"/>
    </row>
    <row r="58" spans="1:24" ht="131.25" customHeight="1">
      <c r="A58" s="736"/>
      <c r="B58" s="736"/>
      <c r="C58" s="736"/>
      <c r="D58" s="829">
        <v>53</v>
      </c>
      <c r="E58" s="829" t="s">
        <v>111</v>
      </c>
      <c r="F58" s="913"/>
      <c r="G58" s="913"/>
      <c r="H58" s="913"/>
      <c r="I58" s="913"/>
      <c r="J58" s="913"/>
      <c r="K58" s="915"/>
      <c r="L58" s="913"/>
      <c r="M58" s="913"/>
      <c r="N58" s="915">
        <v>6.5650000000000004</v>
      </c>
      <c r="O58" s="914">
        <v>3.9020000000000001</v>
      </c>
      <c r="P58" s="913"/>
      <c r="Q58" s="914">
        <v>3</v>
      </c>
      <c r="R58" s="913"/>
      <c r="S58" s="913"/>
      <c r="T58" s="847">
        <f t="shared" si="0"/>
        <v>13.467000000000001</v>
      </c>
      <c r="U58" s="728">
        <f>T58</f>
        <v>13.467000000000001</v>
      </c>
      <c r="V58" s="770" t="s">
        <v>408</v>
      </c>
      <c r="W58" s="3"/>
      <c r="X58" s="3"/>
    </row>
    <row r="59" spans="1:24" ht="24.75" customHeight="1">
      <c r="A59" s="736"/>
      <c r="B59" s="736"/>
      <c r="C59" s="736"/>
      <c r="D59" s="829">
        <v>54</v>
      </c>
      <c r="E59" s="829" t="s">
        <v>113</v>
      </c>
      <c r="F59" s="913"/>
      <c r="G59" s="913"/>
      <c r="H59" s="914"/>
      <c r="I59" s="913"/>
      <c r="J59" s="913"/>
      <c r="K59" s="913"/>
      <c r="L59" s="913"/>
      <c r="M59" s="913"/>
      <c r="N59" s="913"/>
      <c r="O59" s="914"/>
      <c r="P59" s="914"/>
      <c r="Q59" s="913"/>
      <c r="R59" s="913"/>
      <c r="S59" s="913"/>
      <c r="T59" s="847">
        <f t="shared" si="0"/>
        <v>0</v>
      </c>
      <c r="U59" s="847">
        <f t="shared" ref="U59:U60" si="8">T59+T59*5/100</f>
        <v>0</v>
      </c>
      <c r="V59" s="744"/>
      <c r="W59" s="3"/>
      <c r="X59" s="3"/>
    </row>
    <row r="60" spans="1:24" ht="24.75" customHeight="1">
      <c r="A60" s="736"/>
      <c r="B60" s="736"/>
      <c r="C60" s="736"/>
      <c r="D60" s="829">
        <v>55</v>
      </c>
      <c r="E60" s="829" t="s">
        <v>114</v>
      </c>
      <c r="F60" s="913"/>
      <c r="G60" s="913"/>
      <c r="H60" s="913"/>
      <c r="I60" s="913"/>
      <c r="J60" s="913"/>
      <c r="K60" s="915"/>
      <c r="L60" s="913"/>
      <c r="M60" s="913"/>
      <c r="N60" s="913"/>
      <c r="O60" s="913"/>
      <c r="P60" s="913"/>
      <c r="Q60" s="913"/>
      <c r="R60" s="913"/>
      <c r="S60" s="913"/>
      <c r="T60" s="847">
        <f t="shared" si="0"/>
        <v>0</v>
      </c>
      <c r="U60" s="847">
        <f t="shared" si="8"/>
        <v>0</v>
      </c>
      <c r="V60" s="744"/>
      <c r="W60" s="3"/>
      <c r="X60" s="3"/>
    </row>
    <row r="61" spans="1:24" ht="72.75" customHeight="1">
      <c r="A61" s="736"/>
      <c r="B61" s="736"/>
      <c r="C61" s="736"/>
      <c r="D61" s="829">
        <v>56</v>
      </c>
      <c r="E61" s="829" t="s">
        <v>115</v>
      </c>
      <c r="F61" s="913"/>
      <c r="G61" s="913"/>
      <c r="H61" s="913"/>
      <c r="I61" s="913"/>
      <c r="J61" s="913"/>
      <c r="K61" s="913"/>
      <c r="L61" s="913"/>
      <c r="M61" s="913"/>
      <c r="N61" s="913"/>
      <c r="O61" s="914">
        <v>7.8</v>
      </c>
      <c r="P61" s="913"/>
      <c r="Q61" s="913">
        <v>0.5</v>
      </c>
      <c r="R61" s="913"/>
      <c r="S61" s="913"/>
      <c r="T61" s="847">
        <f t="shared" si="0"/>
        <v>8.3000000000000007</v>
      </c>
      <c r="U61" s="847">
        <f t="shared" ref="U61:U63" si="9">T61</f>
        <v>8.3000000000000007</v>
      </c>
      <c r="V61" s="729" t="s">
        <v>409</v>
      </c>
      <c r="W61" s="3"/>
      <c r="X61" s="3"/>
    </row>
    <row r="62" spans="1:24" ht="37.5" customHeight="1">
      <c r="A62" s="736"/>
      <c r="B62" s="736"/>
      <c r="C62" s="736"/>
      <c r="D62" s="829">
        <v>57</v>
      </c>
      <c r="E62" s="829" t="s">
        <v>116</v>
      </c>
      <c r="F62" s="913"/>
      <c r="G62" s="913"/>
      <c r="H62" s="914"/>
      <c r="I62" s="913"/>
      <c r="J62" s="913"/>
      <c r="K62" s="913"/>
      <c r="L62" s="913"/>
      <c r="M62" s="917">
        <v>3.15</v>
      </c>
      <c r="N62" s="913"/>
      <c r="O62" s="913"/>
      <c r="P62" s="913"/>
      <c r="Q62" s="913"/>
      <c r="R62" s="913"/>
      <c r="S62" s="913"/>
      <c r="T62" s="847">
        <f t="shared" si="0"/>
        <v>3.15</v>
      </c>
      <c r="U62" s="847">
        <f t="shared" si="9"/>
        <v>3.15</v>
      </c>
      <c r="V62" s="729" t="s">
        <v>410</v>
      </c>
      <c r="W62" s="3"/>
      <c r="X62" s="3"/>
    </row>
    <row r="63" spans="1:24" ht="90">
      <c r="A63" s="736"/>
      <c r="B63" s="736"/>
      <c r="C63" s="736"/>
      <c r="D63" s="829">
        <v>58</v>
      </c>
      <c r="E63" s="829" t="s">
        <v>117</v>
      </c>
      <c r="F63" s="913"/>
      <c r="G63" s="913"/>
      <c r="H63" s="913"/>
      <c r="I63" s="913"/>
      <c r="J63" s="913"/>
      <c r="K63" s="915"/>
      <c r="L63" s="913"/>
      <c r="M63" s="913"/>
      <c r="N63" s="913"/>
      <c r="O63" s="931">
        <v>1.9510000000000001</v>
      </c>
      <c r="P63" s="913"/>
      <c r="Q63" s="914">
        <v>0.75</v>
      </c>
      <c r="R63" s="913"/>
      <c r="S63" s="913"/>
      <c r="T63" s="847">
        <f t="shared" si="0"/>
        <v>2.7010000000000001</v>
      </c>
      <c r="U63" s="847">
        <f t="shared" si="9"/>
        <v>2.7010000000000001</v>
      </c>
      <c r="V63" s="729" t="s">
        <v>411</v>
      </c>
      <c r="W63" s="3"/>
      <c r="X63" s="3"/>
    </row>
    <row r="64" spans="1:24" ht="24.75" customHeight="1">
      <c r="A64" s="736"/>
      <c r="B64" s="736"/>
      <c r="C64" s="736"/>
      <c r="D64" s="829">
        <v>59</v>
      </c>
      <c r="E64" s="829" t="s">
        <v>119</v>
      </c>
      <c r="F64" s="913"/>
      <c r="G64" s="913"/>
      <c r="H64" s="913"/>
      <c r="I64" s="913"/>
      <c r="J64" s="913"/>
      <c r="K64" s="913"/>
      <c r="L64" s="913"/>
      <c r="M64" s="913"/>
      <c r="N64" s="913"/>
      <c r="O64" s="913"/>
      <c r="P64" s="913"/>
      <c r="Q64" s="913"/>
      <c r="R64" s="913"/>
      <c r="S64" s="913"/>
      <c r="T64" s="847">
        <f t="shared" si="0"/>
        <v>0</v>
      </c>
      <c r="U64" s="847">
        <f t="shared" ref="U64:U66" si="10">T64+T64*5/100</f>
        <v>0</v>
      </c>
      <c r="V64" s="744"/>
      <c r="W64" s="3"/>
      <c r="X64" s="3"/>
    </row>
    <row r="65" spans="1:24" ht="24.75" customHeight="1">
      <c r="A65" s="736"/>
      <c r="B65" s="736"/>
      <c r="C65" s="736"/>
      <c r="D65" s="829">
        <v>60</v>
      </c>
      <c r="E65" s="829" t="s">
        <v>120</v>
      </c>
      <c r="F65" s="913"/>
      <c r="G65" s="913"/>
      <c r="H65" s="913"/>
      <c r="I65" s="913"/>
      <c r="J65" s="913"/>
      <c r="K65" s="913"/>
      <c r="L65" s="913"/>
      <c r="M65" s="913"/>
      <c r="N65" s="913"/>
      <c r="O65" s="913"/>
      <c r="P65" s="913"/>
      <c r="Q65" s="918"/>
      <c r="R65" s="913"/>
      <c r="S65" s="913"/>
      <c r="T65" s="847">
        <f t="shared" si="0"/>
        <v>0</v>
      </c>
      <c r="U65" s="847">
        <f t="shared" si="10"/>
        <v>0</v>
      </c>
      <c r="V65" s="744"/>
      <c r="W65" s="3"/>
      <c r="X65" s="3"/>
    </row>
    <row r="66" spans="1:24" ht="24.75" customHeight="1">
      <c r="A66" s="736"/>
      <c r="B66" s="736"/>
      <c r="C66" s="736"/>
      <c r="D66" s="829">
        <v>61</v>
      </c>
      <c r="E66" s="829" t="s">
        <v>53</v>
      </c>
      <c r="F66" s="913"/>
      <c r="G66" s="913"/>
      <c r="H66" s="913"/>
      <c r="I66" s="913"/>
      <c r="J66" s="913"/>
      <c r="K66" s="913"/>
      <c r="L66" s="913"/>
      <c r="M66" s="913"/>
      <c r="N66" s="913"/>
      <c r="O66" s="913"/>
      <c r="P66" s="913"/>
      <c r="Q66" s="913"/>
      <c r="R66" s="913"/>
      <c r="S66" s="913"/>
      <c r="T66" s="847">
        <f t="shared" si="0"/>
        <v>0</v>
      </c>
      <c r="U66" s="847">
        <f t="shared" si="10"/>
        <v>0</v>
      </c>
      <c r="V66" s="744"/>
      <c r="W66" s="3"/>
      <c r="X66" s="3"/>
    </row>
    <row r="67" spans="1:24" ht="24.75" customHeight="1">
      <c r="A67" s="736"/>
      <c r="B67" s="829" t="s">
        <v>121</v>
      </c>
      <c r="C67" s="829" t="s">
        <v>122</v>
      </c>
      <c r="D67" s="829">
        <v>62</v>
      </c>
      <c r="E67" s="829" t="s">
        <v>123</v>
      </c>
      <c r="F67" s="829"/>
      <c r="G67" s="829"/>
      <c r="H67" s="829"/>
      <c r="I67" s="829"/>
      <c r="J67" s="829"/>
      <c r="K67" s="829"/>
      <c r="L67" s="829"/>
      <c r="M67" s="847"/>
      <c r="N67" s="829"/>
      <c r="O67" s="845"/>
      <c r="P67" s="845"/>
      <c r="Q67" s="847"/>
      <c r="R67" s="829"/>
      <c r="S67" s="845"/>
      <c r="T67" s="847">
        <f t="shared" si="0"/>
        <v>0</v>
      </c>
      <c r="U67" s="847">
        <f>T67</f>
        <v>0</v>
      </c>
      <c r="V67" s="749"/>
      <c r="W67" s="3"/>
      <c r="X67" s="3"/>
    </row>
    <row r="68" spans="1:24" s="895" customFormat="1" ht="24.75" customHeight="1">
      <c r="A68" s="736"/>
      <c r="B68" s="932" t="s">
        <v>125</v>
      </c>
      <c r="C68" s="933"/>
      <c r="D68" s="933"/>
      <c r="E68" s="934"/>
      <c r="F68" s="934">
        <f t="shared" ref="F68:U68" si="11">SUM(F6:F67)</f>
        <v>86.666599999999988</v>
      </c>
      <c r="G68" s="934">
        <f t="shared" si="11"/>
        <v>0</v>
      </c>
      <c r="H68" s="934">
        <f t="shared" si="11"/>
        <v>0</v>
      </c>
      <c r="I68" s="934">
        <f t="shared" si="11"/>
        <v>7.3955299999999999</v>
      </c>
      <c r="J68" s="934">
        <f t="shared" si="11"/>
        <v>0</v>
      </c>
      <c r="K68" s="934">
        <f t="shared" si="11"/>
        <v>103.218</v>
      </c>
      <c r="L68" s="934">
        <f t="shared" si="11"/>
        <v>0</v>
      </c>
      <c r="M68" s="934">
        <f t="shared" si="11"/>
        <v>28.001999999999995</v>
      </c>
      <c r="N68" s="934">
        <f t="shared" si="11"/>
        <v>45.677199999999999</v>
      </c>
      <c r="O68" s="934">
        <f t="shared" si="11"/>
        <v>234.16499999999996</v>
      </c>
      <c r="P68" s="934">
        <f t="shared" si="11"/>
        <v>319.5457199999999</v>
      </c>
      <c r="Q68" s="934">
        <f t="shared" si="11"/>
        <v>34.112499999999997</v>
      </c>
      <c r="R68" s="934">
        <f t="shared" si="11"/>
        <v>11.404999999999999</v>
      </c>
      <c r="S68" s="934">
        <f t="shared" si="11"/>
        <v>3.55</v>
      </c>
      <c r="T68" s="872">
        <f t="shared" si="11"/>
        <v>873.73755000000006</v>
      </c>
      <c r="U68" s="935">
        <f t="shared" si="11"/>
        <v>868.01231999999993</v>
      </c>
      <c r="V68" s="936"/>
      <c r="W68" s="322"/>
      <c r="X68" s="322"/>
    </row>
    <row r="69" spans="1:24" ht="49.5" customHeight="1">
      <c r="A69" s="831" t="s">
        <v>126</v>
      </c>
      <c r="B69" s="829" t="s">
        <v>127</v>
      </c>
      <c r="C69" s="829" t="s">
        <v>128</v>
      </c>
      <c r="D69" s="829">
        <v>63</v>
      </c>
      <c r="E69" s="829" t="s">
        <v>129</v>
      </c>
      <c r="F69" s="829"/>
      <c r="G69" s="829"/>
      <c r="H69" s="829"/>
      <c r="I69" s="829"/>
      <c r="J69" s="829"/>
      <c r="K69" s="829"/>
      <c r="L69" s="829"/>
      <c r="M69" s="845"/>
      <c r="N69" s="847">
        <v>7.3</v>
      </c>
      <c r="O69" s="829"/>
      <c r="P69" s="847"/>
      <c r="Q69" s="829"/>
      <c r="R69" s="845">
        <v>3.75</v>
      </c>
      <c r="S69" s="845">
        <v>3</v>
      </c>
      <c r="T69" s="847">
        <f t="shared" ref="T69:T92" si="12">SUM(F69:S69)</f>
        <v>14.05</v>
      </c>
      <c r="U69" s="847">
        <f t="shared" ref="U69:U73" si="13">T69</f>
        <v>14.05</v>
      </c>
      <c r="V69" s="779" t="s">
        <v>412</v>
      </c>
      <c r="W69" s="3"/>
      <c r="X69" s="3"/>
    </row>
    <row r="70" spans="1:24" ht="89.25" customHeight="1">
      <c r="A70" s="736"/>
      <c r="B70" s="828" t="s">
        <v>131</v>
      </c>
      <c r="C70" s="828" t="s">
        <v>132</v>
      </c>
      <c r="D70" s="829">
        <v>64</v>
      </c>
      <c r="E70" s="829" t="s">
        <v>133</v>
      </c>
      <c r="F70" s="859"/>
      <c r="G70" s="859"/>
      <c r="H70" s="937"/>
      <c r="I70" s="861">
        <v>3.29</v>
      </c>
      <c r="J70" s="859"/>
      <c r="K70" s="861"/>
      <c r="L70" s="859"/>
      <c r="M70" s="859"/>
      <c r="N70" s="861">
        <v>1.5</v>
      </c>
      <c r="O70" s="937"/>
      <c r="P70" s="861">
        <v>3.28</v>
      </c>
      <c r="Q70" s="861">
        <v>2.2999999999999998</v>
      </c>
      <c r="R70" s="937">
        <v>2</v>
      </c>
      <c r="S70" s="937"/>
      <c r="T70" s="847">
        <f t="shared" si="12"/>
        <v>12.370000000000001</v>
      </c>
      <c r="U70" s="847">
        <f t="shared" si="13"/>
        <v>12.370000000000001</v>
      </c>
      <c r="V70" s="770" t="s">
        <v>413</v>
      </c>
      <c r="W70" s="3"/>
      <c r="X70" s="3"/>
    </row>
    <row r="71" spans="1:24" ht="57.75" customHeight="1">
      <c r="A71" s="736"/>
      <c r="B71" s="736"/>
      <c r="C71" s="736"/>
      <c r="D71" s="829">
        <v>65</v>
      </c>
      <c r="E71" s="829" t="s">
        <v>135</v>
      </c>
      <c r="F71" s="859"/>
      <c r="G71" s="859"/>
      <c r="H71" s="859"/>
      <c r="I71" s="859"/>
      <c r="J71" s="859"/>
      <c r="K71" s="859"/>
      <c r="L71" s="859"/>
      <c r="M71" s="859"/>
      <c r="N71" s="861"/>
      <c r="O71" s="859"/>
      <c r="P71" s="937">
        <v>0.45</v>
      </c>
      <c r="Q71" s="859"/>
      <c r="R71" s="859"/>
      <c r="S71" s="937"/>
      <c r="T71" s="847">
        <f t="shared" si="12"/>
        <v>0.45</v>
      </c>
      <c r="U71" s="847">
        <f t="shared" si="13"/>
        <v>0.45</v>
      </c>
      <c r="V71" s="729" t="s">
        <v>136</v>
      </c>
      <c r="W71" s="3"/>
      <c r="X71" s="3"/>
    </row>
    <row r="72" spans="1:24" ht="81" customHeight="1">
      <c r="A72" s="736"/>
      <c r="B72" s="736"/>
      <c r="C72" s="736"/>
      <c r="D72" s="829">
        <v>66</v>
      </c>
      <c r="E72" s="829" t="s">
        <v>137</v>
      </c>
      <c r="F72" s="859"/>
      <c r="G72" s="859"/>
      <c r="H72" s="859"/>
      <c r="I72" s="859"/>
      <c r="J72" s="859"/>
      <c r="K72" s="861"/>
      <c r="L72" s="859"/>
      <c r="M72" s="859"/>
      <c r="N72" s="861">
        <v>0.2</v>
      </c>
      <c r="O72" s="859"/>
      <c r="P72" s="937">
        <v>0.09</v>
      </c>
      <c r="Q72" s="861">
        <v>0.05</v>
      </c>
      <c r="R72" s="938">
        <v>0.15</v>
      </c>
      <c r="S72" s="859"/>
      <c r="T72" s="847">
        <f t="shared" si="12"/>
        <v>0.49</v>
      </c>
      <c r="U72" s="847">
        <f t="shared" si="13"/>
        <v>0.49</v>
      </c>
      <c r="V72" s="729" t="s">
        <v>138</v>
      </c>
      <c r="W72" s="3"/>
      <c r="X72" s="3"/>
    </row>
    <row r="73" spans="1:24" ht="90">
      <c r="A73" s="736"/>
      <c r="B73" s="736"/>
      <c r="C73" s="736"/>
      <c r="D73" s="829">
        <v>67</v>
      </c>
      <c r="E73" s="829" t="s">
        <v>139</v>
      </c>
      <c r="F73" s="859"/>
      <c r="G73" s="859"/>
      <c r="H73" s="859"/>
      <c r="I73" s="859"/>
      <c r="J73" s="859"/>
      <c r="K73" s="861"/>
      <c r="L73" s="859"/>
      <c r="M73" s="859"/>
      <c r="N73" s="861">
        <v>0.6</v>
      </c>
      <c r="O73" s="859">
        <v>1.5</v>
      </c>
      <c r="P73" s="937">
        <v>37.590000000000003</v>
      </c>
      <c r="Q73" s="861">
        <v>1.2</v>
      </c>
      <c r="R73" s="937">
        <v>3.75</v>
      </c>
      <c r="S73" s="937">
        <v>5</v>
      </c>
      <c r="T73" s="847">
        <f t="shared" si="12"/>
        <v>49.640000000000008</v>
      </c>
      <c r="U73" s="847">
        <f t="shared" si="13"/>
        <v>49.640000000000008</v>
      </c>
      <c r="V73" s="729" t="s">
        <v>414</v>
      </c>
      <c r="W73" s="3"/>
      <c r="X73" s="3"/>
    </row>
    <row r="74" spans="1:24" ht="75">
      <c r="A74" s="736"/>
      <c r="B74" s="736"/>
      <c r="C74" s="736"/>
      <c r="D74" s="829">
        <v>68</v>
      </c>
      <c r="E74" s="829" t="s">
        <v>141</v>
      </c>
      <c r="F74" s="937"/>
      <c r="G74" s="859"/>
      <c r="H74" s="859"/>
      <c r="I74" s="861"/>
      <c r="J74" s="859"/>
      <c r="K74" s="861"/>
      <c r="L74" s="859"/>
      <c r="M74" s="859"/>
      <c r="N74" s="861">
        <v>0.4</v>
      </c>
      <c r="O74" s="937"/>
      <c r="P74" s="937">
        <v>3.61</v>
      </c>
      <c r="Q74" s="861">
        <v>3.25</v>
      </c>
      <c r="R74" s="937">
        <v>2</v>
      </c>
      <c r="S74" s="937">
        <v>5.9</v>
      </c>
      <c r="T74" s="847">
        <f t="shared" si="12"/>
        <v>15.16</v>
      </c>
      <c r="U74" s="847">
        <v>10.16</v>
      </c>
      <c r="V74" s="729" t="s">
        <v>415</v>
      </c>
      <c r="W74" s="3"/>
      <c r="X74" s="3"/>
    </row>
    <row r="75" spans="1:24" ht="332.25" customHeight="1">
      <c r="A75" s="736"/>
      <c r="B75" s="828" t="s">
        <v>143</v>
      </c>
      <c r="C75" s="828" t="s">
        <v>144</v>
      </c>
      <c r="D75" s="829">
        <v>69</v>
      </c>
      <c r="E75" s="829" t="s">
        <v>145</v>
      </c>
      <c r="F75" s="939"/>
      <c r="G75" s="939"/>
      <c r="H75" s="939"/>
      <c r="I75" s="939"/>
      <c r="J75" s="939"/>
      <c r="K75" s="939"/>
      <c r="L75" s="939"/>
      <c r="M75" s="940">
        <v>0.68</v>
      </c>
      <c r="N75" s="939"/>
      <c r="O75" s="940">
        <v>60.869</v>
      </c>
      <c r="P75" s="940">
        <v>1.2</v>
      </c>
      <c r="Q75" s="939"/>
      <c r="R75" s="939"/>
      <c r="S75" s="939"/>
      <c r="T75" s="847">
        <f t="shared" si="12"/>
        <v>62.749000000000002</v>
      </c>
      <c r="U75" s="941">
        <v>62.749000000000002</v>
      </c>
      <c r="V75" s="749" t="s">
        <v>416</v>
      </c>
      <c r="W75" s="3"/>
      <c r="X75" s="3"/>
    </row>
    <row r="76" spans="1:24" ht="120">
      <c r="A76" s="736"/>
      <c r="B76" s="736"/>
      <c r="C76" s="736"/>
      <c r="D76" s="829">
        <v>70</v>
      </c>
      <c r="E76" s="829" t="s">
        <v>147</v>
      </c>
      <c r="F76" s="939"/>
      <c r="G76" s="939"/>
      <c r="H76" s="939"/>
      <c r="I76" s="940">
        <v>0.34</v>
      </c>
      <c r="J76" s="939"/>
      <c r="K76" s="939"/>
      <c r="L76" s="939"/>
      <c r="M76" s="939"/>
      <c r="N76" s="939"/>
      <c r="O76" s="939"/>
      <c r="P76" s="940">
        <v>1.1000000000000001</v>
      </c>
      <c r="Q76" s="939"/>
      <c r="R76" s="939"/>
      <c r="S76" s="939"/>
      <c r="T76" s="847">
        <f t="shared" si="12"/>
        <v>1.4400000000000002</v>
      </c>
      <c r="U76" s="941">
        <v>1.4400000000000002</v>
      </c>
      <c r="V76" s="749" t="s">
        <v>417</v>
      </c>
      <c r="W76" s="3"/>
      <c r="X76" s="3"/>
    </row>
    <row r="77" spans="1:24" ht="39.75" customHeight="1">
      <c r="A77" s="736"/>
      <c r="B77" s="736"/>
      <c r="C77" s="736"/>
      <c r="D77" s="829">
        <v>71</v>
      </c>
      <c r="E77" s="829" t="s">
        <v>149</v>
      </c>
      <c r="F77" s="939"/>
      <c r="G77" s="939"/>
      <c r="H77" s="939"/>
      <c r="I77" s="939"/>
      <c r="J77" s="939"/>
      <c r="K77" s="939"/>
      <c r="L77" s="939"/>
      <c r="M77" s="939"/>
      <c r="N77" s="939"/>
      <c r="O77" s="939"/>
      <c r="P77" s="939"/>
      <c r="Q77" s="939"/>
      <c r="R77" s="939"/>
      <c r="S77" s="939"/>
      <c r="T77" s="847">
        <f t="shared" si="12"/>
        <v>0</v>
      </c>
      <c r="U77" s="941">
        <v>0</v>
      </c>
      <c r="V77" s="482"/>
      <c r="W77" s="3"/>
      <c r="X77" s="3"/>
    </row>
    <row r="78" spans="1:24" ht="285">
      <c r="A78" s="736"/>
      <c r="B78" s="736"/>
      <c r="C78" s="736"/>
      <c r="D78" s="829">
        <v>72</v>
      </c>
      <c r="E78" s="829" t="s">
        <v>150</v>
      </c>
      <c r="F78" s="939"/>
      <c r="G78" s="939"/>
      <c r="H78" s="939"/>
      <c r="I78" s="939"/>
      <c r="J78" s="939"/>
      <c r="K78" s="939"/>
      <c r="L78" s="939"/>
      <c r="M78" s="939"/>
      <c r="N78" s="940">
        <v>4.03</v>
      </c>
      <c r="O78" s="939"/>
      <c r="P78" s="939"/>
      <c r="Q78" s="942">
        <v>2.649</v>
      </c>
      <c r="R78" s="940">
        <v>3.2829999999999999</v>
      </c>
      <c r="S78" s="939"/>
      <c r="T78" s="847">
        <f t="shared" si="12"/>
        <v>9.9619999999999997</v>
      </c>
      <c r="U78" s="941">
        <v>9.9619999999999997</v>
      </c>
      <c r="V78" s="779" t="s">
        <v>418</v>
      </c>
      <c r="W78" s="3"/>
      <c r="X78" s="3"/>
    </row>
    <row r="79" spans="1:24" ht="409.5" customHeight="1">
      <c r="A79" s="736"/>
      <c r="B79" s="828" t="s">
        <v>152</v>
      </c>
      <c r="C79" s="943" t="s">
        <v>153</v>
      </c>
      <c r="D79" s="829">
        <v>73</v>
      </c>
      <c r="E79" s="829" t="s">
        <v>154</v>
      </c>
      <c r="F79" s="944">
        <v>2.4700000000000002</v>
      </c>
      <c r="G79" s="944">
        <v>2.5</v>
      </c>
      <c r="H79" s="944"/>
      <c r="I79" s="944">
        <v>8.4</v>
      </c>
      <c r="J79" s="841"/>
      <c r="K79" s="944"/>
      <c r="L79" s="841">
        <v>2.8</v>
      </c>
      <c r="M79" s="944">
        <v>10.5</v>
      </c>
      <c r="N79" s="944">
        <v>7.1</v>
      </c>
      <c r="O79" s="944"/>
      <c r="P79" s="944">
        <v>3.25</v>
      </c>
      <c r="Q79" s="841"/>
      <c r="R79" s="944">
        <v>12.5</v>
      </c>
      <c r="S79" s="944">
        <v>0.6</v>
      </c>
      <c r="T79" s="847">
        <f t="shared" si="12"/>
        <v>50.120000000000005</v>
      </c>
      <c r="U79" s="847">
        <v>58.4</v>
      </c>
      <c r="V79" s="634" t="s">
        <v>419</v>
      </c>
      <c r="W79" s="3"/>
      <c r="X79" s="3"/>
    </row>
    <row r="80" spans="1:24" ht="75">
      <c r="A80" s="736"/>
      <c r="B80" s="736"/>
      <c r="C80" s="945"/>
      <c r="D80" s="829">
        <v>74</v>
      </c>
      <c r="E80" s="829" t="s">
        <v>155</v>
      </c>
      <c r="F80" s="944">
        <v>49</v>
      </c>
      <c r="G80" s="944"/>
      <c r="H80" s="841"/>
      <c r="I80" s="841"/>
      <c r="J80" s="841"/>
      <c r="K80" s="841"/>
      <c r="L80" s="841"/>
      <c r="M80" s="841"/>
      <c r="N80" s="841"/>
      <c r="O80" s="841"/>
      <c r="P80" s="841"/>
      <c r="Q80" s="841"/>
      <c r="R80" s="841"/>
      <c r="S80" s="841"/>
      <c r="T80" s="847">
        <f t="shared" si="12"/>
        <v>49</v>
      </c>
      <c r="U80" s="847">
        <v>56.1</v>
      </c>
      <c r="V80" s="729" t="s">
        <v>420</v>
      </c>
      <c r="W80" s="3"/>
      <c r="X80" s="3"/>
    </row>
    <row r="81" spans="1:24" ht="174" customHeight="1">
      <c r="A81" s="736"/>
      <c r="B81" s="736"/>
      <c r="C81" s="945"/>
      <c r="D81" s="829">
        <v>75</v>
      </c>
      <c r="E81" s="829" t="s">
        <v>157</v>
      </c>
      <c r="F81" s="944">
        <v>2.0499999999999998</v>
      </c>
      <c r="G81" s="944"/>
      <c r="H81" s="841"/>
      <c r="I81" s="841"/>
      <c r="J81" s="841"/>
      <c r="K81" s="841"/>
      <c r="L81" s="841"/>
      <c r="M81" s="841"/>
      <c r="N81" s="841"/>
      <c r="O81" s="841"/>
      <c r="P81" s="944">
        <v>3.05</v>
      </c>
      <c r="Q81" s="841"/>
      <c r="R81" s="841"/>
      <c r="S81" s="841"/>
      <c r="T81" s="847">
        <f t="shared" si="12"/>
        <v>5.0999999999999996</v>
      </c>
      <c r="U81" s="847">
        <v>7.2</v>
      </c>
      <c r="V81" s="729" t="s">
        <v>421</v>
      </c>
      <c r="W81" s="3"/>
      <c r="X81" s="3"/>
    </row>
    <row r="82" spans="1:24" ht="75">
      <c r="A82" s="736"/>
      <c r="B82" s="736"/>
      <c r="C82" s="945"/>
      <c r="D82" s="829">
        <v>76</v>
      </c>
      <c r="E82" s="829" t="s">
        <v>159</v>
      </c>
      <c r="F82" s="841"/>
      <c r="G82" s="841"/>
      <c r="H82" s="841"/>
      <c r="I82" s="841"/>
      <c r="J82" s="841"/>
      <c r="K82" s="944"/>
      <c r="L82" s="841"/>
      <c r="M82" s="944">
        <v>2.2000000000000002</v>
      </c>
      <c r="N82" s="841"/>
      <c r="O82" s="841"/>
      <c r="P82" s="841"/>
      <c r="Q82" s="841"/>
      <c r="R82" s="841"/>
      <c r="S82" s="841"/>
      <c r="T82" s="847">
        <f t="shared" si="12"/>
        <v>2.2000000000000002</v>
      </c>
      <c r="U82" s="847">
        <v>2.1</v>
      </c>
      <c r="V82" s="729" t="s">
        <v>422</v>
      </c>
      <c r="W82" s="3"/>
      <c r="X82" s="3"/>
    </row>
    <row r="83" spans="1:24" ht="390">
      <c r="A83" s="736"/>
      <c r="B83" s="736"/>
      <c r="C83" s="945"/>
      <c r="D83" s="829">
        <v>77</v>
      </c>
      <c r="E83" s="829" t="s">
        <v>161</v>
      </c>
      <c r="F83" s="944">
        <v>1.6</v>
      </c>
      <c r="G83" s="944">
        <v>1.7</v>
      </c>
      <c r="H83" s="944"/>
      <c r="I83" s="944">
        <v>2</v>
      </c>
      <c r="J83" s="841"/>
      <c r="K83" s="944"/>
      <c r="L83" s="841">
        <v>1.4</v>
      </c>
      <c r="M83" s="944"/>
      <c r="N83" s="944">
        <v>0.4</v>
      </c>
      <c r="O83" s="841"/>
      <c r="P83" s="841"/>
      <c r="Q83" s="841"/>
      <c r="R83" s="841"/>
      <c r="S83" s="944">
        <v>0.5</v>
      </c>
      <c r="T83" s="847">
        <f t="shared" si="12"/>
        <v>7.6</v>
      </c>
      <c r="U83" s="847">
        <v>11.6</v>
      </c>
      <c r="V83" s="729" t="s">
        <v>423</v>
      </c>
      <c r="W83" s="3"/>
      <c r="X83" s="3"/>
    </row>
    <row r="84" spans="1:24" ht="151.5" customHeight="1">
      <c r="A84" s="736"/>
      <c r="B84" s="736"/>
      <c r="C84" s="945"/>
      <c r="D84" s="829">
        <v>78</v>
      </c>
      <c r="E84" s="829" t="s">
        <v>163</v>
      </c>
      <c r="F84" s="841"/>
      <c r="G84" s="841"/>
      <c r="H84" s="841"/>
      <c r="I84" s="841"/>
      <c r="J84" s="841"/>
      <c r="K84" s="841"/>
      <c r="L84" s="841"/>
      <c r="M84" s="841"/>
      <c r="N84" s="841"/>
      <c r="O84" s="841"/>
      <c r="P84" s="841"/>
      <c r="Q84" s="944">
        <v>10.5</v>
      </c>
      <c r="R84" s="841"/>
      <c r="S84" s="841"/>
      <c r="T84" s="847">
        <f t="shared" si="12"/>
        <v>10.5</v>
      </c>
      <c r="U84" s="847">
        <v>10.5</v>
      </c>
      <c r="V84" s="729" t="s">
        <v>164</v>
      </c>
      <c r="W84" s="3"/>
      <c r="X84" s="3"/>
    </row>
    <row r="85" spans="1:24" ht="14.25" customHeight="1">
      <c r="A85" s="736"/>
      <c r="B85" s="736"/>
      <c r="C85" s="945"/>
      <c r="D85" s="829">
        <v>79</v>
      </c>
      <c r="E85" s="829" t="s">
        <v>53</v>
      </c>
      <c r="F85" s="841"/>
      <c r="G85" s="841"/>
      <c r="H85" s="841"/>
      <c r="I85" s="841"/>
      <c r="J85" s="841"/>
      <c r="K85" s="841"/>
      <c r="L85" s="841"/>
      <c r="M85" s="841"/>
      <c r="N85" s="841"/>
      <c r="O85" s="841"/>
      <c r="P85" s="841"/>
      <c r="Q85" s="841"/>
      <c r="R85" s="841"/>
      <c r="S85" s="841"/>
      <c r="T85" s="847">
        <f t="shared" si="12"/>
        <v>0</v>
      </c>
      <c r="U85" s="847">
        <f>T85+T85*5/100</f>
        <v>0</v>
      </c>
      <c r="V85" s="946"/>
      <c r="W85" s="3"/>
      <c r="X85" s="3"/>
    </row>
    <row r="86" spans="1:24" ht="90">
      <c r="A86" s="736"/>
      <c r="B86" s="828" t="s">
        <v>165</v>
      </c>
      <c r="C86" s="828" t="s">
        <v>166</v>
      </c>
      <c r="D86" s="829">
        <v>80</v>
      </c>
      <c r="E86" s="829" t="s">
        <v>167</v>
      </c>
      <c r="F86" s="829"/>
      <c r="G86" s="829"/>
      <c r="H86" s="829"/>
      <c r="I86" s="829"/>
      <c r="J86" s="829"/>
      <c r="K86" s="920"/>
      <c r="L86" s="829"/>
      <c r="M86" s="847"/>
      <c r="N86" s="829"/>
      <c r="O86" s="829"/>
      <c r="P86" s="845">
        <v>3.6</v>
      </c>
      <c r="Q86" s="847">
        <v>1</v>
      </c>
      <c r="R86" s="845"/>
      <c r="S86" s="829"/>
      <c r="T86" s="847">
        <f t="shared" si="12"/>
        <v>4.5999999999999996</v>
      </c>
      <c r="U86" s="847">
        <v>4.5999999999999996</v>
      </c>
      <c r="V86" s="947" t="s">
        <v>1783</v>
      </c>
      <c r="W86" s="3"/>
      <c r="X86" s="3"/>
    </row>
    <row r="87" spans="1:24" ht="45">
      <c r="A87" s="736"/>
      <c r="B87" s="736"/>
      <c r="C87" s="736"/>
      <c r="D87" s="829">
        <v>81</v>
      </c>
      <c r="E87" s="829" t="s">
        <v>168</v>
      </c>
      <c r="F87" s="829"/>
      <c r="G87" s="829"/>
      <c r="H87" s="829"/>
      <c r="I87" s="829"/>
      <c r="J87" s="829"/>
      <c r="K87" s="829"/>
      <c r="L87" s="829"/>
      <c r="M87" s="847"/>
      <c r="N87" s="847"/>
      <c r="O87" s="829"/>
      <c r="P87" s="845">
        <v>0.1</v>
      </c>
      <c r="Q87" s="845"/>
      <c r="R87" s="829"/>
      <c r="S87" s="829"/>
      <c r="T87" s="847">
        <f t="shared" si="12"/>
        <v>0.1</v>
      </c>
      <c r="U87" s="847">
        <v>0.1</v>
      </c>
      <c r="V87" s="483" t="s">
        <v>169</v>
      </c>
      <c r="W87" s="3"/>
      <c r="X87" s="3"/>
    </row>
    <row r="88" spans="1:24" ht="39.75" customHeight="1">
      <c r="A88" s="736"/>
      <c r="B88" s="736"/>
      <c r="C88" s="736"/>
      <c r="D88" s="829">
        <v>82</v>
      </c>
      <c r="E88" s="829" t="s">
        <v>170</v>
      </c>
      <c r="F88" s="829"/>
      <c r="G88" s="829"/>
      <c r="H88" s="829"/>
      <c r="I88" s="829"/>
      <c r="J88" s="829"/>
      <c r="K88" s="829"/>
      <c r="L88" s="829"/>
      <c r="M88" s="829"/>
      <c r="N88" s="829"/>
      <c r="O88" s="829"/>
      <c r="P88" s="845"/>
      <c r="Q88" s="829"/>
      <c r="R88" s="829"/>
      <c r="S88" s="829"/>
      <c r="T88" s="847">
        <f t="shared" si="12"/>
        <v>0</v>
      </c>
      <c r="U88" s="847">
        <f>T88+T88*5/100</f>
        <v>0</v>
      </c>
      <c r="V88" s="947"/>
      <c r="W88" s="3"/>
      <c r="X88" s="3"/>
    </row>
    <row r="89" spans="1:24" ht="172.5" customHeight="1">
      <c r="A89" s="736"/>
      <c r="B89" s="736"/>
      <c r="C89" s="736"/>
      <c r="D89" s="829">
        <v>83</v>
      </c>
      <c r="E89" s="829" t="s">
        <v>172</v>
      </c>
      <c r="F89" s="829"/>
      <c r="G89" s="829"/>
      <c r="H89" s="829"/>
      <c r="I89" s="829"/>
      <c r="J89" s="829"/>
      <c r="K89" s="847">
        <v>0.5</v>
      </c>
      <c r="L89" s="829"/>
      <c r="M89" s="845"/>
      <c r="N89" s="847"/>
      <c r="O89" s="829"/>
      <c r="P89" s="845">
        <v>1.5</v>
      </c>
      <c r="Q89" s="847"/>
      <c r="R89" s="845"/>
      <c r="S89" s="829"/>
      <c r="T89" s="847">
        <f t="shared" si="12"/>
        <v>2</v>
      </c>
      <c r="U89" s="847">
        <v>2</v>
      </c>
      <c r="V89" s="947" t="s">
        <v>1784</v>
      </c>
      <c r="W89" s="3"/>
      <c r="X89" s="3"/>
    </row>
    <row r="90" spans="1:24" ht="165">
      <c r="A90" s="736"/>
      <c r="B90" s="829" t="s">
        <v>173</v>
      </c>
      <c r="C90" s="829" t="s">
        <v>174</v>
      </c>
      <c r="D90" s="829">
        <v>84</v>
      </c>
      <c r="E90" s="829" t="s">
        <v>175</v>
      </c>
      <c r="F90" s="829"/>
      <c r="G90" s="829"/>
      <c r="H90" s="829"/>
      <c r="I90" s="847"/>
      <c r="J90" s="829"/>
      <c r="K90" s="847"/>
      <c r="L90" s="829"/>
      <c r="M90" s="829"/>
      <c r="N90" s="477">
        <v>1</v>
      </c>
      <c r="O90" s="829"/>
      <c r="P90" s="829"/>
      <c r="Q90" s="478">
        <v>1.5</v>
      </c>
      <c r="R90" s="479">
        <v>0.5</v>
      </c>
      <c r="S90" s="829"/>
      <c r="T90" s="847">
        <f t="shared" si="12"/>
        <v>3</v>
      </c>
      <c r="U90" s="847">
        <v>3</v>
      </c>
      <c r="V90" s="729" t="s">
        <v>1638</v>
      </c>
      <c r="W90" s="3"/>
      <c r="X90" s="3"/>
    </row>
    <row r="91" spans="1:24" ht="233.25" customHeight="1">
      <c r="A91" s="736"/>
      <c r="B91" s="829" t="s">
        <v>176</v>
      </c>
      <c r="C91" s="829" t="s">
        <v>177</v>
      </c>
      <c r="D91" s="829">
        <v>85</v>
      </c>
      <c r="E91" s="829" t="s">
        <v>178</v>
      </c>
      <c r="F91" s="829"/>
      <c r="G91" s="829"/>
      <c r="H91" s="829"/>
      <c r="I91" s="829"/>
      <c r="J91" s="829"/>
      <c r="K91" s="847"/>
      <c r="L91" s="829"/>
      <c r="M91" s="829"/>
      <c r="N91" s="847">
        <v>0.5</v>
      </c>
      <c r="O91" s="829"/>
      <c r="P91" s="829"/>
      <c r="Q91" s="847">
        <v>1</v>
      </c>
      <c r="R91" s="845"/>
      <c r="S91" s="829"/>
      <c r="T91" s="847">
        <f t="shared" si="12"/>
        <v>1.5</v>
      </c>
      <c r="U91" s="847">
        <v>1.5</v>
      </c>
      <c r="V91" s="729" t="s">
        <v>424</v>
      </c>
      <c r="W91" s="3"/>
      <c r="X91" s="3"/>
    </row>
    <row r="92" spans="1:24" ht="39.75" customHeight="1">
      <c r="A92" s="736"/>
      <c r="B92" s="829" t="s">
        <v>180</v>
      </c>
      <c r="C92" s="829" t="s">
        <v>53</v>
      </c>
      <c r="D92" s="829">
        <v>86</v>
      </c>
      <c r="E92" s="829" t="s">
        <v>181</v>
      </c>
      <c r="F92" s="829"/>
      <c r="G92" s="829"/>
      <c r="H92" s="829"/>
      <c r="I92" s="829"/>
      <c r="J92" s="829"/>
      <c r="K92" s="829"/>
      <c r="L92" s="829"/>
      <c r="M92" s="829"/>
      <c r="N92" s="829"/>
      <c r="O92" s="829"/>
      <c r="P92" s="829"/>
      <c r="Q92" s="829"/>
      <c r="R92" s="829"/>
      <c r="S92" s="829"/>
      <c r="T92" s="847">
        <f t="shared" si="12"/>
        <v>0</v>
      </c>
      <c r="U92" s="847">
        <f>T92+T92*5/100</f>
        <v>0</v>
      </c>
      <c r="V92" s="729"/>
      <c r="W92" s="3"/>
      <c r="X92" s="3"/>
    </row>
    <row r="93" spans="1:24" ht="39.75" customHeight="1">
      <c r="A93" s="736"/>
      <c r="B93" s="948" t="s">
        <v>182</v>
      </c>
      <c r="C93" s="736"/>
      <c r="D93" s="736"/>
      <c r="E93" s="949"/>
      <c r="F93" s="949">
        <f t="shared" ref="F93:U93" si="14">SUM(F69:F92)</f>
        <v>55.12</v>
      </c>
      <c r="G93" s="949">
        <f t="shared" si="14"/>
        <v>4.2</v>
      </c>
      <c r="H93" s="949">
        <f t="shared" si="14"/>
        <v>0</v>
      </c>
      <c r="I93" s="949">
        <f t="shared" si="14"/>
        <v>14.030000000000001</v>
      </c>
      <c r="J93" s="949">
        <f t="shared" si="14"/>
        <v>0</v>
      </c>
      <c r="K93" s="949">
        <f t="shared" si="14"/>
        <v>0.5</v>
      </c>
      <c r="L93" s="949">
        <f t="shared" si="14"/>
        <v>4.1999999999999993</v>
      </c>
      <c r="M93" s="950">
        <f t="shared" si="14"/>
        <v>13.379999999999999</v>
      </c>
      <c r="N93" s="951">
        <f t="shared" si="14"/>
        <v>23.03</v>
      </c>
      <c r="O93" s="949">
        <f t="shared" si="14"/>
        <v>62.369</v>
      </c>
      <c r="P93" s="951">
        <f t="shared" si="14"/>
        <v>58.820000000000007</v>
      </c>
      <c r="Q93" s="949">
        <f t="shared" si="14"/>
        <v>23.448999999999998</v>
      </c>
      <c r="R93" s="950">
        <f t="shared" si="14"/>
        <v>27.933</v>
      </c>
      <c r="S93" s="950">
        <f t="shared" si="14"/>
        <v>15</v>
      </c>
      <c r="T93" s="951">
        <f t="shared" si="14"/>
        <v>302.03100000000006</v>
      </c>
      <c r="U93" s="951">
        <f t="shared" si="14"/>
        <v>318.41100000000006</v>
      </c>
      <c r="V93" s="729"/>
      <c r="W93" s="3"/>
      <c r="X93" s="3"/>
    </row>
    <row r="94" spans="1:24" ht="45">
      <c r="A94" s="831" t="s">
        <v>183</v>
      </c>
      <c r="B94" s="828" t="s">
        <v>184</v>
      </c>
      <c r="C94" s="828" t="s">
        <v>185</v>
      </c>
      <c r="D94" s="829">
        <v>87</v>
      </c>
      <c r="E94" s="829" t="s">
        <v>186</v>
      </c>
      <c r="F94" s="855"/>
      <c r="G94" s="855"/>
      <c r="H94" s="855"/>
      <c r="I94" s="855"/>
      <c r="J94" s="855"/>
      <c r="K94" s="857">
        <v>8</v>
      </c>
      <c r="L94" s="855"/>
      <c r="M94" s="855"/>
      <c r="N94" s="855"/>
      <c r="O94" s="855"/>
      <c r="P94" s="855"/>
      <c r="Q94" s="855"/>
      <c r="R94" s="855"/>
      <c r="S94" s="939"/>
      <c r="T94" s="847">
        <f t="shared" ref="T94:T103" si="15">SUM(F94:S94)</f>
        <v>8</v>
      </c>
      <c r="U94" s="952">
        <v>0</v>
      </c>
      <c r="V94" s="770" t="s">
        <v>425</v>
      </c>
      <c r="W94" s="3"/>
      <c r="X94" s="3"/>
    </row>
    <row r="95" spans="1:24" ht="39.75" customHeight="1">
      <c r="A95" s="736"/>
      <c r="B95" s="736"/>
      <c r="C95" s="736"/>
      <c r="D95" s="829">
        <v>88</v>
      </c>
      <c r="E95" s="829" t="s">
        <v>188</v>
      </c>
      <c r="F95" s="855"/>
      <c r="G95" s="855"/>
      <c r="H95" s="855"/>
      <c r="I95" s="855"/>
      <c r="J95" s="855"/>
      <c r="K95" s="855"/>
      <c r="L95" s="855"/>
      <c r="M95" s="855"/>
      <c r="N95" s="855"/>
      <c r="O95" s="855"/>
      <c r="P95" s="953">
        <v>30</v>
      </c>
      <c r="Q95" s="855"/>
      <c r="R95" s="855"/>
      <c r="S95" s="939"/>
      <c r="T95" s="847">
        <f t="shared" si="15"/>
        <v>30</v>
      </c>
      <c r="U95" s="952">
        <v>30</v>
      </c>
      <c r="V95" s="483" t="s">
        <v>426</v>
      </c>
      <c r="W95" s="3"/>
      <c r="X95" s="3"/>
    </row>
    <row r="96" spans="1:24" ht="39.75" customHeight="1">
      <c r="A96" s="736"/>
      <c r="B96" s="736"/>
      <c r="C96" s="736"/>
      <c r="D96" s="829">
        <v>89</v>
      </c>
      <c r="E96" s="829" t="s">
        <v>190</v>
      </c>
      <c r="F96" s="855"/>
      <c r="G96" s="855"/>
      <c r="H96" s="855"/>
      <c r="I96" s="855"/>
      <c r="J96" s="855"/>
      <c r="K96" s="855"/>
      <c r="L96" s="855"/>
      <c r="M96" s="855"/>
      <c r="N96" s="855"/>
      <c r="O96" s="855"/>
      <c r="P96" s="855"/>
      <c r="Q96" s="855"/>
      <c r="R96" s="855"/>
      <c r="S96" s="939"/>
      <c r="T96" s="847">
        <f t="shared" si="15"/>
        <v>0</v>
      </c>
      <c r="U96" s="952">
        <v>0</v>
      </c>
      <c r="V96" s="483"/>
      <c r="W96" s="3"/>
      <c r="X96" s="3"/>
    </row>
    <row r="97" spans="1:24" ht="39.75" customHeight="1">
      <c r="A97" s="736"/>
      <c r="B97" s="736"/>
      <c r="C97" s="736"/>
      <c r="D97" s="829">
        <v>90</v>
      </c>
      <c r="E97" s="829" t="s">
        <v>191</v>
      </c>
      <c r="F97" s="855"/>
      <c r="G97" s="855"/>
      <c r="H97" s="855"/>
      <c r="I97" s="855"/>
      <c r="J97" s="855"/>
      <c r="K97" s="855"/>
      <c r="L97" s="855"/>
      <c r="M97" s="855"/>
      <c r="N97" s="855"/>
      <c r="O97" s="855"/>
      <c r="P97" s="954"/>
      <c r="Q97" s="855"/>
      <c r="R97" s="855"/>
      <c r="S97" s="939"/>
      <c r="T97" s="847">
        <f t="shared" si="15"/>
        <v>0</v>
      </c>
      <c r="U97" s="952">
        <v>0</v>
      </c>
      <c r="V97" s="483"/>
      <c r="W97" s="3"/>
      <c r="X97" s="3"/>
    </row>
    <row r="98" spans="1:24" ht="39.75" customHeight="1">
      <c r="A98" s="736"/>
      <c r="B98" s="736"/>
      <c r="C98" s="736"/>
      <c r="D98" s="829">
        <v>91</v>
      </c>
      <c r="E98" s="829" t="s">
        <v>192</v>
      </c>
      <c r="F98" s="855"/>
      <c r="G98" s="855"/>
      <c r="H98" s="855"/>
      <c r="I98" s="855"/>
      <c r="J98" s="855"/>
      <c r="K98" s="887"/>
      <c r="L98" s="855"/>
      <c r="M98" s="855"/>
      <c r="N98" s="855"/>
      <c r="O98" s="855"/>
      <c r="P98" s="953">
        <v>0</v>
      </c>
      <c r="Q98" s="855"/>
      <c r="R98" s="855"/>
      <c r="S98" s="939"/>
      <c r="T98" s="847">
        <f t="shared" si="15"/>
        <v>0</v>
      </c>
      <c r="U98" s="952">
        <v>0</v>
      </c>
      <c r="V98" s="484"/>
      <c r="W98" s="3"/>
      <c r="X98" s="3"/>
    </row>
    <row r="99" spans="1:24" ht="39.75" customHeight="1">
      <c r="A99" s="736"/>
      <c r="B99" s="736"/>
      <c r="C99" s="736"/>
      <c r="D99" s="829">
        <v>92</v>
      </c>
      <c r="E99" s="829" t="s">
        <v>193</v>
      </c>
      <c r="F99" s="855"/>
      <c r="G99" s="855"/>
      <c r="H99" s="855"/>
      <c r="I99" s="855"/>
      <c r="J99" s="855"/>
      <c r="K99" s="855"/>
      <c r="L99" s="855"/>
      <c r="M99" s="855"/>
      <c r="N99" s="855"/>
      <c r="O99" s="855"/>
      <c r="P99" s="953">
        <v>0</v>
      </c>
      <c r="Q99" s="855"/>
      <c r="R99" s="855"/>
      <c r="S99" s="939"/>
      <c r="T99" s="847">
        <f t="shared" si="15"/>
        <v>0</v>
      </c>
      <c r="U99" s="952">
        <v>0</v>
      </c>
      <c r="V99" s="484"/>
      <c r="W99" s="3"/>
      <c r="X99" s="3"/>
    </row>
    <row r="100" spans="1:24" ht="39.75" customHeight="1">
      <c r="A100" s="736"/>
      <c r="B100" s="736"/>
      <c r="C100" s="736"/>
      <c r="D100" s="829">
        <v>93</v>
      </c>
      <c r="E100" s="829" t="s">
        <v>195</v>
      </c>
      <c r="F100" s="855"/>
      <c r="G100" s="855"/>
      <c r="H100" s="855"/>
      <c r="I100" s="954"/>
      <c r="J100" s="855"/>
      <c r="K100" s="855"/>
      <c r="L100" s="855"/>
      <c r="M100" s="855"/>
      <c r="N100" s="855"/>
      <c r="O100" s="855"/>
      <c r="P100" s="855"/>
      <c r="Q100" s="855"/>
      <c r="R100" s="855"/>
      <c r="S100" s="939"/>
      <c r="T100" s="847">
        <f t="shared" si="15"/>
        <v>0</v>
      </c>
      <c r="U100" s="952">
        <v>0</v>
      </c>
      <c r="V100" s="484"/>
      <c r="W100" s="3"/>
      <c r="X100" s="3"/>
    </row>
    <row r="101" spans="1:24" ht="39.75" customHeight="1">
      <c r="A101" s="736"/>
      <c r="B101" s="736"/>
      <c r="C101" s="736"/>
      <c r="D101" s="829">
        <v>94</v>
      </c>
      <c r="E101" s="829" t="s">
        <v>196</v>
      </c>
      <c r="F101" s="855"/>
      <c r="G101" s="855"/>
      <c r="H101" s="855"/>
      <c r="I101" s="954"/>
      <c r="J101" s="855"/>
      <c r="K101" s="855"/>
      <c r="L101" s="855"/>
      <c r="M101" s="855"/>
      <c r="N101" s="855"/>
      <c r="O101" s="855"/>
      <c r="P101" s="855"/>
      <c r="Q101" s="855"/>
      <c r="R101" s="855"/>
      <c r="S101" s="939"/>
      <c r="T101" s="847">
        <f t="shared" si="15"/>
        <v>0</v>
      </c>
      <c r="U101" s="952">
        <v>0</v>
      </c>
      <c r="V101" s="484"/>
      <c r="W101" s="3"/>
      <c r="X101" s="3"/>
    </row>
    <row r="102" spans="1:24" ht="60">
      <c r="A102" s="736"/>
      <c r="B102" s="736"/>
      <c r="C102" s="736"/>
      <c r="D102" s="829">
        <v>95</v>
      </c>
      <c r="E102" s="829" t="s">
        <v>197</v>
      </c>
      <c r="F102" s="855"/>
      <c r="G102" s="855"/>
      <c r="H102" s="954"/>
      <c r="I102" s="857">
        <v>4</v>
      </c>
      <c r="J102" s="855"/>
      <c r="K102" s="855"/>
      <c r="L102" s="855"/>
      <c r="M102" s="855"/>
      <c r="N102" s="855"/>
      <c r="O102" s="855"/>
      <c r="P102" s="855"/>
      <c r="Q102" s="855"/>
      <c r="R102" s="855"/>
      <c r="S102" s="939"/>
      <c r="T102" s="847">
        <f t="shared" si="15"/>
        <v>4</v>
      </c>
      <c r="U102" s="952">
        <v>0</v>
      </c>
      <c r="V102" s="738" t="s">
        <v>427</v>
      </c>
      <c r="W102" s="3"/>
      <c r="X102" s="3"/>
    </row>
    <row r="103" spans="1:24" ht="165">
      <c r="A103" s="736"/>
      <c r="B103" s="736"/>
      <c r="C103" s="736"/>
      <c r="D103" s="829">
        <v>96</v>
      </c>
      <c r="E103" s="829" t="s">
        <v>199</v>
      </c>
      <c r="F103" s="855"/>
      <c r="G103" s="855"/>
      <c r="H103" s="855"/>
      <c r="I103" s="855"/>
      <c r="J103" s="855"/>
      <c r="K103" s="855"/>
      <c r="L103" s="855"/>
      <c r="M103" s="855"/>
      <c r="N103" s="887"/>
      <c r="O103" s="855"/>
      <c r="P103" s="856">
        <v>2</v>
      </c>
      <c r="Q103" s="857">
        <v>1</v>
      </c>
      <c r="R103" s="953">
        <v>1</v>
      </c>
      <c r="S103" s="939"/>
      <c r="T103" s="847">
        <f t="shared" si="15"/>
        <v>4</v>
      </c>
      <c r="U103" s="952">
        <v>4</v>
      </c>
      <c r="V103" s="738" t="s">
        <v>200</v>
      </c>
      <c r="W103" s="3"/>
      <c r="X103" s="3"/>
    </row>
    <row r="104" spans="1:24" ht="192.75" customHeight="1">
      <c r="A104" s="736"/>
      <c r="B104" s="828" t="s">
        <v>201</v>
      </c>
      <c r="C104" s="828" t="s">
        <v>202</v>
      </c>
      <c r="D104" s="829">
        <v>97</v>
      </c>
      <c r="E104" s="829" t="s">
        <v>203</v>
      </c>
      <c r="F104" s="955"/>
      <c r="G104" s="955"/>
      <c r="H104" s="955"/>
      <c r="I104" s="956">
        <v>1</v>
      </c>
      <c r="J104" s="955"/>
      <c r="K104" s="956"/>
      <c r="L104" s="955"/>
      <c r="M104" s="956"/>
      <c r="N104" s="956">
        <v>3.75</v>
      </c>
      <c r="O104" s="955">
        <v>3</v>
      </c>
      <c r="P104" s="957">
        <v>12.55</v>
      </c>
      <c r="Q104" s="956">
        <v>2.5</v>
      </c>
      <c r="R104" s="957">
        <v>18</v>
      </c>
      <c r="S104" s="955"/>
      <c r="T104" s="956">
        <v>40.799999999999997</v>
      </c>
      <c r="U104" s="956">
        <v>40.799999999999997</v>
      </c>
      <c r="V104" s="749" t="s">
        <v>204</v>
      </c>
      <c r="W104" s="3"/>
      <c r="X104" s="3"/>
    </row>
    <row r="105" spans="1:24" ht="39.75" customHeight="1">
      <c r="A105" s="736"/>
      <c r="B105" s="736"/>
      <c r="C105" s="736"/>
      <c r="D105" s="829">
        <v>98</v>
      </c>
      <c r="E105" s="829" t="s">
        <v>53</v>
      </c>
      <c r="F105" s="955"/>
      <c r="G105" s="955"/>
      <c r="H105" s="955"/>
      <c r="I105" s="955"/>
      <c r="J105" s="955"/>
      <c r="K105" s="955"/>
      <c r="L105" s="955"/>
      <c r="M105" s="955"/>
      <c r="N105" s="955"/>
      <c r="O105" s="955"/>
      <c r="P105" s="955"/>
      <c r="Q105" s="955"/>
      <c r="R105" s="955"/>
      <c r="S105" s="955"/>
      <c r="T105" s="956">
        <v>0</v>
      </c>
      <c r="U105" s="956">
        <v>0</v>
      </c>
      <c r="V105" s="744"/>
      <c r="W105" s="3"/>
      <c r="X105" s="3"/>
    </row>
    <row r="106" spans="1:24" ht="60">
      <c r="A106" s="736"/>
      <c r="B106" s="828" t="s">
        <v>205</v>
      </c>
      <c r="C106" s="828" t="s">
        <v>206</v>
      </c>
      <c r="D106" s="829">
        <v>99</v>
      </c>
      <c r="E106" s="829" t="s">
        <v>207</v>
      </c>
      <c r="F106" s="955"/>
      <c r="G106" s="955"/>
      <c r="H106" s="957"/>
      <c r="I106" s="956">
        <v>9</v>
      </c>
      <c r="J106" s="955"/>
      <c r="K106" s="956"/>
      <c r="L106" s="955"/>
      <c r="M106" s="955"/>
      <c r="N106" s="956">
        <v>1</v>
      </c>
      <c r="O106" s="955"/>
      <c r="P106" s="955"/>
      <c r="Q106" s="956">
        <v>1</v>
      </c>
      <c r="R106" s="955"/>
      <c r="S106" s="955"/>
      <c r="T106" s="956">
        <v>11</v>
      </c>
      <c r="U106" s="956">
        <v>3</v>
      </c>
      <c r="V106" s="749" t="s">
        <v>428</v>
      </c>
      <c r="W106" s="3"/>
      <c r="X106" s="3"/>
    </row>
    <row r="107" spans="1:24" ht="39.75" customHeight="1">
      <c r="A107" s="736"/>
      <c r="B107" s="736"/>
      <c r="C107" s="736"/>
      <c r="D107" s="829">
        <v>100</v>
      </c>
      <c r="E107" s="829" t="s">
        <v>209</v>
      </c>
      <c r="F107" s="955"/>
      <c r="G107" s="955"/>
      <c r="H107" s="955"/>
      <c r="I107" s="956"/>
      <c r="J107" s="955"/>
      <c r="K107" s="956"/>
      <c r="L107" s="955"/>
      <c r="M107" s="955"/>
      <c r="N107" s="955"/>
      <c r="O107" s="955"/>
      <c r="P107" s="955"/>
      <c r="Q107" s="955"/>
      <c r="R107" s="955"/>
      <c r="S107" s="955"/>
      <c r="T107" s="956">
        <v>0</v>
      </c>
      <c r="U107" s="956"/>
      <c r="V107" s="749"/>
      <c r="W107" s="3"/>
      <c r="X107" s="3"/>
    </row>
    <row r="108" spans="1:24" ht="39.75" customHeight="1">
      <c r="A108" s="736"/>
      <c r="B108" s="736"/>
      <c r="C108" s="736"/>
      <c r="D108" s="829">
        <v>101</v>
      </c>
      <c r="E108" s="829" t="s">
        <v>210</v>
      </c>
      <c r="F108" s="955"/>
      <c r="G108" s="955"/>
      <c r="H108" s="955"/>
      <c r="I108" s="955"/>
      <c r="J108" s="955"/>
      <c r="K108" s="955"/>
      <c r="L108" s="955"/>
      <c r="M108" s="955"/>
      <c r="N108" s="955"/>
      <c r="O108" s="955"/>
      <c r="P108" s="955"/>
      <c r="Q108" s="955"/>
      <c r="R108" s="955"/>
      <c r="S108" s="955"/>
      <c r="T108" s="956">
        <v>0</v>
      </c>
      <c r="U108" s="956">
        <v>0</v>
      </c>
      <c r="V108" s="744"/>
      <c r="W108" s="3"/>
      <c r="X108" s="3"/>
    </row>
    <row r="109" spans="1:24" ht="39.75" customHeight="1">
      <c r="A109" s="736"/>
      <c r="B109" s="736"/>
      <c r="C109" s="736"/>
      <c r="D109" s="829">
        <v>102</v>
      </c>
      <c r="E109" s="829" t="s">
        <v>211</v>
      </c>
      <c r="F109" s="955"/>
      <c r="G109" s="955"/>
      <c r="H109" s="955"/>
      <c r="I109" s="955"/>
      <c r="J109" s="955"/>
      <c r="K109" s="955"/>
      <c r="L109" s="955"/>
      <c r="M109" s="955"/>
      <c r="N109" s="955"/>
      <c r="O109" s="955"/>
      <c r="P109" s="955"/>
      <c r="Q109" s="956"/>
      <c r="R109" s="955"/>
      <c r="S109" s="955"/>
      <c r="T109" s="956">
        <v>0</v>
      </c>
      <c r="U109" s="956">
        <v>0</v>
      </c>
      <c r="V109" s="744"/>
      <c r="W109" s="3"/>
      <c r="X109" s="3"/>
    </row>
    <row r="110" spans="1:24" ht="45">
      <c r="A110" s="736"/>
      <c r="B110" s="736"/>
      <c r="C110" s="736"/>
      <c r="D110" s="829">
        <v>103</v>
      </c>
      <c r="E110" s="829" t="s">
        <v>53</v>
      </c>
      <c r="F110" s="955"/>
      <c r="G110" s="955"/>
      <c r="H110" s="955"/>
      <c r="I110" s="955"/>
      <c r="J110" s="955"/>
      <c r="K110" s="955"/>
      <c r="L110" s="955"/>
      <c r="M110" s="955"/>
      <c r="N110" s="955"/>
      <c r="O110" s="955"/>
      <c r="P110" s="957">
        <v>4.2</v>
      </c>
      <c r="Q110" s="955"/>
      <c r="R110" s="957">
        <v>0</v>
      </c>
      <c r="S110" s="957"/>
      <c r="T110" s="956">
        <v>4.2</v>
      </c>
      <c r="U110" s="956">
        <v>4.2</v>
      </c>
      <c r="V110" s="749" t="s">
        <v>212</v>
      </c>
      <c r="W110" s="3"/>
      <c r="X110" s="3"/>
    </row>
    <row r="111" spans="1:24" ht="285">
      <c r="A111" s="736"/>
      <c r="B111" s="828" t="s">
        <v>213</v>
      </c>
      <c r="C111" s="828" t="s">
        <v>214</v>
      </c>
      <c r="D111" s="829">
        <v>104</v>
      </c>
      <c r="E111" s="829" t="s">
        <v>215</v>
      </c>
      <c r="F111" s="955"/>
      <c r="G111" s="955"/>
      <c r="H111" s="955"/>
      <c r="I111" s="955"/>
      <c r="J111" s="955"/>
      <c r="K111" s="955"/>
      <c r="L111" s="955"/>
      <c r="M111" s="955"/>
      <c r="N111" s="957">
        <v>0.8</v>
      </c>
      <c r="O111" s="955"/>
      <c r="P111" s="957"/>
      <c r="Q111" s="957">
        <v>1.5</v>
      </c>
      <c r="R111" s="957">
        <v>1.5</v>
      </c>
      <c r="S111" s="957"/>
      <c r="T111" s="956">
        <v>3.8</v>
      </c>
      <c r="U111" s="956">
        <v>3.8</v>
      </c>
      <c r="V111" s="749" t="s">
        <v>1639</v>
      </c>
      <c r="W111" s="3"/>
      <c r="X111" s="3"/>
    </row>
    <row r="112" spans="1:24" ht="75">
      <c r="A112" s="736"/>
      <c r="B112" s="736"/>
      <c r="C112" s="736"/>
      <c r="D112" s="829">
        <v>105</v>
      </c>
      <c r="E112" s="829" t="s">
        <v>216</v>
      </c>
      <c r="F112" s="955"/>
      <c r="G112" s="955"/>
      <c r="H112" s="955"/>
      <c r="I112" s="955"/>
      <c r="J112" s="955"/>
      <c r="K112" s="955"/>
      <c r="L112" s="955"/>
      <c r="M112" s="955"/>
      <c r="N112" s="955"/>
      <c r="O112" s="955"/>
      <c r="P112" s="955">
        <v>2</v>
      </c>
      <c r="Q112" s="955"/>
      <c r="R112" s="955"/>
      <c r="S112" s="955"/>
      <c r="T112" s="956">
        <v>2</v>
      </c>
      <c r="U112" s="956">
        <v>2</v>
      </c>
      <c r="V112" s="744" t="s">
        <v>217</v>
      </c>
      <c r="W112" s="3"/>
      <c r="X112" s="3"/>
    </row>
    <row r="113" spans="1:24" ht="45">
      <c r="A113" s="736"/>
      <c r="B113" s="736"/>
      <c r="C113" s="736"/>
      <c r="D113" s="829">
        <v>106</v>
      </c>
      <c r="E113" s="829" t="s">
        <v>218</v>
      </c>
      <c r="F113" s="955"/>
      <c r="G113" s="955"/>
      <c r="H113" s="955"/>
      <c r="I113" s="956"/>
      <c r="J113" s="955"/>
      <c r="K113" s="956"/>
      <c r="L113" s="955"/>
      <c r="M113" s="955"/>
      <c r="N113" s="956">
        <v>0.2</v>
      </c>
      <c r="O113" s="955"/>
      <c r="P113" s="957"/>
      <c r="Q113" s="958"/>
      <c r="R113" s="958"/>
      <c r="S113" s="958"/>
      <c r="T113" s="956">
        <v>0.2</v>
      </c>
      <c r="U113" s="956">
        <v>0.2</v>
      </c>
      <c r="V113" s="749" t="s">
        <v>219</v>
      </c>
      <c r="W113" s="3"/>
      <c r="X113" s="3"/>
    </row>
    <row r="114" spans="1:24" ht="75">
      <c r="A114" s="736"/>
      <c r="B114" s="828" t="s">
        <v>220</v>
      </c>
      <c r="C114" s="828" t="s">
        <v>221</v>
      </c>
      <c r="D114" s="829">
        <v>107</v>
      </c>
      <c r="E114" s="829" t="s">
        <v>222</v>
      </c>
      <c r="F114" s="955"/>
      <c r="G114" s="955"/>
      <c r="H114" s="955"/>
      <c r="I114" s="956"/>
      <c r="J114" s="955"/>
      <c r="K114" s="956"/>
      <c r="L114" s="955"/>
      <c r="M114" s="955"/>
      <c r="N114" s="956"/>
      <c r="O114" s="955"/>
      <c r="P114" s="957">
        <v>2.5</v>
      </c>
      <c r="Q114" s="955"/>
      <c r="R114" s="957">
        <v>1</v>
      </c>
      <c r="S114" s="955"/>
      <c r="T114" s="956">
        <v>3.5</v>
      </c>
      <c r="U114" s="956">
        <v>3.5</v>
      </c>
      <c r="V114" s="749" t="s">
        <v>223</v>
      </c>
      <c r="W114" s="3"/>
      <c r="X114" s="3"/>
    </row>
    <row r="115" spans="1:24" ht="30">
      <c r="A115" s="736"/>
      <c r="B115" s="736"/>
      <c r="C115" s="736"/>
      <c r="D115" s="829">
        <v>108</v>
      </c>
      <c r="E115" s="829" t="s">
        <v>224</v>
      </c>
      <c r="F115" s="955"/>
      <c r="G115" s="955"/>
      <c r="H115" s="955"/>
      <c r="I115" s="956"/>
      <c r="J115" s="955"/>
      <c r="K115" s="956"/>
      <c r="L115" s="955"/>
      <c r="M115" s="955"/>
      <c r="N115" s="955"/>
      <c r="O115" s="955"/>
      <c r="P115" s="957">
        <v>4</v>
      </c>
      <c r="Q115" s="955"/>
      <c r="R115" s="955"/>
      <c r="S115" s="955"/>
      <c r="T115" s="956">
        <v>4</v>
      </c>
      <c r="U115" s="956">
        <v>4</v>
      </c>
      <c r="V115" s="749" t="s">
        <v>225</v>
      </c>
      <c r="W115" s="3"/>
      <c r="X115" s="3"/>
    </row>
    <row r="116" spans="1:24" ht="39.75" customHeight="1">
      <c r="A116" s="736"/>
      <c r="B116" s="736"/>
      <c r="C116" s="736"/>
      <c r="D116" s="829">
        <v>109</v>
      </c>
      <c r="E116" s="829" t="s">
        <v>226</v>
      </c>
      <c r="F116" s="955"/>
      <c r="G116" s="955"/>
      <c r="H116" s="957"/>
      <c r="I116" s="956"/>
      <c r="J116" s="955"/>
      <c r="K116" s="956"/>
      <c r="L116" s="955"/>
      <c r="M116" s="955"/>
      <c r="N116" s="955"/>
      <c r="O116" s="955"/>
      <c r="P116" s="955"/>
      <c r="Q116" s="955"/>
      <c r="R116" s="955"/>
      <c r="S116" s="955"/>
      <c r="T116" s="956">
        <v>0</v>
      </c>
      <c r="U116" s="956">
        <v>0</v>
      </c>
      <c r="V116" s="744"/>
      <c r="W116" s="3"/>
      <c r="X116" s="3"/>
    </row>
    <row r="117" spans="1:24" ht="135">
      <c r="A117" s="736"/>
      <c r="B117" s="736"/>
      <c r="C117" s="736"/>
      <c r="D117" s="829">
        <v>110</v>
      </c>
      <c r="E117" s="829" t="s">
        <v>227</v>
      </c>
      <c r="F117" s="955"/>
      <c r="G117" s="955"/>
      <c r="H117" s="955"/>
      <c r="I117" s="956"/>
      <c r="J117" s="955"/>
      <c r="K117" s="956"/>
      <c r="L117" s="955"/>
      <c r="M117" s="957"/>
      <c r="N117" s="956">
        <v>3</v>
      </c>
      <c r="O117" s="957">
        <v>57.08</v>
      </c>
      <c r="P117" s="956"/>
      <c r="Q117" s="957">
        <v>5.45</v>
      </c>
      <c r="R117" s="957">
        <v>3</v>
      </c>
      <c r="S117" s="955"/>
      <c r="T117" s="847">
        <f>SUM(F117:S117)</f>
        <v>68.53</v>
      </c>
      <c r="U117" s="956">
        <f>T117</f>
        <v>68.53</v>
      </c>
      <c r="V117" s="744" t="s">
        <v>430</v>
      </c>
      <c r="W117" s="3"/>
      <c r="X117" s="3"/>
    </row>
    <row r="118" spans="1:24" ht="39.75" customHeight="1">
      <c r="A118" s="736"/>
      <c r="B118" s="736"/>
      <c r="C118" s="736"/>
      <c r="D118" s="829">
        <v>111</v>
      </c>
      <c r="E118" s="829" t="s">
        <v>53</v>
      </c>
      <c r="F118" s="955"/>
      <c r="G118" s="955"/>
      <c r="H118" s="955"/>
      <c r="I118" s="957"/>
      <c r="J118" s="955"/>
      <c r="K118" s="957"/>
      <c r="L118" s="955"/>
      <c r="M118" s="955"/>
      <c r="N118" s="955"/>
      <c r="O118" s="955"/>
      <c r="P118" s="957"/>
      <c r="Q118" s="956"/>
      <c r="R118" s="955"/>
      <c r="S118" s="957"/>
      <c r="T118" s="956">
        <v>0</v>
      </c>
      <c r="U118" s="956">
        <v>0</v>
      </c>
      <c r="V118" s="749"/>
      <c r="W118" s="3"/>
      <c r="X118" s="3"/>
    </row>
    <row r="119" spans="1:24" ht="39.75" customHeight="1">
      <c r="A119" s="736"/>
      <c r="B119" s="828" t="s">
        <v>229</v>
      </c>
      <c r="C119" s="828" t="s">
        <v>230</v>
      </c>
      <c r="D119" s="829">
        <v>112</v>
      </c>
      <c r="E119" s="829" t="s">
        <v>231</v>
      </c>
      <c r="F119" s="955"/>
      <c r="G119" s="955"/>
      <c r="H119" s="955"/>
      <c r="I119" s="956"/>
      <c r="J119" s="955"/>
      <c r="K119" s="956"/>
      <c r="L119" s="955"/>
      <c r="M119" s="955">
        <v>0.5</v>
      </c>
      <c r="N119" s="955"/>
      <c r="O119" s="955"/>
      <c r="P119" s="955"/>
      <c r="Q119" s="956"/>
      <c r="R119" s="955"/>
      <c r="S119" s="955"/>
      <c r="T119" s="956">
        <v>0.5</v>
      </c>
      <c r="U119" s="956">
        <v>0</v>
      </c>
      <c r="V119" s="744" t="s">
        <v>431</v>
      </c>
      <c r="W119" s="3"/>
      <c r="X119" s="3"/>
    </row>
    <row r="120" spans="1:24" ht="39.75" customHeight="1">
      <c r="A120" s="736"/>
      <c r="B120" s="736"/>
      <c r="C120" s="736"/>
      <c r="D120" s="829">
        <v>113</v>
      </c>
      <c r="E120" s="829" t="s">
        <v>232</v>
      </c>
      <c r="F120" s="955"/>
      <c r="G120" s="955"/>
      <c r="H120" s="955"/>
      <c r="I120" s="956"/>
      <c r="J120" s="955"/>
      <c r="K120" s="956"/>
      <c r="L120" s="955"/>
      <c r="M120" s="956"/>
      <c r="N120" s="956">
        <v>0.5</v>
      </c>
      <c r="O120" s="955"/>
      <c r="P120" s="955"/>
      <c r="Q120" s="956">
        <v>0.3</v>
      </c>
      <c r="R120" s="955"/>
      <c r="S120" s="955"/>
      <c r="T120" s="956">
        <v>0.8</v>
      </c>
      <c r="U120" s="956">
        <v>0.8</v>
      </c>
      <c r="V120" s="749" t="s">
        <v>233</v>
      </c>
      <c r="W120" s="3"/>
      <c r="X120" s="3"/>
    </row>
    <row r="121" spans="1:24" ht="137.25" customHeight="1">
      <c r="A121" s="736"/>
      <c r="B121" s="829" t="s">
        <v>234</v>
      </c>
      <c r="C121" s="829" t="s">
        <v>235</v>
      </c>
      <c r="D121" s="829">
        <v>114</v>
      </c>
      <c r="E121" s="829" t="s">
        <v>236</v>
      </c>
      <c r="F121" s="955"/>
      <c r="G121" s="955"/>
      <c r="H121" s="957"/>
      <c r="I121" s="955">
        <v>0.21</v>
      </c>
      <c r="J121" s="955"/>
      <c r="K121" s="955"/>
      <c r="L121" s="955"/>
      <c r="M121" s="955"/>
      <c r="N121" s="957">
        <v>0.5</v>
      </c>
      <c r="O121" s="955"/>
      <c r="P121" s="957">
        <v>14.9</v>
      </c>
      <c r="Q121" s="956">
        <v>0.5</v>
      </c>
      <c r="R121" s="957">
        <v>0.5</v>
      </c>
      <c r="S121" s="957">
        <v>0</v>
      </c>
      <c r="T121" s="956">
        <v>16.61</v>
      </c>
      <c r="U121" s="956">
        <v>16.61</v>
      </c>
      <c r="V121" s="779" t="s">
        <v>432</v>
      </c>
      <c r="W121" s="3"/>
      <c r="X121" s="3"/>
    </row>
    <row r="122" spans="1:24" ht="73.5" customHeight="1">
      <c r="A122" s="736"/>
      <c r="B122" s="828" t="s">
        <v>238</v>
      </c>
      <c r="C122" s="828" t="s">
        <v>239</v>
      </c>
      <c r="D122" s="829">
        <v>115</v>
      </c>
      <c r="E122" s="829" t="s">
        <v>240</v>
      </c>
      <c r="F122" s="955"/>
      <c r="G122" s="955"/>
      <c r="H122" s="955"/>
      <c r="I122" s="955"/>
      <c r="J122" s="955"/>
      <c r="K122" s="955"/>
      <c r="L122" s="955"/>
      <c r="M122" s="956">
        <v>2</v>
      </c>
      <c r="N122" s="955"/>
      <c r="O122" s="955"/>
      <c r="P122" s="955"/>
      <c r="Q122" s="955">
        <v>7.25</v>
      </c>
      <c r="R122" s="955"/>
      <c r="S122" s="955"/>
      <c r="T122" s="956">
        <v>9.25</v>
      </c>
      <c r="U122" s="956">
        <v>9.25</v>
      </c>
      <c r="V122" s="779" t="s">
        <v>241</v>
      </c>
      <c r="W122" s="3"/>
      <c r="X122" s="3"/>
    </row>
    <row r="123" spans="1:24" ht="39.75" customHeight="1">
      <c r="A123" s="736"/>
      <c r="B123" s="736"/>
      <c r="C123" s="736"/>
      <c r="D123" s="829">
        <v>116</v>
      </c>
      <c r="E123" s="829" t="s">
        <v>242</v>
      </c>
      <c r="F123" s="955"/>
      <c r="G123" s="955"/>
      <c r="H123" s="955"/>
      <c r="I123" s="955"/>
      <c r="J123" s="955"/>
      <c r="K123" s="955"/>
      <c r="L123" s="955"/>
      <c r="M123" s="956">
        <v>8.1</v>
      </c>
      <c r="N123" s="955"/>
      <c r="O123" s="955"/>
      <c r="P123" s="955"/>
      <c r="Q123" s="956"/>
      <c r="R123" s="955"/>
      <c r="S123" s="955"/>
      <c r="T123" s="956">
        <v>8.1</v>
      </c>
      <c r="U123" s="956">
        <v>8.1</v>
      </c>
      <c r="V123" s="749" t="s">
        <v>243</v>
      </c>
      <c r="W123" s="3"/>
      <c r="X123" s="3"/>
    </row>
    <row r="124" spans="1:24" ht="39.75" customHeight="1">
      <c r="A124" s="736"/>
      <c r="B124" s="736"/>
      <c r="C124" s="736"/>
      <c r="D124" s="829">
        <v>117</v>
      </c>
      <c r="E124" s="829" t="s">
        <v>244</v>
      </c>
      <c r="F124" s="955"/>
      <c r="G124" s="955"/>
      <c r="H124" s="955"/>
      <c r="I124" s="955"/>
      <c r="J124" s="955"/>
      <c r="K124" s="955"/>
      <c r="L124" s="955"/>
      <c r="M124" s="955"/>
      <c r="N124" s="955"/>
      <c r="O124" s="955"/>
      <c r="P124" s="955"/>
      <c r="Q124" s="955"/>
      <c r="R124" s="955"/>
      <c r="S124" s="955"/>
      <c r="T124" s="956">
        <v>0</v>
      </c>
      <c r="U124" s="956">
        <v>0</v>
      </c>
      <c r="V124" s="744"/>
      <c r="W124" s="3"/>
      <c r="X124" s="3"/>
    </row>
    <row r="125" spans="1:24" ht="39.75" customHeight="1">
      <c r="A125" s="736"/>
      <c r="B125" s="736"/>
      <c r="C125" s="736"/>
      <c r="D125" s="829">
        <v>118</v>
      </c>
      <c r="E125" s="829" t="s">
        <v>53</v>
      </c>
      <c r="F125" s="955"/>
      <c r="G125" s="955"/>
      <c r="H125" s="955"/>
      <c r="I125" s="955"/>
      <c r="J125" s="955"/>
      <c r="K125" s="955"/>
      <c r="L125" s="955"/>
      <c r="M125" s="955"/>
      <c r="N125" s="955"/>
      <c r="O125" s="955"/>
      <c r="P125" s="955"/>
      <c r="Q125" s="956"/>
      <c r="R125" s="955"/>
      <c r="S125" s="955"/>
      <c r="T125" s="956">
        <v>0</v>
      </c>
      <c r="U125" s="956">
        <v>0</v>
      </c>
      <c r="V125" s="744"/>
      <c r="W125" s="3"/>
      <c r="X125" s="3"/>
    </row>
    <row r="126" spans="1:24" ht="81" customHeight="1">
      <c r="A126" s="736"/>
      <c r="B126" s="829" t="s">
        <v>245</v>
      </c>
      <c r="C126" s="829" t="s">
        <v>246</v>
      </c>
      <c r="D126" s="829">
        <v>119</v>
      </c>
      <c r="E126" s="829" t="s">
        <v>247</v>
      </c>
      <c r="F126" s="955"/>
      <c r="G126" s="955"/>
      <c r="H126" s="957"/>
      <c r="I126" s="956"/>
      <c r="J126" s="955"/>
      <c r="K126" s="955"/>
      <c r="L126" s="955"/>
      <c r="M126" s="955"/>
      <c r="N126" s="956">
        <v>2</v>
      </c>
      <c r="O126" s="955"/>
      <c r="P126" s="957">
        <v>8</v>
      </c>
      <c r="Q126" s="956"/>
      <c r="R126" s="955"/>
      <c r="S126" s="955">
        <v>0</v>
      </c>
      <c r="T126" s="956">
        <v>10</v>
      </c>
      <c r="U126" s="956">
        <v>10</v>
      </c>
      <c r="V126" s="749" t="s">
        <v>248</v>
      </c>
      <c r="W126" s="3"/>
      <c r="X126" s="3"/>
    </row>
    <row r="127" spans="1:24" ht="39.75" customHeight="1">
      <c r="A127" s="736"/>
      <c r="B127" s="829" t="s">
        <v>249</v>
      </c>
      <c r="C127" s="829" t="s">
        <v>250</v>
      </c>
      <c r="D127" s="829">
        <v>120</v>
      </c>
      <c r="E127" s="829" t="s">
        <v>251</v>
      </c>
      <c r="F127" s="955"/>
      <c r="G127" s="955"/>
      <c r="H127" s="955"/>
      <c r="I127" s="955"/>
      <c r="J127" s="955"/>
      <c r="K127" s="957"/>
      <c r="L127" s="955"/>
      <c r="M127" s="957"/>
      <c r="N127" s="956"/>
      <c r="O127" s="955"/>
      <c r="P127" s="957"/>
      <c r="Q127" s="956"/>
      <c r="R127" s="957"/>
      <c r="S127" s="955"/>
      <c r="T127" s="956">
        <v>0</v>
      </c>
      <c r="U127" s="956">
        <v>0</v>
      </c>
      <c r="V127" s="744"/>
      <c r="W127" s="3"/>
      <c r="X127" s="3"/>
    </row>
    <row r="128" spans="1:24" ht="82.5" customHeight="1">
      <c r="A128" s="736"/>
      <c r="B128" s="828" t="s">
        <v>252</v>
      </c>
      <c r="C128" s="828" t="s">
        <v>253</v>
      </c>
      <c r="D128" s="829">
        <v>121</v>
      </c>
      <c r="E128" s="829" t="s">
        <v>254</v>
      </c>
      <c r="F128" s="940">
        <v>0</v>
      </c>
      <c r="G128" s="940">
        <v>0</v>
      </c>
      <c r="H128" s="940">
        <v>0</v>
      </c>
      <c r="I128" s="952">
        <v>0</v>
      </c>
      <c r="J128" s="940">
        <v>0</v>
      </c>
      <c r="K128" s="940">
        <v>0</v>
      </c>
      <c r="L128" s="940">
        <v>0</v>
      </c>
      <c r="M128" s="940">
        <v>0</v>
      </c>
      <c r="N128" s="940">
        <v>0.96</v>
      </c>
      <c r="O128" s="940">
        <v>0</v>
      </c>
      <c r="P128" s="940">
        <v>0</v>
      </c>
      <c r="Q128" s="940">
        <v>0</v>
      </c>
      <c r="R128" s="940">
        <v>0</v>
      </c>
      <c r="S128" s="940">
        <v>0</v>
      </c>
      <c r="T128" s="847">
        <f t="shared" ref="T128:T130" si="16">SUM(F128:S128)</f>
        <v>0.96</v>
      </c>
      <c r="U128" s="952">
        <v>1.6225000000000001</v>
      </c>
      <c r="V128" s="779" t="s">
        <v>433</v>
      </c>
      <c r="W128" s="3"/>
      <c r="X128" s="3"/>
    </row>
    <row r="129" spans="1:24" ht="39.75" customHeight="1">
      <c r="A129" s="736"/>
      <c r="B129" s="736"/>
      <c r="C129" s="736"/>
      <c r="D129" s="829">
        <v>122</v>
      </c>
      <c r="E129" s="829" t="s">
        <v>256</v>
      </c>
      <c r="F129" s="940">
        <v>0</v>
      </c>
      <c r="G129" s="940">
        <v>0</v>
      </c>
      <c r="H129" s="940">
        <v>0</v>
      </c>
      <c r="I129" s="940">
        <v>0</v>
      </c>
      <c r="J129" s="940">
        <v>0</v>
      </c>
      <c r="K129" s="940">
        <v>0</v>
      </c>
      <c r="L129" s="940">
        <v>0</v>
      </c>
      <c r="M129" s="940">
        <v>0</v>
      </c>
      <c r="N129" s="940">
        <v>0</v>
      </c>
      <c r="O129" s="940">
        <v>0</v>
      </c>
      <c r="P129" s="940">
        <v>0</v>
      </c>
      <c r="Q129" s="940">
        <v>0</v>
      </c>
      <c r="R129" s="940">
        <v>0</v>
      </c>
      <c r="S129" s="940">
        <v>0</v>
      </c>
      <c r="T129" s="847">
        <f t="shared" si="16"/>
        <v>0</v>
      </c>
      <c r="U129" s="952">
        <v>0</v>
      </c>
      <c r="V129" s="482"/>
      <c r="W129" s="3"/>
      <c r="X129" s="3"/>
    </row>
    <row r="130" spans="1:24" ht="90.75" customHeight="1">
      <c r="A130" s="736"/>
      <c r="B130" s="736"/>
      <c r="C130" s="736"/>
      <c r="D130" s="829">
        <v>123</v>
      </c>
      <c r="E130" s="829" t="s">
        <v>257</v>
      </c>
      <c r="F130" s="940">
        <v>0</v>
      </c>
      <c r="G130" s="940">
        <v>0</v>
      </c>
      <c r="H130" s="940">
        <v>0</v>
      </c>
      <c r="I130" s="940">
        <v>0</v>
      </c>
      <c r="J130" s="940">
        <v>0</v>
      </c>
      <c r="K130" s="940">
        <v>0</v>
      </c>
      <c r="L130" s="940">
        <v>0</v>
      </c>
      <c r="M130" s="940">
        <v>0</v>
      </c>
      <c r="N130" s="940">
        <v>0</v>
      </c>
      <c r="O130" s="940">
        <v>0</v>
      </c>
      <c r="P130" s="959">
        <v>0</v>
      </c>
      <c r="Q130" s="952">
        <v>1.5</v>
      </c>
      <c r="R130" s="940">
        <v>0</v>
      </c>
      <c r="S130" s="940">
        <v>0</v>
      </c>
      <c r="T130" s="847">
        <f t="shared" si="16"/>
        <v>1.5</v>
      </c>
      <c r="U130" s="952">
        <v>1.5</v>
      </c>
      <c r="V130" s="729" t="s">
        <v>258</v>
      </c>
      <c r="W130" s="3"/>
      <c r="X130" s="3"/>
    </row>
    <row r="131" spans="1:24" ht="39.75" customHeight="1">
      <c r="A131" s="736"/>
      <c r="B131" s="828" t="s">
        <v>259</v>
      </c>
      <c r="C131" s="828" t="s">
        <v>260</v>
      </c>
      <c r="D131" s="829">
        <v>124</v>
      </c>
      <c r="E131" s="829" t="s">
        <v>261</v>
      </c>
      <c r="F131" s="955"/>
      <c r="G131" s="955"/>
      <c r="H131" s="957">
        <v>0</v>
      </c>
      <c r="I131" s="955"/>
      <c r="J131" s="955"/>
      <c r="K131" s="955"/>
      <c r="L131" s="955"/>
      <c r="M131" s="955"/>
      <c r="N131" s="955">
        <v>1</v>
      </c>
      <c r="O131" s="955"/>
      <c r="P131" s="955"/>
      <c r="Q131" s="957">
        <v>0.5</v>
      </c>
      <c r="R131" s="955"/>
      <c r="S131" s="955"/>
      <c r="T131" s="956">
        <v>1.5</v>
      </c>
      <c r="U131" s="956">
        <v>1.5</v>
      </c>
      <c r="V131" s="729" t="s">
        <v>262</v>
      </c>
      <c r="W131" s="3"/>
      <c r="X131" s="3"/>
    </row>
    <row r="132" spans="1:24" ht="39.75" customHeight="1">
      <c r="A132" s="736"/>
      <c r="B132" s="736"/>
      <c r="C132" s="736"/>
      <c r="D132" s="829">
        <v>125</v>
      </c>
      <c r="E132" s="829" t="s">
        <v>263</v>
      </c>
      <c r="F132" s="955"/>
      <c r="G132" s="955"/>
      <c r="H132" s="957"/>
      <c r="I132" s="955"/>
      <c r="J132" s="955"/>
      <c r="K132" s="955"/>
      <c r="L132" s="955"/>
      <c r="M132" s="955"/>
      <c r="N132" s="955">
        <v>1</v>
      </c>
      <c r="O132" s="955"/>
      <c r="P132" s="955"/>
      <c r="Q132" s="957">
        <v>0.5</v>
      </c>
      <c r="R132" s="955"/>
      <c r="S132" s="955"/>
      <c r="T132" s="956">
        <v>1.5</v>
      </c>
      <c r="U132" s="956">
        <v>1.5</v>
      </c>
      <c r="V132" s="729" t="s">
        <v>262</v>
      </c>
      <c r="W132" s="3"/>
      <c r="X132" s="3"/>
    </row>
    <row r="133" spans="1:24" ht="39.75" customHeight="1">
      <c r="A133" s="736"/>
      <c r="B133" s="829" t="s">
        <v>264</v>
      </c>
      <c r="C133" s="829" t="s">
        <v>265</v>
      </c>
      <c r="D133" s="829">
        <v>126</v>
      </c>
      <c r="E133" s="829" t="s">
        <v>181</v>
      </c>
      <c r="F133" s="829"/>
      <c r="G133" s="829"/>
      <c r="H133" s="829"/>
      <c r="I133" s="829"/>
      <c r="J133" s="829"/>
      <c r="K133" s="829"/>
      <c r="L133" s="829"/>
      <c r="M133" s="829"/>
      <c r="N133" s="829"/>
      <c r="O133" s="829"/>
      <c r="P133" s="829"/>
      <c r="Q133" s="829"/>
      <c r="R133" s="829"/>
      <c r="S133" s="829"/>
      <c r="T133" s="847">
        <f>SUM(F133:S133)</f>
        <v>0</v>
      </c>
      <c r="U133" s="847">
        <f>T133+T133*5/100</f>
        <v>0</v>
      </c>
      <c r="V133" s="744"/>
      <c r="W133" s="3"/>
      <c r="X133" s="3"/>
    </row>
    <row r="134" spans="1:24" ht="39.75" customHeight="1">
      <c r="A134" s="736"/>
      <c r="B134" s="948" t="s">
        <v>266</v>
      </c>
      <c r="C134" s="736"/>
      <c r="D134" s="736"/>
      <c r="E134" s="949"/>
      <c r="F134" s="949">
        <f t="shared" ref="F134:U134" si="17">SUM(F94:F133)</f>
        <v>0</v>
      </c>
      <c r="G134" s="949">
        <f t="shared" si="17"/>
        <v>0</v>
      </c>
      <c r="H134" s="949">
        <f t="shared" si="17"/>
        <v>0</v>
      </c>
      <c r="I134" s="949">
        <f t="shared" si="17"/>
        <v>14.21</v>
      </c>
      <c r="J134" s="949">
        <f t="shared" si="17"/>
        <v>0</v>
      </c>
      <c r="K134" s="951">
        <f t="shared" si="17"/>
        <v>8</v>
      </c>
      <c r="L134" s="949">
        <f t="shared" si="17"/>
        <v>0</v>
      </c>
      <c r="M134" s="949">
        <f t="shared" si="17"/>
        <v>10.6</v>
      </c>
      <c r="N134" s="949">
        <f t="shared" si="17"/>
        <v>14.71</v>
      </c>
      <c r="O134" s="949">
        <f t="shared" si="17"/>
        <v>60.08</v>
      </c>
      <c r="P134" s="949">
        <f t="shared" si="17"/>
        <v>80.150000000000006</v>
      </c>
      <c r="Q134" s="949">
        <f t="shared" si="17"/>
        <v>22</v>
      </c>
      <c r="R134" s="949">
        <f t="shared" si="17"/>
        <v>25</v>
      </c>
      <c r="S134" s="949">
        <f t="shared" si="17"/>
        <v>0</v>
      </c>
      <c r="T134" s="951">
        <f t="shared" si="17"/>
        <v>234.75</v>
      </c>
      <c r="U134" s="951">
        <f t="shared" si="17"/>
        <v>214.91249999999999</v>
      </c>
      <c r="V134" s="744"/>
      <c r="W134" s="3"/>
      <c r="X134" s="3"/>
    </row>
    <row r="135" spans="1:24" ht="39.75" customHeight="1">
      <c r="A135" s="831" t="s">
        <v>267</v>
      </c>
      <c r="B135" s="828" t="s">
        <v>268</v>
      </c>
      <c r="C135" s="828" t="s">
        <v>269</v>
      </c>
      <c r="D135" s="829">
        <v>127</v>
      </c>
      <c r="E135" s="829" t="s">
        <v>270</v>
      </c>
      <c r="F135" s="960"/>
      <c r="G135" s="960"/>
      <c r="H135" s="960"/>
      <c r="I135" s="960"/>
      <c r="J135" s="960"/>
      <c r="K135" s="960"/>
      <c r="L135" s="960"/>
      <c r="M135" s="960"/>
      <c r="N135" s="960"/>
      <c r="O135" s="960"/>
      <c r="P135" s="960"/>
      <c r="Q135" s="960"/>
      <c r="R135" s="960"/>
      <c r="S135" s="960"/>
      <c r="T135" s="847">
        <f t="shared" ref="T135:T157" si="18">SUM(F135:S135)</f>
        <v>0</v>
      </c>
      <c r="U135" s="847">
        <f>T135+T135*5/100</f>
        <v>0</v>
      </c>
      <c r="V135" s="485"/>
      <c r="W135" s="3"/>
      <c r="X135" s="3"/>
    </row>
    <row r="136" spans="1:24" ht="39.75" customHeight="1">
      <c r="A136" s="736"/>
      <c r="B136" s="736"/>
      <c r="C136" s="736"/>
      <c r="D136" s="829">
        <v>128</v>
      </c>
      <c r="E136" s="829" t="s">
        <v>271</v>
      </c>
      <c r="F136" s="960"/>
      <c r="G136" s="960"/>
      <c r="H136" s="960"/>
      <c r="I136" s="960"/>
      <c r="J136" s="960"/>
      <c r="K136" s="961"/>
      <c r="L136" s="960"/>
      <c r="M136" s="960"/>
      <c r="N136" s="961"/>
      <c r="O136" s="960"/>
      <c r="P136" s="961"/>
      <c r="Q136" s="941">
        <f>(0.75*5)</f>
        <v>3.75</v>
      </c>
      <c r="R136" s="962"/>
      <c r="S136" s="963"/>
      <c r="T136" s="847">
        <f t="shared" si="18"/>
        <v>3.75</v>
      </c>
      <c r="U136" s="941">
        <f>T136</f>
        <v>3.75</v>
      </c>
      <c r="V136" s="749" t="s">
        <v>272</v>
      </c>
      <c r="W136" s="3"/>
      <c r="X136" s="3"/>
    </row>
    <row r="137" spans="1:24" ht="39.75" customHeight="1">
      <c r="A137" s="736"/>
      <c r="B137" s="829"/>
      <c r="C137" s="829"/>
      <c r="D137" s="829">
        <v>129</v>
      </c>
      <c r="E137" s="829" t="s">
        <v>273</v>
      </c>
      <c r="F137" s="960"/>
      <c r="G137" s="960"/>
      <c r="H137" s="960"/>
      <c r="I137" s="960"/>
      <c r="J137" s="960"/>
      <c r="K137" s="960"/>
      <c r="L137" s="960"/>
      <c r="M137" s="960"/>
      <c r="N137" s="960"/>
      <c r="O137" s="960"/>
      <c r="P137" s="960"/>
      <c r="Q137" s="960"/>
      <c r="R137" s="960"/>
      <c r="S137" s="960"/>
      <c r="T137" s="847">
        <f t="shared" si="18"/>
        <v>0</v>
      </c>
      <c r="U137" s="847">
        <f t="shared" ref="U137:U138" si="19">T137+T137*5/100</f>
        <v>0</v>
      </c>
      <c r="V137" s="485"/>
      <c r="W137" s="3"/>
      <c r="X137" s="3"/>
    </row>
    <row r="138" spans="1:24" ht="39.75" customHeight="1">
      <c r="A138" s="736"/>
      <c r="B138" s="828" t="s">
        <v>274</v>
      </c>
      <c r="C138" s="828" t="s">
        <v>275</v>
      </c>
      <c r="D138" s="829">
        <v>130</v>
      </c>
      <c r="E138" s="829" t="s">
        <v>276</v>
      </c>
      <c r="F138" s="960"/>
      <c r="G138" s="960"/>
      <c r="H138" s="960"/>
      <c r="I138" s="960"/>
      <c r="J138" s="960"/>
      <c r="K138" s="960"/>
      <c r="L138" s="960"/>
      <c r="M138" s="960"/>
      <c r="N138" s="960"/>
      <c r="O138" s="960"/>
      <c r="P138" s="960"/>
      <c r="Q138" s="960"/>
      <c r="R138" s="960"/>
      <c r="S138" s="960"/>
      <c r="T138" s="847">
        <f t="shared" si="18"/>
        <v>0</v>
      </c>
      <c r="U138" s="847">
        <f t="shared" si="19"/>
        <v>0</v>
      </c>
      <c r="V138" s="485"/>
      <c r="W138" s="3"/>
      <c r="X138" s="3"/>
    </row>
    <row r="139" spans="1:24">
      <c r="A139" s="736"/>
      <c r="B139" s="736"/>
      <c r="C139" s="736"/>
      <c r="D139" s="829">
        <v>131</v>
      </c>
      <c r="E139" s="829" t="s">
        <v>277</v>
      </c>
      <c r="F139" s="960"/>
      <c r="G139" s="960"/>
      <c r="H139" s="960"/>
      <c r="I139" s="960"/>
      <c r="J139" s="960"/>
      <c r="K139" s="960"/>
      <c r="L139" s="960"/>
      <c r="M139" s="960"/>
      <c r="N139" s="961">
        <v>0.7</v>
      </c>
      <c r="O139" s="960"/>
      <c r="P139" s="960"/>
      <c r="Q139" s="960"/>
      <c r="R139" s="960"/>
      <c r="S139" s="960"/>
      <c r="T139" s="847">
        <f t="shared" si="18"/>
        <v>0.7</v>
      </c>
      <c r="U139" s="847">
        <f>75*0.01</f>
        <v>0.75</v>
      </c>
      <c r="V139" s="749" t="s">
        <v>435</v>
      </c>
      <c r="W139" s="3"/>
      <c r="X139" s="3"/>
    </row>
    <row r="140" spans="1:24">
      <c r="A140" s="736"/>
      <c r="B140" s="736"/>
      <c r="C140" s="736"/>
      <c r="D140" s="829">
        <v>132</v>
      </c>
      <c r="E140" s="829" t="s">
        <v>279</v>
      </c>
      <c r="F140" s="960"/>
      <c r="G140" s="960"/>
      <c r="H140" s="960"/>
      <c r="I140" s="960"/>
      <c r="J140" s="960"/>
      <c r="K140" s="960"/>
      <c r="L140" s="960"/>
      <c r="M140" s="960"/>
      <c r="N140" s="960"/>
      <c r="O140" s="960"/>
      <c r="P140" s="960"/>
      <c r="Q140" s="960"/>
      <c r="R140" s="960"/>
      <c r="S140" s="960"/>
      <c r="T140" s="847">
        <f t="shared" si="18"/>
        <v>0</v>
      </c>
      <c r="U140" s="847">
        <f t="shared" ref="U140:U141" si="20">T140+T140*5/100</f>
        <v>0</v>
      </c>
      <c r="V140" s="744"/>
      <c r="W140" s="3"/>
      <c r="X140" s="3"/>
    </row>
    <row r="141" spans="1:24" ht="39.75" customHeight="1">
      <c r="A141" s="736"/>
      <c r="B141" s="736"/>
      <c r="C141" s="736"/>
      <c r="D141" s="829">
        <v>133</v>
      </c>
      <c r="E141" s="829" t="s">
        <v>280</v>
      </c>
      <c r="F141" s="960"/>
      <c r="G141" s="960"/>
      <c r="H141" s="960"/>
      <c r="I141" s="960"/>
      <c r="J141" s="960"/>
      <c r="K141" s="960"/>
      <c r="L141" s="960"/>
      <c r="M141" s="960"/>
      <c r="N141" s="960"/>
      <c r="O141" s="960"/>
      <c r="P141" s="964"/>
      <c r="Q141" s="960"/>
      <c r="R141" s="960"/>
      <c r="S141" s="960"/>
      <c r="T141" s="847">
        <f t="shared" si="18"/>
        <v>0</v>
      </c>
      <c r="U141" s="847">
        <f t="shared" si="20"/>
        <v>0</v>
      </c>
      <c r="V141" s="744"/>
      <c r="W141" s="3"/>
      <c r="X141" s="3"/>
    </row>
    <row r="142" spans="1:24" ht="45">
      <c r="A142" s="736"/>
      <c r="B142" s="736"/>
      <c r="C142" s="736"/>
      <c r="D142" s="829">
        <v>134</v>
      </c>
      <c r="E142" s="829" t="s">
        <v>281</v>
      </c>
      <c r="F142" s="960"/>
      <c r="G142" s="960"/>
      <c r="H142" s="960"/>
      <c r="I142" s="960"/>
      <c r="J142" s="960"/>
      <c r="K142" s="960"/>
      <c r="L142" s="960"/>
      <c r="M142" s="960"/>
      <c r="N142" s="960"/>
      <c r="O142" s="960"/>
      <c r="P142" s="965">
        <f>(20*0.005*12)+(20*0.0025*12)</f>
        <v>1.8000000000000003</v>
      </c>
      <c r="Q142" s="960"/>
      <c r="R142" s="960"/>
      <c r="S142" s="960"/>
      <c r="T142" s="847">
        <f t="shared" si="18"/>
        <v>1.8000000000000003</v>
      </c>
      <c r="U142" s="847">
        <f>T142</f>
        <v>1.8000000000000003</v>
      </c>
      <c r="V142" s="744" t="s">
        <v>1606</v>
      </c>
      <c r="W142" s="3"/>
      <c r="X142" s="3"/>
    </row>
    <row r="143" spans="1:24" ht="39.75" customHeight="1">
      <c r="A143" s="736"/>
      <c r="B143" s="736"/>
      <c r="C143" s="736"/>
      <c r="D143" s="829">
        <v>135</v>
      </c>
      <c r="E143" s="829" t="s">
        <v>283</v>
      </c>
      <c r="F143" s="960"/>
      <c r="G143" s="960"/>
      <c r="H143" s="960"/>
      <c r="I143" s="960"/>
      <c r="J143" s="960"/>
      <c r="K143" s="960"/>
      <c r="L143" s="960"/>
      <c r="M143" s="960"/>
      <c r="N143" s="960"/>
      <c r="O143" s="960"/>
      <c r="P143" s="960"/>
      <c r="Q143" s="960"/>
      <c r="R143" s="960"/>
      <c r="S143" s="960"/>
      <c r="T143" s="847">
        <f t="shared" si="18"/>
        <v>0</v>
      </c>
      <c r="U143" s="847">
        <f t="shared" ref="U143:U144" si="21">T143+T143*5/100</f>
        <v>0</v>
      </c>
      <c r="V143" s="485"/>
      <c r="W143" s="3"/>
      <c r="X143" s="3"/>
    </row>
    <row r="144" spans="1:24" ht="39.75" customHeight="1">
      <c r="A144" s="736"/>
      <c r="B144" s="736"/>
      <c r="C144" s="736"/>
      <c r="D144" s="829">
        <v>136</v>
      </c>
      <c r="E144" s="829" t="s">
        <v>284</v>
      </c>
      <c r="F144" s="960"/>
      <c r="G144" s="960"/>
      <c r="H144" s="960"/>
      <c r="I144" s="960"/>
      <c r="J144" s="960"/>
      <c r="K144" s="960"/>
      <c r="L144" s="960"/>
      <c r="M144" s="960"/>
      <c r="N144" s="960"/>
      <c r="O144" s="960"/>
      <c r="P144" s="961"/>
      <c r="Q144" s="960"/>
      <c r="R144" s="960"/>
      <c r="S144" s="960"/>
      <c r="T144" s="847">
        <f t="shared" si="18"/>
        <v>0</v>
      </c>
      <c r="U144" s="847">
        <f t="shared" si="21"/>
        <v>0</v>
      </c>
      <c r="V144" s="749"/>
      <c r="W144" s="3"/>
      <c r="X144" s="3"/>
    </row>
    <row r="145" spans="1:24">
      <c r="A145" s="736"/>
      <c r="B145" s="828" t="s">
        <v>285</v>
      </c>
      <c r="C145" s="828" t="s">
        <v>286</v>
      </c>
      <c r="D145" s="829">
        <v>137</v>
      </c>
      <c r="E145" s="829" t="s">
        <v>287</v>
      </c>
      <c r="F145" s="960"/>
      <c r="G145" s="960"/>
      <c r="H145" s="960"/>
      <c r="I145" s="960"/>
      <c r="J145" s="960"/>
      <c r="K145" s="960"/>
      <c r="L145" s="960"/>
      <c r="M145" s="961"/>
      <c r="N145" s="960"/>
      <c r="O145" s="960"/>
      <c r="P145" s="941"/>
      <c r="Q145" s="960"/>
      <c r="R145" s="960"/>
      <c r="S145" s="960"/>
      <c r="T145" s="847">
        <f t="shared" si="18"/>
        <v>0</v>
      </c>
      <c r="U145" s="847">
        <f>T145</f>
        <v>0</v>
      </c>
      <c r="V145" s="749"/>
      <c r="W145" s="3"/>
      <c r="X145" s="3"/>
    </row>
    <row r="146" spans="1:24" ht="39.75" customHeight="1">
      <c r="A146" s="736"/>
      <c r="B146" s="736"/>
      <c r="C146" s="736"/>
      <c r="D146" s="829">
        <v>138</v>
      </c>
      <c r="E146" s="829" t="s">
        <v>288</v>
      </c>
      <c r="F146" s="829"/>
      <c r="G146" s="829"/>
      <c r="H146" s="847"/>
      <c r="I146" s="847"/>
      <c r="J146" s="829"/>
      <c r="K146" s="847"/>
      <c r="L146" s="829"/>
      <c r="M146" s="847"/>
      <c r="N146" s="829"/>
      <c r="O146" s="829"/>
      <c r="P146" s="829"/>
      <c r="Q146" s="829"/>
      <c r="R146" s="829"/>
      <c r="S146" s="829"/>
      <c r="T146" s="847">
        <f t="shared" si="18"/>
        <v>0</v>
      </c>
      <c r="U146" s="847">
        <f>T146+T146*5/100</f>
        <v>0</v>
      </c>
      <c r="V146" s="749"/>
      <c r="W146" s="3"/>
      <c r="X146" s="3"/>
    </row>
    <row r="147" spans="1:24" ht="39.75" customHeight="1">
      <c r="A147" s="736"/>
      <c r="B147" s="828" t="s">
        <v>289</v>
      </c>
      <c r="C147" s="828" t="s">
        <v>290</v>
      </c>
      <c r="D147" s="829">
        <v>139</v>
      </c>
      <c r="E147" s="829" t="s">
        <v>291</v>
      </c>
      <c r="F147" s="960"/>
      <c r="G147" s="960"/>
      <c r="H147" s="960"/>
      <c r="I147" s="960"/>
      <c r="J147" s="960"/>
      <c r="K147" s="960"/>
      <c r="L147" s="960"/>
      <c r="M147" s="960"/>
      <c r="N147" s="961"/>
      <c r="O147" s="960"/>
      <c r="P147" s="941">
        <v>5</v>
      </c>
      <c r="Q147" s="963"/>
      <c r="R147" s="941"/>
      <c r="S147" s="963"/>
      <c r="T147" s="847">
        <f t="shared" si="18"/>
        <v>5</v>
      </c>
      <c r="U147" s="728">
        <f t="shared" ref="U147:U148" si="22">T147</f>
        <v>5</v>
      </c>
      <c r="V147" s="749" t="s">
        <v>436</v>
      </c>
      <c r="W147" s="3"/>
      <c r="X147" s="3"/>
    </row>
    <row r="148" spans="1:24" ht="39.75" customHeight="1">
      <c r="A148" s="736"/>
      <c r="B148" s="736"/>
      <c r="C148" s="736"/>
      <c r="D148" s="829">
        <v>140</v>
      </c>
      <c r="E148" s="829" t="s">
        <v>293</v>
      </c>
      <c r="F148" s="960"/>
      <c r="G148" s="960"/>
      <c r="H148" s="960"/>
      <c r="I148" s="960"/>
      <c r="J148" s="960"/>
      <c r="K148" s="960"/>
      <c r="L148" s="960"/>
      <c r="M148" s="960"/>
      <c r="N148" s="960"/>
      <c r="O148" s="960"/>
      <c r="P148" s="941">
        <f>5+( 5 * 0.235)</f>
        <v>6.1749999999999998</v>
      </c>
      <c r="Q148" s="963"/>
      <c r="R148" s="963"/>
      <c r="S148" s="963"/>
      <c r="T148" s="847">
        <f t="shared" si="18"/>
        <v>6.1749999999999998</v>
      </c>
      <c r="U148" s="728">
        <f t="shared" si="22"/>
        <v>6.1749999999999998</v>
      </c>
      <c r="V148" s="749" t="s">
        <v>294</v>
      </c>
      <c r="W148" s="3"/>
      <c r="X148" s="3"/>
    </row>
    <row r="149" spans="1:24" ht="39.75" customHeight="1">
      <c r="A149" s="736"/>
      <c r="B149" s="736"/>
      <c r="C149" s="736"/>
      <c r="D149" s="829">
        <v>141</v>
      </c>
      <c r="E149" s="829" t="s">
        <v>295</v>
      </c>
      <c r="F149" s="960"/>
      <c r="G149" s="960"/>
      <c r="H149" s="960"/>
      <c r="I149" s="960"/>
      <c r="J149" s="960"/>
      <c r="K149" s="960"/>
      <c r="L149" s="960"/>
      <c r="M149" s="960"/>
      <c r="N149" s="960"/>
      <c r="O149" s="960"/>
      <c r="P149" s="960"/>
      <c r="Q149" s="960"/>
      <c r="R149" s="960"/>
      <c r="S149" s="960"/>
      <c r="T149" s="847">
        <f t="shared" si="18"/>
        <v>0</v>
      </c>
      <c r="U149" s="847">
        <f>T149+T149*5/100</f>
        <v>0</v>
      </c>
      <c r="V149" s="485"/>
      <c r="W149" s="3"/>
      <c r="X149" s="3"/>
    </row>
    <row r="150" spans="1:24" ht="39.75" customHeight="1">
      <c r="A150" s="736"/>
      <c r="B150" s="828" t="s">
        <v>296</v>
      </c>
      <c r="C150" s="828" t="s">
        <v>297</v>
      </c>
      <c r="D150" s="829">
        <v>142</v>
      </c>
      <c r="E150" s="912" t="s">
        <v>298</v>
      </c>
      <c r="F150" s="960"/>
      <c r="G150" s="960"/>
      <c r="H150" s="960"/>
      <c r="I150" s="960"/>
      <c r="J150" s="960"/>
      <c r="K150" s="960"/>
      <c r="L150" s="960"/>
      <c r="M150" s="960"/>
      <c r="N150" s="960"/>
      <c r="O150" s="960"/>
      <c r="P150" s="783">
        <v>736.35746999999992</v>
      </c>
      <c r="Q150" s="960"/>
      <c r="R150" s="960"/>
      <c r="S150" s="960"/>
      <c r="T150" s="847">
        <f t="shared" si="18"/>
        <v>736.35746999999992</v>
      </c>
      <c r="U150" s="783">
        <v>783.99979830899986</v>
      </c>
      <c r="V150" s="881" t="s">
        <v>1732</v>
      </c>
      <c r="W150" s="3"/>
      <c r="X150" s="3"/>
    </row>
    <row r="151" spans="1:24" ht="39.75" customHeight="1">
      <c r="A151" s="736"/>
      <c r="B151" s="736"/>
      <c r="C151" s="736"/>
      <c r="D151" s="829">
        <v>143</v>
      </c>
      <c r="E151" s="829" t="s">
        <v>299</v>
      </c>
      <c r="F151" s="960"/>
      <c r="G151" s="960"/>
      <c r="H151" s="960"/>
      <c r="I151" s="960"/>
      <c r="J151" s="960"/>
      <c r="K151" s="960"/>
      <c r="L151" s="960"/>
      <c r="M151" s="960"/>
      <c r="N151" s="960"/>
      <c r="O151" s="960"/>
      <c r="P151" s="960"/>
      <c r="Q151" s="960"/>
      <c r="R151" s="960"/>
      <c r="S151" s="960"/>
      <c r="T151" s="847">
        <f t="shared" si="18"/>
        <v>0</v>
      </c>
      <c r="U151" s="847">
        <f t="shared" ref="U151:U153" si="23">T151+T151*5/100</f>
        <v>0</v>
      </c>
      <c r="V151" s="485"/>
      <c r="W151" s="3"/>
      <c r="X151" s="3"/>
    </row>
    <row r="152" spans="1:24" ht="39.75" customHeight="1">
      <c r="A152" s="736"/>
      <c r="B152" s="736"/>
      <c r="C152" s="736"/>
      <c r="D152" s="829">
        <v>144</v>
      </c>
      <c r="E152" s="829" t="s">
        <v>300</v>
      </c>
      <c r="F152" s="960"/>
      <c r="G152" s="960"/>
      <c r="H152" s="960"/>
      <c r="I152" s="960"/>
      <c r="J152" s="960"/>
      <c r="K152" s="960"/>
      <c r="L152" s="960"/>
      <c r="M152" s="960"/>
      <c r="N152" s="960"/>
      <c r="O152" s="960"/>
      <c r="P152" s="960"/>
      <c r="Q152" s="960"/>
      <c r="R152" s="960"/>
      <c r="S152" s="960"/>
      <c r="T152" s="847">
        <f t="shared" si="18"/>
        <v>0</v>
      </c>
      <c r="U152" s="847">
        <f t="shared" si="23"/>
        <v>0</v>
      </c>
      <c r="V152" s="485"/>
      <c r="W152" s="3"/>
      <c r="X152" s="3"/>
    </row>
    <row r="153" spans="1:24" ht="39.75" customHeight="1">
      <c r="A153" s="736"/>
      <c r="B153" s="736"/>
      <c r="C153" s="736"/>
      <c r="D153" s="829">
        <v>145</v>
      </c>
      <c r="E153" s="829" t="s">
        <v>301</v>
      </c>
      <c r="F153" s="960"/>
      <c r="G153" s="960"/>
      <c r="H153" s="960"/>
      <c r="I153" s="960"/>
      <c r="J153" s="960"/>
      <c r="K153" s="960"/>
      <c r="L153" s="960"/>
      <c r="M153" s="960"/>
      <c r="N153" s="960"/>
      <c r="O153" s="960"/>
      <c r="P153" s="960"/>
      <c r="Q153" s="960"/>
      <c r="R153" s="960"/>
      <c r="S153" s="960"/>
      <c r="T153" s="847">
        <f t="shared" si="18"/>
        <v>0</v>
      </c>
      <c r="U153" s="847">
        <f t="shared" si="23"/>
        <v>0</v>
      </c>
      <c r="V153" s="485"/>
      <c r="W153" s="3"/>
      <c r="X153" s="3"/>
    </row>
    <row r="154" spans="1:24" ht="78" customHeight="1">
      <c r="A154" s="736"/>
      <c r="B154" s="829" t="s">
        <v>302</v>
      </c>
      <c r="C154" s="829" t="s">
        <v>303</v>
      </c>
      <c r="D154" s="829">
        <v>146</v>
      </c>
      <c r="E154" s="829" t="s">
        <v>304</v>
      </c>
      <c r="F154" s="960"/>
      <c r="G154" s="960"/>
      <c r="H154" s="960"/>
      <c r="I154" s="960"/>
      <c r="J154" s="960"/>
      <c r="K154" s="960"/>
      <c r="L154" s="960"/>
      <c r="M154" s="960"/>
      <c r="N154" s="960"/>
      <c r="O154" s="960"/>
      <c r="P154" s="960"/>
      <c r="Q154" s="960"/>
      <c r="R154" s="941">
        <f>(0.4*12)+(12*0.1)</f>
        <v>6.0000000000000009</v>
      </c>
      <c r="S154" s="963"/>
      <c r="T154" s="847">
        <f t="shared" si="18"/>
        <v>6.0000000000000009</v>
      </c>
      <c r="U154" s="941">
        <f>T154</f>
        <v>6.0000000000000009</v>
      </c>
      <c r="V154" s="779" t="s">
        <v>437</v>
      </c>
      <c r="W154" s="3"/>
      <c r="X154" s="3"/>
    </row>
    <row r="155" spans="1:24" ht="39.75" customHeight="1">
      <c r="A155" s="736"/>
      <c r="B155" s="829" t="s">
        <v>306</v>
      </c>
      <c r="C155" s="829" t="s">
        <v>307</v>
      </c>
      <c r="D155" s="829">
        <v>147</v>
      </c>
      <c r="E155" s="829" t="s">
        <v>157</v>
      </c>
      <c r="F155" s="960"/>
      <c r="G155" s="960"/>
      <c r="H155" s="960"/>
      <c r="I155" s="960"/>
      <c r="J155" s="960"/>
      <c r="K155" s="960"/>
      <c r="L155" s="960"/>
      <c r="M155" s="960"/>
      <c r="N155" s="960"/>
      <c r="O155" s="960"/>
      <c r="P155" s="960"/>
      <c r="Q155" s="960"/>
      <c r="R155" s="960"/>
      <c r="S155" s="960"/>
      <c r="T155" s="847">
        <f t="shared" si="18"/>
        <v>0</v>
      </c>
      <c r="U155" s="847">
        <f t="shared" ref="U155:U156" si="24">T155+T155*5/100</f>
        <v>0</v>
      </c>
      <c r="V155" s="485"/>
      <c r="W155" s="3"/>
      <c r="X155" s="3"/>
    </row>
    <row r="156" spans="1:24" ht="39.75" customHeight="1">
      <c r="A156" s="736"/>
      <c r="B156" s="829" t="s">
        <v>308</v>
      </c>
      <c r="C156" s="829" t="s">
        <v>309</v>
      </c>
      <c r="D156" s="829">
        <v>148</v>
      </c>
      <c r="E156" s="829" t="s">
        <v>310</v>
      </c>
      <c r="F156" s="960"/>
      <c r="G156" s="960"/>
      <c r="H156" s="960"/>
      <c r="I156" s="960"/>
      <c r="J156" s="960"/>
      <c r="K156" s="960"/>
      <c r="L156" s="960"/>
      <c r="M156" s="960"/>
      <c r="N156" s="961"/>
      <c r="O156" s="960"/>
      <c r="P156" s="961"/>
      <c r="Q156" s="960"/>
      <c r="R156" s="960"/>
      <c r="S156" s="960"/>
      <c r="T156" s="847">
        <f t="shared" si="18"/>
        <v>0</v>
      </c>
      <c r="U156" s="847">
        <f t="shared" si="24"/>
        <v>0</v>
      </c>
      <c r="V156" s="749"/>
      <c r="W156" s="3"/>
      <c r="X156" s="3"/>
    </row>
    <row r="157" spans="1:24" ht="60">
      <c r="A157" s="736"/>
      <c r="B157" s="829" t="s">
        <v>311</v>
      </c>
      <c r="C157" s="829" t="s">
        <v>312</v>
      </c>
      <c r="D157" s="829">
        <v>149</v>
      </c>
      <c r="E157" s="829" t="s">
        <v>313</v>
      </c>
      <c r="F157" s="882"/>
      <c r="G157" s="882"/>
      <c r="H157" s="882"/>
      <c r="I157" s="882"/>
      <c r="J157" s="882"/>
      <c r="K157" s="882"/>
      <c r="L157" s="882"/>
      <c r="M157" s="882"/>
      <c r="N157" s="882"/>
      <c r="O157" s="882"/>
      <c r="P157" s="961">
        <f>(4*1.75)+(1*1)+(0.05*70)</f>
        <v>11.5</v>
      </c>
      <c r="Q157" s="882"/>
      <c r="R157" s="882"/>
      <c r="S157" s="882"/>
      <c r="T157" s="847">
        <f t="shared" si="18"/>
        <v>11.5</v>
      </c>
      <c r="U157" s="961">
        <f>(4*1.75)+(1*1)+(0.05*75)</f>
        <v>11.75</v>
      </c>
      <c r="V157" s="779" t="s">
        <v>1601</v>
      </c>
      <c r="W157" s="3"/>
      <c r="X157" s="3"/>
    </row>
    <row r="158" spans="1:24" ht="39.75" customHeight="1">
      <c r="A158" s="736"/>
      <c r="B158" s="948" t="s">
        <v>315</v>
      </c>
      <c r="C158" s="736"/>
      <c r="D158" s="736"/>
      <c r="E158" s="949"/>
      <c r="F158" s="949">
        <f t="shared" ref="F158:U158" si="25">SUM(F135:F157)</f>
        <v>0</v>
      </c>
      <c r="G158" s="949">
        <f t="shared" si="25"/>
        <v>0</v>
      </c>
      <c r="H158" s="949">
        <f t="shared" si="25"/>
        <v>0</v>
      </c>
      <c r="I158" s="949">
        <f t="shared" si="25"/>
        <v>0</v>
      </c>
      <c r="J158" s="949">
        <f t="shared" si="25"/>
        <v>0</v>
      </c>
      <c r="K158" s="949">
        <f t="shared" si="25"/>
        <v>0</v>
      </c>
      <c r="L158" s="949">
        <f t="shared" si="25"/>
        <v>0</v>
      </c>
      <c r="M158" s="949">
        <f t="shared" si="25"/>
        <v>0</v>
      </c>
      <c r="N158" s="949">
        <f t="shared" si="25"/>
        <v>0.7</v>
      </c>
      <c r="O158" s="949">
        <f t="shared" si="25"/>
        <v>0</v>
      </c>
      <c r="P158" s="949">
        <f t="shared" si="25"/>
        <v>760.83246999999994</v>
      </c>
      <c r="Q158" s="949">
        <f t="shared" si="25"/>
        <v>3.75</v>
      </c>
      <c r="R158" s="949">
        <f t="shared" si="25"/>
        <v>6.0000000000000009</v>
      </c>
      <c r="S158" s="949">
        <f t="shared" si="25"/>
        <v>0</v>
      </c>
      <c r="T158" s="951">
        <f t="shared" si="25"/>
        <v>771.28246999999988</v>
      </c>
      <c r="U158" s="951">
        <f t="shared" si="25"/>
        <v>819.22479830899988</v>
      </c>
      <c r="V158" s="486"/>
      <c r="W158" s="54"/>
      <c r="X158" s="54"/>
    </row>
    <row r="159" spans="1:24" ht="165">
      <c r="A159" s="831" t="s">
        <v>316</v>
      </c>
      <c r="B159" s="828" t="s">
        <v>317</v>
      </c>
      <c r="C159" s="828" t="s">
        <v>269</v>
      </c>
      <c r="D159" s="912">
        <v>150</v>
      </c>
      <c r="E159" s="829" t="s">
        <v>318</v>
      </c>
      <c r="F159" s="836"/>
      <c r="G159" s="837"/>
      <c r="H159" s="837"/>
      <c r="I159" s="836"/>
      <c r="J159" s="836"/>
      <c r="K159" s="836"/>
      <c r="L159" s="836"/>
      <c r="M159" s="836"/>
      <c r="N159" s="835">
        <v>13.2</v>
      </c>
      <c r="O159" s="836">
        <v>234.12</v>
      </c>
      <c r="P159" s="837"/>
      <c r="Q159" s="836">
        <v>1</v>
      </c>
      <c r="R159" s="836"/>
      <c r="S159" s="836"/>
      <c r="T159" s="847">
        <f t="shared" ref="T159:T205" si="26">SUM(F159:S159)</f>
        <v>248.32</v>
      </c>
      <c r="U159" s="847">
        <f t="shared" ref="U159:U160" si="27">T159</f>
        <v>248.32</v>
      </c>
      <c r="V159" s="749" t="s">
        <v>1602</v>
      </c>
      <c r="W159" s="3"/>
      <c r="X159" s="3"/>
    </row>
    <row r="160" spans="1:24" ht="150">
      <c r="A160" s="736"/>
      <c r="B160" s="736"/>
      <c r="C160" s="736"/>
      <c r="D160" s="912">
        <v>151</v>
      </c>
      <c r="E160" s="829" t="s">
        <v>319</v>
      </c>
      <c r="F160" s="836"/>
      <c r="G160" s="837"/>
      <c r="H160" s="837"/>
      <c r="I160" s="835"/>
      <c r="J160" s="836"/>
      <c r="K160" s="836"/>
      <c r="L160" s="836"/>
      <c r="M160" s="836"/>
      <c r="N160" s="835"/>
      <c r="O160" s="837"/>
      <c r="P160" s="885">
        <v>14.37</v>
      </c>
      <c r="Q160" s="886"/>
      <c r="R160" s="885">
        <v>2</v>
      </c>
      <c r="S160" s="836"/>
      <c r="T160" s="847">
        <f t="shared" si="26"/>
        <v>16.369999999999997</v>
      </c>
      <c r="U160" s="847">
        <f t="shared" si="27"/>
        <v>16.369999999999997</v>
      </c>
      <c r="V160" s="744" t="s">
        <v>438</v>
      </c>
      <c r="W160" s="3"/>
      <c r="X160" s="3"/>
    </row>
    <row r="161" spans="1:24" ht="54.75" customHeight="1">
      <c r="A161" s="736"/>
      <c r="B161" s="736"/>
      <c r="C161" s="736"/>
      <c r="D161" s="912">
        <v>152</v>
      </c>
      <c r="E161" s="829" t="s">
        <v>321</v>
      </c>
      <c r="F161" s="836"/>
      <c r="G161" s="836"/>
      <c r="H161" s="836"/>
      <c r="I161" s="836"/>
      <c r="J161" s="836"/>
      <c r="K161" s="836"/>
      <c r="L161" s="836"/>
      <c r="M161" s="836"/>
      <c r="N161" s="836"/>
      <c r="O161" s="836"/>
      <c r="P161" s="837"/>
      <c r="Q161" s="836"/>
      <c r="R161" s="836"/>
      <c r="S161" s="836"/>
      <c r="T161" s="847">
        <f t="shared" si="26"/>
        <v>0</v>
      </c>
      <c r="U161" s="847">
        <f t="shared" ref="U161:U162" si="28">T161+T161*5/100</f>
        <v>0</v>
      </c>
      <c r="V161" s="744"/>
      <c r="W161" s="3"/>
      <c r="X161" s="3"/>
    </row>
    <row r="162" spans="1:24" ht="39.75" customHeight="1">
      <c r="A162" s="736"/>
      <c r="B162" s="736"/>
      <c r="C162" s="736"/>
      <c r="D162" s="829">
        <v>153</v>
      </c>
      <c r="E162" s="829" t="s">
        <v>322</v>
      </c>
      <c r="F162" s="865"/>
      <c r="G162" s="865"/>
      <c r="H162" s="865"/>
      <c r="I162" s="865"/>
      <c r="J162" s="865"/>
      <c r="K162" s="865"/>
      <c r="L162" s="865"/>
      <c r="M162" s="865"/>
      <c r="N162" s="835"/>
      <c r="O162" s="865"/>
      <c r="P162" s="865"/>
      <c r="Q162" s="865"/>
      <c r="R162" s="865"/>
      <c r="S162" s="865"/>
      <c r="T162" s="847">
        <f t="shared" si="26"/>
        <v>0</v>
      </c>
      <c r="U162" s="847">
        <f t="shared" si="28"/>
        <v>0</v>
      </c>
      <c r="V162" s="744"/>
      <c r="W162" s="3"/>
      <c r="X162" s="3"/>
    </row>
    <row r="163" spans="1:24" ht="45">
      <c r="A163" s="736"/>
      <c r="B163" s="828" t="s">
        <v>324</v>
      </c>
      <c r="C163" s="828" t="s">
        <v>325</v>
      </c>
      <c r="D163" s="829">
        <v>154</v>
      </c>
      <c r="E163" s="829" t="s">
        <v>326</v>
      </c>
      <c r="F163" s="829"/>
      <c r="G163" s="829"/>
      <c r="H163" s="829"/>
      <c r="I163" s="829"/>
      <c r="J163" s="829"/>
      <c r="K163" s="847"/>
      <c r="L163" s="829"/>
      <c r="M163" s="847"/>
      <c r="N163" s="829"/>
      <c r="O163" s="829"/>
      <c r="P163" s="829"/>
      <c r="Q163" s="845">
        <v>0.15</v>
      </c>
      <c r="R163" s="829"/>
      <c r="S163" s="829"/>
      <c r="T163" s="847">
        <f t="shared" si="26"/>
        <v>0.15</v>
      </c>
      <c r="U163" s="847">
        <f>T163</f>
        <v>0.15</v>
      </c>
      <c r="V163" s="744" t="s">
        <v>327</v>
      </c>
      <c r="W163" s="3"/>
      <c r="X163" s="3"/>
    </row>
    <row r="164" spans="1:24" ht="39.75" customHeight="1">
      <c r="A164" s="736"/>
      <c r="B164" s="736"/>
      <c r="C164" s="736"/>
      <c r="D164" s="829">
        <v>155</v>
      </c>
      <c r="E164" s="829" t="s">
        <v>328</v>
      </c>
      <c r="F164" s="829"/>
      <c r="G164" s="829"/>
      <c r="H164" s="829"/>
      <c r="I164" s="829"/>
      <c r="J164" s="829"/>
      <c r="K164" s="829"/>
      <c r="L164" s="829"/>
      <c r="M164" s="829"/>
      <c r="N164" s="836"/>
      <c r="O164" s="829"/>
      <c r="P164" s="845"/>
      <c r="Q164" s="829"/>
      <c r="R164" s="829"/>
      <c r="S164" s="829"/>
      <c r="T164" s="847">
        <f t="shared" si="26"/>
        <v>0</v>
      </c>
      <c r="U164" s="847">
        <f>T164+T164*5/100</f>
        <v>0</v>
      </c>
      <c r="V164" s="744"/>
      <c r="W164" s="3"/>
      <c r="X164" s="3"/>
    </row>
    <row r="165" spans="1:24" ht="39.75" customHeight="1">
      <c r="A165" s="736"/>
      <c r="B165" s="736"/>
      <c r="C165" s="736"/>
      <c r="D165" s="829">
        <v>156</v>
      </c>
      <c r="E165" s="829" t="s">
        <v>329</v>
      </c>
      <c r="F165" s="829"/>
      <c r="G165" s="829"/>
      <c r="H165" s="845"/>
      <c r="I165" s="847"/>
      <c r="J165" s="829"/>
      <c r="K165" s="829"/>
      <c r="L165" s="829"/>
      <c r="M165" s="829"/>
      <c r="N165" s="829"/>
      <c r="O165" s="829"/>
      <c r="P165" s="845">
        <v>1</v>
      </c>
      <c r="Q165" s="829"/>
      <c r="R165" s="829"/>
      <c r="S165" s="829"/>
      <c r="T165" s="847">
        <f t="shared" si="26"/>
        <v>1</v>
      </c>
      <c r="U165" s="847">
        <f>T165</f>
        <v>1</v>
      </c>
      <c r="V165" s="738" t="s">
        <v>439</v>
      </c>
      <c r="W165" s="3"/>
      <c r="X165" s="3"/>
    </row>
    <row r="166" spans="1:24" ht="39.75" customHeight="1">
      <c r="A166" s="736"/>
      <c r="B166" s="736"/>
      <c r="C166" s="736"/>
      <c r="D166" s="829">
        <v>157</v>
      </c>
      <c r="E166" s="829" t="s">
        <v>331</v>
      </c>
      <c r="F166" s="829"/>
      <c r="G166" s="829"/>
      <c r="H166" s="829"/>
      <c r="I166" s="829"/>
      <c r="J166" s="829"/>
      <c r="K166" s="829"/>
      <c r="L166" s="829"/>
      <c r="M166" s="829"/>
      <c r="N166" s="829"/>
      <c r="O166" s="829"/>
      <c r="P166" s="829"/>
      <c r="Q166" s="829"/>
      <c r="R166" s="829"/>
      <c r="S166" s="829"/>
      <c r="T166" s="847">
        <f t="shared" si="26"/>
        <v>0</v>
      </c>
      <c r="U166" s="847">
        <f t="shared" ref="U166:U167" si="29">T166+T166*5/100</f>
        <v>0</v>
      </c>
      <c r="V166" s="744"/>
      <c r="W166" s="3"/>
      <c r="X166" s="3"/>
    </row>
    <row r="167" spans="1:24" ht="39.75" customHeight="1">
      <c r="A167" s="736"/>
      <c r="B167" s="736"/>
      <c r="C167" s="736"/>
      <c r="D167" s="829">
        <v>158</v>
      </c>
      <c r="E167" s="829" t="s">
        <v>332</v>
      </c>
      <c r="F167" s="829"/>
      <c r="G167" s="829"/>
      <c r="H167" s="829"/>
      <c r="I167" s="829"/>
      <c r="J167" s="829"/>
      <c r="K167" s="829"/>
      <c r="L167" s="829"/>
      <c r="M167" s="829"/>
      <c r="N167" s="829"/>
      <c r="O167" s="829"/>
      <c r="P167" s="829"/>
      <c r="Q167" s="847"/>
      <c r="R167" s="829"/>
      <c r="S167" s="829"/>
      <c r="T167" s="847">
        <f t="shared" si="26"/>
        <v>0</v>
      </c>
      <c r="U167" s="847">
        <f t="shared" si="29"/>
        <v>0</v>
      </c>
      <c r="V167" s="744"/>
      <c r="W167" s="3"/>
      <c r="X167" s="3"/>
    </row>
    <row r="168" spans="1:24" ht="105.75" customHeight="1">
      <c r="A168" s="736"/>
      <c r="B168" s="828" t="s">
        <v>333</v>
      </c>
      <c r="C168" s="828" t="s">
        <v>275</v>
      </c>
      <c r="D168" s="829">
        <v>159</v>
      </c>
      <c r="E168" s="829" t="s">
        <v>276</v>
      </c>
      <c r="F168" s="829"/>
      <c r="G168" s="829"/>
      <c r="H168" s="829"/>
      <c r="I168" s="829"/>
      <c r="J168" s="829"/>
      <c r="K168" s="847"/>
      <c r="L168" s="829"/>
      <c r="M168" s="829"/>
      <c r="N168" s="845">
        <v>33.82</v>
      </c>
      <c r="O168" s="845">
        <v>505.79</v>
      </c>
      <c r="P168" s="845">
        <v>47.963999999999999</v>
      </c>
      <c r="Q168" s="920">
        <v>4.4509999999999996</v>
      </c>
      <c r="R168" s="829"/>
      <c r="S168" s="829"/>
      <c r="T168" s="847">
        <f t="shared" si="26"/>
        <v>592.02500000000009</v>
      </c>
      <c r="U168" s="728">
        <f>T168+2</f>
        <v>594.02500000000009</v>
      </c>
      <c r="V168" s="744" t="s">
        <v>1603</v>
      </c>
      <c r="W168" s="3"/>
      <c r="X168" s="3"/>
    </row>
    <row r="169" spans="1:24" ht="39.75" customHeight="1">
      <c r="A169" s="736"/>
      <c r="B169" s="736"/>
      <c r="C169" s="736"/>
      <c r="D169" s="829">
        <v>160</v>
      </c>
      <c r="E169" s="829" t="s">
        <v>334</v>
      </c>
      <c r="F169" s="829"/>
      <c r="G169" s="829"/>
      <c r="H169" s="829"/>
      <c r="I169" s="829"/>
      <c r="J169" s="829"/>
      <c r="K169" s="829"/>
      <c r="L169" s="829"/>
      <c r="M169" s="829"/>
      <c r="N169" s="829"/>
      <c r="O169" s="829"/>
      <c r="P169" s="829"/>
      <c r="Q169" s="829"/>
      <c r="R169" s="829"/>
      <c r="S169" s="829"/>
      <c r="T169" s="847">
        <f t="shared" si="26"/>
        <v>0</v>
      </c>
      <c r="U169" s="847">
        <f t="shared" ref="U169:U171" si="30">T169+T169*5/100</f>
        <v>0</v>
      </c>
      <c r="V169" s="744"/>
      <c r="W169" s="3"/>
      <c r="X169" s="3"/>
    </row>
    <row r="170" spans="1:24" ht="39.75" customHeight="1">
      <c r="A170" s="736"/>
      <c r="B170" s="736"/>
      <c r="C170" s="736"/>
      <c r="D170" s="829">
        <v>161</v>
      </c>
      <c r="E170" s="829" t="s">
        <v>279</v>
      </c>
      <c r="F170" s="829"/>
      <c r="G170" s="829"/>
      <c r="H170" s="829"/>
      <c r="I170" s="829"/>
      <c r="J170" s="829"/>
      <c r="K170" s="829"/>
      <c r="L170" s="829"/>
      <c r="M170" s="829"/>
      <c r="N170" s="829"/>
      <c r="O170" s="829"/>
      <c r="P170" s="829"/>
      <c r="Q170" s="829"/>
      <c r="R170" s="829"/>
      <c r="S170" s="829"/>
      <c r="T170" s="847">
        <f t="shared" si="26"/>
        <v>0</v>
      </c>
      <c r="U170" s="847">
        <f t="shared" si="30"/>
        <v>0</v>
      </c>
      <c r="V170" s="744"/>
      <c r="W170" s="3"/>
      <c r="X170" s="3"/>
    </row>
    <row r="171" spans="1:24" ht="39.75" customHeight="1">
      <c r="A171" s="736"/>
      <c r="B171" s="736"/>
      <c r="C171" s="736"/>
      <c r="D171" s="829">
        <v>162</v>
      </c>
      <c r="E171" s="829" t="s">
        <v>280</v>
      </c>
      <c r="F171" s="829"/>
      <c r="G171" s="829"/>
      <c r="H171" s="829"/>
      <c r="I171" s="829"/>
      <c r="J171" s="829"/>
      <c r="K171" s="829"/>
      <c r="L171" s="829"/>
      <c r="M171" s="829"/>
      <c r="N171" s="829"/>
      <c r="O171" s="829"/>
      <c r="P171" s="829"/>
      <c r="Q171" s="829"/>
      <c r="R171" s="829"/>
      <c r="S171" s="829"/>
      <c r="T171" s="847">
        <f t="shared" si="26"/>
        <v>0</v>
      </c>
      <c r="U171" s="847">
        <f t="shared" si="30"/>
        <v>0</v>
      </c>
      <c r="V171" s="744"/>
      <c r="W171" s="3"/>
      <c r="X171" s="3"/>
    </row>
    <row r="172" spans="1:24" ht="82.5" customHeight="1">
      <c r="A172" s="736"/>
      <c r="B172" s="736"/>
      <c r="C172" s="736"/>
      <c r="D172" s="829">
        <v>163</v>
      </c>
      <c r="E172" s="829" t="s">
        <v>335</v>
      </c>
      <c r="F172" s="829"/>
      <c r="G172" s="829"/>
      <c r="H172" s="829"/>
      <c r="I172" s="829"/>
      <c r="J172" s="829"/>
      <c r="K172" s="829"/>
      <c r="L172" s="829"/>
      <c r="M172" s="829"/>
      <c r="N172" s="829"/>
      <c r="O172" s="845">
        <v>9.7550000000000008</v>
      </c>
      <c r="P172" s="845">
        <v>0</v>
      </c>
      <c r="Q172" s="847">
        <v>6.73</v>
      </c>
      <c r="R172" s="829"/>
      <c r="S172" s="829"/>
      <c r="T172" s="847">
        <f t="shared" si="26"/>
        <v>16.484999999999999</v>
      </c>
      <c r="U172" s="847">
        <f>T172</f>
        <v>16.484999999999999</v>
      </c>
      <c r="V172" s="738" t="s">
        <v>440</v>
      </c>
      <c r="W172" s="3"/>
      <c r="X172" s="3"/>
    </row>
    <row r="173" spans="1:24" ht="39.75" customHeight="1">
      <c r="A173" s="736"/>
      <c r="B173" s="828" t="s">
        <v>336</v>
      </c>
      <c r="C173" s="828" t="s">
        <v>337</v>
      </c>
      <c r="D173" s="829">
        <v>164</v>
      </c>
      <c r="E173" s="829" t="s">
        <v>338</v>
      </c>
      <c r="F173" s="829"/>
      <c r="G173" s="845"/>
      <c r="H173" s="845"/>
      <c r="I173" s="829"/>
      <c r="J173" s="829"/>
      <c r="K173" s="829"/>
      <c r="L173" s="829"/>
      <c r="M173" s="829"/>
      <c r="N173" s="829"/>
      <c r="O173" s="829"/>
      <c r="P173" s="829"/>
      <c r="Q173" s="829"/>
      <c r="R173" s="829"/>
      <c r="S173" s="829"/>
      <c r="T173" s="847">
        <f t="shared" si="26"/>
        <v>0</v>
      </c>
      <c r="U173" s="847">
        <f t="shared" ref="U173:U183" si="31">T173+T173*5/100</f>
        <v>0</v>
      </c>
      <c r="V173" s="744"/>
      <c r="W173" s="3"/>
      <c r="X173" s="3"/>
    </row>
    <row r="174" spans="1:24" ht="39.75" customHeight="1">
      <c r="A174" s="736"/>
      <c r="B174" s="736"/>
      <c r="C174" s="736"/>
      <c r="D174" s="829">
        <v>165</v>
      </c>
      <c r="E174" s="829" t="s">
        <v>339</v>
      </c>
      <c r="F174" s="829"/>
      <c r="G174" s="845"/>
      <c r="H174" s="845"/>
      <c r="I174" s="829"/>
      <c r="J174" s="829"/>
      <c r="K174" s="829"/>
      <c r="L174" s="829"/>
      <c r="M174" s="829"/>
      <c r="N174" s="829"/>
      <c r="O174" s="829"/>
      <c r="P174" s="829"/>
      <c r="Q174" s="829"/>
      <c r="R174" s="829"/>
      <c r="S174" s="829"/>
      <c r="T174" s="847">
        <f t="shared" si="26"/>
        <v>0</v>
      </c>
      <c r="U174" s="847">
        <f t="shared" si="31"/>
        <v>0</v>
      </c>
      <c r="V174" s="744"/>
      <c r="W174" s="3"/>
      <c r="X174" s="3"/>
    </row>
    <row r="175" spans="1:24" ht="39.75" customHeight="1">
      <c r="A175" s="736"/>
      <c r="B175" s="736"/>
      <c r="C175" s="736"/>
      <c r="D175" s="829">
        <v>166</v>
      </c>
      <c r="E175" s="829" t="s">
        <v>340</v>
      </c>
      <c r="F175" s="829"/>
      <c r="G175" s="845"/>
      <c r="H175" s="845"/>
      <c r="I175" s="829"/>
      <c r="J175" s="829"/>
      <c r="K175" s="829"/>
      <c r="L175" s="829"/>
      <c r="M175" s="829"/>
      <c r="N175" s="829"/>
      <c r="O175" s="829"/>
      <c r="P175" s="829"/>
      <c r="Q175" s="829"/>
      <c r="R175" s="829"/>
      <c r="S175" s="829"/>
      <c r="T175" s="847">
        <f t="shared" si="26"/>
        <v>0</v>
      </c>
      <c r="U175" s="847">
        <f t="shared" si="31"/>
        <v>0</v>
      </c>
      <c r="V175" s="744"/>
      <c r="W175" s="3"/>
      <c r="X175" s="3"/>
    </row>
    <row r="176" spans="1:24" ht="39.75" customHeight="1">
      <c r="A176" s="736"/>
      <c r="B176" s="736"/>
      <c r="C176" s="736"/>
      <c r="D176" s="829">
        <v>167</v>
      </c>
      <c r="E176" s="829" t="s">
        <v>341</v>
      </c>
      <c r="F176" s="829"/>
      <c r="G176" s="845"/>
      <c r="H176" s="845"/>
      <c r="I176" s="829"/>
      <c r="J176" s="829"/>
      <c r="K176" s="829"/>
      <c r="L176" s="829"/>
      <c r="M176" s="829"/>
      <c r="N176" s="829"/>
      <c r="O176" s="829"/>
      <c r="P176" s="829"/>
      <c r="Q176" s="829"/>
      <c r="R176" s="829"/>
      <c r="S176" s="829"/>
      <c r="T176" s="847">
        <f t="shared" si="26"/>
        <v>0</v>
      </c>
      <c r="U176" s="847">
        <f t="shared" si="31"/>
        <v>0</v>
      </c>
      <c r="V176" s="744"/>
      <c r="W176" s="3"/>
      <c r="X176" s="3"/>
    </row>
    <row r="177" spans="1:24" ht="39.75" customHeight="1">
      <c r="A177" s="736"/>
      <c r="B177" s="736"/>
      <c r="C177" s="736"/>
      <c r="D177" s="829">
        <v>168</v>
      </c>
      <c r="E177" s="829" t="s">
        <v>342</v>
      </c>
      <c r="F177" s="829"/>
      <c r="G177" s="845"/>
      <c r="H177" s="845"/>
      <c r="I177" s="829"/>
      <c r="J177" s="829"/>
      <c r="K177" s="829"/>
      <c r="L177" s="829"/>
      <c r="M177" s="829"/>
      <c r="N177" s="829"/>
      <c r="O177" s="829"/>
      <c r="P177" s="829"/>
      <c r="Q177" s="829"/>
      <c r="R177" s="829"/>
      <c r="S177" s="829"/>
      <c r="T177" s="847">
        <f t="shared" si="26"/>
        <v>0</v>
      </c>
      <c r="U177" s="847">
        <f t="shared" si="31"/>
        <v>0</v>
      </c>
      <c r="V177" s="744"/>
      <c r="W177" s="3"/>
      <c r="X177" s="3"/>
    </row>
    <row r="178" spans="1:24" ht="39.75" customHeight="1">
      <c r="A178" s="736"/>
      <c r="B178" s="736"/>
      <c r="C178" s="736"/>
      <c r="D178" s="829">
        <v>169</v>
      </c>
      <c r="E178" s="829" t="s">
        <v>343</v>
      </c>
      <c r="F178" s="829"/>
      <c r="G178" s="845"/>
      <c r="H178" s="845"/>
      <c r="I178" s="847"/>
      <c r="J178" s="829"/>
      <c r="K178" s="829"/>
      <c r="L178" s="829"/>
      <c r="M178" s="829"/>
      <c r="N178" s="829"/>
      <c r="O178" s="829"/>
      <c r="P178" s="829"/>
      <c r="Q178" s="829"/>
      <c r="R178" s="829"/>
      <c r="S178" s="829"/>
      <c r="T178" s="847">
        <f t="shared" si="26"/>
        <v>0</v>
      </c>
      <c r="U178" s="847">
        <f t="shared" si="31"/>
        <v>0</v>
      </c>
      <c r="V178" s="744"/>
      <c r="W178" s="3"/>
      <c r="X178" s="3"/>
    </row>
    <row r="179" spans="1:24" ht="39.75" customHeight="1">
      <c r="A179" s="736"/>
      <c r="B179" s="736"/>
      <c r="C179" s="736"/>
      <c r="D179" s="829">
        <v>170</v>
      </c>
      <c r="E179" s="829" t="s">
        <v>344</v>
      </c>
      <c r="F179" s="829"/>
      <c r="G179" s="829"/>
      <c r="H179" s="829"/>
      <c r="I179" s="829"/>
      <c r="J179" s="829"/>
      <c r="K179" s="829"/>
      <c r="L179" s="829"/>
      <c r="M179" s="829"/>
      <c r="N179" s="829"/>
      <c r="O179" s="829"/>
      <c r="P179" s="829"/>
      <c r="Q179" s="829"/>
      <c r="R179" s="829"/>
      <c r="S179" s="829"/>
      <c r="T179" s="847">
        <f t="shared" si="26"/>
        <v>0</v>
      </c>
      <c r="U179" s="847">
        <f t="shared" si="31"/>
        <v>0</v>
      </c>
      <c r="V179" s="744"/>
      <c r="W179" s="3"/>
      <c r="X179" s="3"/>
    </row>
    <row r="180" spans="1:24" ht="39.75" customHeight="1">
      <c r="A180" s="736"/>
      <c r="B180" s="828" t="s">
        <v>345</v>
      </c>
      <c r="C180" s="828" t="s">
        <v>346</v>
      </c>
      <c r="D180" s="829">
        <v>171</v>
      </c>
      <c r="E180" s="829" t="s">
        <v>347</v>
      </c>
      <c r="F180" s="829"/>
      <c r="G180" s="829"/>
      <c r="H180" s="829"/>
      <c r="I180" s="829"/>
      <c r="J180" s="829"/>
      <c r="K180" s="829"/>
      <c r="L180" s="829"/>
      <c r="M180" s="829"/>
      <c r="N180" s="829"/>
      <c r="O180" s="829"/>
      <c r="P180" s="829"/>
      <c r="Q180" s="829"/>
      <c r="R180" s="829"/>
      <c r="S180" s="829"/>
      <c r="T180" s="847">
        <f t="shared" si="26"/>
        <v>0</v>
      </c>
      <c r="U180" s="847">
        <f t="shared" si="31"/>
        <v>0</v>
      </c>
      <c r="V180" s="744"/>
      <c r="W180" s="3"/>
      <c r="X180" s="3"/>
    </row>
    <row r="181" spans="1:24" ht="39.75" customHeight="1">
      <c r="A181" s="736"/>
      <c r="B181" s="736"/>
      <c r="C181" s="736"/>
      <c r="D181" s="829">
        <v>172</v>
      </c>
      <c r="E181" s="829" t="s">
        <v>348</v>
      </c>
      <c r="F181" s="829"/>
      <c r="G181" s="829"/>
      <c r="H181" s="829"/>
      <c r="I181" s="829"/>
      <c r="J181" s="829"/>
      <c r="K181" s="829"/>
      <c r="L181" s="829"/>
      <c r="M181" s="829"/>
      <c r="N181" s="829"/>
      <c r="O181" s="829"/>
      <c r="P181" s="847"/>
      <c r="Q181" s="829"/>
      <c r="R181" s="829"/>
      <c r="S181" s="829"/>
      <c r="T181" s="847">
        <f t="shared" si="26"/>
        <v>0</v>
      </c>
      <c r="U181" s="847">
        <f t="shared" si="31"/>
        <v>0</v>
      </c>
      <c r="V181" s="744"/>
      <c r="W181" s="3"/>
      <c r="X181" s="3"/>
    </row>
    <row r="182" spans="1:24" ht="39.75" customHeight="1">
      <c r="A182" s="736"/>
      <c r="B182" s="736"/>
      <c r="C182" s="736"/>
      <c r="D182" s="829">
        <v>173</v>
      </c>
      <c r="E182" s="829" t="s">
        <v>349</v>
      </c>
      <c r="F182" s="829"/>
      <c r="G182" s="829"/>
      <c r="H182" s="829"/>
      <c r="I182" s="829"/>
      <c r="J182" s="829"/>
      <c r="K182" s="829"/>
      <c r="L182" s="829"/>
      <c r="M182" s="829"/>
      <c r="N182" s="829"/>
      <c r="O182" s="829"/>
      <c r="P182" s="829"/>
      <c r="Q182" s="829"/>
      <c r="R182" s="829"/>
      <c r="S182" s="829"/>
      <c r="T182" s="847">
        <f t="shared" si="26"/>
        <v>0</v>
      </c>
      <c r="U182" s="847">
        <f t="shared" si="31"/>
        <v>0</v>
      </c>
      <c r="V182" s="744"/>
      <c r="W182" s="3"/>
      <c r="X182" s="3"/>
    </row>
    <row r="183" spans="1:24" ht="39.75" customHeight="1">
      <c r="A183" s="736"/>
      <c r="B183" s="736"/>
      <c r="C183" s="736"/>
      <c r="D183" s="829">
        <v>174</v>
      </c>
      <c r="E183" s="829" t="s">
        <v>350</v>
      </c>
      <c r="F183" s="829"/>
      <c r="G183" s="829"/>
      <c r="H183" s="829"/>
      <c r="I183" s="829"/>
      <c r="J183" s="829"/>
      <c r="K183" s="829"/>
      <c r="L183" s="829"/>
      <c r="M183" s="829"/>
      <c r="N183" s="829"/>
      <c r="O183" s="829"/>
      <c r="P183" s="847"/>
      <c r="Q183" s="829"/>
      <c r="R183" s="829"/>
      <c r="S183" s="829"/>
      <c r="T183" s="847">
        <f t="shared" si="26"/>
        <v>0</v>
      </c>
      <c r="U183" s="847">
        <f t="shared" si="31"/>
        <v>0</v>
      </c>
      <c r="V183" s="744"/>
      <c r="W183" s="3"/>
      <c r="X183" s="3"/>
    </row>
    <row r="184" spans="1:24" ht="409.6">
      <c r="A184" s="736"/>
      <c r="B184" s="828" t="s">
        <v>351</v>
      </c>
      <c r="C184" s="828" t="s">
        <v>290</v>
      </c>
      <c r="D184" s="829">
        <v>175</v>
      </c>
      <c r="E184" s="829" t="s">
        <v>291</v>
      </c>
      <c r="F184" s="913"/>
      <c r="G184" s="913"/>
      <c r="H184" s="913">
        <v>0</v>
      </c>
      <c r="I184" s="914">
        <v>9.6</v>
      </c>
      <c r="J184" s="913"/>
      <c r="K184" s="913"/>
      <c r="L184" s="913"/>
      <c r="M184" s="913"/>
      <c r="N184" s="915">
        <v>11.94</v>
      </c>
      <c r="O184" s="913"/>
      <c r="P184" s="966">
        <f>5+27.08</f>
        <v>32.08</v>
      </c>
      <c r="Q184" s="915">
        <v>1</v>
      </c>
      <c r="R184" s="914">
        <v>0.79</v>
      </c>
      <c r="S184" s="914"/>
      <c r="T184" s="847">
        <f t="shared" si="26"/>
        <v>55.41</v>
      </c>
      <c r="U184" s="847">
        <f t="shared" ref="U184:U186" si="32">T184</f>
        <v>55.41</v>
      </c>
      <c r="V184" s="488" t="s">
        <v>441</v>
      </c>
      <c r="W184" s="3"/>
      <c r="X184" s="3"/>
    </row>
    <row r="185" spans="1:24" ht="409.5" customHeight="1">
      <c r="A185" s="736"/>
      <c r="B185" s="736"/>
      <c r="C185" s="736"/>
      <c r="D185" s="829">
        <v>176</v>
      </c>
      <c r="E185" s="829" t="s">
        <v>293</v>
      </c>
      <c r="F185" s="913"/>
      <c r="G185" s="913"/>
      <c r="H185" s="913"/>
      <c r="I185" s="913"/>
      <c r="J185" s="913"/>
      <c r="K185" s="913"/>
      <c r="L185" s="913"/>
      <c r="M185" s="914">
        <v>23.2</v>
      </c>
      <c r="N185" s="913"/>
      <c r="O185" s="913"/>
      <c r="P185" s="914">
        <v>62.85</v>
      </c>
      <c r="Q185" s="480">
        <v>8.0500000000000007</v>
      </c>
      <c r="R185" s="913"/>
      <c r="S185" s="913"/>
      <c r="T185" s="847">
        <f t="shared" si="26"/>
        <v>94.1</v>
      </c>
      <c r="U185" s="847">
        <f t="shared" si="32"/>
        <v>94.1</v>
      </c>
      <c r="V185" s="489" t="s">
        <v>442</v>
      </c>
      <c r="W185" s="3"/>
      <c r="X185" s="3"/>
    </row>
    <row r="186" spans="1:24" ht="69.75" customHeight="1">
      <c r="A186" s="736"/>
      <c r="B186" s="736"/>
      <c r="C186" s="736"/>
      <c r="D186" s="829">
        <v>177</v>
      </c>
      <c r="E186" s="829" t="s">
        <v>295</v>
      </c>
      <c r="F186" s="913"/>
      <c r="G186" s="913"/>
      <c r="H186" s="913"/>
      <c r="I186" s="913"/>
      <c r="J186" s="913"/>
      <c r="K186" s="913"/>
      <c r="L186" s="913"/>
      <c r="M186" s="913"/>
      <c r="N186" s="915">
        <v>1</v>
      </c>
      <c r="O186" s="913"/>
      <c r="P186" s="913"/>
      <c r="Q186" s="913"/>
      <c r="R186" s="913"/>
      <c r="S186" s="913"/>
      <c r="T186" s="847">
        <f t="shared" si="26"/>
        <v>1</v>
      </c>
      <c r="U186" s="847">
        <f t="shared" si="32"/>
        <v>1</v>
      </c>
      <c r="V186" s="770" t="s">
        <v>352</v>
      </c>
      <c r="W186" s="3"/>
      <c r="X186" s="3"/>
    </row>
    <row r="187" spans="1:24" ht="60">
      <c r="A187" s="736"/>
      <c r="B187" s="828" t="s">
        <v>353</v>
      </c>
      <c r="C187" s="828" t="s">
        <v>354</v>
      </c>
      <c r="D187" s="829">
        <v>178</v>
      </c>
      <c r="E187" s="829" t="s">
        <v>355</v>
      </c>
      <c r="F187" s="829"/>
      <c r="G187" s="829"/>
      <c r="H187" s="829"/>
      <c r="I187" s="829"/>
      <c r="J187" s="829"/>
      <c r="K187" s="829"/>
      <c r="L187" s="829"/>
      <c r="M187" s="829"/>
      <c r="N187" s="829"/>
      <c r="O187" s="829"/>
      <c r="P187" s="847">
        <v>1.5</v>
      </c>
      <c r="Q187" s="829"/>
      <c r="R187" s="829"/>
      <c r="S187" s="829"/>
      <c r="T187" s="847">
        <f t="shared" si="26"/>
        <v>1.5</v>
      </c>
      <c r="U187" s="847">
        <f>T187</f>
        <v>1.5</v>
      </c>
      <c r="V187" s="744" t="s">
        <v>1857</v>
      </c>
      <c r="W187" s="3"/>
      <c r="X187" s="3"/>
    </row>
    <row r="188" spans="1:24" ht="39.75" customHeight="1">
      <c r="A188" s="736"/>
      <c r="B188" s="736"/>
      <c r="C188" s="736"/>
      <c r="D188" s="829">
        <v>179</v>
      </c>
      <c r="E188" s="829" t="s">
        <v>157</v>
      </c>
      <c r="F188" s="829"/>
      <c r="G188" s="829"/>
      <c r="H188" s="829"/>
      <c r="I188" s="829"/>
      <c r="J188" s="829"/>
      <c r="K188" s="829"/>
      <c r="L188" s="829"/>
      <c r="M188" s="829"/>
      <c r="N188" s="829"/>
      <c r="O188" s="829"/>
      <c r="P188" s="829"/>
      <c r="Q188" s="829"/>
      <c r="R188" s="829"/>
      <c r="S188" s="829"/>
      <c r="T188" s="847">
        <f t="shared" si="26"/>
        <v>0</v>
      </c>
      <c r="U188" s="847">
        <f t="shared" ref="U187:U190" si="33">T188+T188*5/100</f>
        <v>0</v>
      </c>
      <c r="V188" s="744"/>
      <c r="W188" s="3"/>
      <c r="X188" s="3"/>
    </row>
    <row r="189" spans="1:24" ht="39.75" customHeight="1">
      <c r="A189" s="736"/>
      <c r="B189" s="736"/>
      <c r="C189" s="736"/>
      <c r="D189" s="829">
        <v>180</v>
      </c>
      <c r="E189" s="829" t="s">
        <v>356</v>
      </c>
      <c r="F189" s="829"/>
      <c r="G189" s="829"/>
      <c r="H189" s="829"/>
      <c r="I189" s="829"/>
      <c r="J189" s="829"/>
      <c r="K189" s="847"/>
      <c r="L189" s="829"/>
      <c r="M189" s="829"/>
      <c r="N189" s="829"/>
      <c r="O189" s="829"/>
      <c r="P189" s="845"/>
      <c r="Q189" s="829"/>
      <c r="R189" s="829"/>
      <c r="S189" s="829"/>
      <c r="T189" s="847">
        <f t="shared" si="26"/>
        <v>0</v>
      </c>
      <c r="U189" s="847">
        <f t="shared" si="33"/>
        <v>0</v>
      </c>
      <c r="V189" s="744"/>
      <c r="W189" s="3"/>
      <c r="X189" s="3"/>
    </row>
    <row r="190" spans="1:24" ht="39.75" customHeight="1">
      <c r="A190" s="736"/>
      <c r="B190" s="736"/>
      <c r="C190" s="736"/>
      <c r="D190" s="829">
        <v>181</v>
      </c>
      <c r="E190" s="829" t="s">
        <v>357</v>
      </c>
      <c r="F190" s="829"/>
      <c r="G190" s="829"/>
      <c r="H190" s="829"/>
      <c r="I190" s="829"/>
      <c r="J190" s="829"/>
      <c r="K190" s="829"/>
      <c r="L190" s="829"/>
      <c r="M190" s="829"/>
      <c r="N190" s="829"/>
      <c r="O190" s="829"/>
      <c r="P190" s="829"/>
      <c r="Q190" s="829"/>
      <c r="R190" s="829"/>
      <c r="S190" s="829"/>
      <c r="T190" s="847">
        <f t="shared" si="26"/>
        <v>0</v>
      </c>
      <c r="U190" s="847">
        <f t="shared" si="33"/>
        <v>0</v>
      </c>
      <c r="V190" s="744"/>
      <c r="W190" s="3"/>
      <c r="X190" s="3"/>
    </row>
    <row r="191" spans="1:24" ht="39.75" customHeight="1">
      <c r="A191" s="736"/>
      <c r="B191" s="736"/>
      <c r="C191" s="736"/>
      <c r="D191" s="829">
        <v>182</v>
      </c>
      <c r="E191" s="829" t="s">
        <v>358</v>
      </c>
      <c r="F191" s="829"/>
      <c r="G191" s="829"/>
      <c r="H191" s="829"/>
      <c r="I191" s="829"/>
      <c r="J191" s="829"/>
      <c r="K191" s="829"/>
      <c r="L191" s="829"/>
      <c r="M191" s="829"/>
      <c r="N191" s="829"/>
      <c r="O191" s="829"/>
      <c r="P191" s="847"/>
      <c r="Q191" s="829"/>
      <c r="R191" s="829"/>
      <c r="S191" s="829"/>
      <c r="T191" s="847">
        <f t="shared" si="26"/>
        <v>0</v>
      </c>
      <c r="U191" s="728">
        <f>T191*1.05</f>
        <v>0</v>
      </c>
      <c r="V191" s="744"/>
      <c r="W191" s="3"/>
      <c r="X191" s="3"/>
    </row>
    <row r="192" spans="1:24" ht="39.75" customHeight="1">
      <c r="A192" s="736"/>
      <c r="B192" s="736"/>
      <c r="C192" s="736"/>
      <c r="D192" s="829">
        <v>183</v>
      </c>
      <c r="E192" s="829" t="s">
        <v>360</v>
      </c>
      <c r="F192" s="829"/>
      <c r="G192" s="829"/>
      <c r="H192" s="829"/>
      <c r="I192" s="829"/>
      <c r="J192" s="829"/>
      <c r="K192" s="829"/>
      <c r="L192" s="829"/>
      <c r="M192" s="829"/>
      <c r="N192" s="829"/>
      <c r="O192" s="829"/>
      <c r="P192" s="845"/>
      <c r="Q192" s="829"/>
      <c r="R192" s="829"/>
      <c r="S192" s="829"/>
      <c r="T192" s="847">
        <f t="shared" si="26"/>
        <v>0</v>
      </c>
      <c r="U192" s="847">
        <f t="shared" ref="U192:U193" si="34">T192+T192*5/100</f>
        <v>0</v>
      </c>
      <c r="V192" s="744"/>
      <c r="W192" s="3"/>
      <c r="X192" s="3"/>
    </row>
    <row r="193" spans="1:24" ht="39.75" customHeight="1">
      <c r="A193" s="736"/>
      <c r="B193" s="829" t="s">
        <v>361</v>
      </c>
      <c r="C193" s="829" t="s">
        <v>362</v>
      </c>
      <c r="D193" s="829">
        <v>184</v>
      </c>
      <c r="E193" s="829" t="s">
        <v>363</v>
      </c>
      <c r="F193" s="829"/>
      <c r="G193" s="829"/>
      <c r="H193" s="829"/>
      <c r="I193" s="829"/>
      <c r="J193" s="829"/>
      <c r="K193" s="829"/>
      <c r="L193" s="829"/>
      <c r="M193" s="829"/>
      <c r="N193" s="829"/>
      <c r="O193" s="829"/>
      <c r="P193" s="847"/>
      <c r="Q193" s="829"/>
      <c r="R193" s="829"/>
      <c r="S193" s="829"/>
      <c r="T193" s="847">
        <f t="shared" si="26"/>
        <v>0</v>
      </c>
      <c r="U193" s="847">
        <f t="shared" si="34"/>
        <v>0</v>
      </c>
      <c r="V193" s="744"/>
      <c r="W193" s="3"/>
      <c r="X193" s="3"/>
    </row>
    <row r="194" spans="1:24" ht="39.75" customHeight="1">
      <c r="A194" s="736"/>
      <c r="B194" s="828" t="s">
        <v>364</v>
      </c>
      <c r="C194" s="828" t="s">
        <v>297</v>
      </c>
      <c r="D194" s="829">
        <v>185</v>
      </c>
      <c r="E194" s="829" t="s">
        <v>298</v>
      </c>
      <c r="F194" s="829"/>
      <c r="G194" s="829"/>
      <c r="H194" s="829"/>
      <c r="I194" s="829"/>
      <c r="J194" s="829"/>
      <c r="K194" s="829"/>
      <c r="L194" s="829"/>
      <c r="M194" s="829"/>
      <c r="N194" s="829"/>
      <c r="O194" s="829"/>
      <c r="P194" s="783">
        <v>2717.9552599999988</v>
      </c>
      <c r="Q194" s="829"/>
      <c r="R194" s="829"/>
      <c r="S194" s="829"/>
      <c r="T194" s="847">
        <f t="shared" si="26"/>
        <v>2717.9552599999988</v>
      </c>
      <c r="U194" s="783">
        <v>2920.1711313439987</v>
      </c>
      <c r="V194" s="881" t="s">
        <v>1732</v>
      </c>
      <c r="W194" s="3"/>
      <c r="X194" s="3"/>
    </row>
    <row r="195" spans="1:24" ht="61.5" customHeight="1">
      <c r="A195" s="736"/>
      <c r="B195" s="736"/>
      <c r="C195" s="736"/>
      <c r="D195" s="829">
        <v>186</v>
      </c>
      <c r="E195" s="829" t="s">
        <v>299</v>
      </c>
      <c r="F195" s="829"/>
      <c r="G195" s="829"/>
      <c r="H195" s="829"/>
      <c r="I195" s="829"/>
      <c r="J195" s="829"/>
      <c r="K195" s="829"/>
      <c r="L195" s="829"/>
      <c r="M195" s="829"/>
      <c r="N195" s="829"/>
      <c r="O195" s="829"/>
      <c r="P195" s="845">
        <f>30.177+4.025</f>
        <v>34.201999999999998</v>
      </c>
      <c r="Q195" s="847"/>
      <c r="R195" s="829"/>
      <c r="S195" s="829"/>
      <c r="T195" s="847">
        <f t="shared" si="26"/>
        <v>34.201999999999998</v>
      </c>
      <c r="U195" s="847">
        <f>T195</f>
        <v>34.201999999999998</v>
      </c>
      <c r="V195" s="744" t="s">
        <v>443</v>
      </c>
      <c r="W195" s="3"/>
      <c r="X195" s="3"/>
    </row>
    <row r="196" spans="1:24" ht="39.75" customHeight="1">
      <c r="A196" s="736"/>
      <c r="B196" s="736"/>
      <c r="C196" s="736"/>
      <c r="D196" s="829">
        <v>187</v>
      </c>
      <c r="E196" s="829" t="s">
        <v>367</v>
      </c>
      <c r="F196" s="829"/>
      <c r="G196" s="829"/>
      <c r="H196" s="829"/>
      <c r="I196" s="829"/>
      <c r="J196" s="829"/>
      <c r="K196" s="829"/>
      <c r="L196" s="829"/>
      <c r="M196" s="829"/>
      <c r="N196" s="829"/>
      <c r="O196" s="829"/>
      <c r="P196" s="783">
        <v>1156.5206800000001</v>
      </c>
      <c r="Q196" s="829"/>
      <c r="R196" s="829"/>
      <c r="S196" s="829"/>
      <c r="T196" s="847">
        <f t="shared" si="26"/>
        <v>1156.5206800000001</v>
      </c>
      <c r="U196" s="887">
        <v>1253.0034177290001</v>
      </c>
      <c r="V196" s="881" t="s">
        <v>1732</v>
      </c>
      <c r="W196" s="3"/>
      <c r="X196" s="3"/>
    </row>
    <row r="197" spans="1:24" ht="39.75" customHeight="1">
      <c r="A197" s="736"/>
      <c r="B197" s="736"/>
      <c r="C197" s="736"/>
      <c r="D197" s="829">
        <v>188</v>
      </c>
      <c r="E197" s="829" t="s">
        <v>300</v>
      </c>
      <c r="F197" s="829"/>
      <c r="G197" s="829"/>
      <c r="H197" s="829"/>
      <c r="I197" s="829"/>
      <c r="J197" s="829"/>
      <c r="K197" s="829"/>
      <c r="L197" s="829"/>
      <c r="M197" s="829"/>
      <c r="N197" s="829"/>
      <c r="O197" s="829"/>
      <c r="P197" s="829"/>
      <c r="Q197" s="829"/>
      <c r="R197" s="829"/>
      <c r="S197" s="829"/>
      <c r="T197" s="847">
        <f t="shared" si="26"/>
        <v>0</v>
      </c>
      <c r="U197" s="847">
        <f t="shared" ref="U197:U198" si="35">T197+T197*5/100</f>
        <v>0</v>
      </c>
      <c r="V197" s="744"/>
      <c r="W197" s="3"/>
      <c r="X197" s="3"/>
    </row>
    <row r="198" spans="1:24" ht="39.75" customHeight="1">
      <c r="A198" s="736"/>
      <c r="B198" s="736"/>
      <c r="C198" s="736"/>
      <c r="D198" s="829">
        <v>189</v>
      </c>
      <c r="E198" s="829" t="s">
        <v>301</v>
      </c>
      <c r="F198" s="829"/>
      <c r="G198" s="829"/>
      <c r="H198" s="829"/>
      <c r="I198" s="829"/>
      <c r="J198" s="829"/>
      <c r="K198" s="829"/>
      <c r="L198" s="829"/>
      <c r="M198" s="829"/>
      <c r="N198" s="829"/>
      <c r="O198" s="829"/>
      <c r="P198" s="829"/>
      <c r="Q198" s="829"/>
      <c r="R198" s="829"/>
      <c r="S198" s="829"/>
      <c r="T198" s="847">
        <f t="shared" si="26"/>
        <v>0</v>
      </c>
      <c r="U198" s="847">
        <f t="shared" si="35"/>
        <v>0</v>
      </c>
      <c r="V198" s="744"/>
      <c r="W198" s="3"/>
      <c r="X198" s="3"/>
    </row>
    <row r="199" spans="1:24" ht="39.75" customHeight="1">
      <c r="A199" s="736"/>
      <c r="B199" s="736"/>
      <c r="C199" s="736"/>
      <c r="D199" s="829">
        <v>190</v>
      </c>
      <c r="E199" s="829" t="s">
        <v>368</v>
      </c>
      <c r="F199" s="829"/>
      <c r="G199" s="829"/>
      <c r="H199" s="829"/>
      <c r="I199" s="829"/>
      <c r="J199" s="829"/>
      <c r="K199" s="829"/>
      <c r="L199" s="829"/>
      <c r="M199" s="829"/>
      <c r="N199" s="829"/>
      <c r="O199" s="829"/>
      <c r="P199" s="845"/>
      <c r="Q199" s="829"/>
      <c r="R199" s="829"/>
      <c r="S199" s="829"/>
      <c r="T199" s="847">
        <f t="shared" si="26"/>
        <v>0</v>
      </c>
      <c r="U199" s="847"/>
      <c r="V199" s="744" t="s">
        <v>369</v>
      </c>
      <c r="W199" s="3"/>
      <c r="X199" s="3"/>
    </row>
    <row r="200" spans="1:24" ht="39.75" customHeight="1">
      <c r="A200" s="736"/>
      <c r="B200" s="828" t="s">
        <v>370</v>
      </c>
      <c r="C200" s="828" t="s">
        <v>371</v>
      </c>
      <c r="D200" s="829">
        <v>191</v>
      </c>
      <c r="E200" s="829" t="s">
        <v>372</v>
      </c>
      <c r="F200" s="829"/>
      <c r="G200" s="829"/>
      <c r="H200" s="829"/>
      <c r="I200" s="829"/>
      <c r="J200" s="829"/>
      <c r="K200" s="829"/>
      <c r="L200" s="829"/>
      <c r="M200" s="829"/>
      <c r="N200" s="847"/>
      <c r="O200" s="829"/>
      <c r="P200" s="829"/>
      <c r="Q200" s="829"/>
      <c r="R200" s="829"/>
      <c r="S200" s="829"/>
      <c r="T200" s="847">
        <f t="shared" si="26"/>
        <v>0</v>
      </c>
      <c r="U200" s="847">
        <f t="shared" ref="U200:U202" si="36">T200+T200*5/100</f>
        <v>0</v>
      </c>
      <c r="V200" s="744"/>
      <c r="W200" s="3"/>
      <c r="X200" s="3"/>
    </row>
    <row r="201" spans="1:24" ht="39.75" customHeight="1">
      <c r="A201" s="736"/>
      <c r="B201" s="736"/>
      <c r="C201" s="736"/>
      <c r="D201" s="829">
        <v>192</v>
      </c>
      <c r="E201" s="829" t="s">
        <v>373</v>
      </c>
      <c r="F201" s="829"/>
      <c r="G201" s="829"/>
      <c r="H201" s="845"/>
      <c r="I201" s="829"/>
      <c r="J201" s="829"/>
      <c r="K201" s="829"/>
      <c r="L201" s="829"/>
      <c r="M201" s="829"/>
      <c r="N201" s="847">
        <v>0</v>
      </c>
      <c r="O201" s="829"/>
      <c r="P201" s="847"/>
      <c r="Q201" s="845"/>
      <c r="R201" s="829"/>
      <c r="S201" s="829"/>
      <c r="T201" s="847">
        <f t="shared" si="26"/>
        <v>0</v>
      </c>
      <c r="U201" s="847">
        <f t="shared" si="36"/>
        <v>0</v>
      </c>
      <c r="V201" s="749"/>
      <c r="W201" s="3"/>
      <c r="X201" s="3"/>
    </row>
    <row r="202" spans="1:24" ht="39.75" customHeight="1">
      <c r="A202" s="736"/>
      <c r="B202" s="828" t="s">
        <v>374</v>
      </c>
      <c r="C202" s="828" t="s">
        <v>303</v>
      </c>
      <c r="D202" s="829">
        <v>193</v>
      </c>
      <c r="E202" s="829" t="s">
        <v>375</v>
      </c>
      <c r="F202" s="829"/>
      <c r="G202" s="829"/>
      <c r="H202" s="829"/>
      <c r="I202" s="829"/>
      <c r="J202" s="829"/>
      <c r="K202" s="829"/>
      <c r="L202" s="829"/>
      <c r="M202" s="829"/>
      <c r="N202" s="829"/>
      <c r="O202" s="829"/>
      <c r="P202" s="847"/>
      <c r="Q202" s="829"/>
      <c r="R202" s="829"/>
      <c r="S202" s="845"/>
      <c r="T202" s="847">
        <f t="shared" si="26"/>
        <v>0</v>
      </c>
      <c r="U202" s="847">
        <f t="shared" si="36"/>
        <v>0</v>
      </c>
      <c r="V202" s="744"/>
      <c r="W202" s="3"/>
      <c r="X202" s="3"/>
    </row>
    <row r="203" spans="1:24" ht="132.75" customHeight="1">
      <c r="A203" s="736"/>
      <c r="B203" s="736"/>
      <c r="C203" s="736"/>
      <c r="D203" s="829">
        <v>194</v>
      </c>
      <c r="E203" s="829" t="s">
        <v>304</v>
      </c>
      <c r="F203" s="829"/>
      <c r="G203" s="829"/>
      <c r="H203" s="829"/>
      <c r="I203" s="829"/>
      <c r="J203" s="829"/>
      <c r="K203" s="829"/>
      <c r="L203" s="829"/>
      <c r="M203" s="829"/>
      <c r="N203" s="847">
        <v>1.2</v>
      </c>
      <c r="O203" s="829"/>
      <c r="P203" s="829"/>
      <c r="Q203" s="847"/>
      <c r="R203" s="847">
        <v>45</v>
      </c>
      <c r="S203" s="829"/>
      <c r="T203" s="847">
        <f t="shared" si="26"/>
        <v>46.2</v>
      </c>
      <c r="U203" s="728">
        <f>R203*1.05+N203</f>
        <v>48.45</v>
      </c>
      <c r="V203" s="744" t="s">
        <v>1604</v>
      </c>
      <c r="W203" s="3"/>
      <c r="X203" s="3"/>
    </row>
    <row r="204" spans="1:24" ht="105.75" customHeight="1">
      <c r="A204" s="736"/>
      <c r="B204" s="828" t="s">
        <v>376</v>
      </c>
      <c r="C204" s="828" t="s">
        <v>377</v>
      </c>
      <c r="D204" s="829">
        <v>195</v>
      </c>
      <c r="E204" s="829" t="s">
        <v>378</v>
      </c>
      <c r="F204" s="829"/>
      <c r="G204" s="829"/>
      <c r="H204" s="829"/>
      <c r="I204" s="829"/>
      <c r="J204" s="829"/>
      <c r="K204" s="829"/>
      <c r="L204" s="829"/>
      <c r="M204" s="829"/>
      <c r="N204" s="829"/>
      <c r="O204" s="829"/>
      <c r="P204" s="847"/>
      <c r="Q204" s="845">
        <v>1.73</v>
      </c>
      <c r="R204" s="847">
        <v>2.6</v>
      </c>
      <c r="S204" s="829">
        <v>1.4</v>
      </c>
      <c r="T204" s="847">
        <f t="shared" si="26"/>
        <v>5.73</v>
      </c>
      <c r="U204" s="847">
        <f>T204</f>
        <v>5.73</v>
      </c>
      <c r="V204" s="749" t="s">
        <v>1785</v>
      </c>
      <c r="W204" s="3"/>
      <c r="X204" s="3"/>
    </row>
    <row r="205" spans="1:24" ht="39.75" customHeight="1">
      <c r="A205" s="736"/>
      <c r="B205" s="736"/>
      <c r="C205" s="736"/>
      <c r="D205" s="829">
        <v>196</v>
      </c>
      <c r="E205" s="829" t="s">
        <v>379</v>
      </c>
      <c r="F205" s="829"/>
      <c r="G205" s="829"/>
      <c r="H205" s="829"/>
      <c r="I205" s="829"/>
      <c r="J205" s="829"/>
      <c r="K205" s="829"/>
      <c r="L205" s="829"/>
      <c r="M205" s="829"/>
      <c r="N205" s="829"/>
      <c r="O205" s="829"/>
      <c r="P205" s="829"/>
      <c r="Q205" s="829"/>
      <c r="R205" s="829"/>
      <c r="S205" s="829"/>
      <c r="T205" s="847">
        <f t="shared" si="26"/>
        <v>0</v>
      </c>
      <c r="U205" s="847">
        <f>T205+T205*5/100</f>
        <v>0</v>
      </c>
      <c r="V205" s="744"/>
      <c r="W205" s="3"/>
      <c r="X205" s="3"/>
    </row>
    <row r="206" spans="1:24" ht="144.75" customHeight="1">
      <c r="A206" s="736"/>
      <c r="B206" s="736"/>
      <c r="C206" s="736"/>
      <c r="D206" s="829">
        <v>197</v>
      </c>
      <c r="E206" s="829" t="s">
        <v>380</v>
      </c>
      <c r="F206" s="967"/>
      <c r="G206" s="967"/>
      <c r="H206" s="967"/>
      <c r="I206" s="967"/>
      <c r="J206" s="967"/>
      <c r="K206" s="967"/>
      <c r="L206" s="967"/>
      <c r="M206" s="967"/>
      <c r="N206" s="958">
        <v>0.25</v>
      </c>
      <c r="O206" s="967"/>
      <c r="P206" s="968">
        <v>41.06</v>
      </c>
      <c r="Q206" s="958"/>
      <c r="R206" s="958">
        <v>0.05</v>
      </c>
      <c r="S206" s="958"/>
      <c r="T206" s="969">
        <f>SUM(N206:S206)</f>
        <v>41.36</v>
      </c>
      <c r="U206" s="968">
        <v>41.11</v>
      </c>
      <c r="V206" s="744" t="s">
        <v>444</v>
      </c>
      <c r="W206" s="3"/>
      <c r="X206" s="3"/>
    </row>
    <row r="207" spans="1:24" ht="39.75" customHeight="1">
      <c r="A207" s="736"/>
      <c r="B207" s="829" t="s">
        <v>381</v>
      </c>
      <c r="C207" s="829" t="s">
        <v>309</v>
      </c>
      <c r="D207" s="829">
        <v>198</v>
      </c>
      <c r="E207" s="829" t="s">
        <v>310</v>
      </c>
      <c r="F207" s="829"/>
      <c r="G207" s="829"/>
      <c r="H207" s="829"/>
      <c r="I207" s="829"/>
      <c r="J207" s="829"/>
      <c r="K207" s="829"/>
      <c r="L207" s="829"/>
      <c r="M207" s="829"/>
      <c r="N207" s="829"/>
      <c r="O207" s="829"/>
      <c r="P207" s="829"/>
      <c r="Q207" s="829"/>
      <c r="R207" s="829"/>
      <c r="S207" s="829"/>
      <c r="T207" s="847">
        <f t="shared" ref="T207:T209" si="37">SUM(F207:S207)</f>
        <v>0</v>
      </c>
      <c r="U207" s="847">
        <f>T207+T207*5/100</f>
        <v>0</v>
      </c>
      <c r="V207" s="744"/>
      <c r="W207" s="3"/>
      <c r="X207" s="3"/>
    </row>
    <row r="208" spans="1:24" ht="105">
      <c r="A208" s="736"/>
      <c r="B208" s="829" t="s">
        <v>382</v>
      </c>
      <c r="C208" s="829" t="s">
        <v>312</v>
      </c>
      <c r="D208" s="829">
        <v>199</v>
      </c>
      <c r="E208" s="829" t="s">
        <v>313</v>
      </c>
      <c r="F208" s="882"/>
      <c r="G208" s="882"/>
      <c r="H208" s="882"/>
      <c r="I208" s="882"/>
      <c r="J208" s="882"/>
      <c r="K208" s="882"/>
      <c r="L208" s="882"/>
      <c r="M208" s="882"/>
      <c r="N208" s="882"/>
      <c r="O208" s="882"/>
      <c r="Q208" s="882"/>
      <c r="R208" s="882">
        <v>236.7</v>
      </c>
      <c r="S208" s="882"/>
      <c r="T208" s="847">
        <f t="shared" si="37"/>
        <v>236.7</v>
      </c>
      <c r="U208" s="847">
        <f>T208</f>
        <v>236.7</v>
      </c>
      <c r="V208" s="744" t="s">
        <v>1605</v>
      </c>
      <c r="W208" s="3"/>
      <c r="X208" s="3"/>
    </row>
    <row r="209" spans="1:24" ht="60">
      <c r="A209" s="736"/>
      <c r="B209" s="829" t="s">
        <v>383</v>
      </c>
      <c r="C209" s="829"/>
      <c r="D209" s="829">
        <v>200</v>
      </c>
      <c r="E209" s="829" t="s">
        <v>384</v>
      </c>
      <c r="F209" s="882"/>
      <c r="G209" s="882"/>
      <c r="H209" s="882"/>
      <c r="I209" s="882"/>
      <c r="J209" s="882"/>
      <c r="K209" s="882"/>
      <c r="L209" s="882"/>
      <c r="M209" s="882"/>
      <c r="N209" s="889">
        <v>0.1956</v>
      </c>
      <c r="O209" s="889"/>
      <c r="P209" s="889"/>
      <c r="Q209" s="889"/>
      <c r="R209" s="889">
        <v>1</v>
      </c>
      <c r="S209" s="889"/>
      <c r="T209" s="847">
        <f t="shared" si="37"/>
        <v>1.1956</v>
      </c>
      <c r="U209" s="728">
        <v>1.1956</v>
      </c>
      <c r="V209" s="749" t="s">
        <v>385</v>
      </c>
      <c r="W209" s="3"/>
      <c r="X209" s="3"/>
    </row>
    <row r="210" spans="1:24" ht="39.75" customHeight="1">
      <c r="A210" s="736"/>
      <c r="B210" s="948" t="s">
        <v>386</v>
      </c>
      <c r="C210" s="736"/>
      <c r="D210" s="736"/>
      <c r="E210" s="949"/>
      <c r="F210" s="970">
        <f t="shared" ref="F210:U210" si="38">SUM(F159:F209)</f>
        <v>0</v>
      </c>
      <c r="G210" s="971">
        <f t="shared" si="38"/>
        <v>0</v>
      </c>
      <c r="H210" s="971">
        <f t="shared" si="38"/>
        <v>0</v>
      </c>
      <c r="I210" s="970">
        <f t="shared" si="38"/>
        <v>9.6</v>
      </c>
      <c r="J210" s="970">
        <f t="shared" si="38"/>
        <v>0</v>
      </c>
      <c r="K210" s="970">
        <f t="shared" si="38"/>
        <v>0</v>
      </c>
      <c r="L210" s="970">
        <f t="shared" si="38"/>
        <v>0</v>
      </c>
      <c r="M210" s="970">
        <f t="shared" si="38"/>
        <v>23.2</v>
      </c>
      <c r="N210" s="972">
        <f t="shared" si="38"/>
        <v>61.605599999999995</v>
      </c>
      <c r="O210" s="970">
        <f t="shared" si="38"/>
        <v>749.66500000000008</v>
      </c>
      <c r="P210" s="971">
        <f t="shared" si="38"/>
        <v>4109.5019399999992</v>
      </c>
      <c r="Q210" s="970">
        <f t="shared" si="38"/>
        <v>23.111000000000001</v>
      </c>
      <c r="R210" s="970">
        <f t="shared" si="38"/>
        <v>288.14</v>
      </c>
      <c r="S210" s="970">
        <f t="shared" si="38"/>
        <v>1.4</v>
      </c>
      <c r="T210" s="972">
        <f t="shared" si="38"/>
        <v>5266.2235399999972</v>
      </c>
      <c r="U210" s="972">
        <f t="shared" si="38"/>
        <v>5568.9221490729979</v>
      </c>
      <c r="V210" s="973"/>
      <c r="W210" s="3"/>
      <c r="X210" s="3"/>
    </row>
    <row r="211" spans="1:24" ht="39.75" customHeight="1">
      <c r="A211" s="974" t="s">
        <v>387</v>
      </c>
      <c r="B211" s="736"/>
      <c r="C211" s="736"/>
      <c r="D211" s="736"/>
      <c r="E211" s="975"/>
      <c r="F211" s="976">
        <f t="shared" ref="F211:U211" si="39">F210+F158+F134+F93+F68</f>
        <v>141.78659999999999</v>
      </c>
      <c r="G211" s="977">
        <f t="shared" si="39"/>
        <v>4.2</v>
      </c>
      <c r="H211" s="977">
        <f t="shared" si="39"/>
        <v>0</v>
      </c>
      <c r="I211" s="976">
        <f t="shared" si="39"/>
        <v>45.235530000000004</v>
      </c>
      <c r="J211" s="976">
        <f t="shared" si="39"/>
        <v>0</v>
      </c>
      <c r="K211" s="978">
        <f t="shared" si="39"/>
        <v>111.718</v>
      </c>
      <c r="L211" s="976">
        <f t="shared" si="39"/>
        <v>4.1999999999999993</v>
      </c>
      <c r="M211" s="977">
        <f t="shared" si="39"/>
        <v>75.181999999999988</v>
      </c>
      <c r="N211" s="978">
        <f t="shared" si="39"/>
        <v>145.72280000000001</v>
      </c>
      <c r="O211" s="976">
        <f t="shared" si="39"/>
        <v>1106.279</v>
      </c>
      <c r="P211" s="977">
        <f t="shared" si="39"/>
        <v>5328.8501299999989</v>
      </c>
      <c r="Q211" s="976">
        <f t="shared" si="39"/>
        <v>106.4225</v>
      </c>
      <c r="R211" s="977">
        <f t="shared" si="39"/>
        <v>358.47799999999995</v>
      </c>
      <c r="S211" s="977">
        <f t="shared" si="39"/>
        <v>19.95</v>
      </c>
      <c r="T211" s="978">
        <f t="shared" si="39"/>
        <v>7448.0245599999971</v>
      </c>
      <c r="U211" s="978">
        <f t="shared" si="39"/>
        <v>7789.4827673819982</v>
      </c>
      <c r="V211" s="487"/>
      <c r="W211" s="3"/>
      <c r="X211" s="3"/>
    </row>
    <row r="212" spans="1:24" ht="24.75" customHeight="1">
      <c r="A212" s="3"/>
      <c r="B212" s="3"/>
      <c r="C212" s="3"/>
      <c r="D212" s="3"/>
      <c r="E212" s="3"/>
      <c r="F212" s="3"/>
      <c r="G212" s="3"/>
      <c r="H212" s="3"/>
      <c r="I212" s="3"/>
      <c r="J212" s="3"/>
      <c r="K212" s="3"/>
      <c r="L212" s="3"/>
      <c r="M212" s="3"/>
      <c r="N212" s="3"/>
      <c r="O212" s="3"/>
      <c r="P212" s="3"/>
      <c r="Q212" s="3"/>
      <c r="R212" s="3"/>
      <c r="S212" s="3"/>
      <c r="T212" s="57"/>
      <c r="U212" s="58"/>
      <c r="V212" s="905"/>
      <c r="W212" s="3"/>
      <c r="X212" s="3"/>
    </row>
    <row r="213" spans="1:24" ht="24.75" customHeight="1">
      <c r="A213" s="3"/>
      <c r="B213" s="3"/>
      <c r="C213" s="3"/>
      <c r="D213" s="3"/>
      <c r="E213" s="3"/>
      <c r="F213" s="3"/>
      <c r="G213" s="3"/>
      <c r="H213" s="3"/>
      <c r="I213" s="3"/>
      <c r="J213" s="3"/>
      <c r="K213" s="3"/>
      <c r="L213" s="3"/>
      <c r="M213" s="3"/>
      <c r="N213" s="3"/>
      <c r="O213" s="3"/>
      <c r="P213" s="3"/>
      <c r="Q213" s="3"/>
      <c r="R213" s="3"/>
      <c r="S213" s="3"/>
      <c r="T213" s="3"/>
      <c r="U213" s="58"/>
      <c r="V213" s="905"/>
      <c r="W213" s="3"/>
      <c r="X213" s="3"/>
    </row>
    <row r="214" spans="1:24" ht="24.75" customHeight="1">
      <c r="A214" s="3"/>
      <c r="B214" s="3"/>
      <c r="C214" s="3"/>
      <c r="D214" s="3"/>
      <c r="E214" s="3"/>
      <c r="F214" s="3"/>
      <c r="G214" s="3"/>
      <c r="H214" s="3"/>
      <c r="I214" s="3"/>
      <c r="J214" s="3"/>
      <c r="K214" s="3"/>
      <c r="L214" s="3"/>
      <c r="M214" s="3"/>
      <c r="N214" s="3"/>
      <c r="O214" s="3"/>
      <c r="P214" s="3"/>
      <c r="Q214" s="3"/>
      <c r="R214" s="3"/>
      <c r="S214" s="3"/>
      <c r="T214" s="3"/>
      <c r="U214" s="58"/>
      <c r="V214" s="905"/>
      <c r="W214" s="3"/>
      <c r="X214" s="3"/>
    </row>
    <row r="215" spans="1:24" ht="24.75" customHeight="1">
      <c r="A215" s="3"/>
      <c r="B215" s="3"/>
      <c r="C215" s="3"/>
      <c r="D215" s="3"/>
      <c r="E215" s="3"/>
      <c r="F215" s="3"/>
      <c r="G215" s="3"/>
      <c r="H215" s="3"/>
      <c r="I215" s="3"/>
      <c r="J215" s="3"/>
      <c r="K215" s="3"/>
      <c r="L215" s="3"/>
      <c r="M215" s="3"/>
      <c r="N215" s="3"/>
      <c r="O215" s="3"/>
      <c r="P215" s="3"/>
      <c r="Q215" s="3"/>
      <c r="R215" s="3"/>
      <c r="S215" s="3"/>
      <c r="T215" s="3"/>
      <c r="U215" s="58"/>
      <c r="V215" s="905"/>
      <c r="W215" s="3"/>
      <c r="X215" s="3"/>
    </row>
    <row r="216" spans="1:24" ht="24.75" customHeight="1">
      <c r="A216" s="3"/>
      <c r="B216" s="3"/>
      <c r="C216" s="3"/>
      <c r="D216" s="3"/>
      <c r="E216" s="3"/>
      <c r="F216" s="3"/>
      <c r="G216" s="3"/>
      <c r="H216" s="3"/>
      <c r="I216" s="3"/>
      <c r="J216" s="3"/>
      <c r="K216" s="3"/>
      <c r="L216" s="3"/>
      <c r="M216" s="3"/>
      <c r="N216" s="3"/>
      <c r="O216" s="3"/>
      <c r="P216" s="3"/>
      <c r="Q216" s="3"/>
      <c r="R216" s="3"/>
      <c r="S216" s="3"/>
      <c r="T216" s="3"/>
      <c r="U216" s="58"/>
      <c r="V216" s="905"/>
      <c r="W216" s="3"/>
      <c r="X216" s="3"/>
    </row>
    <row r="217" spans="1:24" ht="24.75" customHeight="1">
      <c r="A217" s="3"/>
      <c r="B217" s="3"/>
      <c r="C217" s="3"/>
      <c r="D217" s="3"/>
      <c r="E217" s="3"/>
      <c r="F217" s="3"/>
      <c r="G217" s="3"/>
      <c r="H217" s="3"/>
      <c r="I217" s="3"/>
      <c r="J217" s="3"/>
      <c r="K217" s="3"/>
      <c r="L217" s="3"/>
      <c r="M217" s="3"/>
      <c r="N217" s="3"/>
      <c r="O217" s="3"/>
      <c r="P217" s="3"/>
      <c r="Q217" s="3"/>
      <c r="R217" s="3"/>
      <c r="S217" s="3"/>
      <c r="T217" s="3"/>
      <c r="U217" s="58"/>
      <c r="V217" s="905"/>
      <c r="W217" s="3"/>
      <c r="X217" s="3"/>
    </row>
    <row r="218" spans="1:24" ht="24.75" customHeight="1">
      <c r="A218" s="3"/>
      <c r="B218" s="3"/>
      <c r="C218" s="3"/>
      <c r="D218" s="3"/>
      <c r="E218" s="3"/>
      <c r="F218" s="3"/>
      <c r="G218" s="3"/>
      <c r="H218" s="3"/>
      <c r="I218" s="3"/>
      <c r="J218" s="3"/>
      <c r="K218" s="3"/>
      <c r="L218" s="3"/>
      <c r="M218" s="3"/>
      <c r="N218" s="3"/>
      <c r="O218" s="3"/>
      <c r="P218" s="3"/>
      <c r="Q218" s="3"/>
      <c r="R218" s="3"/>
      <c r="S218" s="3"/>
      <c r="T218" s="3"/>
      <c r="U218" s="58"/>
      <c r="V218" s="905"/>
      <c r="W218" s="3"/>
      <c r="X218" s="3"/>
    </row>
    <row r="219" spans="1:24" ht="24.75" customHeight="1">
      <c r="A219" s="3"/>
      <c r="B219" s="3"/>
      <c r="C219" s="3"/>
      <c r="D219" s="3"/>
      <c r="E219" s="3"/>
      <c r="F219" s="3"/>
      <c r="G219" s="3"/>
      <c r="H219" s="3"/>
      <c r="I219" s="3"/>
      <c r="J219" s="3"/>
      <c r="K219" s="3"/>
      <c r="L219" s="3"/>
      <c r="M219" s="3"/>
      <c r="N219" s="3"/>
      <c r="O219" s="3"/>
      <c r="P219" s="3"/>
      <c r="Q219" s="3"/>
      <c r="R219" s="3"/>
      <c r="S219" s="3"/>
      <c r="T219" s="3"/>
      <c r="U219" s="3"/>
      <c r="V219" s="905"/>
      <c r="W219" s="3"/>
      <c r="X219" s="3"/>
    </row>
    <row r="220" spans="1:24" ht="24.75" customHeight="1">
      <c r="A220" s="3"/>
      <c r="B220" s="3"/>
      <c r="C220" s="3"/>
      <c r="D220" s="3"/>
      <c r="E220" s="3"/>
      <c r="F220" s="3"/>
      <c r="G220" s="3"/>
      <c r="H220" s="3"/>
      <c r="I220" s="3"/>
      <c r="J220" s="3"/>
      <c r="K220" s="3"/>
      <c r="L220" s="3"/>
      <c r="M220" s="3"/>
      <c r="N220" s="3"/>
      <c r="O220" s="3"/>
      <c r="P220" s="3"/>
      <c r="Q220" s="3"/>
      <c r="R220" s="3"/>
      <c r="S220" s="3"/>
      <c r="T220" s="3"/>
      <c r="U220" s="3"/>
      <c r="V220" s="905"/>
      <c r="W220" s="3"/>
      <c r="X220" s="3"/>
    </row>
    <row r="221" spans="1:24" ht="24.75" customHeight="1">
      <c r="A221" s="3"/>
      <c r="B221" s="3"/>
      <c r="C221" s="3"/>
      <c r="D221" s="3"/>
      <c r="E221" s="3"/>
      <c r="F221" s="3"/>
      <c r="G221" s="3"/>
      <c r="H221" s="3"/>
      <c r="I221" s="3"/>
      <c r="J221" s="3"/>
      <c r="K221" s="3"/>
      <c r="L221" s="3"/>
      <c r="M221" s="3"/>
      <c r="N221" s="3"/>
      <c r="O221" s="3"/>
      <c r="P221" s="3"/>
      <c r="Q221" s="3"/>
      <c r="R221" s="3"/>
      <c r="S221" s="3"/>
      <c r="T221" s="3"/>
      <c r="U221" s="3"/>
      <c r="V221" s="905"/>
      <c r="W221" s="3"/>
      <c r="X221" s="3"/>
    </row>
    <row r="222" spans="1:24" ht="24.75" customHeight="1">
      <c r="A222" s="3"/>
      <c r="B222" s="3"/>
      <c r="C222" s="3"/>
      <c r="D222" s="3"/>
      <c r="E222" s="3"/>
      <c r="F222" s="3"/>
      <c r="G222" s="3"/>
      <c r="H222" s="3"/>
      <c r="I222" s="3"/>
      <c r="J222" s="3"/>
      <c r="K222" s="3"/>
      <c r="L222" s="3"/>
      <c r="M222" s="3"/>
      <c r="N222" s="3"/>
      <c r="O222" s="3"/>
      <c r="P222" s="3"/>
      <c r="Q222" s="3"/>
      <c r="R222" s="3"/>
      <c r="S222" s="3"/>
      <c r="T222" s="3"/>
      <c r="U222" s="3"/>
      <c r="V222" s="905"/>
      <c r="W222" s="3"/>
      <c r="X222" s="3"/>
    </row>
    <row r="223" spans="1:24" ht="24.75" customHeight="1">
      <c r="A223" s="3"/>
      <c r="B223" s="3"/>
      <c r="C223" s="3"/>
      <c r="D223" s="3"/>
      <c r="E223" s="3"/>
      <c r="F223" s="3"/>
      <c r="G223" s="3"/>
      <c r="H223" s="3"/>
      <c r="I223" s="3"/>
      <c r="J223" s="3"/>
      <c r="K223" s="3"/>
      <c r="L223" s="3"/>
      <c r="M223" s="3"/>
      <c r="N223" s="3"/>
      <c r="O223" s="3"/>
      <c r="P223" s="3"/>
      <c r="Q223" s="3"/>
      <c r="R223" s="3"/>
      <c r="S223" s="3"/>
      <c r="T223" s="3"/>
      <c r="U223" s="3"/>
      <c r="V223" s="905"/>
      <c r="W223" s="3"/>
      <c r="X223" s="3"/>
    </row>
    <row r="224" spans="1:24" ht="24.75" customHeight="1">
      <c r="A224" s="3"/>
      <c r="B224" s="3"/>
      <c r="C224" s="3"/>
      <c r="D224" s="3"/>
      <c r="E224" s="3"/>
      <c r="F224" s="3"/>
      <c r="G224" s="3"/>
      <c r="H224" s="3"/>
      <c r="I224" s="3"/>
      <c r="J224" s="3"/>
      <c r="K224" s="3"/>
      <c r="L224" s="3"/>
      <c r="M224" s="3"/>
      <c r="N224" s="3"/>
      <c r="O224" s="3"/>
      <c r="P224" s="3"/>
      <c r="Q224" s="3"/>
      <c r="R224" s="3"/>
      <c r="S224" s="3"/>
      <c r="T224" s="3"/>
      <c r="U224" s="3"/>
      <c r="V224" s="905"/>
      <c r="W224" s="3"/>
      <c r="X224" s="3"/>
    </row>
    <row r="225" spans="1:24" ht="24.75" customHeight="1">
      <c r="A225" s="3"/>
      <c r="B225" s="3"/>
      <c r="C225" s="3"/>
      <c r="D225" s="3"/>
      <c r="E225" s="3"/>
      <c r="F225" s="3"/>
      <c r="G225" s="3"/>
      <c r="H225" s="3"/>
      <c r="I225" s="3"/>
      <c r="J225" s="3"/>
      <c r="K225" s="3"/>
      <c r="L225" s="3"/>
      <c r="M225" s="3"/>
      <c r="N225" s="3"/>
      <c r="O225" s="3"/>
      <c r="P225" s="3"/>
      <c r="Q225" s="3"/>
      <c r="R225" s="3"/>
      <c r="S225" s="3"/>
      <c r="T225" s="3"/>
      <c r="U225" s="3"/>
      <c r="V225" s="905"/>
      <c r="W225" s="3"/>
      <c r="X225" s="3"/>
    </row>
    <row r="226" spans="1:24" ht="24.75" customHeight="1">
      <c r="A226" s="3"/>
      <c r="B226" s="3"/>
      <c r="C226" s="3"/>
      <c r="D226" s="3"/>
      <c r="E226" s="3"/>
      <c r="F226" s="3"/>
      <c r="G226" s="3"/>
      <c r="H226" s="3"/>
      <c r="I226" s="3"/>
      <c r="J226" s="3"/>
      <c r="K226" s="3"/>
      <c r="L226" s="3"/>
      <c r="M226" s="3"/>
      <c r="N226" s="3"/>
      <c r="O226" s="3"/>
      <c r="P226" s="3"/>
      <c r="Q226" s="3"/>
      <c r="R226" s="3"/>
      <c r="S226" s="3"/>
      <c r="T226" s="3"/>
      <c r="U226" s="3"/>
      <c r="V226" s="905"/>
      <c r="W226" s="3"/>
      <c r="X226" s="3"/>
    </row>
    <row r="227" spans="1:24" ht="24.75" customHeight="1">
      <c r="A227" s="3"/>
      <c r="B227" s="3"/>
      <c r="C227" s="3"/>
      <c r="D227" s="3"/>
      <c r="E227" s="3"/>
      <c r="F227" s="3"/>
      <c r="G227" s="3"/>
      <c r="H227" s="3"/>
      <c r="I227" s="3"/>
      <c r="J227" s="3"/>
      <c r="K227" s="3"/>
      <c r="L227" s="3"/>
      <c r="M227" s="3"/>
      <c r="N227" s="3"/>
      <c r="O227" s="3"/>
      <c r="P227" s="3"/>
      <c r="Q227" s="3"/>
      <c r="R227" s="3"/>
      <c r="S227" s="3"/>
      <c r="T227" s="3"/>
      <c r="U227" s="3"/>
      <c r="V227" s="905"/>
      <c r="W227" s="3"/>
      <c r="X227" s="3"/>
    </row>
    <row r="228" spans="1:24" ht="24.75" customHeight="1">
      <c r="A228" s="3"/>
      <c r="B228" s="3"/>
      <c r="C228" s="3"/>
      <c r="D228" s="3"/>
      <c r="E228" s="3"/>
      <c r="F228" s="3"/>
      <c r="G228" s="3"/>
      <c r="H228" s="3"/>
      <c r="I228" s="3"/>
      <c r="J228" s="3"/>
      <c r="K228" s="3"/>
      <c r="L228" s="3"/>
      <c r="M228" s="3"/>
      <c r="N228" s="3"/>
      <c r="O228" s="3"/>
      <c r="P228" s="3"/>
      <c r="Q228" s="3"/>
      <c r="R228" s="3"/>
      <c r="S228" s="3"/>
      <c r="T228" s="3"/>
      <c r="U228" s="3"/>
      <c r="V228" s="905"/>
      <c r="W228" s="3"/>
      <c r="X228" s="3"/>
    </row>
    <row r="229" spans="1:24" ht="24.75" customHeight="1">
      <c r="A229" s="3"/>
      <c r="B229" s="3"/>
      <c r="C229" s="3"/>
      <c r="D229" s="3"/>
      <c r="E229" s="3"/>
      <c r="F229" s="3"/>
      <c r="G229" s="3"/>
      <c r="H229" s="3"/>
      <c r="I229" s="3"/>
      <c r="J229" s="3"/>
      <c r="K229" s="3"/>
      <c r="L229" s="3"/>
      <c r="M229" s="3"/>
      <c r="N229" s="3"/>
      <c r="O229" s="3"/>
      <c r="P229" s="3"/>
      <c r="Q229" s="3"/>
      <c r="R229" s="3"/>
      <c r="S229" s="3"/>
      <c r="T229" s="3"/>
      <c r="U229" s="3"/>
      <c r="V229" s="905"/>
      <c r="W229" s="3"/>
      <c r="X229" s="3"/>
    </row>
    <row r="230" spans="1:24" ht="24.75" customHeight="1">
      <c r="A230" s="3"/>
      <c r="B230" s="3"/>
      <c r="C230" s="3"/>
      <c r="D230" s="3"/>
      <c r="E230" s="3"/>
      <c r="F230" s="3"/>
      <c r="G230" s="3"/>
      <c r="H230" s="3"/>
      <c r="I230" s="3"/>
      <c r="J230" s="3"/>
      <c r="K230" s="3"/>
      <c r="L230" s="3"/>
      <c r="M230" s="3"/>
      <c r="N230" s="3"/>
      <c r="O230" s="3"/>
      <c r="P230" s="3"/>
      <c r="Q230" s="3"/>
      <c r="R230" s="3"/>
      <c r="S230" s="3"/>
      <c r="T230" s="3"/>
      <c r="U230" s="3"/>
      <c r="V230" s="905"/>
      <c r="W230" s="3"/>
      <c r="X230" s="3"/>
    </row>
    <row r="231" spans="1:24" ht="24.75" customHeight="1">
      <c r="A231" s="3"/>
      <c r="B231" s="3"/>
      <c r="C231" s="3"/>
      <c r="D231" s="3"/>
      <c r="E231" s="3"/>
      <c r="F231" s="3"/>
      <c r="G231" s="3"/>
      <c r="H231" s="3"/>
      <c r="I231" s="3"/>
      <c r="J231" s="3"/>
      <c r="K231" s="3"/>
      <c r="L231" s="3"/>
      <c r="M231" s="3"/>
      <c r="N231" s="3"/>
      <c r="O231" s="3"/>
      <c r="P231" s="3"/>
      <c r="Q231" s="3"/>
      <c r="R231" s="3"/>
      <c r="S231" s="3"/>
      <c r="T231" s="3"/>
      <c r="U231" s="3"/>
      <c r="V231" s="905"/>
      <c r="W231" s="3"/>
      <c r="X231" s="3"/>
    </row>
    <row r="232" spans="1:24" ht="24.75" customHeight="1">
      <c r="A232" s="3"/>
      <c r="B232" s="3"/>
      <c r="C232" s="3"/>
      <c r="D232" s="3"/>
      <c r="E232" s="3"/>
      <c r="F232" s="3"/>
      <c r="G232" s="3"/>
      <c r="H232" s="3"/>
      <c r="I232" s="3"/>
      <c r="J232" s="3"/>
      <c r="K232" s="3"/>
      <c r="L232" s="3"/>
      <c r="M232" s="3"/>
      <c r="N232" s="3"/>
      <c r="O232" s="3"/>
      <c r="P232" s="3"/>
      <c r="Q232" s="3"/>
      <c r="R232" s="3"/>
      <c r="S232" s="3"/>
      <c r="T232" s="3"/>
      <c r="U232" s="3"/>
      <c r="V232" s="905"/>
      <c r="W232" s="3"/>
      <c r="X232" s="3"/>
    </row>
    <row r="233" spans="1:24" ht="24.75" customHeight="1">
      <c r="A233" s="3"/>
      <c r="B233" s="3"/>
      <c r="C233" s="3"/>
      <c r="D233" s="3"/>
      <c r="E233" s="3"/>
      <c r="F233" s="3"/>
      <c r="G233" s="3"/>
      <c r="H233" s="3"/>
      <c r="I233" s="3"/>
      <c r="J233" s="3"/>
      <c r="K233" s="3"/>
      <c r="L233" s="3"/>
      <c r="M233" s="3"/>
      <c r="N233" s="3"/>
      <c r="O233" s="3"/>
      <c r="P233" s="3"/>
      <c r="Q233" s="3"/>
      <c r="R233" s="3"/>
      <c r="S233" s="3"/>
      <c r="T233" s="3"/>
      <c r="U233" s="3"/>
      <c r="V233" s="905"/>
      <c r="W233" s="3"/>
      <c r="X233" s="3"/>
    </row>
    <row r="234" spans="1:24" ht="24.75" customHeight="1">
      <c r="A234" s="3"/>
      <c r="B234" s="3"/>
      <c r="C234" s="3"/>
      <c r="D234" s="3"/>
      <c r="E234" s="3"/>
      <c r="F234" s="3"/>
      <c r="G234" s="3"/>
      <c r="H234" s="3"/>
      <c r="I234" s="3"/>
      <c r="J234" s="3"/>
      <c r="K234" s="3"/>
      <c r="L234" s="3"/>
      <c r="M234" s="3"/>
      <c r="N234" s="3"/>
      <c r="O234" s="3"/>
      <c r="P234" s="3"/>
      <c r="Q234" s="3"/>
      <c r="R234" s="3"/>
      <c r="S234" s="3"/>
      <c r="T234" s="3"/>
      <c r="U234" s="3"/>
      <c r="V234" s="905"/>
      <c r="W234" s="3"/>
      <c r="X234" s="3"/>
    </row>
    <row r="235" spans="1:24" ht="24.75" customHeight="1">
      <c r="A235" s="3"/>
      <c r="B235" s="3"/>
      <c r="C235" s="3"/>
      <c r="D235" s="3"/>
      <c r="E235" s="3"/>
      <c r="F235" s="3"/>
      <c r="G235" s="3"/>
      <c r="H235" s="3"/>
      <c r="I235" s="3"/>
      <c r="J235" s="3"/>
      <c r="K235" s="3"/>
      <c r="L235" s="3"/>
      <c r="M235" s="3"/>
      <c r="N235" s="3"/>
      <c r="O235" s="3"/>
      <c r="P235" s="3"/>
      <c r="Q235" s="3"/>
      <c r="R235" s="3"/>
      <c r="S235" s="3"/>
      <c r="T235" s="3"/>
      <c r="U235" s="3"/>
      <c r="V235" s="905"/>
      <c r="W235" s="3"/>
      <c r="X235" s="3"/>
    </row>
    <row r="236" spans="1:24" ht="24.75" customHeight="1">
      <c r="A236" s="3"/>
      <c r="B236" s="3"/>
      <c r="C236" s="3"/>
      <c r="D236" s="3"/>
      <c r="E236" s="3"/>
      <c r="F236" s="3"/>
      <c r="G236" s="3"/>
      <c r="H236" s="3"/>
      <c r="I236" s="3"/>
      <c r="J236" s="3"/>
      <c r="K236" s="3"/>
      <c r="L236" s="3"/>
      <c r="M236" s="3"/>
      <c r="N236" s="3"/>
      <c r="O236" s="3"/>
      <c r="P236" s="3"/>
      <c r="Q236" s="3"/>
      <c r="R236" s="3"/>
      <c r="S236" s="3"/>
      <c r="T236" s="3"/>
      <c r="U236" s="3"/>
      <c r="V236" s="905"/>
      <c r="W236" s="3"/>
      <c r="X236" s="3"/>
    </row>
    <row r="237" spans="1:24" ht="24.75" customHeight="1">
      <c r="A237" s="3"/>
      <c r="B237" s="3"/>
      <c r="C237" s="3"/>
      <c r="D237" s="3"/>
      <c r="E237" s="3"/>
      <c r="F237" s="3"/>
      <c r="G237" s="3"/>
      <c r="H237" s="3"/>
      <c r="I237" s="3"/>
      <c r="J237" s="3"/>
      <c r="K237" s="3"/>
      <c r="L237" s="3"/>
      <c r="M237" s="3"/>
      <c r="N237" s="3"/>
      <c r="O237" s="3"/>
      <c r="P237" s="3"/>
      <c r="Q237" s="3"/>
      <c r="R237" s="3"/>
      <c r="S237" s="3"/>
      <c r="T237" s="3"/>
      <c r="U237" s="3"/>
      <c r="V237" s="905"/>
      <c r="W237" s="3"/>
      <c r="X237" s="3"/>
    </row>
    <row r="238" spans="1:24" ht="24.75" customHeight="1">
      <c r="A238" s="3"/>
      <c r="B238" s="3"/>
      <c r="C238" s="3"/>
      <c r="D238" s="3"/>
      <c r="E238" s="3"/>
      <c r="F238" s="3"/>
      <c r="G238" s="3"/>
      <c r="H238" s="3"/>
      <c r="I238" s="3"/>
      <c r="J238" s="3"/>
      <c r="K238" s="3"/>
      <c r="L238" s="3"/>
      <c r="M238" s="3"/>
      <c r="N238" s="3"/>
      <c r="O238" s="3"/>
      <c r="P238" s="3"/>
      <c r="Q238" s="3"/>
      <c r="R238" s="3"/>
      <c r="S238" s="3"/>
      <c r="T238" s="3"/>
      <c r="U238" s="3"/>
      <c r="V238" s="905"/>
      <c r="W238" s="3"/>
      <c r="X238" s="3"/>
    </row>
    <row r="239" spans="1:24" ht="24.75" customHeight="1">
      <c r="A239" s="3"/>
      <c r="B239" s="3"/>
      <c r="C239" s="3"/>
      <c r="D239" s="3"/>
      <c r="E239" s="3"/>
      <c r="F239" s="3"/>
      <c r="G239" s="3"/>
      <c r="H239" s="3"/>
      <c r="I239" s="3"/>
      <c r="J239" s="3"/>
      <c r="K239" s="3"/>
      <c r="L239" s="3"/>
      <c r="M239" s="3"/>
      <c r="N239" s="3"/>
      <c r="O239" s="3"/>
      <c r="P239" s="3"/>
      <c r="Q239" s="3"/>
      <c r="R239" s="3"/>
      <c r="S239" s="3"/>
      <c r="T239" s="3"/>
      <c r="U239" s="3"/>
      <c r="V239" s="905"/>
      <c r="W239" s="3"/>
      <c r="X239" s="3"/>
    </row>
    <row r="240" spans="1:24" ht="24.75" customHeight="1">
      <c r="A240" s="3"/>
      <c r="B240" s="3"/>
      <c r="C240" s="3"/>
      <c r="D240" s="3"/>
      <c r="E240" s="3"/>
      <c r="F240" s="3"/>
      <c r="G240" s="3"/>
      <c r="H240" s="3"/>
      <c r="I240" s="3"/>
      <c r="J240" s="3"/>
      <c r="K240" s="3"/>
      <c r="L240" s="3"/>
      <c r="M240" s="3"/>
      <c r="N240" s="3"/>
      <c r="O240" s="3"/>
      <c r="P240" s="3"/>
      <c r="Q240" s="3"/>
      <c r="R240" s="3"/>
      <c r="S240" s="3"/>
      <c r="T240" s="3"/>
      <c r="U240" s="3"/>
      <c r="V240" s="905"/>
      <c r="W240" s="3"/>
      <c r="X240" s="3"/>
    </row>
    <row r="241" spans="1:24" ht="24.75" customHeight="1">
      <c r="A241" s="3"/>
      <c r="B241" s="3"/>
      <c r="C241" s="3"/>
      <c r="D241" s="3"/>
      <c r="E241" s="3"/>
      <c r="F241" s="3"/>
      <c r="G241" s="3"/>
      <c r="H241" s="3"/>
      <c r="I241" s="3"/>
      <c r="J241" s="3"/>
      <c r="K241" s="3"/>
      <c r="L241" s="3"/>
      <c r="M241" s="3"/>
      <c r="N241" s="3"/>
      <c r="O241" s="3"/>
      <c r="P241" s="3"/>
      <c r="Q241" s="3"/>
      <c r="R241" s="3"/>
      <c r="S241" s="3"/>
      <c r="T241" s="3"/>
      <c r="U241" s="3"/>
      <c r="V241" s="905"/>
      <c r="W241" s="3"/>
      <c r="X241" s="3"/>
    </row>
    <row r="242" spans="1:24" ht="24.75" customHeight="1">
      <c r="A242" s="3"/>
      <c r="B242" s="3"/>
      <c r="C242" s="3"/>
      <c r="D242" s="3"/>
      <c r="E242" s="3"/>
      <c r="F242" s="3"/>
      <c r="G242" s="3"/>
      <c r="H242" s="3"/>
      <c r="I242" s="3"/>
      <c r="J242" s="3"/>
      <c r="K242" s="3"/>
      <c r="L242" s="3"/>
      <c r="M242" s="3"/>
      <c r="N242" s="3"/>
      <c r="O242" s="3"/>
      <c r="P242" s="3"/>
      <c r="Q242" s="3"/>
      <c r="R242" s="3"/>
      <c r="S242" s="3"/>
      <c r="T242" s="3"/>
      <c r="U242" s="3"/>
      <c r="V242" s="905"/>
      <c r="W242" s="3"/>
      <c r="X242" s="3"/>
    </row>
    <row r="243" spans="1:24" ht="24.75" customHeight="1">
      <c r="A243" s="3"/>
      <c r="B243" s="3"/>
      <c r="C243" s="3"/>
      <c r="D243" s="3"/>
      <c r="E243" s="3"/>
      <c r="F243" s="3"/>
      <c r="G243" s="3"/>
      <c r="H243" s="3"/>
      <c r="I243" s="3"/>
      <c r="J243" s="3"/>
      <c r="K243" s="3"/>
      <c r="L243" s="3"/>
      <c r="M243" s="3"/>
      <c r="N243" s="3"/>
      <c r="O243" s="3"/>
      <c r="P243" s="3"/>
      <c r="Q243" s="3"/>
      <c r="R243" s="3"/>
      <c r="S243" s="3"/>
      <c r="T243" s="3"/>
      <c r="U243" s="3"/>
      <c r="V243" s="905"/>
      <c r="W243" s="3"/>
      <c r="X243" s="3"/>
    </row>
    <row r="244" spans="1:24" ht="24.75" customHeight="1">
      <c r="A244" s="3"/>
      <c r="B244" s="3"/>
      <c r="C244" s="3"/>
      <c r="D244" s="3"/>
      <c r="E244" s="3"/>
      <c r="F244" s="3"/>
      <c r="G244" s="3"/>
      <c r="H244" s="3"/>
      <c r="I244" s="3"/>
      <c r="J244" s="3"/>
      <c r="K244" s="3"/>
      <c r="L244" s="3"/>
      <c r="M244" s="3"/>
      <c r="N244" s="3"/>
      <c r="O244" s="3"/>
      <c r="P244" s="3"/>
      <c r="Q244" s="3"/>
      <c r="R244" s="3"/>
      <c r="S244" s="3"/>
      <c r="T244" s="3"/>
      <c r="U244" s="3"/>
      <c r="V244" s="905"/>
      <c r="W244" s="3"/>
      <c r="X244" s="3"/>
    </row>
    <row r="245" spans="1:24" ht="24.75" customHeight="1">
      <c r="A245" s="3"/>
      <c r="B245" s="3"/>
      <c r="C245" s="3"/>
      <c r="D245" s="3"/>
      <c r="E245" s="3"/>
      <c r="F245" s="3"/>
      <c r="G245" s="3"/>
      <c r="H245" s="3"/>
      <c r="I245" s="3"/>
      <c r="J245" s="3"/>
      <c r="K245" s="3"/>
      <c r="L245" s="3"/>
      <c r="M245" s="3"/>
      <c r="N245" s="3"/>
      <c r="O245" s="3"/>
      <c r="P245" s="3"/>
      <c r="Q245" s="3"/>
      <c r="R245" s="3"/>
      <c r="S245" s="3"/>
      <c r="T245" s="3"/>
      <c r="U245" s="3"/>
      <c r="V245" s="905"/>
      <c r="W245" s="3"/>
      <c r="X245" s="3"/>
    </row>
    <row r="246" spans="1:24" ht="24.75" customHeight="1">
      <c r="A246" s="3"/>
      <c r="B246" s="3"/>
      <c r="C246" s="3"/>
      <c r="D246" s="3"/>
      <c r="E246" s="3"/>
      <c r="F246" s="3"/>
      <c r="G246" s="3"/>
      <c r="H246" s="3"/>
      <c r="I246" s="3"/>
      <c r="J246" s="3"/>
      <c r="K246" s="3"/>
      <c r="L246" s="3"/>
      <c r="M246" s="3"/>
      <c r="N246" s="3"/>
      <c r="O246" s="3"/>
      <c r="P246" s="3"/>
      <c r="Q246" s="3"/>
      <c r="R246" s="3"/>
      <c r="S246" s="3"/>
      <c r="T246" s="3"/>
      <c r="U246" s="3"/>
      <c r="V246" s="905"/>
      <c r="W246" s="3"/>
      <c r="X246" s="3"/>
    </row>
    <row r="247" spans="1:24" ht="24.75" customHeight="1">
      <c r="A247" s="3"/>
      <c r="B247" s="3"/>
      <c r="C247" s="3"/>
      <c r="D247" s="3"/>
      <c r="E247" s="3"/>
      <c r="F247" s="3"/>
      <c r="G247" s="3"/>
      <c r="H247" s="3"/>
      <c r="I247" s="3"/>
      <c r="J247" s="3"/>
      <c r="K247" s="3"/>
      <c r="L247" s="3"/>
      <c r="M247" s="3"/>
      <c r="N247" s="3"/>
      <c r="O247" s="3"/>
      <c r="P247" s="3"/>
      <c r="Q247" s="3"/>
      <c r="R247" s="3"/>
      <c r="S247" s="3"/>
      <c r="T247" s="3"/>
      <c r="U247" s="3"/>
      <c r="V247" s="905"/>
      <c r="W247" s="3"/>
      <c r="X247" s="3"/>
    </row>
    <row r="248" spans="1:24" ht="24.75" customHeight="1">
      <c r="A248" s="3"/>
      <c r="B248" s="3"/>
      <c r="C248" s="3"/>
      <c r="D248" s="3"/>
      <c r="E248" s="3"/>
      <c r="F248" s="3"/>
      <c r="G248" s="3"/>
      <c r="H248" s="3"/>
      <c r="I248" s="3"/>
      <c r="J248" s="3"/>
      <c r="K248" s="3"/>
      <c r="L248" s="3"/>
      <c r="M248" s="3"/>
      <c r="N248" s="3"/>
      <c r="O248" s="3"/>
      <c r="P248" s="3"/>
      <c r="Q248" s="3"/>
      <c r="R248" s="3"/>
      <c r="S248" s="3"/>
      <c r="T248" s="3"/>
      <c r="U248" s="3"/>
      <c r="V248" s="905"/>
      <c r="W248" s="3"/>
      <c r="X248" s="3"/>
    </row>
    <row r="249" spans="1:24" ht="24.75" customHeight="1">
      <c r="A249" s="3"/>
      <c r="B249" s="3"/>
      <c r="C249" s="3"/>
      <c r="D249" s="3"/>
      <c r="E249" s="3"/>
      <c r="F249" s="3"/>
      <c r="G249" s="3"/>
      <c r="H249" s="3"/>
      <c r="I249" s="3"/>
      <c r="J249" s="3"/>
      <c r="K249" s="3"/>
      <c r="L249" s="3"/>
      <c r="M249" s="3"/>
      <c r="N249" s="3"/>
      <c r="O249" s="3"/>
      <c r="P249" s="3"/>
      <c r="Q249" s="3"/>
      <c r="R249" s="3"/>
      <c r="S249" s="3"/>
      <c r="T249" s="3"/>
      <c r="U249" s="3"/>
      <c r="V249" s="905"/>
      <c r="W249" s="3"/>
      <c r="X249" s="3"/>
    </row>
    <row r="250" spans="1:24" ht="24.75" customHeight="1">
      <c r="A250" s="3"/>
      <c r="B250" s="3"/>
      <c r="C250" s="3"/>
      <c r="D250" s="3"/>
      <c r="E250" s="3"/>
      <c r="F250" s="3"/>
      <c r="G250" s="3"/>
      <c r="H250" s="3"/>
      <c r="I250" s="3"/>
      <c r="J250" s="3"/>
      <c r="K250" s="3"/>
      <c r="L250" s="3"/>
      <c r="M250" s="3"/>
      <c r="N250" s="3"/>
      <c r="O250" s="3"/>
      <c r="P250" s="3"/>
      <c r="Q250" s="3"/>
      <c r="R250" s="3"/>
      <c r="S250" s="3"/>
      <c r="T250" s="3"/>
      <c r="U250" s="3"/>
      <c r="V250" s="905"/>
      <c r="W250" s="3"/>
      <c r="X250" s="3"/>
    </row>
    <row r="251" spans="1:24" ht="24.75" customHeight="1">
      <c r="A251" s="3"/>
      <c r="B251" s="3"/>
      <c r="C251" s="3"/>
      <c r="D251" s="3"/>
      <c r="E251" s="3"/>
      <c r="F251" s="3"/>
      <c r="G251" s="3"/>
      <c r="H251" s="3"/>
      <c r="I251" s="3"/>
      <c r="J251" s="3"/>
      <c r="K251" s="3"/>
      <c r="L251" s="3"/>
      <c r="M251" s="3"/>
      <c r="N251" s="3"/>
      <c r="O251" s="3"/>
      <c r="P251" s="3"/>
      <c r="Q251" s="3"/>
      <c r="R251" s="3"/>
      <c r="S251" s="3"/>
      <c r="T251" s="3"/>
      <c r="U251" s="3"/>
      <c r="V251" s="905"/>
      <c r="W251" s="3"/>
      <c r="X251" s="3"/>
    </row>
    <row r="252" spans="1:24" ht="24.75" customHeight="1">
      <c r="A252" s="3"/>
      <c r="B252" s="3"/>
      <c r="C252" s="3"/>
      <c r="D252" s="3"/>
      <c r="E252" s="3"/>
      <c r="F252" s="3"/>
      <c r="G252" s="3"/>
      <c r="H252" s="3"/>
      <c r="I252" s="3"/>
      <c r="J252" s="3"/>
      <c r="K252" s="3"/>
      <c r="L252" s="3"/>
      <c r="M252" s="3"/>
      <c r="N252" s="3"/>
      <c r="O252" s="3"/>
      <c r="P252" s="3"/>
      <c r="Q252" s="3"/>
      <c r="R252" s="3"/>
      <c r="S252" s="3"/>
      <c r="T252" s="3"/>
      <c r="U252" s="3"/>
      <c r="V252" s="905"/>
      <c r="W252" s="3"/>
      <c r="X252" s="3"/>
    </row>
    <row r="253" spans="1:24" ht="24.75" customHeight="1">
      <c r="A253" s="3"/>
      <c r="B253" s="3"/>
      <c r="C253" s="3"/>
      <c r="D253" s="3"/>
      <c r="E253" s="3"/>
      <c r="F253" s="3"/>
      <c r="G253" s="3"/>
      <c r="H253" s="3"/>
      <c r="I253" s="3"/>
      <c r="J253" s="3"/>
      <c r="K253" s="3"/>
      <c r="L253" s="3"/>
      <c r="M253" s="3"/>
      <c r="N253" s="3"/>
      <c r="O253" s="3"/>
      <c r="P253" s="3"/>
      <c r="Q253" s="3"/>
      <c r="R253" s="3"/>
      <c r="S253" s="3"/>
      <c r="T253" s="3"/>
      <c r="U253" s="3"/>
      <c r="V253" s="905"/>
      <c r="W253" s="3"/>
      <c r="X253" s="3"/>
    </row>
    <row r="254" spans="1:24" ht="24.75" customHeight="1">
      <c r="A254" s="3"/>
      <c r="B254" s="3"/>
      <c r="C254" s="3"/>
      <c r="D254" s="3"/>
      <c r="E254" s="3"/>
      <c r="F254" s="3"/>
      <c r="G254" s="3"/>
      <c r="H254" s="3"/>
      <c r="I254" s="3"/>
      <c r="J254" s="3"/>
      <c r="K254" s="3"/>
      <c r="L254" s="3"/>
      <c r="M254" s="3"/>
      <c r="N254" s="3"/>
      <c r="O254" s="3"/>
      <c r="P254" s="3"/>
      <c r="Q254" s="3"/>
      <c r="R254" s="3"/>
      <c r="S254" s="3"/>
      <c r="T254" s="3"/>
      <c r="U254" s="3"/>
      <c r="V254" s="905"/>
      <c r="W254" s="3"/>
      <c r="X254" s="3"/>
    </row>
    <row r="255" spans="1:24" ht="24.75" customHeight="1">
      <c r="A255" s="3"/>
      <c r="B255" s="3"/>
      <c r="C255" s="3"/>
      <c r="D255" s="3"/>
      <c r="E255" s="3"/>
      <c r="F255" s="3"/>
      <c r="G255" s="3"/>
      <c r="H255" s="3"/>
      <c r="I255" s="3"/>
      <c r="J255" s="3"/>
      <c r="K255" s="3"/>
      <c r="L255" s="3"/>
      <c r="M255" s="3"/>
      <c r="N255" s="3"/>
      <c r="O255" s="3"/>
      <c r="P255" s="3"/>
      <c r="Q255" s="3"/>
      <c r="R255" s="3"/>
      <c r="S255" s="3"/>
      <c r="T255" s="3"/>
      <c r="U255" s="3"/>
      <c r="V255" s="905"/>
      <c r="W255" s="3"/>
      <c r="X255" s="3"/>
    </row>
    <row r="256" spans="1:24" ht="24.75" customHeight="1">
      <c r="A256" s="3"/>
      <c r="B256" s="3"/>
      <c r="C256" s="3"/>
      <c r="D256" s="3"/>
      <c r="E256" s="3"/>
      <c r="F256" s="3"/>
      <c r="G256" s="3"/>
      <c r="H256" s="3"/>
      <c r="I256" s="3"/>
      <c r="J256" s="3"/>
      <c r="K256" s="3"/>
      <c r="L256" s="3"/>
      <c r="M256" s="3"/>
      <c r="N256" s="3"/>
      <c r="O256" s="3"/>
      <c r="P256" s="3"/>
      <c r="Q256" s="3"/>
      <c r="R256" s="3"/>
      <c r="S256" s="3"/>
      <c r="T256" s="3"/>
      <c r="U256" s="3"/>
      <c r="V256" s="905"/>
      <c r="W256" s="3"/>
      <c r="X256" s="3"/>
    </row>
    <row r="257" spans="1:24" ht="24.75" customHeight="1">
      <c r="A257" s="3"/>
      <c r="B257" s="3"/>
      <c r="C257" s="3"/>
      <c r="D257" s="3"/>
      <c r="E257" s="3"/>
      <c r="F257" s="3"/>
      <c r="G257" s="3"/>
      <c r="H257" s="3"/>
      <c r="I257" s="3"/>
      <c r="J257" s="3"/>
      <c r="K257" s="3"/>
      <c r="L257" s="3"/>
      <c r="M257" s="3"/>
      <c r="N257" s="3"/>
      <c r="O257" s="3"/>
      <c r="P257" s="3"/>
      <c r="Q257" s="3"/>
      <c r="R257" s="3"/>
      <c r="S257" s="3"/>
      <c r="T257" s="3"/>
      <c r="U257" s="3"/>
      <c r="V257" s="905"/>
      <c r="W257" s="3"/>
      <c r="X257" s="3"/>
    </row>
    <row r="258" spans="1:24" ht="24.75" customHeight="1">
      <c r="A258" s="3"/>
      <c r="B258" s="3"/>
      <c r="C258" s="3"/>
      <c r="D258" s="3"/>
      <c r="E258" s="3"/>
      <c r="F258" s="3"/>
      <c r="G258" s="3"/>
      <c r="H258" s="3"/>
      <c r="I258" s="3"/>
      <c r="J258" s="3"/>
      <c r="K258" s="3"/>
      <c r="L258" s="3"/>
      <c r="M258" s="3"/>
      <c r="N258" s="3"/>
      <c r="O258" s="3"/>
      <c r="P258" s="3"/>
      <c r="Q258" s="3"/>
      <c r="R258" s="3"/>
      <c r="S258" s="3"/>
      <c r="T258" s="3"/>
      <c r="U258" s="3"/>
      <c r="V258" s="905"/>
      <c r="W258" s="3"/>
      <c r="X258" s="3"/>
    </row>
    <row r="259" spans="1:24" ht="24.75" customHeight="1">
      <c r="A259" s="3"/>
      <c r="B259" s="3"/>
      <c r="C259" s="3"/>
      <c r="D259" s="3"/>
      <c r="E259" s="3"/>
      <c r="F259" s="3"/>
      <c r="G259" s="3"/>
      <c r="H259" s="3"/>
      <c r="I259" s="3"/>
      <c r="J259" s="3"/>
      <c r="K259" s="3"/>
      <c r="L259" s="3"/>
      <c r="M259" s="3"/>
      <c r="N259" s="3"/>
      <c r="O259" s="3"/>
      <c r="P259" s="3"/>
      <c r="Q259" s="3"/>
      <c r="R259" s="3"/>
      <c r="S259" s="3"/>
      <c r="T259" s="3"/>
      <c r="U259" s="3"/>
      <c r="V259" s="905"/>
      <c r="W259" s="3"/>
      <c r="X259" s="3"/>
    </row>
    <row r="260" spans="1:24" ht="24.75" customHeight="1">
      <c r="A260" s="3"/>
      <c r="B260" s="3"/>
      <c r="C260" s="3"/>
      <c r="D260" s="3"/>
      <c r="E260" s="3"/>
      <c r="F260" s="3"/>
      <c r="G260" s="3"/>
      <c r="H260" s="3"/>
      <c r="I260" s="3"/>
      <c r="J260" s="3"/>
      <c r="K260" s="3"/>
      <c r="L260" s="3"/>
      <c r="M260" s="3"/>
      <c r="N260" s="3"/>
      <c r="O260" s="3"/>
      <c r="P260" s="3"/>
      <c r="Q260" s="3"/>
      <c r="R260" s="3"/>
      <c r="S260" s="3"/>
      <c r="T260" s="3"/>
      <c r="U260" s="3"/>
      <c r="V260" s="905"/>
      <c r="W260" s="3"/>
      <c r="X260" s="3"/>
    </row>
    <row r="261" spans="1:24" ht="24.75" customHeight="1">
      <c r="A261" s="3"/>
      <c r="B261" s="3"/>
      <c r="C261" s="3"/>
      <c r="D261" s="3"/>
      <c r="E261" s="3"/>
      <c r="F261" s="3"/>
      <c r="G261" s="3"/>
      <c r="H261" s="3"/>
      <c r="I261" s="3"/>
      <c r="J261" s="3"/>
      <c r="K261" s="3"/>
      <c r="L261" s="3"/>
      <c r="M261" s="3"/>
      <c r="N261" s="3"/>
      <c r="O261" s="3"/>
      <c r="P261" s="3"/>
      <c r="Q261" s="3"/>
      <c r="R261" s="3"/>
      <c r="S261" s="3"/>
      <c r="T261" s="3"/>
      <c r="U261" s="3"/>
      <c r="V261" s="905"/>
      <c r="W261" s="3"/>
      <c r="X261" s="3"/>
    </row>
    <row r="262" spans="1:24" ht="24.75" customHeight="1">
      <c r="A262" s="3"/>
      <c r="B262" s="3"/>
      <c r="C262" s="3"/>
      <c r="D262" s="3"/>
      <c r="E262" s="3"/>
      <c r="F262" s="3"/>
      <c r="G262" s="3"/>
      <c r="H262" s="3"/>
      <c r="I262" s="3"/>
      <c r="J262" s="3"/>
      <c r="K262" s="3"/>
      <c r="L262" s="3"/>
      <c r="M262" s="3"/>
      <c r="N262" s="3"/>
      <c r="O262" s="3"/>
      <c r="P262" s="3"/>
      <c r="Q262" s="3"/>
      <c r="R262" s="3"/>
      <c r="S262" s="3"/>
      <c r="T262" s="3"/>
      <c r="U262" s="3"/>
      <c r="V262" s="905"/>
      <c r="W262" s="3"/>
      <c r="X262" s="3"/>
    </row>
    <row r="263" spans="1:24" ht="24.75" customHeight="1">
      <c r="A263" s="3"/>
      <c r="B263" s="3"/>
      <c r="C263" s="3"/>
      <c r="D263" s="3"/>
      <c r="E263" s="3"/>
      <c r="F263" s="3"/>
      <c r="G263" s="3"/>
      <c r="H263" s="3"/>
      <c r="I263" s="3"/>
      <c r="J263" s="3"/>
      <c r="K263" s="3"/>
      <c r="L263" s="3"/>
      <c r="M263" s="3"/>
      <c r="N263" s="3"/>
      <c r="O263" s="3"/>
      <c r="P263" s="3"/>
      <c r="Q263" s="3"/>
      <c r="R263" s="3"/>
      <c r="S263" s="3"/>
      <c r="T263" s="3"/>
      <c r="U263" s="3"/>
      <c r="V263" s="905"/>
      <c r="W263" s="3"/>
      <c r="X263" s="3"/>
    </row>
    <row r="264" spans="1:24" ht="24.75" customHeight="1">
      <c r="A264" s="3"/>
      <c r="B264" s="3"/>
      <c r="C264" s="3"/>
      <c r="D264" s="3"/>
      <c r="E264" s="3"/>
      <c r="F264" s="3"/>
      <c r="G264" s="3"/>
      <c r="H264" s="3"/>
      <c r="I264" s="3"/>
      <c r="J264" s="3"/>
      <c r="K264" s="3"/>
      <c r="L264" s="3"/>
      <c r="M264" s="3"/>
      <c r="N264" s="3"/>
      <c r="O264" s="3"/>
      <c r="P264" s="3"/>
      <c r="Q264" s="3"/>
      <c r="R264" s="3"/>
      <c r="S264" s="3"/>
      <c r="T264" s="3"/>
      <c r="U264" s="3"/>
      <c r="V264" s="905"/>
      <c r="W264" s="3"/>
      <c r="X264" s="3"/>
    </row>
    <row r="265" spans="1:24" ht="24.75" customHeight="1">
      <c r="A265" s="3"/>
      <c r="B265" s="3"/>
      <c r="C265" s="3"/>
      <c r="D265" s="3"/>
      <c r="E265" s="3"/>
      <c r="F265" s="3"/>
      <c r="G265" s="3"/>
      <c r="H265" s="3"/>
      <c r="I265" s="3"/>
      <c r="J265" s="3"/>
      <c r="K265" s="3"/>
      <c r="L265" s="3"/>
      <c r="M265" s="3"/>
      <c r="N265" s="3"/>
      <c r="O265" s="3"/>
      <c r="P265" s="3"/>
      <c r="Q265" s="3"/>
      <c r="R265" s="3"/>
      <c r="S265" s="3"/>
      <c r="T265" s="3"/>
      <c r="U265" s="3"/>
      <c r="V265" s="905"/>
      <c r="W265" s="3"/>
      <c r="X265" s="3"/>
    </row>
    <row r="266" spans="1:24" ht="24.75" customHeight="1">
      <c r="A266" s="3"/>
      <c r="B266" s="3"/>
      <c r="C266" s="3"/>
      <c r="D266" s="3"/>
      <c r="E266" s="3"/>
      <c r="F266" s="3"/>
      <c r="G266" s="3"/>
      <c r="H266" s="3"/>
      <c r="I266" s="3"/>
      <c r="J266" s="3"/>
      <c r="K266" s="3"/>
      <c r="L266" s="3"/>
      <c r="M266" s="3"/>
      <c r="N266" s="3"/>
      <c r="O266" s="3"/>
      <c r="P266" s="3"/>
      <c r="Q266" s="3"/>
      <c r="R266" s="3"/>
      <c r="S266" s="3"/>
      <c r="T266" s="3"/>
      <c r="U266" s="3"/>
      <c r="V266" s="905"/>
      <c r="W266" s="3"/>
      <c r="X266" s="3"/>
    </row>
    <row r="267" spans="1:24" ht="24.75" customHeight="1">
      <c r="A267" s="3"/>
      <c r="B267" s="3"/>
      <c r="C267" s="3"/>
      <c r="D267" s="3"/>
      <c r="E267" s="3"/>
      <c r="F267" s="3"/>
      <c r="G267" s="3"/>
      <c r="H267" s="3"/>
      <c r="I267" s="3"/>
      <c r="J267" s="3"/>
      <c r="K267" s="3"/>
      <c r="L267" s="3"/>
      <c r="M267" s="3"/>
      <c r="N267" s="3"/>
      <c r="O267" s="3"/>
      <c r="P267" s="3"/>
      <c r="Q267" s="3"/>
      <c r="R267" s="3"/>
      <c r="S267" s="3"/>
      <c r="T267" s="3"/>
      <c r="U267" s="3"/>
      <c r="V267" s="905"/>
      <c r="W267" s="3"/>
      <c r="X267" s="3"/>
    </row>
    <row r="268" spans="1:24" ht="24.75" customHeight="1">
      <c r="A268" s="3"/>
      <c r="B268" s="3"/>
      <c r="C268" s="3"/>
      <c r="D268" s="3"/>
      <c r="E268" s="3"/>
      <c r="F268" s="3"/>
      <c r="G268" s="3"/>
      <c r="H268" s="3"/>
      <c r="I268" s="3"/>
      <c r="J268" s="3"/>
      <c r="K268" s="3"/>
      <c r="L268" s="3"/>
      <c r="M268" s="3"/>
      <c r="N268" s="3"/>
      <c r="O268" s="3"/>
      <c r="P268" s="3"/>
      <c r="Q268" s="3"/>
      <c r="R268" s="3"/>
      <c r="S268" s="3"/>
      <c r="T268" s="3"/>
      <c r="U268" s="3"/>
      <c r="V268" s="905"/>
      <c r="W268" s="3"/>
      <c r="X268" s="3"/>
    </row>
    <row r="269" spans="1:24" ht="24.75" customHeight="1">
      <c r="A269" s="3"/>
      <c r="B269" s="3"/>
      <c r="C269" s="3"/>
      <c r="D269" s="3"/>
      <c r="E269" s="3"/>
      <c r="F269" s="3"/>
      <c r="G269" s="3"/>
      <c r="H269" s="3"/>
      <c r="I269" s="3"/>
      <c r="J269" s="3"/>
      <c r="K269" s="3"/>
      <c r="L269" s="3"/>
      <c r="M269" s="3"/>
      <c r="N269" s="3"/>
      <c r="O269" s="3"/>
      <c r="P269" s="3"/>
      <c r="Q269" s="3"/>
      <c r="R269" s="3"/>
      <c r="S269" s="3"/>
      <c r="T269" s="3"/>
      <c r="U269" s="3"/>
      <c r="V269" s="905"/>
      <c r="W269" s="3"/>
      <c r="X269" s="3"/>
    </row>
    <row r="270" spans="1:24" ht="24.75" customHeight="1">
      <c r="A270" s="3"/>
      <c r="B270" s="3"/>
      <c r="C270" s="3"/>
      <c r="D270" s="3"/>
      <c r="E270" s="3"/>
      <c r="F270" s="3"/>
      <c r="G270" s="3"/>
      <c r="H270" s="3"/>
      <c r="I270" s="3"/>
      <c r="J270" s="3"/>
      <c r="K270" s="3"/>
      <c r="L270" s="3"/>
      <c r="M270" s="3"/>
      <c r="N270" s="3"/>
      <c r="O270" s="3"/>
      <c r="P270" s="3"/>
      <c r="Q270" s="3"/>
      <c r="R270" s="3"/>
      <c r="S270" s="3"/>
      <c r="T270" s="3"/>
      <c r="U270" s="3"/>
      <c r="V270" s="905"/>
      <c r="W270" s="3"/>
      <c r="X270" s="3"/>
    </row>
    <row r="271" spans="1:24" ht="24.75" customHeight="1">
      <c r="A271" s="3"/>
      <c r="B271" s="3"/>
      <c r="C271" s="3"/>
      <c r="D271" s="3"/>
      <c r="E271" s="3"/>
      <c r="F271" s="3"/>
      <c r="G271" s="3"/>
      <c r="H271" s="3"/>
      <c r="I271" s="3"/>
      <c r="J271" s="3"/>
      <c r="K271" s="3"/>
      <c r="L271" s="3"/>
      <c r="M271" s="3"/>
      <c r="N271" s="3"/>
      <c r="O271" s="3"/>
      <c r="P271" s="3"/>
      <c r="Q271" s="3"/>
      <c r="R271" s="3"/>
      <c r="S271" s="3"/>
      <c r="T271" s="3"/>
      <c r="U271" s="3"/>
      <c r="V271" s="905"/>
      <c r="W271" s="3"/>
      <c r="X271" s="3"/>
    </row>
    <row r="272" spans="1:24" ht="24.75" customHeight="1">
      <c r="A272" s="3"/>
      <c r="B272" s="3"/>
      <c r="C272" s="3"/>
      <c r="D272" s="3"/>
      <c r="E272" s="3"/>
      <c r="F272" s="3"/>
      <c r="G272" s="3"/>
      <c r="H272" s="3"/>
      <c r="I272" s="3"/>
      <c r="J272" s="3"/>
      <c r="K272" s="3"/>
      <c r="L272" s="3"/>
      <c r="M272" s="3"/>
      <c r="N272" s="3"/>
      <c r="O272" s="3"/>
      <c r="P272" s="3"/>
      <c r="Q272" s="3"/>
      <c r="R272" s="3"/>
      <c r="S272" s="3"/>
      <c r="T272" s="3"/>
      <c r="U272" s="3"/>
      <c r="V272" s="905"/>
      <c r="W272" s="3"/>
      <c r="X272" s="3"/>
    </row>
    <row r="273" spans="1:24" ht="24.75" customHeight="1">
      <c r="A273" s="3"/>
      <c r="B273" s="3"/>
      <c r="C273" s="3"/>
      <c r="D273" s="3"/>
      <c r="E273" s="3"/>
      <c r="F273" s="3"/>
      <c r="G273" s="3"/>
      <c r="H273" s="3"/>
      <c r="I273" s="3"/>
      <c r="J273" s="3"/>
      <c r="K273" s="3"/>
      <c r="L273" s="3"/>
      <c r="M273" s="3"/>
      <c r="N273" s="3"/>
      <c r="O273" s="3"/>
      <c r="P273" s="3"/>
      <c r="Q273" s="3"/>
      <c r="R273" s="3"/>
      <c r="S273" s="3"/>
      <c r="T273" s="3"/>
      <c r="U273" s="3"/>
      <c r="V273" s="905"/>
      <c r="W273" s="3"/>
      <c r="X273" s="3"/>
    </row>
    <row r="274" spans="1:24" ht="24.75" customHeight="1">
      <c r="A274" s="3"/>
      <c r="B274" s="3"/>
      <c r="C274" s="3"/>
      <c r="D274" s="3"/>
      <c r="E274" s="3"/>
      <c r="F274" s="3"/>
      <c r="G274" s="3"/>
      <c r="H274" s="3"/>
      <c r="I274" s="3"/>
      <c r="J274" s="3"/>
      <c r="K274" s="3"/>
      <c r="L274" s="3"/>
      <c r="M274" s="3"/>
      <c r="N274" s="3"/>
      <c r="O274" s="3"/>
      <c r="P274" s="3"/>
      <c r="Q274" s="3"/>
      <c r="R274" s="3"/>
      <c r="S274" s="3"/>
      <c r="T274" s="3"/>
      <c r="U274" s="3"/>
      <c r="V274" s="905"/>
      <c r="W274" s="3"/>
      <c r="X274" s="3"/>
    </row>
    <row r="275" spans="1:24" ht="24.75" customHeight="1">
      <c r="A275" s="3"/>
      <c r="B275" s="3"/>
      <c r="C275" s="3"/>
      <c r="D275" s="3"/>
      <c r="E275" s="3"/>
      <c r="F275" s="3"/>
      <c r="G275" s="3"/>
      <c r="H275" s="3"/>
      <c r="I275" s="3"/>
      <c r="J275" s="3"/>
      <c r="K275" s="3"/>
      <c r="L275" s="3"/>
      <c r="M275" s="3"/>
      <c r="N275" s="3"/>
      <c r="O275" s="3"/>
      <c r="P275" s="3"/>
      <c r="Q275" s="3"/>
      <c r="R275" s="3"/>
      <c r="S275" s="3"/>
      <c r="T275" s="3"/>
      <c r="U275" s="3"/>
      <c r="V275" s="905"/>
      <c r="W275" s="3"/>
      <c r="X275" s="3"/>
    </row>
    <row r="276" spans="1:24" ht="24.75" customHeight="1">
      <c r="A276" s="3"/>
      <c r="B276" s="3"/>
      <c r="C276" s="3"/>
      <c r="D276" s="3"/>
      <c r="E276" s="3"/>
      <c r="F276" s="3"/>
      <c r="G276" s="3"/>
      <c r="H276" s="3"/>
      <c r="I276" s="3"/>
      <c r="J276" s="3"/>
      <c r="K276" s="3"/>
      <c r="L276" s="3"/>
      <c r="M276" s="3"/>
      <c r="N276" s="3"/>
      <c r="O276" s="3"/>
      <c r="P276" s="3"/>
      <c r="Q276" s="3"/>
      <c r="R276" s="3"/>
      <c r="S276" s="3"/>
      <c r="T276" s="3"/>
      <c r="U276" s="3"/>
      <c r="V276" s="905"/>
      <c r="W276" s="3"/>
      <c r="X276" s="3"/>
    </row>
    <row r="277" spans="1:24" ht="24.75" customHeight="1">
      <c r="A277" s="3"/>
      <c r="B277" s="3"/>
      <c r="C277" s="3"/>
      <c r="D277" s="3"/>
      <c r="E277" s="3"/>
      <c r="F277" s="3"/>
      <c r="G277" s="3"/>
      <c r="H277" s="3"/>
      <c r="I277" s="3"/>
      <c r="J277" s="3"/>
      <c r="K277" s="3"/>
      <c r="L277" s="3"/>
      <c r="M277" s="3"/>
      <c r="N277" s="3"/>
      <c r="O277" s="3"/>
      <c r="P277" s="3"/>
      <c r="Q277" s="3"/>
      <c r="R277" s="3"/>
      <c r="S277" s="3"/>
      <c r="T277" s="3"/>
      <c r="U277" s="3"/>
      <c r="V277" s="905"/>
      <c r="W277" s="3"/>
      <c r="X277" s="3"/>
    </row>
    <row r="278" spans="1:24" ht="24.75" customHeight="1">
      <c r="A278" s="3"/>
      <c r="B278" s="3"/>
      <c r="C278" s="3"/>
      <c r="D278" s="3"/>
      <c r="E278" s="3"/>
      <c r="F278" s="3"/>
      <c r="G278" s="3"/>
      <c r="H278" s="3"/>
      <c r="I278" s="3"/>
      <c r="J278" s="3"/>
      <c r="K278" s="3"/>
      <c r="L278" s="3"/>
      <c r="M278" s="3"/>
      <c r="N278" s="3"/>
      <c r="O278" s="3"/>
      <c r="P278" s="3"/>
      <c r="Q278" s="3"/>
      <c r="R278" s="3"/>
      <c r="S278" s="3"/>
      <c r="T278" s="3"/>
      <c r="U278" s="3"/>
      <c r="V278" s="905"/>
      <c r="W278" s="3"/>
      <c r="X278" s="3"/>
    </row>
    <row r="279" spans="1:24" ht="24.75" customHeight="1">
      <c r="A279" s="3"/>
      <c r="B279" s="3"/>
      <c r="C279" s="3"/>
      <c r="D279" s="3"/>
      <c r="E279" s="3"/>
      <c r="F279" s="3"/>
      <c r="G279" s="3"/>
      <c r="H279" s="3"/>
      <c r="I279" s="3"/>
      <c r="J279" s="3"/>
      <c r="K279" s="3"/>
      <c r="L279" s="3"/>
      <c r="M279" s="3"/>
      <c r="N279" s="3"/>
      <c r="O279" s="3"/>
      <c r="P279" s="3"/>
      <c r="Q279" s="3"/>
      <c r="R279" s="3"/>
      <c r="S279" s="3"/>
      <c r="T279" s="3"/>
      <c r="U279" s="3"/>
      <c r="V279" s="905"/>
      <c r="W279" s="3"/>
      <c r="X279" s="3"/>
    </row>
    <row r="280" spans="1:24" ht="24.75" customHeight="1">
      <c r="A280" s="3"/>
      <c r="B280" s="3"/>
      <c r="C280" s="3"/>
      <c r="D280" s="3"/>
      <c r="E280" s="3"/>
      <c r="F280" s="3"/>
      <c r="G280" s="3"/>
      <c r="H280" s="3"/>
      <c r="I280" s="3"/>
      <c r="J280" s="3"/>
      <c r="K280" s="3"/>
      <c r="L280" s="3"/>
      <c r="M280" s="3"/>
      <c r="N280" s="3"/>
      <c r="O280" s="3"/>
      <c r="P280" s="3"/>
      <c r="Q280" s="3"/>
      <c r="R280" s="3"/>
      <c r="S280" s="3"/>
      <c r="T280" s="3"/>
      <c r="U280" s="3"/>
      <c r="V280" s="905"/>
      <c r="W280" s="3"/>
      <c r="X280" s="3"/>
    </row>
    <row r="281" spans="1:24" ht="24.75" customHeight="1">
      <c r="A281" s="3"/>
      <c r="B281" s="3"/>
      <c r="C281" s="3"/>
      <c r="D281" s="3"/>
      <c r="E281" s="3"/>
      <c r="F281" s="3"/>
      <c r="G281" s="3"/>
      <c r="H281" s="3"/>
      <c r="I281" s="3"/>
      <c r="J281" s="3"/>
      <c r="K281" s="3"/>
      <c r="L281" s="3"/>
      <c r="M281" s="3"/>
      <c r="N281" s="3"/>
      <c r="O281" s="3"/>
      <c r="P281" s="3"/>
      <c r="Q281" s="3"/>
      <c r="R281" s="3"/>
      <c r="S281" s="3"/>
      <c r="T281" s="3"/>
      <c r="U281" s="3"/>
      <c r="V281" s="905"/>
      <c r="W281" s="3"/>
      <c r="X281" s="3"/>
    </row>
    <row r="282" spans="1:24" ht="24.75" customHeight="1">
      <c r="A282" s="3"/>
      <c r="B282" s="3"/>
      <c r="C282" s="3"/>
      <c r="D282" s="3"/>
      <c r="E282" s="3"/>
      <c r="F282" s="3"/>
      <c r="G282" s="3"/>
      <c r="H282" s="3"/>
      <c r="I282" s="3"/>
      <c r="J282" s="3"/>
      <c r="K282" s="3"/>
      <c r="L282" s="3"/>
      <c r="M282" s="3"/>
      <c r="N282" s="3"/>
      <c r="O282" s="3"/>
      <c r="P282" s="3"/>
      <c r="Q282" s="3"/>
      <c r="R282" s="3"/>
      <c r="S282" s="3"/>
      <c r="T282" s="3"/>
      <c r="U282" s="3"/>
      <c r="V282" s="905"/>
      <c r="W282" s="3"/>
      <c r="X282" s="3"/>
    </row>
    <row r="283" spans="1:24" ht="24.75" customHeight="1">
      <c r="A283" s="3"/>
      <c r="B283" s="3"/>
      <c r="C283" s="3"/>
      <c r="D283" s="3"/>
      <c r="E283" s="3"/>
      <c r="F283" s="3"/>
      <c r="G283" s="3"/>
      <c r="H283" s="3"/>
      <c r="I283" s="3"/>
      <c r="J283" s="3"/>
      <c r="K283" s="3"/>
      <c r="L283" s="3"/>
      <c r="M283" s="3"/>
      <c r="N283" s="3"/>
      <c r="O283" s="3"/>
      <c r="P283" s="3"/>
      <c r="Q283" s="3"/>
      <c r="R283" s="3"/>
      <c r="S283" s="3"/>
      <c r="T283" s="3"/>
      <c r="U283" s="3"/>
      <c r="V283" s="905"/>
      <c r="W283" s="3"/>
      <c r="X283" s="3"/>
    </row>
    <row r="284" spans="1:24" ht="24.75" customHeight="1">
      <c r="A284" s="3"/>
      <c r="B284" s="3"/>
      <c r="C284" s="3"/>
      <c r="D284" s="3"/>
      <c r="E284" s="3"/>
      <c r="F284" s="3"/>
      <c r="G284" s="3"/>
      <c r="H284" s="3"/>
      <c r="I284" s="3"/>
      <c r="J284" s="3"/>
      <c r="K284" s="3"/>
      <c r="L284" s="3"/>
      <c r="M284" s="3"/>
      <c r="N284" s="3"/>
      <c r="O284" s="3"/>
      <c r="P284" s="3"/>
      <c r="Q284" s="3"/>
      <c r="R284" s="3"/>
      <c r="S284" s="3"/>
      <c r="T284" s="3"/>
      <c r="U284" s="3"/>
      <c r="V284" s="905"/>
      <c r="W284" s="3"/>
      <c r="X284" s="3"/>
    </row>
    <row r="285" spans="1:24" ht="24.75" customHeight="1">
      <c r="A285" s="3"/>
      <c r="B285" s="3"/>
      <c r="C285" s="3"/>
      <c r="D285" s="3"/>
      <c r="E285" s="3"/>
      <c r="F285" s="3"/>
      <c r="G285" s="3"/>
      <c r="H285" s="3"/>
      <c r="I285" s="3"/>
      <c r="J285" s="3"/>
      <c r="K285" s="3"/>
      <c r="L285" s="3"/>
      <c r="M285" s="3"/>
      <c r="N285" s="3"/>
      <c r="O285" s="3"/>
      <c r="P285" s="3"/>
      <c r="Q285" s="3"/>
      <c r="R285" s="3"/>
      <c r="S285" s="3"/>
      <c r="T285" s="3"/>
      <c r="U285" s="3"/>
      <c r="V285" s="905"/>
      <c r="W285" s="3"/>
      <c r="X285" s="3"/>
    </row>
    <row r="286" spans="1:24" ht="24.75" customHeight="1">
      <c r="A286" s="3"/>
      <c r="B286" s="3"/>
      <c r="C286" s="3"/>
      <c r="D286" s="3"/>
      <c r="E286" s="3"/>
      <c r="F286" s="3"/>
      <c r="G286" s="3"/>
      <c r="H286" s="3"/>
      <c r="I286" s="3"/>
      <c r="J286" s="3"/>
      <c r="K286" s="3"/>
      <c r="L286" s="3"/>
      <c r="M286" s="3"/>
      <c r="N286" s="3"/>
      <c r="O286" s="3"/>
      <c r="P286" s="3"/>
      <c r="Q286" s="3"/>
      <c r="R286" s="3"/>
      <c r="S286" s="3"/>
      <c r="T286" s="3"/>
      <c r="U286" s="3"/>
      <c r="V286" s="905"/>
      <c r="W286" s="3"/>
      <c r="X286" s="3"/>
    </row>
    <row r="287" spans="1:24" ht="24.75" customHeight="1">
      <c r="A287" s="3"/>
      <c r="B287" s="3"/>
      <c r="C287" s="3"/>
      <c r="D287" s="3"/>
      <c r="E287" s="3"/>
      <c r="F287" s="3"/>
      <c r="G287" s="3"/>
      <c r="H287" s="3"/>
      <c r="I287" s="3"/>
      <c r="J287" s="3"/>
      <c r="K287" s="3"/>
      <c r="L287" s="3"/>
      <c r="M287" s="3"/>
      <c r="N287" s="3"/>
      <c r="O287" s="3"/>
      <c r="P287" s="3"/>
      <c r="Q287" s="3"/>
      <c r="R287" s="3"/>
      <c r="S287" s="3"/>
      <c r="T287" s="3"/>
      <c r="U287" s="3"/>
      <c r="V287" s="905"/>
      <c r="W287" s="3"/>
      <c r="X287" s="3"/>
    </row>
    <row r="288" spans="1:24" ht="24.75" customHeight="1">
      <c r="A288" s="3"/>
      <c r="B288" s="3"/>
      <c r="C288" s="3"/>
      <c r="D288" s="3"/>
      <c r="E288" s="3"/>
      <c r="F288" s="3"/>
      <c r="G288" s="3"/>
      <c r="H288" s="3"/>
      <c r="I288" s="3"/>
      <c r="J288" s="3"/>
      <c r="K288" s="3"/>
      <c r="L288" s="3"/>
      <c r="M288" s="3"/>
      <c r="N288" s="3"/>
      <c r="O288" s="3"/>
      <c r="P288" s="3"/>
      <c r="Q288" s="3"/>
      <c r="R288" s="3"/>
      <c r="S288" s="3"/>
      <c r="T288" s="3"/>
      <c r="U288" s="3"/>
      <c r="V288" s="905"/>
      <c r="W288" s="3"/>
      <c r="X288" s="3"/>
    </row>
    <row r="289" spans="1:24" ht="24.75" customHeight="1">
      <c r="A289" s="3"/>
      <c r="B289" s="3"/>
      <c r="C289" s="3"/>
      <c r="D289" s="3"/>
      <c r="E289" s="3"/>
      <c r="F289" s="3"/>
      <c r="G289" s="3"/>
      <c r="H289" s="3"/>
      <c r="I289" s="3"/>
      <c r="J289" s="3"/>
      <c r="K289" s="3"/>
      <c r="L289" s="3"/>
      <c r="M289" s="3"/>
      <c r="N289" s="3"/>
      <c r="O289" s="3"/>
      <c r="P289" s="3"/>
      <c r="Q289" s="3"/>
      <c r="R289" s="3"/>
      <c r="S289" s="3"/>
      <c r="T289" s="3"/>
      <c r="U289" s="3"/>
      <c r="V289" s="905"/>
      <c r="W289" s="3"/>
      <c r="X289" s="3"/>
    </row>
    <row r="290" spans="1:24" ht="24.75" customHeight="1">
      <c r="A290" s="3"/>
      <c r="B290" s="3"/>
      <c r="C290" s="3"/>
      <c r="D290" s="3"/>
      <c r="E290" s="3"/>
      <c r="F290" s="3"/>
      <c r="G290" s="3"/>
      <c r="H290" s="3"/>
      <c r="I290" s="3"/>
      <c r="J290" s="3"/>
      <c r="K290" s="3"/>
      <c r="L290" s="3"/>
      <c r="M290" s="3"/>
      <c r="N290" s="3"/>
      <c r="O290" s="3"/>
      <c r="P290" s="3"/>
      <c r="Q290" s="3"/>
      <c r="R290" s="3"/>
      <c r="S290" s="3"/>
      <c r="T290" s="3"/>
      <c r="U290" s="3"/>
      <c r="V290" s="905"/>
      <c r="W290" s="3"/>
      <c r="X290" s="3"/>
    </row>
    <row r="291" spans="1:24" ht="24.75" customHeight="1">
      <c r="A291" s="3"/>
      <c r="B291" s="3"/>
      <c r="C291" s="3"/>
      <c r="D291" s="3"/>
      <c r="E291" s="3"/>
      <c r="F291" s="3"/>
      <c r="G291" s="3"/>
      <c r="H291" s="3"/>
      <c r="I291" s="3"/>
      <c r="J291" s="3"/>
      <c r="K291" s="3"/>
      <c r="L291" s="3"/>
      <c r="M291" s="3"/>
      <c r="N291" s="3"/>
      <c r="O291" s="3"/>
      <c r="P291" s="3"/>
      <c r="Q291" s="3"/>
      <c r="R291" s="3"/>
      <c r="S291" s="3"/>
      <c r="T291" s="3"/>
      <c r="U291" s="3"/>
      <c r="V291" s="905"/>
      <c r="W291" s="3"/>
      <c r="X291" s="3"/>
    </row>
    <row r="292" spans="1:24" ht="24.75" customHeight="1">
      <c r="A292" s="3"/>
      <c r="B292" s="3"/>
      <c r="C292" s="3"/>
      <c r="D292" s="3"/>
      <c r="E292" s="3"/>
      <c r="F292" s="3"/>
      <c r="G292" s="3"/>
      <c r="H292" s="3"/>
      <c r="I292" s="3"/>
      <c r="J292" s="3"/>
      <c r="K292" s="3"/>
      <c r="L292" s="3"/>
      <c r="M292" s="3"/>
      <c r="N292" s="3"/>
      <c r="O292" s="3"/>
      <c r="P292" s="3"/>
      <c r="Q292" s="3"/>
      <c r="R292" s="3"/>
      <c r="S292" s="3"/>
      <c r="T292" s="3"/>
      <c r="U292" s="3"/>
      <c r="V292" s="905"/>
      <c r="W292" s="3"/>
      <c r="X292" s="3"/>
    </row>
    <row r="293" spans="1:24" ht="24.75" customHeight="1">
      <c r="A293" s="3"/>
      <c r="B293" s="3"/>
      <c r="C293" s="3"/>
      <c r="D293" s="3"/>
      <c r="E293" s="3"/>
      <c r="F293" s="3"/>
      <c r="G293" s="3"/>
      <c r="H293" s="3"/>
      <c r="I293" s="3"/>
      <c r="J293" s="3"/>
      <c r="K293" s="3"/>
      <c r="L293" s="3"/>
      <c r="M293" s="3"/>
      <c r="N293" s="3"/>
      <c r="O293" s="3"/>
      <c r="P293" s="3"/>
      <c r="Q293" s="3"/>
      <c r="R293" s="3"/>
      <c r="S293" s="3"/>
      <c r="T293" s="3"/>
      <c r="U293" s="3"/>
      <c r="V293" s="905"/>
      <c r="W293" s="3"/>
      <c r="X293" s="3"/>
    </row>
    <row r="294" spans="1:24" ht="24.75" customHeight="1">
      <c r="A294" s="3"/>
      <c r="B294" s="3"/>
      <c r="C294" s="3"/>
      <c r="D294" s="3"/>
      <c r="E294" s="3"/>
      <c r="F294" s="3"/>
      <c r="G294" s="3"/>
      <c r="H294" s="3"/>
      <c r="I294" s="3"/>
      <c r="J294" s="3"/>
      <c r="K294" s="3"/>
      <c r="L294" s="3"/>
      <c r="M294" s="3"/>
      <c r="N294" s="3"/>
      <c r="O294" s="3"/>
      <c r="P294" s="3"/>
      <c r="Q294" s="3"/>
      <c r="R294" s="3"/>
      <c r="S294" s="3"/>
      <c r="T294" s="3"/>
      <c r="U294" s="3"/>
      <c r="V294" s="905"/>
      <c r="W294" s="3"/>
      <c r="X294" s="3"/>
    </row>
    <row r="295" spans="1:24" ht="24.75" customHeight="1">
      <c r="A295" s="3"/>
      <c r="B295" s="3"/>
      <c r="C295" s="3"/>
      <c r="D295" s="3"/>
      <c r="E295" s="3"/>
      <c r="F295" s="3"/>
      <c r="G295" s="3"/>
      <c r="H295" s="3"/>
      <c r="I295" s="3"/>
      <c r="J295" s="3"/>
      <c r="K295" s="3"/>
      <c r="L295" s="3"/>
      <c r="M295" s="3"/>
      <c r="N295" s="3"/>
      <c r="O295" s="3"/>
      <c r="P295" s="3"/>
      <c r="Q295" s="3"/>
      <c r="R295" s="3"/>
      <c r="S295" s="3"/>
      <c r="T295" s="3"/>
      <c r="U295" s="3"/>
      <c r="V295" s="905"/>
      <c r="W295" s="3"/>
      <c r="X295" s="3"/>
    </row>
    <row r="296" spans="1:24" ht="24.75" customHeight="1">
      <c r="A296" s="3"/>
      <c r="B296" s="3"/>
      <c r="C296" s="3"/>
      <c r="D296" s="3"/>
      <c r="E296" s="3"/>
      <c r="F296" s="3"/>
      <c r="G296" s="3"/>
      <c r="H296" s="3"/>
      <c r="I296" s="3"/>
      <c r="J296" s="3"/>
      <c r="K296" s="3"/>
      <c r="L296" s="3"/>
      <c r="M296" s="3"/>
      <c r="N296" s="3"/>
      <c r="O296" s="3"/>
      <c r="P296" s="3"/>
      <c r="Q296" s="3"/>
      <c r="R296" s="3"/>
      <c r="S296" s="3"/>
      <c r="T296" s="3"/>
      <c r="U296" s="3"/>
      <c r="V296" s="905"/>
      <c r="W296" s="3"/>
      <c r="X296" s="3"/>
    </row>
    <row r="297" spans="1:24" ht="24.75" customHeight="1">
      <c r="A297" s="3"/>
      <c r="B297" s="3"/>
      <c r="C297" s="3"/>
      <c r="D297" s="3"/>
      <c r="E297" s="3"/>
      <c r="F297" s="3"/>
      <c r="G297" s="3"/>
      <c r="H297" s="3"/>
      <c r="I297" s="3"/>
      <c r="J297" s="3"/>
      <c r="K297" s="3"/>
      <c r="L297" s="3"/>
      <c r="M297" s="3"/>
      <c r="N297" s="3"/>
      <c r="O297" s="3"/>
      <c r="P297" s="3"/>
      <c r="Q297" s="3"/>
      <c r="R297" s="3"/>
      <c r="S297" s="3"/>
      <c r="T297" s="3"/>
      <c r="U297" s="3"/>
      <c r="V297" s="905"/>
      <c r="W297" s="3"/>
      <c r="X297" s="3"/>
    </row>
    <row r="298" spans="1:24" ht="24.75" customHeight="1">
      <c r="A298" s="3"/>
      <c r="B298" s="3"/>
      <c r="C298" s="3"/>
      <c r="D298" s="3"/>
      <c r="E298" s="3"/>
      <c r="F298" s="3"/>
      <c r="G298" s="3"/>
      <c r="H298" s="3"/>
      <c r="I298" s="3"/>
      <c r="J298" s="3"/>
      <c r="K298" s="3"/>
      <c r="L298" s="3"/>
      <c r="M298" s="3"/>
      <c r="N298" s="3"/>
      <c r="O298" s="3"/>
      <c r="P298" s="3"/>
      <c r="Q298" s="3"/>
      <c r="R298" s="3"/>
      <c r="S298" s="3"/>
      <c r="T298" s="3"/>
      <c r="U298" s="3"/>
      <c r="V298" s="905"/>
      <c r="W298" s="3"/>
      <c r="X298" s="3"/>
    </row>
    <row r="299" spans="1:24" ht="24.75" customHeight="1">
      <c r="A299" s="3"/>
      <c r="B299" s="3"/>
      <c r="C299" s="3"/>
      <c r="D299" s="3"/>
      <c r="E299" s="3"/>
      <c r="F299" s="3"/>
      <c r="G299" s="3"/>
      <c r="H299" s="3"/>
      <c r="I299" s="3"/>
      <c r="J299" s="3"/>
      <c r="K299" s="3"/>
      <c r="L299" s="3"/>
      <c r="M299" s="3"/>
      <c r="N299" s="3"/>
      <c r="O299" s="3"/>
      <c r="P299" s="3"/>
      <c r="Q299" s="3"/>
      <c r="R299" s="3"/>
      <c r="S299" s="3"/>
      <c r="T299" s="3"/>
      <c r="U299" s="3"/>
      <c r="V299" s="905"/>
      <c r="W299" s="3"/>
      <c r="X299" s="3"/>
    </row>
    <row r="300" spans="1:24" ht="24.75" customHeight="1">
      <c r="A300" s="3"/>
      <c r="B300" s="3"/>
      <c r="C300" s="3"/>
      <c r="D300" s="3"/>
      <c r="E300" s="3"/>
      <c r="F300" s="3"/>
      <c r="G300" s="3"/>
      <c r="H300" s="3"/>
      <c r="I300" s="3"/>
      <c r="J300" s="3"/>
      <c r="K300" s="3"/>
      <c r="L300" s="3"/>
      <c r="M300" s="3"/>
      <c r="N300" s="3"/>
      <c r="O300" s="3"/>
      <c r="P300" s="3"/>
      <c r="Q300" s="3"/>
      <c r="R300" s="3"/>
      <c r="S300" s="3"/>
      <c r="T300" s="3"/>
      <c r="U300" s="3"/>
      <c r="V300" s="905"/>
      <c r="W300" s="3"/>
      <c r="X300" s="3"/>
    </row>
    <row r="301" spans="1:24" ht="24.75" customHeight="1">
      <c r="A301" s="3"/>
      <c r="B301" s="3"/>
      <c r="C301" s="3"/>
      <c r="D301" s="3"/>
      <c r="E301" s="3"/>
      <c r="F301" s="3"/>
      <c r="G301" s="3"/>
      <c r="H301" s="3"/>
      <c r="I301" s="3"/>
      <c r="J301" s="3"/>
      <c r="K301" s="3"/>
      <c r="L301" s="3"/>
      <c r="M301" s="3"/>
      <c r="N301" s="3"/>
      <c r="O301" s="3"/>
      <c r="P301" s="3"/>
      <c r="Q301" s="3"/>
      <c r="R301" s="3"/>
      <c r="S301" s="3"/>
      <c r="T301" s="3"/>
      <c r="U301" s="3"/>
      <c r="V301" s="905"/>
      <c r="W301" s="3"/>
      <c r="X301" s="3"/>
    </row>
    <row r="302" spans="1:24" ht="24.75" customHeight="1">
      <c r="A302" s="3"/>
      <c r="B302" s="3"/>
      <c r="C302" s="3"/>
      <c r="D302" s="3"/>
      <c r="E302" s="3"/>
      <c r="F302" s="3"/>
      <c r="G302" s="3"/>
      <c r="H302" s="3"/>
      <c r="I302" s="3"/>
      <c r="J302" s="3"/>
      <c r="K302" s="3"/>
      <c r="L302" s="3"/>
      <c r="M302" s="3"/>
      <c r="N302" s="3"/>
      <c r="O302" s="3"/>
      <c r="P302" s="3"/>
      <c r="Q302" s="3"/>
      <c r="R302" s="3"/>
      <c r="S302" s="3"/>
      <c r="T302" s="3"/>
      <c r="U302" s="3"/>
      <c r="V302" s="905"/>
      <c r="W302" s="3"/>
      <c r="X302" s="3"/>
    </row>
    <row r="303" spans="1:24" ht="24.75" customHeight="1">
      <c r="A303" s="3"/>
      <c r="B303" s="3"/>
      <c r="C303" s="3"/>
      <c r="D303" s="3"/>
      <c r="E303" s="3"/>
      <c r="F303" s="3"/>
      <c r="G303" s="3"/>
      <c r="H303" s="3"/>
      <c r="I303" s="3"/>
      <c r="J303" s="3"/>
      <c r="K303" s="3"/>
      <c r="L303" s="3"/>
      <c r="M303" s="3"/>
      <c r="N303" s="3"/>
      <c r="O303" s="3"/>
      <c r="P303" s="3"/>
      <c r="Q303" s="3"/>
      <c r="R303" s="3"/>
      <c r="S303" s="3"/>
      <c r="T303" s="3"/>
      <c r="U303" s="3"/>
      <c r="V303" s="905"/>
      <c r="W303" s="3"/>
      <c r="X303" s="3"/>
    </row>
    <row r="304" spans="1:24" ht="24.75" customHeight="1">
      <c r="A304" s="3"/>
      <c r="B304" s="3"/>
      <c r="C304" s="3"/>
      <c r="D304" s="3"/>
      <c r="E304" s="3"/>
      <c r="F304" s="3"/>
      <c r="G304" s="3"/>
      <c r="H304" s="3"/>
      <c r="I304" s="3"/>
      <c r="J304" s="3"/>
      <c r="K304" s="3"/>
      <c r="L304" s="3"/>
      <c r="M304" s="3"/>
      <c r="N304" s="3"/>
      <c r="O304" s="3"/>
      <c r="P304" s="3"/>
      <c r="Q304" s="3"/>
      <c r="R304" s="3"/>
      <c r="S304" s="3"/>
      <c r="T304" s="3"/>
      <c r="U304" s="3"/>
      <c r="V304" s="905"/>
      <c r="W304" s="3"/>
      <c r="X304" s="3"/>
    </row>
    <row r="305" spans="1:24" ht="24.75" customHeight="1">
      <c r="A305" s="3"/>
      <c r="B305" s="3"/>
      <c r="C305" s="3"/>
      <c r="D305" s="3"/>
      <c r="E305" s="3"/>
      <c r="F305" s="3"/>
      <c r="G305" s="3"/>
      <c r="H305" s="3"/>
      <c r="I305" s="3"/>
      <c r="J305" s="3"/>
      <c r="K305" s="3"/>
      <c r="L305" s="3"/>
      <c r="M305" s="3"/>
      <c r="N305" s="3"/>
      <c r="O305" s="3"/>
      <c r="P305" s="3"/>
      <c r="Q305" s="3"/>
      <c r="R305" s="3"/>
      <c r="S305" s="3"/>
      <c r="T305" s="3"/>
      <c r="U305" s="3"/>
      <c r="V305" s="905"/>
      <c r="W305" s="3"/>
      <c r="X305" s="3"/>
    </row>
    <row r="306" spans="1:24" ht="24.75" customHeight="1">
      <c r="A306" s="3"/>
      <c r="B306" s="3"/>
      <c r="C306" s="3"/>
      <c r="D306" s="3"/>
      <c r="E306" s="3"/>
      <c r="F306" s="3"/>
      <c r="G306" s="3"/>
      <c r="H306" s="3"/>
      <c r="I306" s="3"/>
      <c r="J306" s="3"/>
      <c r="K306" s="3"/>
      <c r="L306" s="3"/>
      <c r="M306" s="3"/>
      <c r="N306" s="3"/>
      <c r="O306" s="3"/>
      <c r="P306" s="3"/>
      <c r="Q306" s="3"/>
      <c r="R306" s="3"/>
      <c r="S306" s="3"/>
      <c r="T306" s="3"/>
      <c r="U306" s="3"/>
      <c r="V306" s="905"/>
      <c r="W306" s="3"/>
      <c r="X306" s="3"/>
    </row>
    <row r="307" spans="1:24" ht="24.75" customHeight="1">
      <c r="A307" s="3"/>
      <c r="B307" s="3"/>
      <c r="C307" s="3"/>
      <c r="D307" s="3"/>
      <c r="E307" s="3"/>
      <c r="F307" s="3"/>
      <c r="G307" s="3"/>
      <c r="H307" s="3"/>
      <c r="I307" s="3"/>
      <c r="J307" s="3"/>
      <c r="K307" s="3"/>
      <c r="L307" s="3"/>
      <c r="M307" s="3"/>
      <c r="N307" s="3"/>
      <c r="O307" s="3"/>
      <c r="P307" s="3"/>
      <c r="Q307" s="3"/>
      <c r="R307" s="3"/>
      <c r="S307" s="3"/>
      <c r="T307" s="3"/>
      <c r="U307" s="3"/>
      <c r="V307" s="905"/>
      <c r="W307" s="3"/>
      <c r="X307" s="3"/>
    </row>
    <row r="308" spans="1:24" ht="24.75" customHeight="1">
      <c r="A308" s="3"/>
      <c r="B308" s="3"/>
      <c r="C308" s="3"/>
      <c r="D308" s="3"/>
      <c r="E308" s="3"/>
      <c r="F308" s="3"/>
      <c r="G308" s="3"/>
      <c r="H308" s="3"/>
      <c r="I308" s="3"/>
      <c r="J308" s="3"/>
      <c r="K308" s="3"/>
      <c r="L308" s="3"/>
      <c r="M308" s="3"/>
      <c r="N308" s="3"/>
      <c r="O308" s="3"/>
      <c r="P308" s="3"/>
      <c r="Q308" s="3"/>
      <c r="R308" s="3"/>
      <c r="S308" s="3"/>
      <c r="T308" s="3"/>
      <c r="U308" s="3"/>
      <c r="V308" s="905"/>
      <c r="W308" s="3"/>
      <c r="X308" s="3"/>
    </row>
    <row r="309" spans="1:24" ht="24.75" customHeight="1">
      <c r="A309" s="3"/>
      <c r="B309" s="3"/>
      <c r="C309" s="3"/>
      <c r="D309" s="3"/>
      <c r="E309" s="3"/>
      <c r="F309" s="3"/>
      <c r="G309" s="3"/>
      <c r="H309" s="3"/>
      <c r="I309" s="3"/>
      <c r="J309" s="3"/>
      <c r="K309" s="3"/>
      <c r="L309" s="3"/>
      <c r="M309" s="3"/>
      <c r="N309" s="3"/>
      <c r="O309" s="3"/>
      <c r="P309" s="3"/>
      <c r="Q309" s="3"/>
      <c r="R309" s="3"/>
      <c r="S309" s="3"/>
      <c r="T309" s="3"/>
      <c r="U309" s="3"/>
      <c r="V309" s="905"/>
      <c r="W309" s="3"/>
      <c r="X309" s="3"/>
    </row>
    <row r="310" spans="1:24" ht="24.75" customHeight="1">
      <c r="A310" s="3"/>
      <c r="B310" s="3"/>
      <c r="C310" s="3"/>
      <c r="D310" s="3"/>
      <c r="E310" s="3"/>
      <c r="F310" s="3"/>
      <c r="G310" s="3"/>
      <c r="H310" s="3"/>
      <c r="I310" s="3"/>
      <c r="J310" s="3"/>
      <c r="K310" s="3"/>
      <c r="L310" s="3"/>
      <c r="M310" s="3"/>
      <c r="N310" s="3"/>
      <c r="O310" s="3"/>
      <c r="P310" s="3"/>
      <c r="Q310" s="3"/>
      <c r="R310" s="3"/>
      <c r="S310" s="3"/>
      <c r="T310" s="3"/>
      <c r="U310" s="3"/>
      <c r="V310" s="905"/>
      <c r="W310" s="3"/>
      <c r="X310" s="3"/>
    </row>
    <row r="311" spans="1:24" ht="24.75" customHeight="1">
      <c r="A311" s="3"/>
      <c r="B311" s="3"/>
      <c r="C311" s="3"/>
      <c r="D311" s="3"/>
      <c r="E311" s="3"/>
      <c r="F311" s="3"/>
      <c r="G311" s="3"/>
      <c r="H311" s="3"/>
      <c r="I311" s="3"/>
      <c r="J311" s="3"/>
      <c r="K311" s="3"/>
      <c r="L311" s="3"/>
      <c r="M311" s="3"/>
      <c r="N311" s="3"/>
      <c r="O311" s="3"/>
      <c r="P311" s="3"/>
      <c r="Q311" s="3"/>
      <c r="R311" s="3"/>
      <c r="S311" s="3"/>
      <c r="T311" s="3"/>
      <c r="U311" s="3"/>
      <c r="V311" s="905"/>
      <c r="W311" s="3"/>
      <c r="X311" s="3"/>
    </row>
    <row r="312" spans="1:24" ht="24.75" customHeight="1">
      <c r="A312" s="3"/>
      <c r="B312" s="3"/>
      <c r="C312" s="3"/>
      <c r="D312" s="3"/>
      <c r="E312" s="3"/>
      <c r="F312" s="3"/>
      <c r="G312" s="3"/>
      <c r="H312" s="3"/>
      <c r="I312" s="3"/>
      <c r="J312" s="3"/>
      <c r="K312" s="3"/>
      <c r="L312" s="3"/>
      <c r="M312" s="3"/>
      <c r="N312" s="3"/>
      <c r="O312" s="3"/>
      <c r="P312" s="3"/>
      <c r="Q312" s="3"/>
      <c r="R312" s="3"/>
      <c r="S312" s="3"/>
      <c r="T312" s="3"/>
      <c r="U312" s="3"/>
      <c r="V312" s="905"/>
      <c r="W312" s="3"/>
      <c r="X312" s="3"/>
    </row>
    <row r="313" spans="1:24" ht="24.75" customHeight="1">
      <c r="A313" s="3"/>
      <c r="B313" s="3"/>
      <c r="C313" s="3"/>
      <c r="D313" s="3"/>
      <c r="E313" s="3"/>
      <c r="F313" s="3"/>
      <c r="G313" s="3"/>
      <c r="H313" s="3"/>
      <c r="I313" s="3"/>
      <c r="J313" s="3"/>
      <c r="K313" s="3"/>
      <c r="L313" s="3"/>
      <c r="M313" s="3"/>
      <c r="N313" s="3"/>
      <c r="O313" s="3"/>
      <c r="P313" s="3"/>
      <c r="Q313" s="3"/>
      <c r="R313" s="3"/>
      <c r="S313" s="3"/>
      <c r="T313" s="3"/>
      <c r="U313" s="3"/>
      <c r="V313" s="905"/>
      <c r="W313" s="3"/>
      <c r="X313" s="3"/>
    </row>
    <row r="314" spans="1:24" ht="24.75" customHeight="1">
      <c r="A314" s="3"/>
      <c r="B314" s="3"/>
      <c r="C314" s="3"/>
      <c r="D314" s="3"/>
      <c r="E314" s="3"/>
      <c r="F314" s="3"/>
      <c r="G314" s="3"/>
      <c r="H314" s="3"/>
      <c r="I314" s="3"/>
      <c r="J314" s="3"/>
      <c r="K314" s="3"/>
      <c r="L314" s="3"/>
      <c r="M314" s="3"/>
      <c r="N314" s="3"/>
      <c r="O314" s="3"/>
      <c r="P314" s="3"/>
      <c r="Q314" s="3"/>
      <c r="R314" s="3"/>
      <c r="S314" s="3"/>
      <c r="T314" s="3"/>
      <c r="U314" s="3"/>
      <c r="V314" s="905"/>
      <c r="W314" s="3"/>
      <c r="X314" s="3"/>
    </row>
    <row r="315" spans="1:24" ht="24.75" customHeight="1">
      <c r="A315" s="3"/>
      <c r="B315" s="3"/>
      <c r="C315" s="3"/>
      <c r="D315" s="3"/>
      <c r="E315" s="3"/>
      <c r="F315" s="3"/>
      <c r="G315" s="3"/>
      <c r="H315" s="3"/>
      <c r="I315" s="3"/>
      <c r="J315" s="3"/>
      <c r="K315" s="3"/>
      <c r="L315" s="3"/>
      <c r="M315" s="3"/>
      <c r="N315" s="3"/>
      <c r="O315" s="3"/>
      <c r="P315" s="3"/>
      <c r="Q315" s="3"/>
      <c r="R315" s="3"/>
      <c r="S315" s="3"/>
      <c r="T315" s="3"/>
      <c r="U315" s="3"/>
      <c r="V315" s="905"/>
      <c r="W315" s="3"/>
      <c r="X315" s="3"/>
    </row>
    <row r="316" spans="1:24" ht="24.75" customHeight="1">
      <c r="A316" s="3"/>
      <c r="B316" s="3"/>
      <c r="C316" s="3"/>
      <c r="D316" s="3"/>
      <c r="E316" s="3"/>
      <c r="F316" s="3"/>
      <c r="G316" s="3"/>
      <c r="H316" s="3"/>
      <c r="I316" s="3"/>
      <c r="J316" s="3"/>
      <c r="K316" s="3"/>
      <c r="L316" s="3"/>
      <c r="M316" s="3"/>
      <c r="N316" s="3"/>
      <c r="O316" s="3"/>
      <c r="P316" s="3"/>
      <c r="Q316" s="3"/>
      <c r="R316" s="3"/>
      <c r="S316" s="3"/>
      <c r="T316" s="3"/>
      <c r="U316" s="3"/>
      <c r="V316" s="905"/>
      <c r="W316" s="3"/>
      <c r="X316" s="3"/>
    </row>
    <row r="317" spans="1:24" ht="24.75" customHeight="1">
      <c r="A317" s="3"/>
      <c r="B317" s="3"/>
      <c r="C317" s="3"/>
      <c r="D317" s="3"/>
      <c r="E317" s="3"/>
      <c r="F317" s="3"/>
      <c r="G317" s="3"/>
      <c r="H317" s="3"/>
      <c r="I317" s="3"/>
      <c r="J317" s="3"/>
      <c r="K317" s="3"/>
      <c r="L317" s="3"/>
      <c r="M317" s="3"/>
      <c r="N317" s="3"/>
      <c r="O317" s="3"/>
      <c r="P317" s="3"/>
      <c r="Q317" s="3"/>
      <c r="R317" s="3"/>
      <c r="S317" s="3"/>
      <c r="T317" s="3"/>
      <c r="U317" s="3"/>
      <c r="V317" s="905"/>
      <c r="W317" s="3"/>
      <c r="X317" s="3"/>
    </row>
    <row r="318" spans="1:24" ht="24.75" customHeight="1">
      <c r="A318" s="3"/>
      <c r="B318" s="3"/>
      <c r="C318" s="3"/>
      <c r="D318" s="3"/>
      <c r="E318" s="3"/>
      <c r="F318" s="3"/>
      <c r="G318" s="3"/>
      <c r="H318" s="3"/>
      <c r="I318" s="3"/>
      <c r="J318" s="3"/>
      <c r="K318" s="3"/>
      <c r="L318" s="3"/>
      <c r="M318" s="3"/>
      <c r="N318" s="3"/>
      <c r="O318" s="3"/>
      <c r="P318" s="3"/>
      <c r="Q318" s="3"/>
      <c r="R318" s="3"/>
      <c r="S318" s="3"/>
      <c r="T318" s="3"/>
      <c r="U318" s="3"/>
      <c r="V318" s="905"/>
      <c r="W318" s="3"/>
      <c r="X318" s="3"/>
    </row>
    <row r="319" spans="1:24" ht="24.75" customHeight="1">
      <c r="A319" s="3"/>
      <c r="B319" s="3"/>
      <c r="C319" s="3"/>
      <c r="D319" s="3"/>
      <c r="E319" s="3"/>
      <c r="F319" s="3"/>
      <c r="G319" s="3"/>
      <c r="H319" s="3"/>
      <c r="I319" s="3"/>
      <c r="J319" s="3"/>
      <c r="K319" s="3"/>
      <c r="L319" s="3"/>
      <c r="M319" s="3"/>
      <c r="N319" s="3"/>
      <c r="O319" s="3"/>
      <c r="P319" s="3"/>
      <c r="Q319" s="3"/>
      <c r="R319" s="3"/>
      <c r="S319" s="3"/>
      <c r="T319" s="3"/>
      <c r="U319" s="3"/>
      <c r="V319" s="905"/>
      <c r="W319" s="3"/>
      <c r="X319" s="3"/>
    </row>
    <row r="320" spans="1:24" ht="24.75" customHeight="1">
      <c r="A320" s="3"/>
      <c r="B320" s="3"/>
      <c r="C320" s="3"/>
      <c r="D320" s="3"/>
      <c r="E320" s="3"/>
      <c r="F320" s="3"/>
      <c r="G320" s="3"/>
      <c r="H320" s="3"/>
      <c r="I320" s="3"/>
      <c r="J320" s="3"/>
      <c r="K320" s="3"/>
      <c r="L320" s="3"/>
      <c r="M320" s="3"/>
      <c r="N320" s="3"/>
      <c r="O320" s="3"/>
      <c r="P320" s="3"/>
      <c r="Q320" s="3"/>
      <c r="R320" s="3"/>
      <c r="S320" s="3"/>
      <c r="T320" s="3"/>
      <c r="U320" s="3"/>
      <c r="V320" s="905"/>
      <c r="W320" s="3"/>
      <c r="X320" s="3"/>
    </row>
    <row r="321" spans="1:24" ht="24.75" customHeight="1">
      <c r="A321" s="3"/>
      <c r="B321" s="3"/>
      <c r="C321" s="3"/>
      <c r="D321" s="3"/>
      <c r="E321" s="3"/>
      <c r="F321" s="3"/>
      <c r="G321" s="3"/>
      <c r="H321" s="3"/>
      <c r="I321" s="3"/>
      <c r="J321" s="3"/>
      <c r="K321" s="3"/>
      <c r="L321" s="3"/>
      <c r="M321" s="3"/>
      <c r="N321" s="3"/>
      <c r="O321" s="3"/>
      <c r="P321" s="3"/>
      <c r="Q321" s="3"/>
      <c r="R321" s="3"/>
      <c r="S321" s="3"/>
      <c r="T321" s="3"/>
      <c r="U321" s="3"/>
      <c r="V321" s="905"/>
      <c r="W321" s="3"/>
      <c r="X321" s="3"/>
    </row>
    <row r="322" spans="1:24" ht="24.75" customHeight="1">
      <c r="A322" s="3"/>
      <c r="B322" s="3"/>
      <c r="C322" s="3"/>
      <c r="D322" s="3"/>
      <c r="E322" s="3"/>
      <c r="F322" s="3"/>
      <c r="G322" s="3"/>
      <c r="H322" s="3"/>
      <c r="I322" s="3"/>
      <c r="J322" s="3"/>
      <c r="K322" s="3"/>
      <c r="L322" s="3"/>
      <c r="M322" s="3"/>
      <c r="N322" s="3"/>
      <c r="O322" s="3"/>
      <c r="P322" s="3"/>
      <c r="Q322" s="3"/>
      <c r="R322" s="3"/>
      <c r="S322" s="3"/>
      <c r="T322" s="3"/>
      <c r="U322" s="3"/>
      <c r="V322" s="905"/>
      <c r="W322" s="3"/>
      <c r="X322" s="3"/>
    </row>
    <row r="323" spans="1:24" ht="24.75" customHeight="1">
      <c r="A323" s="3"/>
      <c r="B323" s="3"/>
      <c r="C323" s="3"/>
      <c r="D323" s="3"/>
      <c r="E323" s="3"/>
      <c r="F323" s="3"/>
      <c r="G323" s="3"/>
      <c r="H323" s="3"/>
      <c r="I323" s="3"/>
      <c r="J323" s="3"/>
      <c r="K323" s="3"/>
      <c r="L323" s="3"/>
      <c r="M323" s="3"/>
      <c r="N323" s="3"/>
      <c r="O323" s="3"/>
      <c r="P323" s="3"/>
      <c r="Q323" s="3"/>
      <c r="R323" s="3"/>
      <c r="S323" s="3"/>
      <c r="T323" s="3"/>
      <c r="U323" s="3"/>
      <c r="V323" s="905"/>
      <c r="W323" s="3"/>
      <c r="X323" s="3"/>
    </row>
    <row r="324" spans="1:24" ht="24.75" customHeight="1">
      <c r="A324" s="3"/>
      <c r="B324" s="3"/>
      <c r="C324" s="3"/>
      <c r="D324" s="3"/>
      <c r="E324" s="3"/>
      <c r="F324" s="3"/>
      <c r="G324" s="3"/>
      <c r="H324" s="3"/>
      <c r="I324" s="3"/>
      <c r="J324" s="3"/>
      <c r="K324" s="3"/>
      <c r="L324" s="3"/>
      <c r="M324" s="3"/>
      <c r="N324" s="3"/>
      <c r="O324" s="3"/>
      <c r="P324" s="3"/>
      <c r="Q324" s="3"/>
      <c r="R324" s="3"/>
      <c r="S324" s="3"/>
      <c r="T324" s="3"/>
      <c r="U324" s="3"/>
      <c r="V324" s="905"/>
      <c r="W324" s="3"/>
      <c r="X324" s="3"/>
    </row>
    <row r="325" spans="1:24" ht="24.75" customHeight="1">
      <c r="A325" s="3"/>
      <c r="B325" s="3"/>
      <c r="C325" s="3"/>
      <c r="D325" s="3"/>
      <c r="E325" s="3"/>
      <c r="F325" s="3"/>
      <c r="G325" s="3"/>
      <c r="H325" s="3"/>
      <c r="I325" s="3"/>
      <c r="J325" s="3"/>
      <c r="K325" s="3"/>
      <c r="L325" s="3"/>
      <c r="M325" s="3"/>
      <c r="N325" s="3"/>
      <c r="O325" s="3"/>
      <c r="P325" s="3"/>
      <c r="Q325" s="3"/>
      <c r="R325" s="3"/>
      <c r="S325" s="3"/>
      <c r="T325" s="3"/>
      <c r="U325" s="3"/>
      <c r="V325" s="905"/>
      <c r="W325" s="3"/>
      <c r="X325" s="3"/>
    </row>
    <row r="326" spans="1:24" ht="24.75" customHeight="1">
      <c r="A326" s="3"/>
      <c r="B326" s="3"/>
      <c r="C326" s="3"/>
      <c r="D326" s="3"/>
      <c r="E326" s="3"/>
      <c r="F326" s="3"/>
      <c r="G326" s="3"/>
      <c r="H326" s="3"/>
      <c r="I326" s="3"/>
      <c r="J326" s="3"/>
      <c r="K326" s="3"/>
      <c r="L326" s="3"/>
      <c r="M326" s="3"/>
      <c r="N326" s="3"/>
      <c r="O326" s="3"/>
      <c r="P326" s="3"/>
      <c r="Q326" s="3"/>
      <c r="R326" s="3"/>
      <c r="S326" s="3"/>
      <c r="T326" s="3"/>
      <c r="U326" s="3"/>
      <c r="V326" s="905"/>
      <c r="W326" s="3"/>
      <c r="X326" s="3"/>
    </row>
    <row r="327" spans="1:24" ht="24.75" customHeight="1">
      <c r="A327" s="3"/>
      <c r="B327" s="3"/>
      <c r="C327" s="3"/>
      <c r="D327" s="3"/>
      <c r="E327" s="3"/>
      <c r="F327" s="3"/>
      <c r="G327" s="3"/>
      <c r="H327" s="3"/>
      <c r="I327" s="3"/>
      <c r="J327" s="3"/>
      <c r="K327" s="3"/>
      <c r="L327" s="3"/>
      <c r="M327" s="3"/>
      <c r="N327" s="3"/>
      <c r="O327" s="3"/>
      <c r="P327" s="3"/>
      <c r="Q327" s="3"/>
      <c r="R327" s="3"/>
      <c r="S327" s="3"/>
      <c r="T327" s="3"/>
      <c r="U327" s="3"/>
      <c r="V327" s="905"/>
      <c r="W327" s="3"/>
      <c r="X327" s="3"/>
    </row>
    <row r="328" spans="1:24" ht="24.75" customHeight="1">
      <c r="A328" s="3"/>
      <c r="B328" s="3"/>
      <c r="C328" s="3"/>
      <c r="D328" s="3"/>
      <c r="E328" s="3"/>
      <c r="F328" s="3"/>
      <c r="G328" s="3"/>
      <c r="H328" s="3"/>
      <c r="I328" s="3"/>
      <c r="J328" s="3"/>
      <c r="K328" s="3"/>
      <c r="L328" s="3"/>
      <c r="M328" s="3"/>
      <c r="N328" s="3"/>
      <c r="O328" s="3"/>
      <c r="P328" s="3"/>
      <c r="Q328" s="3"/>
      <c r="R328" s="3"/>
      <c r="S328" s="3"/>
      <c r="T328" s="3"/>
      <c r="U328" s="3"/>
      <c r="V328" s="905"/>
      <c r="W328" s="3"/>
      <c r="X328" s="3"/>
    </row>
    <row r="329" spans="1:24" ht="24.75" customHeight="1">
      <c r="A329" s="3"/>
      <c r="B329" s="3"/>
      <c r="C329" s="3"/>
      <c r="D329" s="3"/>
      <c r="E329" s="3"/>
      <c r="F329" s="3"/>
      <c r="G329" s="3"/>
      <c r="H329" s="3"/>
      <c r="I329" s="3"/>
      <c r="J329" s="3"/>
      <c r="K329" s="3"/>
      <c r="L329" s="3"/>
      <c r="M329" s="3"/>
      <c r="N329" s="3"/>
      <c r="O329" s="3"/>
      <c r="P329" s="3"/>
      <c r="Q329" s="3"/>
      <c r="R329" s="3"/>
      <c r="S329" s="3"/>
      <c r="T329" s="3"/>
      <c r="U329" s="3"/>
      <c r="V329" s="905"/>
      <c r="W329" s="3"/>
      <c r="X329" s="3"/>
    </row>
    <row r="330" spans="1:24" ht="24.75" customHeight="1">
      <c r="A330" s="3"/>
      <c r="B330" s="3"/>
      <c r="C330" s="3"/>
      <c r="D330" s="3"/>
      <c r="E330" s="3"/>
      <c r="F330" s="3"/>
      <c r="G330" s="3"/>
      <c r="H330" s="3"/>
      <c r="I330" s="3"/>
      <c r="J330" s="3"/>
      <c r="K330" s="3"/>
      <c r="L330" s="3"/>
      <c r="M330" s="3"/>
      <c r="N330" s="3"/>
      <c r="O330" s="3"/>
      <c r="P330" s="3"/>
      <c r="Q330" s="3"/>
      <c r="R330" s="3"/>
      <c r="S330" s="3"/>
      <c r="T330" s="3"/>
      <c r="U330" s="3"/>
      <c r="V330" s="905"/>
      <c r="W330" s="3"/>
      <c r="X330" s="3"/>
    </row>
    <row r="331" spans="1:24" ht="24.75" customHeight="1">
      <c r="A331" s="3"/>
      <c r="B331" s="3"/>
      <c r="C331" s="3"/>
      <c r="D331" s="3"/>
      <c r="E331" s="3"/>
      <c r="F331" s="3"/>
      <c r="G331" s="3"/>
      <c r="H331" s="3"/>
      <c r="I331" s="3"/>
      <c r="J331" s="3"/>
      <c r="K331" s="3"/>
      <c r="L331" s="3"/>
      <c r="M331" s="3"/>
      <c r="N331" s="3"/>
      <c r="O331" s="3"/>
      <c r="P331" s="3"/>
      <c r="Q331" s="3"/>
      <c r="R331" s="3"/>
      <c r="S331" s="3"/>
      <c r="T331" s="3"/>
      <c r="U331" s="3"/>
      <c r="V331" s="905"/>
      <c r="W331" s="3"/>
      <c r="X331" s="3"/>
    </row>
    <row r="332" spans="1:24" ht="24.75" customHeight="1">
      <c r="A332" s="3"/>
      <c r="B332" s="3"/>
      <c r="C332" s="3"/>
      <c r="D332" s="3"/>
      <c r="E332" s="3"/>
      <c r="F332" s="3"/>
      <c r="G332" s="3"/>
      <c r="H332" s="3"/>
      <c r="I332" s="3"/>
      <c r="J332" s="3"/>
      <c r="K332" s="3"/>
      <c r="L332" s="3"/>
      <c r="M332" s="3"/>
      <c r="N332" s="3"/>
      <c r="O332" s="3"/>
      <c r="P332" s="3"/>
      <c r="Q332" s="3"/>
      <c r="R332" s="3"/>
      <c r="S332" s="3"/>
      <c r="T332" s="3"/>
      <c r="U332" s="3"/>
      <c r="V332" s="905"/>
      <c r="W332" s="3"/>
      <c r="X332" s="3"/>
    </row>
    <row r="333" spans="1:24" ht="24.75" customHeight="1">
      <c r="A333" s="3"/>
      <c r="B333" s="3"/>
      <c r="C333" s="3"/>
      <c r="D333" s="3"/>
      <c r="E333" s="3"/>
      <c r="F333" s="3"/>
      <c r="G333" s="3"/>
      <c r="H333" s="3"/>
      <c r="I333" s="3"/>
      <c r="J333" s="3"/>
      <c r="K333" s="3"/>
      <c r="L333" s="3"/>
      <c r="M333" s="3"/>
      <c r="N333" s="3"/>
      <c r="O333" s="3"/>
      <c r="P333" s="3"/>
      <c r="Q333" s="3"/>
      <c r="R333" s="3"/>
      <c r="S333" s="3"/>
      <c r="T333" s="3"/>
      <c r="U333" s="3"/>
      <c r="V333" s="905"/>
      <c r="W333" s="3"/>
      <c r="X333" s="3"/>
    </row>
    <row r="334" spans="1:24" ht="24.75" customHeight="1">
      <c r="A334" s="3"/>
      <c r="B334" s="3"/>
      <c r="C334" s="3"/>
      <c r="D334" s="3"/>
      <c r="E334" s="3"/>
      <c r="F334" s="3"/>
      <c r="G334" s="3"/>
      <c r="H334" s="3"/>
      <c r="I334" s="3"/>
      <c r="J334" s="3"/>
      <c r="K334" s="3"/>
      <c r="L334" s="3"/>
      <c r="M334" s="3"/>
      <c r="N334" s="3"/>
      <c r="O334" s="3"/>
      <c r="P334" s="3"/>
      <c r="Q334" s="3"/>
      <c r="R334" s="3"/>
      <c r="S334" s="3"/>
      <c r="T334" s="3"/>
      <c r="U334" s="3"/>
      <c r="V334" s="905"/>
      <c r="W334" s="3"/>
      <c r="X334" s="3"/>
    </row>
    <row r="335" spans="1:24" ht="24.75" customHeight="1">
      <c r="A335" s="3"/>
      <c r="B335" s="3"/>
      <c r="C335" s="3"/>
      <c r="D335" s="3"/>
      <c r="E335" s="3"/>
      <c r="F335" s="3"/>
      <c r="G335" s="3"/>
      <c r="H335" s="3"/>
      <c r="I335" s="3"/>
      <c r="J335" s="3"/>
      <c r="K335" s="3"/>
      <c r="L335" s="3"/>
      <c r="M335" s="3"/>
      <c r="N335" s="3"/>
      <c r="O335" s="3"/>
      <c r="P335" s="3"/>
      <c r="Q335" s="3"/>
      <c r="R335" s="3"/>
      <c r="S335" s="3"/>
      <c r="T335" s="3"/>
      <c r="U335" s="3"/>
      <c r="V335" s="905"/>
      <c r="W335" s="3"/>
      <c r="X335" s="3"/>
    </row>
    <row r="336" spans="1:24" ht="24.75" customHeight="1">
      <c r="A336" s="3"/>
      <c r="B336" s="3"/>
      <c r="C336" s="3"/>
      <c r="D336" s="3"/>
      <c r="E336" s="3"/>
      <c r="F336" s="3"/>
      <c r="G336" s="3"/>
      <c r="H336" s="3"/>
      <c r="I336" s="3"/>
      <c r="J336" s="3"/>
      <c r="K336" s="3"/>
      <c r="L336" s="3"/>
      <c r="M336" s="3"/>
      <c r="N336" s="3"/>
      <c r="O336" s="3"/>
      <c r="P336" s="3"/>
      <c r="Q336" s="3"/>
      <c r="R336" s="3"/>
      <c r="S336" s="3"/>
      <c r="T336" s="3"/>
      <c r="U336" s="3"/>
      <c r="V336" s="905"/>
      <c r="W336" s="3"/>
      <c r="X336" s="3"/>
    </row>
    <row r="337" spans="1:24" ht="24.75" customHeight="1">
      <c r="A337" s="3"/>
      <c r="B337" s="3"/>
      <c r="C337" s="3"/>
      <c r="D337" s="3"/>
      <c r="E337" s="3"/>
      <c r="F337" s="3"/>
      <c r="G337" s="3"/>
      <c r="H337" s="3"/>
      <c r="I337" s="3"/>
      <c r="J337" s="3"/>
      <c r="K337" s="3"/>
      <c r="L337" s="3"/>
      <c r="M337" s="3"/>
      <c r="N337" s="3"/>
      <c r="O337" s="3"/>
      <c r="P337" s="3"/>
      <c r="Q337" s="3"/>
      <c r="R337" s="3"/>
      <c r="S337" s="3"/>
      <c r="T337" s="3"/>
      <c r="U337" s="3"/>
      <c r="V337" s="905"/>
      <c r="W337" s="3"/>
      <c r="X337" s="3"/>
    </row>
    <row r="338" spans="1:24" ht="24.75" customHeight="1">
      <c r="A338" s="3"/>
      <c r="B338" s="3"/>
      <c r="C338" s="3"/>
      <c r="D338" s="3"/>
      <c r="E338" s="3"/>
      <c r="F338" s="3"/>
      <c r="G338" s="3"/>
      <c r="H338" s="3"/>
      <c r="I338" s="3"/>
      <c r="J338" s="3"/>
      <c r="K338" s="3"/>
      <c r="L338" s="3"/>
      <c r="M338" s="3"/>
      <c r="N338" s="3"/>
      <c r="O338" s="3"/>
      <c r="P338" s="3"/>
      <c r="Q338" s="3"/>
      <c r="R338" s="3"/>
      <c r="S338" s="3"/>
      <c r="T338" s="3"/>
      <c r="U338" s="3"/>
      <c r="V338" s="905"/>
      <c r="W338" s="3"/>
      <c r="X338" s="3"/>
    </row>
    <row r="339" spans="1:24" ht="24.75" customHeight="1">
      <c r="A339" s="3"/>
      <c r="B339" s="3"/>
      <c r="C339" s="3"/>
      <c r="D339" s="3"/>
      <c r="E339" s="3"/>
      <c r="F339" s="3"/>
      <c r="G339" s="3"/>
      <c r="H339" s="3"/>
      <c r="I339" s="3"/>
      <c r="J339" s="3"/>
      <c r="K339" s="3"/>
      <c r="L339" s="3"/>
      <c r="M339" s="3"/>
      <c r="N339" s="3"/>
      <c r="O339" s="3"/>
      <c r="P339" s="3"/>
      <c r="Q339" s="3"/>
      <c r="R339" s="3"/>
      <c r="S339" s="3"/>
      <c r="T339" s="3"/>
      <c r="U339" s="3"/>
      <c r="V339" s="905"/>
      <c r="W339" s="3"/>
      <c r="X339" s="3"/>
    </row>
    <row r="340" spans="1:24" ht="24.75" customHeight="1">
      <c r="A340" s="3"/>
      <c r="B340" s="3"/>
      <c r="C340" s="3"/>
      <c r="D340" s="3"/>
      <c r="E340" s="3"/>
      <c r="F340" s="3"/>
      <c r="G340" s="3"/>
      <c r="H340" s="3"/>
      <c r="I340" s="3"/>
      <c r="J340" s="3"/>
      <c r="K340" s="3"/>
      <c r="L340" s="3"/>
      <c r="M340" s="3"/>
      <c r="N340" s="3"/>
      <c r="O340" s="3"/>
      <c r="P340" s="3"/>
      <c r="Q340" s="3"/>
      <c r="R340" s="3"/>
      <c r="S340" s="3"/>
      <c r="T340" s="3"/>
      <c r="U340" s="3"/>
      <c r="V340" s="905"/>
      <c r="W340" s="3"/>
      <c r="X340" s="3"/>
    </row>
    <row r="341" spans="1:24" ht="24.75" customHeight="1">
      <c r="A341" s="3"/>
      <c r="B341" s="3"/>
      <c r="C341" s="3"/>
      <c r="D341" s="3"/>
      <c r="E341" s="3"/>
      <c r="F341" s="3"/>
      <c r="G341" s="3"/>
      <c r="H341" s="3"/>
      <c r="I341" s="3"/>
      <c r="J341" s="3"/>
      <c r="K341" s="3"/>
      <c r="L341" s="3"/>
      <c r="M341" s="3"/>
      <c r="N341" s="3"/>
      <c r="O341" s="3"/>
      <c r="P341" s="3"/>
      <c r="Q341" s="3"/>
      <c r="R341" s="3"/>
      <c r="S341" s="3"/>
      <c r="T341" s="3"/>
      <c r="U341" s="3"/>
      <c r="V341" s="905"/>
      <c r="W341" s="3"/>
      <c r="X341" s="3"/>
    </row>
    <row r="342" spans="1:24" ht="24.75" customHeight="1">
      <c r="A342" s="3"/>
      <c r="B342" s="3"/>
      <c r="C342" s="3"/>
      <c r="D342" s="3"/>
      <c r="E342" s="3"/>
      <c r="F342" s="3"/>
      <c r="G342" s="3"/>
      <c r="H342" s="3"/>
      <c r="I342" s="3"/>
      <c r="J342" s="3"/>
      <c r="K342" s="3"/>
      <c r="L342" s="3"/>
      <c r="M342" s="3"/>
      <c r="N342" s="3"/>
      <c r="O342" s="3"/>
      <c r="P342" s="3"/>
      <c r="Q342" s="3"/>
      <c r="R342" s="3"/>
      <c r="S342" s="3"/>
      <c r="T342" s="3"/>
      <c r="U342" s="3"/>
      <c r="V342" s="905"/>
      <c r="W342" s="3"/>
      <c r="X342" s="3"/>
    </row>
    <row r="343" spans="1:24" ht="24.75" customHeight="1">
      <c r="A343" s="3"/>
      <c r="B343" s="3"/>
      <c r="C343" s="3"/>
      <c r="D343" s="3"/>
      <c r="E343" s="3"/>
      <c r="F343" s="3"/>
      <c r="G343" s="3"/>
      <c r="H343" s="3"/>
      <c r="I343" s="3"/>
      <c r="J343" s="3"/>
      <c r="K343" s="3"/>
      <c r="L343" s="3"/>
      <c r="M343" s="3"/>
      <c r="N343" s="3"/>
      <c r="O343" s="3"/>
      <c r="P343" s="3"/>
      <c r="Q343" s="3"/>
      <c r="R343" s="3"/>
      <c r="S343" s="3"/>
      <c r="T343" s="3"/>
      <c r="U343" s="3"/>
      <c r="V343" s="905"/>
      <c r="W343" s="3"/>
      <c r="X343" s="3"/>
    </row>
    <row r="344" spans="1:24" ht="24.75" customHeight="1">
      <c r="A344" s="3"/>
      <c r="B344" s="3"/>
      <c r="C344" s="3"/>
      <c r="D344" s="3"/>
      <c r="E344" s="3"/>
      <c r="F344" s="3"/>
      <c r="G344" s="3"/>
      <c r="H344" s="3"/>
      <c r="I344" s="3"/>
      <c r="J344" s="3"/>
      <c r="K344" s="3"/>
      <c r="L344" s="3"/>
      <c r="M344" s="3"/>
      <c r="N344" s="3"/>
      <c r="O344" s="3"/>
      <c r="P344" s="3"/>
      <c r="Q344" s="3"/>
      <c r="R344" s="3"/>
      <c r="S344" s="3"/>
      <c r="T344" s="3"/>
      <c r="U344" s="3"/>
      <c r="V344" s="905"/>
      <c r="W344" s="3"/>
      <c r="X344" s="3"/>
    </row>
    <row r="345" spans="1:24" ht="24.75" customHeight="1">
      <c r="A345" s="3"/>
      <c r="B345" s="3"/>
      <c r="C345" s="3"/>
      <c r="D345" s="3"/>
      <c r="E345" s="3"/>
      <c r="F345" s="3"/>
      <c r="G345" s="3"/>
      <c r="H345" s="3"/>
      <c r="I345" s="3"/>
      <c r="J345" s="3"/>
      <c r="K345" s="3"/>
      <c r="L345" s="3"/>
      <c r="M345" s="3"/>
      <c r="N345" s="3"/>
      <c r="O345" s="3"/>
      <c r="P345" s="3"/>
      <c r="Q345" s="3"/>
      <c r="R345" s="3"/>
      <c r="S345" s="3"/>
      <c r="T345" s="3"/>
      <c r="U345" s="3"/>
      <c r="V345" s="905"/>
      <c r="W345" s="3"/>
      <c r="X345" s="3"/>
    </row>
    <row r="346" spans="1:24" ht="24.75" customHeight="1">
      <c r="A346" s="3"/>
      <c r="B346" s="3"/>
      <c r="C346" s="3"/>
      <c r="D346" s="3"/>
      <c r="E346" s="3"/>
      <c r="F346" s="3"/>
      <c r="G346" s="3"/>
      <c r="H346" s="3"/>
      <c r="I346" s="3"/>
      <c r="J346" s="3"/>
      <c r="K346" s="3"/>
      <c r="L346" s="3"/>
      <c r="M346" s="3"/>
      <c r="N346" s="3"/>
      <c r="O346" s="3"/>
      <c r="P346" s="3"/>
      <c r="Q346" s="3"/>
      <c r="R346" s="3"/>
      <c r="S346" s="3"/>
      <c r="T346" s="3"/>
      <c r="U346" s="3"/>
      <c r="V346" s="905"/>
      <c r="W346" s="3"/>
      <c r="X346" s="3"/>
    </row>
    <row r="347" spans="1:24" ht="24.75" customHeight="1">
      <c r="A347" s="3"/>
      <c r="B347" s="3"/>
      <c r="C347" s="3"/>
      <c r="D347" s="3"/>
      <c r="E347" s="3"/>
      <c r="F347" s="3"/>
      <c r="G347" s="3"/>
      <c r="H347" s="3"/>
      <c r="I347" s="3"/>
      <c r="J347" s="3"/>
      <c r="K347" s="3"/>
      <c r="L347" s="3"/>
      <c r="M347" s="3"/>
      <c r="N347" s="3"/>
      <c r="O347" s="3"/>
      <c r="P347" s="3"/>
      <c r="Q347" s="3"/>
      <c r="R347" s="3"/>
      <c r="S347" s="3"/>
      <c r="T347" s="3"/>
      <c r="U347" s="3"/>
      <c r="V347" s="905"/>
      <c r="W347" s="3"/>
      <c r="X347" s="3"/>
    </row>
    <row r="348" spans="1:24" ht="24.75" customHeight="1">
      <c r="A348" s="3"/>
      <c r="B348" s="3"/>
      <c r="C348" s="3"/>
      <c r="D348" s="3"/>
      <c r="E348" s="3"/>
      <c r="F348" s="3"/>
      <c r="G348" s="3"/>
      <c r="H348" s="3"/>
      <c r="I348" s="3"/>
      <c r="J348" s="3"/>
      <c r="K348" s="3"/>
      <c r="L348" s="3"/>
      <c r="M348" s="3"/>
      <c r="N348" s="3"/>
      <c r="O348" s="3"/>
      <c r="P348" s="3"/>
      <c r="Q348" s="3"/>
      <c r="R348" s="3"/>
      <c r="S348" s="3"/>
      <c r="T348" s="3"/>
      <c r="U348" s="3"/>
      <c r="V348" s="905"/>
      <c r="W348" s="3"/>
      <c r="X348" s="3"/>
    </row>
    <row r="349" spans="1:24" ht="24.75" customHeight="1">
      <c r="A349" s="3"/>
      <c r="B349" s="3"/>
      <c r="C349" s="3"/>
      <c r="D349" s="3"/>
      <c r="E349" s="3"/>
      <c r="F349" s="3"/>
      <c r="G349" s="3"/>
      <c r="H349" s="3"/>
      <c r="I349" s="3"/>
      <c r="J349" s="3"/>
      <c r="K349" s="3"/>
      <c r="L349" s="3"/>
      <c r="M349" s="3"/>
      <c r="N349" s="3"/>
      <c r="O349" s="3"/>
      <c r="P349" s="3"/>
      <c r="Q349" s="3"/>
      <c r="R349" s="3"/>
      <c r="S349" s="3"/>
      <c r="T349" s="3"/>
      <c r="U349" s="3"/>
      <c r="V349" s="905"/>
      <c r="W349" s="3"/>
      <c r="X349" s="3"/>
    </row>
    <row r="350" spans="1:24" ht="24.75" customHeight="1">
      <c r="A350" s="3"/>
      <c r="B350" s="3"/>
      <c r="C350" s="3"/>
      <c r="D350" s="3"/>
      <c r="E350" s="3"/>
      <c r="F350" s="3"/>
      <c r="G350" s="3"/>
      <c r="H350" s="3"/>
      <c r="I350" s="3"/>
      <c r="J350" s="3"/>
      <c r="K350" s="3"/>
      <c r="L350" s="3"/>
      <c r="M350" s="3"/>
      <c r="N350" s="3"/>
      <c r="O350" s="3"/>
      <c r="P350" s="3"/>
      <c r="Q350" s="3"/>
      <c r="R350" s="3"/>
      <c r="S350" s="3"/>
      <c r="T350" s="3"/>
      <c r="U350" s="3"/>
      <c r="V350" s="905"/>
      <c r="W350" s="3"/>
      <c r="X350" s="3"/>
    </row>
    <row r="351" spans="1:24" ht="24.75" customHeight="1">
      <c r="A351" s="3"/>
      <c r="B351" s="3"/>
      <c r="C351" s="3"/>
      <c r="D351" s="3"/>
      <c r="E351" s="3"/>
      <c r="F351" s="3"/>
      <c r="G351" s="3"/>
      <c r="H351" s="3"/>
      <c r="I351" s="3"/>
      <c r="J351" s="3"/>
      <c r="K351" s="3"/>
      <c r="L351" s="3"/>
      <c r="M351" s="3"/>
      <c r="N351" s="3"/>
      <c r="O351" s="3"/>
      <c r="P351" s="3"/>
      <c r="Q351" s="3"/>
      <c r="R351" s="3"/>
      <c r="S351" s="3"/>
      <c r="T351" s="3"/>
      <c r="U351" s="3"/>
      <c r="V351" s="905"/>
      <c r="W351" s="3"/>
      <c r="X351" s="3"/>
    </row>
    <row r="352" spans="1:24" ht="24.75" customHeight="1">
      <c r="A352" s="3"/>
      <c r="B352" s="3"/>
      <c r="C352" s="3"/>
      <c r="D352" s="3"/>
      <c r="E352" s="3"/>
      <c r="F352" s="3"/>
      <c r="G352" s="3"/>
      <c r="H352" s="3"/>
      <c r="I352" s="3"/>
      <c r="J352" s="3"/>
      <c r="K352" s="3"/>
      <c r="L352" s="3"/>
      <c r="M352" s="3"/>
      <c r="N352" s="3"/>
      <c r="O352" s="3"/>
      <c r="P352" s="3"/>
      <c r="Q352" s="3"/>
      <c r="R352" s="3"/>
      <c r="S352" s="3"/>
      <c r="T352" s="3"/>
      <c r="U352" s="3"/>
      <c r="V352" s="905"/>
      <c r="W352" s="3"/>
      <c r="X352" s="3"/>
    </row>
    <row r="353" spans="1:24" ht="24.75" customHeight="1">
      <c r="A353" s="3"/>
      <c r="B353" s="3"/>
      <c r="C353" s="3"/>
      <c r="D353" s="3"/>
      <c r="E353" s="3"/>
      <c r="F353" s="3"/>
      <c r="G353" s="3"/>
      <c r="H353" s="3"/>
      <c r="I353" s="3"/>
      <c r="J353" s="3"/>
      <c r="K353" s="3"/>
      <c r="L353" s="3"/>
      <c r="M353" s="3"/>
      <c r="N353" s="3"/>
      <c r="O353" s="3"/>
      <c r="P353" s="3"/>
      <c r="Q353" s="3"/>
      <c r="R353" s="3"/>
      <c r="S353" s="3"/>
      <c r="T353" s="3"/>
      <c r="U353" s="3"/>
      <c r="V353" s="905"/>
      <c r="W353" s="3"/>
      <c r="X353" s="3"/>
    </row>
    <row r="354" spans="1:24" ht="24.75" customHeight="1">
      <c r="A354" s="3"/>
      <c r="B354" s="3"/>
      <c r="C354" s="3"/>
      <c r="D354" s="3"/>
      <c r="E354" s="3"/>
      <c r="F354" s="3"/>
      <c r="G354" s="3"/>
      <c r="H354" s="3"/>
      <c r="I354" s="3"/>
      <c r="J354" s="3"/>
      <c r="K354" s="3"/>
      <c r="L354" s="3"/>
      <c r="M354" s="3"/>
      <c r="N354" s="3"/>
      <c r="O354" s="3"/>
      <c r="P354" s="3"/>
      <c r="Q354" s="3"/>
      <c r="R354" s="3"/>
      <c r="S354" s="3"/>
      <c r="T354" s="3"/>
      <c r="U354" s="3"/>
      <c r="V354" s="905"/>
      <c r="W354" s="3"/>
      <c r="X354" s="3"/>
    </row>
    <row r="355" spans="1:24" ht="24.75" customHeight="1">
      <c r="A355" s="3"/>
      <c r="B355" s="3"/>
      <c r="C355" s="3"/>
      <c r="D355" s="3"/>
      <c r="E355" s="3"/>
      <c r="F355" s="3"/>
      <c r="G355" s="3"/>
      <c r="H355" s="3"/>
      <c r="I355" s="3"/>
      <c r="J355" s="3"/>
      <c r="K355" s="3"/>
      <c r="L355" s="3"/>
      <c r="M355" s="3"/>
      <c r="N355" s="3"/>
      <c r="O355" s="3"/>
      <c r="P355" s="3"/>
      <c r="Q355" s="3"/>
      <c r="R355" s="3"/>
      <c r="S355" s="3"/>
      <c r="T355" s="3"/>
      <c r="U355" s="3"/>
      <c r="V355" s="905"/>
      <c r="W355" s="3"/>
      <c r="X355" s="3"/>
    </row>
    <row r="356" spans="1:24" ht="24.75" customHeight="1">
      <c r="A356" s="3"/>
      <c r="B356" s="3"/>
      <c r="C356" s="3"/>
      <c r="D356" s="3"/>
      <c r="E356" s="3"/>
      <c r="F356" s="3"/>
      <c r="G356" s="3"/>
      <c r="H356" s="3"/>
      <c r="I356" s="3"/>
      <c r="J356" s="3"/>
      <c r="K356" s="3"/>
      <c r="L356" s="3"/>
      <c r="M356" s="3"/>
      <c r="N356" s="3"/>
      <c r="O356" s="3"/>
      <c r="P356" s="3"/>
      <c r="Q356" s="3"/>
      <c r="R356" s="3"/>
      <c r="S356" s="3"/>
      <c r="T356" s="3"/>
      <c r="U356" s="3"/>
      <c r="V356" s="905"/>
      <c r="W356" s="3"/>
      <c r="X356" s="3"/>
    </row>
    <row r="357" spans="1:24" ht="24.75" customHeight="1">
      <c r="A357" s="3"/>
      <c r="B357" s="3"/>
      <c r="C357" s="3"/>
      <c r="D357" s="3"/>
      <c r="E357" s="3"/>
      <c r="F357" s="3"/>
      <c r="G357" s="3"/>
      <c r="H357" s="3"/>
      <c r="I357" s="3"/>
      <c r="J357" s="3"/>
      <c r="K357" s="3"/>
      <c r="L357" s="3"/>
      <c r="M357" s="3"/>
      <c r="N357" s="3"/>
      <c r="O357" s="3"/>
      <c r="P357" s="3"/>
      <c r="Q357" s="3"/>
      <c r="R357" s="3"/>
      <c r="S357" s="3"/>
      <c r="T357" s="3"/>
      <c r="U357" s="3"/>
      <c r="V357" s="905"/>
      <c r="W357" s="3"/>
      <c r="X357" s="3"/>
    </row>
    <row r="358" spans="1:24" ht="24.75" customHeight="1">
      <c r="A358" s="3"/>
      <c r="B358" s="3"/>
      <c r="C358" s="3"/>
      <c r="D358" s="3"/>
      <c r="E358" s="3"/>
      <c r="F358" s="3"/>
      <c r="G358" s="3"/>
      <c r="H358" s="3"/>
      <c r="I358" s="3"/>
      <c r="J358" s="3"/>
      <c r="K358" s="3"/>
      <c r="L358" s="3"/>
      <c r="M358" s="3"/>
      <c r="N358" s="3"/>
      <c r="O358" s="3"/>
      <c r="P358" s="3"/>
      <c r="Q358" s="3"/>
      <c r="R358" s="3"/>
      <c r="S358" s="3"/>
      <c r="T358" s="3"/>
      <c r="U358" s="3"/>
      <c r="V358" s="905"/>
      <c r="W358" s="3"/>
      <c r="X358" s="3"/>
    </row>
    <row r="359" spans="1:24" ht="24.75" customHeight="1">
      <c r="A359" s="3"/>
      <c r="B359" s="3"/>
      <c r="C359" s="3"/>
      <c r="D359" s="3"/>
      <c r="E359" s="3"/>
      <c r="F359" s="3"/>
      <c r="G359" s="3"/>
      <c r="H359" s="3"/>
      <c r="I359" s="3"/>
      <c r="J359" s="3"/>
      <c r="K359" s="3"/>
      <c r="L359" s="3"/>
      <c r="M359" s="3"/>
      <c r="N359" s="3"/>
      <c r="O359" s="3"/>
      <c r="P359" s="3"/>
      <c r="Q359" s="3"/>
      <c r="R359" s="3"/>
      <c r="S359" s="3"/>
      <c r="T359" s="3"/>
      <c r="U359" s="3"/>
      <c r="V359" s="905"/>
      <c r="W359" s="3"/>
      <c r="X359" s="3"/>
    </row>
    <row r="360" spans="1:24" ht="24.75" customHeight="1">
      <c r="A360" s="3"/>
      <c r="B360" s="3"/>
      <c r="C360" s="3"/>
      <c r="D360" s="3"/>
      <c r="E360" s="3"/>
      <c r="F360" s="3"/>
      <c r="G360" s="3"/>
      <c r="H360" s="3"/>
      <c r="I360" s="3"/>
      <c r="J360" s="3"/>
      <c r="K360" s="3"/>
      <c r="L360" s="3"/>
      <c r="M360" s="3"/>
      <c r="N360" s="3"/>
      <c r="O360" s="3"/>
      <c r="P360" s="3"/>
      <c r="Q360" s="3"/>
      <c r="R360" s="3"/>
      <c r="S360" s="3"/>
      <c r="T360" s="3"/>
      <c r="U360" s="3"/>
      <c r="V360" s="905"/>
      <c r="W360" s="3"/>
      <c r="X360" s="3"/>
    </row>
    <row r="361" spans="1:24" ht="24.75" customHeight="1">
      <c r="A361" s="3"/>
      <c r="B361" s="3"/>
      <c r="C361" s="3"/>
      <c r="D361" s="3"/>
      <c r="E361" s="3"/>
      <c r="F361" s="3"/>
      <c r="G361" s="3"/>
      <c r="H361" s="3"/>
      <c r="I361" s="3"/>
      <c r="J361" s="3"/>
      <c r="K361" s="3"/>
      <c r="L361" s="3"/>
      <c r="M361" s="3"/>
      <c r="N361" s="3"/>
      <c r="O361" s="3"/>
      <c r="P361" s="3"/>
      <c r="Q361" s="3"/>
      <c r="R361" s="3"/>
      <c r="S361" s="3"/>
      <c r="T361" s="3"/>
      <c r="U361" s="3"/>
      <c r="V361" s="905"/>
      <c r="W361" s="3"/>
      <c r="X361" s="3"/>
    </row>
    <row r="362" spans="1:24" ht="24.75" customHeight="1">
      <c r="A362" s="3"/>
      <c r="B362" s="3"/>
      <c r="C362" s="3"/>
      <c r="D362" s="3"/>
      <c r="E362" s="3"/>
      <c r="F362" s="3"/>
      <c r="G362" s="3"/>
      <c r="H362" s="3"/>
      <c r="I362" s="3"/>
      <c r="J362" s="3"/>
      <c r="K362" s="3"/>
      <c r="L362" s="3"/>
      <c r="M362" s="3"/>
      <c r="N362" s="3"/>
      <c r="O362" s="3"/>
      <c r="P362" s="3"/>
      <c r="Q362" s="3"/>
      <c r="R362" s="3"/>
      <c r="S362" s="3"/>
      <c r="T362" s="3"/>
      <c r="U362" s="3"/>
      <c r="V362" s="905"/>
      <c r="W362" s="3"/>
      <c r="X362" s="3"/>
    </row>
    <row r="363" spans="1:24" ht="24.75" customHeight="1">
      <c r="A363" s="3"/>
      <c r="B363" s="3"/>
      <c r="C363" s="3"/>
      <c r="D363" s="3"/>
      <c r="E363" s="3"/>
      <c r="F363" s="3"/>
      <c r="G363" s="3"/>
      <c r="H363" s="3"/>
      <c r="I363" s="3"/>
      <c r="J363" s="3"/>
      <c r="K363" s="3"/>
      <c r="L363" s="3"/>
      <c r="M363" s="3"/>
      <c r="N363" s="3"/>
      <c r="O363" s="3"/>
      <c r="P363" s="3"/>
      <c r="Q363" s="3"/>
      <c r="R363" s="3"/>
      <c r="S363" s="3"/>
      <c r="T363" s="3"/>
      <c r="U363" s="3"/>
      <c r="V363" s="905"/>
      <c r="W363" s="3"/>
      <c r="X363" s="3"/>
    </row>
    <row r="364" spans="1:24" ht="24.75" customHeight="1">
      <c r="A364" s="3"/>
      <c r="B364" s="3"/>
      <c r="C364" s="3"/>
      <c r="D364" s="3"/>
      <c r="E364" s="3"/>
      <c r="F364" s="3"/>
      <c r="G364" s="3"/>
      <c r="H364" s="3"/>
      <c r="I364" s="3"/>
      <c r="J364" s="3"/>
      <c r="K364" s="3"/>
      <c r="L364" s="3"/>
      <c r="M364" s="3"/>
      <c r="N364" s="3"/>
      <c r="O364" s="3"/>
      <c r="P364" s="3"/>
      <c r="Q364" s="3"/>
      <c r="R364" s="3"/>
      <c r="S364" s="3"/>
      <c r="T364" s="3"/>
      <c r="U364" s="3"/>
      <c r="V364" s="905"/>
      <c r="W364" s="3"/>
      <c r="X364" s="3"/>
    </row>
    <row r="365" spans="1:24" ht="24.75" customHeight="1">
      <c r="A365" s="3"/>
      <c r="B365" s="3"/>
      <c r="C365" s="3"/>
      <c r="D365" s="3"/>
      <c r="E365" s="3"/>
      <c r="F365" s="3"/>
      <c r="G365" s="3"/>
      <c r="H365" s="3"/>
      <c r="I365" s="3"/>
      <c r="J365" s="3"/>
      <c r="K365" s="3"/>
      <c r="L365" s="3"/>
      <c r="M365" s="3"/>
      <c r="N365" s="3"/>
      <c r="O365" s="3"/>
      <c r="P365" s="3"/>
      <c r="Q365" s="3"/>
      <c r="R365" s="3"/>
      <c r="S365" s="3"/>
      <c r="T365" s="3"/>
      <c r="U365" s="3"/>
      <c r="V365" s="905"/>
      <c r="W365" s="3"/>
      <c r="X365" s="3"/>
    </row>
    <row r="366" spans="1:24" ht="24.75" customHeight="1">
      <c r="A366" s="3"/>
      <c r="B366" s="3"/>
      <c r="C366" s="3"/>
      <c r="D366" s="3"/>
      <c r="E366" s="3"/>
      <c r="F366" s="3"/>
      <c r="G366" s="3"/>
      <c r="H366" s="3"/>
      <c r="I366" s="3"/>
      <c r="J366" s="3"/>
      <c r="K366" s="3"/>
      <c r="L366" s="3"/>
      <c r="M366" s="3"/>
      <c r="N366" s="3"/>
      <c r="O366" s="3"/>
      <c r="P366" s="3"/>
      <c r="Q366" s="3"/>
      <c r="R366" s="3"/>
      <c r="S366" s="3"/>
      <c r="T366" s="3"/>
      <c r="U366" s="3"/>
      <c r="V366" s="905"/>
      <c r="W366" s="3"/>
      <c r="X366" s="3"/>
    </row>
    <row r="367" spans="1:24" ht="24.75" customHeight="1">
      <c r="A367" s="3"/>
      <c r="B367" s="3"/>
      <c r="C367" s="3"/>
      <c r="D367" s="3"/>
      <c r="E367" s="3"/>
      <c r="F367" s="3"/>
      <c r="G367" s="3"/>
      <c r="H367" s="3"/>
      <c r="I367" s="3"/>
      <c r="J367" s="3"/>
      <c r="K367" s="3"/>
      <c r="L367" s="3"/>
      <c r="M367" s="3"/>
      <c r="N367" s="3"/>
      <c r="O367" s="3"/>
      <c r="P367" s="3"/>
      <c r="Q367" s="3"/>
      <c r="R367" s="3"/>
      <c r="S367" s="3"/>
      <c r="T367" s="3"/>
      <c r="U367" s="3"/>
      <c r="V367" s="905"/>
      <c r="W367" s="3"/>
      <c r="X367" s="3"/>
    </row>
    <row r="368" spans="1:24" ht="24.75" customHeight="1">
      <c r="A368" s="3"/>
      <c r="B368" s="3"/>
      <c r="C368" s="3"/>
      <c r="D368" s="3"/>
      <c r="E368" s="3"/>
      <c r="F368" s="3"/>
      <c r="G368" s="3"/>
      <c r="H368" s="3"/>
      <c r="I368" s="3"/>
      <c r="J368" s="3"/>
      <c r="K368" s="3"/>
      <c r="L368" s="3"/>
      <c r="M368" s="3"/>
      <c r="N368" s="3"/>
      <c r="O368" s="3"/>
      <c r="P368" s="3"/>
      <c r="Q368" s="3"/>
      <c r="R368" s="3"/>
      <c r="S368" s="3"/>
      <c r="T368" s="3"/>
      <c r="U368" s="3"/>
      <c r="V368" s="905"/>
      <c r="W368" s="3"/>
      <c r="X368" s="3"/>
    </row>
    <row r="369" spans="1:24" ht="24.75" customHeight="1">
      <c r="A369" s="3"/>
      <c r="B369" s="3"/>
      <c r="C369" s="3"/>
      <c r="D369" s="3"/>
      <c r="E369" s="3"/>
      <c r="F369" s="3"/>
      <c r="G369" s="3"/>
      <c r="H369" s="3"/>
      <c r="I369" s="3"/>
      <c r="J369" s="3"/>
      <c r="K369" s="3"/>
      <c r="L369" s="3"/>
      <c r="M369" s="3"/>
      <c r="N369" s="3"/>
      <c r="O369" s="3"/>
      <c r="P369" s="3"/>
      <c r="Q369" s="3"/>
      <c r="R369" s="3"/>
      <c r="S369" s="3"/>
      <c r="T369" s="3"/>
      <c r="U369" s="3"/>
      <c r="V369" s="905"/>
      <c r="W369" s="3"/>
      <c r="X369" s="3"/>
    </row>
    <row r="370" spans="1:24" ht="24.75" customHeight="1">
      <c r="A370" s="3"/>
      <c r="B370" s="3"/>
      <c r="C370" s="3"/>
      <c r="D370" s="3"/>
      <c r="E370" s="3"/>
      <c r="F370" s="3"/>
      <c r="G370" s="3"/>
      <c r="H370" s="3"/>
      <c r="I370" s="3"/>
      <c r="J370" s="3"/>
      <c r="K370" s="3"/>
      <c r="L370" s="3"/>
      <c r="M370" s="3"/>
      <c r="N370" s="3"/>
      <c r="O370" s="3"/>
      <c r="P370" s="3"/>
      <c r="Q370" s="3"/>
      <c r="R370" s="3"/>
      <c r="S370" s="3"/>
      <c r="T370" s="3"/>
      <c r="U370" s="3"/>
      <c r="V370" s="905"/>
      <c r="W370" s="3"/>
      <c r="X370" s="3"/>
    </row>
    <row r="371" spans="1:24" ht="24.75" customHeight="1">
      <c r="A371" s="3"/>
      <c r="B371" s="3"/>
      <c r="C371" s="3"/>
      <c r="D371" s="3"/>
      <c r="E371" s="3"/>
      <c r="F371" s="3"/>
      <c r="G371" s="3"/>
      <c r="H371" s="3"/>
      <c r="I371" s="3"/>
      <c r="J371" s="3"/>
      <c r="K371" s="3"/>
      <c r="L371" s="3"/>
      <c r="M371" s="3"/>
      <c r="N371" s="3"/>
      <c r="O371" s="3"/>
      <c r="P371" s="3"/>
      <c r="Q371" s="3"/>
      <c r="R371" s="3"/>
      <c r="S371" s="3"/>
      <c r="T371" s="3"/>
      <c r="U371" s="3"/>
      <c r="V371" s="905"/>
      <c r="W371" s="3"/>
      <c r="X371" s="3"/>
    </row>
    <row r="372" spans="1:24" ht="24.75" customHeight="1">
      <c r="A372" s="3"/>
      <c r="B372" s="3"/>
      <c r="C372" s="3"/>
      <c r="D372" s="3"/>
      <c r="E372" s="3"/>
      <c r="F372" s="3"/>
      <c r="G372" s="3"/>
      <c r="H372" s="3"/>
      <c r="I372" s="3"/>
      <c r="J372" s="3"/>
      <c r="K372" s="3"/>
      <c r="L372" s="3"/>
      <c r="M372" s="3"/>
      <c r="N372" s="3"/>
      <c r="O372" s="3"/>
      <c r="P372" s="3"/>
      <c r="Q372" s="3"/>
      <c r="R372" s="3"/>
      <c r="S372" s="3"/>
      <c r="T372" s="3"/>
      <c r="U372" s="3"/>
      <c r="V372" s="905"/>
      <c r="W372" s="3"/>
      <c r="X372" s="3"/>
    </row>
    <row r="373" spans="1:24" ht="24.75" customHeight="1">
      <c r="A373" s="3"/>
      <c r="B373" s="3"/>
      <c r="C373" s="3"/>
      <c r="D373" s="3"/>
      <c r="E373" s="3"/>
      <c r="F373" s="3"/>
      <c r="G373" s="3"/>
      <c r="H373" s="3"/>
      <c r="I373" s="3"/>
      <c r="J373" s="3"/>
      <c r="K373" s="3"/>
      <c r="L373" s="3"/>
      <c r="M373" s="3"/>
      <c r="N373" s="3"/>
      <c r="O373" s="3"/>
      <c r="P373" s="3"/>
      <c r="Q373" s="3"/>
      <c r="R373" s="3"/>
      <c r="S373" s="3"/>
      <c r="T373" s="3"/>
      <c r="U373" s="3"/>
      <c r="V373" s="905"/>
      <c r="W373" s="3"/>
      <c r="X373" s="3"/>
    </row>
    <row r="374" spans="1:24" ht="24.75" customHeight="1">
      <c r="A374" s="3"/>
      <c r="B374" s="3"/>
      <c r="C374" s="3"/>
      <c r="D374" s="3"/>
      <c r="E374" s="3"/>
      <c r="F374" s="3"/>
      <c r="G374" s="3"/>
      <c r="H374" s="3"/>
      <c r="I374" s="3"/>
      <c r="J374" s="3"/>
      <c r="K374" s="3"/>
      <c r="L374" s="3"/>
      <c r="M374" s="3"/>
      <c r="N374" s="3"/>
      <c r="O374" s="3"/>
      <c r="P374" s="3"/>
      <c r="Q374" s="3"/>
      <c r="R374" s="3"/>
      <c r="S374" s="3"/>
      <c r="T374" s="3"/>
      <c r="U374" s="3"/>
      <c r="V374" s="905"/>
      <c r="W374" s="3"/>
      <c r="X374" s="3"/>
    </row>
    <row r="375" spans="1:24" ht="24.75" customHeight="1">
      <c r="A375" s="3"/>
      <c r="B375" s="3"/>
      <c r="C375" s="3"/>
      <c r="D375" s="3"/>
      <c r="E375" s="3"/>
      <c r="F375" s="3"/>
      <c r="G375" s="3"/>
      <c r="H375" s="3"/>
      <c r="I375" s="3"/>
      <c r="J375" s="3"/>
      <c r="K375" s="3"/>
      <c r="L375" s="3"/>
      <c r="M375" s="3"/>
      <c r="N375" s="3"/>
      <c r="O375" s="3"/>
      <c r="P375" s="3"/>
      <c r="Q375" s="3"/>
      <c r="R375" s="3"/>
      <c r="S375" s="3"/>
      <c r="T375" s="3"/>
      <c r="U375" s="3"/>
      <c r="V375" s="905"/>
      <c r="W375" s="3"/>
      <c r="X375" s="3"/>
    </row>
    <row r="376" spans="1:24" ht="24.75" customHeight="1">
      <c r="A376" s="3"/>
      <c r="B376" s="3"/>
      <c r="C376" s="3"/>
      <c r="D376" s="3"/>
      <c r="E376" s="3"/>
      <c r="F376" s="3"/>
      <c r="G376" s="3"/>
      <c r="H376" s="3"/>
      <c r="I376" s="3"/>
      <c r="J376" s="3"/>
      <c r="K376" s="3"/>
      <c r="L376" s="3"/>
      <c r="M376" s="3"/>
      <c r="N376" s="3"/>
      <c r="O376" s="3"/>
      <c r="P376" s="3"/>
      <c r="Q376" s="3"/>
      <c r="R376" s="3"/>
      <c r="S376" s="3"/>
      <c r="T376" s="3"/>
      <c r="U376" s="3"/>
      <c r="V376" s="905"/>
      <c r="W376" s="3"/>
      <c r="X376" s="3"/>
    </row>
    <row r="377" spans="1:24" ht="24.75" customHeight="1">
      <c r="A377" s="3"/>
      <c r="B377" s="3"/>
      <c r="C377" s="3"/>
      <c r="D377" s="3"/>
      <c r="E377" s="3"/>
      <c r="F377" s="3"/>
      <c r="G377" s="3"/>
      <c r="H377" s="3"/>
      <c r="I377" s="3"/>
      <c r="J377" s="3"/>
      <c r="K377" s="3"/>
      <c r="L377" s="3"/>
      <c r="M377" s="3"/>
      <c r="N377" s="3"/>
      <c r="O377" s="3"/>
      <c r="P377" s="3"/>
      <c r="Q377" s="3"/>
      <c r="R377" s="3"/>
      <c r="S377" s="3"/>
      <c r="T377" s="3"/>
      <c r="U377" s="3"/>
      <c r="V377" s="905"/>
      <c r="W377" s="3"/>
      <c r="X377" s="3"/>
    </row>
    <row r="378" spans="1:24" ht="24.75" customHeight="1">
      <c r="A378" s="3"/>
      <c r="B378" s="3"/>
      <c r="C378" s="3"/>
      <c r="D378" s="3"/>
      <c r="E378" s="3"/>
      <c r="F378" s="3"/>
      <c r="G378" s="3"/>
      <c r="H378" s="3"/>
      <c r="I378" s="3"/>
      <c r="J378" s="3"/>
      <c r="K378" s="3"/>
      <c r="L378" s="3"/>
      <c r="M378" s="3"/>
      <c r="N378" s="3"/>
      <c r="O378" s="3"/>
      <c r="P378" s="3"/>
      <c r="Q378" s="3"/>
      <c r="R378" s="3"/>
      <c r="S378" s="3"/>
      <c r="T378" s="3"/>
      <c r="U378" s="3"/>
      <c r="V378" s="905"/>
      <c r="W378" s="3"/>
      <c r="X378" s="3"/>
    </row>
    <row r="379" spans="1:24" ht="24.75" customHeight="1">
      <c r="A379" s="3"/>
      <c r="B379" s="3"/>
      <c r="C379" s="3"/>
      <c r="D379" s="3"/>
      <c r="E379" s="3"/>
      <c r="F379" s="3"/>
      <c r="G379" s="3"/>
      <c r="H379" s="3"/>
      <c r="I379" s="3"/>
      <c r="J379" s="3"/>
      <c r="K379" s="3"/>
      <c r="L379" s="3"/>
      <c r="M379" s="3"/>
      <c r="N379" s="3"/>
      <c r="O379" s="3"/>
      <c r="P379" s="3"/>
      <c r="Q379" s="3"/>
      <c r="R379" s="3"/>
      <c r="S379" s="3"/>
      <c r="T379" s="3"/>
      <c r="U379" s="3"/>
      <c r="V379" s="905"/>
      <c r="W379" s="3"/>
      <c r="X379" s="3"/>
    </row>
    <row r="380" spans="1:24" ht="24.75" customHeight="1">
      <c r="A380" s="3"/>
      <c r="B380" s="3"/>
      <c r="C380" s="3"/>
      <c r="D380" s="3"/>
      <c r="E380" s="3"/>
      <c r="F380" s="3"/>
      <c r="G380" s="3"/>
      <c r="H380" s="3"/>
      <c r="I380" s="3"/>
      <c r="J380" s="3"/>
      <c r="K380" s="3"/>
      <c r="L380" s="3"/>
      <c r="M380" s="3"/>
      <c r="N380" s="3"/>
      <c r="O380" s="3"/>
      <c r="P380" s="3"/>
      <c r="Q380" s="3"/>
      <c r="R380" s="3"/>
      <c r="S380" s="3"/>
      <c r="T380" s="3"/>
      <c r="U380" s="3"/>
      <c r="V380" s="905"/>
      <c r="W380" s="3"/>
      <c r="X380" s="3"/>
    </row>
    <row r="381" spans="1:24" ht="24.75" customHeight="1">
      <c r="A381" s="3"/>
      <c r="B381" s="3"/>
      <c r="C381" s="3"/>
      <c r="D381" s="3"/>
      <c r="E381" s="3"/>
      <c r="F381" s="3"/>
      <c r="G381" s="3"/>
      <c r="H381" s="3"/>
      <c r="I381" s="3"/>
      <c r="J381" s="3"/>
      <c r="K381" s="3"/>
      <c r="L381" s="3"/>
      <c r="M381" s="3"/>
      <c r="N381" s="3"/>
      <c r="O381" s="3"/>
      <c r="P381" s="3"/>
      <c r="Q381" s="3"/>
      <c r="R381" s="3"/>
      <c r="S381" s="3"/>
      <c r="T381" s="3"/>
      <c r="U381" s="3"/>
      <c r="V381" s="905"/>
      <c r="W381" s="3"/>
      <c r="X381" s="3"/>
    </row>
    <row r="382" spans="1:24" ht="24.75" customHeight="1">
      <c r="A382" s="3"/>
      <c r="B382" s="3"/>
      <c r="C382" s="3"/>
      <c r="D382" s="3"/>
      <c r="E382" s="3"/>
      <c r="F382" s="3"/>
      <c r="G382" s="3"/>
      <c r="H382" s="3"/>
      <c r="I382" s="3"/>
      <c r="J382" s="3"/>
      <c r="K382" s="3"/>
      <c r="L382" s="3"/>
      <c r="M382" s="3"/>
      <c r="N382" s="3"/>
      <c r="O382" s="3"/>
      <c r="P382" s="3"/>
      <c r="Q382" s="3"/>
      <c r="R382" s="3"/>
      <c r="S382" s="3"/>
      <c r="T382" s="3"/>
      <c r="U382" s="3"/>
      <c r="V382" s="905"/>
      <c r="W382" s="3"/>
      <c r="X382" s="3"/>
    </row>
    <row r="383" spans="1:24" ht="24.75" customHeight="1">
      <c r="A383" s="3"/>
      <c r="B383" s="3"/>
      <c r="C383" s="3"/>
      <c r="D383" s="3"/>
      <c r="E383" s="3"/>
      <c r="F383" s="3"/>
      <c r="G383" s="3"/>
      <c r="H383" s="3"/>
      <c r="I383" s="3"/>
      <c r="J383" s="3"/>
      <c r="K383" s="3"/>
      <c r="L383" s="3"/>
      <c r="M383" s="3"/>
      <c r="N383" s="3"/>
      <c r="O383" s="3"/>
      <c r="P383" s="3"/>
      <c r="Q383" s="3"/>
      <c r="R383" s="3"/>
      <c r="S383" s="3"/>
      <c r="T383" s="3"/>
      <c r="U383" s="3"/>
      <c r="V383" s="905"/>
      <c r="W383" s="3"/>
      <c r="X383" s="3"/>
    </row>
    <row r="384" spans="1:24" ht="24.75" customHeight="1">
      <c r="A384" s="3"/>
      <c r="B384" s="3"/>
      <c r="C384" s="3"/>
      <c r="D384" s="3"/>
      <c r="E384" s="3"/>
      <c r="F384" s="3"/>
      <c r="G384" s="3"/>
      <c r="H384" s="3"/>
      <c r="I384" s="3"/>
      <c r="J384" s="3"/>
      <c r="K384" s="3"/>
      <c r="L384" s="3"/>
      <c r="M384" s="3"/>
      <c r="N384" s="3"/>
      <c r="O384" s="3"/>
      <c r="P384" s="3"/>
      <c r="Q384" s="3"/>
      <c r="R384" s="3"/>
      <c r="S384" s="3"/>
      <c r="T384" s="3"/>
      <c r="U384" s="3"/>
      <c r="V384" s="905"/>
      <c r="W384" s="3"/>
      <c r="X384" s="3"/>
    </row>
    <row r="385" spans="1:24" ht="24.75" customHeight="1">
      <c r="A385" s="3"/>
      <c r="B385" s="3"/>
      <c r="C385" s="3"/>
      <c r="D385" s="3"/>
      <c r="E385" s="3"/>
      <c r="F385" s="3"/>
      <c r="G385" s="3"/>
      <c r="H385" s="3"/>
      <c r="I385" s="3"/>
      <c r="J385" s="3"/>
      <c r="K385" s="3"/>
      <c r="L385" s="3"/>
      <c r="M385" s="3"/>
      <c r="N385" s="3"/>
      <c r="O385" s="3"/>
      <c r="P385" s="3"/>
      <c r="Q385" s="3"/>
      <c r="R385" s="3"/>
      <c r="S385" s="3"/>
      <c r="T385" s="3"/>
      <c r="U385" s="3"/>
      <c r="V385" s="905"/>
      <c r="W385" s="3"/>
      <c r="X385" s="3"/>
    </row>
    <row r="386" spans="1:24" ht="24.75" customHeight="1">
      <c r="A386" s="3"/>
      <c r="B386" s="3"/>
      <c r="C386" s="3"/>
      <c r="D386" s="3"/>
      <c r="E386" s="3"/>
      <c r="F386" s="3"/>
      <c r="G386" s="3"/>
      <c r="H386" s="3"/>
      <c r="I386" s="3"/>
      <c r="J386" s="3"/>
      <c r="K386" s="3"/>
      <c r="L386" s="3"/>
      <c r="M386" s="3"/>
      <c r="N386" s="3"/>
      <c r="O386" s="3"/>
      <c r="P386" s="3"/>
      <c r="Q386" s="3"/>
      <c r="R386" s="3"/>
      <c r="S386" s="3"/>
      <c r="T386" s="3"/>
      <c r="U386" s="3"/>
      <c r="V386" s="905"/>
      <c r="W386" s="3"/>
      <c r="X386" s="3"/>
    </row>
    <row r="387" spans="1:24" ht="24.75" customHeight="1">
      <c r="A387" s="3"/>
      <c r="B387" s="3"/>
      <c r="C387" s="3"/>
      <c r="D387" s="3"/>
      <c r="E387" s="3"/>
      <c r="F387" s="3"/>
      <c r="G387" s="3"/>
      <c r="H387" s="3"/>
      <c r="I387" s="3"/>
      <c r="J387" s="3"/>
      <c r="K387" s="3"/>
      <c r="L387" s="3"/>
      <c r="M387" s="3"/>
      <c r="N387" s="3"/>
      <c r="O387" s="3"/>
      <c r="P387" s="3"/>
      <c r="Q387" s="3"/>
      <c r="R387" s="3"/>
      <c r="S387" s="3"/>
      <c r="T387" s="3"/>
      <c r="U387" s="3"/>
      <c r="V387" s="905"/>
      <c r="W387" s="3"/>
      <c r="X387" s="3"/>
    </row>
    <row r="388" spans="1:24" ht="24.75" customHeight="1">
      <c r="A388" s="3"/>
      <c r="B388" s="3"/>
      <c r="C388" s="3"/>
      <c r="D388" s="3"/>
      <c r="E388" s="3"/>
      <c r="F388" s="3"/>
      <c r="G388" s="3"/>
      <c r="H388" s="3"/>
      <c r="I388" s="3"/>
      <c r="J388" s="3"/>
      <c r="K388" s="3"/>
      <c r="L388" s="3"/>
      <c r="M388" s="3"/>
      <c r="N388" s="3"/>
      <c r="O388" s="3"/>
      <c r="P388" s="3"/>
      <c r="Q388" s="3"/>
      <c r="R388" s="3"/>
      <c r="S388" s="3"/>
      <c r="T388" s="3"/>
      <c r="U388" s="3"/>
      <c r="V388" s="905"/>
      <c r="W388" s="3"/>
      <c r="X388" s="3"/>
    </row>
    <row r="389" spans="1:24" ht="24.75" customHeight="1">
      <c r="A389" s="3"/>
      <c r="B389" s="3"/>
      <c r="C389" s="3"/>
      <c r="D389" s="3"/>
      <c r="E389" s="3"/>
      <c r="F389" s="3"/>
      <c r="G389" s="3"/>
      <c r="H389" s="3"/>
      <c r="I389" s="3"/>
      <c r="J389" s="3"/>
      <c r="K389" s="3"/>
      <c r="L389" s="3"/>
      <c r="M389" s="3"/>
      <c r="N389" s="3"/>
      <c r="O389" s="3"/>
      <c r="P389" s="3"/>
      <c r="Q389" s="3"/>
      <c r="R389" s="3"/>
      <c r="S389" s="3"/>
      <c r="T389" s="3"/>
      <c r="U389" s="3"/>
      <c r="V389" s="905"/>
      <c r="W389" s="3"/>
      <c r="X389" s="3"/>
    </row>
    <row r="390" spans="1:24" ht="24.75" customHeight="1">
      <c r="A390" s="3"/>
      <c r="B390" s="3"/>
      <c r="C390" s="3"/>
      <c r="D390" s="3"/>
      <c r="E390" s="3"/>
      <c r="F390" s="3"/>
      <c r="G390" s="3"/>
      <c r="H390" s="3"/>
      <c r="I390" s="3"/>
      <c r="J390" s="3"/>
      <c r="K390" s="3"/>
      <c r="L390" s="3"/>
      <c r="M390" s="3"/>
      <c r="N390" s="3"/>
      <c r="O390" s="3"/>
      <c r="P390" s="3"/>
      <c r="Q390" s="3"/>
      <c r="R390" s="3"/>
      <c r="S390" s="3"/>
      <c r="T390" s="3"/>
      <c r="U390" s="3"/>
      <c r="V390" s="905"/>
      <c r="W390" s="3"/>
      <c r="X390" s="3"/>
    </row>
    <row r="391" spans="1:24" ht="24.75" customHeight="1">
      <c r="A391" s="3"/>
      <c r="B391" s="3"/>
      <c r="C391" s="3"/>
      <c r="D391" s="3"/>
      <c r="E391" s="3"/>
      <c r="F391" s="3"/>
      <c r="G391" s="3"/>
      <c r="H391" s="3"/>
      <c r="I391" s="3"/>
      <c r="J391" s="3"/>
      <c r="K391" s="3"/>
      <c r="L391" s="3"/>
      <c r="M391" s="3"/>
      <c r="N391" s="3"/>
      <c r="O391" s="3"/>
      <c r="P391" s="3"/>
      <c r="Q391" s="3"/>
      <c r="R391" s="3"/>
      <c r="S391" s="3"/>
      <c r="T391" s="3"/>
      <c r="U391" s="3"/>
      <c r="V391" s="905"/>
      <c r="W391" s="3"/>
      <c r="X391" s="3"/>
    </row>
    <row r="392" spans="1:24" ht="24.75" customHeight="1">
      <c r="A392" s="3"/>
      <c r="B392" s="3"/>
      <c r="C392" s="3"/>
      <c r="D392" s="3"/>
      <c r="E392" s="3"/>
      <c r="F392" s="3"/>
      <c r="G392" s="3"/>
      <c r="H392" s="3"/>
      <c r="I392" s="3"/>
      <c r="J392" s="3"/>
      <c r="K392" s="3"/>
      <c r="L392" s="3"/>
      <c r="M392" s="3"/>
      <c r="N392" s="3"/>
      <c r="O392" s="3"/>
      <c r="P392" s="3"/>
      <c r="Q392" s="3"/>
      <c r="R392" s="3"/>
      <c r="S392" s="3"/>
      <c r="T392" s="3"/>
      <c r="U392" s="3"/>
      <c r="V392" s="905"/>
      <c r="W392" s="3"/>
      <c r="X392" s="3"/>
    </row>
    <row r="393" spans="1:24" ht="24.75" customHeight="1">
      <c r="A393" s="3"/>
      <c r="B393" s="3"/>
      <c r="C393" s="3"/>
      <c r="D393" s="3"/>
      <c r="E393" s="3"/>
      <c r="F393" s="3"/>
      <c r="G393" s="3"/>
      <c r="H393" s="3"/>
      <c r="I393" s="3"/>
      <c r="J393" s="3"/>
      <c r="K393" s="3"/>
      <c r="L393" s="3"/>
      <c r="M393" s="3"/>
      <c r="N393" s="3"/>
      <c r="O393" s="3"/>
      <c r="P393" s="3"/>
      <c r="Q393" s="3"/>
      <c r="R393" s="3"/>
      <c r="S393" s="3"/>
      <c r="T393" s="3"/>
      <c r="U393" s="3"/>
      <c r="V393" s="905"/>
      <c r="W393" s="3"/>
      <c r="X393" s="3"/>
    </row>
    <row r="394" spans="1:24" ht="24.75" customHeight="1">
      <c r="A394" s="3"/>
      <c r="B394" s="3"/>
      <c r="C394" s="3"/>
      <c r="D394" s="3"/>
      <c r="E394" s="3"/>
      <c r="F394" s="3"/>
      <c r="G394" s="3"/>
      <c r="H394" s="3"/>
      <c r="I394" s="3"/>
      <c r="J394" s="3"/>
      <c r="K394" s="3"/>
      <c r="L394" s="3"/>
      <c r="M394" s="3"/>
      <c r="N394" s="3"/>
      <c r="O394" s="3"/>
      <c r="P394" s="3"/>
      <c r="Q394" s="3"/>
      <c r="R394" s="3"/>
      <c r="S394" s="3"/>
      <c r="T394" s="3"/>
      <c r="U394" s="3"/>
      <c r="V394" s="905"/>
      <c r="W394" s="3"/>
      <c r="X394" s="3"/>
    </row>
    <row r="395" spans="1:24" ht="24.75" customHeight="1">
      <c r="A395" s="3"/>
      <c r="B395" s="3"/>
      <c r="C395" s="3"/>
      <c r="D395" s="3"/>
      <c r="E395" s="3"/>
      <c r="F395" s="3"/>
      <c r="G395" s="3"/>
      <c r="H395" s="3"/>
      <c r="I395" s="3"/>
      <c r="J395" s="3"/>
      <c r="K395" s="3"/>
      <c r="L395" s="3"/>
      <c r="M395" s="3"/>
      <c r="N395" s="3"/>
      <c r="O395" s="3"/>
      <c r="P395" s="3"/>
      <c r="Q395" s="3"/>
      <c r="R395" s="3"/>
      <c r="S395" s="3"/>
      <c r="T395" s="3"/>
      <c r="U395" s="3"/>
      <c r="V395" s="905"/>
      <c r="W395" s="3"/>
      <c r="X395" s="3"/>
    </row>
    <row r="396" spans="1:24" ht="24.75" customHeight="1">
      <c r="A396" s="3"/>
      <c r="B396" s="3"/>
      <c r="C396" s="3"/>
      <c r="D396" s="3"/>
      <c r="E396" s="3"/>
      <c r="F396" s="3"/>
      <c r="G396" s="3"/>
      <c r="H396" s="3"/>
      <c r="I396" s="3"/>
      <c r="J396" s="3"/>
      <c r="K396" s="3"/>
      <c r="L396" s="3"/>
      <c r="M396" s="3"/>
      <c r="N396" s="3"/>
      <c r="O396" s="3"/>
      <c r="P396" s="3"/>
      <c r="Q396" s="3"/>
      <c r="R396" s="3"/>
      <c r="S396" s="3"/>
      <c r="T396" s="3"/>
      <c r="U396" s="3"/>
      <c r="V396" s="905"/>
      <c r="W396" s="3"/>
      <c r="X396" s="3"/>
    </row>
    <row r="397" spans="1:24" ht="24.75" customHeight="1">
      <c r="A397" s="3"/>
      <c r="B397" s="3"/>
      <c r="C397" s="3"/>
      <c r="D397" s="3"/>
      <c r="E397" s="3"/>
      <c r="F397" s="3"/>
      <c r="G397" s="3"/>
      <c r="H397" s="3"/>
      <c r="I397" s="3"/>
      <c r="J397" s="3"/>
      <c r="K397" s="3"/>
      <c r="L397" s="3"/>
      <c r="M397" s="3"/>
      <c r="N397" s="3"/>
      <c r="O397" s="3"/>
      <c r="P397" s="3"/>
      <c r="Q397" s="3"/>
      <c r="R397" s="3"/>
      <c r="S397" s="3"/>
      <c r="T397" s="3"/>
      <c r="U397" s="3"/>
      <c r="V397" s="905"/>
      <c r="W397" s="3"/>
      <c r="X397" s="3"/>
    </row>
    <row r="398" spans="1:24" ht="24.75" customHeight="1">
      <c r="A398" s="3"/>
      <c r="B398" s="3"/>
      <c r="C398" s="3"/>
      <c r="D398" s="3"/>
      <c r="E398" s="3"/>
      <c r="F398" s="3"/>
      <c r="G398" s="3"/>
      <c r="H398" s="3"/>
      <c r="I398" s="3"/>
      <c r="J398" s="3"/>
      <c r="K398" s="3"/>
      <c r="L398" s="3"/>
      <c r="M398" s="3"/>
      <c r="N398" s="3"/>
      <c r="O398" s="3"/>
      <c r="P398" s="3"/>
      <c r="Q398" s="3"/>
      <c r="R398" s="3"/>
      <c r="S398" s="3"/>
      <c r="T398" s="3"/>
      <c r="U398" s="3"/>
      <c r="V398" s="905"/>
      <c r="W398" s="3"/>
      <c r="X398" s="3"/>
    </row>
    <row r="399" spans="1:24" ht="24.75" customHeight="1">
      <c r="A399" s="3"/>
      <c r="B399" s="3"/>
      <c r="C399" s="3"/>
      <c r="D399" s="3"/>
      <c r="E399" s="3"/>
      <c r="F399" s="3"/>
      <c r="G399" s="3"/>
      <c r="H399" s="3"/>
      <c r="I399" s="3"/>
      <c r="J399" s="3"/>
      <c r="K399" s="3"/>
      <c r="L399" s="3"/>
      <c r="M399" s="3"/>
      <c r="N399" s="3"/>
      <c r="O399" s="3"/>
      <c r="P399" s="3"/>
      <c r="Q399" s="3"/>
      <c r="R399" s="3"/>
      <c r="S399" s="3"/>
      <c r="T399" s="3"/>
      <c r="U399" s="3"/>
      <c r="V399" s="905"/>
      <c r="W399" s="3"/>
      <c r="X399" s="3"/>
    </row>
    <row r="400" spans="1:24" ht="24.75" customHeight="1">
      <c r="A400" s="3"/>
      <c r="B400" s="3"/>
      <c r="C400" s="3"/>
      <c r="D400" s="3"/>
      <c r="E400" s="3"/>
      <c r="F400" s="3"/>
      <c r="G400" s="3"/>
      <c r="H400" s="3"/>
      <c r="I400" s="3"/>
      <c r="J400" s="3"/>
      <c r="K400" s="3"/>
      <c r="L400" s="3"/>
      <c r="M400" s="3"/>
      <c r="N400" s="3"/>
      <c r="O400" s="3"/>
      <c r="P400" s="3"/>
      <c r="Q400" s="3"/>
      <c r="R400" s="3"/>
      <c r="S400" s="3"/>
      <c r="T400" s="3"/>
      <c r="U400" s="3"/>
      <c r="V400" s="905"/>
      <c r="W400" s="3"/>
      <c r="X400" s="3"/>
    </row>
    <row r="401" spans="1:24" ht="24.75" customHeight="1">
      <c r="A401" s="3"/>
      <c r="B401" s="3"/>
      <c r="C401" s="3"/>
      <c r="D401" s="3"/>
      <c r="E401" s="3"/>
      <c r="F401" s="3"/>
      <c r="G401" s="3"/>
      <c r="H401" s="3"/>
      <c r="I401" s="3"/>
      <c r="J401" s="3"/>
      <c r="K401" s="3"/>
      <c r="L401" s="3"/>
      <c r="M401" s="3"/>
      <c r="N401" s="3"/>
      <c r="O401" s="3"/>
      <c r="P401" s="3"/>
      <c r="Q401" s="3"/>
      <c r="R401" s="3"/>
      <c r="S401" s="3"/>
      <c r="T401" s="3"/>
      <c r="U401" s="3"/>
      <c r="V401" s="905"/>
      <c r="W401" s="3"/>
      <c r="X401" s="3"/>
    </row>
    <row r="402" spans="1:24" ht="24.75" customHeight="1">
      <c r="A402" s="3"/>
      <c r="B402" s="3"/>
      <c r="C402" s="3"/>
      <c r="D402" s="3"/>
      <c r="E402" s="3"/>
      <c r="F402" s="3"/>
      <c r="G402" s="3"/>
      <c r="H402" s="3"/>
      <c r="I402" s="3"/>
      <c r="J402" s="3"/>
      <c r="K402" s="3"/>
      <c r="L402" s="3"/>
      <c r="M402" s="3"/>
      <c r="N402" s="3"/>
      <c r="O402" s="3"/>
      <c r="P402" s="3"/>
      <c r="Q402" s="3"/>
      <c r="R402" s="3"/>
      <c r="S402" s="3"/>
      <c r="T402" s="3"/>
      <c r="U402" s="3"/>
      <c r="V402" s="905"/>
      <c r="W402" s="3"/>
      <c r="X402" s="3"/>
    </row>
    <row r="403" spans="1:24" ht="24.75" customHeight="1">
      <c r="A403" s="3"/>
      <c r="B403" s="3"/>
      <c r="C403" s="3"/>
      <c r="D403" s="3"/>
      <c r="E403" s="3"/>
      <c r="F403" s="3"/>
      <c r="G403" s="3"/>
      <c r="H403" s="3"/>
      <c r="I403" s="3"/>
      <c r="J403" s="3"/>
      <c r="K403" s="3"/>
      <c r="L403" s="3"/>
      <c r="M403" s="3"/>
      <c r="N403" s="3"/>
      <c r="O403" s="3"/>
      <c r="P403" s="3"/>
      <c r="Q403" s="3"/>
      <c r="R403" s="3"/>
      <c r="S403" s="3"/>
      <c r="T403" s="3"/>
      <c r="U403" s="3"/>
      <c r="V403" s="905"/>
      <c r="W403" s="3"/>
      <c r="X403" s="3"/>
    </row>
    <row r="404" spans="1:24" ht="24.75" customHeight="1">
      <c r="A404" s="3"/>
      <c r="B404" s="3"/>
      <c r="C404" s="3"/>
      <c r="D404" s="3"/>
      <c r="E404" s="3"/>
      <c r="F404" s="3"/>
      <c r="G404" s="3"/>
      <c r="H404" s="3"/>
      <c r="I404" s="3"/>
      <c r="J404" s="3"/>
      <c r="K404" s="3"/>
      <c r="L404" s="3"/>
      <c r="M404" s="3"/>
      <c r="N404" s="3"/>
      <c r="O404" s="3"/>
      <c r="P404" s="3"/>
      <c r="Q404" s="3"/>
      <c r="R404" s="3"/>
      <c r="S404" s="3"/>
      <c r="T404" s="3"/>
      <c r="U404" s="3"/>
      <c r="V404" s="905"/>
      <c r="W404" s="3"/>
      <c r="X404" s="3"/>
    </row>
    <row r="405" spans="1:24" ht="24.75" customHeight="1">
      <c r="A405" s="3"/>
      <c r="B405" s="3"/>
      <c r="C405" s="3"/>
      <c r="D405" s="3"/>
      <c r="E405" s="3"/>
      <c r="F405" s="3"/>
      <c r="G405" s="3"/>
      <c r="H405" s="3"/>
      <c r="I405" s="3"/>
      <c r="J405" s="3"/>
      <c r="K405" s="3"/>
      <c r="L405" s="3"/>
      <c r="M405" s="3"/>
      <c r="N405" s="3"/>
      <c r="O405" s="3"/>
      <c r="P405" s="3"/>
      <c r="Q405" s="3"/>
      <c r="R405" s="3"/>
      <c r="S405" s="3"/>
      <c r="T405" s="3"/>
      <c r="U405" s="3"/>
      <c r="V405" s="905"/>
      <c r="W405" s="3"/>
      <c r="X405" s="3"/>
    </row>
    <row r="406" spans="1:24" ht="24.75" customHeight="1">
      <c r="A406" s="3"/>
      <c r="B406" s="3"/>
      <c r="C406" s="3"/>
      <c r="D406" s="3"/>
      <c r="E406" s="3"/>
      <c r="F406" s="3"/>
      <c r="G406" s="3"/>
      <c r="H406" s="3"/>
      <c r="I406" s="3"/>
      <c r="J406" s="3"/>
      <c r="K406" s="3"/>
      <c r="L406" s="3"/>
      <c r="M406" s="3"/>
      <c r="N406" s="3"/>
      <c r="O406" s="3"/>
      <c r="P406" s="3"/>
      <c r="Q406" s="3"/>
      <c r="R406" s="3"/>
      <c r="S406" s="3"/>
      <c r="T406" s="3"/>
      <c r="U406" s="3"/>
      <c r="V406" s="905"/>
      <c r="W406" s="3"/>
      <c r="X406" s="3"/>
    </row>
    <row r="407" spans="1:24" ht="24.75" customHeight="1">
      <c r="A407" s="3"/>
      <c r="B407" s="3"/>
      <c r="C407" s="3"/>
      <c r="D407" s="3"/>
      <c r="E407" s="3"/>
      <c r="F407" s="3"/>
      <c r="G407" s="3"/>
      <c r="H407" s="3"/>
      <c r="I407" s="3"/>
      <c r="J407" s="3"/>
      <c r="K407" s="3"/>
      <c r="L407" s="3"/>
      <c r="M407" s="3"/>
      <c r="N407" s="3"/>
      <c r="O407" s="3"/>
      <c r="P407" s="3"/>
      <c r="Q407" s="3"/>
      <c r="R407" s="3"/>
      <c r="S407" s="3"/>
      <c r="T407" s="3"/>
      <c r="U407" s="3"/>
      <c r="V407" s="905"/>
      <c r="W407" s="3"/>
      <c r="X407" s="3"/>
    </row>
    <row r="408" spans="1:24" ht="24.75" customHeight="1">
      <c r="A408" s="3"/>
      <c r="B408" s="3"/>
      <c r="C408" s="3"/>
      <c r="D408" s="3"/>
      <c r="E408" s="3"/>
      <c r="F408" s="3"/>
      <c r="G408" s="3"/>
      <c r="H408" s="3"/>
      <c r="I408" s="3"/>
      <c r="J408" s="3"/>
      <c r="K408" s="3"/>
      <c r="L408" s="3"/>
      <c r="M408" s="3"/>
      <c r="N408" s="3"/>
      <c r="O408" s="3"/>
      <c r="P408" s="3"/>
      <c r="Q408" s="3"/>
      <c r="R408" s="3"/>
      <c r="S408" s="3"/>
      <c r="T408" s="3"/>
      <c r="U408" s="3"/>
      <c r="V408" s="905"/>
      <c r="W408" s="3"/>
      <c r="X408" s="3"/>
    </row>
    <row r="409" spans="1:24" ht="24.75" customHeight="1">
      <c r="A409" s="3"/>
      <c r="B409" s="3"/>
      <c r="C409" s="3"/>
      <c r="D409" s="3"/>
      <c r="E409" s="3"/>
      <c r="F409" s="3"/>
      <c r="G409" s="3"/>
      <c r="H409" s="3"/>
      <c r="I409" s="3"/>
      <c r="J409" s="3"/>
      <c r="K409" s="3"/>
      <c r="L409" s="3"/>
      <c r="M409" s="3"/>
      <c r="N409" s="3"/>
      <c r="O409" s="3"/>
      <c r="P409" s="3"/>
      <c r="Q409" s="3"/>
      <c r="R409" s="3"/>
      <c r="S409" s="3"/>
      <c r="T409" s="3"/>
      <c r="U409" s="3"/>
      <c r="V409" s="905"/>
      <c r="W409" s="3"/>
      <c r="X409" s="3"/>
    </row>
    <row r="410" spans="1:24" ht="24.75" customHeight="1">
      <c r="A410" s="3"/>
      <c r="B410" s="3"/>
      <c r="C410" s="3"/>
      <c r="D410" s="3"/>
      <c r="E410" s="3"/>
      <c r="F410" s="3"/>
      <c r="G410" s="3"/>
      <c r="H410" s="3"/>
      <c r="I410" s="3"/>
      <c r="J410" s="3"/>
      <c r="K410" s="3"/>
      <c r="L410" s="3"/>
      <c r="M410" s="3"/>
      <c r="N410" s="3"/>
      <c r="O410" s="3"/>
      <c r="P410" s="3"/>
      <c r="Q410" s="3"/>
      <c r="R410" s="3"/>
      <c r="S410" s="3"/>
      <c r="T410" s="3"/>
      <c r="U410" s="3"/>
      <c r="V410" s="905"/>
      <c r="W410" s="3"/>
      <c r="X410" s="3"/>
    </row>
    <row r="411" spans="1:24" ht="24.75" customHeight="1">
      <c r="A411" s="3"/>
      <c r="B411" s="3"/>
      <c r="C411" s="3"/>
      <c r="D411" s="3"/>
      <c r="E411" s="3"/>
      <c r="F411" s="3"/>
      <c r="G411" s="3"/>
      <c r="H411" s="3"/>
      <c r="I411" s="3"/>
      <c r="J411" s="3"/>
      <c r="K411" s="3"/>
      <c r="L411" s="3"/>
      <c r="M411" s="3"/>
      <c r="N411" s="3"/>
      <c r="O411" s="3"/>
      <c r="P411" s="3"/>
      <c r="Q411" s="3"/>
      <c r="R411" s="3"/>
      <c r="S411" s="3"/>
      <c r="T411" s="3"/>
      <c r="U411" s="3"/>
      <c r="V411" s="905"/>
      <c r="W411" s="3"/>
      <c r="X411" s="3"/>
    </row>
    <row r="412" spans="1:24" ht="15.75" customHeight="1">
      <c r="A412" s="12"/>
      <c r="B412" s="12"/>
      <c r="C412" s="12"/>
      <c r="D412" s="12"/>
      <c r="E412" s="12"/>
      <c r="F412" s="12"/>
      <c r="G412" s="12"/>
      <c r="H412" s="12"/>
      <c r="I412" s="12"/>
      <c r="J412" s="12"/>
      <c r="K412" s="12"/>
      <c r="L412" s="12"/>
      <c r="M412" s="12"/>
      <c r="N412" s="12"/>
      <c r="O412" s="12"/>
      <c r="P412" s="12"/>
      <c r="Q412" s="12"/>
      <c r="R412" s="12"/>
      <c r="S412" s="12"/>
      <c r="T412" s="12"/>
      <c r="U412" s="12"/>
      <c r="W412" s="12"/>
      <c r="X412" s="12"/>
    </row>
    <row r="413" spans="1:24" ht="15.75" customHeight="1">
      <c r="A413" s="12"/>
      <c r="B413" s="12"/>
      <c r="C413" s="12"/>
      <c r="D413" s="12"/>
      <c r="E413" s="12"/>
      <c r="F413" s="12"/>
      <c r="G413" s="12"/>
      <c r="H413" s="12"/>
      <c r="I413" s="12"/>
      <c r="J413" s="12"/>
      <c r="K413" s="12"/>
      <c r="L413" s="12"/>
      <c r="M413" s="12"/>
      <c r="N413" s="12"/>
      <c r="O413" s="12"/>
      <c r="P413" s="12"/>
      <c r="Q413" s="12"/>
      <c r="R413" s="12"/>
      <c r="S413" s="12"/>
      <c r="T413" s="12"/>
      <c r="U413" s="12"/>
      <c r="W413" s="12"/>
      <c r="X413" s="12"/>
    </row>
    <row r="414" spans="1:24" ht="15.75" customHeight="1">
      <c r="A414" s="12"/>
      <c r="B414" s="12"/>
      <c r="C414" s="12"/>
      <c r="D414" s="12"/>
      <c r="E414" s="12"/>
      <c r="F414" s="12"/>
      <c r="G414" s="12"/>
      <c r="H414" s="12"/>
      <c r="I414" s="12"/>
      <c r="J414" s="12"/>
      <c r="K414" s="12"/>
      <c r="L414" s="12"/>
      <c r="M414" s="12"/>
      <c r="N414" s="12"/>
      <c r="O414" s="12"/>
      <c r="P414" s="12"/>
      <c r="Q414" s="12"/>
      <c r="R414" s="12"/>
      <c r="S414" s="12"/>
      <c r="T414" s="12"/>
      <c r="U414" s="12"/>
      <c r="W414" s="12"/>
      <c r="X414" s="12"/>
    </row>
    <row r="415" spans="1:24" ht="15.75" customHeight="1">
      <c r="A415" s="12"/>
      <c r="B415" s="12"/>
      <c r="C415" s="12"/>
      <c r="D415" s="12"/>
      <c r="E415" s="12"/>
      <c r="F415" s="12"/>
      <c r="G415" s="12"/>
      <c r="H415" s="12"/>
      <c r="I415" s="12"/>
      <c r="J415" s="12"/>
      <c r="K415" s="12"/>
      <c r="L415" s="12"/>
      <c r="M415" s="12"/>
      <c r="N415" s="12"/>
      <c r="O415" s="12"/>
      <c r="P415" s="12"/>
      <c r="Q415" s="12"/>
      <c r="R415" s="12"/>
      <c r="S415" s="12"/>
      <c r="T415" s="12"/>
      <c r="U415" s="12"/>
      <c r="W415" s="12"/>
      <c r="X415" s="12"/>
    </row>
    <row r="416" spans="1:24" ht="15.75" customHeight="1">
      <c r="A416" s="12"/>
      <c r="B416" s="12"/>
      <c r="C416" s="12"/>
      <c r="D416" s="12"/>
      <c r="E416" s="12"/>
      <c r="F416" s="12"/>
      <c r="G416" s="12"/>
      <c r="H416" s="12"/>
      <c r="I416" s="12"/>
      <c r="J416" s="12"/>
      <c r="K416" s="12"/>
      <c r="L416" s="12"/>
      <c r="M416" s="12"/>
      <c r="N416" s="12"/>
      <c r="O416" s="12"/>
      <c r="P416" s="12"/>
      <c r="Q416" s="12"/>
      <c r="R416" s="12"/>
      <c r="S416" s="12"/>
      <c r="T416" s="12"/>
      <c r="U416" s="12"/>
      <c r="W416" s="12"/>
      <c r="X416" s="12"/>
    </row>
    <row r="417" spans="1:24" ht="15.75" customHeight="1">
      <c r="A417" s="12"/>
      <c r="B417" s="12"/>
      <c r="C417" s="12"/>
      <c r="D417" s="12"/>
      <c r="E417" s="12"/>
      <c r="F417" s="12"/>
      <c r="G417" s="12"/>
      <c r="H417" s="12"/>
      <c r="I417" s="12"/>
      <c r="J417" s="12"/>
      <c r="K417" s="12"/>
      <c r="L417" s="12"/>
      <c r="M417" s="12"/>
      <c r="N417" s="12"/>
      <c r="O417" s="12"/>
      <c r="P417" s="12"/>
      <c r="Q417" s="12"/>
      <c r="R417" s="12"/>
      <c r="S417" s="12"/>
      <c r="T417" s="12"/>
      <c r="U417" s="12"/>
      <c r="W417" s="12"/>
      <c r="X417" s="12"/>
    </row>
    <row r="418" spans="1:24" ht="15.75" customHeight="1">
      <c r="A418" s="12"/>
      <c r="B418" s="12"/>
      <c r="C418" s="12"/>
      <c r="D418" s="12"/>
      <c r="E418" s="12"/>
      <c r="F418" s="12"/>
      <c r="G418" s="12"/>
      <c r="H418" s="12"/>
      <c r="I418" s="12"/>
      <c r="J418" s="12"/>
      <c r="K418" s="12"/>
      <c r="L418" s="12"/>
      <c r="M418" s="12"/>
      <c r="N418" s="12"/>
      <c r="O418" s="12"/>
      <c r="P418" s="12"/>
      <c r="Q418" s="12"/>
      <c r="R418" s="12"/>
      <c r="S418" s="12"/>
      <c r="T418" s="12"/>
      <c r="U418" s="12"/>
      <c r="W418" s="12"/>
      <c r="X418" s="12"/>
    </row>
    <row r="419" spans="1:24" ht="15.75" customHeight="1">
      <c r="A419" s="12"/>
      <c r="B419" s="12"/>
      <c r="C419" s="12"/>
      <c r="D419" s="12"/>
      <c r="E419" s="12"/>
      <c r="F419" s="12"/>
      <c r="G419" s="12"/>
      <c r="H419" s="12"/>
      <c r="I419" s="12"/>
      <c r="J419" s="12"/>
      <c r="K419" s="12"/>
      <c r="L419" s="12"/>
      <c r="M419" s="12"/>
      <c r="N419" s="12"/>
      <c r="O419" s="12"/>
      <c r="P419" s="12"/>
      <c r="Q419" s="12"/>
      <c r="R419" s="12"/>
      <c r="S419" s="12"/>
      <c r="T419" s="12"/>
      <c r="U419" s="12"/>
      <c r="W419" s="12"/>
      <c r="X419" s="12"/>
    </row>
    <row r="420" spans="1:24" ht="15.75" customHeight="1">
      <c r="A420" s="12"/>
      <c r="B420" s="12"/>
      <c r="C420" s="12"/>
      <c r="D420" s="12"/>
      <c r="E420" s="12"/>
      <c r="F420" s="12"/>
      <c r="G420" s="12"/>
      <c r="H420" s="12"/>
      <c r="I420" s="12"/>
      <c r="J420" s="12"/>
      <c r="K420" s="12"/>
      <c r="L420" s="12"/>
      <c r="M420" s="12"/>
      <c r="N420" s="12"/>
      <c r="O420" s="12"/>
      <c r="P420" s="12"/>
      <c r="Q420" s="12"/>
      <c r="R420" s="12"/>
      <c r="S420" s="12"/>
      <c r="T420" s="12"/>
      <c r="U420" s="12"/>
      <c r="W420" s="12"/>
      <c r="X420" s="12"/>
    </row>
    <row r="421" spans="1:24" ht="15.75" customHeight="1">
      <c r="A421" s="12"/>
      <c r="B421" s="12"/>
      <c r="C421" s="12"/>
      <c r="D421" s="12"/>
      <c r="E421" s="12"/>
      <c r="F421" s="12"/>
      <c r="G421" s="12"/>
      <c r="H421" s="12"/>
      <c r="I421" s="12"/>
      <c r="J421" s="12"/>
      <c r="K421" s="12"/>
      <c r="L421" s="12"/>
      <c r="M421" s="12"/>
      <c r="N421" s="12"/>
      <c r="O421" s="12"/>
      <c r="P421" s="12"/>
      <c r="Q421" s="12"/>
      <c r="R421" s="12"/>
      <c r="S421" s="12"/>
      <c r="T421" s="12"/>
      <c r="U421" s="12"/>
      <c r="W421" s="12"/>
      <c r="X421" s="12"/>
    </row>
    <row r="422" spans="1:24" ht="15.75" customHeight="1">
      <c r="A422" s="12"/>
      <c r="B422" s="12"/>
      <c r="C422" s="12"/>
      <c r="D422" s="12"/>
      <c r="E422" s="12"/>
      <c r="F422" s="12"/>
      <c r="G422" s="12"/>
      <c r="H422" s="12"/>
      <c r="I422" s="12"/>
      <c r="J422" s="12"/>
      <c r="K422" s="12"/>
      <c r="L422" s="12"/>
      <c r="M422" s="12"/>
      <c r="N422" s="12"/>
      <c r="O422" s="12"/>
      <c r="P422" s="12"/>
      <c r="Q422" s="12"/>
      <c r="R422" s="12"/>
      <c r="S422" s="12"/>
      <c r="T422" s="12"/>
      <c r="U422" s="12"/>
      <c r="W422" s="12"/>
      <c r="X422" s="12"/>
    </row>
    <row r="423" spans="1:24" ht="15.75" customHeight="1">
      <c r="A423" s="12"/>
      <c r="B423" s="12"/>
      <c r="C423" s="12"/>
      <c r="D423" s="12"/>
      <c r="E423" s="12"/>
      <c r="F423" s="12"/>
      <c r="G423" s="12"/>
      <c r="H423" s="12"/>
      <c r="I423" s="12"/>
      <c r="J423" s="12"/>
      <c r="K423" s="12"/>
      <c r="L423" s="12"/>
      <c r="M423" s="12"/>
      <c r="N423" s="12"/>
      <c r="O423" s="12"/>
      <c r="P423" s="12"/>
      <c r="Q423" s="12"/>
      <c r="R423" s="12"/>
      <c r="S423" s="12"/>
      <c r="T423" s="12"/>
      <c r="U423" s="12"/>
      <c r="W423" s="12"/>
      <c r="X423" s="12"/>
    </row>
    <row r="424" spans="1:24" ht="15.75" customHeight="1">
      <c r="A424" s="12"/>
      <c r="B424" s="12"/>
      <c r="C424" s="12"/>
      <c r="D424" s="12"/>
      <c r="E424" s="12"/>
      <c r="F424" s="12"/>
      <c r="G424" s="12"/>
      <c r="H424" s="12"/>
      <c r="I424" s="12"/>
      <c r="J424" s="12"/>
      <c r="K424" s="12"/>
      <c r="L424" s="12"/>
      <c r="M424" s="12"/>
      <c r="N424" s="12"/>
      <c r="O424" s="12"/>
      <c r="P424" s="12"/>
      <c r="Q424" s="12"/>
      <c r="R424" s="12"/>
      <c r="S424" s="12"/>
      <c r="T424" s="12"/>
      <c r="U424" s="12"/>
      <c r="W424" s="12"/>
      <c r="X424" s="12"/>
    </row>
    <row r="425" spans="1:24" ht="15.75" customHeight="1">
      <c r="A425" s="12"/>
      <c r="B425" s="12"/>
      <c r="C425" s="12"/>
      <c r="D425" s="12"/>
      <c r="E425" s="12"/>
      <c r="F425" s="12"/>
      <c r="G425" s="12"/>
      <c r="H425" s="12"/>
      <c r="I425" s="12"/>
      <c r="J425" s="12"/>
      <c r="K425" s="12"/>
      <c r="L425" s="12"/>
      <c r="M425" s="12"/>
      <c r="N425" s="12"/>
      <c r="O425" s="12"/>
      <c r="P425" s="12"/>
      <c r="Q425" s="12"/>
      <c r="R425" s="12"/>
      <c r="S425" s="12"/>
      <c r="T425" s="12"/>
      <c r="U425" s="12"/>
      <c r="W425" s="12"/>
      <c r="X425" s="12"/>
    </row>
    <row r="426" spans="1:24" ht="15.75" customHeight="1">
      <c r="A426" s="12"/>
      <c r="B426" s="12"/>
      <c r="C426" s="12"/>
      <c r="D426" s="12"/>
      <c r="E426" s="12"/>
      <c r="F426" s="12"/>
      <c r="G426" s="12"/>
      <c r="H426" s="12"/>
      <c r="I426" s="12"/>
      <c r="J426" s="12"/>
      <c r="K426" s="12"/>
      <c r="L426" s="12"/>
      <c r="M426" s="12"/>
      <c r="N426" s="12"/>
      <c r="O426" s="12"/>
      <c r="P426" s="12"/>
      <c r="Q426" s="12"/>
      <c r="R426" s="12"/>
      <c r="S426" s="12"/>
      <c r="T426" s="12"/>
      <c r="U426" s="12"/>
      <c r="W426" s="12"/>
      <c r="X426" s="12"/>
    </row>
    <row r="427" spans="1:24" ht="15.75" customHeight="1">
      <c r="A427" s="12"/>
      <c r="B427" s="12"/>
      <c r="C427" s="12"/>
      <c r="D427" s="12"/>
      <c r="E427" s="12"/>
      <c r="F427" s="12"/>
      <c r="G427" s="12"/>
      <c r="H427" s="12"/>
      <c r="I427" s="12"/>
      <c r="J427" s="12"/>
      <c r="K427" s="12"/>
      <c r="L427" s="12"/>
      <c r="M427" s="12"/>
      <c r="N427" s="12"/>
      <c r="O427" s="12"/>
      <c r="P427" s="12"/>
      <c r="Q427" s="12"/>
      <c r="R427" s="12"/>
      <c r="S427" s="12"/>
      <c r="T427" s="12"/>
      <c r="U427" s="12"/>
      <c r="W427" s="12"/>
      <c r="X427" s="12"/>
    </row>
    <row r="428" spans="1:24" ht="15.75" customHeight="1">
      <c r="A428" s="12"/>
      <c r="B428" s="12"/>
      <c r="C428" s="12"/>
      <c r="D428" s="12"/>
      <c r="E428" s="12"/>
      <c r="F428" s="12"/>
      <c r="G428" s="12"/>
      <c r="H428" s="12"/>
      <c r="I428" s="12"/>
      <c r="J428" s="12"/>
      <c r="K428" s="12"/>
      <c r="L428" s="12"/>
      <c r="M428" s="12"/>
      <c r="N428" s="12"/>
      <c r="O428" s="12"/>
      <c r="P428" s="12"/>
      <c r="Q428" s="12"/>
      <c r="R428" s="12"/>
      <c r="S428" s="12"/>
      <c r="T428" s="12"/>
      <c r="U428" s="12"/>
      <c r="W428" s="12"/>
      <c r="X428" s="12"/>
    </row>
    <row r="429" spans="1:24" ht="15.75" customHeight="1">
      <c r="A429" s="12"/>
      <c r="B429" s="12"/>
      <c r="C429" s="12"/>
      <c r="D429" s="12"/>
      <c r="E429" s="12"/>
      <c r="F429" s="12"/>
      <c r="G429" s="12"/>
      <c r="H429" s="12"/>
      <c r="I429" s="12"/>
      <c r="J429" s="12"/>
      <c r="K429" s="12"/>
      <c r="L429" s="12"/>
      <c r="M429" s="12"/>
      <c r="N429" s="12"/>
      <c r="O429" s="12"/>
      <c r="P429" s="12"/>
      <c r="Q429" s="12"/>
      <c r="R429" s="12"/>
      <c r="S429" s="12"/>
      <c r="T429" s="12"/>
      <c r="U429" s="12"/>
      <c r="W429" s="12"/>
      <c r="X429" s="12"/>
    </row>
    <row r="430" spans="1:24" ht="15.75" customHeight="1">
      <c r="A430" s="12"/>
      <c r="B430" s="12"/>
      <c r="C430" s="12"/>
      <c r="D430" s="12"/>
      <c r="E430" s="12"/>
      <c r="F430" s="12"/>
      <c r="G430" s="12"/>
      <c r="H430" s="12"/>
      <c r="I430" s="12"/>
      <c r="J430" s="12"/>
      <c r="K430" s="12"/>
      <c r="L430" s="12"/>
      <c r="M430" s="12"/>
      <c r="N430" s="12"/>
      <c r="O430" s="12"/>
      <c r="P430" s="12"/>
      <c r="Q430" s="12"/>
      <c r="R430" s="12"/>
      <c r="S430" s="12"/>
      <c r="T430" s="12"/>
      <c r="U430" s="12"/>
      <c r="W430" s="12"/>
      <c r="X430" s="12"/>
    </row>
    <row r="431" spans="1:24" ht="15.75" customHeight="1">
      <c r="A431" s="12"/>
      <c r="B431" s="12"/>
      <c r="C431" s="12"/>
      <c r="D431" s="12"/>
      <c r="E431" s="12"/>
      <c r="F431" s="12"/>
      <c r="G431" s="12"/>
      <c r="H431" s="12"/>
      <c r="I431" s="12"/>
      <c r="J431" s="12"/>
      <c r="K431" s="12"/>
      <c r="L431" s="12"/>
      <c r="M431" s="12"/>
      <c r="N431" s="12"/>
      <c r="O431" s="12"/>
      <c r="P431" s="12"/>
      <c r="Q431" s="12"/>
      <c r="R431" s="12"/>
      <c r="S431" s="12"/>
      <c r="T431" s="12"/>
      <c r="U431" s="12"/>
      <c r="W431" s="12"/>
      <c r="X431" s="12"/>
    </row>
    <row r="432" spans="1:24" ht="15.75" customHeight="1">
      <c r="A432" s="12"/>
      <c r="B432" s="12"/>
      <c r="C432" s="12"/>
      <c r="D432" s="12"/>
      <c r="E432" s="12"/>
      <c r="F432" s="12"/>
      <c r="G432" s="12"/>
      <c r="H432" s="12"/>
      <c r="I432" s="12"/>
      <c r="J432" s="12"/>
      <c r="K432" s="12"/>
      <c r="L432" s="12"/>
      <c r="M432" s="12"/>
      <c r="N432" s="12"/>
      <c r="O432" s="12"/>
      <c r="P432" s="12"/>
      <c r="Q432" s="12"/>
      <c r="R432" s="12"/>
      <c r="S432" s="12"/>
      <c r="T432" s="12"/>
      <c r="U432" s="12"/>
      <c r="W432" s="12"/>
      <c r="X432" s="12"/>
    </row>
    <row r="433" spans="1:24" ht="15.75" customHeight="1">
      <c r="A433" s="12"/>
      <c r="B433" s="12"/>
      <c r="C433" s="12"/>
      <c r="D433" s="12"/>
      <c r="E433" s="12"/>
      <c r="F433" s="12"/>
      <c r="G433" s="12"/>
      <c r="H433" s="12"/>
      <c r="I433" s="12"/>
      <c r="J433" s="12"/>
      <c r="K433" s="12"/>
      <c r="L433" s="12"/>
      <c r="M433" s="12"/>
      <c r="N433" s="12"/>
      <c r="O433" s="12"/>
      <c r="P433" s="12"/>
      <c r="Q433" s="12"/>
      <c r="R433" s="12"/>
      <c r="S433" s="12"/>
      <c r="T433" s="12"/>
      <c r="U433" s="12"/>
      <c r="W433" s="12"/>
      <c r="X433" s="12"/>
    </row>
    <row r="434" spans="1:24" ht="15.75" customHeight="1">
      <c r="A434" s="12"/>
      <c r="B434" s="12"/>
      <c r="C434" s="12"/>
      <c r="D434" s="12"/>
      <c r="E434" s="12"/>
      <c r="F434" s="12"/>
      <c r="G434" s="12"/>
      <c r="H434" s="12"/>
      <c r="I434" s="12"/>
      <c r="J434" s="12"/>
      <c r="K434" s="12"/>
      <c r="L434" s="12"/>
      <c r="M434" s="12"/>
      <c r="N434" s="12"/>
      <c r="O434" s="12"/>
      <c r="P434" s="12"/>
      <c r="Q434" s="12"/>
      <c r="R434" s="12"/>
      <c r="S434" s="12"/>
      <c r="T434" s="12"/>
      <c r="U434" s="12"/>
      <c r="W434" s="12"/>
      <c r="X434" s="12"/>
    </row>
    <row r="435" spans="1:24" ht="15.75" customHeight="1">
      <c r="A435" s="12"/>
      <c r="B435" s="12"/>
      <c r="C435" s="12"/>
      <c r="D435" s="12"/>
      <c r="E435" s="12"/>
      <c r="F435" s="12"/>
      <c r="G435" s="12"/>
      <c r="H435" s="12"/>
      <c r="I435" s="12"/>
      <c r="J435" s="12"/>
      <c r="K435" s="12"/>
      <c r="L435" s="12"/>
      <c r="M435" s="12"/>
      <c r="N435" s="12"/>
      <c r="O435" s="12"/>
      <c r="P435" s="12"/>
      <c r="Q435" s="12"/>
      <c r="R435" s="12"/>
      <c r="S435" s="12"/>
      <c r="T435" s="12"/>
      <c r="U435" s="12"/>
      <c r="W435" s="12"/>
      <c r="X435" s="12"/>
    </row>
    <row r="436" spans="1:24" ht="15.75" customHeight="1">
      <c r="A436" s="12"/>
      <c r="B436" s="12"/>
      <c r="C436" s="12"/>
      <c r="D436" s="12"/>
      <c r="E436" s="12"/>
      <c r="F436" s="12"/>
      <c r="G436" s="12"/>
      <c r="H436" s="12"/>
      <c r="I436" s="12"/>
      <c r="J436" s="12"/>
      <c r="K436" s="12"/>
      <c r="L436" s="12"/>
      <c r="M436" s="12"/>
      <c r="N436" s="12"/>
      <c r="O436" s="12"/>
      <c r="P436" s="12"/>
      <c r="Q436" s="12"/>
      <c r="R436" s="12"/>
      <c r="S436" s="12"/>
      <c r="T436" s="12"/>
      <c r="U436" s="12"/>
      <c r="W436" s="12"/>
      <c r="X436" s="12"/>
    </row>
    <row r="437" spans="1:24" ht="15.75" customHeight="1">
      <c r="A437" s="12"/>
      <c r="B437" s="12"/>
      <c r="C437" s="12"/>
      <c r="D437" s="12"/>
      <c r="E437" s="12"/>
      <c r="F437" s="12"/>
      <c r="G437" s="12"/>
      <c r="H437" s="12"/>
      <c r="I437" s="12"/>
      <c r="J437" s="12"/>
      <c r="K437" s="12"/>
      <c r="L437" s="12"/>
      <c r="M437" s="12"/>
      <c r="N437" s="12"/>
      <c r="O437" s="12"/>
      <c r="P437" s="12"/>
      <c r="Q437" s="12"/>
      <c r="R437" s="12"/>
      <c r="S437" s="12"/>
      <c r="T437" s="12"/>
      <c r="U437" s="12"/>
      <c r="W437" s="12"/>
      <c r="X437" s="12"/>
    </row>
    <row r="438" spans="1:24" ht="15.75" customHeight="1">
      <c r="A438" s="12"/>
      <c r="B438" s="12"/>
      <c r="C438" s="12"/>
      <c r="D438" s="12"/>
      <c r="E438" s="12"/>
      <c r="F438" s="12"/>
      <c r="G438" s="12"/>
      <c r="H438" s="12"/>
      <c r="I438" s="12"/>
      <c r="J438" s="12"/>
      <c r="K438" s="12"/>
      <c r="L438" s="12"/>
      <c r="M438" s="12"/>
      <c r="N438" s="12"/>
      <c r="O438" s="12"/>
      <c r="P438" s="12"/>
      <c r="Q438" s="12"/>
      <c r="R438" s="12"/>
      <c r="S438" s="12"/>
      <c r="T438" s="12"/>
      <c r="U438" s="12"/>
      <c r="W438" s="12"/>
      <c r="X438" s="12"/>
    </row>
    <row r="439" spans="1:24" ht="15.75" customHeight="1">
      <c r="A439" s="12"/>
      <c r="B439" s="12"/>
      <c r="C439" s="12"/>
      <c r="D439" s="12"/>
      <c r="E439" s="12"/>
      <c r="F439" s="12"/>
      <c r="G439" s="12"/>
      <c r="H439" s="12"/>
      <c r="I439" s="12"/>
      <c r="J439" s="12"/>
      <c r="K439" s="12"/>
      <c r="L439" s="12"/>
      <c r="M439" s="12"/>
      <c r="N439" s="12"/>
      <c r="O439" s="12"/>
      <c r="P439" s="12"/>
      <c r="Q439" s="12"/>
      <c r="R439" s="12"/>
      <c r="S439" s="12"/>
      <c r="T439" s="12"/>
      <c r="U439" s="12"/>
      <c r="W439" s="12"/>
      <c r="X439" s="12"/>
    </row>
    <row r="440" spans="1:24" ht="15.75" customHeight="1">
      <c r="A440" s="12"/>
      <c r="B440" s="12"/>
      <c r="C440" s="12"/>
      <c r="D440" s="12"/>
      <c r="E440" s="12"/>
      <c r="F440" s="12"/>
      <c r="G440" s="12"/>
      <c r="H440" s="12"/>
      <c r="I440" s="12"/>
      <c r="J440" s="12"/>
      <c r="K440" s="12"/>
      <c r="L440" s="12"/>
      <c r="M440" s="12"/>
      <c r="N440" s="12"/>
      <c r="O440" s="12"/>
      <c r="P440" s="12"/>
      <c r="Q440" s="12"/>
      <c r="R440" s="12"/>
      <c r="S440" s="12"/>
      <c r="T440" s="12"/>
      <c r="U440" s="12"/>
      <c r="W440" s="12"/>
      <c r="X440" s="12"/>
    </row>
    <row r="441" spans="1:24" ht="15.75" customHeight="1">
      <c r="A441" s="12"/>
      <c r="B441" s="12"/>
      <c r="C441" s="12"/>
      <c r="D441" s="12"/>
      <c r="E441" s="12"/>
      <c r="F441" s="12"/>
      <c r="G441" s="12"/>
      <c r="H441" s="12"/>
      <c r="I441" s="12"/>
      <c r="J441" s="12"/>
      <c r="K441" s="12"/>
      <c r="L441" s="12"/>
      <c r="M441" s="12"/>
      <c r="N441" s="12"/>
      <c r="O441" s="12"/>
      <c r="P441" s="12"/>
      <c r="Q441" s="12"/>
      <c r="R441" s="12"/>
      <c r="S441" s="12"/>
      <c r="T441" s="12"/>
      <c r="U441" s="12"/>
      <c r="W441" s="12"/>
      <c r="X441" s="12"/>
    </row>
    <row r="442" spans="1:24" ht="15.75" customHeight="1">
      <c r="A442" s="12"/>
      <c r="B442" s="12"/>
      <c r="C442" s="12"/>
      <c r="D442" s="12"/>
      <c r="E442" s="12"/>
      <c r="F442" s="12"/>
      <c r="G442" s="12"/>
      <c r="H442" s="12"/>
      <c r="I442" s="12"/>
      <c r="J442" s="12"/>
      <c r="K442" s="12"/>
      <c r="L442" s="12"/>
      <c r="M442" s="12"/>
      <c r="N442" s="12"/>
      <c r="O442" s="12"/>
      <c r="P442" s="12"/>
      <c r="Q442" s="12"/>
      <c r="R442" s="12"/>
      <c r="S442" s="12"/>
      <c r="T442" s="12"/>
      <c r="U442" s="12"/>
      <c r="W442" s="12"/>
      <c r="X442" s="12"/>
    </row>
    <row r="443" spans="1:24" ht="15.75" customHeight="1">
      <c r="A443" s="12"/>
      <c r="B443" s="12"/>
      <c r="C443" s="12"/>
      <c r="D443" s="12"/>
      <c r="E443" s="12"/>
      <c r="F443" s="12"/>
      <c r="G443" s="12"/>
      <c r="H443" s="12"/>
      <c r="I443" s="12"/>
      <c r="J443" s="12"/>
      <c r="K443" s="12"/>
      <c r="L443" s="12"/>
      <c r="M443" s="12"/>
      <c r="N443" s="12"/>
      <c r="O443" s="12"/>
      <c r="P443" s="12"/>
      <c r="Q443" s="12"/>
      <c r="R443" s="12"/>
      <c r="S443" s="12"/>
      <c r="T443" s="12"/>
      <c r="U443" s="12"/>
      <c r="W443" s="12"/>
      <c r="X443" s="12"/>
    </row>
    <row r="444" spans="1:24" ht="15.75" customHeight="1">
      <c r="A444" s="12"/>
      <c r="B444" s="12"/>
      <c r="C444" s="12"/>
      <c r="D444" s="12"/>
      <c r="E444" s="12"/>
      <c r="F444" s="12"/>
      <c r="G444" s="12"/>
      <c r="H444" s="12"/>
      <c r="I444" s="12"/>
      <c r="J444" s="12"/>
      <c r="K444" s="12"/>
      <c r="L444" s="12"/>
      <c r="M444" s="12"/>
      <c r="N444" s="12"/>
      <c r="O444" s="12"/>
      <c r="P444" s="12"/>
      <c r="Q444" s="12"/>
      <c r="R444" s="12"/>
      <c r="S444" s="12"/>
      <c r="T444" s="12"/>
      <c r="U444" s="12"/>
      <c r="W444" s="12"/>
      <c r="X444" s="12"/>
    </row>
    <row r="445" spans="1:24" ht="15.75" customHeight="1">
      <c r="A445" s="12"/>
      <c r="B445" s="12"/>
      <c r="C445" s="12"/>
      <c r="D445" s="12"/>
      <c r="E445" s="12"/>
      <c r="F445" s="12"/>
      <c r="G445" s="12"/>
      <c r="H445" s="12"/>
      <c r="I445" s="12"/>
      <c r="J445" s="12"/>
      <c r="K445" s="12"/>
      <c r="L445" s="12"/>
      <c r="M445" s="12"/>
      <c r="N445" s="12"/>
      <c r="O445" s="12"/>
      <c r="P445" s="12"/>
      <c r="Q445" s="12"/>
      <c r="R445" s="12"/>
      <c r="S445" s="12"/>
      <c r="T445" s="12"/>
      <c r="U445" s="12"/>
      <c r="W445" s="12"/>
      <c r="X445" s="12"/>
    </row>
    <row r="446" spans="1:24" ht="15.75" customHeight="1">
      <c r="A446" s="12"/>
      <c r="B446" s="12"/>
      <c r="C446" s="12"/>
      <c r="D446" s="12"/>
      <c r="E446" s="12"/>
      <c r="F446" s="12"/>
      <c r="G446" s="12"/>
      <c r="H446" s="12"/>
      <c r="I446" s="12"/>
      <c r="J446" s="12"/>
      <c r="K446" s="12"/>
      <c r="L446" s="12"/>
      <c r="M446" s="12"/>
      <c r="N446" s="12"/>
      <c r="O446" s="12"/>
      <c r="P446" s="12"/>
      <c r="Q446" s="12"/>
      <c r="R446" s="12"/>
      <c r="S446" s="12"/>
      <c r="T446" s="12"/>
      <c r="U446" s="12"/>
      <c r="W446" s="12"/>
      <c r="X446" s="12"/>
    </row>
    <row r="447" spans="1:24" ht="15.75" customHeight="1">
      <c r="A447" s="12"/>
      <c r="B447" s="12"/>
      <c r="C447" s="12"/>
      <c r="D447" s="12"/>
      <c r="E447" s="12"/>
      <c r="F447" s="12"/>
      <c r="G447" s="12"/>
      <c r="H447" s="12"/>
      <c r="I447" s="12"/>
      <c r="J447" s="12"/>
      <c r="K447" s="12"/>
      <c r="L447" s="12"/>
      <c r="M447" s="12"/>
      <c r="N447" s="12"/>
      <c r="O447" s="12"/>
      <c r="P447" s="12"/>
      <c r="Q447" s="12"/>
      <c r="R447" s="12"/>
      <c r="S447" s="12"/>
      <c r="T447" s="12"/>
      <c r="U447" s="12"/>
      <c r="W447" s="12"/>
      <c r="X447" s="12"/>
    </row>
    <row r="448" spans="1:24" ht="15.75" customHeight="1">
      <c r="A448" s="12"/>
      <c r="B448" s="12"/>
      <c r="C448" s="12"/>
      <c r="D448" s="12"/>
      <c r="E448" s="12"/>
      <c r="F448" s="12"/>
      <c r="G448" s="12"/>
      <c r="H448" s="12"/>
      <c r="I448" s="12"/>
      <c r="J448" s="12"/>
      <c r="K448" s="12"/>
      <c r="L448" s="12"/>
      <c r="M448" s="12"/>
      <c r="N448" s="12"/>
      <c r="O448" s="12"/>
      <c r="P448" s="12"/>
      <c r="Q448" s="12"/>
      <c r="R448" s="12"/>
      <c r="S448" s="12"/>
      <c r="T448" s="12"/>
      <c r="U448" s="12"/>
      <c r="W448" s="12"/>
      <c r="X448" s="12"/>
    </row>
    <row r="449" spans="1:24" ht="15.75" customHeight="1">
      <c r="A449" s="12"/>
      <c r="B449" s="12"/>
      <c r="C449" s="12"/>
      <c r="D449" s="12"/>
      <c r="E449" s="12"/>
      <c r="F449" s="12"/>
      <c r="G449" s="12"/>
      <c r="H449" s="12"/>
      <c r="I449" s="12"/>
      <c r="J449" s="12"/>
      <c r="K449" s="12"/>
      <c r="L449" s="12"/>
      <c r="M449" s="12"/>
      <c r="N449" s="12"/>
      <c r="O449" s="12"/>
      <c r="P449" s="12"/>
      <c r="Q449" s="12"/>
      <c r="R449" s="12"/>
      <c r="S449" s="12"/>
      <c r="T449" s="12"/>
      <c r="U449" s="12"/>
      <c r="W449" s="12"/>
      <c r="X449" s="12"/>
    </row>
    <row r="450" spans="1:24" ht="15.75" customHeight="1">
      <c r="A450" s="12"/>
      <c r="B450" s="12"/>
      <c r="C450" s="12"/>
      <c r="D450" s="12"/>
      <c r="E450" s="12"/>
      <c r="F450" s="12"/>
      <c r="G450" s="12"/>
      <c r="H450" s="12"/>
      <c r="I450" s="12"/>
      <c r="J450" s="12"/>
      <c r="K450" s="12"/>
      <c r="L450" s="12"/>
      <c r="M450" s="12"/>
      <c r="N450" s="12"/>
      <c r="O450" s="12"/>
      <c r="P450" s="12"/>
      <c r="Q450" s="12"/>
      <c r="R450" s="12"/>
      <c r="S450" s="12"/>
      <c r="T450" s="12"/>
      <c r="U450" s="12"/>
      <c r="W450" s="12"/>
      <c r="X450" s="12"/>
    </row>
    <row r="451" spans="1:24" ht="15.75" customHeight="1">
      <c r="A451" s="12"/>
      <c r="B451" s="12"/>
      <c r="C451" s="12"/>
      <c r="D451" s="12"/>
      <c r="E451" s="12"/>
      <c r="F451" s="12"/>
      <c r="G451" s="12"/>
      <c r="H451" s="12"/>
      <c r="I451" s="12"/>
      <c r="J451" s="12"/>
      <c r="K451" s="12"/>
      <c r="L451" s="12"/>
      <c r="M451" s="12"/>
      <c r="N451" s="12"/>
      <c r="O451" s="12"/>
      <c r="P451" s="12"/>
      <c r="Q451" s="12"/>
      <c r="R451" s="12"/>
      <c r="S451" s="12"/>
      <c r="T451" s="12"/>
      <c r="U451" s="12"/>
      <c r="W451" s="12"/>
      <c r="X451" s="12"/>
    </row>
    <row r="452" spans="1:24" ht="15.75" customHeight="1">
      <c r="A452" s="12"/>
      <c r="B452" s="12"/>
      <c r="C452" s="12"/>
      <c r="D452" s="12"/>
      <c r="E452" s="12"/>
      <c r="F452" s="12"/>
      <c r="G452" s="12"/>
      <c r="H452" s="12"/>
      <c r="I452" s="12"/>
      <c r="J452" s="12"/>
      <c r="K452" s="12"/>
      <c r="L452" s="12"/>
      <c r="M452" s="12"/>
      <c r="N452" s="12"/>
      <c r="O452" s="12"/>
      <c r="P452" s="12"/>
      <c r="Q452" s="12"/>
      <c r="R452" s="12"/>
      <c r="S452" s="12"/>
      <c r="T452" s="12"/>
      <c r="U452" s="12"/>
      <c r="W452" s="12"/>
      <c r="X452" s="12"/>
    </row>
    <row r="453" spans="1:24" ht="15.75" customHeight="1">
      <c r="A453" s="12"/>
      <c r="B453" s="12"/>
      <c r="C453" s="12"/>
      <c r="D453" s="12"/>
      <c r="E453" s="12"/>
      <c r="F453" s="12"/>
      <c r="G453" s="12"/>
      <c r="H453" s="12"/>
      <c r="I453" s="12"/>
      <c r="J453" s="12"/>
      <c r="K453" s="12"/>
      <c r="L453" s="12"/>
      <c r="M453" s="12"/>
      <c r="N453" s="12"/>
      <c r="O453" s="12"/>
      <c r="P453" s="12"/>
      <c r="Q453" s="12"/>
      <c r="R453" s="12"/>
      <c r="S453" s="12"/>
      <c r="T453" s="12"/>
      <c r="U453" s="12"/>
      <c r="W453" s="12"/>
      <c r="X453" s="12"/>
    </row>
    <row r="454" spans="1:24" ht="15.75" customHeight="1">
      <c r="A454" s="12"/>
      <c r="B454" s="12"/>
      <c r="C454" s="12"/>
      <c r="D454" s="12"/>
      <c r="E454" s="12"/>
      <c r="F454" s="12"/>
      <c r="G454" s="12"/>
      <c r="H454" s="12"/>
      <c r="I454" s="12"/>
      <c r="J454" s="12"/>
      <c r="K454" s="12"/>
      <c r="L454" s="12"/>
      <c r="M454" s="12"/>
      <c r="N454" s="12"/>
      <c r="O454" s="12"/>
      <c r="P454" s="12"/>
      <c r="Q454" s="12"/>
      <c r="R454" s="12"/>
      <c r="S454" s="12"/>
      <c r="T454" s="12"/>
      <c r="U454" s="12"/>
      <c r="W454" s="12"/>
      <c r="X454" s="12"/>
    </row>
    <row r="455" spans="1:24" ht="15.75" customHeight="1">
      <c r="A455" s="12"/>
      <c r="B455" s="12"/>
      <c r="C455" s="12"/>
      <c r="D455" s="12"/>
      <c r="E455" s="12"/>
      <c r="F455" s="12"/>
      <c r="G455" s="12"/>
      <c r="H455" s="12"/>
      <c r="I455" s="12"/>
      <c r="J455" s="12"/>
      <c r="K455" s="12"/>
      <c r="L455" s="12"/>
      <c r="M455" s="12"/>
      <c r="N455" s="12"/>
      <c r="O455" s="12"/>
      <c r="P455" s="12"/>
      <c r="Q455" s="12"/>
      <c r="R455" s="12"/>
      <c r="S455" s="12"/>
      <c r="T455" s="12"/>
      <c r="U455" s="12"/>
      <c r="W455" s="12"/>
      <c r="X455" s="12"/>
    </row>
    <row r="456" spans="1:24" ht="15.75" customHeight="1">
      <c r="A456" s="12"/>
      <c r="B456" s="12"/>
      <c r="C456" s="12"/>
      <c r="D456" s="12"/>
      <c r="E456" s="12"/>
      <c r="F456" s="12"/>
      <c r="G456" s="12"/>
      <c r="H456" s="12"/>
      <c r="I456" s="12"/>
      <c r="J456" s="12"/>
      <c r="K456" s="12"/>
      <c r="L456" s="12"/>
      <c r="M456" s="12"/>
      <c r="N456" s="12"/>
      <c r="O456" s="12"/>
      <c r="P456" s="12"/>
      <c r="Q456" s="12"/>
      <c r="R456" s="12"/>
      <c r="S456" s="12"/>
      <c r="T456" s="12"/>
      <c r="U456" s="12"/>
      <c r="W456" s="12"/>
      <c r="X456" s="12"/>
    </row>
    <row r="457" spans="1:24" ht="15.75" customHeight="1">
      <c r="A457" s="12"/>
      <c r="B457" s="12"/>
      <c r="C457" s="12"/>
      <c r="D457" s="12"/>
      <c r="E457" s="12"/>
      <c r="F457" s="12"/>
      <c r="G457" s="12"/>
      <c r="H457" s="12"/>
      <c r="I457" s="12"/>
      <c r="J457" s="12"/>
      <c r="K457" s="12"/>
      <c r="L457" s="12"/>
      <c r="M457" s="12"/>
      <c r="N457" s="12"/>
      <c r="O457" s="12"/>
      <c r="P457" s="12"/>
      <c r="Q457" s="12"/>
      <c r="R457" s="12"/>
      <c r="S457" s="12"/>
      <c r="T457" s="12"/>
      <c r="U457" s="12"/>
      <c r="W457" s="12"/>
      <c r="X457" s="12"/>
    </row>
    <row r="458" spans="1:24" ht="15.75" customHeight="1">
      <c r="A458" s="12"/>
      <c r="B458" s="12"/>
      <c r="C458" s="12"/>
      <c r="D458" s="12"/>
      <c r="E458" s="12"/>
      <c r="F458" s="12"/>
      <c r="G458" s="12"/>
      <c r="H458" s="12"/>
      <c r="I458" s="12"/>
      <c r="J458" s="12"/>
      <c r="K458" s="12"/>
      <c r="L458" s="12"/>
      <c r="M458" s="12"/>
      <c r="N458" s="12"/>
      <c r="O458" s="12"/>
      <c r="P458" s="12"/>
      <c r="Q458" s="12"/>
      <c r="R458" s="12"/>
      <c r="S458" s="12"/>
      <c r="T458" s="12"/>
      <c r="U458" s="12"/>
      <c r="W458" s="12"/>
      <c r="X458" s="12"/>
    </row>
    <row r="459" spans="1:24" ht="15.75" customHeight="1">
      <c r="A459" s="12"/>
      <c r="B459" s="12"/>
      <c r="C459" s="12"/>
      <c r="D459" s="12"/>
      <c r="E459" s="12"/>
      <c r="F459" s="12"/>
      <c r="G459" s="12"/>
      <c r="H459" s="12"/>
      <c r="I459" s="12"/>
      <c r="J459" s="12"/>
      <c r="K459" s="12"/>
      <c r="L459" s="12"/>
      <c r="M459" s="12"/>
      <c r="N459" s="12"/>
      <c r="O459" s="12"/>
      <c r="P459" s="12"/>
      <c r="Q459" s="12"/>
      <c r="R459" s="12"/>
      <c r="S459" s="12"/>
      <c r="T459" s="12"/>
      <c r="U459" s="12"/>
      <c r="W459" s="12"/>
      <c r="X459" s="12"/>
    </row>
    <row r="460" spans="1:24" ht="15.75" customHeight="1">
      <c r="A460" s="12"/>
      <c r="B460" s="12"/>
      <c r="C460" s="12"/>
      <c r="D460" s="12"/>
      <c r="E460" s="12"/>
      <c r="F460" s="12"/>
      <c r="G460" s="12"/>
      <c r="H460" s="12"/>
      <c r="I460" s="12"/>
      <c r="J460" s="12"/>
      <c r="K460" s="12"/>
      <c r="L460" s="12"/>
      <c r="M460" s="12"/>
      <c r="N460" s="12"/>
      <c r="O460" s="12"/>
      <c r="P460" s="12"/>
      <c r="Q460" s="12"/>
      <c r="R460" s="12"/>
      <c r="S460" s="12"/>
      <c r="T460" s="12"/>
      <c r="U460" s="12"/>
      <c r="W460" s="12"/>
      <c r="X460" s="12"/>
    </row>
    <row r="461" spans="1:24" ht="15.75" customHeight="1">
      <c r="A461" s="12"/>
      <c r="B461" s="12"/>
      <c r="C461" s="12"/>
      <c r="D461" s="12"/>
      <c r="E461" s="12"/>
      <c r="F461" s="12"/>
      <c r="G461" s="12"/>
      <c r="H461" s="12"/>
      <c r="I461" s="12"/>
      <c r="J461" s="12"/>
      <c r="K461" s="12"/>
      <c r="L461" s="12"/>
      <c r="M461" s="12"/>
      <c r="N461" s="12"/>
      <c r="O461" s="12"/>
      <c r="P461" s="12"/>
      <c r="Q461" s="12"/>
      <c r="R461" s="12"/>
      <c r="S461" s="12"/>
      <c r="T461" s="12"/>
      <c r="U461" s="12"/>
      <c r="W461" s="12"/>
      <c r="X461" s="12"/>
    </row>
    <row r="462" spans="1:24" ht="15.75" customHeight="1">
      <c r="A462" s="12"/>
      <c r="B462" s="12"/>
      <c r="C462" s="12"/>
      <c r="D462" s="12"/>
      <c r="E462" s="12"/>
      <c r="F462" s="12"/>
      <c r="G462" s="12"/>
      <c r="H462" s="12"/>
      <c r="I462" s="12"/>
      <c r="J462" s="12"/>
      <c r="K462" s="12"/>
      <c r="L462" s="12"/>
      <c r="M462" s="12"/>
      <c r="N462" s="12"/>
      <c r="O462" s="12"/>
      <c r="P462" s="12"/>
      <c r="Q462" s="12"/>
      <c r="R462" s="12"/>
      <c r="S462" s="12"/>
      <c r="T462" s="12"/>
      <c r="U462" s="12"/>
      <c r="W462" s="12"/>
      <c r="X462" s="12"/>
    </row>
    <row r="463" spans="1:24" ht="15.75" customHeight="1">
      <c r="A463" s="12"/>
      <c r="B463" s="12"/>
      <c r="C463" s="12"/>
      <c r="D463" s="12"/>
      <c r="E463" s="12"/>
      <c r="F463" s="12"/>
      <c r="G463" s="12"/>
      <c r="H463" s="12"/>
      <c r="I463" s="12"/>
      <c r="J463" s="12"/>
      <c r="K463" s="12"/>
      <c r="L463" s="12"/>
      <c r="M463" s="12"/>
      <c r="N463" s="12"/>
      <c r="O463" s="12"/>
      <c r="P463" s="12"/>
      <c r="Q463" s="12"/>
      <c r="R463" s="12"/>
      <c r="S463" s="12"/>
      <c r="T463" s="12"/>
      <c r="U463" s="12"/>
      <c r="W463" s="12"/>
      <c r="X463" s="12"/>
    </row>
    <row r="464" spans="1:24" ht="15.75" customHeight="1">
      <c r="A464" s="12"/>
      <c r="B464" s="12"/>
      <c r="C464" s="12"/>
      <c r="D464" s="12"/>
      <c r="E464" s="12"/>
      <c r="F464" s="12"/>
      <c r="G464" s="12"/>
      <c r="H464" s="12"/>
      <c r="I464" s="12"/>
      <c r="J464" s="12"/>
      <c r="K464" s="12"/>
      <c r="L464" s="12"/>
      <c r="M464" s="12"/>
      <c r="N464" s="12"/>
      <c r="O464" s="12"/>
      <c r="P464" s="12"/>
      <c r="Q464" s="12"/>
      <c r="R464" s="12"/>
      <c r="S464" s="12"/>
      <c r="T464" s="12"/>
      <c r="U464" s="12"/>
      <c r="W464" s="12"/>
      <c r="X464" s="12"/>
    </row>
    <row r="465" spans="1:24" ht="15.75" customHeight="1">
      <c r="A465" s="12"/>
      <c r="B465" s="12"/>
      <c r="C465" s="12"/>
      <c r="D465" s="12"/>
      <c r="E465" s="12"/>
      <c r="F465" s="12"/>
      <c r="G465" s="12"/>
      <c r="H465" s="12"/>
      <c r="I465" s="12"/>
      <c r="J465" s="12"/>
      <c r="K465" s="12"/>
      <c r="L465" s="12"/>
      <c r="M465" s="12"/>
      <c r="N465" s="12"/>
      <c r="O465" s="12"/>
      <c r="P465" s="12"/>
      <c r="Q465" s="12"/>
      <c r="R465" s="12"/>
      <c r="S465" s="12"/>
      <c r="T465" s="12"/>
      <c r="U465" s="12"/>
      <c r="W465" s="12"/>
      <c r="X465" s="12"/>
    </row>
    <row r="466" spans="1:24" ht="15.75" customHeight="1">
      <c r="A466" s="12"/>
      <c r="B466" s="12"/>
      <c r="C466" s="12"/>
      <c r="D466" s="12"/>
      <c r="E466" s="12"/>
      <c r="F466" s="12"/>
      <c r="G466" s="12"/>
      <c r="H466" s="12"/>
      <c r="I466" s="12"/>
      <c r="J466" s="12"/>
      <c r="K466" s="12"/>
      <c r="L466" s="12"/>
      <c r="M466" s="12"/>
      <c r="N466" s="12"/>
      <c r="O466" s="12"/>
      <c r="P466" s="12"/>
      <c r="Q466" s="12"/>
      <c r="R466" s="12"/>
      <c r="S466" s="12"/>
      <c r="T466" s="12"/>
      <c r="U466" s="12"/>
      <c r="W466" s="12"/>
      <c r="X466" s="12"/>
    </row>
    <row r="467" spans="1:24" ht="15.75" customHeight="1">
      <c r="A467" s="12"/>
      <c r="B467" s="12"/>
      <c r="C467" s="12"/>
      <c r="D467" s="12"/>
      <c r="E467" s="12"/>
      <c r="F467" s="12"/>
      <c r="G467" s="12"/>
      <c r="H467" s="12"/>
      <c r="I467" s="12"/>
      <c r="J467" s="12"/>
      <c r="K467" s="12"/>
      <c r="L467" s="12"/>
      <c r="M467" s="12"/>
      <c r="N467" s="12"/>
      <c r="O467" s="12"/>
      <c r="P467" s="12"/>
      <c r="Q467" s="12"/>
      <c r="R467" s="12"/>
      <c r="S467" s="12"/>
      <c r="T467" s="12"/>
      <c r="U467" s="12"/>
      <c r="W467" s="12"/>
      <c r="X467" s="12"/>
    </row>
    <row r="468" spans="1:24" ht="15.75" customHeight="1">
      <c r="A468" s="12"/>
      <c r="B468" s="12"/>
      <c r="C468" s="12"/>
      <c r="D468" s="12"/>
      <c r="E468" s="12"/>
      <c r="F468" s="12"/>
      <c r="G468" s="12"/>
      <c r="H468" s="12"/>
      <c r="I468" s="12"/>
      <c r="J468" s="12"/>
      <c r="K468" s="12"/>
      <c r="L468" s="12"/>
      <c r="M468" s="12"/>
      <c r="N468" s="12"/>
      <c r="O468" s="12"/>
      <c r="P468" s="12"/>
      <c r="Q468" s="12"/>
      <c r="R468" s="12"/>
      <c r="S468" s="12"/>
      <c r="T468" s="12"/>
      <c r="U468" s="12"/>
      <c r="W468" s="12"/>
      <c r="X468" s="12"/>
    </row>
    <row r="469" spans="1:24" ht="15.75" customHeight="1">
      <c r="A469" s="12"/>
      <c r="B469" s="12"/>
      <c r="C469" s="12"/>
      <c r="D469" s="12"/>
      <c r="E469" s="12"/>
      <c r="F469" s="12"/>
      <c r="G469" s="12"/>
      <c r="H469" s="12"/>
      <c r="I469" s="12"/>
      <c r="J469" s="12"/>
      <c r="K469" s="12"/>
      <c r="L469" s="12"/>
      <c r="M469" s="12"/>
      <c r="N469" s="12"/>
      <c r="O469" s="12"/>
      <c r="P469" s="12"/>
      <c r="Q469" s="12"/>
      <c r="R469" s="12"/>
      <c r="S469" s="12"/>
      <c r="T469" s="12"/>
      <c r="U469" s="12"/>
      <c r="W469" s="12"/>
      <c r="X469" s="12"/>
    </row>
    <row r="470" spans="1:24" ht="15.75" customHeight="1">
      <c r="A470" s="12"/>
      <c r="B470" s="12"/>
      <c r="C470" s="12"/>
      <c r="D470" s="12"/>
      <c r="E470" s="12"/>
      <c r="F470" s="12"/>
      <c r="G470" s="12"/>
      <c r="H470" s="12"/>
      <c r="I470" s="12"/>
      <c r="J470" s="12"/>
      <c r="K470" s="12"/>
      <c r="L470" s="12"/>
      <c r="M470" s="12"/>
      <c r="N470" s="12"/>
      <c r="O470" s="12"/>
      <c r="P470" s="12"/>
      <c r="Q470" s="12"/>
      <c r="R470" s="12"/>
      <c r="S470" s="12"/>
      <c r="T470" s="12"/>
      <c r="U470" s="12"/>
      <c r="W470" s="12"/>
      <c r="X470" s="12"/>
    </row>
    <row r="471" spans="1:24" ht="15.75" customHeight="1">
      <c r="A471" s="12"/>
      <c r="B471" s="12"/>
      <c r="C471" s="12"/>
      <c r="D471" s="12"/>
      <c r="E471" s="12"/>
      <c r="F471" s="12"/>
      <c r="G471" s="12"/>
      <c r="H471" s="12"/>
      <c r="I471" s="12"/>
      <c r="J471" s="12"/>
      <c r="K471" s="12"/>
      <c r="L471" s="12"/>
      <c r="M471" s="12"/>
      <c r="N471" s="12"/>
      <c r="O471" s="12"/>
      <c r="P471" s="12"/>
      <c r="Q471" s="12"/>
      <c r="R471" s="12"/>
      <c r="S471" s="12"/>
      <c r="T471" s="12"/>
      <c r="U471" s="12"/>
      <c r="W471" s="12"/>
      <c r="X471" s="12"/>
    </row>
    <row r="472" spans="1:24" ht="15.75" customHeight="1">
      <c r="A472" s="12"/>
      <c r="B472" s="12"/>
      <c r="C472" s="12"/>
      <c r="D472" s="12"/>
      <c r="E472" s="12"/>
      <c r="F472" s="12"/>
      <c r="G472" s="12"/>
      <c r="H472" s="12"/>
      <c r="I472" s="12"/>
      <c r="J472" s="12"/>
      <c r="K472" s="12"/>
      <c r="L472" s="12"/>
      <c r="M472" s="12"/>
      <c r="N472" s="12"/>
      <c r="O472" s="12"/>
      <c r="P472" s="12"/>
      <c r="Q472" s="12"/>
      <c r="R472" s="12"/>
      <c r="S472" s="12"/>
      <c r="T472" s="12"/>
      <c r="U472" s="12"/>
      <c r="W472" s="12"/>
      <c r="X472" s="12"/>
    </row>
    <row r="473" spans="1:24" ht="15.75" customHeight="1">
      <c r="A473" s="12"/>
      <c r="B473" s="12"/>
      <c r="C473" s="12"/>
      <c r="D473" s="12"/>
      <c r="E473" s="12"/>
      <c r="F473" s="12"/>
      <c r="G473" s="12"/>
      <c r="H473" s="12"/>
      <c r="I473" s="12"/>
      <c r="J473" s="12"/>
      <c r="K473" s="12"/>
      <c r="L473" s="12"/>
      <c r="M473" s="12"/>
      <c r="N473" s="12"/>
      <c r="O473" s="12"/>
      <c r="P473" s="12"/>
      <c r="Q473" s="12"/>
      <c r="R473" s="12"/>
      <c r="S473" s="12"/>
      <c r="T473" s="12"/>
      <c r="U473" s="12"/>
      <c r="W473" s="12"/>
      <c r="X473" s="12"/>
    </row>
    <row r="474" spans="1:24" ht="15.75" customHeight="1">
      <c r="A474" s="12"/>
      <c r="B474" s="12"/>
      <c r="C474" s="12"/>
      <c r="D474" s="12"/>
      <c r="E474" s="12"/>
      <c r="F474" s="12"/>
      <c r="G474" s="12"/>
      <c r="H474" s="12"/>
      <c r="I474" s="12"/>
      <c r="J474" s="12"/>
      <c r="K474" s="12"/>
      <c r="L474" s="12"/>
      <c r="M474" s="12"/>
      <c r="N474" s="12"/>
      <c r="O474" s="12"/>
      <c r="P474" s="12"/>
      <c r="Q474" s="12"/>
      <c r="R474" s="12"/>
      <c r="S474" s="12"/>
      <c r="T474" s="12"/>
      <c r="U474" s="12"/>
      <c r="W474" s="12"/>
      <c r="X474" s="12"/>
    </row>
    <row r="475" spans="1:24" ht="15.75" customHeight="1">
      <c r="A475" s="12"/>
      <c r="B475" s="12"/>
      <c r="C475" s="12"/>
      <c r="D475" s="12"/>
      <c r="E475" s="12"/>
      <c r="F475" s="12"/>
      <c r="G475" s="12"/>
      <c r="H475" s="12"/>
      <c r="I475" s="12"/>
      <c r="J475" s="12"/>
      <c r="K475" s="12"/>
      <c r="L475" s="12"/>
      <c r="M475" s="12"/>
      <c r="N475" s="12"/>
      <c r="O475" s="12"/>
      <c r="P475" s="12"/>
      <c r="Q475" s="12"/>
      <c r="R475" s="12"/>
      <c r="S475" s="12"/>
      <c r="T475" s="12"/>
      <c r="U475" s="12"/>
      <c r="W475" s="12"/>
      <c r="X475" s="12"/>
    </row>
    <row r="476" spans="1:24" ht="15.75" customHeight="1">
      <c r="A476" s="12"/>
      <c r="B476" s="12"/>
      <c r="C476" s="12"/>
      <c r="D476" s="12"/>
      <c r="E476" s="12"/>
      <c r="F476" s="12"/>
      <c r="G476" s="12"/>
      <c r="H476" s="12"/>
      <c r="I476" s="12"/>
      <c r="J476" s="12"/>
      <c r="K476" s="12"/>
      <c r="L476" s="12"/>
      <c r="M476" s="12"/>
      <c r="N476" s="12"/>
      <c r="O476" s="12"/>
      <c r="P476" s="12"/>
      <c r="Q476" s="12"/>
      <c r="R476" s="12"/>
      <c r="S476" s="12"/>
      <c r="T476" s="12"/>
      <c r="U476" s="12"/>
      <c r="W476" s="12"/>
      <c r="X476" s="12"/>
    </row>
    <row r="477" spans="1:24" ht="15.75" customHeight="1">
      <c r="A477" s="12"/>
      <c r="B477" s="12"/>
      <c r="C477" s="12"/>
      <c r="D477" s="12"/>
      <c r="E477" s="12"/>
      <c r="F477" s="12"/>
      <c r="G477" s="12"/>
      <c r="H477" s="12"/>
      <c r="I477" s="12"/>
      <c r="J477" s="12"/>
      <c r="K477" s="12"/>
      <c r="L477" s="12"/>
      <c r="M477" s="12"/>
      <c r="N477" s="12"/>
      <c r="O477" s="12"/>
      <c r="P477" s="12"/>
      <c r="Q477" s="12"/>
      <c r="R477" s="12"/>
      <c r="S477" s="12"/>
      <c r="T477" s="12"/>
      <c r="U477" s="12"/>
      <c r="W477" s="12"/>
      <c r="X477" s="12"/>
    </row>
    <row r="478" spans="1:24" ht="15.75" customHeight="1">
      <c r="A478" s="12"/>
      <c r="B478" s="12"/>
      <c r="C478" s="12"/>
      <c r="D478" s="12"/>
      <c r="E478" s="12"/>
      <c r="F478" s="12"/>
      <c r="G478" s="12"/>
      <c r="H478" s="12"/>
      <c r="I478" s="12"/>
      <c r="J478" s="12"/>
      <c r="K478" s="12"/>
      <c r="L478" s="12"/>
      <c r="M478" s="12"/>
      <c r="N478" s="12"/>
      <c r="O478" s="12"/>
      <c r="P478" s="12"/>
      <c r="Q478" s="12"/>
      <c r="R478" s="12"/>
      <c r="S478" s="12"/>
      <c r="T478" s="12"/>
      <c r="U478" s="12"/>
      <c r="W478" s="12"/>
      <c r="X478" s="12"/>
    </row>
    <row r="479" spans="1:24" ht="15.75" customHeight="1">
      <c r="A479" s="12"/>
      <c r="B479" s="12"/>
      <c r="C479" s="12"/>
      <c r="D479" s="12"/>
      <c r="E479" s="12"/>
      <c r="F479" s="12"/>
      <c r="G479" s="12"/>
      <c r="H479" s="12"/>
      <c r="I479" s="12"/>
      <c r="J479" s="12"/>
      <c r="K479" s="12"/>
      <c r="L479" s="12"/>
      <c r="M479" s="12"/>
      <c r="N479" s="12"/>
      <c r="O479" s="12"/>
      <c r="P479" s="12"/>
      <c r="Q479" s="12"/>
      <c r="R479" s="12"/>
      <c r="S479" s="12"/>
      <c r="T479" s="12"/>
      <c r="U479" s="12"/>
      <c r="W479" s="12"/>
      <c r="X479" s="12"/>
    </row>
    <row r="480" spans="1:24" ht="15.75" customHeight="1">
      <c r="A480" s="12"/>
      <c r="B480" s="12"/>
      <c r="C480" s="12"/>
      <c r="D480" s="12"/>
      <c r="E480" s="12"/>
      <c r="F480" s="12"/>
      <c r="G480" s="12"/>
      <c r="H480" s="12"/>
      <c r="I480" s="12"/>
      <c r="J480" s="12"/>
      <c r="K480" s="12"/>
      <c r="L480" s="12"/>
      <c r="M480" s="12"/>
      <c r="N480" s="12"/>
      <c r="O480" s="12"/>
      <c r="P480" s="12"/>
      <c r="Q480" s="12"/>
      <c r="R480" s="12"/>
      <c r="S480" s="12"/>
      <c r="T480" s="12"/>
      <c r="U480" s="12"/>
      <c r="W480" s="12"/>
      <c r="X480" s="12"/>
    </row>
    <row r="481" spans="1:24" ht="15.75" customHeight="1">
      <c r="A481" s="12"/>
      <c r="B481" s="12"/>
      <c r="C481" s="12"/>
      <c r="D481" s="12"/>
      <c r="E481" s="12"/>
      <c r="F481" s="12"/>
      <c r="G481" s="12"/>
      <c r="H481" s="12"/>
      <c r="I481" s="12"/>
      <c r="J481" s="12"/>
      <c r="K481" s="12"/>
      <c r="L481" s="12"/>
      <c r="M481" s="12"/>
      <c r="N481" s="12"/>
      <c r="O481" s="12"/>
      <c r="P481" s="12"/>
      <c r="Q481" s="12"/>
      <c r="R481" s="12"/>
      <c r="S481" s="12"/>
      <c r="T481" s="12"/>
      <c r="U481" s="12"/>
      <c r="W481" s="12"/>
      <c r="X481" s="12"/>
    </row>
    <row r="482" spans="1:24" ht="15.75" customHeight="1">
      <c r="A482" s="12"/>
      <c r="B482" s="12"/>
      <c r="C482" s="12"/>
      <c r="D482" s="12"/>
      <c r="E482" s="12"/>
      <c r="F482" s="12"/>
      <c r="G482" s="12"/>
      <c r="H482" s="12"/>
      <c r="I482" s="12"/>
      <c r="J482" s="12"/>
      <c r="K482" s="12"/>
      <c r="L482" s="12"/>
      <c r="M482" s="12"/>
      <c r="N482" s="12"/>
      <c r="O482" s="12"/>
      <c r="P482" s="12"/>
      <c r="Q482" s="12"/>
      <c r="R482" s="12"/>
      <c r="S482" s="12"/>
      <c r="T482" s="12"/>
      <c r="U482" s="12"/>
      <c r="W482" s="12"/>
      <c r="X482" s="12"/>
    </row>
    <row r="483" spans="1:24" ht="15.75" customHeight="1">
      <c r="A483" s="12"/>
      <c r="B483" s="12"/>
      <c r="C483" s="12"/>
      <c r="D483" s="12"/>
      <c r="E483" s="12"/>
      <c r="F483" s="12"/>
      <c r="G483" s="12"/>
      <c r="H483" s="12"/>
      <c r="I483" s="12"/>
      <c r="J483" s="12"/>
      <c r="K483" s="12"/>
      <c r="L483" s="12"/>
      <c r="M483" s="12"/>
      <c r="N483" s="12"/>
      <c r="O483" s="12"/>
      <c r="P483" s="12"/>
      <c r="Q483" s="12"/>
      <c r="R483" s="12"/>
      <c r="S483" s="12"/>
      <c r="T483" s="12"/>
      <c r="U483" s="12"/>
      <c r="W483" s="12"/>
      <c r="X483" s="12"/>
    </row>
    <row r="484" spans="1:24" ht="15.75" customHeight="1">
      <c r="A484" s="12"/>
      <c r="B484" s="12"/>
      <c r="C484" s="12"/>
      <c r="D484" s="12"/>
      <c r="E484" s="12"/>
      <c r="F484" s="12"/>
      <c r="G484" s="12"/>
      <c r="H484" s="12"/>
      <c r="I484" s="12"/>
      <c r="J484" s="12"/>
      <c r="K484" s="12"/>
      <c r="L484" s="12"/>
      <c r="M484" s="12"/>
      <c r="N484" s="12"/>
      <c r="O484" s="12"/>
      <c r="P484" s="12"/>
      <c r="Q484" s="12"/>
      <c r="R484" s="12"/>
      <c r="S484" s="12"/>
      <c r="T484" s="12"/>
      <c r="U484" s="12"/>
      <c r="W484" s="12"/>
      <c r="X484" s="12"/>
    </row>
    <row r="485" spans="1:24" ht="15.75" customHeight="1">
      <c r="A485" s="12"/>
      <c r="B485" s="12"/>
      <c r="C485" s="12"/>
      <c r="D485" s="12"/>
      <c r="E485" s="12"/>
      <c r="F485" s="12"/>
      <c r="G485" s="12"/>
      <c r="H485" s="12"/>
      <c r="I485" s="12"/>
      <c r="J485" s="12"/>
      <c r="K485" s="12"/>
      <c r="L485" s="12"/>
      <c r="M485" s="12"/>
      <c r="N485" s="12"/>
      <c r="O485" s="12"/>
      <c r="P485" s="12"/>
      <c r="Q485" s="12"/>
      <c r="R485" s="12"/>
      <c r="S485" s="12"/>
      <c r="T485" s="12"/>
      <c r="U485" s="12"/>
      <c r="W485" s="12"/>
      <c r="X485" s="12"/>
    </row>
    <row r="486" spans="1:24" ht="15.75" customHeight="1">
      <c r="A486" s="12"/>
      <c r="B486" s="12"/>
      <c r="C486" s="12"/>
      <c r="D486" s="12"/>
      <c r="E486" s="12"/>
      <c r="F486" s="12"/>
      <c r="G486" s="12"/>
      <c r="H486" s="12"/>
      <c r="I486" s="12"/>
      <c r="J486" s="12"/>
      <c r="K486" s="12"/>
      <c r="L486" s="12"/>
      <c r="M486" s="12"/>
      <c r="N486" s="12"/>
      <c r="O486" s="12"/>
      <c r="P486" s="12"/>
      <c r="Q486" s="12"/>
      <c r="R486" s="12"/>
      <c r="S486" s="12"/>
      <c r="T486" s="12"/>
      <c r="U486" s="12"/>
      <c r="W486" s="12"/>
      <c r="X486" s="12"/>
    </row>
    <row r="487" spans="1:24" ht="15.75" customHeight="1">
      <c r="A487" s="12"/>
      <c r="B487" s="12"/>
      <c r="C487" s="12"/>
      <c r="D487" s="12"/>
      <c r="E487" s="12"/>
      <c r="F487" s="12"/>
      <c r="G487" s="12"/>
      <c r="H487" s="12"/>
      <c r="I487" s="12"/>
      <c r="J487" s="12"/>
      <c r="K487" s="12"/>
      <c r="L487" s="12"/>
      <c r="M487" s="12"/>
      <c r="N487" s="12"/>
      <c r="O487" s="12"/>
      <c r="P487" s="12"/>
      <c r="Q487" s="12"/>
      <c r="R487" s="12"/>
      <c r="S487" s="12"/>
      <c r="T487" s="12"/>
      <c r="U487" s="12"/>
      <c r="W487" s="12"/>
      <c r="X487" s="12"/>
    </row>
    <row r="488" spans="1:24" ht="15.75" customHeight="1">
      <c r="A488" s="12"/>
      <c r="B488" s="12"/>
      <c r="C488" s="12"/>
      <c r="D488" s="12"/>
      <c r="E488" s="12"/>
      <c r="F488" s="12"/>
      <c r="G488" s="12"/>
      <c r="H488" s="12"/>
      <c r="I488" s="12"/>
      <c r="J488" s="12"/>
      <c r="K488" s="12"/>
      <c r="L488" s="12"/>
      <c r="M488" s="12"/>
      <c r="N488" s="12"/>
      <c r="O488" s="12"/>
      <c r="P488" s="12"/>
      <c r="Q488" s="12"/>
      <c r="R488" s="12"/>
      <c r="S488" s="12"/>
      <c r="T488" s="12"/>
      <c r="U488" s="12"/>
      <c r="W488" s="12"/>
      <c r="X488" s="12"/>
    </row>
    <row r="489" spans="1:24" ht="15.75" customHeight="1">
      <c r="A489" s="12"/>
      <c r="B489" s="12"/>
      <c r="C489" s="12"/>
      <c r="D489" s="12"/>
      <c r="E489" s="12"/>
      <c r="F489" s="12"/>
      <c r="G489" s="12"/>
      <c r="H489" s="12"/>
      <c r="I489" s="12"/>
      <c r="J489" s="12"/>
      <c r="K489" s="12"/>
      <c r="L489" s="12"/>
      <c r="M489" s="12"/>
      <c r="N489" s="12"/>
      <c r="O489" s="12"/>
      <c r="P489" s="12"/>
      <c r="Q489" s="12"/>
      <c r="R489" s="12"/>
      <c r="S489" s="12"/>
      <c r="T489" s="12"/>
      <c r="U489" s="12"/>
      <c r="W489" s="12"/>
      <c r="X489" s="12"/>
    </row>
    <row r="490" spans="1:24" ht="15.75" customHeight="1">
      <c r="A490" s="12"/>
      <c r="B490" s="12"/>
      <c r="C490" s="12"/>
      <c r="D490" s="12"/>
      <c r="E490" s="12"/>
      <c r="F490" s="12"/>
      <c r="G490" s="12"/>
      <c r="H490" s="12"/>
      <c r="I490" s="12"/>
      <c r="J490" s="12"/>
      <c r="K490" s="12"/>
      <c r="L490" s="12"/>
      <c r="M490" s="12"/>
      <c r="N490" s="12"/>
      <c r="O490" s="12"/>
      <c r="P490" s="12"/>
      <c r="Q490" s="12"/>
      <c r="R490" s="12"/>
      <c r="S490" s="12"/>
      <c r="T490" s="12"/>
      <c r="U490" s="12"/>
      <c r="W490" s="12"/>
      <c r="X490" s="12"/>
    </row>
    <row r="491" spans="1:24" ht="15.75" customHeight="1">
      <c r="A491" s="12"/>
      <c r="B491" s="12"/>
      <c r="C491" s="12"/>
      <c r="D491" s="12"/>
      <c r="E491" s="12"/>
      <c r="F491" s="12"/>
      <c r="G491" s="12"/>
      <c r="H491" s="12"/>
      <c r="I491" s="12"/>
      <c r="J491" s="12"/>
      <c r="K491" s="12"/>
      <c r="L491" s="12"/>
      <c r="M491" s="12"/>
      <c r="N491" s="12"/>
      <c r="O491" s="12"/>
      <c r="P491" s="12"/>
      <c r="Q491" s="12"/>
      <c r="R491" s="12"/>
      <c r="S491" s="12"/>
      <c r="T491" s="12"/>
      <c r="U491" s="12"/>
      <c r="W491" s="12"/>
      <c r="X491" s="12"/>
    </row>
    <row r="492" spans="1:24" ht="15.75" customHeight="1">
      <c r="A492" s="12"/>
      <c r="B492" s="12"/>
      <c r="C492" s="12"/>
      <c r="D492" s="12"/>
      <c r="E492" s="12"/>
      <c r="F492" s="12"/>
      <c r="G492" s="12"/>
      <c r="H492" s="12"/>
      <c r="I492" s="12"/>
      <c r="J492" s="12"/>
      <c r="K492" s="12"/>
      <c r="L492" s="12"/>
      <c r="M492" s="12"/>
      <c r="N492" s="12"/>
      <c r="O492" s="12"/>
      <c r="P492" s="12"/>
      <c r="Q492" s="12"/>
      <c r="R492" s="12"/>
      <c r="S492" s="12"/>
      <c r="T492" s="12"/>
      <c r="U492" s="12"/>
      <c r="W492" s="12"/>
      <c r="X492" s="12"/>
    </row>
    <row r="493" spans="1:24" ht="15.75" customHeight="1">
      <c r="A493" s="12"/>
      <c r="B493" s="12"/>
      <c r="C493" s="12"/>
      <c r="D493" s="12"/>
      <c r="E493" s="12"/>
      <c r="F493" s="12"/>
      <c r="G493" s="12"/>
      <c r="H493" s="12"/>
      <c r="I493" s="12"/>
      <c r="J493" s="12"/>
      <c r="K493" s="12"/>
      <c r="L493" s="12"/>
      <c r="M493" s="12"/>
      <c r="N493" s="12"/>
      <c r="O493" s="12"/>
      <c r="P493" s="12"/>
      <c r="Q493" s="12"/>
      <c r="R493" s="12"/>
      <c r="S493" s="12"/>
      <c r="T493" s="12"/>
      <c r="U493" s="12"/>
      <c r="W493" s="12"/>
      <c r="X493" s="12"/>
    </row>
    <row r="494" spans="1:24" ht="15.75" customHeight="1">
      <c r="A494" s="12"/>
      <c r="B494" s="12"/>
      <c r="C494" s="12"/>
      <c r="D494" s="12"/>
      <c r="E494" s="12"/>
      <c r="F494" s="12"/>
      <c r="G494" s="12"/>
      <c r="H494" s="12"/>
      <c r="I494" s="12"/>
      <c r="J494" s="12"/>
      <c r="K494" s="12"/>
      <c r="L494" s="12"/>
      <c r="M494" s="12"/>
      <c r="N494" s="12"/>
      <c r="O494" s="12"/>
      <c r="P494" s="12"/>
      <c r="Q494" s="12"/>
      <c r="R494" s="12"/>
      <c r="S494" s="12"/>
      <c r="T494" s="12"/>
      <c r="U494" s="12"/>
      <c r="W494" s="12"/>
      <c r="X494" s="12"/>
    </row>
    <row r="495" spans="1:24" ht="15.75" customHeight="1">
      <c r="A495" s="12"/>
      <c r="B495" s="12"/>
      <c r="C495" s="12"/>
      <c r="D495" s="12"/>
      <c r="E495" s="12"/>
      <c r="F495" s="12"/>
      <c r="G495" s="12"/>
      <c r="H495" s="12"/>
      <c r="I495" s="12"/>
      <c r="J495" s="12"/>
      <c r="K495" s="12"/>
      <c r="L495" s="12"/>
      <c r="M495" s="12"/>
      <c r="N495" s="12"/>
      <c r="O495" s="12"/>
      <c r="P495" s="12"/>
      <c r="Q495" s="12"/>
      <c r="R495" s="12"/>
      <c r="S495" s="12"/>
      <c r="T495" s="12"/>
      <c r="U495" s="12"/>
      <c r="W495" s="12"/>
      <c r="X495" s="12"/>
    </row>
    <row r="496" spans="1:24" ht="15.75" customHeight="1">
      <c r="A496" s="12"/>
      <c r="B496" s="12"/>
      <c r="C496" s="12"/>
      <c r="D496" s="12"/>
      <c r="E496" s="12"/>
      <c r="F496" s="12"/>
      <c r="G496" s="12"/>
      <c r="H496" s="12"/>
      <c r="I496" s="12"/>
      <c r="J496" s="12"/>
      <c r="K496" s="12"/>
      <c r="L496" s="12"/>
      <c r="M496" s="12"/>
      <c r="N496" s="12"/>
      <c r="O496" s="12"/>
      <c r="P496" s="12"/>
      <c r="Q496" s="12"/>
      <c r="R496" s="12"/>
      <c r="S496" s="12"/>
      <c r="T496" s="12"/>
      <c r="U496" s="12"/>
      <c r="W496" s="12"/>
      <c r="X496" s="12"/>
    </row>
    <row r="497" spans="1:24" ht="15.75" customHeight="1">
      <c r="A497" s="12"/>
      <c r="B497" s="12"/>
      <c r="C497" s="12"/>
      <c r="D497" s="12"/>
      <c r="E497" s="12"/>
      <c r="F497" s="12"/>
      <c r="G497" s="12"/>
      <c r="H497" s="12"/>
      <c r="I497" s="12"/>
      <c r="J497" s="12"/>
      <c r="K497" s="12"/>
      <c r="L497" s="12"/>
      <c r="M497" s="12"/>
      <c r="N497" s="12"/>
      <c r="O497" s="12"/>
      <c r="P497" s="12"/>
      <c r="Q497" s="12"/>
      <c r="R497" s="12"/>
      <c r="S497" s="12"/>
      <c r="T497" s="12"/>
      <c r="U497" s="12"/>
      <c r="W497" s="12"/>
      <c r="X497" s="12"/>
    </row>
    <row r="498" spans="1:24" ht="15.75" customHeight="1">
      <c r="A498" s="12"/>
      <c r="B498" s="12"/>
      <c r="C498" s="12"/>
      <c r="D498" s="12"/>
      <c r="E498" s="12"/>
      <c r="F498" s="12"/>
      <c r="G498" s="12"/>
      <c r="H498" s="12"/>
      <c r="I498" s="12"/>
      <c r="J498" s="12"/>
      <c r="K498" s="12"/>
      <c r="L498" s="12"/>
      <c r="M498" s="12"/>
      <c r="N498" s="12"/>
      <c r="O498" s="12"/>
      <c r="P498" s="12"/>
      <c r="Q498" s="12"/>
      <c r="R498" s="12"/>
      <c r="S498" s="12"/>
      <c r="T498" s="12"/>
      <c r="U498" s="12"/>
      <c r="W498" s="12"/>
      <c r="X498" s="12"/>
    </row>
    <row r="499" spans="1:24" ht="15.75" customHeight="1">
      <c r="A499" s="12"/>
      <c r="B499" s="12"/>
      <c r="C499" s="12"/>
      <c r="D499" s="12"/>
      <c r="E499" s="12"/>
      <c r="F499" s="12"/>
      <c r="G499" s="12"/>
      <c r="H499" s="12"/>
      <c r="I499" s="12"/>
      <c r="J499" s="12"/>
      <c r="K499" s="12"/>
      <c r="L499" s="12"/>
      <c r="M499" s="12"/>
      <c r="N499" s="12"/>
      <c r="O499" s="12"/>
      <c r="P499" s="12"/>
      <c r="Q499" s="12"/>
      <c r="R499" s="12"/>
      <c r="S499" s="12"/>
      <c r="T499" s="12"/>
      <c r="U499" s="12"/>
      <c r="W499" s="12"/>
      <c r="X499" s="12"/>
    </row>
    <row r="500" spans="1:24" ht="15.75" customHeight="1">
      <c r="A500" s="12"/>
      <c r="B500" s="12"/>
      <c r="C500" s="12"/>
      <c r="D500" s="12"/>
      <c r="E500" s="12"/>
      <c r="F500" s="12"/>
      <c r="G500" s="12"/>
      <c r="H500" s="12"/>
      <c r="I500" s="12"/>
      <c r="J500" s="12"/>
      <c r="K500" s="12"/>
      <c r="L500" s="12"/>
      <c r="M500" s="12"/>
      <c r="N500" s="12"/>
      <c r="O500" s="12"/>
      <c r="P500" s="12"/>
      <c r="Q500" s="12"/>
      <c r="R500" s="12"/>
      <c r="S500" s="12"/>
      <c r="T500" s="12"/>
      <c r="U500" s="12"/>
      <c r="W500" s="12"/>
      <c r="X500" s="12"/>
    </row>
    <row r="501" spans="1:24" ht="15.75" customHeight="1">
      <c r="A501" s="12"/>
      <c r="B501" s="12"/>
      <c r="C501" s="12"/>
      <c r="D501" s="12"/>
      <c r="E501" s="12"/>
      <c r="F501" s="12"/>
      <c r="G501" s="12"/>
      <c r="H501" s="12"/>
      <c r="I501" s="12"/>
      <c r="J501" s="12"/>
      <c r="K501" s="12"/>
      <c r="L501" s="12"/>
      <c r="M501" s="12"/>
      <c r="N501" s="12"/>
      <c r="O501" s="12"/>
      <c r="P501" s="12"/>
      <c r="Q501" s="12"/>
      <c r="R501" s="12"/>
      <c r="S501" s="12"/>
      <c r="T501" s="12"/>
      <c r="U501" s="12"/>
      <c r="W501" s="12"/>
      <c r="X501" s="12"/>
    </row>
    <row r="502" spans="1:24" ht="15.75" customHeight="1">
      <c r="A502" s="12"/>
      <c r="B502" s="12"/>
      <c r="C502" s="12"/>
      <c r="D502" s="12"/>
      <c r="E502" s="12"/>
      <c r="F502" s="12"/>
      <c r="G502" s="12"/>
      <c r="H502" s="12"/>
      <c r="I502" s="12"/>
      <c r="J502" s="12"/>
      <c r="K502" s="12"/>
      <c r="L502" s="12"/>
      <c r="M502" s="12"/>
      <c r="N502" s="12"/>
      <c r="O502" s="12"/>
      <c r="P502" s="12"/>
      <c r="Q502" s="12"/>
      <c r="R502" s="12"/>
      <c r="S502" s="12"/>
      <c r="T502" s="12"/>
      <c r="U502" s="12"/>
      <c r="W502" s="12"/>
      <c r="X502" s="12"/>
    </row>
    <row r="503" spans="1:24" ht="15.75" customHeight="1">
      <c r="A503" s="12"/>
      <c r="B503" s="12"/>
      <c r="C503" s="12"/>
      <c r="D503" s="12"/>
      <c r="E503" s="12"/>
      <c r="F503" s="12"/>
      <c r="G503" s="12"/>
      <c r="H503" s="12"/>
      <c r="I503" s="12"/>
      <c r="J503" s="12"/>
      <c r="K503" s="12"/>
      <c r="L503" s="12"/>
      <c r="M503" s="12"/>
      <c r="N503" s="12"/>
      <c r="O503" s="12"/>
      <c r="P503" s="12"/>
      <c r="Q503" s="12"/>
      <c r="R503" s="12"/>
      <c r="S503" s="12"/>
      <c r="T503" s="12"/>
      <c r="U503" s="12"/>
      <c r="W503" s="12"/>
      <c r="X503" s="12"/>
    </row>
    <row r="504" spans="1:24" ht="15.75" customHeight="1">
      <c r="A504" s="12"/>
      <c r="B504" s="12"/>
      <c r="C504" s="12"/>
      <c r="D504" s="12"/>
      <c r="E504" s="12"/>
      <c r="F504" s="12"/>
      <c r="G504" s="12"/>
      <c r="H504" s="12"/>
      <c r="I504" s="12"/>
      <c r="J504" s="12"/>
      <c r="K504" s="12"/>
      <c r="L504" s="12"/>
      <c r="M504" s="12"/>
      <c r="N504" s="12"/>
      <c r="O504" s="12"/>
      <c r="P504" s="12"/>
      <c r="Q504" s="12"/>
      <c r="R504" s="12"/>
      <c r="S504" s="12"/>
      <c r="T504" s="12"/>
      <c r="U504" s="12"/>
      <c r="W504" s="12"/>
      <c r="X504" s="12"/>
    </row>
    <row r="505" spans="1:24" ht="15.75" customHeight="1">
      <c r="A505" s="12"/>
      <c r="B505" s="12"/>
      <c r="C505" s="12"/>
      <c r="D505" s="12"/>
      <c r="E505" s="12"/>
      <c r="F505" s="12"/>
      <c r="G505" s="12"/>
      <c r="H505" s="12"/>
      <c r="I505" s="12"/>
      <c r="J505" s="12"/>
      <c r="K505" s="12"/>
      <c r="L505" s="12"/>
      <c r="M505" s="12"/>
      <c r="N505" s="12"/>
      <c r="O505" s="12"/>
      <c r="P505" s="12"/>
      <c r="Q505" s="12"/>
      <c r="R505" s="12"/>
      <c r="S505" s="12"/>
      <c r="T505" s="12"/>
      <c r="U505" s="12"/>
      <c r="W505" s="12"/>
      <c r="X505" s="12"/>
    </row>
    <row r="506" spans="1:24" ht="15.75" customHeight="1">
      <c r="A506" s="12"/>
      <c r="B506" s="12"/>
      <c r="C506" s="12"/>
      <c r="D506" s="12"/>
      <c r="E506" s="12"/>
      <c r="F506" s="12"/>
      <c r="G506" s="12"/>
      <c r="H506" s="12"/>
      <c r="I506" s="12"/>
      <c r="J506" s="12"/>
      <c r="K506" s="12"/>
      <c r="L506" s="12"/>
      <c r="M506" s="12"/>
      <c r="N506" s="12"/>
      <c r="O506" s="12"/>
      <c r="P506" s="12"/>
      <c r="Q506" s="12"/>
      <c r="R506" s="12"/>
      <c r="S506" s="12"/>
      <c r="T506" s="12"/>
      <c r="U506" s="12"/>
      <c r="W506" s="12"/>
      <c r="X506" s="12"/>
    </row>
    <row r="507" spans="1:24" ht="15.75" customHeight="1">
      <c r="A507" s="12"/>
      <c r="B507" s="12"/>
      <c r="C507" s="12"/>
      <c r="D507" s="12"/>
      <c r="E507" s="12"/>
      <c r="F507" s="12"/>
      <c r="G507" s="12"/>
      <c r="H507" s="12"/>
      <c r="I507" s="12"/>
      <c r="J507" s="12"/>
      <c r="K507" s="12"/>
      <c r="L507" s="12"/>
      <c r="M507" s="12"/>
      <c r="N507" s="12"/>
      <c r="O507" s="12"/>
      <c r="P507" s="12"/>
      <c r="Q507" s="12"/>
      <c r="R507" s="12"/>
      <c r="S507" s="12"/>
      <c r="T507" s="12"/>
      <c r="U507" s="12"/>
      <c r="W507" s="12"/>
      <c r="X507" s="12"/>
    </row>
    <row r="508" spans="1:24" ht="15.75" customHeight="1">
      <c r="A508" s="12"/>
      <c r="B508" s="12"/>
      <c r="C508" s="12"/>
      <c r="D508" s="12"/>
      <c r="E508" s="12"/>
      <c r="F508" s="12"/>
      <c r="G508" s="12"/>
      <c r="H508" s="12"/>
      <c r="I508" s="12"/>
      <c r="J508" s="12"/>
      <c r="K508" s="12"/>
      <c r="L508" s="12"/>
      <c r="M508" s="12"/>
      <c r="N508" s="12"/>
      <c r="O508" s="12"/>
      <c r="P508" s="12"/>
      <c r="Q508" s="12"/>
      <c r="R508" s="12"/>
      <c r="S508" s="12"/>
      <c r="T508" s="12"/>
      <c r="U508" s="12"/>
      <c r="W508" s="12"/>
      <c r="X508" s="12"/>
    </row>
    <row r="509" spans="1:24" ht="15.75" customHeight="1">
      <c r="A509" s="12"/>
      <c r="B509" s="12"/>
      <c r="C509" s="12"/>
      <c r="D509" s="12"/>
      <c r="E509" s="12"/>
      <c r="F509" s="12"/>
      <c r="G509" s="12"/>
      <c r="H509" s="12"/>
      <c r="I509" s="12"/>
      <c r="J509" s="12"/>
      <c r="K509" s="12"/>
      <c r="L509" s="12"/>
      <c r="M509" s="12"/>
      <c r="N509" s="12"/>
      <c r="O509" s="12"/>
      <c r="P509" s="12"/>
      <c r="Q509" s="12"/>
      <c r="R509" s="12"/>
      <c r="S509" s="12"/>
      <c r="T509" s="12"/>
      <c r="U509" s="12"/>
      <c r="W509" s="12"/>
      <c r="X509" s="12"/>
    </row>
    <row r="510" spans="1:24" ht="15.75" customHeight="1">
      <c r="A510" s="12"/>
      <c r="B510" s="12"/>
      <c r="C510" s="12"/>
      <c r="D510" s="12"/>
      <c r="E510" s="12"/>
      <c r="F510" s="12"/>
      <c r="G510" s="12"/>
      <c r="H510" s="12"/>
      <c r="I510" s="12"/>
      <c r="J510" s="12"/>
      <c r="K510" s="12"/>
      <c r="L510" s="12"/>
      <c r="M510" s="12"/>
      <c r="N510" s="12"/>
      <c r="O510" s="12"/>
      <c r="P510" s="12"/>
      <c r="Q510" s="12"/>
      <c r="R510" s="12"/>
      <c r="S510" s="12"/>
      <c r="T510" s="12"/>
      <c r="U510" s="12"/>
      <c r="W510" s="12"/>
      <c r="X510" s="12"/>
    </row>
    <row r="511" spans="1:24" ht="15.75" customHeight="1">
      <c r="A511" s="12"/>
      <c r="B511" s="12"/>
      <c r="C511" s="12"/>
      <c r="D511" s="12"/>
      <c r="E511" s="12"/>
      <c r="F511" s="12"/>
      <c r="G511" s="12"/>
      <c r="H511" s="12"/>
      <c r="I511" s="12"/>
      <c r="J511" s="12"/>
      <c r="K511" s="12"/>
      <c r="L511" s="12"/>
      <c r="M511" s="12"/>
      <c r="N511" s="12"/>
      <c r="O511" s="12"/>
      <c r="P511" s="12"/>
      <c r="Q511" s="12"/>
      <c r="R511" s="12"/>
      <c r="S511" s="12"/>
      <c r="T511" s="12"/>
      <c r="U511" s="12"/>
      <c r="W511" s="12"/>
      <c r="X511" s="12"/>
    </row>
    <row r="512" spans="1:24" ht="15.75" customHeight="1">
      <c r="A512" s="12"/>
      <c r="B512" s="12"/>
      <c r="C512" s="12"/>
      <c r="D512" s="12"/>
      <c r="E512" s="12"/>
      <c r="F512" s="12"/>
      <c r="G512" s="12"/>
      <c r="H512" s="12"/>
      <c r="I512" s="12"/>
      <c r="J512" s="12"/>
      <c r="K512" s="12"/>
      <c r="L512" s="12"/>
      <c r="M512" s="12"/>
      <c r="N512" s="12"/>
      <c r="O512" s="12"/>
      <c r="P512" s="12"/>
      <c r="Q512" s="12"/>
      <c r="R512" s="12"/>
      <c r="S512" s="12"/>
      <c r="T512" s="12"/>
      <c r="U512" s="12"/>
      <c r="W512" s="12"/>
      <c r="X512" s="12"/>
    </row>
    <row r="513" spans="1:24" ht="15.75" customHeight="1">
      <c r="A513" s="12"/>
      <c r="B513" s="12"/>
      <c r="C513" s="12"/>
      <c r="D513" s="12"/>
      <c r="E513" s="12"/>
      <c r="F513" s="12"/>
      <c r="G513" s="12"/>
      <c r="H513" s="12"/>
      <c r="I513" s="12"/>
      <c r="J513" s="12"/>
      <c r="K513" s="12"/>
      <c r="L513" s="12"/>
      <c r="M513" s="12"/>
      <c r="N513" s="12"/>
      <c r="O513" s="12"/>
      <c r="P513" s="12"/>
      <c r="Q513" s="12"/>
      <c r="R513" s="12"/>
      <c r="S513" s="12"/>
      <c r="T513" s="12"/>
      <c r="U513" s="12"/>
      <c r="W513" s="12"/>
      <c r="X513" s="12"/>
    </row>
    <row r="514" spans="1:24" ht="15.75" customHeight="1">
      <c r="A514" s="12"/>
      <c r="B514" s="12"/>
      <c r="C514" s="12"/>
      <c r="D514" s="12"/>
      <c r="E514" s="12"/>
      <c r="F514" s="12"/>
      <c r="G514" s="12"/>
      <c r="H514" s="12"/>
      <c r="I514" s="12"/>
      <c r="J514" s="12"/>
      <c r="K514" s="12"/>
      <c r="L514" s="12"/>
      <c r="M514" s="12"/>
      <c r="N514" s="12"/>
      <c r="O514" s="12"/>
      <c r="P514" s="12"/>
      <c r="Q514" s="12"/>
      <c r="R514" s="12"/>
      <c r="S514" s="12"/>
      <c r="T514" s="12"/>
      <c r="U514" s="12"/>
      <c r="W514" s="12"/>
      <c r="X514" s="12"/>
    </row>
    <row r="515" spans="1:24" ht="15.75" customHeight="1">
      <c r="A515" s="12"/>
      <c r="B515" s="12"/>
      <c r="C515" s="12"/>
      <c r="D515" s="12"/>
      <c r="E515" s="12"/>
      <c r="F515" s="12"/>
      <c r="G515" s="12"/>
      <c r="H515" s="12"/>
      <c r="I515" s="12"/>
      <c r="J515" s="12"/>
      <c r="K515" s="12"/>
      <c r="L515" s="12"/>
      <c r="M515" s="12"/>
      <c r="N515" s="12"/>
      <c r="O515" s="12"/>
      <c r="P515" s="12"/>
      <c r="Q515" s="12"/>
      <c r="R515" s="12"/>
      <c r="S515" s="12"/>
      <c r="T515" s="12"/>
      <c r="U515" s="12"/>
      <c r="W515" s="12"/>
      <c r="X515" s="12"/>
    </row>
    <row r="516" spans="1:24" ht="15.75" customHeight="1">
      <c r="A516" s="12"/>
      <c r="B516" s="12"/>
      <c r="C516" s="12"/>
      <c r="D516" s="12"/>
      <c r="E516" s="12"/>
      <c r="F516" s="12"/>
      <c r="G516" s="12"/>
      <c r="H516" s="12"/>
      <c r="I516" s="12"/>
      <c r="J516" s="12"/>
      <c r="K516" s="12"/>
      <c r="L516" s="12"/>
      <c r="M516" s="12"/>
      <c r="N516" s="12"/>
      <c r="O516" s="12"/>
      <c r="P516" s="12"/>
      <c r="Q516" s="12"/>
      <c r="R516" s="12"/>
      <c r="S516" s="12"/>
      <c r="T516" s="12"/>
      <c r="U516" s="12"/>
      <c r="W516" s="12"/>
      <c r="X516" s="12"/>
    </row>
    <row r="517" spans="1:24" ht="15.75" customHeight="1">
      <c r="A517" s="12"/>
      <c r="B517" s="12"/>
      <c r="C517" s="12"/>
      <c r="D517" s="12"/>
      <c r="E517" s="12"/>
      <c r="F517" s="12"/>
      <c r="G517" s="12"/>
      <c r="H517" s="12"/>
      <c r="I517" s="12"/>
      <c r="J517" s="12"/>
      <c r="K517" s="12"/>
      <c r="L517" s="12"/>
      <c r="M517" s="12"/>
      <c r="N517" s="12"/>
      <c r="O517" s="12"/>
      <c r="P517" s="12"/>
      <c r="Q517" s="12"/>
      <c r="R517" s="12"/>
      <c r="S517" s="12"/>
      <c r="T517" s="12"/>
      <c r="U517" s="12"/>
      <c r="W517" s="12"/>
      <c r="X517" s="12"/>
    </row>
    <row r="518" spans="1:24" ht="15.75" customHeight="1">
      <c r="A518" s="12"/>
      <c r="B518" s="12"/>
      <c r="C518" s="12"/>
      <c r="D518" s="12"/>
      <c r="E518" s="12"/>
      <c r="F518" s="12"/>
      <c r="G518" s="12"/>
      <c r="H518" s="12"/>
      <c r="I518" s="12"/>
      <c r="J518" s="12"/>
      <c r="K518" s="12"/>
      <c r="L518" s="12"/>
      <c r="M518" s="12"/>
      <c r="N518" s="12"/>
      <c r="O518" s="12"/>
      <c r="P518" s="12"/>
      <c r="Q518" s="12"/>
      <c r="R518" s="12"/>
      <c r="S518" s="12"/>
      <c r="T518" s="12"/>
      <c r="U518" s="12"/>
      <c r="W518" s="12"/>
      <c r="X518" s="12"/>
    </row>
    <row r="519" spans="1:24" ht="15.75" customHeight="1">
      <c r="A519" s="12"/>
      <c r="B519" s="12"/>
      <c r="C519" s="12"/>
      <c r="D519" s="12"/>
      <c r="E519" s="12"/>
      <c r="F519" s="12"/>
      <c r="G519" s="12"/>
      <c r="H519" s="12"/>
      <c r="I519" s="12"/>
      <c r="J519" s="12"/>
      <c r="K519" s="12"/>
      <c r="L519" s="12"/>
      <c r="M519" s="12"/>
      <c r="N519" s="12"/>
      <c r="O519" s="12"/>
      <c r="P519" s="12"/>
      <c r="Q519" s="12"/>
      <c r="R519" s="12"/>
      <c r="S519" s="12"/>
      <c r="T519" s="12"/>
      <c r="U519" s="12"/>
      <c r="W519" s="12"/>
      <c r="X519" s="12"/>
    </row>
    <row r="520" spans="1:24" ht="15.75" customHeight="1">
      <c r="A520" s="12"/>
      <c r="B520" s="12"/>
      <c r="C520" s="12"/>
      <c r="D520" s="12"/>
      <c r="E520" s="12"/>
      <c r="F520" s="12"/>
      <c r="G520" s="12"/>
      <c r="H520" s="12"/>
      <c r="I520" s="12"/>
      <c r="J520" s="12"/>
      <c r="K520" s="12"/>
      <c r="L520" s="12"/>
      <c r="M520" s="12"/>
      <c r="N520" s="12"/>
      <c r="O520" s="12"/>
      <c r="P520" s="12"/>
      <c r="Q520" s="12"/>
      <c r="R520" s="12"/>
      <c r="S520" s="12"/>
      <c r="T520" s="12"/>
      <c r="U520" s="12"/>
      <c r="W520" s="12"/>
      <c r="X520" s="12"/>
    </row>
    <row r="521" spans="1:24" ht="15.75" customHeight="1">
      <c r="A521" s="12"/>
      <c r="B521" s="12"/>
      <c r="C521" s="12"/>
      <c r="D521" s="12"/>
      <c r="E521" s="12"/>
      <c r="F521" s="12"/>
      <c r="G521" s="12"/>
      <c r="H521" s="12"/>
      <c r="I521" s="12"/>
      <c r="J521" s="12"/>
      <c r="K521" s="12"/>
      <c r="L521" s="12"/>
      <c r="M521" s="12"/>
      <c r="N521" s="12"/>
      <c r="O521" s="12"/>
      <c r="P521" s="12"/>
      <c r="Q521" s="12"/>
      <c r="R521" s="12"/>
      <c r="S521" s="12"/>
      <c r="T521" s="12"/>
      <c r="U521" s="12"/>
      <c r="W521" s="12"/>
      <c r="X521" s="12"/>
    </row>
    <row r="522" spans="1:24" ht="15.75" customHeight="1">
      <c r="A522" s="12"/>
      <c r="B522" s="12"/>
      <c r="C522" s="12"/>
      <c r="D522" s="12"/>
      <c r="E522" s="12"/>
      <c r="F522" s="12"/>
      <c r="G522" s="12"/>
      <c r="H522" s="12"/>
      <c r="I522" s="12"/>
      <c r="J522" s="12"/>
      <c r="K522" s="12"/>
      <c r="L522" s="12"/>
      <c r="M522" s="12"/>
      <c r="N522" s="12"/>
      <c r="O522" s="12"/>
      <c r="P522" s="12"/>
      <c r="Q522" s="12"/>
      <c r="R522" s="12"/>
      <c r="S522" s="12"/>
      <c r="T522" s="12"/>
      <c r="U522" s="12"/>
      <c r="W522" s="12"/>
      <c r="X522" s="12"/>
    </row>
    <row r="523" spans="1:24" ht="15.75" customHeight="1">
      <c r="A523" s="12"/>
      <c r="B523" s="12"/>
      <c r="C523" s="12"/>
      <c r="D523" s="12"/>
      <c r="E523" s="12"/>
      <c r="F523" s="12"/>
      <c r="G523" s="12"/>
      <c r="H523" s="12"/>
      <c r="I523" s="12"/>
      <c r="J523" s="12"/>
      <c r="K523" s="12"/>
      <c r="L523" s="12"/>
      <c r="M523" s="12"/>
      <c r="N523" s="12"/>
      <c r="O523" s="12"/>
      <c r="P523" s="12"/>
      <c r="Q523" s="12"/>
      <c r="R523" s="12"/>
      <c r="S523" s="12"/>
      <c r="T523" s="12"/>
      <c r="U523" s="12"/>
      <c r="W523" s="12"/>
      <c r="X523" s="12"/>
    </row>
    <row r="524" spans="1:24" ht="15.75" customHeight="1">
      <c r="A524" s="12"/>
      <c r="B524" s="12"/>
      <c r="C524" s="12"/>
      <c r="D524" s="12"/>
      <c r="E524" s="12"/>
      <c r="F524" s="12"/>
      <c r="G524" s="12"/>
      <c r="H524" s="12"/>
      <c r="I524" s="12"/>
      <c r="J524" s="12"/>
      <c r="K524" s="12"/>
      <c r="L524" s="12"/>
      <c r="M524" s="12"/>
      <c r="N524" s="12"/>
      <c r="O524" s="12"/>
      <c r="P524" s="12"/>
      <c r="Q524" s="12"/>
      <c r="R524" s="12"/>
      <c r="S524" s="12"/>
      <c r="T524" s="12"/>
      <c r="U524" s="12"/>
      <c r="W524" s="12"/>
      <c r="X524" s="12"/>
    </row>
    <row r="525" spans="1:24" ht="15.75" customHeight="1">
      <c r="A525" s="12"/>
      <c r="B525" s="12"/>
      <c r="C525" s="12"/>
      <c r="D525" s="12"/>
      <c r="E525" s="12"/>
      <c r="F525" s="12"/>
      <c r="G525" s="12"/>
      <c r="H525" s="12"/>
      <c r="I525" s="12"/>
      <c r="J525" s="12"/>
      <c r="K525" s="12"/>
      <c r="L525" s="12"/>
      <c r="M525" s="12"/>
      <c r="N525" s="12"/>
      <c r="O525" s="12"/>
      <c r="P525" s="12"/>
      <c r="Q525" s="12"/>
      <c r="R525" s="12"/>
      <c r="S525" s="12"/>
      <c r="T525" s="12"/>
      <c r="U525" s="12"/>
      <c r="W525" s="12"/>
      <c r="X525" s="12"/>
    </row>
    <row r="526" spans="1:24" ht="15.75" customHeight="1">
      <c r="A526" s="12"/>
      <c r="B526" s="12"/>
      <c r="C526" s="12"/>
      <c r="D526" s="12"/>
      <c r="E526" s="12"/>
      <c r="F526" s="12"/>
      <c r="G526" s="12"/>
      <c r="H526" s="12"/>
      <c r="I526" s="12"/>
      <c r="J526" s="12"/>
      <c r="K526" s="12"/>
      <c r="L526" s="12"/>
      <c r="M526" s="12"/>
      <c r="N526" s="12"/>
      <c r="O526" s="12"/>
      <c r="P526" s="12"/>
      <c r="Q526" s="12"/>
      <c r="R526" s="12"/>
      <c r="S526" s="12"/>
      <c r="T526" s="12"/>
      <c r="U526" s="12"/>
      <c r="W526" s="12"/>
      <c r="X526" s="12"/>
    </row>
    <row r="527" spans="1:24" ht="15.75" customHeight="1">
      <c r="A527" s="12"/>
      <c r="B527" s="12"/>
      <c r="C527" s="12"/>
      <c r="D527" s="12"/>
      <c r="E527" s="12"/>
      <c r="F527" s="12"/>
      <c r="G527" s="12"/>
      <c r="H527" s="12"/>
      <c r="I527" s="12"/>
      <c r="J527" s="12"/>
      <c r="K527" s="12"/>
      <c r="L527" s="12"/>
      <c r="M527" s="12"/>
      <c r="N527" s="12"/>
      <c r="O527" s="12"/>
      <c r="P527" s="12"/>
      <c r="Q527" s="12"/>
      <c r="R527" s="12"/>
      <c r="S527" s="12"/>
      <c r="T527" s="12"/>
      <c r="U527" s="12"/>
      <c r="W527" s="12"/>
      <c r="X527" s="12"/>
    </row>
    <row r="528" spans="1:24" ht="15.75" customHeight="1">
      <c r="A528" s="12"/>
      <c r="B528" s="12"/>
      <c r="C528" s="12"/>
      <c r="D528" s="12"/>
      <c r="E528" s="12"/>
      <c r="F528" s="12"/>
      <c r="G528" s="12"/>
      <c r="H528" s="12"/>
      <c r="I528" s="12"/>
      <c r="J528" s="12"/>
      <c r="K528" s="12"/>
      <c r="L528" s="12"/>
      <c r="M528" s="12"/>
      <c r="N528" s="12"/>
      <c r="O528" s="12"/>
      <c r="P528" s="12"/>
      <c r="Q528" s="12"/>
      <c r="R528" s="12"/>
      <c r="S528" s="12"/>
      <c r="T528" s="12"/>
      <c r="U528" s="12"/>
      <c r="W528" s="12"/>
      <c r="X528" s="12"/>
    </row>
    <row r="529" spans="1:24" ht="15.75" customHeight="1">
      <c r="A529" s="12"/>
      <c r="B529" s="12"/>
      <c r="C529" s="12"/>
      <c r="D529" s="12"/>
      <c r="E529" s="12"/>
      <c r="F529" s="12"/>
      <c r="G529" s="12"/>
      <c r="H529" s="12"/>
      <c r="I529" s="12"/>
      <c r="J529" s="12"/>
      <c r="K529" s="12"/>
      <c r="L529" s="12"/>
      <c r="M529" s="12"/>
      <c r="N529" s="12"/>
      <c r="O529" s="12"/>
      <c r="P529" s="12"/>
      <c r="Q529" s="12"/>
      <c r="R529" s="12"/>
      <c r="S529" s="12"/>
      <c r="T529" s="12"/>
      <c r="U529" s="12"/>
      <c r="W529" s="12"/>
      <c r="X529" s="12"/>
    </row>
    <row r="530" spans="1:24" ht="15.75" customHeight="1">
      <c r="A530" s="12"/>
      <c r="B530" s="12"/>
      <c r="C530" s="12"/>
      <c r="D530" s="12"/>
      <c r="E530" s="12"/>
      <c r="F530" s="12"/>
      <c r="G530" s="12"/>
      <c r="H530" s="12"/>
      <c r="I530" s="12"/>
      <c r="J530" s="12"/>
      <c r="K530" s="12"/>
      <c r="L530" s="12"/>
      <c r="M530" s="12"/>
      <c r="N530" s="12"/>
      <c r="O530" s="12"/>
      <c r="P530" s="12"/>
      <c r="Q530" s="12"/>
      <c r="R530" s="12"/>
      <c r="S530" s="12"/>
      <c r="T530" s="12"/>
      <c r="U530" s="12"/>
      <c r="W530" s="12"/>
      <c r="X530" s="12"/>
    </row>
    <row r="531" spans="1:24" ht="15.75" customHeight="1">
      <c r="A531" s="12"/>
      <c r="B531" s="12"/>
      <c r="C531" s="12"/>
      <c r="D531" s="12"/>
      <c r="E531" s="12"/>
      <c r="F531" s="12"/>
      <c r="G531" s="12"/>
      <c r="H531" s="12"/>
      <c r="I531" s="12"/>
      <c r="J531" s="12"/>
      <c r="K531" s="12"/>
      <c r="L531" s="12"/>
      <c r="M531" s="12"/>
      <c r="N531" s="12"/>
      <c r="O531" s="12"/>
      <c r="P531" s="12"/>
      <c r="Q531" s="12"/>
      <c r="R531" s="12"/>
      <c r="S531" s="12"/>
      <c r="T531" s="12"/>
      <c r="U531" s="12"/>
      <c r="W531" s="12"/>
      <c r="X531" s="12"/>
    </row>
    <row r="532" spans="1:24" ht="15.75" customHeight="1">
      <c r="A532" s="12"/>
      <c r="B532" s="12"/>
      <c r="C532" s="12"/>
      <c r="D532" s="12"/>
      <c r="E532" s="12"/>
      <c r="F532" s="12"/>
      <c r="G532" s="12"/>
      <c r="H532" s="12"/>
      <c r="I532" s="12"/>
      <c r="J532" s="12"/>
      <c r="K532" s="12"/>
      <c r="L532" s="12"/>
      <c r="M532" s="12"/>
      <c r="N532" s="12"/>
      <c r="O532" s="12"/>
      <c r="P532" s="12"/>
      <c r="Q532" s="12"/>
      <c r="R532" s="12"/>
      <c r="S532" s="12"/>
      <c r="T532" s="12"/>
      <c r="U532" s="12"/>
      <c r="W532" s="12"/>
      <c r="X532" s="12"/>
    </row>
    <row r="533" spans="1:24" ht="15.75" customHeight="1">
      <c r="A533" s="12"/>
      <c r="B533" s="12"/>
      <c r="C533" s="12"/>
      <c r="D533" s="12"/>
      <c r="E533" s="12"/>
      <c r="F533" s="12"/>
      <c r="G533" s="12"/>
      <c r="H533" s="12"/>
      <c r="I533" s="12"/>
      <c r="J533" s="12"/>
      <c r="K533" s="12"/>
      <c r="L533" s="12"/>
      <c r="M533" s="12"/>
      <c r="N533" s="12"/>
      <c r="O533" s="12"/>
      <c r="P533" s="12"/>
      <c r="Q533" s="12"/>
      <c r="R533" s="12"/>
      <c r="S533" s="12"/>
      <c r="T533" s="12"/>
      <c r="U533" s="12"/>
      <c r="W533" s="12"/>
      <c r="X533" s="12"/>
    </row>
    <row r="534" spans="1:24" ht="15.75" customHeight="1">
      <c r="A534" s="12"/>
      <c r="B534" s="12"/>
      <c r="C534" s="12"/>
      <c r="D534" s="12"/>
      <c r="E534" s="12"/>
      <c r="F534" s="12"/>
      <c r="G534" s="12"/>
      <c r="H534" s="12"/>
      <c r="I534" s="12"/>
      <c r="J534" s="12"/>
      <c r="K534" s="12"/>
      <c r="L534" s="12"/>
      <c r="M534" s="12"/>
      <c r="N534" s="12"/>
      <c r="O534" s="12"/>
      <c r="P534" s="12"/>
      <c r="Q534" s="12"/>
      <c r="R534" s="12"/>
      <c r="S534" s="12"/>
      <c r="T534" s="12"/>
      <c r="U534" s="12"/>
      <c r="W534" s="12"/>
      <c r="X534" s="12"/>
    </row>
    <row r="535" spans="1:24" ht="15.75" customHeight="1">
      <c r="A535" s="12"/>
      <c r="B535" s="12"/>
      <c r="C535" s="12"/>
      <c r="D535" s="12"/>
      <c r="E535" s="12"/>
      <c r="F535" s="12"/>
      <c r="G535" s="12"/>
      <c r="H535" s="12"/>
      <c r="I535" s="12"/>
      <c r="J535" s="12"/>
      <c r="K535" s="12"/>
      <c r="L535" s="12"/>
      <c r="M535" s="12"/>
      <c r="N535" s="12"/>
      <c r="O535" s="12"/>
      <c r="P535" s="12"/>
      <c r="Q535" s="12"/>
      <c r="R535" s="12"/>
      <c r="S535" s="12"/>
      <c r="T535" s="12"/>
      <c r="U535" s="12"/>
      <c r="W535" s="12"/>
      <c r="X535" s="12"/>
    </row>
    <row r="536" spans="1:24" ht="15.75" customHeight="1">
      <c r="A536" s="12"/>
      <c r="B536" s="12"/>
      <c r="C536" s="12"/>
      <c r="D536" s="12"/>
      <c r="E536" s="12"/>
      <c r="F536" s="12"/>
      <c r="G536" s="12"/>
      <c r="H536" s="12"/>
      <c r="I536" s="12"/>
      <c r="J536" s="12"/>
      <c r="K536" s="12"/>
      <c r="L536" s="12"/>
      <c r="M536" s="12"/>
      <c r="N536" s="12"/>
      <c r="O536" s="12"/>
      <c r="P536" s="12"/>
      <c r="Q536" s="12"/>
      <c r="R536" s="12"/>
      <c r="S536" s="12"/>
      <c r="T536" s="12"/>
      <c r="U536" s="12"/>
      <c r="W536" s="12"/>
      <c r="X536" s="12"/>
    </row>
    <row r="537" spans="1:24" ht="15.75" customHeight="1">
      <c r="A537" s="12"/>
      <c r="B537" s="12"/>
      <c r="C537" s="12"/>
      <c r="D537" s="12"/>
      <c r="E537" s="12"/>
      <c r="F537" s="12"/>
      <c r="G537" s="12"/>
      <c r="H537" s="12"/>
      <c r="I537" s="12"/>
      <c r="J537" s="12"/>
      <c r="K537" s="12"/>
      <c r="L537" s="12"/>
      <c r="M537" s="12"/>
      <c r="N537" s="12"/>
      <c r="O537" s="12"/>
      <c r="P537" s="12"/>
      <c r="Q537" s="12"/>
      <c r="R537" s="12"/>
      <c r="S537" s="12"/>
      <c r="T537" s="12"/>
      <c r="U537" s="12"/>
      <c r="W537" s="12"/>
      <c r="X537" s="12"/>
    </row>
    <row r="538" spans="1:24" ht="15.75" customHeight="1">
      <c r="A538" s="12"/>
      <c r="B538" s="12"/>
      <c r="C538" s="12"/>
      <c r="D538" s="12"/>
      <c r="E538" s="12"/>
      <c r="F538" s="12"/>
      <c r="G538" s="12"/>
      <c r="H538" s="12"/>
      <c r="I538" s="12"/>
      <c r="J538" s="12"/>
      <c r="K538" s="12"/>
      <c r="L538" s="12"/>
      <c r="M538" s="12"/>
      <c r="N538" s="12"/>
      <c r="O538" s="12"/>
      <c r="P538" s="12"/>
      <c r="Q538" s="12"/>
      <c r="R538" s="12"/>
      <c r="S538" s="12"/>
      <c r="T538" s="12"/>
      <c r="U538" s="12"/>
      <c r="W538" s="12"/>
      <c r="X538" s="12"/>
    </row>
    <row r="539" spans="1:24" ht="15.75" customHeight="1">
      <c r="A539" s="12"/>
      <c r="B539" s="12"/>
      <c r="C539" s="12"/>
      <c r="D539" s="12"/>
      <c r="E539" s="12"/>
      <c r="F539" s="12"/>
      <c r="G539" s="12"/>
      <c r="H539" s="12"/>
      <c r="I539" s="12"/>
      <c r="J539" s="12"/>
      <c r="K539" s="12"/>
      <c r="L539" s="12"/>
      <c r="M539" s="12"/>
      <c r="N539" s="12"/>
      <c r="O539" s="12"/>
      <c r="P539" s="12"/>
      <c r="Q539" s="12"/>
      <c r="R539" s="12"/>
      <c r="S539" s="12"/>
      <c r="T539" s="12"/>
      <c r="U539" s="12"/>
      <c r="W539" s="12"/>
      <c r="X539" s="12"/>
    </row>
    <row r="540" spans="1:24" ht="15.75" customHeight="1">
      <c r="A540" s="12"/>
      <c r="B540" s="12"/>
      <c r="C540" s="12"/>
      <c r="D540" s="12"/>
      <c r="E540" s="12"/>
      <c r="F540" s="12"/>
      <c r="G540" s="12"/>
      <c r="H540" s="12"/>
      <c r="I540" s="12"/>
      <c r="J540" s="12"/>
      <c r="K540" s="12"/>
      <c r="L540" s="12"/>
      <c r="M540" s="12"/>
      <c r="N540" s="12"/>
      <c r="O540" s="12"/>
      <c r="P540" s="12"/>
      <c r="Q540" s="12"/>
      <c r="R540" s="12"/>
      <c r="S540" s="12"/>
      <c r="T540" s="12"/>
      <c r="U540" s="12"/>
      <c r="W540" s="12"/>
      <c r="X540" s="12"/>
    </row>
    <row r="541" spans="1:24" ht="15.75" customHeight="1">
      <c r="A541" s="12"/>
      <c r="B541" s="12"/>
      <c r="C541" s="12"/>
      <c r="D541" s="12"/>
      <c r="E541" s="12"/>
      <c r="F541" s="12"/>
      <c r="G541" s="12"/>
      <c r="H541" s="12"/>
      <c r="I541" s="12"/>
      <c r="J541" s="12"/>
      <c r="K541" s="12"/>
      <c r="L541" s="12"/>
      <c r="M541" s="12"/>
      <c r="N541" s="12"/>
      <c r="O541" s="12"/>
      <c r="P541" s="12"/>
      <c r="Q541" s="12"/>
      <c r="R541" s="12"/>
      <c r="S541" s="12"/>
      <c r="T541" s="12"/>
      <c r="U541" s="12"/>
      <c r="W541" s="12"/>
      <c r="X541" s="12"/>
    </row>
    <row r="542" spans="1:24" ht="15.75" customHeight="1">
      <c r="A542" s="12"/>
      <c r="B542" s="12"/>
      <c r="C542" s="12"/>
      <c r="D542" s="12"/>
      <c r="E542" s="12"/>
      <c r="F542" s="12"/>
      <c r="G542" s="12"/>
      <c r="H542" s="12"/>
      <c r="I542" s="12"/>
      <c r="J542" s="12"/>
      <c r="K542" s="12"/>
      <c r="L542" s="12"/>
      <c r="M542" s="12"/>
      <c r="N542" s="12"/>
      <c r="O542" s="12"/>
      <c r="P542" s="12"/>
      <c r="Q542" s="12"/>
      <c r="R542" s="12"/>
      <c r="S542" s="12"/>
      <c r="T542" s="12"/>
      <c r="U542" s="12"/>
      <c r="W542" s="12"/>
      <c r="X542" s="12"/>
    </row>
    <row r="543" spans="1:24" ht="15.75" customHeight="1">
      <c r="A543" s="12"/>
      <c r="B543" s="12"/>
      <c r="C543" s="12"/>
      <c r="D543" s="12"/>
      <c r="E543" s="12"/>
      <c r="F543" s="12"/>
      <c r="G543" s="12"/>
      <c r="H543" s="12"/>
      <c r="I543" s="12"/>
      <c r="J543" s="12"/>
      <c r="K543" s="12"/>
      <c r="L543" s="12"/>
      <c r="M543" s="12"/>
      <c r="N543" s="12"/>
      <c r="O543" s="12"/>
      <c r="P543" s="12"/>
      <c r="Q543" s="12"/>
      <c r="R543" s="12"/>
      <c r="S543" s="12"/>
      <c r="T543" s="12"/>
      <c r="U543" s="12"/>
      <c r="W543" s="12"/>
      <c r="X543" s="12"/>
    </row>
    <row r="544" spans="1:24" ht="15.75" customHeight="1">
      <c r="A544" s="12"/>
      <c r="B544" s="12"/>
      <c r="C544" s="12"/>
      <c r="D544" s="12"/>
      <c r="E544" s="12"/>
      <c r="F544" s="12"/>
      <c r="G544" s="12"/>
      <c r="H544" s="12"/>
      <c r="I544" s="12"/>
      <c r="J544" s="12"/>
      <c r="K544" s="12"/>
      <c r="L544" s="12"/>
      <c r="M544" s="12"/>
      <c r="N544" s="12"/>
      <c r="O544" s="12"/>
      <c r="P544" s="12"/>
      <c r="Q544" s="12"/>
      <c r="R544" s="12"/>
      <c r="S544" s="12"/>
      <c r="T544" s="12"/>
      <c r="U544" s="12"/>
      <c r="W544" s="12"/>
      <c r="X544" s="12"/>
    </row>
    <row r="545" spans="1:24" ht="15.75" customHeight="1">
      <c r="A545" s="12"/>
      <c r="B545" s="12"/>
      <c r="C545" s="12"/>
      <c r="D545" s="12"/>
      <c r="E545" s="12"/>
      <c r="F545" s="12"/>
      <c r="G545" s="12"/>
      <c r="H545" s="12"/>
      <c r="I545" s="12"/>
      <c r="J545" s="12"/>
      <c r="K545" s="12"/>
      <c r="L545" s="12"/>
      <c r="M545" s="12"/>
      <c r="N545" s="12"/>
      <c r="O545" s="12"/>
      <c r="P545" s="12"/>
      <c r="Q545" s="12"/>
      <c r="R545" s="12"/>
      <c r="S545" s="12"/>
      <c r="T545" s="12"/>
      <c r="U545" s="12"/>
      <c r="W545" s="12"/>
      <c r="X545" s="12"/>
    </row>
    <row r="546" spans="1:24" ht="15.75" customHeight="1">
      <c r="A546" s="12"/>
      <c r="B546" s="12"/>
      <c r="C546" s="12"/>
      <c r="D546" s="12"/>
      <c r="E546" s="12"/>
      <c r="F546" s="12"/>
      <c r="G546" s="12"/>
      <c r="H546" s="12"/>
      <c r="I546" s="12"/>
      <c r="J546" s="12"/>
      <c r="K546" s="12"/>
      <c r="L546" s="12"/>
      <c r="M546" s="12"/>
      <c r="N546" s="12"/>
      <c r="O546" s="12"/>
      <c r="P546" s="12"/>
      <c r="Q546" s="12"/>
      <c r="R546" s="12"/>
      <c r="S546" s="12"/>
      <c r="T546" s="12"/>
      <c r="U546" s="12"/>
      <c r="W546" s="12"/>
      <c r="X546" s="12"/>
    </row>
    <row r="547" spans="1:24" ht="15.75" customHeight="1">
      <c r="A547" s="12"/>
      <c r="B547" s="12"/>
      <c r="C547" s="12"/>
      <c r="D547" s="12"/>
      <c r="E547" s="12"/>
      <c r="F547" s="12"/>
      <c r="G547" s="12"/>
      <c r="H547" s="12"/>
      <c r="I547" s="12"/>
      <c r="J547" s="12"/>
      <c r="K547" s="12"/>
      <c r="L547" s="12"/>
      <c r="M547" s="12"/>
      <c r="N547" s="12"/>
      <c r="O547" s="12"/>
      <c r="P547" s="12"/>
      <c r="Q547" s="12"/>
      <c r="R547" s="12"/>
      <c r="S547" s="12"/>
      <c r="T547" s="12"/>
      <c r="U547" s="12"/>
      <c r="W547" s="12"/>
      <c r="X547" s="12"/>
    </row>
    <row r="548" spans="1:24" ht="15.75" customHeight="1">
      <c r="A548" s="12"/>
      <c r="B548" s="12"/>
      <c r="C548" s="12"/>
      <c r="D548" s="12"/>
      <c r="E548" s="12"/>
      <c r="F548" s="12"/>
      <c r="G548" s="12"/>
      <c r="H548" s="12"/>
      <c r="I548" s="12"/>
      <c r="J548" s="12"/>
      <c r="K548" s="12"/>
      <c r="L548" s="12"/>
      <c r="M548" s="12"/>
      <c r="N548" s="12"/>
      <c r="O548" s="12"/>
      <c r="P548" s="12"/>
      <c r="Q548" s="12"/>
      <c r="R548" s="12"/>
      <c r="S548" s="12"/>
      <c r="T548" s="12"/>
      <c r="U548" s="12"/>
      <c r="W548" s="12"/>
      <c r="X548" s="12"/>
    </row>
    <row r="549" spans="1:24" ht="15.75" customHeight="1">
      <c r="A549" s="12"/>
      <c r="B549" s="12"/>
      <c r="C549" s="12"/>
      <c r="D549" s="12"/>
      <c r="E549" s="12"/>
      <c r="F549" s="12"/>
      <c r="G549" s="12"/>
      <c r="H549" s="12"/>
      <c r="I549" s="12"/>
      <c r="J549" s="12"/>
      <c r="K549" s="12"/>
      <c r="L549" s="12"/>
      <c r="M549" s="12"/>
      <c r="N549" s="12"/>
      <c r="O549" s="12"/>
      <c r="P549" s="12"/>
      <c r="Q549" s="12"/>
      <c r="R549" s="12"/>
      <c r="S549" s="12"/>
      <c r="T549" s="12"/>
      <c r="U549" s="12"/>
      <c r="W549" s="12"/>
      <c r="X549" s="12"/>
    </row>
    <row r="550" spans="1:24" ht="15.75" customHeight="1">
      <c r="A550" s="12"/>
      <c r="B550" s="12"/>
      <c r="C550" s="12"/>
      <c r="D550" s="12"/>
      <c r="E550" s="12"/>
      <c r="F550" s="12"/>
      <c r="G550" s="12"/>
      <c r="H550" s="12"/>
      <c r="I550" s="12"/>
      <c r="J550" s="12"/>
      <c r="K550" s="12"/>
      <c r="L550" s="12"/>
      <c r="M550" s="12"/>
      <c r="N550" s="12"/>
      <c r="O550" s="12"/>
      <c r="P550" s="12"/>
      <c r="Q550" s="12"/>
      <c r="R550" s="12"/>
      <c r="S550" s="12"/>
      <c r="T550" s="12"/>
      <c r="U550" s="12"/>
      <c r="W550" s="12"/>
      <c r="X550" s="12"/>
    </row>
    <row r="551" spans="1:24" ht="15.75" customHeight="1">
      <c r="A551" s="12"/>
      <c r="B551" s="12"/>
      <c r="C551" s="12"/>
      <c r="D551" s="12"/>
      <c r="E551" s="12"/>
      <c r="F551" s="12"/>
      <c r="G551" s="12"/>
      <c r="H551" s="12"/>
      <c r="I551" s="12"/>
      <c r="J551" s="12"/>
      <c r="K551" s="12"/>
      <c r="L551" s="12"/>
      <c r="M551" s="12"/>
      <c r="N551" s="12"/>
      <c r="O551" s="12"/>
      <c r="P551" s="12"/>
      <c r="Q551" s="12"/>
      <c r="R551" s="12"/>
      <c r="S551" s="12"/>
      <c r="T551" s="12"/>
      <c r="U551" s="12"/>
      <c r="W551" s="12"/>
      <c r="X551" s="12"/>
    </row>
    <row r="552" spans="1:24" ht="15.75" customHeight="1">
      <c r="A552" s="12"/>
      <c r="B552" s="12"/>
      <c r="C552" s="12"/>
      <c r="D552" s="12"/>
      <c r="E552" s="12"/>
      <c r="F552" s="12"/>
      <c r="G552" s="12"/>
      <c r="H552" s="12"/>
      <c r="I552" s="12"/>
      <c r="J552" s="12"/>
      <c r="K552" s="12"/>
      <c r="L552" s="12"/>
      <c r="M552" s="12"/>
      <c r="N552" s="12"/>
      <c r="O552" s="12"/>
      <c r="P552" s="12"/>
      <c r="Q552" s="12"/>
      <c r="R552" s="12"/>
      <c r="S552" s="12"/>
      <c r="T552" s="12"/>
      <c r="U552" s="12"/>
      <c r="W552" s="12"/>
      <c r="X552" s="12"/>
    </row>
    <row r="553" spans="1:24" ht="15.75" customHeight="1">
      <c r="A553" s="12"/>
      <c r="B553" s="12"/>
      <c r="C553" s="12"/>
      <c r="D553" s="12"/>
      <c r="E553" s="12"/>
      <c r="F553" s="12"/>
      <c r="G553" s="12"/>
      <c r="H553" s="12"/>
      <c r="I553" s="12"/>
      <c r="J553" s="12"/>
      <c r="K553" s="12"/>
      <c r="L553" s="12"/>
      <c r="M553" s="12"/>
      <c r="N553" s="12"/>
      <c r="O553" s="12"/>
      <c r="P553" s="12"/>
      <c r="Q553" s="12"/>
      <c r="R553" s="12"/>
      <c r="S553" s="12"/>
      <c r="T553" s="12"/>
      <c r="U553" s="12"/>
      <c r="W553" s="12"/>
      <c r="X553" s="12"/>
    </row>
    <row r="554" spans="1:24" ht="15.75" customHeight="1">
      <c r="A554" s="12"/>
      <c r="B554" s="12"/>
      <c r="C554" s="12"/>
      <c r="D554" s="12"/>
      <c r="E554" s="12"/>
      <c r="F554" s="12"/>
      <c r="G554" s="12"/>
      <c r="H554" s="12"/>
      <c r="I554" s="12"/>
      <c r="J554" s="12"/>
      <c r="K554" s="12"/>
      <c r="L554" s="12"/>
      <c r="M554" s="12"/>
      <c r="N554" s="12"/>
      <c r="O554" s="12"/>
      <c r="P554" s="12"/>
      <c r="Q554" s="12"/>
      <c r="R554" s="12"/>
      <c r="S554" s="12"/>
      <c r="T554" s="12"/>
      <c r="U554" s="12"/>
      <c r="W554" s="12"/>
      <c r="X554" s="12"/>
    </row>
    <row r="555" spans="1:24" ht="15.75" customHeight="1">
      <c r="A555" s="12"/>
      <c r="B555" s="12"/>
      <c r="C555" s="12"/>
      <c r="D555" s="12"/>
      <c r="E555" s="12"/>
      <c r="F555" s="12"/>
      <c r="G555" s="12"/>
      <c r="H555" s="12"/>
      <c r="I555" s="12"/>
      <c r="J555" s="12"/>
      <c r="K555" s="12"/>
      <c r="L555" s="12"/>
      <c r="M555" s="12"/>
      <c r="N555" s="12"/>
      <c r="O555" s="12"/>
      <c r="P555" s="12"/>
      <c r="Q555" s="12"/>
      <c r="R555" s="12"/>
      <c r="S555" s="12"/>
      <c r="T555" s="12"/>
      <c r="U555" s="12"/>
      <c r="W555" s="12"/>
      <c r="X555" s="12"/>
    </row>
    <row r="556" spans="1:24" ht="15.75" customHeight="1">
      <c r="A556" s="12"/>
      <c r="B556" s="12"/>
      <c r="C556" s="12"/>
      <c r="D556" s="12"/>
      <c r="E556" s="12"/>
      <c r="F556" s="12"/>
      <c r="G556" s="12"/>
      <c r="H556" s="12"/>
      <c r="I556" s="12"/>
      <c r="J556" s="12"/>
      <c r="K556" s="12"/>
      <c r="L556" s="12"/>
      <c r="M556" s="12"/>
      <c r="N556" s="12"/>
      <c r="O556" s="12"/>
      <c r="P556" s="12"/>
      <c r="Q556" s="12"/>
      <c r="R556" s="12"/>
      <c r="S556" s="12"/>
      <c r="T556" s="12"/>
      <c r="U556" s="12"/>
      <c r="W556" s="12"/>
      <c r="X556" s="12"/>
    </row>
    <row r="557" spans="1:24" ht="15.75" customHeight="1">
      <c r="A557" s="12"/>
      <c r="B557" s="12"/>
      <c r="C557" s="12"/>
      <c r="D557" s="12"/>
      <c r="E557" s="12"/>
      <c r="F557" s="12"/>
      <c r="G557" s="12"/>
      <c r="H557" s="12"/>
      <c r="I557" s="12"/>
      <c r="J557" s="12"/>
      <c r="K557" s="12"/>
      <c r="L557" s="12"/>
      <c r="M557" s="12"/>
      <c r="N557" s="12"/>
      <c r="O557" s="12"/>
      <c r="P557" s="12"/>
      <c r="Q557" s="12"/>
      <c r="R557" s="12"/>
      <c r="S557" s="12"/>
      <c r="T557" s="12"/>
      <c r="U557" s="12"/>
      <c r="W557" s="12"/>
      <c r="X557" s="12"/>
    </row>
    <row r="558" spans="1:24" ht="15.75" customHeight="1">
      <c r="A558" s="12"/>
      <c r="B558" s="12"/>
      <c r="C558" s="12"/>
      <c r="D558" s="12"/>
      <c r="E558" s="12"/>
      <c r="F558" s="12"/>
      <c r="G558" s="12"/>
      <c r="H558" s="12"/>
      <c r="I558" s="12"/>
      <c r="J558" s="12"/>
      <c r="K558" s="12"/>
      <c r="L558" s="12"/>
      <c r="M558" s="12"/>
      <c r="N558" s="12"/>
      <c r="O558" s="12"/>
      <c r="P558" s="12"/>
      <c r="Q558" s="12"/>
      <c r="R558" s="12"/>
      <c r="S558" s="12"/>
      <c r="T558" s="12"/>
      <c r="U558" s="12"/>
      <c r="W558" s="12"/>
      <c r="X558" s="12"/>
    </row>
    <row r="559" spans="1:24" ht="15.75" customHeight="1">
      <c r="A559" s="12"/>
      <c r="B559" s="12"/>
      <c r="C559" s="12"/>
      <c r="D559" s="12"/>
      <c r="E559" s="12"/>
      <c r="F559" s="12"/>
      <c r="G559" s="12"/>
      <c r="H559" s="12"/>
      <c r="I559" s="12"/>
      <c r="J559" s="12"/>
      <c r="K559" s="12"/>
      <c r="L559" s="12"/>
      <c r="M559" s="12"/>
      <c r="N559" s="12"/>
      <c r="O559" s="12"/>
      <c r="P559" s="12"/>
      <c r="Q559" s="12"/>
      <c r="R559" s="12"/>
      <c r="S559" s="12"/>
      <c r="T559" s="12"/>
      <c r="U559" s="12"/>
      <c r="W559" s="12"/>
      <c r="X559" s="12"/>
    </row>
    <row r="560" spans="1:24" ht="15.75" customHeight="1">
      <c r="A560" s="12"/>
      <c r="B560" s="12"/>
      <c r="C560" s="12"/>
      <c r="D560" s="12"/>
      <c r="E560" s="12"/>
      <c r="F560" s="12"/>
      <c r="G560" s="12"/>
      <c r="H560" s="12"/>
      <c r="I560" s="12"/>
      <c r="J560" s="12"/>
      <c r="K560" s="12"/>
      <c r="L560" s="12"/>
      <c r="M560" s="12"/>
      <c r="N560" s="12"/>
      <c r="O560" s="12"/>
      <c r="P560" s="12"/>
      <c r="Q560" s="12"/>
      <c r="R560" s="12"/>
      <c r="S560" s="12"/>
      <c r="T560" s="12"/>
      <c r="U560" s="12"/>
      <c r="W560" s="12"/>
      <c r="X560" s="12"/>
    </row>
    <row r="561" spans="1:24" ht="15.75" customHeight="1">
      <c r="A561" s="12"/>
      <c r="B561" s="12"/>
      <c r="C561" s="12"/>
      <c r="D561" s="12"/>
      <c r="E561" s="12"/>
      <c r="F561" s="12"/>
      <c r="G561" s="12"/>
      <c r="H561" s="12"/>
      <c r="I561" s="12"/>
      <c r="J561" s="12"/>
      <c r="K561" s="12"/>
      <c r="L561" s="12"/>
      <c r="M561" s="12"/>
      <c r="N561" s="12"/>
      <c r="O561" s="12"/>
      <c r="P561" s="12"/>
      <c r="Q561" s="12"/>
      <c r="R561" s="12"/>
      <c r="S561" s="12"/>
      <c r="T561" s="12"/>
      <c r="U561" s="12"/>
      <c r="W561" s="12"/>
      <c r="X561" s="12"/>
    </row>
    <row r="562" spans="1:24" ht="15.75" customHeight="1">
      <c r="A562" s="12"/>
      <c r="B562" s="12"/>
      <c r="C562" s="12"/>
      <c r="D562" s="12"/>
      <c r="E562" s="12"/>
      <c r="F562" s="12"/>
      <c r="G562" s="12"/>
      <c r="H562" s="12"/>
      <c r="I562" s="12"/>
      <c r="J562" s="12"/>
      <c r="K562" s="12"/>
      <c r="L562" s="12"/>
      <c r="M562" s="12"/>
      <c r="N562" s="12"/>
      <c r="O562" s="12"/>
      <c r="P562" s="12"/>
      <c r="Q562" s="12"/>
      <c r="R562" s="12"/>
      <c r="S562" s="12"/>
      <c r="T562" s="12"/>
      <c r="U562" s="12"/>
      <c r="W562" s="12"/>
      <c r="X562" s="12"/>
    </row>
    <row r="563" spans="1:24" ht="15.75" customHeight="1">
      <c r="A563" s="12"/>
      <c r="B563" s="12"/>
      <c r="C563" s="12"/>
      <c r="D563" s="12"/>
      <c r="E563" s="12"/>
      <c r="F563" s="12"/>
      <c r="G563" s="12"/>
      <c r="H563" s="12"/>
      <c r="I563" s="12"/>
      <c r="J563" s="12"/>
      <c r="K563" s="12"/>
      <c r="L563" s="12"/>
      <c r="M563" s="12"/>
      <c r="N563" s="12"/>
      <c r="O563" s="12"/>
      <c r="P563" s="12"/>
      <c r="Q563" s="12"/>
      <c r="R563" s="12"/>
      <c r="S563" s="12"/>
      <c r="T563" s="12"/>
      <c r="U563" s="12"/>
      <c r="W563" s="12"/>
      <c r="X563" s="12"/>
    </row>
    <row r="564" spans="1:24" ht="15.75" customHeight="1">
      <c r="A564" s="12"/>
      <c r="B564" s="12"/>
      <c r="C564" s="12"/>
      <c r="D564" s="12"/>
      <c r="E564" s="12"/>
      <c r="F564" s="12"/>
      <c r="G564" s="12"/>
      <c r="H564" s="12"/>
      <c r="I564" s="12"/>
      <c r="J564" s="12"/>
      <c r="K564" s="12"/>
      <c r="L564" s="12"/>
      <c r="M564" s="12"/>
      <c r="N564" s="12"/>
      <c r="O564" s="12"/>
      <c r="P564" s="12"/>
      <c r="Q564" s="12"/>
      <c r="R564" s="12"/>
      <c r="S564" s="12"/>
      <c r="T564" s="12"/>
      <c r="U564" s="12"/>
      <c r="W564" s="12"/>
      <c r="X564" s="12"/>
    </row>
    <row r="565" spans="1:24" ht="15.75" customHeight="1">
      <c r="A565" s="12"/>
      <c r="B565" s="12"/>
      <c r="C565" s="12"/>
      <c r="D565" s="12"/>
      <c r="E565" s="12"/>
      <c r="F565" s="12"/>
      <c r="G565" s="12"/>
      <c r="H565" s="12"/>
      <c r="I565" s="12"/>
      <c r="J565" s="12"/>
      <c r="K565" s="12"/>
      <c r="L565" s="12"/>
      <c r="M565" s="12"/>
      <c r="N565" s="12"/>
      <c r="O565" s="12"/>
      <c r="P565" s="12"/>
      <c r="Q565" s="12"/>
      <c r="R565" s="12"/>
      <c r="S565" s="12"/>
      <c r="T565" s="12"/>
      <c r="U565" s="12"/>
      <c r="W565" s="12"/>
      <c r="X565" s="12"/>
    </row>
    <row r="566" spans="1:24" ht="15.75" customHeight="1">
      <c r="A566" s="12"/>
      <c r="B566" s="12"/>
      <c r="C566" s="12"/>
      <c r="D566" s="12"/>
      <c r="E566" s="12"/>
      <c r="F566" s="12"/>
      <c r="G566" s="12"/>
      <c r="H566" s="12"/>
      <c r="I566" s="12"/>
      <c r="J566" s="12"/>
      <c r="K566" s="12"/>
      <c r="L566" s="12"/>
      <c r="M566" s="12"/>
      <c r="N566" s="12"/>
      <c r="O566" s="12"/>
      <c r="P566" s="12"/>
      <c r="Q566" s="12"/>
      <c r="R566" s="12"/>
      <c r="S566" s="12"/>
      <c r="T566" s="12"/>
      <c r="U566" s="12"/>
      <c r="W566" s="12"/>
      <c r="X566" s="12"/>
    </row>
    <row r="567" spans="1:24" ht="15.75" customHeight="1">
      <c r="A567" s="12"/>
      <c r="B567" s="12"/>
      <c r="C567" s="12"/>
      <c r="D567" s="12"/>
      <c r="E567" s="12"/>
      <c r="F567" s="12"/>
      <c r="G567" s="12"/>
      <c r="H567" s="12"/>
      <c r="I567" s="12"/>
      <c r="J567" s="12"/>
      <c r="K567" s="12"/>
      <c r="L567" s="12"/>
      <c r="M567" s="12"/>
      <c r="N567" s="12"/>
      <c r="O567" s="12"/>
      <c r="P567" s="12"/>
      <c r="Q567" s="12"/>
      <c r="R567" s="12"/>
      <c r="S567" s="12"/>
      <c r="T567" s="12"/>
      <c r="U567" s="12"/>
      <c r="W567" s="12"/>
      <c r="X567" s="12"/>
    </row>
    <row r="568" spans="1:24" ht="15.75" customHeight="1">
      <c r="A568" s="12"/>
      <c r="B568" s="12"/>
      <c r="C568" s="12"/>
      <c r="D568" s="12"/>
      <c r="E568" s="12"/>
      <c r="F568" s="12"/>
      <c r="G568" s="12"/>
      <c r="H568" s="12"/>
      <c r="I568" s="12"/>
      <c r="J568" s="12"/>
      <c r="K568" s="12"/>
      <c r="L568" s="12"/>
      <c r="M568" s="12"/>
      <c r="N568" s="12"/>
      <c r="O568" s="12"/>
      <c r="P568" s="12"/>
      <c r="Q568" s="12"/>
      <c r="R568" s="12"/>
      <c r="S568" s="12"/>
      <c r="T568" s="12"/>
      <c r="U568" s="12"/>
      <c r="W568" s="12"/>
      <c r="X568" s="12"/>
    </row>
    <row r="569" spans="1:24" ht="15.75" customHeight="1">
      <c r="A569" s="12"/>
      <c r="B569" s="12"/>
      <c r="C569" s="12"/>
      <c r="D569" s="12"/>
      <c r="E569" s="12"/>
      <c r="F569" s="12"/>
      <c r="G569" s="12"/>
      <c r="H569" s="12"/>
      <c r="I569" s="12"/>
      <c r="J569" s="12"/>
      <c r="K569" s="12"/>
      <c r="L569" s="12"/>
      <c r="M569" s="12"/>
      <c r="N569" s="12"/>
      <c r="O569" s="12"/>
      <c r="P569" s="12"/>
      <c r="Q569" s="12"/>
      <c r="R569" s="12"/>
      <c r="S569" s="12"/>
      <c r="T569" s="12"/>
      <c r="U569" s="12"/>
      <c r="W569" s="12"/>
      <c r="X569" s="12"/>
    </row>
    <row r="570" spans="1:24" ht="15.75" customHeight="1">
      <c r="A570" s="12"/>
      <c r="B570" s="12"/>
      <c r="C570" s="12"/>
      <c r="D570" s="12"/>
      <c r="E570" s="12"/>
      <c r="F570" s="12"/>
      <c r="G570" s="12"/>
      <c r="H570" s="12"/>
      <c r="I570" s="12"/>
      <c r="J570" s="12"/>
      <c r="K570" s="12"/>
      <c r="L570" s="12"/>
      <c r="M570" s="12"/>
      <c r="N570" s="12"/>
      <c r="O570" s="12"/>
      <c r="P570" s="12"/>
      <c r="Q570" s="12"/>
      <c r="R570" s="12"/>
      <c r="S570" s="12"/>
      <c r="T570" s="12"/>
      <c r="U570" s="12"/>
      <c r="W570" s="12"/>
      <c r="X570" s="12"/>
    </row>
    <row r="571" spans="1:24" ht="15.75" customHeight="1">
      <c r="A571" s="12"/>
      <c r="B571" s="12"/>
      <c r="C571" s="12"/>
      <c r="D571" s="12"/>
      <c r="E571" s="12"/>
      <c r="F571" s="12"/>
      <c r="G571" s="12"/>
      <c r="H571" s="12"/>
      <c r="I571" s="12"/>
      <c r="J571" s="12"/>
      <c r="K571" s="12"/>
      <c r="L571" s="12"/>
      <c r="M571" s="12"/>
      <c r="N571" s="12"/>
      <c r="O571" s="12"/>
      <c r="P571" s="12"/>
      <c r="Q571" s="12"/>
      <c r="R571" s="12"/>
      <c r="S571" s="12"/>
      <c r="T571" s="12"/>
      <c r="U571" s="12"/>
      <c r="W571" s="12"/>
      <c r="X571" s="12"/>
    </row>
    <row r="572" spans="1:24" ht="15.75" customHeight="1">
      <c r="A572" s="12"/>
      <c r="B572" s="12"/>
      <c r="C572" s="12"/>
      <c r="D572" s="12"/>
      <c r="E572" s="12"/>
      <c r="F572" s="12"/>
      <c r="G572" s="12"/>
      <c r="H572" s="12"/>
      <c r="I572" s="12"/>
      <c r="J572" s="12"/>
      <c r="K572" s="12"/>
      <c r="L572" s="12"/>
      <c r="M572" s="12"/>
      <c r="N572" s="12"/>
      <c r="O572" s="12"/>
      <c r="P572" s="12"/>
      <c r="Q572" s="12"/>
      <c r="R572" s="12"/>
      <c r="S572" s="12"/>
      <c r="T572" s="12"/>
      <c r="U572" s="12"/>
      <c r="W572" s="12"/>
      <c r="X572" s="12"/>
    </row>
    <row r="573" spans="1:24" ht="15.75" customHeight="1">
      <c r="A573" s="12"/>
      <c r="B573" s="12"/>
      <c r="C573" s="12"/>
      <c r="D573" s="12"/>
      <c r="E573" s="12"/>
      <c r="F573" s="12"/>
      <c r="G573" s="12"/>
      <c r="H573" s="12"/>
      <c r="I573" s="12"/>
      <c r="J573" s="12"/>
      <c r="K573" s="12"/>
      <c r="L573" s="12"/>
      <c r="M573" s="12"/>
      <c r="N573" s="12"/>
      <c r="O573" s="12"/>
      <c r="P573" s="12"/>
      <c r="Q573" s="12"/>
      <c r="R573" s="12"/>
      <c r="S573" s="12"/>
      <c r="T573" s="12"/>
      <c r="U573" s="12"/>
      <c r="W573" s="12"/>
      <c r="X573" s="12"/>
    </row>
    <row r="574" spans="1:24" ht="15.75" customHeight="1">
      <c r="A574" s="12"/>
      <c r="B574" s="12"/>
      <c r="C574" s="12"/>
      <c r="D574" s="12"/>
      <c r="E574" s="12"/>
      <c r="F574" s="12"/>
      <c r="G574" s="12"/>
      <c r="H574" s="12"/>
      <c r="I574" s="12"/>
      <c r="J574" s="12"/>
      <c r="K574" s="12"/>
      <c r="L574" s="12"/>
      <c r="M574" s="12"/>
      <c r="N574" s="12"/>
      <c r="O574" s="12"/>
      <c r="P574" s="12"/>
      <c r="Q574" s="12"/>
      <c r="R574" s="12"/>
      <c r="S574" s="12"/>
      <c r="T574" s="12"/>
      <c r="U574" s="12"/>
      <c r="W574" s="12"/>
      <c r="X574" s="12"/>
    </row>
    <row r="575" spans="1:24" ht="15.75" customHeight="1">
      <c r="A575" s="12"/>
      <c r="B575" s="12"/>
      <c r="C575" s="12"/>
      <c r="D575" s="12"/>
      <c r="E575" s="12"/>
      <c r="F575" s="12"/>
      <c r="G575" s="12"/>
      <c r="H575" s="12"/>
      <c r="I575" s="12"/>
      <c r="J575" s="12"/>
      <c r="K575" s="12"/>
      <c r="L575" s="12"/>
      <c r="M575" s="12"/>
      <c r="N575" s="12"/>
      <c r="O575" s="12"/>
      <c r="P575" s="12"/>
      <c r="Q575" s="12"/>
      <c r="R575" s="12"/>
      <c r="S575" s="12"/>
      <c r="T575" s="12"/>
      <c r="U575" s="12"/>
      <c r="W575" s="12"/>
      <c r="X575" s="12"/>
    </row>
    <row r="576" spans="1:24" ht="15.75" customHeight="1">
      <c r="A576" s="12"/>
      <c r="B576" s="12"/>
      <c r="C576" s="12"/>
      <c r="D576" s="12"/>
      <c r="E576" s="12"/>
      <c r="F576" s="12"/>
      <c r="G576" s="12"/>
      <c r="H576" s="12"/>
      <c r="I576" s="12"/>
      <c r="J576" s="12"/>
      <c r="K576" s="12"/>
      <c r="L576" s="12"/>
      <c r="M576" s="12"/>
      <c r="N576" s="12"/>
      <c r="O576" s="12"/>
      <c r="P576" s="12"/>
      <c r="Q576" s="12"/>
      <c r="R576" s="12"/>
      <c r="S576" s="12"/>
      <c r="T576" s="12"/>
      <c r="U576" s="12"/>
      <c r="W576" s="12"/>
      <c r="X576" s="12"/>
    </row>
    <row r="577" spans="1:24" ht="15.75" customHeight="1">
      <c r="A577" s="12"/>
      <c r="B577" s="12"/>
      <c r="C577" s="12"/>
      <c r="D577" s="12"/>
      <c r="E577" s="12"/>
      <c r="F577" s="12"/>
      <c r="G577" s="12"/>
      <c r="H577" s="12"/>
      <c r="I577" s="12"/>
      <c r="J577" s="12"/>
      <c r="K577" s="12"/>
      <c r="L577" s="12"/>
      <c r="M577" s="12"/>
      <c r="N577" s="12"/>
      <c r="O577" s="12"/>
      <c r="P577" s="12"/>
      <c r="Q577" s="12"/>
      <c r="R577" s="12"/>
      <c r="S577" s="12"/>
      <c r="T577" s="12"/>
      <c r="U577" s="12"/>
      <c r="W577" s="12"/>
      <c r="X577" s="12"/>
    </row>
    <row r="578" spans="1:24" ht="15.75" customHeight="1">
      <c r="A578" s="12"/>
      <c r="B578" s="12"/>
      <c r="C578" s="12"/>
      <c r="D578" s="12"/>
      <c r="E578" s="12"/>
      <c r="F578" s="12"/>
      <c r="G578" s="12"/>
      <c r="H578" s="12"/>
      <c r="I578" s="12"/>
      <c r="J578" s="12"/>
      <c r="K578" s="12"/>
      <c r="L578" s="12"/>
      <c r="M578" s="12"/>
      <c r="N578" s="12"/>
      <c r="O578" s="12"/>
      <c r="P578" s="12"/>
      <c r="Q578" s="12"/>
      <c r="R578" s="12"/>
      <c r="S578" s="12"/>
      <c r="T578" s="12"/>
      <c r="U578" s="12"/>
      <c r="W578" s="12"/>
      <c r="X578" s="12"/>
    </row>
    <row r="579" spans="1:24" ht="15.75" customHeight="1">
      <c r="A579" s="12"/>
      <c r="B579" s="12"/>
      <c r="C579" s="12"/>
      <c r="D579" s="12"/>
      <c r="E579" s="12"/>
      <c r="F579" s="12"/>
      <c r="G579" s="12"/>
      <c r="H579" s="12"/>
      <c r="I579" s="12"/>
      <c r="J579" s="12"/>
      <c r="K579" s="12"/>
      <c r="L579" s="12"/>
      <c r="M579" s="12"/>
      <c r="N579" s="12"/>
      <c r="O579" s="12"/>
      <c r="P579" s="12"/>
      <c r="Q579" s="12"/>
      <c r="R579" s="12"/>
      <c r="S579" s="12"/>
      <c r="T579" s="12"/>
      <c r="U579" s="12"/>
      <c r="W579" s="12"/>
      <c r="X579" s="12"/>
    </row>
    <row r="580" spans="1:24" ht="15.75" customHeight="1">
      <c r="A580" s="12"/>
      <c r="B580" s="12"/>
      <c r="C580" s="12"/>
      <c r="D580" s="12"/>
      <c r="E580" s="12"/>
      <c r="F580" s="12"/>
      <c r="G580" s="12"/>
      <c r="H580" s="12"/>
      <c r="I580" s="12"/>
      <c r="J580" s="12"/>
      <c r="K580" s="12"/>
      <c r="L580" s="12"/>
      <c r="M580" s="12"/>
      <c r="N580" s="12"/>
      <c r="O580" s="12"/>
      <c r="P580" s="12"/>
      <c r="Q580" s="12"/>
      <c r="R580" s="12"/>
      <c r="S580" s="12"/>
      <c r="T580" s="12"/>
      <c r="U580" s="12"/>
      <c r="W580" s="12"/>
      <c r="X580" s="12"/>
    </row>
    <row r="581" spans="1:24" ht="15.75" customHeight="1">
      <c r="A581" s="12"/>
      <c r="B581" s="12"/>
      <c r="C581" s="12"/>
      <c r="D581" s="12"/>
      <c r="E581" s="12"/>
      <c r="F581" s="12"/>
      <c r="G581" s="12"/>
      <c r="H581" s="12"/>
      <c r="I581" s="12"/>
      <c r="J581" s="12"/>
      <c r="K581" s="12"/>
      <c r="L581" s="12"/>
      <c r="M581" s="12"/>
      <c r="N581" s="12"/>
      <c r="O581" s="12"/>
      <c r="P581" s="12"/>
      <c r="Q581" s="12"/>
      <c r="R581" s="12"/>
      <c r="S581" s="12"/>
      <c r="T581" s="12"/>
      <c r="U581" s="12"/>
      <c r="W581" s="12"/>
      <c r="X581" s="12"/>
    </row>
    <row r="582" spans="1:24" ht="15.75" customHeight="1">
      <c r="A582" s="12"/>
      <c r="B582" s="12"/>
      <c r="C582" s="12"/>
      <c r="D582" s="12"/>
      <c r="E582" s="12"/>
      <c r="F582" s="12"/>
      <c r="G582" s="12"/>
      <c r="H582" s="12"/>
      <c r="I582" s="12"/>
      <c r="J582" s="12"/>
      <c r="K582" s="12"/>
      <c r="L582" s="12"/>
      <c r="M582" s="12"/>
      <c r="N582" s="12"/>
      <c r="O582" s="12"/>
      <c r="P582" s="12"/>
      <c r="Q582" s="12"/>
      <c r="R582" s="12"/>
      <c r="S582" s="12"/>
      <c r="T582" s="12"/>
      <c r="U582" s="12"/>
      <c r="W582" s="12"/>
      <c r="X582" s="12"/>
    </row>
    <row r="583" spans="1:24" ht="15.75" customHeight="1">
      <c r="A583" s="12"/>
      <c r="B583" s="12"/>
      <c r="C583" s="12"/>
      <c r="D583" s="12"/>
      <c r="E583" s="12"/>
      <c r="F583" s="12"/>
      <c r="G583" s="12"/>
      <c r="H583" s="12"/>
      <c r="I583" s="12"/>
      <c r="J583" s="12"/>
      <c r="K583" s="12"/>
      <c r="L583" s="12"/>
      <c r="M583" s="12"/>
      <c r="N583" s="12"/>
      <c r="O583" s="12"/>
      <c r="P583" s="12"/>
      <c r="Q583" s="12"/>
      <c r="R583" s="12"/>
      <c r="S583" s="12"/>
      <c r="T583" s="12"/>
      <c r="U583" s="12"/>
      <c r="W583" s="12"/>
      <c r="X583" s="12"/>
    </row>
    <row r="584" spans="1:24" ht="15.75" customHeight="1">
      <c r="A584" s="12"/>
      <c r="B584" s="12"/>
      <c r="C584" s="12"/>
      <c r="D584" s="12"/>
      <c r="E584" s="12"/>
      <c r="F584" s="12"/>
      <c r="G584" s="12"/>
      <c r="H584" s="12"/>
      <c r="I584" s="12"/>
      <c r="J584" s="12"/>
      <c r="K584" s="12"/>
      <c r="L584" s="12"/>
      <c r="M584" s="12"/>
      <c r="N584" s="12"/>
      <c r="O584" s="12"/>
      <c r="P584" s="12"/>
      <c r="Q584" s="12"/>
      <c r="R584" s="12"/>
      <c r="S584" s="12"/>
      <c r="T584" s="12"/>
      <c r="U584" s="12"/>
      <c r="W584" s="12"/>
      <c r="X584" s="12"/>
    </row>
    <row r="585" spans="1:24" ht="15.75" customHeight="1">
      <c r="A585" s="12"/>
      <c r="B585" s="12"/>
      <c r="C585" s="12"/>
      <c r="D585" s="12"/>
      <c r="E585" s="12"/>
      <c r="F585" s="12"/>
      <c r="G585" s="12"/>
      <c r="H585" s="12"/>
      <c r="I585" s="12"/>
      <c r="J585" s="12"/>
      <c r="K585" s="12"/>
      <c r="L585" s="12"/>
      <c r="M585" s="12"/>
      <c r="N585" s="12"/>
      <c r="O585" s="12"/>
      <c r="P585" s="12"/>
      <c r="Q585" s="12"/>
      <c r="R585" s="12"/>
      <c r="S585" s="12"/>
      <c r="T585" s="12"/>
      <c r="U585" s="12"/>
      <c r="W585" s="12"/>
      <c r="X585" s="12"/>
    </row>
    <row r="586" spans="1:24" ht="15.75" customHeight="1">
      <c r="A586" s="12"/>
      <c r="B586" s="12"/>
      <c r="C586" s="12"/>
      <c r="D586" s="12"/>
      <c r="E586" s="12"/>
      <c r="F586" s="12"/>
      <c r="G586" s="12"/>
      <c r="H586" s="12"/>
      <c r="I586" s="12"/>
      <c r="J586" s="12"/>
      <c r="K586" s="12"/>
      <c r="L586" s="12"/>
      <c r="M586" s="12"/>
      <c r="N586" s="12"/>
      <c r="O586" s="12"/>
      <c r="P586" s="12"/>
      <c r="Q586" s="12"/>
      <c r="R586" s="12"/>
      <c r="S586" s="12"/>
      <c r="T586" s="12"/>
      <c r="U586" s="12"/>
      <c r="W586" s="12"/>
      <c r="X586" s="12"/>
    </row>
    <row r="587" spans="1:24" ht="15.75" customHeight="1">
      <c r="A587" s="12"/>
      <c r="B587" s="12"/>
      <c r="C587" s="12"/>
      <c r="D587" s="12"/>
      <c r="E587" s="12"/>
      <c r="F587" s="12"/>
      <c r="G587" s="12"/>
      <c r="H587" s="12"/>
      <c r="I587" s="12"/>
      <c r="J587" s="12"/>
      <c r="K587" s="12"/>
      <c r="L587" s="12"/>
      <c r="M587" s="12"/>
      <c r="N587" s="12"/>
      <c r="O587" s="12"/>
      <c r="P587" s="12"/>
      <c r="Q587" s="12"/>
      <c r="R587" s="12"/>
      <c r="S587" s="12"/>
      <c r="T587" s="12"/>
      <c r="U587" s="12"/>
      <c r="W587" s="12"/>
      <c r="X587" s="12"/>
    </row>
    <row r="588" spans="1:24" ht="15.75" customHeight="1">
      <c r="A588" s="12"/>
      <c r="B588" s="12"/>
      <c r="C588" s="12"/>
      <c r="D588" s="12"/>
      <c r="E588" s="12"/>
      <c r="F588" s="12"/>
      <c r="G588" s="12"/>
      <c r="H588" s="12"/>
      <c r="I588" s="12"/>
      <c r="J588" s="12"/>
      <c r="K588" s="12"/>
      <c r="L588" s="12"/>
      <c r="M588" s="12"/>
      <c r="N588" s="12"/>
      <c r="O588" s="12"/>
      <c r="P588" s="12"/>
      <c r="Q588" s="12"/>
      <c r="R588" s="12"/>
      <c r="S588" s="12"/>
      <c r="T588" s="12"/>
      <c r="U588" s="12"/>
      <c r="W588" s="12"/>
      <c r="X588" s="12"/>
    </row>
    <row r="589" spans="1:24" ht="15.75" customHeight="1">
      <c r="A589" s="12"/>
      <c r="B589" s="12"/>
      <c r="C589" s="12"/>
      <c r="D589" s="12"/>
      <c r="E589" s="12"/>
      <c r="F589" s="12"/>
      <c r="G589" s="12"/>
      <c r="H589" s="12"/>
      <c r="I589" s="12"/>
      <c r="J589" s="12"/>
      <c r="K589" s="12"/>
      <c r="L589" s="12"/>
      <c r="M589" s="12"/>
      <c r="N589" s="12"/>
      <c r="O589" s="12"/>
      <c r="P589" s="12"/>
      <c r="Q589" s="12"/>
      <c r="R589" s="12"/>
      <c r="S589" s="12"/>
      <c r="T589" s="12"/>
      <c r="U589" s="12"/>
      <c r="W589" s="12"/>
      <c r="X589" s="12"/>
    </row>
    <row r="590" spans="1:24" ht="15.75" customHeight="1">
      <c r="A590" s="12"/>
      <c r="B590" s="12"/>
      <c r="C590" s="12"/>
      <c r="D590" s="12"/>
      <c r="E590" s="12"/>
      <c r="F590" s="12"/>
      <c r="G590" s="12"/>
      <c r="H590" s="12"/>
      <c r="I590" s="12"/>
      <c r="J590" s="12"/>
      <c r="K590" s="12"/>
      <c r="L590" s="12"/>
      <c r="M590" s="12"/>
      <c r="N590" s="12"/>
      <c r="O590" s="12"/>
      <c r="P590" s="12"/>
      <c r="Q590" s="12"/>
      <c r="R590" s="12"/>
      <c r="S590" s="12"/>
      <c r="T590" s="12"/>
      <c r="U590" s="12"/>
      <c r="W590" s="12"/>
      <c r="X590" s="12"/>
    </row>
    <row r="591" spans="1:24" ht="15.75" customHeight="1">
      <c r="A591" s="12"/>
      <c r="B591" s="12"/>
      <c r="C591" s="12"/>
      <c r="D591" s="12"/>
      <c r="E591" s="12"/>
      <c r="F591" s="12"/>
      <c r="G591" s="12"/>
      <c r="H591" s="12"/>
      <c r="I591" s="12"/>
      <c r="J591" s="12"/>
      <c r="K591" s="12"/>
      <c r="L591" s="12"/>
      <c r="M591" s="12"/>
      <c r="N591" s="12"/>
      <c r="O591" s="12"/>
      <c r="P591" s="12"/>
      <c r="Q591" s="12"/>
      <c r="R591" s="12"/>
      <c r="S591" s="12"/>
      <c r="T591" s="12"/>
      <c r="U591" s="12"/>
      <c r="W591" s="12"/>
      <c r="X591" s="12"/>
    </row>
    <row r="592" spans="1:24" ht="15.75" customHeight="1">
      <c r="A592" s="12"/>
      <c r="B592" s="12"/>
      <c r="C592" s="12"/>
      <c r="D592" s="12"/>
      <c r="E592" s="12"/>
      <c r="F592" s="12"/>
      <c r="G592" s="12"/>
      <c r="H592" s="12"/>
      <c r="I592" s="12"/>
      <c r="J592" s="12"/>
      <c r="K592" s="12"/>
      <c r="L592" s="12"/>
      <c r="M592" s="12"/>
      <c r="N592" s="12"/>
      <c r="O592" s="12"/>
      <c r="P592" s="12"/>
      <c r="Q592" s="12"/>
      <c r="R592" s="12"/>
      <c r="S592" s="12"/>
      <c r="T592" s="12"/>
      <c r="U592" s="12"/>
      <c r="W592" s="12"/>
      <c r="X592" s="12"/>
    </row>
    <row r="593" spans="1:24" ht="15.75" customHeight="1">
      <c r="A593" s="12"/>
      <c r="B593" s="12"/>
      <c r="C593" s="12"/>
      <c r="D593" s="12"/>
      <c r="E593" s="12"/>
      <c r="F593" s="12"/>
      <c r="G593" s="12"/>
      <c r="H593" s="12"/>
      <c r="I593" s="12"/>
      <c r="J593" s="12"/>
      <c r="K593" s="12"/>
      <c r="L593" s="12"/>
      <c r="M593" s="12"/>
      <c r="N593" s="12"/>
      <c r="O593" s="12"/>
      <c r="P593" s="12"/>
      <c r="Q593" s="12"/>
      <c r="R593" s="12"/>
      <c r="S593" s="12"/>
      <c r="T593" s="12"/>
      <c r="U593" s="12"/>
      <c r="W593" s="12"/>
      <c r="X593" s="12"/>
    </row>
    <row r="594" spans="1:24" ht="15.75" customHeight="1">
      <c r="A594" s="12"/>
      <c r="B594" s="12"/>
      <c r="C594" s="12"/>
      <c r="D594" s="12"/>
      <c r="E594" s="12"/>
      <c r="F594" s="12"/>
      <c r="G594" s="12"/>
      <c r="H594" s="12"/>
      <c r="I594" s="12"/>
      <c r="J594" s="12"/>
      <c r="K594" s="12"/>
      <c r="L594" s="12"/>
      <c r="M594" s="12"/>
      <c r="N594" s="12"/>
      <c r="O594" s="12"/>
      <c r="P594" s="12"/>
      <c r="Q594" s="12"/>
      <c r="R594" s="12"/>
      <c r="S594" s="12"/>
      <c r="T594" s="12"/>
      <c r="U594" s="12"/>
      <c r="W594" s="12"/>
      <c r="X594" s="12"/>
    </row>
    <row r="595" spans="1:24" ht="15.75" customHeight="1">
      <c r="A595" s="12"/>
      <c r="B595" s="12"/>
      <c r="C595" s="12"/>
      <c r="D595" s="12"/>
      <c r="E595" s="12"/>
      <c r="F595" s="12"/>
      <c r="G595" s="12"/>
      <c r="H595" s="12"/>
      <c r="I595" s="12"/>
      <c r="J595" s="12"/>
      <c r="K595" s="12"/>
      <c r="L595" s="12"/>
      <c r="M595" s="12"/>
      <c r="N595" s="12"/>
      <c r="O595" s="12"/>
      <c r="P595" s="12"/>
      <c r="Q595" s="12"/>
      <c r="R595" s="12"/>
      <c r="S595" s="12"/>
      <c r="T595" s="12"/>
      <c r="U595" s="12"/>
      <c r="W595" s="12"/>
      <c r="X595" s="12"/>
    </row>
    <row r="596" spans="1:24" ht="15.75" customHeight="1">
      <c r="A596" s="12"/>
      <c r="B596" s="12"/>
      <c r="C596" s="12"/>
      <c r="D596" s="12"/>
      <c r="E596" s="12"/>
      <c r="F596" s="12"/>
      <c r="G596" s="12"/>
      <c r="H596" s="12"/>
      <c r="I596" s="12"/>
      <c r="J596" s="12"/>
      <c r="K596" s="12"/>
      <c r="L596" s="12"/>
      <c r="M596" s="12"/>
      <c r="N596" s="12"/>
      <c r="O596" s="12"/>
      <c r="P596" s="12"/>
      <c r="Q596" s="12"/>
      <c r="R596" s="12"/>
      <c r="S596" s="12"/>
      <c r="T596" s="12"/>
      <c r="U596" s="12"/>
      <c r="W596" s="12"/>
      <c r="X596" s="12"/>
    </row>
    <row r="597" spans="1:24" ht="15.75" customHeight="1">
      <c r="A597" s="12"/>
      <c r="B597" s="12"/>
      <c r="C597" s="12"/>
      <c r="D597" s="12"/>
      <c r="E597" s="12"/>
      <c r="F597" s="12"/>
      <c r="G597" s="12"/>
      <c r="H597" s="12"/>
      <c r="I597" s="12"/>
      <c r="J597" s="12"/>
      <c r="K597" s="12"/>
      <c r="L597" s="12"/>
      <c r="M597" s="12"/>
      <c r="N597" s="12"/>
      <c r="O597" s="12"/>
      <c r="P597" s="12"/>
      <c r="Q597" s="12"/>
      <c r="R597" s="12"/>
      <c r="S597" s="12"/>
      <c r="T597" s="12"/>
      <c r="U597" s="12"/>
      <c r="W597" s="12"/>
      <c r="X597" s="12"/>
    </row>
    <row r="598" spans="1:24" ht="15.75" customHeight="1">
      <c r="A598" s="12"/>
      <c r="B598" s="12"/>
      <c r="C598" s="12"/>
      <c r="D598" s="12"/>
      <c r="E598" s="12"/>
      <c r="F598" s="12"/>
      <c r="G598" s="12"/>
      <c r="H598" s="12"/>
      <c r="I598" s="12"/>
      <c r="J598" s="12"/>
      <c r="K598" s="12"/>
      <c r="L598" s="12"/>
      <c r="M598" s="12"/>
      <c r="N598" s="12"/>
      <c r="O598" s="12"/>
      <c r="P598" s="12"/>
      <c r="Q598" s="12"/>
      <c r="R598" s="12"/>
      <c r="S598" s="12"/>
      <c r="T598" s="12"/>
      <c r="U598" s="12"/>
      <c r="W598" s="12"/>
      <c r="X598" s="12"/>
    </row>
    <row r="599" spans="1:24" ht="15.75" customHeight="1">
      <c r="A599" s="12"/>
      <c r="B599" s="12"/>
      <c r="C599" s="12"/>
      <c r="D599" s="12"/>
      <c r="E599" s="12"/>
      <c r="F599" s="12"/>
      <c r="G599" s="12"/>
      <c r="H599" s="12"/>
      <c r="I599" s="12"/>
      <c r="J599" s="12"/>
      <c r="K599" s="12"/>
      <c r="L599" s="12"/>
      <c r="M599" s="12"/>
      <c r="N599" s="12"/>
      <c r="O599" s="12"/>
      <c r="P599" s="12"/>
      <c r="Q599" s="12"/>
      <c r="R599" s="12"/>
      <c r="S599" s="12"/>
      <c r="T599" s="12"/>
      <c r="U599" s="12"/>
      <c r="W599" s="12"/>
      <c r="X599" s="12"/>
    </row>
    <row r="600" spans="1:24" ht="15.75" customHeight="1">
      <c r="A600" s="12"/>
      <c r="B600" s="12"/>
      <c r="C600" s="12"/>
      <c r="D600" s="12"/>
      <c r="E600" s="12"/>
      <c r="F600" s="12"/>
      <c r="G600" s="12"/>
      <c r="H600" s="12"/>
      <c r="I600" s="12"/>
      <c r="J600" s="12"/>
      <c r="K600" s="12"/>
      <c r="L600" s="12"/>
      <c r="M600" s="12"/>
      <c r="N600" s="12"/>
      <c r="O600" s="12"/>
      <c r="P600" s="12"/>
      <c r="Q600" s="12"/>
      <c r="R600" s="12"/>
      <c r="S600" s="12"/>
      <c r="T600" s="12"/>
      <c r="U600" s="12"/>
      <c r="W600" s="12"/>
      <c r="X600" s="12"/>
    </row>
    <row r="601" spans="1:24" ht="15.75" customHeight="1">
      <c r="A601" s="12"/>
      <c r="B601" s="12"/>
      <c r="C601" s="12"/>
      <c r="D601" s="12"/>
      <c r="E601" s="12"/>
      <c r="F601" s="12"/>
      <c r="G601" s="12"/>
      <c r="H601" s="12"/>
      <c r="I601" s="12"/>
      <c r="J601" s="12"/>
      <c r="K601" s="12"/>
      <c r="L601" s="12"/>
      <c r="M601" s="12"/>
      <c r="N601" s="12"/>
      <c r="O601" s="12"/>
      <c r="P601" s="12"/>
      <c r="Q601" s="12"/>
      <c r="R601" s="12"/>
      <c r="S601" s="12"/>
      <c r="T601" s="12"/>
      <c r="U601" s="12"/>
      <c r="W601" s="12"/>
      <c r="X601" s="12"/>
    </row>
    <row r="602" spans="1:24" ht="15.75" customHeight="1">
      <c r="A602" s="12"/>
      <c r="B602" s="12"/>
      <c r="C602" s="12"/>
      <c r="D602" s="12"/>
      <c r="E602" s="12"/>
      <c r="F602" s="12"/>
      <c r="G602" s="12"/>
      <c r="H602" s="12"/>
      <c r="I602" s="12"/>
      <c r="J602" s="12"/>
      <c r="K602" s="12"/>
      <c r="L602" s="12"/>
      <c r="M602" s="12"/>
      <c r="N602" s="12"/>
      <c r="O602" s="12"/>
      <c r="P602" s="12"/>
      <c r="Q602" s="12"/>
      <c r="R602" s="12"/>
      <c r="S602" s="12"/>
      <c r="T602" s="12"/>
      <c r="U602" s="12"/>
      <c r="W602" s="12"/>
      <c r="X602" s="12"/>
    </row>
    <row r="603" spans="1:24" ht="15.75" customHeight="1">
      <c r="A603" s="12"/>
      <c r="B603" s="12"/>
      <c r="C603" s="12"/>
      <c r="D603" s="12"/>
      <c r="E603" s="12"/>
      <c r="F603" s="12"/>
      <c r="G603" s="12"/>
      <c r="H603" s="12"/>
      <c r="I603" s="12"/>
      <c r="J603" s="12"/>
      <c r="K603" s="12"/>
      <c r="L603" s="12"/>
      <c r="M603" s="12"/>
      <c r="N603" s="12"/>
      <c r="O603" s="12"/>
      <c r="P603" s="12"/>
      <c r="Q603" s="12"/>
      <c r="R603" s="12"/>
      <c r="S603" s="12"/>
      <c r="T603" s="12"/>
      <c r="U603" s="12"/>
      <c r="W603" s="12"/>
      <c r="X603" s="12"/>
    </row>
    <row r="604" spans="1:24" ht="15.75" customHeight="1">
      <c r="A604" s="12"/>
      <c r="B604" s="12"/>
      <c r="C604" s="12"/>
      <c r="D604" s="12"/>
      <c r="E604" s="12"/>
      <c r="F604" s="12"/>
      <c r="G604" s="12"/>
      <c r="H604" s="12"/>
      <c r="I604" s="12"/>
      <c r="J604" s="12"/>
      <c r="K604" s="12"/>
      <c r="L604" s="12"/>
      <c r="M604" s="12"/>
      <c r="N604" s="12"/>
      <c r="O604" s="12"/>
      <c r="P604" s="12"/>
      <c r="Q604" s="12"/>
      <c r="R604" s="12"/>
      <c r="S604" s="12"/>
      <c r="T604" s="12"/>
      <c r="U604" s="12"/>
      <c r="W604" s="12"/>
      <c r="X604" s="12"/>
    </row>
    <row r="605" spans="1:24" ht="15.75" customHeight="1">
      <c r="A605" s="12"/>
      <c r="B605" s="12"/>
      <c r="C605" s="12"/>
      <c r="D605" s="12"/>
      <c r="E605" s="12"/>
      <c r="F605" s="12"/>
      <c r="G605" s="12"/>
      <c r="H605" s="12"/>
      <c r="I605" s="12"/>
      <c r="J605" s="12"/>
      <c r="K605" s="12"/>
      <c r="L605" s="12"/>
      <c r="M605" s="12"/>
      <c r="N605" s="12"/>
      <c r="O605" s="12"/>
      <c r="P605" s="12"/>
      <c r="Q605" s="12"/>
      <c r="R605" s="12"/>
      <c r="S605" s="12"/>
      <c r="T605" s="12"/>
      <c r="U605" s="12"/>
      <c r="W605" s="12"/>
      <c r="X605" s="12"/>
    </row>
    <row r="606" spans="1:24" ht="15.75" customHeight="1">
      <c r="A606" s="12"/>
      <c r="B606" s="12"/>
      <c r="C606" s="12"/>
      <c r="D606" s="12"/>
      <c r="E606" s="12"/>
      <c r="F606" s="12"/>
      <c r="G606" s="12"/>
      <c r="H606" s="12"/>
      <c r="I606" s="12"/>
      <c r="J606" s="12"/>
      <c r="K606" s="12"/>
      <c r="L606" s="12"/>
      <c r="M606" s="12"/>
      <c r="N606" s="12"/>
      <c r="O606" s="12"/>
      <c r="P606" s="12"/>
      <c r="Q606" s="12"/>
      <c r="R606" s="12"/>
      <c r="S606" s="12"/>
      <c r="T606" s="12"/>
      <c r="U606" s="12"/>
      <c r="W606" s="12"/>
      <c r="X606" s="12"/>
    </row>
    <row r="607" spans="1:24" ht="15.75" customHeight="1">
      <c r="A607" s="12"/>
      <c r="B607" s="12"/>
      <c r="C607" s="12"/>
      <c r="D607" s="12"/>
      <c r="E607" s="12"/>
      <c r="F607" s="12"/>
      <c r="G607" s="12"/>
      <c r="H607" s="12"/>
      <c r="I607" s="12"/>
      <c r="J607" s="12"/>
      <c r="K607" s="12"/>
      <c r="L607" s="12"/>
      <c r="M607" s="12"/>
      <c r="N607" s="12"/>
      <c r="O607" s="12"/>
      <c r="P607" s="12"/>
      <c r="Q607" s="12"/>
      <c r="R607" s="12"/>
      <c r="S607" s="12"/>
      <c r="T607" s="12"/>
      <c r="U607" s="12"/>
      <c r="W607" s="12"/>
      <c r="X607" s="12"/>
    </row>
    <row r="608" spans="1:24" ht="15.75" customHeight="1">
      <c r="A608" s="12"/>
      <c r="B608" s="12"/>
      <c r="C608" s="12"/>
      <c r="D608" s="12"/>
      <c r="E608" s="12"/>
      <c r="F608" s="12"/>
      <c r="G608" s="12"/>
      <c r="H608" s="12"/>
      <c r="I608" s="12"/>
      <c r="J608" s="12"/>
      <c r="K608" s="12"/>
      <c r="L608" s="12"/>
      <c r="M608" s="12"/>
      <c r="N608" s="12"/>
      <c r="O608" s="12"/>
      <c r="P608" s="12"/>
      <c r="Q608" s="12"/>
      <c r="R608" s="12"/>
      <c r="S608" s="12"/>
      <c r="T608" s="12"/>
      <c r="U608" s="12"/>
      <c r="W608" s="12"/>
      <c r="X608" s="12"/>
    </row>
    <row r="609" spans="1:24" ht="15.75" customHeight="1">
      <c r="A609" s="12"/>
      <c r="B609" s="12"/>
      <c r="C609" s="12"/>
      <c r="D609" s="12"/>
      <c r="E609" s="12"/>
      <c r="F609" s="12"/>
      <c r="G609" s="12"/>
      <c r="H609" s="12"/>
      <c r="I609" s="12"/>
      <c r="J609" s="12"/>
      <c r="K609" s="12"/>
      <c r="L609" s="12"/>
      <c r="M609" s="12"/>
      <c r="N609" s="12"/>
      <c r="O609" s="12"/>
      <c r="P609" s="12"/>
      <c r="Q609" s="12"/>
      <c r="R609" s="12"/>
      <c r="S609" s="12"/>
      <c r="T609" s="12"/>
      <c r="U609" s="12"/>
      <c r="W609" s="12"/>
      <c r="X609" s="12"/>
    </row>
    <row r="610" spans="1:24" ht="15.75" customHeight="1">
      <c r="A610" s="12"/>
      <c r="B610" s="12"/>
      <c r="C610" s="12"/>
      <c r="D610" s="12"/>
      <c r="E610" s="12"/>
      <c r="F610" s="12"/>
      <c r="G610" s="12"/>
      <c r="H610" s="12"/>
      <c r="I610" s="12"/>
      <c r="J610" s="12"/>
      <c r="K610" s="12"/>
      <c r="L610" s="12"/>
      <c r="M610" s="12"/>
      <c r="N610" s="12"/>
      <c r="O610" s="12"/>
      <c r="P610" s="12"/>
      <c r="Q610" s="12"/>
      <c r="R610" s="12"/>
      <c r="S610" s="12"/>
      <c r="T610" s="12"/>
      <c r="U610" s="12"/>
      <c r="W610" s="12"/>
      <c r="X610" s="12"/>
    </row>
    <row r="611" spans="1:24" ht="15.75" customHeight="1">
      <c r="A611" s="12"/>
      <c r="B611" s="12"/>
      <c r="C611" s="12"/>
      <c r="D611" s="12"/>
      <c r="E611" s="12"/>
      <c r="F611" s="12"/>
      <c r="G611" s="12"/>
      <c r="H611" s="12"/>
      <c r="I611" s="12"/>
      <c r="J611" s="12"/>
      <c r="K611" s="12"/>
      <c r="L611" s="12"/>
      <c r="M611" s="12"/>
      <c r="N611" s="12"/>
      <c r="O611" s="12"/>
      <c r="P611" s="12"/>
      <c r="Q611" s="12"/>
      <c r="R611" s="12"/>
      <c r="S611" s="12"/>
      <c r="T611" s="12"/>
      <c r="U611" s="12"/>
      <c r="W611" s="12"/>
      <c r="X611" s="12"/>
    </row>
    <row r="612" spans="1:24" ht="15.75" customHeight="1">
      <c r="A612" s="12"/>
      <c r="B612" s="12"/>
      <c r="C612" s="12"/>
      <c r="D612" s="12"/>
      <c r="E612" s="12"/>
      <c r="F612" s="12"/>
      <c r="G612" s="12"/>
      <c r="H612" s="12"/>
      <c r="I612" s="12"/>
      <c r="J612" s="12"/>
      <c r="K612" s="12"/>
      <c r="L612" s="12"/>
      <c r="M612" s="12"/>
      <c r="N612" s="12"/>
      <c r="O612" s="12"/>
      <c r="P612" s="12"/>
      <c r="Q612" s="12"/>
      <c r="R612" s="12"/>
      <c r="S612" s="12"/>
      <c r="T612" s="12"/>
      <c r="U612" s="12"/>
      <c r="W612" s="12"/>
      <c r="X612" s="12"/>
    </row>
    <row r="613" spans="1:24" ht="15.75" customHeight="1">
      <c r="A613" s="12"/>
      <c r="B613" s="12"/>
      <c r="C613" s="12"/>
      <c r="D613" s="12"/>
      <c r="E613" s="12"/>
      <c r="F613" s="12"/>
      <c r="G613" s="12"/>
      <c r="H613" s="12"/>
      <c r="I613" s="12"/>
      <c r="J613" s="12"/>
      <c r="K613" s="12"/>
      <c r="L613" s="12"/>
      <c r="M613" s="12"/>
      <c r="N613" s="12"/>
      <c r="O613" s="12"/>
      <c r="P613" s="12"/>
      <c r="Q613" s="12"/>
      <c r="R613" s="12"/>
      <c r="S613" s="12"/>
      <c r="T613" s="12"/>
      <c r="U613" s="12"/>
      <c r="W613" s="12"/>
      <c r="X613" s="12"/>
    </row>
    <row r="614" spans="1:24" ht="15.75" customHeight="1">
      <c r="A614" s="12"/>
      <c r="B614" s="12"/>
      <c r="C614" s="12"/>
      <c r="D614" s="12"/>
      <c r="E614" s="12"/>
      <c r="F614" s="12"/>
      <c r="G614" s="12"/>
      <c r="H614" s="12"/>
      <c r="I614" s="12"/>
      <c r="J614" s="12"/>
      <c r="K614" s="12"/>
      <c r="L614" s="12"/>
      <c r="M614" s="12"/>
      <c r="N614" s="12"/>
      <c r="O614" s="12"/>
      <c r="P614" s="12"/>
      <c r="Q614" s="12"/>
      <c r="R614" s="12"/>
      <c r="S614" s="12"/>
      <c r="T614" s="12"/>
      <c r="U614" s="12"/>
      <c r="W614" s="12"/>
      <c r="X614" s="12"/>
    </row>
    <row r="615" spans="1:24" ht="15.75" customHeight="1">
      <c r="A615" s="12"/>
      <c r="B615" s="12"/>
      <c r="C615" s="12"/>
      <c r="D615" s="12"/>
      <c r="E615" s="12"/>
      <c r="F615" s="12"/>
      <c r="G615" s="12"/>
      <c r="H615" s="12"/>
      <c r="I615" s="12"/>
      <c r="J615" s="12"/>
      <c r="K615" s="12"/>
      <c r="L615" s="12"/>
      <c r="M615" s="12"/>
      <c r="N615" s="12"/>
      <c r="O615" s="12"/>
      <c r="P615" s="12"/>
      <c r="Q615" s="12"/>
      <c r="R615" s="12"/>
      <c r="S615" s="12"/>
      <c r="T615" s="12"/>
      <c r="U615" s="12"/>
      <c r="W615" s="12"/>
      <c r="X615" s="12"/>
    </row>
    <row r="616" spans="1:24" ht="15.75" customHeight="1">
      <c r="A616" s="12"/>
      <c r="B616" s="12"/>
      <c r="C616" s="12"/>
      <c r="D616" s="12"/>
      <c r="E616" s="12"/>
      <c r="F616" s="12"/>
      <c r="G616" s="12"/>
      <c r="H616" s="12"/>
      <c r="I616" s="12"/>
      <c r="J616" s="12"/>
      <c r="K616" s="12"/>
      <c r="L616" s="12"/>
      <c r="M616" s="12"/>
      <c r="N616" s="12"/>
      <c r="O616" s="12"/>
      <c r="P616" s="12"/>
      <c r="Q616" s="12"/>
      <c r="R616" s="12"/>
      <c r="S616" s="12"/>
      <c r="T616" s="12"/>
      <c r="U616" s="12"/>
      <c r="W616" s="12"/>
      <c r="X616" s="12"/>
    </row>
    <row r="617" spans="1:24" ht="15.75" customHeight="1">
      <c r="A617" s="12"/>
      <c r="B617" s="12"/>
      <c r="C617" s="12"/>
      <c r="D617" s="12"/>
      <c r="E617" s="12"/>
      <c r="F617" s="12"/>
      <c r="G617" s="12"/>
      <c r="H617" s="12"/>
      <c r="I617" s="12"/>
      <c r="J617" s="12"/>
      <c r="K617" s="12"/>
      <c r="L617" s="12"/>
      <c r="M617" s="12"/>
      <c r="N617" s="12"/>
      <c r="O617" s="12"/>
      <c r="P617" s="12"/>
      <c r="Q617" s="12"/>
      <c r="R617" s="12"/>
      <c r="S617" s="12"/>
      <c r="T617" s="12"/>
      <c r="U617" s="12"/>
      <c r="W617" s="12"/>
      <c r="X617" s="12"/>
    </row>
    <row r="618" spans="1:24" ht="15.75" customHeight="1">
      <c r="A618" s="12"/>
      <c r="B618" s="12"/>
      <c r="C618" s="12"/>
      <c r="D618" s="12"/>
      <c r="E618" s="12"/>
      <c r="F618" s="12"/>
      <c r="G618" s="12"/>
      <c r="H618" s="12"/>
      <c r="I618" s="12"/>
      <c r="J618" s="12"/>
      <c r="K618" s="12"/>
      <c r="L618" s="12"/>
      <c r="M618" s="12"/>
      <c r="N618" s="12"/>
      <c r="O618" s="12"/>
      <c r="P618" s="12"/>
      <c r="Q618" s="12"/>
      <c r="R618" s="12"/>
      <c r="S618" s="12"/>
      <c r="T618" s="12"/>
      <c r="U618" s="12"/>
      <c r="W618" s="12"/>
      <c r="X618" s="12"/>
    </row>
    <row r="619" spans="1:24" ht="15.75" customHeight="1">
      <c r="A619" s="12"/>
      <c r="B619" s="12"/>
      <c r="C619" s="12"/>
      <c r="D619" s="12"/>
      <c r="E619" s="12"/>
      <c r="F619" s="12"/>
      <c r="G619" s="12"/>
      <c r="H619" s="12"/>
      <c r="I619" s="12"/>
      <c r="J619" s="12"/>
      <c r="K619" s="12"/>
      <c r="L619" s="12"/>
      <c r="M619" s="12"/>
      <c r="N619" s="12"/>
      <c r="O619" s="12"/>
      <c r="P619" s="12"/>
      <c r="Q619" s="12"/>
      <c r="R619" s="12"/>
      <c r="S619" s="12"/>
      <c r="T619" s="12"/>
      <c r="U619" s="12"/>
      <c r="W619" s="12"/>
      <c r="X619" s="12"/>
    </row>
    <row r="620" spans="1:24" ht="15.75" customHeight="1">
      <c r="A620" s="12"/>
      <c r="B620" s="12"/>
      <c r="C620" s="12"/>
      <c r="D620" s="12"/>
      <c r="E620" s="12"/>
      <c r="F620" s="12"/>
      <c r="G620" s="12"/>
      <c r="H620" s="12"/>
      <c r="I620" s="12"/>
      <c r="J620" s="12"/>
      <c r="K620" s="12"/>
      <c r="L620" s="12"/>
      <c r="M620" s="12"/>
      <c r="N620" s="12"/>
      <c r="O620" s="12"/>
      <c r="P620" s="12"/>
      <c r="Q620" s="12"/>
      <c r="R620" s="12"/>
      <c r="S620" s="12"/>
      <c r="T620" s="12"/>
      <c r="U620" s="12"/>
      <c r="W620" s="12"/>
      <c r="X620" s="12"/>
    </row>
    <row r="621" spans="1:24" ht="15.75" customHeight="1">
      <c r="A621" s="12"/>
      <c r="B621" s="12"/>
      <c r="C621" s="12"/>
      <c r="D621" s="12"/>
      <c r="E621" s="12"/>
      <c r="F621" s="12"/>
      <c r="G621" s="12"/>
      <c r="H621" s="12"/>
      <c r="I621" s="12"/>
      <c r="J621" s="12"/>
      <c r="K621" s="12"/>
      <c r="L621" s="12"/>
      <c r="M621" s="12"/>
      <c r="N621" s="12"/>
      <c r="O621" s="12"/>
      <c r="P621" s="12"/>
      <c r="Q621" s="12"/>
      <c r="R621" s="12"/>
      <c r="S621" s="12"/>
      <c r="T621" s="12"/>
      <c r="U621" s="12"/>
      <c r="W621" s="12"/>
      <c r="X621" s="12"/>
    </row>
    <row r="622" spans="1:24" ht="15.75" customHeight="1">
      <c r="A622" s="12"/>
      <c r="B622" s="12"/>
      <c r="C622" s="12"/>
      <c r="D622" s="12"/>
      <c r="E622" s="12"/>
      <c r="F622" s="12"/>
      <c r="G622" s="12"/>
      <c r="H622" s="12"/>
      <c r="I622" s="12"/>
      <c r="J622" s="12"/>
      <c r="K622" s="12"/>
      <c r="L622" s="12"/>
      <c r="M622" s="12"/>
      <c r="N622" s="12"/>
      <c r="O622" s="12"/>
      <c r="P622" s="12"/>
      <c r="Q622" s="12"/>
      <c r="R622" s="12"/>
      <c r="S622" s="12"/>
      <c r="T622" s="12"/>
      <c r="U622" s="12"/>
      <c r="W622" s="12"/>
      <c r="X622" s="12"/>
    </row>
    <row r="623" spans="1:24" ht="15.75" customHeight="1">
      <c r="A623" s="12"/>
      <c r="B623" s="12"/>
      <c r="C623" s="12"/>
      <c r="D623" s="12"/>
      <c r="E623" s="12"/>
      <c r="F623" s="12"/>
      <c r="G623" s="12"/>
      <c r="H623" s="12"/>
      <c r="I623" s="12"/>
      <c r="J623" s="12"/>
      <c r="K623" s="12"/>
      <c r="L623" s="12"/>
      <c r="M623" s="12"/>
      <c r="N623" s="12"/>
      <c r="O623" s="12"/>
      <c r="P623" s="12"/>
      <c r="Q623" s="12"/>
      <c r="R623" s="12"/>
      <c r="S623" s="12"/>
      <c r="T623" s="12"/>
      <c r="U623" s="12"/>
      <c r="W623" s="12"/>
      <c r="X623" s="12"/>
    </row>
    <row r="624" spans="1:24" ht="15.75" customHeight="1">
      <c r="A624" s="12"/>
      <c r="B624" s="12"/>
      <c r="C624" s="12"/>
      <c r="D624" s="12"/>
      <c r="E624" s="12"/>
      <c r="F624" s="12"/>
      <c r="G624" s="12"/>
      <c r="H624" s="12"/>
      <c r="I624" s="12"/>
      <c r="J624" s="12"/>
      <c r="K624" s="12"/>
      <c r="L624" s="12"/>
      <c r="M624" s="12"/>
      <c r="N624" s="12"/>
      <c r="O624" s="12"/>
      <c r="P624" s="12"/>
      <c r="Q624" s="12"/>
      <c r="R624" s="12"/>
      <c r="S624" s="12"/>
      <c r="T624" s="12"/>
      <c r="U624" s="12"/>
      <c r="W624" s="12"/>
      <c r="X624" s="12"/>
    </row>
    <row r="625" spans="1:24" ht="15.75" customHeight="1">
      <c r="A625" s="12"/>
      <c r="B625" s="12"/>
      <c r="C625" s="12"/>
      <c r="D625" s="12"/>
      <c r="E625" s="12"/>
      <c r="F625" s="12"/>
      <c r="G625" s="12"/>
      <c r="H625" s="12"/>
      <c r="I625" s="12"/>
      <c r="J625" s="12"/>
      <c r="K625" s="12"/>
      <c r="L625" s="12"/>
      <c r="M625" s="12"/>
      <c r="N625" s="12"/>
      <c r="O625" s="12"/>
      <c r="P625" s="12"/>
      <c r="Q625" s="12"/>
      <c r="R625" s="12"/>
      <c r="S625" s="12"/>
      <c r="T625" s="12"/>
      <c r="U625" s="12"/>
      <c r="W625" s="12"/>
      <c r="X625" s="12"/>
    </row>
    <row r="626" spans="1:24" ht="15.75" customHeight="1">
      <c r="A626" s="12"/>
      <c r="B626" s="12"/>
      <c r="C626" s="12"/>
      <c r="D626" s="12"/>
      <c r="E626" s="12"/>
      <c r="F626" s="12"/>
      <c r="G626" s="12"/>
      <c r="H626" s="12"/>
      <c r="I626" s="12"/>
      <c r="J626" s="12"/>
      <c r="K626" s="12"/>
      <c r="L626" s="12"/>
      <c r="M626" s="12"/>
      <c r="N626" s="12"/>
      <c r="O626" s="12"/>
      <c r="P626" s="12"/>
      <c r="Q626" s="12"/>
      <c r="R626" s="12"/>
      <c r="S626" s="12"/>
      <c r="T626" s="12"/>
      <c r="U626" s="12"/>
      <c r="W626" s="12"/>
      <c r="X626" s="12"/>
    </row>
    <row r="627" spans="1:24" ht="15.75" customHeight="1">
      <c r="A627" s="12"/>
      <c r="B627" s="12"/>
      <c r="C627" s="12"/>
      <c r="D627" s="12"/>
      <c r="E627" s="12"/>
      <c r="F627" s="12"/>
      <c r="G627" s="12"/>
      <c r="H627" s="12"/>
      <c r="I627" s="12"/>
      <c r="J627" s="12"/>
      <c r="K627" s="12"/>
      <c r="L627" s="12"/>
      <c r="M627" s="12"/>
      <c r="N627" s="12"/>
      <c r="O627" s="12"/>
      <c r="P627" s="12"/>
      <c r="Q627" s="12"/>
      <c r="R627" s="12"/>
      <c r="S627" s="12"/>
      <c r="T627" s="12"/>
      <c r="U627" s="12"/>
      <c r="W627" s="12"/>
      <c r="X627" s="12"/>
    </row>
    <row r="628" spans="1:24" ht="15.75" customHeight="1">
      <c r="A628" s="12"/>
      <c r="B628" s="12"/>
      <c r="C628" s="12"/>
      <c r="D628" s="12"/>
      <c r="E628" s="12"/>
      <c r="F628" s="12"/>
      <c r="G628" s="12"/>
      <c r="H628" s="12"/>
      <c r="I628" s="12"/>
      <c r="J628" s="12"/>
      <c r="K628" s="12"/>
      <c r="L628" s="12"/>
      <c r="M628" s="12"/>
      <c r="N628" s="12"/>
      <c r="O628" s="12"/>
      <c r="P628" s="12"/>
      <c r="Q628" s="12"/>
      <c r="R628" s="12"/>
      <c r="S628" s="12"/>
      <c r="T628" s="12"/>
      <c r="U628" s="12"/>
      <c r="W628" s="12"/>
      <c r="X628" s="12"/>
    </row>
    <row r="629" spans="1:24" ht="15.75" customHeight="1">
      <c r="A629" s="12"/>
      <c r="B629" s="12"/>
      <c r="C629" s="12"/>
      <c r="D629" s="12"/>
      <c r="E629" s="12"/>
      <c r="F629" s="12"/>
      <c r="G629" s="12"/>
      <c r="H629" s="12"/>
      <c r="I629" s="12"/>
      <c r="J629" s="12"/>
      <c r="K629" s="12"/>
      <c r="L629" s="12"/>
      <c r="M629" s="12"/>
      <c r="N629" s="12"/>
      <c r="O629" s="12"/>
      <c r="P629" s="12"/>
      <c r="Q629" s="12"/>
      <c r="R629" s="12"/>
      <c r="S629" s="12"/>
      <c r="T629" s="12"/>
      <c r="U629" s="12"/>
      <c r="W629" s="12"/>
      <c r="X629" s="12"/>
    </row>
    <row r="630" spans="1:24" ht="15.75" customHeight="1">
      <c r="A630" s="12"/>
      <c r="B630" s="12"/>
      <c r="C630" s="12"/>
      <c r="D630" s="12"/>
      <c r="E630" s="12"/>
      <c r="F630" s="12"/>
      <c r="G630" s="12"/>
      <c r="H630" s="12"/>
      <c r="I630" s="12"/>
      <c r="J630" s="12"/>
      <c r="K630" s="12"/>
      <c r="L630" s="12"/>
      <c r="M630" s="12"/>
      <c r="N630" s="12"/>
      <c r="O630" s="12"/>
      <c r="P630" s="12"/>
      <c r="Q630" s="12"/>
      <c r="R630" s="12"/>
      <c r="S630" s="12"/>
      <c r="T630" s="12"/>
      <c r="U630" s="12"/>
      <c r="W630" s="12"/>
      <c r="X630" s="12"/>
    </row>
    <row r="631" spans="1:24" ht="15.75" customHeight="1">
      <c r="A631" s="12"/>
      <c r="B631" s="12"/>
      <c r="C631" s="12"/>
      <c r="D631" s="12"/>
      <c r="E631" s="12"/>
      <c r="F631" s="12"/>
      <c r="G631" s="12"/>
      <c r="H631" s="12"/>
      <c r="I631" s="12"/>
      <c r="J631" s="12"/>
      <c r="K631" s="12"/>
      <c r="L631" s="12"/>
      <c r="M631" s="12"/>
      <c r="N631" s="12"/>
      <c r="O631" s="12"/>
      <c r="P631" s="12"/>
      <c r="Q631" s="12"/>
      <c r="R631" s="12"/>
      <c r="S631" s="12"/>
      <c r="T631" s="12"/>
      <c r="U631" s="12"/>
      <c r="W631" s="12"/>
      <c r="X631" s="12"/>
    </row>
    <row r="632" spans="1:24" ht="15.75" customHeight="1">
      <c r="A632" s="12"/>
      <c r="B632" s="12"/>
      <c r="C632" s="12"/>
      <c r="D632" s="12"/>
      <c r="E632" s="12"/>
      <c r="F632" s="12"/>
      <c r="G632" s="12"/>
      <c r="H632" s="12"/>
      <c r="I632" s="12"/>
      <c r="J632" s="12"/>
      <c r="K632" s="12"/>
      <c r="L632" s="12"/>
      <c r="M632" s="12"/>
      <c r="N632" s="12"/>
      <c r="O632" s="12"/>
      <c r="P632" s="12"/>
      <c r="Q632" s="12"/>
      <c r="R632" s="12"/>
      <c r="S632" s="12"/>
      <c r="T632" s="12"/>
      <c r="U632" s="12"/>
      <c r="W632" s="12"/>
      <c r="X632" s="12"/>
    </row>
    <row r="633" spans="1:24" ht="15.75" customHeight="1">
      <c r="A633" s="12"/>
      <c r="B633" s="12"/>
      <c r="C633" s="12"/>
      <c r="D633" s="12"/>
      <c r="E633" s="12"/>
      <c r="F633" s="12"/>
      <c r="G633" s="12"/>
      <c r="H633" s="12"/>
      <c r="I633" s="12"/>
      <c r="J633" s="12"/>
      <c r="K633" s="12"/>
      <c r="L633" s="12"/>
      <c r="M633" s="12"/>
      <c r="N633" s="12"/>
      <c r="O633" s="12"/>
      <c r="P633" s="12"/>
      <c r="Q633" s="12"/>
      <c r="R633" s="12"/>
      <c r="S633" s="12"/>
      <c r="T633" s="12"/>
      <c r="U633" s="12"/>
      <c r="W633" s="12"/>
      <c r="X633" s="12"/>
    </row>
    <row r="634" spans="1:24" ht="15.75" customHeight="1">
      <c r="A634" s="12"/>
      <c r="B634" s="12"/>
      <c r="C634" s="12"/>
      <c r="D634" s="12"/>
      <c r="E634" s="12"/>
      <c r="F634" s="12"/>
      <c r="G634" s="12"/>
      <c r="H634" s="12"/>
      <c r="I634" s="12"/>
      <c r="J634" s="12"/>
      <c r="K634" s="12"/>
      <c r="L634" s="12"/>
      <c r="M634" s="12"/>
      <c r="N634" s="12"/>
      <c r="O634" s="12"/>
      <c r="P634" s="12"/>
      <c r="Q634" s="12"/>
      <c r="R634" s="12"/>
      <c r="S634" s="12"/>
      <c r="T634" s="12"/>
      <c r="U634" s="12"/>
      <c r="W634" s="12"/>
      <c r="X634" s="12"/>
    </row>
    <row r="635" spans="1:24" ht="15.75" customHeight="1">
      <c r="A635" s="12"/>
      <c r="B635" s="12"/>
      <c r="C635" s="12"/>
      <c r="D635" s="12"/>
      <c r="E635" s="12"/>
      <c r="F635" s="12"/>
      <c r="G635" s="12"/>
      <c r="H635" s="12"/>
      <c r="I635" s="12"/>
      <c r="J635" s="12"/>
      <c r="K635" s="12"/>
      <c r="L635" s="12"/>
      <c r="M635" s="12"/>
      <c r="N635" s="12"/>
      <c r="O635" s="12"/>
      <c r="P635" s="12"/>
      <c r="Q635" s="12"/>
      <c r="R635" s="12"/>
      <c r="S635" s="12"/>
      <c r="T635" s="12"/>
      <c r="U635" s="12"/>
      <c r="W635" s="12"/>
      <c r="X635" s="12"/>
    </row>
    <row r="636" spans="1:24" ht="15.75" customHeight="1">
      <c r="A636" s="12"/>
      <c r="B636" s="12"/>
      <c r="C636" s="12"/>
      <c r="D636" s="12"/>
      <c r="E636" s="12"/>
      <c r="F636" s="12"/>
      <c r="G636" s="12"/>
      <c r="H636" s="12"/>
      <c r="I636" s="12"/>
      <c r="J636" s="12"/>
      <c r="K636" s="12"/>
      <c r="L636" s="12"/>
      <c r="M636" s="12"/>
      <c r="N636" s="12"/>
      <c r="O636" s="12"/>
      <c r="P636" s="12"/>
      <c r="Q636" s="12"/>
      <c r="R636" s="12"/>
      <c r="S636" s="12"/>
      <c r="T636" s="12"/>
      <c r="U636" s="12"/>
      <c r="W636" s="12"/>
      <c r="X636" s="12"/>
    </row>
    <row r="637" spans="1:24" ht="15.75" customHeight="1">
      <c r="A637" s="12"/>
      <c r="B637" s="12"/>
      <c r="C637" s="12"/>
      <c r="D637" s="12"/>
      <c r="E637" s="12"/>
      <c r="F637" s="12"/>
      <c r="G637" s="12"/>
      <c r="H637" s="12"/>
      <c r="I637" s="12"/>
      <c r="J637" s="12"/>
      <c r="K637" s="12"/>
      <c r="L637" s="12"/>
      <c r="M637" s="12"/>
      <c r="N637" s="12"/>
      <c r="O637" s="12"/>
      <c r="P637" s="12"/>
      <c r="Q637" s="12"/>
      <c r="R637" s="12"/>
      <c r="S637" s="12"/>
      <c r="T637" s="12"/>
      <c r="U637" s="12"/>
      <c r="W637" s="12"/>
      <c r="X637" s="12"/>
    </row>
    <row r="638" spans="1:24" ht="15.75" customHeight="1">
      <c r="A638" s="12"/>
      <c r="B638" s="12"/>
      <c r="C638" s="12"/>
      <c r="D638" s="12"/>
      <c r="E638" s="12"/>
      <c r="F638" s="12"/>
      <c r="G638" s="12"/>
      <c r="H638" s="12"/>
      <c r="I638" s="12"/>
      <c r="J638" s="12"/>
      <c r="K638" s="12"/>
      <c r="L638" s="12"/>
      <c r="M638" s="12"/>
      <c r="N638" s="12"/>
      <c r="O638" s="12"/>
      <c r="P638" s="12"/>
      <c r="Q638" s="12"/>
      <c r="R638" s="12"/>
      <c r="S638" s="12"/>
      <c r="T638" s="12"/>
      <c r="U638" s="12"/>
      <c r="W638" s="12"/>
      <c r="X638" s="12"/>
    </row>
    <row r="639" spans="1:24" ht="15.75" customHeight="1">
      <c r="A639" s="12"/>
      <c r="B639" s="12"/>
      <c r="C639" s="12"/>
      <c r="D639" s="12"/>
      <c r="E639" s="12"/>
      <c r="F639" s="12"/>
      <c r="G639" s="12"/>
      <c r="H639" s="12"/>
      <c r="I639" s="12"/>
      <c r="J639" s="12"/>
      <c r="K639" s="12"/>
      <c r="L639" s="12"/>
      <c r="M639" s="12"/>
      <c r="N639" s="12"/>
      <c r="O639" s="12"/>
      <c r="P639" s="12"/>
      <c r="Q639" s="12"/>
      <c r="R639" s="12"/>
      <c r="S639" s="12"/>
      <c r="T639" s="12"/>
      <c r="U639" s="12"/>
      <c r="W639" s="12"/>
      <c r="X639" s="12"/>
    </row>
    <row r="640" spans="1:24" ht="15.75" customHeight="1">
      <c r="A640" s="12"/>
      <c r="B640" s="12"/>
      <c r="C640" s="12"/>
      <c r="D640" s="12"/>
      <c r="E640" s="12"/>
      <c r="F640" s="12"/>
      <c r="G640" s="12"/>
      <c r="H640" s="12"/>
      <c r="I640" s="12"/>
      <c r="J640" s="12"/>
      <c r="K640" s="12"/>
      <c r="L640" s="12"/>
      <c r="M640" s="12"/>
      <c r="N640" s="12"/>
      <c r="O640" s="12"/>
      <c r="P640" s="12"/>
      <c r="Q640" s="12"/>
      <c r="R640" s="12"/>
      <c r="S640" s="12"/>
      <c r="T640" s="12"/>
      <c r="U640" s="12"/>
      <c r="W640" s="12"/>
      <c r="X640" s="12"/>
    </row>
    <row r="641" spans="1:24" ht="15.75" customHeight="1">
      <c r="A641" s="12"/>
      <c r="B641" s="12"/>
      <c r="C641" s="12"/>
      <c r="D641" s="12"/>
      <c r="E641" s="12"/>
      <c r="F641" s="12"/>
      <c r="G641" s="12"/>
      <c r="H641" s="12"/>
      <c r="I641" s="12"/>
      <c r="J641" s="12"/>
      <c r="K641" s="12"/>
      <c r="L641" s="12"/>
      <c r="M641" s="12"/>
      <c r="N641" s="12"/>
      <c r="O641" s="12"/>
      <c r="P641" s="12"/>
      <c r="Q641" s="12"/>
      <c r="R641" s="12"/>
      <c r="S641" s="12"/>
      <c r="T641" s="12"/>
      <c r="U641" s="12"/>
      <c r="W641" s="12"/>
      <c r="X641" s="12"/>
    </row>
    <row r="642" spans="1:24" ht="15.75" customHeight="1">
      <c r="A642" s="12"/>
      <c r="B642" s="12"/>
      <c r="C642" s="12"/>
      <c r="D642" s="12"/>
      <c r="E642" s="12"/>
      <c r="F642" s="12"/>
      <c r="G642" s="12"/>
      <c r="H642" s="12"/>
      <c r="I642" s="12"/>
      <c r="J642" s="12"/>
      <c r="K642" s="12"/>
      <c r="L642" s="12"/>
      <c r="M642" s="12"/>
      <c r="N642" s="12"/>
      <c r="O642" s="12"/>
      <c r="P642" s="12"/>
      <c r="Q642" s="12"/>
      <c r="R642" s="12"/>
      <c r="S642" s="12"/>
      <c r="T642" s="12"/>
      <c r="U642" s="12"/>
      <c r="W642" s="12"/>
      <c r="X642" s="12"/>
    </row>
    <row r="643" spans="1:24" ht="15.75" customHeight="1">
      <c r="A643" s="12"/>
      <c r="B643" s="12"/>
      <c r="C643" s="12"/>
      <c r="D643" s="12"/>
      <c r="E643" s="12"/>
      <c r="F643" s="12"/>
      <c r="G643" s="12"/>
      <c r="H643" s="12"/>
      <c r="I643" s="12"/>
      <c r="J643" s="12"/>
      <c r="K643" s="12"/>
      <c r="L643" s="12"/>
      <c r="M643" s="12"/>
      <c r="N643" s="12"/>
      <c r="O643" s="12"/>
      <c r="P643" s="12"/>
      <c r="Q643" s="12"/>
      <c r="R643" s="12"/>
      <c r="S643" s="12"/>
      <c r="T643" s="12"/>
      <c r="U643" s="12"/>
      <c r="W643" s="12"/>
      <c r="X643" s="12"/>
    </row>
    <row r="644" spans="1:24" ht="15.75" customHeight="1">
      <c r="A644" s="12"/>
      <c r="B644" s="12"/>
      <c r="C644" s="12"/>
      <c r="D644" s="12"/>
      <c r="E644" s="12"/>
      <c r="F644" s="12"/>
      <c r="G644" s="12"/>
      <c r="H644" s="12"/>
      <c r="I644" s="12"/>
      <c r="J644" s="12"/>
      <c r="K644" s="12"/>
      <c r="L644" s="12"/>
      <c r="M644" s="12"/>
      <c r="N644" s="12"/>
      <c r="O644" s="12"/>
      <c r="P644" s="12"/>
      <c r="Q644" s="12"/>
      <c r="R644" s="12"/>
      <c r="S644" s="12"/>
      <c r="T644" s="12"/>
      <c r="U644" s="12"/>
      <c r="W644" s="12"/>
      <c r="X644" s="12"/>
    </row>
    <row r="645" spans="1:24" ht="15.75" customHeight="1">
      <c r="A645" s="12"/>
      <c r="B645" s="12"/>
      <c r="C645" s="12"/>
      <c r="D645" s="12"/>
      <c r="E645" s="12"/>
      <c r="F645" s="12"/>
      <c r="G645" s="12"/>
      <c r="H645" s="12"/>
      <c r="I645" s="12"/>
      <c r="J645" s="12"/>
      <c r="K645" s="12"/>
      <c r="L645" s="12"/>
      <c r="M645" s="12"/>
      <c r="N645" s="12"/>
      <c r="O645" s="12"/>
      <c r="P645" s="12"/>
      <c r="Q645" s="12"/>
      <c r="R645" s="12"/>
      <c r="S645" s="12"/>
      <c r="T645" s="12"/>
      <c r="U645" s="12"/>
      <c r="W645" s="12"/>
      <c r="X645" s="12"/>
    </row>
    <row r="646" spans="1:24" ht="15.75" customHeight="1">
      <c r="A646" s="12"/>
      <c r="B646" s="12"/>
      <c r="C646" s="12"/>
      <c r="D646" s="12"/>
      <c r="E646" s="12"/>
      <c r="F646" s="12"/>
      <c r="G646" s="12"/>
      <c r="H646" s="12"/>
      <c r="I646" s="12"/>
      <c r="J646" s="12"/>
      <c r="K646" s="12"/>
      <c r="L646" s="12"/>
      <c r="M646" s="12"/>
      <c r="N646" s="12"/>
      <c r="O646" s="12"/>
      <c r="P646" s="12"/>
      <c r="Q646" s="12"/>
      <c r="R646" s="12"/>
      <c r="S646" s="12"/>
      <c r="T646" s="12"/>
      <c r="U646" s="12"/>
      <c r="W646" s="12"/>
      <c r="X646" s="12"/>
    </row>
    <row r="647" spans="1:24" ht="15.75" customHeight="1">
      <c r="A647" s="12"/>
      <c r="B647" s="12"/>
      <c r="C647" s="12"/>
      <c r="D647" s="12"/>
      <c r="E647" s="12"/>
      <c r="F647" s="12"/>
      <c r="G647" s="12"/>
      <c r="H647" s="12"/>
      <c r="I647" s="12"/>
      <c r="J647" s="12"/>
      <c r="K647" s="12"/>
      <c r="L647" s="12"/>
      <c r="M647" s="12"/>
      <c r="N647" s="12"/>
      <c r="O647" s="12"/>
      <c r="P647" s="12"/>
      <c r="Q647" s="12"/>
      <c r="R647" s="12"/>
      <c r="S647" s="12"/>
      <c r="T647" s="12"/>
      <c r="U647" s="12"/>
      <c r="W647" s="12"/>
      <c r="X647" s="12"/>
    </row>
    <row r="648" spans="1:24" ht="15.75" customHeight="1">
      <c r="A648" s="12"/>
      <c r="B648" s="12"/>
      <c r="C648" s="12"/>
      <c r="D648" s="12"/>
      <c r="E648" s="12"/>
      <c r="F648" s="12"/>
      <c r="G648" s="12"/>
      <c r="H648" s="12"/>
      <c r="I648" s="12"/>
      <c r="J648" s="12"/>
      <c r="K648" s="12"/>
      <c r="L648" s="12"/>
      <c r="M648" s="12"/>
      <c r="N648" s="12"/>
      <c r="O648" s="12"/>
      <c r="P648" s="12"/>
      <c r="Q648" s="12"/>
      <c r="R648" s="12"/>
      <c r="S648" s="12"/>
      <c r="T648" s="12"/>
      <c r="U648" s="12"/>
      <c r="W648" s="12"/>
      <c r="X648" s="12"/>
    </row>
    <row r="649" spans="1:24" ht="15.75" customHeight="1">
      <c r="A649" s="12"/>
      <c r="B649" s="12"/>
      <c r="C649" s="12"/>
      <c r="D649" s="12"/>
      <c r="E649" s="12"/>
      <c r="F649" s="12"/>
      <c r="G649" s="12"/>
      <c r="H649" s="12"/>
      <c r="I649" s="12"/>
      <c r="J649" s="12"/>
      <c r="K649" s="12"/>
      <c r="L649" s="12"/>
      <c r="M649" s="12"/>
      <c r="N649" s="12"/>
      <c r="O649" s="12"/>
      <c r="P649" s="12"/>
      <c r="Q649" s="12"/>
      <c r="R649" s="12"/>
      <c r="S649" s="12"/>
      <c r="T649" s="12"/>
      <c r="U649" s="12"/>
      <c r="W649" s="12"/>
      <c r="X649" s="12"/>
    </row>
    <row r="650" spans="1:24" ht="15.75" customHeight="1">
      <c r="A650" s="12"/>
      <c r="B650" s="12"/>
      <c r="C650" s="12"/>
      <c r="D650" s="12"/>
      <c r="E650" s="12"/>
      <c r="F650" s="12"/>
      <c r="G650" s="12"/>
      <c r="H650" s="12"/>
      <c r="I650" s="12"/>
      <c r="J650" s="12"/>
      <c r="K650" s="12"/>
      <c r="L650" s="12"/>
      <c r="M650" s="12"/>
      <c r="N650" s="12"/>
      <c r="O650" s="12"/>
      <c r="P650" s="12"/>
      <c r="Q650" s="12"/>
      <c r="R650" s="12"/>
      <c r="S650" s="12"/>
      <c r="T650" s="12"/>
      <c r="U650" s="12"/>
      <c r="W650" s="12"/>
      <c r="X650" s="12"/>
    </row>
    <row r="651" spans="1:24" ht="15.75" customHeight="1">
      <c r="A651" s="12"/>
      <c r="B651" s="12"/>
      <c r="C651" s="12"/>
      <c r="D651" s="12"/>
      <c r="E651" s="12"/>
      <c r="F651" s="12"/>
      <c r="G651" s="12"/>
      <c r="H651" s="12"/>
      <c r="I651" s="12"/>
      <c r="J651" s="12"/>
      <c r="K651" s="12"/>
      <c r="L651" s="12"/>
      <c r="M651" s="12"/>
      <c r="N651" s="12"/>
      <c r="O651" s="12"/>
      <c r="P651" s="12"/>
      <c r="Q651" s="12"/>
      <c r="R651" s="12"/>
      <c r="S651" s="12"/>
      <c r="T651" s="12"/>
      <c r="U651" s="12"/>
      <c r="W651" s="12"/>
      <c r="X651" s="12"/>
    </row>
    <row r="652" spans="1:24" ht="15.75" customHeight="1">
      <c r="A652" s="12"/>
      <c r="B652" s="12"/>
      <c r="C652" s="12"/>
      <c r="D652" s="12"/>
      <c r="E652" s="12"/>
      <c r="F652" s="12"/>
      <c r="G652" s="12"/>
      <c r="H652" s="12"/>
      <c r="I652" s="12"/>
      <c r="J652" s="12"/>
      <c r="K652" s="12"/>
      <c r="L652" s="12"/>
      <c r="M652" s="12"/>
      <c r="N652" s="12"/>
      <c r="O652" s="12"/>
      <c r="P652" s="12"/>
      <c r="Q652" s="12"/>
      <c r="R652" s="12"/>
      <c r="S652" s="12"/>
      <c r="T652" s="12"/>
      <c r="U652" s="12"/>
      <c r="W652" s="12"/>
      <c r="X652" s="12"/>
    </row>
    <row r="653" spans="1:24" ht="15.75" customHeight="1">
      <c r="A653" s="12"/>
      <c r="B653" s="12"/>
      <c r="C653" s="12"/>
      <c r="D653" s="12"/>
      <c r="E653" s="12"/>
      <c r="F653" s="12"/>
      <c r="G653" s="12"/>
      <c r="H653" s="12"/>
      <c r="I653" s="12"/>
      <c r="J653" s="12"/>
      <c r="K653" s="12"/>
      <c r="L653" s="12"/>
      <c r="M653" s="12"/>
      <c r="N653" s="12"/>
      <c r="O653" s="12"/>
      <c r="P653" s="12"/>
      <c r="Q653" s="12"/>
      <c r="R653" s="12"/>
      <c r="S653" s="12"/>
      <c r="T653" s="12"/>
      <c r="U653" s="12"/>
      <c r="W653" s="12"/>
      <c r="X653" s="12"/>
    </row>
    <row r="654" spans="1:24" ht="15.75" customHeight="1">
      <c r="A654" s="12"/>
      <c r="B654" s="12"/>
      <c r="C654" s="12"/>
      <c r="D654" s="12"/>
      <c r="E654" s="12"/>
      <c r="F654" s="12"/>
      <c r="G654" s="12"/>
      <c r="H654" s="12"/>
      <c r="I654" s="12"/>
      <c r="J654" s="12"/>
      <c r="K654" s="12"/>
      <c r="L654" s="12"/>
      <c r="M654" s="12"/>
      <c r="N654" s="12"/>
      <c r="O654" s="12"/>
      <c r="P654" s="12"/>
      <c r="Q654" s="12"/>
      <c r="R654" s="12"/>
      <c r="S654" s="12"/>
      <c r="T654" s="12"/>
      <c r="U654" s="12"/>
      <c r="W654" s="12"/>
      <c r="X654" s="12"/>
    </row>
    <row r="655" spans="1:24" ht="15.75" customHeight="1">
      <c r="A655" s="12"/>
      <c r="B655" s="12"/>
      <c r="C655" s="12"/>
      <c r="D655" s="12"/>
      <c r="E655" s="12"/>
      <c r="F655" s="12"/>
      <c r="G655" s="12"/>
      <c r="H655" s="12"/>
      <c r="I655" s="12"/>
      <c r="J655" s="12"/>
      <c r="K655" s="12"/>
      <c r="L655" s="12"/>
      <c r="M655" s="12"/>
      <c r="N655" s="12"/>
      <c r="O655" s="12"/>
      <c r="P655" s="12"/>
      <c r="Q655" s="12"/>
      <c r="R655" s="12"/>
      <c r="S655" s="12"/>
      <c r="T655" s="12"/>
      <c r="U655" s="12"/>
      <c r="W655" s="12"/>
      <c r="X655" s="12"/>
    </row>
    <row r="656" spans="1:24" ht="15.75" customHeight="1">
      <c r="A656" s="12"/>
      <c r="B656" s="12"/>
      <c r="C656" s="12"/>
      <c r="D656" s="12"/>
      <c r="E656" s="12"/>
      <c r="F656" s="12"/>
      <c r="G656" s="12"/>
      <c r="H656" s="12"/>
      <c r="I656" s="12"/>
      <c r="J656" s="12"/>
      <c r="K656" s="12"/>
      <c r="L656" s="12"/>
      <c r="M656" s="12"/>
      <c r="N656" s="12"/>
      <c r="O656" s="12"/>
      <c r="P656" s="12"/>
      <c r="Q656" s="12"/>
      <c r="R656" s="12"/>
      <c r="S656" s="12"/>
      <c r="T656" s="12"/>
      <c r="U656" s="12"/>
      <c r="W656" s="12"/>
      <c r="X656" s="12"/>
    </row>
    <row r="657" spans="1:24" ht="15.75" customHeight="1">
      <c r="A657" s="12"/>
      <c r="B657" s="12"/>
      <c r="C657" s="12"/>
      <c r="D657" s="12"/>
      <c r="E657" s="12"/>
      <c r="F657" s="12"/>
      <c r="G657" s="12"/>
      <c r="H657" s="12"/>
      <c r="I657" s="12"/>
      <c r="J657" s="12"/>
      <c r="K657" s="12"/>
      <c r="L657" s="12"/>
      <c r="M657" s="12"/>
      <c r="N657" s="12"/>
      <c r="O657" s="12"/>
      <c r="P657" s="12"/>
      <c r="Q657" s="12"/>
      <c r="R657" s="12"/>
      <c r="S657" s="12"/>
      <c r="T657" s="12"/>
      <c r="U657" s="12"/>
      <c r="W657" s="12"/>
      <c r="X657" s="12"/>
    </row>
    <row r="658" spans="1:24" ht="15.75" customHeight="1">
      <c r="A658" s="12"/>
      <c r="B658" s="12"/>
      <c r="C658" s="12"/>
      <c r="D658" s="12"/>
      <c r="E658" s="12"/>
      <c r="F658" s="12"/>
      <c r="G658" s="12"/>
      <c r="H658" s="12"/>
      <c r="I658" s="12"/>
      <c r="J658" s="12"/>
      <c r="K658" s="12"/>
      <c r="L658" s="12"/>
      <c r="M658" s="12"/>
      <c r="N658" s="12"/>
      <c r="O658" s="12"/>
      <c r="P658" s="12"/>
      <c r="Q658" s="12"/>
      <c r="R658" s="12"/>
      <c r="S658" s="12"/>
      <c r="T658" s="12"/>
      <c r="U658" s="12"/>
      <c r="W658" s="12"/>
      <c r="X658" s="12"/>
    </row>
    <row r="659" spans="1:24" ht="15.75" customHeight="1">
      <c r="A659" s="12"/>
      <c r="B659" s="12"/>
      <c r="C659" s="12"/>
      <c r="D659" s="12"/>
      <c r="E659" s="12"/>
      <c r="F659" s="12"/>
      <c r="G659" s="12"/>
      <c r="H659" s="12"/>
      <c r="I659" s="12"/>
      <c r="J659" s="12"/>
      <c r="K659" s="12"/>
      <c r="L659" s="12"/>
      <c r="M659" s="12"/>
      <c r="N659" s="12"/>
      <c r="O659" s="12"/>
      <c r="P659" s="12"/>
      <c r="Q659" s="12"/>
      <c r="R659" s="12"/>
      <c r="S659" s="12"/>
      <c r="T659" s="12"/>
      <c r="U659" s="12"/>
      <c r="W659" s="12"/>
      <c r="X659" s="12"/>
    </row>
    <row r="660" spans="1:24" ht="15.75" customHeight="1">
      <c r="A660" s="12"/>
      <c r="B660" s="12"/>
      <c r="C660" s="12"/>
      <c r="D660" s="12"/>
      <c r="E660" s="12"/>
      <c r="F660" s="12"/>
      <c r="G660" s="12"/>
      <c r="H660" s="12"/>
      <c r="I660" s="12"/>
      <c r="J660" s="12"/>
      <c r="K660" s="12"/>
      <c r="L660" s="12"/>
      <c r="M660" s="12"/>
      <c r="N660" s="12"/>
      <c r="O660" s="12"/>
      <c r="P660" s="12"/>
      <c r="Q660" s="12"/>
      <c r="R660" s="12"/>
      <c r="S660" s="12"/>
      <c r="T660" s="12"/>
      <c r="U660" s="12"/>
      <c r="W660" s="12"/>
      <c r="X660" s="12"/>
    </row>
    <row r="661" spans="1:24" ht="15.75" customHeight="1">
      <c r="A661" s="12"/>
      <c r="B661" s="12"/>
      <c r="C661" s="12"/>
      <c r="D661" s="12"/>
      <c r="E661" s="12"/>
      <c r="F661" s="12"/>
      <c r="G661" s="12"/>
      <c r="H661" s="12"/>
      <c r="I661" s="12"/>
      <c r="J661" s="12"/>
      <c r="K661" s="12"/>
      <c r="L661" s="12"/>
      <c r="M661" s="12"/>
      <c r="N661" s="12"/>
      <c r="O661" s="12"/>
      <c r="P661" s="12"/>
      <c r="Q661" s="12"/>
      <c r="R661" s="12"/>
      <c r="S661" s="12"/>
      <c r="T661" s="12"/>
      <c r="U661" s="12"/>
      <c r="W661" s="12"/>
      <c r="X661" s="12"/>
    </row>
    <row r="662" spans="1:24" ht="15.75" customHeight="1">
      <c r="A662" s="12"/>
      <c r="B662" s="12"/>
      <c r="C662" s="12"/>
      <c r="D662" s="12"/>
      <c r="E662" s="12"/>
      <c r="F662" s="12"/>
      <c r="G662" s="12"/>
      <c r="H662" s="12"/>
      <c r="I662" s="12"/>
      <c r="J662" s="12"/>
      <c r="K662" s="12"/>
      <c r="L662" s="12"/>
      <c r="M662" s="12"/>
      <c r="N662" s="12"/>
      <c r="O662" s="12"/>
      <c r="P662" s="12"/>
      <c r="Q662" s="12"/>
      <c r="R662" s="12"/>
      <c r="S662" s="12"/>
      <c r="T662" s="12"/>
      <c r="U662" s="12"/>
      <c r="W662" s="12"/>
      <c r="X662" s="12"/>
    </row>
    <row r="663" spans="1:24" ht="15.75" customHeight="1">
      <c r="A663" s="12"/>
      <c r="B663" s="12"/>
      <c r="C663" s="12"/>
      <c r="D663" s="12"/>
      <c r="E663" s="12"/>
      <c r="F663" s="12"/>
      <c r="G663" s="12"/>
      <c r="H663" s="12"/>
      <c r="I663" s="12"/>
      <c r="J663" s="12"/>
      <c r="K663" s="12"/>
      <c r="L663" s="12"/>
      <c r="M663" s="12"/>
      <c r="N663" s="12"/>
      <c r="O663" s="12"/>
      <c r="P663" s="12"/>
      <c r="Q663" s="12"/>
      <c r="R663" s="12"/>
      <c r="S663" s="12"/>
      <c r="T663" s="12"/>
      <c r="U663" s="12"/>
      <c r="W663" s="12"/>
      <c r="X663" s="12"/>
    </row>
    <row r="664" spans="1:24" ht="15.75" customHeight="1">
      <c r="A664" s="12"/>
      <c r="B664" s="12"/>
      <c r="C664" s="12"/>
      <c r="D664" s="12"/>
      <c r="E664" s="12"/>
      <c r="F664" s="12"/>
      <c r="G664" s="12"/>
      <c r="H664" s="12"/>
      <c r="I664" s="12"/>
      <c r="J664" s="12"/>
      <c r="K664" s="12"/>
      <c r="L664" s="12"/>
      <c r="M664" s="12"/>
      <c r="N664" s="12"/>
      <c r="O664" s="12"/>
      <c r="P664" s="12"/>
      <c r="Q664" s="12"/>
      <c r="R664" s="12"/>
      <c r="S664" s="12"/>
      <c r="T664" s="12"/>
      <c r="U664" s="12"/>
      <c r="W664" s="12"/>
      <c r="X664" s="12"/>
    </row>
    <row r="665" spans="1:24" ht="15.75" customHeight="1">
      <c r="A665" s="12"/>
      <c r="B665" s="12"/>
      <c r="C665" s="12"/>
      <c r="D665" s="12"/>
      <c r="E665" s="12"/>
      <c r="F665" s="12"/>
      <c r="G665" s="12"/>
      <c r="H665" s="12"/>
      <c r="I665" s="12"/>
      <c r="J665" s="12"/>
      <c r="K665" s="12"/>
      <c r="L665" s="12"/>
      <c r="M665" s="12"/>
      <c r="N665" s="12"/>
      <c r="O665" s="12"/>
      <c r="P665" s="12"/>
      <c r="Q665" s="12"/>
      <c r="R665" s="12"/>
      <c r="S665" s="12"/>
      <c r="T665" s="12"/>
      <c r="U665" s="12"/>
      <c r="W665" s="12"/>
      <c r="X665" s="12"/>
    </row>
    <row r="666" spans="1:24" ht="15.75" customHeight="1">
      <c r="A666" s="12"/>
      <c r="B666" s="12"/>
      <c r="C666" s="12"/>
      <c r="D666" s="12"/>
      <c r="E666" s="12"/>
      <c r="F666" s="12"/>
      <c r="G666" s="12"/>
      <c r="H666" s="12"/>
      <c r="I666" s="12"/>
      <c r="J666" s="12"/>
      <c r="K666" s="12"/>
      <c r="L666" s="12"/>
      <c r="M666" s="12"/>
      <c r="N666" s="12"/>
      <c r="O666" s="12"/>
      <c r="P666" s="12"/>
      <c r="Q666" s="12"/>
      <c r="R666" s="12"/>
      <c r="S666" s="12"/>
      <c r="T666" s="12"/>
      <c r="U666" s="12"/>
      <c r="W666" s="12"/>
      <c r="X666" s="12"/>
    </row>
    <row r="667" spans="1:24" ht="15.75" customHeight="1">
      <c r="A667" s="12"/>
      <c r="B667" s="12"/>
      <c r="C667" s="12"/>
      <c r="D667" s="12"/>
      <c r="E667" s="12"/>
      <c r="F667" s="12"/>
      <c r="G667" s="12"/>
      <c r="H667" s="12"/>
      <c r="I667" s="12"/>
      <c r="J667" s="12"/>
      <c r="K667" s="12"/>
      <c r="L667" s="12"/>
      <c r="M667" s="12"/>
      <c r="N667" s="12"/>
      <c r="O667" s="12"/>
      <c r="P667" s="12"/>
      <c r="Q667" s="12"/>
      <c r="R667" s="12"/>
      <c r="S667" s="12"/>
      <c r="T667" s="12"/>
      <c r="U667" s="12"/>
      <c r="W667" s="12"/>
      <c r="X667" s="12"/>
    </row>
    <row r="668" spans="1:24" ht="15.75" customHeight="1">
      <c r="A668" s="12"/>
      <c r="B668" s="12"/>
      <c r="C668" s="12"/>
      <c r="D668" s="12"/>
      <c r="E668" s="12"/>
      <c r="F668" s="12"/>
      <c r="G668" s="12"/>
      <c r="H668" s="12"/>
      <c r="I668" s="12"/>
      <c r="J668" s="12"/>
      <c r="K668" s="12"/>
      <c r="L668" s="12"/>
      <c r="M668" s="12"/>
      <c r="N668" s="12"/>
      <c r="O668" s="12"/>
      <c r="P668" s="12"/>
      <c r="Q668" s="12"/>
      <c r="R668" s="12"/>
      <c r="S668" s="12"/>
      <c r="T668" s="12"/>
      <c r="U668" s="12"/>
      <c r="W668" s="12"/>
      <c r="X668" s="12"/>
    </row>
    <row r="669" spans="1:24" ht="15.75" customHeight="1">
      <c r="A669" s="12"/>
      <c r="B669" s="12"/>
      <c r="C669" s="12"/>
      <c r="D669" s="12"/>
      <c r="E669" s="12"/>
      <c r="F669" s="12"/>
      <c r="G669" s="12"/>
      <c r="H669" s="12"/>
      <c r="I669" s="12"/>
      <c r="J669" s="12"/>
      <c r="K669" s="12"/>
      <c r="L669" s="12"/>
      <c r="M669" s="12"/>
      <c r="N669" s="12"/>
      <c r="O669" s="12"/>
      <c r="P669" s="12"/>
      <c r="Q669" s="12"/>
      <c r="R669" s="12"/>
      <c r="S669" s="12"/>
      <c r="T669" s="12"/>
      <c r="U669" s="12"/>
      <c r="W669" s="12"/>
      <c r="X669" s="12"/>
    </row>
    <row r="670" spans="1:24" ht="15.75" customHeight="1">
      <c r="A670" s="12"/>
      <c r="B670" s="12"/>
      <c r="C670" s="12"/>
      <c r="D670" s="12"/>
      <c r="E670" s="12"/>
      <c r="F670" s="12"/>
      <c r="G670" s="12"/>
      <c r="H670" s="12"/>
      <c r="I670" s="12"/>
      <c r="J670" s="12"/>
      <c r="K670" s="12"/>
      <c r="L670" s="12"/>
      <c r="M670" s="12"/>
      <c r="N670" s="12"/>
      <c r="O670" s="12"/>
      <c r="P670" s="12"/>
      <c r="Q670" s="12"/>
      <c r="R670" s="12"/>
      <c r="S670" s="12"/>
      <c r="T670" s="12"/>
      <c r="U670" s="12"/>
      <c r="W670" s="12"/>
      <c r="X670" s="12"/>
    </row>
    <row r="671" spans="1:24" ht="15.75" customHeight="1">
      <c r="A671" s="12"/>
      <c r="B671" s="12"/>
      <c r="C671" s="12"/>
      <c r="D671" s="12"/>
      <c r="E671" s="12"/>
      <c r="F671" s="12"/>
      <c r="G671" s="12"/>
      <c r="H671" s="12"/>
      <c r="I671" s="12"/>
      <c r="J671" s="12"/>
      <c r="K671" s="12"/>
      <c r="L671" s="12"/>
      <c r="M671" s="12"/>
      <c r="N671" s="12"/>
      <c r="O671" s="12"/>
      <c r="P671" s="12"/>
      <c r="Q671" s="12"/>
      <c r="R671" s="12"/>
      <c r="S671" s="12"/>
      <c r="T671" s="12"/>
      <c r="U671" s="12"/>
      <c r="W671" s="12"/>
      <c r="X671" s="12"/>
    </row>
    <row r="672" spans="1:24" ht="15.75" customHeight="1">
      <c r="A672" s="12"/>
      <c r="B672" s="12"/>
      <c r="C672" s="12"/>
      <c r="D672" s="12"/>
      <c r="E672" s="12"/>
      <c r="F672" s="12"/>
      <c r="G672" s="12"/>
      <c r="H672" s="12"/>
      <c r="I672" s="12"/>
      <c r="J672" s="12"/>
      <c r="K672" s="12"/>
      <c r="L672" s="12"/>
      <c r="M672" s="12"/>
      <c r="N672" s="12"/>
      <c r="O672" s="12"/>
      <c r="P672" s="12"/>
      <c r="Q672" s="12"/>
      <c r="R672" s="12"/>
      <c r="S672" s="12"/>
      <c r="T672" s="12"/>
      <c r="U672" s="12"/>
      <c r="W672" s="12"/>
      <c r="X672" s="12"/>
    </row>
    <row r="673" spans="1:24" ht="15.75" customHeight="1">
      <c r="A673" s="12"/>
      <c r="B673" s="12"/>
      <c r="C673" s="12"/>
      <c r="D673" s="12"/>
      <c r="E673" s="12"/>
      <c r="F673" s="12"/>
      <c r="G673" s="12"/>
      <c r="H673" s="12"/>
      <c r="I673" s="12"/>
      <c r="J673" s="12"/>
      <c r="K673" s="12"/>
      <c r="L673" s="12"/>
      <c r="M673" s="12"/>
      <c r="N673" s="12"/>
      <c r="O673" s="12"/>
      <c r="P673" s="12"/>
      <c r="Q673" s="12"/>
      <c r="R673" s="12"/>
      <c r="S673" s="12"/>
      <c r="T673" s="12"/>
      <c r="U673" s="12"/>
      <c r="W673" s="12"/>
      <c r="X673" s="12"/>
    </row>
    <row r="674" spans="1:24" ht="15.75" customHeight="1">
      <c r="A674" s="12"/>
      <c r="B674" s="12"/>
      <c r="C674" s="12"/>
      <c r="D674" s="12"/>
      <c r="E674" s="12"/>
      <c r="F674" s="12"/>
      <c r="G674" s="12"/>
      <c r="H674" s="12"/>
      <c r="I674" s="12"/>
      <c r="J674" s="12"/>
      <c r="K674" s="12"/>
      <c r="L674" s="12"/>
      <c r="M674" s="12"/>
      <c r="N674" s="12"/>
      <c r="O674" s="12"/>
      <c r="P674" s="12"/>
      <c r="Q674" s="12"/>
      <c r="R674" s="12"/>
      <c r="S674" s="12"/>
      <c r="T674" s="12"/>
      <c r="U674" s="12"/>
      <c r="W674" s="12"/>
      <c r="X674" s="12"/>
    </row>
    <row r="675" spans="1:24" ht="15.75" customHeight="1">
      <c r="A675" s="12"/>
      <c r="B675" s="12"/>
      <c r="C675" s="12"/>
      <c r="D675" s="12"/>
      <c r="E675" s="12"/>
      <c r="F675" s="12"/>
      <c r="G675" s="12"/>
      <c r="H675" s="12"/>
      <c r="I675" s="12"/>
      <c r="J675" s="12"/>
      <c r="K675" s="12"/>
      <c r="L675" s="12"/>
      <c r="M675" s="12"/>
      <c r="N675" s="12"/>
      <c r="O675" s="12"/>
      <c r="P675" s="12"/>
      <c r="Q675" s="12"/>
      <c r="R675" s="12"/>
      <c r="S675" s="12"/>
      <c r="T675" s="12"/>
      <c r="U675" s="12"/>
      <c r="W675" s="12"/>
      <c r="X675" s="12"/>
    </row>
    <row r="676" spans="1:24" ht="15.75" customHeight="1">
      <c r="A676" s="12"/>
      <c r="B676" s="12"/>
      <c r="C676" s="12"/>
      <c r="D676" s="12"/>
      <c r="E676" s="12"/>
      <c r="F676" s="12"/>
      <c r="G676" s="12"/>
      <c r="H676" s="12"/>
      <c r="I676" s="12"/>
      <c r="J676" s="12"/>
      <c r="K676" s="12"/>
      <c r="L676" s="12"/>
      <c r="M676" s="12"/>
      <c r="N676" s="12"/>
      <c r="O676" s="12"/>
      <c r="P676" s="12"/>
      <c r="Q676" s="12"/>
      <c r="R676" s="12"/>
      <c r="S676" s="12"/>
      <c r="T676" s="12"/>
      <c r="U676" s="12"/>
      <c r="W676" s="12"/>
      <c r="X676" s="12"/>
    </row>
    <row r="677" spans="1:24" ht="15.75" customHeight="1">
      <c r="A677" s="12"/>
      <c r="B677" s="12"/>
      <c r="C677" s="12"/>
      <c r="D677" s="12"/>
      <c r="E677" s="12"/>
      <c r="F677" s="12"/>
      <c r="G677" s="12"/>
      <c r="H677" s="12"/>
      <c r="I677" s="12"/>
      <c r="J677" s="12"/>
      <c r="K677" s="12"/>
      <c r="L677" s="12"/>
      <c r="M677" s="12"/>
      <c r="N677" s="12"/>
      <c r="O677" s="12"/>
      <c r="P677" s="12"/>
      <c r="Q677" s="12"/>
      <c r="R677" s="12"/>
      <c r="S677" s="12"/>
      <c r="T677" s="12"/>
      <c r="U677" s="12"/>
      <c r="W677" s="12"/>
      <c r="X677" s="12"/>
    </row>
    <row r="678" spans="1:24" ht="15.75" customHeight="1">
      <c r="A678" s="12"/>
      <c r="B678" s="12"/>
      <c r="C678" s="12"/>
      <c r="D678" s="12"/>
      <c r="E678" s="12"/>
      <c r="F678" s="12"/>
      <c r="G678" s="12"/>
      <c r="H678" s="12"/>
      <c r="I678" s="12"/>
      <c r="J678" s="12"/>
      <c r="K678" s="12"/>
      <c r="L678" s="12"/>
      <c r="M678" s="12"/>
      <c r="N678" s="12"/>
      <c r="O678" s="12"/>
      <c r="P678" s="12"/>
      <c r="Q678" s="12"/>
      <c r="R678" s="12"/>
      <c r="S678" s="12"/>
      <c r="T678" s="12"/>
      <c r="U678" s="12"/>
      <c r="W678" s="12"/>
      <c r="X678" s="12"/>
    </row>
    <row r="679" spans="1:24" ht="15.75" customHeight="1">
      <c r="A679" s="12"/>
      <c r="B679" s="12"/>
      <c r="C679" s="12"/>
      <c r="D679" s="12"/>
      <c r="E679" s="12"/>
      <c r="F679" s="12"/>
      <c r="G679" s="12"/>
      <c r="H679" s="12"/>
      <c r="I679" s="12"/>
      <c r="J679" s="12"/>
      <c r="K679" s="12"/>
      <c r="L679" s="12"/>
      <c r="M679" s="12"/>
      <c r="N679" s="12"/>
      <c r="O679" s="12"/>
      <c r="P679" s="12"/>
      <c r="Q679" s="12"/>
      <c r="R679" s="12"/>
      <c r="S679" s="12"/>
      <c r="T679" s="12"/>
      <c r="U679" s="12"/>
      <c r="W679" s="12"/>
      <c r="X679" s="12"/>
    </row>
    <row r="680" spans="1:24" ht="15.75" customHeight="1">
      <c r="A680" s="12"/>
      <c r="B680" s="12"/>
      <c r="C680" s="12"/>
      <c r="D680" s="12"/>
      <c r="E680" s="12"/>
      <c r="F680" s="12"/>
      <c r="G680" s="12"/>
      <c r="H680" s="12"/>
      <c r="I680" s="12"/>
      <c r="J680" s="12"/>
      <c r="K680" s="12"/>
      <c r="L680" s="12"/>
      <c r="M680" s="12"/>
      <c r="N680" s="12"/>
      <c r="O680" s="12"/>
      <c r="P680" s="12"/>
      <c r="Q680" s="12"/>
      <c r="R680" s="12"/>
      <c r="S680" s="12"/>
      <c r="T680" s="12"/>
      <c r="U680" s="12"/>
      <c r="W680" s="12"/>
      <c r="X680" s="12"/>
    </row>
    <row r="681" spans="1:24" ht="15.75" customHeight="1">
      <c r="A681" s="12"/>
      <c r="B681" s="12"/>
      <c r="C681" s="12"/>
      <c r="D681" s="12"/>
      <c r="E681" s="12"/>
      <c r="F681" s="12"/>
      <c r="G681" s="12"/>
      <c r="H681" s="12"/>
      <c r="I681" s="12"/>
      <c r="J681" s="12"/>
      <c r="K681" s="12"/>
      <c r="L681" s="12"/>
      <c r="M681" s="12"/>
      <c r="N681" s="12"/>
      <c r="O681" s="12"/>
      <c r="P681" s="12"/>
      <c r="Q681" s="12"/>
      <c r="R681" s="12"/>
      <c r="S681" s="12"/>
      <c r="T681" s="12"/>
      <c r="U681" s="12"/>
      <c r="W681" s="12"/>
      <c r="X681" s="12"/>
    </row>
    <row r="682" spans="1:24" ht="15.75" customHeight="1">
      <c r="A682" s="12"/>
      <c r="B682" s="12"/>
      <c r="C682" s="12"/>
      <c r="D682" s="12"/>
      <c r="E682" s="12"/>
      <c r="F682" s="12"/>
      <c r="G682" s="12"/>
      <c r="H682" s="12"/>
      <c r="I682" s="12"/>
      <c r="J682" s="12"/>
      <c r="K682" s="12"/>
      <c r="L682" s="12"/>
      <c r="M682" s="12"/>
      <c r="N682" s="12"/>
      <c r="O682" s="12"/>
      <c r="P682" s="12"/>
      <c r="Q682" s="12"/>
      <c r="R682" s="12"/>
      <c r="S682" s="12"/>
      <c r="T682" s="12"/>
      <c r="U682" s="12"/>
      <c r="W682" s="12"/>
      <c r="X682" s="12"/>
    </row>
    <row r="683" spans="1:24" ht="15.75" customHeight="1">
      <c r="A683" s="12"/>
      <c r="B683" s="12"/>
      <c r="C683" s="12"/>
      <c r="D683" s="12"/>
      <c r="E683" s="12"/>
      <c r="F683" s="12"/>
      <c r="G683" s="12"/>
      <c r="H683" s="12"/>
      <c r="I683" s="12"/>
      <c r="J683" s="12"/>
      <c r="K683" s="12"/>
      <c r="L683" s="12"/>
      <c r="M683" s="12"/>
      <c r="N683" s="12"/>
      <c r="O683" s="12"/>
      <c r="P683" s="12"/>
      <c r="Q683" s="12"/>
      <c r="R683" s="12"/>
      <c r="S683" s="12"/>
      <c r="T683" s="12"/>
      <c r="U683" s="12"/>
      <c r="W683" s="12"/>
      <c r="X683" s="12"/>
    </row>
    <row r="684" spans="1:24" ht="15.75" customHeight="1">
      <c r="A684" s="12"/>
      <c r="B684" s="12"/>
      <c r="C684" s="12"/>
      <c r="D684" s="12"/>
      <c r="E684" s="12"/>
      <c r="F684" s="12"/>
      <c r="G684" s="12"/>
      <c r="H684" s="12"/>
      <c r="I684" s="12"/>
      <c r="J684" s="12"/>
      <c r="K684" s="12"/>
      <c r="L684" s="12"/>
      <c r="M684" s="12"/>
      <c r="N684" s="12"/>
      <c r="O684" s="12"/>
      <c r="P684" s="12"/>
      <c r="Q684" s="12"/>
      <c r="R684" s="12"/>
      <c r="S684" s="12"/>
      <c r="T684" s="12"/>
      <c r="U684" s="12"/>
      <c r="W684" s="12"/>
      <c r="X684" s="12"/>
    </row>
    <row r="685" spans="1:24" ht="15.75" customHeight="1">
      <c r="A685" s="12"/>
      <c r="B685" s="12"/>
      <c r="C685" s="12"/>
      <c r="D685" s="12"/>
      <c r="E685" s="12"/>
      <c r="F685" s="12"/>
      <c r="G685" s="12"/>
      <c r="H685" s="12"/>
      <c r="I685" s="12"/>
      <c r="J685" s="12"/>
      <c r="K685" s="12"/>
      <c r="L685" s="12"/>
      <c r="M685" s="12"/>
      <c r="N685" s="12"/>
      <c r="O685" s="12"/>
      <c r="P685" s="12"/>
      <c r="Q685" s="12"/>
      <c r="R685" s="12"/>
      <c r="S685" s="12"/>
      <c r="T685" s="12"/>
      <c r="U685" s="12"/>
      <c r="W685" s="12"/>
      <c r="X685" s="12"/>
    </row>
    <row r="686" spans="1:24" ht="15.75" customHeight="1">
      <c r="A686" s="12"/>
      <c r="B686" s="12"/>
      <c r="C686" s="12"/>
      <c r="D686" s="12"/>
      <c r="E686" s="12"/>
      <c r="F686" s="12"/>
      <c r="G686" s="12"/>
      <c r="H686" s="12"/>
      <c r="I686" s="12"/>
      <c r="J686" s="12"/>
      <c r="K686" s="12"/>
      <c r="L686" s="12"/>
      <c r="M686" s="12"/>
      <c r="N686" s="12"/>
      <c r="O686" s="12"/>
      <c r="P686" s="12"/>
      <c r="Q686" s="12"/>
      <c r="R686" s="12"/>
      <c r="S686" s="12"/>
      <c r="T686" s="12"/>
      <c r="U686" s="12"/>
      <c r="W686" s="12"/>
      <c r="X686" s="12"/>
    </row>
    <row r="687" spans="1:24" ht="15.75" customHeight="1">
      <c r="A687" s="12"/>
      <c r="B687" s="12"/>
      <c r="C687" s="12"/>
      <c r="D687" s="12"/>
      <c r="E687" s="12"/>
      <c r="F687" s="12"/>
      <c r="G687" s="12"/>
      <c r="H687" s="12"/>
      <c r="I687" s="12"/>
      <c r="J687" s="12"/>
      <c r="K687" s="12"/>
      <c r="L687" s="12"/>
      <c r="M687" s="12"/>
      <c r="N687" s="12"/>
      <c r="O687" s="12"/>
      <c r="P687" s="12"/>
      <c r="Q687" s="12"/>
      <c r="R687" s="12"/>
      <c r="S687" s="12"/>
      <c r="T687" s="12"/>
      <c r="U687" s="12"/>
      <c r="W687" s="12"/>
      <c r="X687" s="12"/>
    </row>
    <row r="688" spans="1:24" ht="15.75" customHeight="1">
      <c r="A688" s="12"/>
      <c r="B688" s="12"/>
      <c r="C688" s="12"/>
      <c r="D688" s="12"/>
      <c r="E688" s="12"/>
      <c r="F688" s="12"/>
      <c r="G688" s="12"/>
      <c r="H688" s="12"/>
      <c r="I688" s="12"/>
      <c r="J688" s="12"/>
      <c r="K688" s="12"/>
      <c r="L688" s="12"/>
      <c r="M688" s="12"/>
      <c r="N688" s="12"/>
      <c r="O688" s="12"/>
      <c r="P688" s="12"/>
      <c r="Q688" s="12"/>
      <c r="R688" s="12"/>
      <c r="S688" s="12"/>
      <c r="T688" s="12"/>
      <c r="U688" s="12"/>
      <c r="W688" s="12"/>
      <c r="X688" s="12"/>
    </row>
    <row r="689" spans="1:24" ht="15.75" customHeight="1">
      <c r="A689" s="12"/>
      <c r="B689" s="12"/>
      <c r="C689" s="12"/>
      <c r="D689" s="12"/>
      <c r="E689" s="12"/>
      <c r="F689" s="12"/>
      <c r="G689" s="12"/>
      <c r="H689" s="12"/>
      <c r="I689" s="12"/>
      <c r="J689" s="12"/>
      <c r="K689" s="12"/>
      <c r="L689" s="12"/>
      <c r="M689" s="12"/>
      <c r="N689" s="12"/>
      <c r="O689" s="12"/>
      <c r="P689" s="12"/>
      <c r="Q689" s="12"/>
      <c r="R689" s="12"/>
      <c r="S689" s="12"/>
      <c r="T689" s="12"/>
      <c r="U689" s="12"/>
      <c r="W689" s="12"/>
      <c r="X689" s="12"/>
    </row>
    <row r="690" spans="1:24" ht="15.75" customHeight="1">
      <c r="A690" s="12"/>
      <c r="B690" s="12"/>
      <c r="C690" s="12"/>
      <c r="D690" s="12"/>
      <c r="E690" s="12"/>
      <c r="F690" s="12"/>
      <c r="G690" s="12"/>
      <c r="H690" s="12"/>
      <c r="I690" s="12"/>
      <c r="J690" s="12"/>
      <c r="K690" s="12"/>
      <c r="L690" s="12"/>
      <c r="M690" s="12"/>
      <c r="N690" s="12"/>
      <c r="O690" s="12"/>
      <c r="P690" s="12"/>
      <c r="Q690" s="12"/>
      <c r="R690" s="12"/>
      <c r="S690" s="12"/>
      <c r="T690" s="12"/>
      <c r="U690" s="12"/>
      <c r="W690" s="12"/>
      <c r="X690" s="12"/>
    </row>
    <row r="691" spans="1:24" ht="15.75" customHeight="1">
      <c r="A691" s="12"/>
      <c r="B691" s="12"/>
      <c r="C691" s="12"/>
      <c r="D691" s="12"/>
      <c r="E691" s="12"/>
      <c r="F691" s="12"/>
      <c r="G691" s="12"/>
      <c r="H691" s="12"/>
      <c r="I691" s="12"/>
      <c r="J691" s="12"/>
      <c r="K691" s="12"/>
      <c r="L691" s="12"/>
      <c r="M691" s="12"/>
      <c r="N691" s="12"/>
      <c r="O691" s="12"/>
      <c r="P691" s="12"/>
      <c r="Q691" s="12"/>
      <c r="R691" s="12"/>
      <c r="S691" s="12"/>
      <c r="T691" s="12"/>
      <c r="U691" s="12"/>
      <c r="W691" s="12"/>
      <c r="X691" s="12"/>
    </row>
    <row r="692" spans="1:24" ht="15.75" customHeight="1">
      <c r="A692" s="12"/>
      <c r="B692" s="12"/>
      <c r="C692" s="12"/>
      <c r="D692" s="12"/>
      <c r="E692" s="12"/>
      <c r="F692" s="12"/>
      <c r="G692" s="12"/>
      <c r="H692" s="12"/>
      <c r="I692" s="12"/>
      <c r="J692" s="12"/>
      <c r="K692" s="12"/>
      <c r="L692" s="12"/>
      <c r="M692" s="12"/>
      <c r="N692" s="12"/>
      <c r="O692" s="12"/>
      <c r="P692" s="12"/>
      <c r="Q692" s="12"/>
      <c r="R692" s="12"/>
      <c r="S692" s="12"/>
      <c r="T692" s="12"/>
      <c r="U692" s="12"/>
      <c r="W692" s="12"/>
      <c r="X692" s="12"/>
    </row>
    <row r="693" spans="1:24" ht="15.75" customHeight="1">
      <c r="A693" s="12"/>
      <c r="B693" s="12"/>
      <c r="C693" s="12"/>
      <c r="D693" s="12"/>
      <c r="E693" s="12"/>
      <c r="F693" s="12"/>
      <c r="G693" s="12"/>
      <c r="H693" s="12"/>
      <c r="I693" s="12"/>
      <c r="J693" s="12"/>
      <c r="K693" s="12"/>
      <c r="L693" s="12"/>
      <c r="M693" s="12"/>
      <c r="N693" s="12"/>
      <c r="O693" s="12"/>
      <c r="P693" s="12"/>
      <c r="Q693" s="12"/>
      <c r="R693" s="12"/>
      <c r="S693" s="12"/>
      <c r="T693" s="12"/>
      <c r="U693" s="12"/>
      <c r="W693" s="12"/>
      <c r="X693" s="12"/>
    </row>
    <row r="694" spans="1:24" ht="15.75" customHeight="1">
      <c r="A694" s="12"/>
      <c r="B694" s="12"/>
      <c r="C694" s="12"/>
      <c r="D694" s="12"/>
      <c r="E694" s="12"/>
      <c r="F694" s="12"/>
      <c r="G694" s="12"/>
      <c r="H694" s="12"/>
      <c r="I694" s="12"/>
      <c r="J694" s="12"/>
      <c r="K694" s="12"/>
      <c r="L694" s="12"/>
      <c r="M694" s="12"/>
      <c r="N694" s="12"/>
      <c r="O694" s="12"/>
      <c r="P694" s="12"/>
      <c r="Q694" s="12"/>
      <c r="R694" s="12"/>
      <c r="S694" s="12"/>
      <c r="T694" s="12"/>
      <c r="U694" s="12"/>
      <c r="W694" s="12"/>
      <c r="X694" s="12"/>
    </row>
    <row r="695" spans="1:24" ht="15.75" customHeight="1">
      <c r="A695" s="12"/>
      <c r="B695" s="12"/>
      <c r="C695" s="12"/>
      <c r="D695" s="12"/>
      <c r="E695" s="12"/>
      <c r="F695" s="12"/>
      <c r="G695" s="12"/>
      <c r="H695" s="12"/>
      <c r="I695" s="12"/>
      <c r="J695" s="12"/>
      <c r="K695" s="12"/>
      <c r="L695" s="12"/>
      <c r="M695" s="12"/>
      <c r="N695" s="12"/>
      <c r="O695" s="12"/>
      <c r="P695" s="12"/>
      <c r="Q695" s="12"/>
      <c r="R695" s="12"/>
      <c r="S695" s="12"/>
      <c r="T695" s="12"/>
      <c r="U695" s="12"/>
      <c r="W695" s="12"/>
      <c r="X695" s="12"/>
    </row>
    <row r="696" spans="1:24" ht="15.75" customHeight="1">
      <c r="A696" s="12"/>
      <c r="B696" s="12"/>
      <c r="C696" s="12"/>
      <c r="D696" s="12"/>
      <c r="E696" s="12"/>
      <c r="F696" s="12"/>
      <c r="G696" s="12"/>
      <c r="H696" s="12"/>
      <c r="I696" s="12"/>
      <c r="J696" s="12"/>
      <c r="K696" s="12"/>
      <c r="L696" s="12"/>
      <c r="M696" s="12"/>
      <c r="N696" s="12"/>
      <c r="O696" s="12"/>
      <c r="P696" s="12"/>
      <c r="Q696" s="12"/>
      <c r="R696" s="12"/>
      <c r="S696" s="12"/>
      <c r="T696" s="12"/>
      <c r="U696" s="12"/>
      <c r="W696" s="12"/>
      <c r="X696" s="12"/>
    </row>
    <row r="697" spans="1:24" ht="15.75" customHeight="1">
      <c r="A697" s="12"/>
      <c r="B697" s="12"/>
      <c r="C697" s="12"/>
      <c r="D697" s="12"/>
      <c r="E697" s="12"/>
      <c r="F697" s="12"/>
      <c r="G697" s="12"/>
      <c r="H697" s="12"/>
      <c r="I697" s="12"/>
      <c r="J697" s="12"/>
      <c r="K697" s="12"/>
      <c r="L697" s="12"/>
      <c r="M697" s="12"/>
      <c r="N697" s="12"/>
      <c r="O697" s="12"/>
      <c r="P697" s="12"/>
      <c r="Q697" s="12"/>
      <c r="R697" s="12"/>
      <c r="S697" s="12"/>
      <c r="T697" s="12"/>
      <c r="U697" s="12"/>
      <c r="W697" s="12"/>
      <c r="X697" s="12"/>
    </row>
    <row r="698" spans="1:24" ht="15.75" customHeight="1">
      <c r="A698" s="12"/>
      <c r="B698" s="12"/>
      <c r="C698" s="12"/>
      <c r="D698" s="12"/>
      <c r="E698" s="12"/>
      <c r="F698" s="12"/>
      <c r="G698" s="12"/>
      <c r="H698" s="12"/>
      <c r="I698" s="12"/>
      <c r="J698" s="12"/>
      <c r="K698" s="12"/>
      <c r="L698" s="12"/>
      <c r="M698" s="12"/>
      <c r="N698" s="12"/>
      <c r="O698" s="12"/>
      <c r="P698" s="12"/>
      <c r="Q698" s="12"/>
      <c r="R698" s="12"/>
      <c r="S698" s="12"/>
      <c r="T698" s="12"/>
      <c r="U698" s="12"/>
      <c r="W698" s="12"/>
      <c r="X698" s="12"/>
    </row>
    <row r="699" spans="1:24" ht="15.75" customHeight="1">
      <c r="A699" s="12"/>
      <c r="B699" s="12"/>
      <c r="C699" s="12"/>
      <c r="D699" s="12"/>
      <c r="E699" s="12"/>
      <c r="F699" s="12"/>
      <c r="G699" s="12"/>
      <c r="H699" s="12"/>
      <c r="I699" s="12"/>
      <c r="J699" s="12"/>
      <c r="K699" s="12"/>
      <c r="L699" s="12"/>
      <c r="M699" s="12"/>
      <c r="N699" s="12"/>
      <c r="O699" s="12"/>
      <c r="P699" s="12"/>
      <c r="Q699" s="12"/>
      <c r="R699" s="12"/>
      <c r="S699" s="12"/>
      <c r="T699" s="12"/>
      <c r="U699" s="12"/>
      <c r="W699" s="12"/>
      <c r="X699" s="12"/>
    </row>
    <row r="700" spans="1:24" ht="15.75" customHeight="1">
      <c r="A700" s="12"/>
      <c r="B700" s="12"/>
      <c r="C700" s="12"/>
      <c r="D700" s="12"/>
      <c r="E700" s="12"/>
      <c r="F700" s="12"/>
      <c r="G700" s="12"/>
      <c r="H700" s="12"/>
      <c r="I700" s="12"/>
      <c r="J700" s="12"/>
      <c r="K700" s="12"/>
      <c r="L700" s="12"/>
      <c r="M700" s="12"/>
      <c r="N700" s="12"/>
      <c r="O700" s="12"/>
      <c r="P700" s="12"/>
      <c r="Q700" s="12"/>
      <c r="R700" s="12"/>
      <c r="S700" s="12"/>
      <c r="T700" s="12"/>
      <c r="U700" s="12"/>
      <c r="W700" s="12"/>
      <c r="X700" s="12"/>
    </row>
    <row r="701" spans="1:24" ht="15.75" customHeight="1">
      <c r="A701" s="12"/>
      <c r="B701" s="12"/>
      <c r="C701" s="12"/>
      <c r="D701" s="12"/>
      <c r="E701" s="12"/>
      <c r="F701" s="12"/>
      <c r="G701" s="12"/>
      <c r="H701" s="12"/>
      <c r="I701" s="12"/>
      <c r="J701" s="12"/>
      <c r="K701" s="12"/>
      <c r="L701" s="12"/>
      <c r="M701" s="12"/>
      <c r="N701" s="12"/>
      <c r="O701" s="12"/>
      <c r="P701" s="12"/>
      <c r="Q701" s="12"/>
      <c r="R701" s="12"/>
      <c r="S701" s="12"/>
      <c r="T701" s="12"/>
      <c r="U701" s="12"/>
      <c r="W701" s="12"/>
      <c r="X701" s="12"/>
    </row>
    <row r="702" spans="1:24" ht="15.75" customHeight="1">
      <c r="A702" s="12"/>
      <c r="B702" s="12"/>
      <c r="C702" s="12"/>
      <c r="D702" s="12"/>
      <c r="E702" s="12"/>
      <c r="F702" s="12"/>
      <c r="G702" s="12"/>
      <c r="H702" s="12"/>
      <c r="I702" s="12"/>
      <c r="J702" s="12"/>
      <c r="K702" s="12"/>
      <c r="L702" s="12"/>
      <c r="M702" s="12"/>
      <c r="N702" s="12"/>
      <c r="O702" s="12"/>
      <c r="P702" s="12"/>
      <c r="Q702" s="12"/>
      <c r="R702" s="12"/>
      <c r="S702" s="12"/>
      <c r="T702" s="12"/>
      <c r="U702" s="12"/>
      <c r="W702" s="12"/>
      <c r="X702" s="12"/>
    </row>
    <row r="703" spans="1:24" ht="15.75" customHeight="1">
      <c r="A703" s="12"/>
      <c r="B703" s="12"/>
      <c r="C703" s="12"/>
      <c r="D703" s="12"/>
      <c r="E703" s="12"/>
      <c r="F703" s="12"/>
      <c r="G703" s="12"/>
      <c r="H703" s="12"/>
      <c r="I703" s="12"/>
      <c r="J703" s="12"/>
      <c r="K703" s="12"/>
      <c r="L703" s="12"/>
      <c r="M703" s="12"/>
      <c r="N703" s="12"/>
      <c r="O703" s="12"/>
      <c r="P703" s="12"/>
      <c r="Q703" s="12"/>
      <c r="R703" s="12"/>
      <c r="S703" s="12"/>
      <c r="T703" s="12"/>
      <c r="U703" s="12"/>
      <c r="W703" s="12"/>
      <c r="X703" s="12"/>
    </row>
    <row r="704" spans="1:24" ht="15.75" customHeight="1">
      <c r="A704" s="12"/>
      <c r="B704" s="12"/>
      <c r="C704" s="12"/>
      <c r="D704" s="12"/>
      <c r="E704" s="12"/>
      <c r="F704" s="12"/>
      <c r="G704" s="12"/>
      <c r="H704" s="12"/>
      <c r="I704" s="12"/>
      <c r="J704" s="12"/>
      <c r="K704" s="12"/>
      <c r="L704" s="12"/>
      <c r="M704" s="12"/>
      <c r="N704" s="12"/>
      <c r="O704" s="12"/>
      <c r="P704" s="12"/>
      <c r="Q704" s="12"/>
      <c r="R704" s="12"/>
      <c r="S704" s="12"/>
      <c r="T704" s="12"/>
      <c r="U704" s="12"/>
      <c r="W704" s="12"/>
      <c r="X704" s="12"/>
    </row>
    <row r="705" spans="1:24" ht="15.75" customHeight="1">
      <c r="A705" s="12"/>
      <c r="B705" s="12"/>
      <c r="C705" s="12"/>
      <c r="D705" s="12"/>
      <c r="E705" s="12"/>
      <c r="F705" s="12"/>
      <c r="G705" s="12"/>
      <c r="H705" s="12"/>
      <c r="I705" s="12"/>
      <c r="J705" s="12"/>
      <c r="K705" s="12"/>
      <c r="L705" s="12"/>
      <c r="M705" s="12"/>
      <c r="N705" s="12"/>
      <c r="O705" s="12"/>
      <c r="P705" s="12"/>
      <c r="Q705" s="12"/>
      <c r="R705" s="12"/>
      <c r="S705" s="12"/>
      <c r="T705" s="12"/>
      <c r="U705" s="12"/>
      <c r="W705" s="12"/>
      <c r="X705" s="12"/>
    </row>
    <row r="706" spans="1:24" ht="15.75" customHeight="1">
      <c r="A706" s="12"/>
      <c r="B706" s="12"/>
      <c r="C706" s="12"/>
      <c r="D706" s="12"/>
      <c r="E706" s="12"/>
      <c r="F706" s="12"/>
      <c r="G706" s="12"/>
      <c r="H706" s="12"/>
      <c r="I706" s="12"/>
      <c r="J706" s="12"/>
      <c r="K706" s="12"/>
      <c r="L706" s="12"/>
      <c r="M706" s="12"/>
      <c r="N706" s="12"/>
      <c r="O706" s="12"/>
      <c r="P706" s="12"/>
      <c r="Q706" s="12"/>
      <c r="R706" s="12"/>
      <c r="S706" s="12"/>
      <c r="T706" s="12"/>
      <c r="U706" s="12"/>
      <c r="W706" s="12"/>
      <c r="X706" s="12"/>
    </row>
    <row r="707" spans="1:24" ht="15.75" customHeight="1">
      <c r="A707" s="12"/>
      <c r="B707" s="12"/>
      <c r="C707" s="12"/>
      <c r="D707" s="12"/>
      <c r="E707" s="12"/>
      <c r="F707" s="12"/>
      <c r="G707" s="12"/>
      <c r="H707" s="12"/>
      <c r="I707" s="12"/>
      <c r="J707" s="12"/>
      <c r="K707" s="12"/>
      <c r="L707" s="12"/>
      <c r="M707" s="12"/>
      <c r="N707" s="12"/>
      <c r="O707" s="12"/>
      <c r="P707" s="12"/>
      <c r="Q707" s="12"/>
      <c r="R707" s="12"/>
      <c r="S707" s="12"/>
      <c r="T707" s="12"/>
      <c r="U707" s="12"/>
      <c r="W707" s="12"/>
      <c r="X707" s="12"/>
    </row>
    <row r="708" spans="1:24" ht="15.75" customHeight="1">
      <c r="A708" s="12"/>
      <c r="B708" s="12"/>
      <c r="C708" s="12"/>
      <c r="D708" s="12"/>
      <c r="E708" s="12"/>
      <c r="F708" s="12"/>
      <c r="G708" s="12"/>
      <c r="H708" s="12"/>
      <c r="I708" s="12"/>
      <c r="J708" s="12"/>
      <c r="K708" s="12"/>
      <c r="L708" s="12"/>
      <c r="M708" s="12"/>
      <c r="N708" s="12"/>
      <c r="O708" s="12"/>
      <c r="P708" s="12"/>
      <c r="Q708" s="12"/>
      <c r="R708" s="12"/>
      <c r="S708" s="12"/>
      <c r="T708" s="12"/>
      <c r="U708" s="12"/>
      <c r="W708" s="12"/>
      <c r="X708" s="12"/>
    </row>
    <row r="709" spans="1:24" ht="15.75" customHeight="1">
      <c r="A709" s="12"/>
      <c r="B709" s="12"/>
      <c r="C709" s="12"/>
      <c r="D709" s="12"/>
      <c r="E709" s="12"/>
      <c r="F709" s="12"/>
      <c r="G709" s="12"/>
      <c r="H709" s="12"/>
      <c r="I709" s="12"/>
      <c r="J709" s="12"/>
      <c r="K709" s="12"/>
      <c r="L709" s="12"/>
      <c r="M709" s="12"/>
      <c r="N709" s="12"/>
      <c r="O709" s="12"/>
      <c r="P709" s="12"/>
      <c r="Q709" s="12"/>
      <c r="R709" s="12"/>
      <c r="S709" s="12"/>
      <c r="T709" s="12"/>
      <c r="U709" s="12"/>
      <c r="W709" s="12"/>
      <c r="X709" s="12"/>
    </row>
    <row r="710" spans="1:24" ht="15.75" customHeight="1">
      <c r="A710" s="12"/>
      <c r="B710" s="12"/>
      <c r="C710" s="12"/>
      <c r="D710" s="12"/>
      <c r="E710" s="12"/>
      <c r="F710" s="12"/>
      <c r="G710" s="12"/>
      <c r="H710" s="12"/>
      <c r="I710" s="12"/>
      <c r="J710" s="12"/>
      <c r="K710" s="12"/>
      <c r="L710" s="12"/>
      <c r="M710" s="12"/>
      <c r="N710" s="12"/>
      <c r="O710" s="12"/>
      <c r="P710" s="12"/>
      <c r="Q710" s="12"/>
      <c r="R710" s="12"/>
      <c r="S710" s="12"/>
      <c r="T710" s="12"/>
      <c r="U710" s="12"/>
      <c r="W710" s="12"/>
      <c r="X710" s="12"/>
    </row>
    <row r="711" spans="1:24" ht="15.75" customHeight="1">
      <c r="A711" s="12"/>
      <c r="B711" s="12"/>
      <c r="C711" s="12"/>
      <c r="D711" s="12"/>
      <c r="E711" s="12"/>
      <c r="F711" s="12"/>
      <c r="G711" s="12"/>
      <c r="H711" s="12"/>
      <c r="I711" s="12"/>
      <c r="J711" s="12"/>
      <c r="K711" s="12"/>
      <c r="L711" s="12"/>
      <c r="M711" s="12"/>
      <c r="N711" s="12"/>
      <c r="O711" s="12"/>
      <c r="P711" s="12"/>
      <c r="Q711" s="12"/>
      <c r="R711" s="12"/>
      <c r="S711" s="12"/>
      <c r="T711" s="12"/>
      <c r="U711" s="12"/>
      <c r="W711" s="12"/>
      <c r="X711" s="12"/>
    </row>
    <row r="712" spans="1:24" ht="15.75" customHeight="1">
      <c r="A712" s="12"/>
      <c r="B712" s="12"/>
      <c r="C712" s="12"/>
      <c r="D712" s="12"/>
      <c r="E712" s="12"/>
      <c r="F712" s="12"/>
      <c r="G712" s="12"/>
      <c r="H712" s="12"/>
      <c r="I712" s="12"/>
      <c r="J712" s="12"/>
      <c r="K712" s="12"/>
      <c r="L712" s="12"/>
      <c r="M712" s="12"/>
      <c r="N712" s="12"/>
      <c r="O712" s="12"/>
      <c r="P712" s="12"/>
      <c r="Q712" s="12"/>
      <c r="R712" s="12"/>
      <c r="S712" s="12"/>
      <c r="T712" s="12"/>
      <c r="U712" s="12"/>
      <c r="W712" s="12"/>
      <c r="X712" s="12"/>
    </row>
    <row r="713" spans="1:24" ht="15.75" customHeight="1">
      <c r="A713" s="12"/>
      <c r="B713" s="12"/>
      <c r="C713" s="12"/>
      <c r="D713" s="12"/>
      <c r="E713" s="12"/>
      <c r="F713" s="12"/>
      <c r="G713" s="12"/>
      <c r="H713" s="12"/>
      <c r="I713" s="12"/>
      <c r="J713" s="12"/>
      <c r="K713" s="12"/>
      <c r="L713" s="12"/>
      <c r="M713" s="12"/>
      <c r="N713" s="12"/>
      <c r="O713" s="12"/>
      <c r="P713" s="12"/>
      <c r="Q713" s="12"/>
      <c r="R713" s="12"/>
      <c r="S713" s="12"/>
      <c r="T713" s="12"/>
      <c r="U713" s="12"/>
      <c r="W713" s="12"/>
      <c r="X713" s="12"/>
    </row>
    <row r="714" spans="1:24" ht="15.75" customHeight="1">
      <c r="A714" s="12"/>
      <c r="B714" s="12"/>
      <c r="C714" s="12"/>
      <c r="D714" s="12"/>
      <c r="E714" s="12"/>
      <c r="F714" s="12"/>
      <c r="G714" s="12"/>
      <c r="H714" s="12"/>
      <c r="I714" s="12"/>
      <c r="J714" s="12"/>
      <c r="K714" s="12"/>
      <c r="L714" s="12"/>
      <c r="M714" s="12"/>
      <c r="N714" s="12"/>
      <c r="O714" s="12"/>
      <c r="P714" s="12"/>
      <c r="Q714" s="12"/>
      <c r="R714" s="12"/>
      <c r="S714" s="12"/>
      <c r="T714" s="12"/>
      <c r="U714" s="12"/>
      <c r="W714" s="12"/>
      <c r="X714" s="12"/>
    </row>
    <row r="715" spans="1:24" ht="15.75" customHeight="1">
      <c r="A715" s="12"/>
      <c r="B715" s="12"/>
      <c r="C715" s="12"/>
      <c r="D715" s="12"/>
      <c r="E715" s="12"/>
      <c r="F715" s="12"/>
      <c r="G715" s="12"/>
      <c r="H715" s="12"/>
      <c r="I715" s="12"/>
      <c r="J715" s="12"/>
      <c r="K715" s="12"/>
      <c r="L715" s="12"/>
      <c r="M715" s="12"/>
      <c r="N715" s="12"/>
      <c r="O715" s="12"/>
      <c r="P715" s="12"/>
      <c r="Q715" s="12"/>
      <c r="R715" s="12"/>
      <c r="S715" s="12"/>
      <c r="T715" s="12"/>
      <c r="U715" s="12"/>
      <c r="W715" s="12"/>
      <c r="X715" s="12"/>
    </row>
    <row r="716" spans="1:24" ht="15.75" customHeight="1">
      <c r="A716" s="12"/>
      <c r="B716" s="12"/>
      <c r="C716" s="12"/>
      <c r="D716" s="12"/>
      <c r="E716" s="12"/>
      <c r="F716" s="12"/>
      <c r="G716" s="12"/>
      <c r="H716" s="12"/>
      <c r="I716" s="12"/>
      <c r="J716" s="12"/>
      <c r="K716" s="12"/>
      <c r="L716" s="12"/>
      <c r="M716" s="12"/>
      <c r="N716" s="12"/>
      <c r="O716" s="12"/>
      <c r="P716" s="12"/>
      <c r="Q716" s="12"/>
      <c r="R716" s="12"/>
      <c r="S716" s="12"/>
      <c r="T716" s="12"/>
      <c r="U716" s="12"/>
      <c r="W716" s="12"/>
      <c r="X716" s="12"/>
    </row>
    <row r="717" spans="1:24" ht="15.75" customHeight="1">
      <c r="A717" s="12"/>
      <c r="B717" s="12"/>
      <c r="C717" s="12"/>
      <c r="D717" s="12"/>
      <c r="E717" s="12"/>
      <c r="F717" s="12"/>
      <c r="G717" s="12"/>
      <c r="H717" s="12"/>
      <c r="I717" s="12"/>
      <c r="J717" s="12"/>
      <c r="K717" s="12"/>
      <c r="L717" s="12"/>
      <c r="M717" s="12"/>
      <c r="N717" s="12"/>
      <c r="O717" s="12"/>
      <c r="P717" s="12"/>
      <c r="Q717" s="12"/>
      <c r="R717" s="12"/>
      <c r="S717" s="12"/>
      <c r="T717" s="12"/>
      <c r="U717" s="12"/>
      <c r="W717" s="12"/>
      <c r="X717" s="12"/>
    </row>
    <row r="718" spans="1:24" ht="15.75" customHeight="1">
      <c r="A718" s="12"/>
      <c r="B718" s="12"/>
      <c r="C718" s="12"/>
      <c r="D718" s="12"/>
      <c r="E718" s="12"/>
      <c r="F718" s="12"/>
      <c r="G718" s="12"/>
      <c r="H718" s="12"/>
      <c r="I718" s="12"/>
      <c r="J718" s="12"/>
      <c r="K718" s="12"/>
      <c r="L718" s="12"/>
      <c r="M718" s="12"/>
      <c r="N718" s="12"/>
      <c r="O718" s="12"/>
      <c r="P718" s="12"/>
      <c r="Q718" s="12"/>
      <c r="R718" s="12"/>
      <c r="S718" s="12"/>
      <c r="T718" s="12"/>
      <c r="U718" s="12"/>
      <c r="W718" s="12"/>
      <c r="X718" s="12"/>
    </row>
    <row r="719" spans="1:24" ht="15.75" customHeight="1">
      <c r="A719" s="12"/>
      <c r="B719" s="12"/>
      <c r="C719" s="12"/>
      <c r="D719" s="12"/>
      <c r="E719" s="12"/>
      <c r="F719" s="12"/>
      <c r="G719" s="12"/>
      <c r="H719" s="12"/>
      <c r="I719" s="12"/>
      <c r="J719" s="12"/>
      <c r="K719" s="12"/>
      <c r="L719" s="12"/>
      <c r="M719" s="12"/>
      <c r="N719" s="12"/>
      <c r="O719" s="12"/>
      <c r="P719" s="12"/>
      <c r="Q719" s="12"/>
      <c r="R719" s="12"/>
      <c r="S719" s="12"/>
      <c r="T719" s="12"/>
      <c r="U719" s="12"/>
      <c r="W719" s="12"/>
      <c r="X719" s="12"/>
    </row>
    <row r="720" spans="1:24" ht="15.75" customHeight="1">
      <c r="A720" s="12"/>
      <c r="B720" s="12"/>
      <c r="C720" s="12"/>
      <c r="D720" s="12"/>
      <c r="E720" s="12"/>
      <c r="F720" s="12"/>
      <c r="G720" s="12"/>
      <c r="H720" s="12"/>
      <c r="I720" s="12"/>
      <c r="J720" s="12"/>
      <c r="K720" s="12"/>
      <c r="L720" s="12"/>
      <c r="M720" s="12"/>
      <c r="N720" s="12"/>
      <c r="O720" s="12"/>
      <c r="P720" s="12"/>
      <c r="Q720" s="12"/>
      <c r="R720" s="12"/>
      <c r="S720" s="12"/>
      <c r="T720" s="12"/>
      <c r="U720" s="12"/>
      <c r="W720" s="12"/>
      <c r="X720" s="12"/>
    </row>
    <row r="721" spans="1:24" ht="15.75" customHeight="1">
      <c r="A721" s="12"/>
      <c r="B721" s="12"/>
      <c r="C721" s="12"/>
      <c r="D721" s="12"/>
      <c r="E721" s="12"/>
      <c r="F721" s="12"/>
      <c r="G721" s="12"/>
      <c r="H721" s="12"/>
      <c r="I721" s="12"/>
      <c r="J721" s="12"/>
      <c r="K721" s="12"/>
      <c r="L721" s="12"/>
      <c r="M721" s="12"/>
      <c r="N721" s="12"/>
      <c r="O721" s="12"/>
      <c r="P721" s="12"/>
      <c r="Q721" s="12"/>
      <c r="R721" s="12"/>
      <c r="S721" s="12"/>
      <c r="T721" s="12"/>
      <c r="U721" s="12"/>
      <c r="W721" s="12"/>
      <c r="X721" s="12"/>
    </row>
    <row r="722" spans="1:24" ht="15.75" customHeight="1">
      <c r="A722" s="12"/>
      <c r="B722" s="12"/>
      <c r="C722" s="12"/>
      <c r="D722" s="12"/>
      <c r="E722" s="12"/>
      <c r="F722" s="12"/>
      <c r="G722" s="12"/>
      <c r="H722" s="12"/>
      <c r="I722" s="12"/>
      <c r="J722" s="12"/>
      <c r="K722" s="12"/>
      <c r="L722" s="12"/>
      <c r="M722" s="12"/>
      <c r="N722" s="12"/>
      <c r="O722" s="12"/>
      <c r="P722" s="12"/>
      <c r="Q722" s="12"/>
      <c r="R722" s="12"/>
      <c r="S722" s="12"/>
      <c r="T722" s="12"/>
      <c r="U722" s="12"/>
      <c r="W722" s="12"/>
      <c r="X722" s="12"/>
    </row>
    <row r="723" spans="1:24" ht="15.75" customHeight="1">
      <c r="A723" s="12"/>
      <c r="B723" s="12"/>
      <c r="C723" s="12"/>
      <c r="D723" s="12"/>
      <c r="E723" s="12"/>
      <c r="F723" s="12"/>
      <c r="G723" s="12"/>
      <c r="H723" s="12"/>
      <c r="I723" s="12"/>
      <c r="J723" s="12"/>
      <c r="K723" s="12"/>
      <c r="L723" s="12"/>
      <c r="M723" s="12"/>
      <c r="N723" s="12"/>
      <c r="O723" s="12"/>
      <c r="P723" s="12"/>
      <c r="Q723" s="12"/>
      <c r="R723" s="12"/>
      <c r="S723" s="12"/>
      <c r="T723" s="12"/>
      <c r="U723" s="12"/>
      <c r="W723" s="12"/>
      <c r="X723" s="12"/>
    </row>
    <row r="724" spans="1:24" ht="15.75" customHeight="1">
      <c r="A724" s="12"/>
      <c r="B724" s="12"/>
      <c r="C724" s="12"/>
      <c r="D724" s="12"/>
      <c r="E724" s="12"/>
      <c r="F724" s="12"/>
      <c r="G724" s="12"/>
      <c r="H724" s="12"/>
      <c r="I724" s="12"/>
      <c r="J724" s="12"/>
      <c r="K724" s="12"/>
      <c r="L724" s="12"/>
      <c r="M724" s="12"/>
      <c r="N724" s="12"/>
      <c r="O724" s="12"/>
      <c r="P724" s="12"/>
      <c r="Q724" s="12"/>
      <c r="R724" s="12"/>
      <c r="S724" s="12"/>
      <c r="T724" s="12"/>
      <c r="U724" s="12"/>
      <c r="W724" s="12"/>
      <c r="X724" s="12"/>
    </row>
    <row r="725" spans="1:24" ht="15.75" customHeight="1">
      <c r="A725" s="12"/>
      <c r="B725" s="12"/>
      <c r="C725" s="12"/>
      <c r="D725" s="12"/>
      <c r="E725" s="12"/>
      <c r="F725" s="12"/>
      <c r="G725" s="12"/>
      <c r="H725" s="12"/>
      <c r="I725" s="12"/>
      <c r="J725" s="12"/>
      <c r="K725" s="12"/>
      <c r="L725" s="12"/>
      <c r="M725" s="12"/>
      <c r="N725" s="12"/>
      <c r="O725" s="12"/>
      <c r="P725" s="12"/>
      <c r="Q725" s="12"/>
      <c r="R725" s="12"/>
      <c r="S725" s="12"/>
      <c r="T725" s="12"/>
      <c r="U725" s="12"/>
      <c r="W725" s="12"/>
      <c r="X725" s="12"/>
    </row>
    <row r="726" spans="1:24" ht="15.75" customHeight="1">
      <c r="A726" s="12"/>
      <c r="B726" s="12"/>
      <c r="C726" s="12"/>
      <c r="D726" s="12"/>
      <c r="E726" s="12"/>
      <c r="F726" s="12"/>
      <c r="G726" s="12"/>
      <c r="H726" s="12"/>
      <c r="I726" s="12"/>
      <c r="J726" s="12"/>
      <c r="K726" s="12"/>
      <c r="L726" s="12"/>
      <c r="M726" s="12"/>
      <c r="N726" s="12"/>
      <c r="O726" s="12"/>
      <c r="P726" s="12"/>
      <c r="Q726" s="12"/>
      <c r="R726" s="12"/>
      <c r="S726" s="12"/>
      <c r="T726" s="12"/>
      <c r="U726" s="12"/>
      <c r="W726" s="12"/>
      <c r="X726" s="12"/>
    </row>
    <row r="727" spans="1:24" ht="15.75" customHeight="1">
      <c r="A727" s="12"/>
      <c r="B727" s="12"/>
      <c r="C727" s="12"/>
      <c r="D727" s="12"/>
      <c r="E727" s="12"/>
      <c r="F727" s="12"/>
      <c r="G727" s="12"/>
      <c r="H727" s="12"/>
      <c r="I727" s="12"/>
      <c r="J727" s="12"/>
      <c r="K727" s="12"/>
      <c r="L727" s="12"/>
      <c r="M727" s="12"/>
      <c r="N727" s="12"/>
      <c r="O727" s="12"/>
      <c r="P727" s="12"/>
      <c r="Q727" s="12"/>
      <c r="R727" s="12"/>
      <c r="S727" s="12"/>
      <c r="T727" s="12"/>
      <c r="U727" s="12"/>
      <c r="W727" s="12"/>
      <c r="X727" s="12"/>
    </row>
    <row r="728" spans="1:24" ht="15.75" customHeight="1">
      <c r="A728" s="12"/>
      <c r="B728" s="12"/>
      <c r="C728" s="12"/>
      <c r="D728" s="12"/>
      <c r="E728" s="12"/>
      <c r="F728" s="12"/>
      <c r="G728" s="12"/>
      <c r="H728" s="12"/>
      <c r="I728" s="12"/>
      <c r="J728" s="12"/>
      <c r="K728" s="12"/>
      <c r="L728" s="12"/>
      <c r="M728" s="12"/>
      <c r="N728" s="12"/>
      <c r="O728" s="12"/>
      <c r="P728" s="12"/>
      <c r="Q728" s="12"/>
      <c r="R728" s="12"/>
      <c r="S728" s="12"/>
      <c r="T728" s="12"/>
      <c r="U728" s="12"/>
      <c r="W728" s="12"/>
      <c r="X728" s="12"/>
    </row>
    <row r="729" spans="1:24" ht="15.75" customHeight="1">
      <c r="A729" s="12"/>
      <c r="B729" s="12"/>
      <c r="C729" s="12"/>
      <c r="D729" s="12"/>
      <c r="E729" s="12"/>
      <c r="F729" s="12"/>
      <c r="G729" s="12"/>
      <c r="H729" s="12"/>
      <c r="I729" s="12"/>
      <c r="J729" s="12"/>
      <c r="K729" s="12"/>
      <c r="L729" s="12"/>
      <c r="M729" s="12"/>
      <c r="N729" s="12"/>
      <c r="O729" s="12"/>
      <c r="P729" s="12"/>
      <c r="Q729" s="12"/>
      <c r="R729" s="12"/>
      <c r="S729" s="12"/>
      <c r="T729" s="12"/>
      <c r="U729" s="12"/>
      <c r="W729" s="12"/>
      <c r="X729" s="12"/>
    </row>
    <row r="730" spans="1:24" ht="15.75" customHeight="1">
      <c r="A730" s="12"/>
      <c r="B730" s="12"/>
      <c r="C730" s="12"/>
      <c r="D730" s="12"/>
      <c r="E730" s="12"/>
      <c r="F730" s="12"/>
      <c r="G730" s="12"/>
      <c r="H730" s="12"/>
      <c r="I730" s="12"/>
      <c r="J730" s="12"/>
      <c r="K730" s="12"/>
      <c r="L730" s="12"/>
      <c r="M730" s="12"/>
      <c r="N730" s="12"/>
      <c r="O730" s="12"/>
      <c r="P730" s="12"/>
      <c r="Q730" s="12"/>
      <c r="R730" s="12"/>
      <c r="S730" s="12"/>
      <c r="T730" s="12"/>
      <c r="U730" s="12"/>
      <c r="W730" s="12"/>
      <c r="X730" s="12"/>
    </row>
    <row r="731" spans="1:24" ht="15.75" customHeight="1">
      <c r="A731" s="12"/>
      <c r="B731" s="12"/>
      <c r="C731" s="12"/>
      <c r="D731" s="12"/>
      <c r="E731" s="12"/>
      <c r="F731" s="12"/>
      <c r="G731" s="12"/>
      <c r="H731" s="12"/>
      <c r="I731" s="12"/>
      <c r="J731" s="12"/>
      <c r="K731" s="12"/>
      <c r="L731" s="12"/>
      <c r="M731" s="12"/>
      <c r="N731" s="12"/>
      <c r="O731" s="12"/>
      <c r="P731" s="12"/>
      <c r="Q731" s="12"/>
      <c r="R731" s="12"/>
      <c r="S731" s="12"/>
      <c r="T731" s="12"/>
      <c r="U731" s="12"/>
      <c r="W731" s="12"/>
      <c r="X731" s="12"/>
    </row>
    <row r="732" spans="1:24" ht="15.75" customHeight="1">
      <c r="A732" s="12"/>
      <c r="B732" s="12"/>
      <c r="C732" s="12"/>
      <c r="D732" s="12"/>
      <c r="E732" s="12"/>
      <c r="F732" s="12"/>
      <c r="G732" s="12"/>
      <c r="H732" s="12"/>
      <c r="I732" s="12"/>
      <c r="J732" s="12"/>
      <c r="K732" s="12"/>
      <c r="L732" s="12"/>
      <c r="M732" s="12"/>
      <c r="N732" s="12"/>
      <c r="O732" s="12"/>
      <c r="P732" s="12"/>
      <c r="Q732" s="12"/>
      <c r="R732" s="12"/>
      <c r="S732" s="12"/>
      <c r="T732" s="12"/>
      <c r="U732" s="12"/>
      <c r="W732" s="12"/>
      <c r="X732" s="12"/>
    </row>
    <row r="733" spans="1:24" ht="15.75" customHeight="1">
      <c r="A733" s="12"/>
      <c r="B733" s="12"/>
      <c r="C733" s="12"/>
      <c r="D733" s="12"/>
      <c r="E733" s="12"/>
      <c r="F733" s="12"/>
      <c r="G733" s="12"/>
      <c r="H733" s="12"/>
      <c r="I733" s="12"/>
      <c r="J733" s="12"/>
      <c r="K733" s="12"/>
      <c r="L733" s="12"/>
      <c r="M733" s="12"/>
      <c r="N733" s="12"/>
      <c r="O733" s="12"/>
      <c r="P733" s="12"/>
      <c r="Q733" s="12"/>
      <c r="R733" s="12"/>
      <c r="S733" s="12"/>
      <c r="T733" s="12"/>
      <c r="U733" s="12"/>
      <c r="W733" s="12"/>
      <c r="X733" s="12"/>
    </row>
    <row r="734" spans="1:24" ht="15.75" customHeight="1">
      <c r="A734" s="12"/>
      <c r="B734" s="12"/>
      <c r="C734" s="12"/>
      <c r="D734" s="12"/>
      <c r="E734" s="12"/>
      <c r="F734" s="12"/>
      <c r="G734" s="12"/>
      <c r="H734" s="12"/>
      <c r="I734" s="12"/>
      <c r="J734" s="12"/>
      <c r="K734" s="12"/>
      <c r="L734" s="12"/>
      <c r="M734" s="12"/>
      <c r="N734" s="12"/>
      <c r="O734" s="12"/>
      <c r="P734" s="12"/>
      <c r="Q734" s="12"/>
      <c r="R734" s="12"/>
      <c r="S734" s="12"/>
      <c r="T734" s="12"/>
      <c r="U734" s="12"/>
      <c r="W734" s="12"/>
      <c r="X734" s="12"/>
    </row>
    <row r="735" spans="1:24" ht="15.75" customHeight="1">
      <c r="A735" s="12"/>
      <c r="B735" s="12"/>
      <c r="C735" s="12"/>
      <c r="D735" s="12"/>
      <c r="E735" s="12"/>
      <c r="F735" s="12"/>
      <c r="G735" s="12"/>
      <c r="H735" s="12"/>
      <c r="I735" s="12"/>
      <c r="J735" s="12"/>
      <c r="K735" s="12"/>
      <c r="L735" s="12"/>
      <c r="M735" s="12"/>
      <c r="N735" s="12"/>
      <c r="O735" s="12"/>
      <c r="P735" s="12"/>
      <c r="Q735" s="12"/>
      <c r="R735" s="12"/>
      <c r="S735" s="12"/>
      <c r="T735" s="12"/>
      <c r="U735" s="12"/>
      <c r="W735" s="12"/>
      <c r="X735" s="12"/>
    </row>
    <row r="736" spans="1:24" ht="15.75" customHeight="1">
      <c r="A736" s="12"/>
      <c r="B736" s="12"/>
      <c r="C736" s="12"/>
      <c r="D736" s="12"/>
      <c r="E736" s="12"/>
      <c r="F736" s="12"/>
      <c r="G736" s="12"/>
      <c r="H736" s="12"/>
      <c r="I736" s="12"/>
      <c r="J736" s="12"/>
      <c r="K736" s="12"/>
      <c r="L736" s="12"/>
      <c r="M736" s="12"/>
      <c r="N736" s="12"/>
      <c r="O736" s="12"/>
      <c r="P736" s="12"/>
      <c r="Q736" s="12"/>
      <c r="R736" s="12"/>
      <c r="S736" s="12"/>
      <c r="T736" s="12"/>
      <c r="U736" s="12"/>
      <c r="W736" s="12"/>
      <c r="X736" s="12"/>
    </row>
    <row r="737" spans="1:24" ht="15.75" customHeight="1">
      <c r="A737" s="12"/>
      <c r="B737" s="12"/>
      <c r="C737" s="12"/>
      <c r="D737" s="12"/>
      <c r="E737" s="12"/>
      <c r="F737" s="12"/>
      <c r="G737" s="12"/>
      <c r="H737" s="12"/>
      <c r="I737" s="12"/>
      <c r="J737" s="12"/>
      <c r="K737" s="12"/>
      <c r="L737" s="12"/>
      <c r="M737" s="12"/>
      <c r="N737" s="12"/>
      <c r="O737" s="12"/>
      <c r="P737" s="12"/>
      <c r="Q737" s="12"/>
      <c r="R737" s="12"/>
      <c r="S737" s="12"/>
      <c r="T737" s="12"/>
      <c r="U737" s="12"/>
      <c r="W737" s="12"/>
      <c r="X737" s="12"/>
    </row>
    <row r="738" spans="1:24" ht="15.75" customHeight="1">
      <c r="A738" s="12"/>
      <c r="B738" s="12"/>
      <c r="C738" s="12"/>
      <c r="D738" s="12"/>
      <c r="E738" s="12"/>
      <c r="F738" s="12"/>
      <c r="G738" s="12"/>
      <c r="H738" s="12"/>
      <c r="I738" s="12"/>
      <c r="J738" s="12"/>
      <c r="K738" s="12"/>
      <c r="L738" s="12"/>
      <c r="M738" s="12"/>
      <c r="N738" s="12"/>
      <c r="O738" s="12"/>
      <c r="P738" s="12"/>
      <c r="Q738" s="12"/>
      <c r="R738" s="12"/>
      <c r="S738" s="12"/>
      <c r="T738" s="12"/>
      <c r="U738" s="12"/>
      <c r="W738" s="12"/>
      <c r="X738" s="12"/>
    </row>
    <row r="739" spans="1:24" ht="15.75" customHeight="1">
      <c r="A739" s="12"/>
      <c r="B739" s="12"/>
      <c r="C739" s="12"/>
      <c r="D739" s="12"/>
      <c r="E739" s="12"/>
      <c r="F739" s="12"/>
      <c r="G739" s="12"/>
      <c r="H739" s="12"/>
      <c r="I739" s="12"/>
      <c r="J739" s="12"/>
      <c r="K739" s="12"/>
      <c r="L739" s="12"/>
      <c r="M739" s="12"/>
      <c r="N739" s="12"/>
      <c r="O739" s="12"/>
      <c r="P739" s="12"/>
      <c r="Q739" s="12"/>
      <c r="R739" s="12"/>
      <c r="S739" s="12"/>
      <c r="T739" s="12"/>
      <c r="U739" s="12"/>
      <c r="W739" s="12"/>
      <c r="X739" s="12"/>
    </row>
    <row r="740" spans="1:24" ht="15.75" customHeight="1">
      <c r="A740" s="12"/>
      <c r="B740" s="12"/>
      <c r="C740" s="12"/>
      <c r="D740" s="12"/>
      <c r="E740" s="12"/>
      <c r="F740" s="12"/>
      <c r="G740" s="12"/>
      <c r="H740" s="12"/>
      <c r="I740" s="12"/>
      <c r="J740" s="12"/>
      <c r="K740" s="12"/>
      <c r="L740" s="12"/>
      <c r="M740" s="12"/>
      <c r="N740" s="12"/>
      <c r="O740" s="12"/>
      <c r="P740" s="12"/>
      <c r="Q740" s="12"/>
      <c r="R740" s="12"/>
      <c r="S740" s="12"/>
      <c r="T740" s="12"/>
      <c r="U740" s="12"/>
      <c r="W740" s="12"/>
      <c r="X740" s="12"/>
    </row>
    <row r="741" spans="1:24" ht="15.75" customHeight="1">
      <c r="A741" s="12"/>
      <c r="B741" s="12"/>
      <c r="C741" s="12"/>
      <c r="D741" s="12"/>
      <c r="E741" s="12"/>
      <c r="F741" s="12"/>
      <c r="G741" s="12"/>
      <c r="H741" s="12"/>
      <c r="I741" s="12"/>
      <c r="J741" s="12"/>
      <c r="K741" s="12"/>
      <c r="L741" s="12"/>
      <c r="M741" s="12"/>
      <c r="N741" s="12"/>
      <c r="O741" s="12"/>
      <c r="P741" s="12"/>
      <c r="Q741" s="12"/>
      <c r="R741" s="12"/>
      <c r="S741" s="12"/>
      <c r="T741" s="12"/>
      <c r="U741" s="12"/>
      <c r="W741" s="12"/>
      <c r="X741" s="12"/>
    </row>
    <row r="742" spans="1:24" ht="15.75" customHeight="1">
      <c r="A742" s="12"/>
      <c r="B742" s="12"/>
      <c r="C742" s="12"/>
      <c r="D742" s="12"/>
      <c r="E742" s="12"/>
      <c r="F742" s="12"/>
      <c r="G742" s="12"/>
      <c r="H742" s="12"/>
      <c r="I742" s="12"/>
      <c r="J742" s="12"/>
      <c r="K742" s="12"/>
      <c r="L742" s="12"/>
      <c r="M742" s="12"/>
      <c r="N742" s="12"/>
      <c r="O742" s="12"/>
      <c r="P742" s="12"/>
      <c r="Q742" s="12"/>
      <c r="R742" s="12"/>
      <c r="S742" s="12"/>
      <c r="T742" s="12"/>
      <c r="U742" s="12"/>
      <c r="W742" s="12"/>
      <c r="X742" s="12"/>
    </row>
    <row r="743" spans="1:24" ht="15.75" customHeight="1">
      <c r="A743" s="12"/>
      <c r="B743" s="12"/>
      <c r="C743" s="12"/>
      <c r="D743" s="12"/>
      <c r="E743" s="12"/>
      <c r="F743" s="12"/>
      <c r="G743" s="12"/>
      <c r="H743" s="12"/>
      <c r="I743" s="12"/>
      <c r="J743" s="12"/>
      <c r="K743" s="12"/>
      <c r="L743" s="12"/>
      <c r="M743" s="12"/>
      <c r="N743" s="12"/>
      <c r="O743" s="12"/>
      <c r="P743" s="12"/>
      <c r="Q743" s="12"/>
      <c r="R743" s="12"/>
      <c r="S743" s="12"/>
      <c r="T743" s="12"/>
      <c r="U743" s="12"/>
      <c r="W743" s="12"/>
      <c r="X743" s="12"/>
    </row>
    <row r="744" spans="1:24" ht="15.75" customHeight="1">
      <c r="A744" s="12"/>
      <c r="B744" s="12"/>
      <c r="C744" s="12"/>
      <c r="D744" s="12"/>
      <c r="E744" s="12"/>
      <c r="F744" s="12"/>
      <c r="G744" s="12"/>
      <c r="H744" s="12"/>
      <c r="I744" s="12"/>
      <c r="J744" s="12"/>
      <c r="K744" s="12"/>
      <c r="L744" s="12"/>
      <c r="M744" s="12"/>
      <c r="N744" s="12"/>
      <c r="O744" s="12"/>
      <c r="P744" s="12"/>
      <c r="Q744" s="12"/>
      <c r="R744" s="12"/>
      <c r="S744" s="12"/>
      <c r="T744" s="12"/>
      <c r="U744" s="12"/>
      <c r="W744" s="12"/>
      <c r="X744" s="12"/>
    </row>
    <row r="745" spans="1:24" ht="15.75" customHeight="1">
      <c r="A745" s="12"/>
      <c r="B745" s="12"/>
      <c r="C745" s="12"/>
      <c r="D745" s="12"/>
      <c r="E745" s="12"/>
      <c r="F745" s="12"/>
      <c r="G745" s="12"/>
      <c r="H745" s="12"/>
      <c r="I745" s="12"/>
      <c r="J745" s="12"/>
      <c r="K745" s="12"/>
      <c r="L745" s="12"/>
      <c r="M745" s="12"/>
      <c r="N745" s="12"/>
      <c r="O745" s="12"/>
      <c r="P745" s="12"/>
      <c r="Q745" s="12"/>
      <c r="R745" s="12"/>
      <c r="S745" s="12"/>
      <c r="T745" s="12"/>
      <c r="U745" s="12"/>
      <c r="W745" s="12"/>
      <c r="X745" s="12"/>
    </row>
    <row r="746" spans="1:24" ht="15.75" customHeight="1">
      <c r="A746" s="12"/>
      <c r="B746" s="12"/>
      <c r="C746" s="12"/>
      <c r="D746" s="12"/>
      <c r="E746" s="12"/>
      <c r="F746" s="12"/>
      <c r="G746" s="12"/>
      <c r="H746" s="12"/>
      <c r="I746" s="12"/>
      <c r="J746" s="12"/>
      <c r="K746" s="12"/>
      <c r="L746" s="12"/>
      <c r="M746" s="12"/>
      <c r="N746" s="12"/>
      <c r="O746" s="12"/>
      <c r="P746" s="12"/>
      <c r="Q746" s="12"/>
      <c r="R746" s="12"/>
      <c r="S746" s="12"/>
      <c r="T746" s="12"/>
      <c r="U746" s="12"/>
      <c r="W746" s="12"/>
      <c r="X746" s="12"/>
    </row>
    <row r="747" spans="1:24" ht="15.75" customHeight="1">
      <c r="A747" s="12"/>
      <c r="B747" s="12"/>
      <c r="C747" s="12"/>
      <c r="D747" s="12"/>
      <c r="E747" s="12"/>
      <c r="F747" s="12"/>
      <c r="G747" s="12"/>
      <c r="H747" s="12"/>
      <c r="I747" s="12"/>
      <c r="J747" s="12"/>
      <c r="K747" s="12"/>
      <c r="L747" s="12"/>
      <c r="M747" s="12"/>
      <c r="N747" s="12"/>
      <c r="O747" s="12"/>
      <c r="P747" s="12"/>
      <c r="Q747" s="12"/>
      <c r="R747" s="12"/>
      <c r="S747" s="12"/>
      <c r="T747" s="12"/>
      <c r="U747" s="12"/>
      <c r="W747" s="12"/>
      <c r="X747" s="12"/>
    </row>
    <row r="748" spans="1:24" ht="15.75" customHeight="1">
      <c r="A748" s="12"/>
      <c r="B748" s="12"/>
      <c r="C748" s="12"/>
      <c r="D748" s="12"/>
      <c r="E748" s="12"/>
      <c r="F748" s="12"/>
      <c r="G748" s="12"/>
      <c r="H748" s="12"/>
      <c r="I748" s="12"/>
      <c r="J748" s="12"/>
      <c r="K748" s="12"/>
      <c r="L748" s="12"/>
      <c r="M748" s="12"/>
      <c r="N748" s="12"/>
      <c r="O748" s="12"/>
      <c r="P748" s="12"/>
      <c r="Q748" s="12"/>
      <c r="R748" s="12"/>
      <c r="S748" s="12"/>
      <c r="T748" s="12"/>
      <c r="U748" s="12"/>
      <c r="W748" s="12"/>
      <c r="X748" s="12"/>
    </row>
    <row r="749" spans="1:24" ht="15.75" customHeight="1">
      <c r="A749" s="12"/>
      <c r="B749" s="12"/>
      <c r="C749" s="12"/>
      <c r="D749" s="12"/>
      <c r="E749" s="12"/>
      <c r="F749" s="12"/>
      <c r="G749" s="12"/>
      <c r="H749" s="12"/>
      <c r="I749" s="12"/>
      <c r="J749" s="12"/>
      <c r="K749" s="12"/>
      <c r="L749" s="12"/>
      <c r="M749" s="12"/>
      <c r="N749" s="12"/>
      <c r="O749" s="12"/>
      <c r="P749" s="12"/>
      <c r="Q749" s="12"/>
      <c r="R749" s="12"/>
      <c r="S749" s="12"/>
      <c r="T749" s="12"/>
      <c r="U749" s="12"/>
      <c r="W749" s="12"/>
      <c r="X749" s="12"/>
    </row>
    <row r="750" spans="1:24" ht="15.75" customHeight="1">
      <c r="A750" s="12"/>
      <c r="B750" s="12"/>
      <c r="C750" s="12"/>
      <c r="D750" s="12"/>
      <c r="E750" s="12"/>
      <c r="F750" s="12"/>
      <c r="G750" s="12"/>
      <c r="H750" s="12"/>
      <c r="I750" s="12"/>
      <c r="J750" s="12"/>
      <c r="K750" s="12"/>
      <c r="L750" s="12"/>
      <c r="M750" s="12"/>
      <c r="N750" s="12"/>
      <c r="O750" s="12"/>
      <c r="P750" s="12"/>
      <c r="Q750" s="12"/>
      <c r="R750" s="12"/>
      <c r="S750" s="12"/>
      <c r="T750" s="12"/>
      <c r="U750" s="12"/>
      <c r="W750" s="12"/>
      <c r="X750" s="12"/>
    </row>
    <row r="751" spans="1:24" ht="15.75" customHeight="1">
      <c r="A751" s="12"/>
      <c r="B751" s="12"/>
      <c r="C751" s="12"/>
      <c r="D751" s="12"/>
      <c r="E751" s="12"/>
      <c r="F751" s="12"/>
      <c r="G751" s="12"/>
      <c r="H751" s="12"/>
      <c r="I751" s="12"/>
      <c r="J751" s="12"/>
      <c r="K751" s="12"/>
      <c r="L751" s="12"/>
      <c r="M751" s="12"/>
      <c r="N751" s="12"/>
      <c r="O751" s="12"/>
      <c r="P751" s="12"/>
      <c r="Q751" s="12"/>
      <c r="R751" s="12"/>
      <c r="S751" s="12"/>
      <c r="T751" s="12"/>
      <c r="U751" s="12"/>
      <c r="W751" s="12"/>
      <c r="X751" s="12"/>
    </row>
    <row r="752" spans="1:24" ht="15.75" customHeight="1">
      <c r="A752" s="12"/>
      <c r="B752" s="12"/>
      <c r="C752" s="12"/>
      <c r="D752" s="12"/>
      <c r="E752" s="12"/>
      <c r="F752" s="12"/>
      <c r="G752" s="12"/>
      <c r="H752" s="12"/>
      <c r="I752" s="12"/>
      <c r="J752" s="12"/>
      <c r="K752" s="12"/>
      <c r="L752" s="12"/>
      <c r="M752" s="12"/>
      <c r="N752" s="12"/>
      <c r="O752" s="12"/>
      <c r="P752" s="12"/>
      <c r="Q752" s="12"/>
      <c r="R752" s="12"/>
      <c r="S752" s="12"/>
      <c r="T752" s="12"/>
      <c r="U752" s="12"/>
      <c r="W752" s="12"/>
      <c r="X752" s="12"/>
    </row>
    <row r="753" spans="1:24" ht="15.75" customHeight="1">
      <c r="A753" s="12"/>
      <c r="B753" s="12"/>
      <c r="C753" s="12"/>
      <c r="D753" s="12"/>
      <c r="E753" s="12"/>
      <c r="F753" s="12"/>
      <c r="G753" s="12"/>
      <c r="H753" s="12"/>
      <c r="I753" s="12"/>
      <c r="J753" s="12"/>
      <c r="K753" s="12"/>
      <c r="L753" s="12"/>
      <c r="M753" s="12"/>
      <c r="N753" s="12"/>
      <c r="O753" s="12"/>
      <c r="P753" s="12"/>
      <c r="Q753" s="12"/>
      <c r="R753" s="12"/>
      <c r="S753" s="12"/>
      <c r="T753" s="12"/>
      <c r="U753" s="12"/>
      <c r="W753" s="12"/>
      <c r="X753" s="12"/>
    </row>
    <row r="754" spans="1:24" ht="15.75" customHeight="1">
      <c r="A754" s="12"/>
      <c r="B754" s="12"/>
      <c r="C754" s="12"/>
      <c r="D754" s="12"/>
      <c r="E754" s="12"/>
      <c r="F754" s="12"/>
      <c r="G754" s="12"/>
      <c r="H754" s="12"/>
      <c r="I754" s="12"/>
      <c r="J754" s="12"/>
      <c r="K754" s="12"/>
      <c r="L754" s="12"/>
      <c r="M754" s="12"/>
      <c r="N754" s="12"/>
      <c r="O754" s="12"/>
      <c r="P754" s="12"/>
      <c r="Q754" s="12"/>
      <c r="R754" s="12"/>
      <c r="S754" s="12"/>
      <c r="T754" s="12"/>
      <c r="U754" s="12"/>
      <c r="W754" s="12"/>
      <c r="X754" s="12"/>
    </row>
    <row r="755" spans="1:24" ht="15.75" customHeight="1">
      <c r="A755" s="12"/>
      <c r="B755" s="12"/>
      <c r="C755" s="12"/>
      <c r="D755" s="12"/>
      <c r="E755" s="12"/>
      <c r="F755" s="12"/>
      <c r="G755" s="12"/>
      <c r="H755" s="12"/>
      <c r="I755" s="12"/>
      <c r="J755" s="12"/>
      <c r="K755" s="12"/>
      <c r="L755" s="12"/>
      <c r="M755" s="12"/>
      <c r="N755" s="12"/>
      <c r="O755" s="12"/>
      <c r="P755" s="12"/>
      <c r="Q755" s="12"/>
      <c r="R755" s="12"/>
      <c r="S755" s="12"/>
      <c r="T755" s="12"/>
      <c r="U755" s="12"/>
      <c r="W755" s="12"/>
      <c r="X755" s="12"/>
    </row>
    <row r="756" spans="1:24" ht="15.75" customHeight="1">
      <c r="A756" s="12"/>
      <c r="B756" s="12"/>
      <c r="C756" s="12"/>
      <c r="D756" s="12"/>
      <c r="E756" s="12"/>
      <c r="F756" s="12"/>
      <c r="G756" s="12"/>
      <c r="H756" s="12"/>
      <c r="I756" s="12"/>
      <c r="J756" s="12"/>
      <c r="K756" s="12"/>
      <c r="L756" s="12"/>
      <c r="M756" s="12"/>
      <c r="N756" s="12"/>
      <c r="O756" s="12"/>
      <c r="P756" s="12"/>
      <c r="Q756" s="12"/>
      <c r="R756" s="12"/>
      <c r="S756" s="12"/>
      <c r="T756" s="12"/>
      <c r="U756" s="12"/>
      <c r="W756" s="12"/>
      <c r="X756" s="12"/>
    </row>
    <row r="757" spans="1:24" ht="15.75" customHeight="1">
      <c r="A757" s="12"/>
      <c r="B757" s="12"/>
      <c r="C757" s="12"/>
      <c r="D757" s="12"/>
      <c r="E757" s="12"/>
      <c r="F757" s="12"/>
      <c r="G757" s="12"/>
      <c r="H757" s="12"/>
      <c r="I757" s="12"/>
      <c r="J757" s="12"/>
      <c r="K757" s="12"/>
      <c r="L757" s="12"/>
      <c r="M757" s="12"/>
      <c r="N757" s="12"/>
      <c r="O757" s="12"/>
      <c r="P757" s="12"/>
      <c r="Q757" s="12"/>
      <c r="R757" s="12"/>
      <c r="S757" s="12"/>
      <c r="T757" s="12"/>
      <c r="U757" s="12"/>
      <c r="W757" s="12"/>
      <c r="X757" s="12"/>
    </row>
    <row r="758" spans="1:24" ht="15.75" customHeight="1">
      <c r="A758" s="12"/>
      <c r="B758" s="12"/>
      <c r="C758" s="12"/>
      <c r="D758" s="12"/>
      <c r="E758" s="12"/>
      <c r="F758" s="12"/>
      <c r="G758" s="12"/>
      <c r="H758" s="12"/>
      <c r="I758" s="12"/>
      <c r="J758" s="12"/>
      <c r="K758" s="12"/>
      <c r="L758" s="12"/>
      <c r="M758" s="12"/>
      <c r="N758" s="12"/>
      <c r="O758" s="12"/>
      <c r="P758" s="12"/>
      <c r="Q758" s="12"/>
      <c r="R758" s="12"/>
      <c r="S758" s="12"/>
      <c r="T758" s="12"/>
      <c r="U758" s="12"/>
      <c r="W758" s="12"/>
      <c r="X758" s="12"/>
    </row>
    <row r="759" spans="1:24" ht="15.75" customHeight="1">
      <c r="A759" s="12"/>
      <c r="B759" s="12"/>
      <c r="C759" s="12"/>
      <c r="D759" s="12"/>
      <c r="E759" s="12"/>
      <c r="F759" s="12"/>
      <c r="G759" s="12"/>
      <c r="H759" s="12"/>
      <c r="I759" s="12"/>
      <c r="J759" s="12"/>
      <c r="K759" s="12"/>
      <c r="L759" s="12"/>
      <c r="M759" s="12"/>
      <c r="N759" s="12"/>
      <c r="O759" s="12"/>
      <c r="P759" s="12"/>
      <c r="Q759" s="12"/>
      <c r="R759" s="12"/>
      <c r="S759" s="12"/>
      <c r="T759" s="12"/>
      <c r="U759" s="12"/>
      <c r="W759" s="12"/>
      <c r="X759" s="12"/>
    </row>
    <row r="760" spans="1:24" ht="15.75" customHeight="1">
      <c r="A760" s="12"/>
      <c r="B760" s="12"/>
      <c r="C760" s="12"/>
      <c r="D760" s="12"/>
      <c r="E760" s="12"/>
      <c r="F760" s="12"/>
      <c r="G760" s="12"/>
      <c r="H760" s="12"/>
      <c r="I760" s="12"/>
      <c r="J760" s="12"/>
      <c r="K760" s="12"/>
      <c r="L760" s="12"/>
      <c r="M760" s="12"/>
      <c r="N760" s="12"/>
      <c r="O760" s="12"/>
      <c r="P760" s="12"/>
      <c r="Q760" s="12"/>
      <c r="R760" s="12"/>
      <c r="S760" s="12"/>
      <c r="T760" s="12"/>
      <c r="U760" s="12"/>
      <c r="W760" s="12"/>
      <c r="X760" s="12"/>
    </row>
    <row r="761" spans="1:24" ht="15.75" customHeight="1">
      <c r="A761" s="12"/>
      <c r="B761" s="12"/>
      <c r="C761" s="12"/>
      <c r="D761" s="12"/>
      <c r="E761" s="12"/>
      <c r="F761" s="12"/>
      <c r="G761" s="12"/>
      <c r="H761" s="12"/>
      <c r="I761" s="12"/>
      <c r="J761" s="12"/>
      <c r="K761" s="12"/>
      <c r="L761" s="12"/>
      <c r="M761" s="12"/>
      <c r="N761" s="12"/>
      <c r="O761" s="12"/>
      <c r="P761" s="12"/>
      <c r="Q761" s="12"/>
      <c r="R761" s="12"/>
      <c r="S761" s="12"/>
      <c r="T761" s="12"/>
      <c r="U761" s="12"/>
      <c r="W761" s="12"/>
      <c r="X761" s="12"/>
    </row>
    <row r="762" spans="1:24" ht="15.75" customHeight="1">
      <c r="A762" s="12"/>
      <c r="B762" s="12"/>
      <c r="C762" s="12"/>
      <c r="D762" s="12"/>
      <c r="E762" s="12"/>
      <c r="F762" s="12"/>
      <c r="G762" s="12"/>
      <c r="H762" s="12"/>
      <c r="I762" s="12"/>
      <c r="J762" s="12"/>
      <c r="K762" s="12"/>
      <c r="L762" s="12"/>
      <c r="M762" s="12"/>
      <c r="N762" s="12"/>
      <c r="O762" s="12"/>
      <c r="P762" s="12"/>
      <c r="Q762" s="12"/>
      <c r="R762" s="12"/>
      <c r="S762" s="12"/>
      <c r="T762" s="12"/>
      <c r="U762" s="12"/>
      <c r="W762" s="12"/>
      <c r="X762" s="12"/>
    </row>
    <row r="763" spans="1:24" ht="15.75" customHeight="1">
      <c r="A763" s="12"/>
      <c r="B763" s="12"/>
      <c r="C763" s="12"/>
      <c r="D763" s="12"/>
      <c r="E763" s="12"/>
      <c r="F763" s="12"/>
      <c r="G763" s="12"/>
      <c r="H763" s="12"/>
      <c r="I763" s="12"/>
      <c r="J763" s="12"/>
      <c r="K763" s="12"/>
      <c r="L763" s="12"/>
      <c r="M763" s="12"/>
      <c r="N763" s="12"/>
      <c r="O763" s="12"/>
      <c r="P763" s="12"/>
      <c r="Q763" s="12"/>
      <c r="R763" s="12"/>
      <c r="S763" s="12"/>
      <c r="T763" s="12"/>
      <c r="U763" s="12"/>
      <c r="W763" s="12"/>
      <c r="X763" s="12"/>
    </row>
    <row r="764" spans="1:24" ht="15.75" customHeight="1">
      <c r="A764" s="12"/>
      <c r="B764" s="12"/>
      <c r="C764" s="12"/>
      <c r="D764" s="12"/>
      <c r="E764" s="12"/>
      <c r="F764" s="12"/>
      <c r="G764" s="12"/>
      <c r="H764" s="12"/>
      <c r="I764" s="12"/>
      <c r="J764" s="12"/>
      <c r="K764" s="12"/>
      <c r="L764" s="12"/>
      <c r="M764" s="12"/>
      <c r="N764" s="12"/>
      <c r="O764" s="12"/>
      <c r="P764" s="12"/>
      <c r="Q764" s="12"/>
      <c r="R764" s="12"/>
      <c r="S764" s="12"/>
      <c r="T764" s="12"/>
      <c r="U764" s="12"/>
      <c r="W764" s="12"/>
      <c r="X764" s="12"/>
    </row>
    <row r="765" spans="1:24" ht="15.75" customHeight="1">
      <c r="A765" s="12"/>
      <c r="B765" s="12"/>
      <c r="C765" s="12"/>
      <c r="D765" s="12"/>
      <c r="E765" s="12"/>
      <c r="F765" s="12"/>
      <c r="G765" s="12"/>
      <c r="H765" s="12"/>
      <c r="I765" s="12"/>
      <c r="J765" s="12"/>
      <c r="K765" s="12"/>
      <c r="L765" s="12"/>
      <c r="M765" s="12"/>
      <c r="N765" s="12"/>
      <c r="O765" s="12"/>
      <c r="P765" s="12"/>
      <c r="Q765" s="12"/>
      <c r="R765" s="12"/>
      <c r="S765" s="12"/>
      <c r="T765" s="12"/>
      <c r="U765" s="12"/>
      <c r="W765" s="12"/>
      <c r="X765" s="12"/>
    </row>
    <row r="766" spans="1:24" ht="15.75" customHeight="1">
      <c r="A766" s="12"/>
      <c r="B766" s="12"/>
      <c r="C766" s="12"/>
      <c r="D766" s="12"/>
      <c r="E766" s="12"/>
      <c r="F766" s="12"/>
      <c r="G766" s="12"/>
      <c r="H766" s="12"/>
      <c r="I766" s="12"/>
      <c r="J766" s="12"/>
      <c r="K766" s="12"/>
      <c r="L766" s="12"/>
      <c r="M766" s="12"/>
      <c r="N766" s="12"/>
      <c r="O766" s="12"/>
      <c r="P766" s="12"/>
      <c r="Q766" s="12"/>
      <c r="R766" s="12"/>
      <c r="S766" s="12"/>
      <c r="T766" s="12"/>
      <c r="U766" s="12"/>
      <c r="W766" s="12"/>
      <c r="X766" s="12"/>
    </row>
    <row r="767" spans="1:24" ht="15.75" customHeight="1">
      <c r="A767" s="12"/>
      <c r="B767" s="12"/>
      <c r="C767" s="12"/>
      <c r="D767" s="12"/>
      <c r="E767" s="12"/>
      <c r="F767" s="12"/>
      <c r="G767" s="12"/>
      <c r="H767" s="12"/>
      <c r="I767" s="12"/>
      <c r="J767" s="12"/>
      <c r="K767" s="12"/>
      <c r="L767" s="12"/>
      <c r="M767" s="12"/>
      <c r="N767" s="12"/>
      <c r="O767" s="12"/>
      <c r="P767" s="12"/>
      <c r="Q767" s="12"/>
      <c r="R767" s="12"/>
      <c r="S767" s="12"/>
      <c r="T767" s="12"/>
      <c r="U767" s="12"/>
      <c r="W767" s="12"/>
      <c r="X767" s="12"/>
    </row>
    <row r="768" spans="1:24" ht="15.75" customHeight="1">
      <c r="A768" s="12"/>
      <c r="B768" s="12"/>
      <c r="C768" s="12"/>
      <c r="D768" s="12"/>
      <c r="E768" s="12"/>
      <c r="F768" s="12"/>
      <c r="G768" s="12"/>
      <c r="H768" s="12"/>
      <c r="I768" s="12"/>
      <c r="J768" s="12"/>
      <c r="K768" s="12"/>
      <c r="L768" s="12"/>
      <c r="M768" s="12"/>
      <c r="N768" s="12"/>
      <c r="O768" s="12"/>
      <c r="P768" s="12"/>
      <c r="Q768" s="12"/>
      <c r="R768" s="12"/>
      <c r="S768" s="12"/>
      <c r="T768" s="12"/>
      <c r="U768" s="12"/>
      <c r="W768" s="12"/>
      <c r="X768" s="12"/>
    </row>
    <row r="769" spans="1:24" ht="15.75" customHeight="1">
      <c r="A769" s="12"/>
      <c r="B769" s="12"/>
      <c r="C769" s="12"/>
      <c r="D769" s="12"/>
      <c r="E769" s="12"/>
      <c r="F769" s="12"/>
      <c r="G769" s="12"/>
      <c r="H769" s="12"/>
      <c r="I769" s="12"/>
      <c r="J769" s="12"/>
      <c r="K769" s="12"/>
      <c r="L769" s="12"/>
      <c r="M769" s="12"/>
      <c r="N769" s="12"/>
      <c r="O769" s="12"/>
      <c r="P769" s="12"/>
      <c r="Q769" s="12"/>
      <c r="R769" s="12"/>
      <c r="S769" s="12"/>
      <c r="T769" s="12"/>
      <c r="U769" s="12"/>
      <c r="W769" s="12"/>
      <c r="X769" s="12"/>
    </row>
    <row r="770" spans="1:24" ht="15.75" customHeight="1">
      <c r="A770" s="12"/>
      <c r="B770" s="12"/>
      <c r="C770" s="12"/>
      <c r="D770" s="12"/>
      <c r="E770" s="12"/>
      <c r="F770" s="12"/>
      <c r="G770" s="12"/>
      <c r="H770" s="12"/>
      <c r="I770" s="12"/>
      <c r="J770" s="12"/>
      <c r="K770" s="12"/>
      <c r="L770" s="12"/>
      <c r="M770" s="12"/>
      <c r="N770" s="12"/>
      <c r="O770" s="12"/>
      <c r="P770" s="12"/>
      <c r="Q770" s="12"/>
      <c r="R770" s="12"/>
      <c r="S770" s="12"/>
      <c r="T770" s="12"/>
      <c r="U770" s="12"/>
      <c r="W770" s="12"/>
      <c r="X770" s="12"/>
    </row>
    <row r="771" spans="1:24" ht="15.75" customHeight="1">
      <c r="A771" s="12"/>
      <c r="B771" s="12"/>
      <c r="C771" s="12"/>
      <c r="D771" s="12"/>
      <c r="E771" s="12"/>
      <c r="F771" s="12"/>
      <c r="G771" s="12"/>
      <c r="H771" s="12"/>
      <c r="I771" s="12"/>
      <c r="J771" s="12"/>
      <c r="K771" s="12"/>
      <c r="L771" s="12"/>
      <c r="M771" s="12"/>
      <c r="N771" s="12"/>
      <c r="O771" s="12"/>
      <c r="P771" s="12"/>
      <c r="Q771" s="12"/>
      <c r="R771" s="12"/>
      <c r="S771" s="12"/>
      <c r="T771" s="12"/>
      <c r="U771" s="12"/>
      <c r="W771" s="12"/>
      <c r="X771" s="12"/>
    </row>
    <row r="772" spans="1:24" ht="15.75" customHeight="1">
      <c r="A772" s="12"/>
      <c r="B772" s="12"/>
      <c r="C772" s="12"/>
      <c r="D772" s="12"/>
      <c r="E772" s="12"/>
      <c r="F772" s="12"/>
      <c r="G772" s="12"/>
      <c r="H772" s="12"/>
      <c r="I772" s="12"/>
      <c r="J772" s="12"/>
      <c r="K772" s="12"/>
      <c r="L772" s="12"/>
      <c r="M772" s="12"/>
      <c r="N772" s="12"/>
      <c r="O772" s="12"/>
      <c r="P772" s="12"/>
      <c r="Q772" s="12"/>
      <c r="R772" s="12"/>
      <c r="S772" s="12"/>
      <c r="T772" s="12"/>
      <c r="U772" s="12"/>
      <c r="W772" s="12"/>
      <c r="X772" s="12"/>
    </row>
    <row r="773" spans="1:24" ht="15.75" customHeight="1">
      <c r="A773" s="12"/>
      <c r="B773" s="12"/>
      <c r="C773" s="12"/>
      <c r="D773" s="12"/>
      <c r="E773" s="12"/>
      <c r="F773" s="12"/>
      <c r="G773" s="12"/>
      <c r="H773" s="12"/>
      <c r="I773" s="12"/>
      <c r="J773" s="12"/>
      <c r="K773" s="12"/>
      <c r="L773" s="12"/>
      <c r="M773" s="12"/>
      <c r="N773" s="12"/>
      <c r="O773" s="12"/>
      <c r="P773" s="12"/>
      <c r="Q773" s="12"/>
      <c r="R773" s="12"/>
      <c r="S773" s="12"/>
      <c r="T773" s="12"/>
      <c r="U773" s="12"/>
      <c r="W773" s="12"/>
      <c r="X773" s="12"/>
    </row>
    <row r="774" spans="1:24" ht="15.75" customHeight="1">
      <c r="A774" s="12"/>
      <c r="B774" s="12"/>
      <c r="C774" s="12"/>
      <c r="D774" s="12"/>
      <c r="E774" s="12"/>
      <c r="F774" s="12"/>
      <c r="G774" s="12"/>
      <c r="H774" s="12"/>
      <c r="I774" s="12"/>
      <c r="J774" s="12"/>
      <c r="K774" s="12"/>
      <c r="L774" s="12"/>
      <c r="M774" s="12"/>
      <c r="N774" s="12"/>
      <c r="O774" s="12"/>
      <c r="P774" s="12"/>
      <c r="Q774" s="12"/>
      <c r="R774" s="12"/>
      <c r="S774" s="12"/>
      <c r="T774" s="12"/>
      <c r="U774" s="12"/>
      <c r="W774" s="12"/>
      <c r="X774" s="12"/>
    </row>
    <row r="775" spans="1:24" ht="15.75" customHeight="1">
      <c r="A775" s="12"/>
      <c r="B775" s="12"/>
      <c r="C775" s="12"/>
      <c r="D775" s="12"/>
      <c r="E775" s="12"/>
      <c r="F775" s="12"/>
      <c r="G775" s="12"/>
      <c r="H775" s="12"/>
      <c r="I775" s="12"/>
      <c r="J775" s="12"/>
      <c r="K775" s="12"/>
      <c r="L775" s="12"/>
      <c r="M775" s="12"/>
      <c r="N775" s="12"/>
      <c r="O775" s="12"/>
      <c r="P775" s="12"/>
      <c r="Q775" s="12"/>
      <c r="R775" s="12"/>
      <c r="S775" s="12"/>
      <c r="T775" s="12"/>
      <c r="U775" s="12"/>
      <c r="W775" s="12"/>
      <c r="X775" s="12"/>
    </row>
    <row r="776" spans="1:24" ht="15.75" customHeight="1">
      <c r="A776" s="12"/>
      <c r="B776" s="12"/>
      <c r="C776" s="12"/>
      <c r="D776" s="12"/>
      <c r="E776" s="12"/>
      <c r="F776" s="12"/>
      <c r="G776" s="12"/>
      <c r="H776" s="12"/>
      <c r="I776" s="12"/>
      <c r="J776" s="12"/>
      <c r="K776" s="12"/>
      <c r="L776" s="12"/>
      <c r="M776" s="12"/>
      <c r="N776" s="12"/>
      <c r="O776" s="12"/>
      <c r="P776" s="12"/>
      <c r="Q776" s="12"/>
      <c r="R776" s="12"/>
      <c r="S776" s="12"/>
      <c r="T776" s="12"/>
      <c r="U776" s="12"/>
      <c r="W776" s="12"/>
      <c r="X776" s="12"/>
    </row>
    <row r="777" spans="1:24" ht="15.75" customHeight="1">
      <c r="A777" s="12"/>
      <c r="B777" s="12"/>
      <c r="C777" s="12"/>
      <c r="D777" s="12"/>
      <c r="E777" s="12"/>
      <c r="F777" s="12"/>
      <c r="G777" s="12"/>
      <c r="H777" s="12"/>
      <c r="I777" s="12"/>
      <c r="J777" s="12"/>
      <c r="K777" s="12"/>
      <c r="L777" s="12"/>
      <c r="M777" s="12"/>
      <c r="N777" s="12"/>
      <c r="O777" s="12"/>
      <c r="P777" s="12"/>
      <c r="Q777" s="12"/>
      <c r="R777" s="12"/>
      <c r="S777" s="12"/>
      <c r="T777" s="12"/>
      <c r="U777" s="12"/>
      <c r="W777" s="12"/>
      <c r="X777" s="12"/>
    </row>
    <row r="778" spans="1:24" ht="15.75" customHeight="1">
      <c r="A778" s="12"/>
      <c r="B778" s="12"/>
      <c r="C778" s="12"/>
      <c r="D778" s="12"/>
      <c r="E778" s="12"/>
      <c r="F778" s="12"/>
      <c r="G778" s="12"/>
      <c r="H778" s="12"/>
      <c r="I778" s="12"/>
      <c r="J778" s="12"/>
      <c r="K778" s="12"/>
      <c r="L778" s="12"/>
      <c r="M778" s="12"/>
      <c r="N778" s="12"/>
      <c r="O778" s="12"/>
      <c r="P778" s="12"/>
      <c r="Q778" s="12"/>
      <c r="R778" s="12"/>
      <c r="S778" s="12"/>
      <c r="T778" s="12"/>
      <c r="U778" s="12"/>
      <c r="W778" s="12"/>
      <c r="X778" s="12"/>
    </row>
    <row r="779" spans="1:24" ht="15.75" customHeight="1">
      <c r="A779" s="12"/>
      <c r="B779" s="12"/>
      <c r="C779" s="12"/>
      <c r="D779" s="12"/>
      <c r="E779" s="12"/>
      <c r="F779" s="12"/>
      <c r="G779" s="12"/>
      <c r="H779" s="12"/>
      <c r="I779" s="12"/>
      <c r="J779" s="12"/>
      <c r="K779" s="12"/>
      <c r="L779" s="12"/>
      <c r="M779" s="12"/>
      <c r="N779" s="12"/>
      <c r="O779" s="12"/>
      <c r="P779" s="12"/>
      <c r="Q779" s="12"/>
      <c r="R779" s="12"/>
      <c r="S779" s="12"/>
      <c r="T779" s="12"/>
      <c r="U779" s="12"/>
      <c r="W779" s="12"/>
      <c r="X779" s="12"/>
    </row>
    <row r="780" spans="1:24" ht="15.75" customHeight="1">
      <c r="A780" s="12"/>
      <c r="B780" s="12"/>
      <c r="C780" s="12"/>
      <c r="D780" s="12"/>
      <c r="E780" s="12"/>
      <c r="F780" s="12"/>
      <c r="G780" s="12"/>
      <c r="H780" s="12"/>
      <c r="I780" s="12"/>
      <c r="J780" s="12"/>
      <c r="K780" s="12"/>
      <c r="L780" s="12"/>
      <c r="M780" s="12"/>
      <c r="N780" s="12"/>
      <c r="O780" s="12"/>
      <c r="P780" s="12"/>
      <c r="Q780" s="12"/>
      <c r="R780" s="12"/>
      <c r="S780" s="12"/>
      <c r="T780" s="12"/>
      <c r="U780" s="12"/>
      <c r="W780" s="12"/>
      <c r="X780" s="12"/>
    </row>
    <row r="781" spans="1:24" ht="15.75" customHeight="1">
      <c r="A781" s="12"/>
      <c r="B781" s="12"/>
      <c r="C781" s="12"/>
      <c r="D781" s="12"/>
      <c r="E781" s="12"/>
      <c r="F781" s="12"/>
      <c r="G781" s="12"/>
      <c r="H781" s="12"/>
      <c r="I781" s="12"/>
      <c r="J781" s="12"/>
      <c r="K781" s="12"/>
      <c r="L781" s="12"/>
      <c r="M781" s="12"/>
      <c r="N781" s="12"/>
      <c r="O781" s="12"/>
      <c r="P781" s="12"/>
      <c r="Q781" s="12"/>
      <c r="R781" s="12"/>
      <c r="S781" s="12"/>
      <c r="T781" s="12"/>
      <c r="U781" s="12"/>
      <c r="W781" s="12"/>
      <c r="X781" s="12"/>
    </row>
    <row r="782" spans="1:24" ht="15.75" customHeight="1">
      <c r="A782" s="12"/>
      <c r="B782" s="12"/>
      <c r="C782" s="12"/>
      <c r="D782" s="12"/>
      <c r="E782" s="12"/>
      <c r="F782" s="12"/>
      <c r="G782" s="12"/>
      <c r="H782" s="12"/>
      <c r="I782" s="12"/>
      <c r="J782" s="12"/>
      <c r="K782" s="12"/>
      <c r="L782" s="12"/>
      <c r="M782" s="12"/>
      <c r="N782" s="12"/>
      <c r="O782" s="12"/>
      <c r="P782" s="12"/>
      <c r="Q782" s="12"/>
      <c r="R782" s="12"/>
      <c r="S782" s="12"/>
      <c r="T782" s="12"/>
      <c r="U782" s="12"/>
      <c r="W782" s="12"/>
      <c r="X782" s="12"/>
    </row>
    <row r="783" spans="1:24" ht="15.75" customHeight="1">
      <c r="A783" s="12"/>
      <c r="B783" s="12"/>
      <c r="C783" s="12"/>
      <c r="D783" s="12"/>
      <c r="E783" s="12"/>
      <c r="F783" s="12"/>
      <c r="G783" s="12"/>
      <c r="H783" s="12"/>
      <c r="I783" s="12"/>
      <c r="J783" s="12"/>
      <c r="K783" s="12"/>
      <c r="L783" s="12"/>
      <c r="M783" s="12"/>
      <c r="N783" s="12"/>
      <c r="O783" s="12"/>
      <c r="P783" s="12"/>
      <c r="Q783" s="12"/>
      <c r="R783" s="12"/>
      <c r="S783" s="12"/>
      <c r="T783" s="12"/>
      <c r="U783" s="12"/>
      <c r="W783" s="12"/>
      <c r="X783" s="12"/>
    </row>
    <row r="784" spans="1:24" ht="15.75" customHeight="1">
      <c r="A784" s="12"/>
      <c r="B784" s="12"/>
      <c r="C784" s="12"/>
      <c r="D784" s="12"/>
      <c r="E784" s="12"/>
      <c r="F784" s="12"/>
      <c r="G784" s="12"/>
      <c r="H784" s="12"/>
      <c r="I784" s="12"/>
      <c r="J784" s="12"/>
      <c r="K784" s="12"/>
      <c r="L784" s="12"/>
      <c r="M784" s="12"/>
      <c r="N784" s="12"/>
      <c r="O784" s="12"/>
      <c r="P784" s="12"/>
      <c r="Q784" s="12"/>
      <c r="R784" s="12"/>
      <c r="S784" s="12"/>
      <c r="T784" s="12"/>
      <c r="U784" s="12"/>
      <c r="W784" s="12"/>
      <c r="X784" s="12"/>
    </row>
    <row r="785" spans="1:24" ht="15.75" customHeight="1">
      <c r="A785" s="12"/>
      <c r="B785" s="12"/>
      <c r="C785" s="12"/>
      <c r="D785" s="12"/>
      <c r="E785" s="12"/>
      <c r="F785" s="12"/>
      <c r="G785" s="12"/>
      <c r="H785" s="12"/>
      <c r="I785" s="12"/>
      <c r="J785" s="12"/>
      <c r="K785" s="12"/>
      <c r="L785" s="12"/>
      <c r="M785" s="12"/>
      <c r="N785" s="12"/>
      <c r="O785" s="12"/>
      <c r="P785" s="12"/>
      <c r="Q785" s="12"/>
      <c r="R785" s="12"/>
      <c r="S785" s="12"/>
      <c r="T785" s="12"/>
      <c r="U785" s="12"/>
      <c r="W785" s="12"/>
      <c r="X785" s="12"/>
    </row>
    <row r="786" spans="1:24" ht="15.75" customHeight="1">
      <c r="A786" s="12"/>
      <c r="B786" s="12"/>
      <c r="C786" s="12"/>
      <c r="D786" s="12"/>
      <c r="E786" s="12"/>
      <c r="F786" s="12"/>
      <c r="G786" s="12"/>
      <c r="H786" s="12"/>
      <c r="I786" s="12"/>
      <c r="J786" s="12"/>
      <c r="K786" s="12"/>
      <c r="L786" s="12"/>
      <c r="M786" s="12"/>
      <c r="N786" s="12"/>
      <c r="O786" s="12"/>
      <c r="P786" s="12"/>
      <c r="Q786" s="12"/>
      <c r="R786" s="12"/>
      <c r="S786" s="12"/>
      <c r="T786" s="12"/>
      <c r="U786" s="12"/>
      <c r="W786" s="12"/>
      <c r="X786" s="12"/>
    </row>
    <row r="787" spans="1:24" ht="15.75" customHeight="1">
      <c r="A787" s="12"/>
      <c r="B787" s="12"/>
      <c r="C787" s="12"/>
      <c r="D787" s="12"/>
      <c r="E787" s="12"/>
      <c r="F787" s="12"/>
      <c r="G787" s="12"/>
      <c r="H787" s="12"/>
      <c r="I787" s="12"/>
      <c r="J787" s="12"/>
      <c r="K787" s="12"/>
      <c r="L787" s="12"/>
      <c r="M787" s="12"/>
      <c r="N787" s="12"/>
      <c r="O787" s="12"/>
      <c r="P787" s="12"/>
      <c r="Q787" s="12"/>
      <c r="R787" s="12"/>
      <c r="S787" s="12"/>
      <c r="T787" s="12"/>
      <c r="U787" s="12"/>
      <c r="W787" s="12"/>
      <c r="X787" s="12"/>
    </row>
    <row r="788" spans="1:24" ht="15.75" customHeight="1">
      <c r="A788" s="12"/>
      <c r="B788" s="12"/>
      <c r="C788" s="12"/>
      <c r="D788" s="12"/>
      <c r="E788" s="12"/>
      <c r="F788" s="12"/>
      <c r="G788" s="12"/>
      <c r="H788" s="12"/>
      <c r="I788" s="12"/>
      <c r="J788" s="12"/>
      <c r="K788" s="12"/>
      <c r="L788" s="12"/>
      <c r="M788" s="12"/>
      <c r="N788" s="12"/>
      <c r="O788" s="12"/>
      <c r="P788" s="12"/>
      <c r="Q788" s="12"/>
      <c r="R788" s="12"/>
      <c r="S788" s="12"/>
      <c r="T788" s="12"/>
      <c r="U788" s="12"/>
      <c r="W788" s="12"/>
      <c r="X788" s="12"/>
    </row>
    <row r="789" spans="1:24" ht="15.75" customHeight="1">
      <c r="A789" s="12"/>
      <c r="B789" s="12"/>
      <c r="C789" s="12"/>
      <c r="D789" s="12"/>
      <c r="E789" s="12"/>
      <c r="F789" s="12"/>
      <c r="G789" s="12"/>
      <c r="H789" s="12"/>
      <c r="I789" s="12"/>
      <c r="J789" s="12"/>
      <c r="K789" s="12"/>
      <c r="L789" s="12"/>
      <c r="M789" s="12"/>
      <c r="N789" s="12"/>
      <c r="O789" s="12"/>
      <c r="P789" s="12"/>
      <c r="Q789" s="12"/>
      <c r="R789" s="12"/>
      <c r="S789" s="12"/>
      <c r="T789" s="12"/>
      <c r="U789" s="12"/>
      <c r="W789" s="12"/>
      <c r="X789" s="12"/>
    </row>
    <row r="790" spans="1:24" ht="15.75" customHeight="1">
      <c r="A790" s="12"/>
      <c r="B790" s="12"/>
      <c r="C790" s="12"/>
      <c r="D790" s="12"/>
      <c r="E790" s="12"/>
      <c r="F790" s="12"/>
      <c r="G790" s="12"/>
      <c r="H790" s="12"/>
      <c r="I790" s="12"/>
      <c r="J790" s="12"/>
      <c r="K790" s="12"/>
      <c r="L790" s="12"/>
      <c r="M790" s="12"/>
      <c r="N790" s="12"/>
      <c r="O790" s="12"/>
      <c r="P790" s="12"/>
      <c r="Q790" s="12"/>
      <c r="R790" s="12"/>
      <c r="S790" s="12"/>
      <c r="T790" s="12"/>
      <c r="U790" s="12"/>
      <c r="W790" s="12"/>
      <c r="X790" s="12"/>
    </row>
    <row r="791" spans="1:24" ht="15.75" customHeight="1">
      <c r="A791" s="12"/>
      <c r="B791" s="12"/>
      <c r="C791" s="12"/>
      <c r="D791" s="12"/>
      <c r="E791" s="12"/>
      <c r="F791" s="12"/>
      <c r="G791" s="12"/>
      <c r="H791" s="12"/>
      <c r="I791" s="12"/>
      <c r="J791" s="12"/>
      <c r="K791" s="12"/>
      <c r="L791" s="12"/>
      <c r="M791" s="12"/>
      <c r="N791" s="12"/>
      <c r="O791" s="12"/>
      <c r="P791" s="12"/>
      <c r="Q791" s="12"/>
      <c r="R791" s="12"/>
      <c r="S791" s="12"/>
      <c r="T791" s="12"/>
      <c r="U791" s="12"/>
      <c r="W791" s="12"/>
      <c r="X791" s="12"/>
    </row>
    <row r="792" spans="1:24" ht="15.75" customHeight="1">
      <c r="A792" s="12"/>
      <c r="B792" s="12"/>
      <c r="C792" s="12"/>
      <c r="D792" s="12"/>
      <c r="E792" s="12"/>
      <c r="F792" s="12"/>
      <c r="G792" s="12"/>
      <c r="H792" s="12"/>
      <c r="I792" s="12"/>
      <c r="J792" s="12"/>
      <c r="K792" s="12"/>
      <c r="L792" s="12"/>
      <c r="M792" s="12"/>
      <c r="N792" s="12"/>
      <c r="O792" s="12"/>
      <c r="P792" s="12"/>
      <c r="Q792" s="12"/>
      <c r="R792" s="12"/>
      <c r="S792" s="12"/>
      <c r="T792" s="12"/>
      <c r="U792" s="12"/>
      <c r="W792" s="12"/>
      <c r="X792" s="12"/>
    </row>
    <row r="793" spans="1:24" ht="15.75" customHeight="1">
      <c r="A793" s="12"/>
      <c r="B793" s="12"/>
      <c r="C793" s="12"/>
      <c r="D793" s="12"/>
      <c r="E793" s="12"/>
      <c r="F793" s="12"/>
      <c r="G793" s="12"/>
      <c r="H793" s="12"/>
      <c r="I793" s="12"/>
      <c r="J793" s="12"/>
      <c r="K793" s="12"/>
      <c r="L793" s="12"/>
      <c r="M793" s="12"/>
      <c r="N793" s="12"/>
      <c r="O793" s="12"/>
      <c r="P793" s="12"/>
      <c r="Q793" s="12"/>
      <c r="R793" s="12"/>
      <c r="S793" s="12"/>
      <c r="T793" s="12"/>
      <c r="U793" s="12"/>
      <c r="W793" s="12"/>
      <c r="X793" s="12"/>
    </row>
    <row r="794" spans="1:24" ht="15.75" customHeight="1">
      <c r="A794" s="12"/>
      <c r="B794" s="12"/>
      <c r="C794" s="12"/>
      <c r="D794" s="12"/>
      <c r="E794" s="12"/>
      <c r="F794" s="12"/>
      <c r="G794" s="12"/>
      <c r="H794" s="12"/>
      <c r="I794" s="12"/>
      <c r="J794" s="12"/>
      <c r="K794" s="12"/>
      <c r="L794" s="12"/>
      <c r="M794" s="12"/>
      <c r="N794" s="12"/>
      <c r="O794" s="12"/>
      <c r="P794" s="12"/>
      <c r="Q794" s="12"/>
      <c r="R794" s="12"/>
      <c r="S794" s="12"/>
      <c r="T794" s="12"/>
      <c r="U794" s="12"/>
      <c r="W794" s="12"/>
      <c r="X794" s="12"/>
    </row>
    <row r="795" spans="1:24" ht="15.75" customHeight="1">
      <c r="A795" s="12"/>
      <c r="B795" s="12"/>
      <c r="C795" s="12"/>
      <c r="D795" s="12"/>
      <c r="E795" s="12"/>
      <c r="F795" s="12"/>
      <c r="G795" s="12"/>
      <c r="H795" s="12"/>
      <c r="I795" s="12"/>
      <c r="J795" s="12"/>
      <c r="K795" s="12"/>
      <c r="L795" s="12"/>
      <c r="M795" s="12"/>
      <c r="N795" s="12"/>
      <c r="O795" s="12"/>
      <c r="P795" s="12"/>
      <c r="Q795" s="12"/>
      <c r="R795" s="12"/>
      <c r="S795" s="12"/>
      <c r="T795" s="12"/>
      <c r="U795" s="12"/>
      <c r="W795" s="12"/>
      <c r="X795" s="12"/>
    </row>
    <row r="796" spans="1:24" ht="15.75" customHeight="1">
      <c r="A796" s="12"/>
      <c r="B796" s="12"/>
      <c r="C796" s="12"/>
      <c r="D796" s="12"/>
      <c r="E796" s="12"/>
      <c r="F796" s="12"/>
      <c r="G796" s="12"/>
      <c r="H796" s="12"/>
      <c r="I796" s="12"/>
      <c r="J796" s="12"/>
      <c r="K796" s="12"/>
      <c r="L796" s="12"/>
      <c r="M796" s="12"/>
      <c r="N796" s="12"/>
      <c r="O796" s="12"/>
      <c r="P796" s="12"/>
      <c r="Q796" s="12"/>
      <c r="R796" s="12"/>
      <c r="S796" s="12"/>
      <c r="T796" s="12"/>
      <c r="U796" s="12"/>
      <c r="W796" s="12"/>
      <c r="X796" s="12"/>
    </row>
    <row r="797" spans="1:24" ht="15.75" customHeight="1">
      <c r="A797" s="12"/>
      <c r="B797" s="12"/>
      <c r="C797" s="12"/>
      <c r="D797" s="12"/>
      <c r="E797" s="12"/>
      <c r="F797" s="12"/>
      <c r="G797" s="12"/>
      <c r="H797" s="12"/>
      <c r="I797" s="12"/>
      <c r="J797" s="12"/>
      <c r="K797" s="12"/>
      <c r="L797" s="12"/>
      <c r="M797" s="12"/>
      <c r="N797" s="12"/>
      <c r="O797" s="12"/>
      <c r="P797" s="12"/>
      <c r="Q797" s="12"/>
      <c r="R797" s="12"/>
      <c r="S797" s="12"/>
      <c r="T797" s="12"/>
      <c r="U797" s="12"/>
      <c r="W797" s="12"/>
      <c r="X797" s="12"/>
    </row>
    <row r="798" spans="1:24" ht="15.75" customHeight="1">
      <c r="A798" s="12"/>
      <c r="B798" s="12"/>
      <c r="C798" s="12"/>
      <c r="D798" s="12"/>
      <c r="E798" s="12"/>
      <c r="F798" s="12"/>
      <c r="G798" s="12"/>
      <c r="H798" s="12"/>
      <c r="I798" s="12"/>
      <c r="J798" s="12"/>
      <c r="K798" s="12"/>
      <c r="L798" s="12"/>
      <c r="M798" s="12"/>
      <c r="N798" s="12"/>
      <c r="O798" s="12"/>
      <c r="P798" s="12"/>
      <c r="Q798" s="12"/>
      <c r="R798" s="12"/>
      <c r="S798" s="12"/>
      <c r="T798" s="12"/>
      <c r="U798" s="12"/>
      <c r="W798" s="12"/>
      <c r="X798" s="12"/>
    </row>
    <row r="799" spans="1:24" ht="15.75" customHeight="1">
      <c r="A799" s="12"/>
      <c r="B799" s="12"/>
      <c r="C799" s="12"/>
      <c r="D799" s="12"/>
      <c r="E799" s="12"/>
      <c r="F799" s="12"/>
      <c r="G799" s="12"/>
      <c r="H799" s="12"/>
      <c r="I799" s="12"/>
      <c r="J799" s="12"/>
      <c r="K799" s="12"/>
      <c r="L799" s="12"/>
      <c r="M799" s="12"/>
      <c r="N799" s="12"/>
      <c r="O799" s="12"/>
      <c r="P799" s="12"/>
      <c r="Q799" s="12"/>
      <c r="R799" s="12"/>
      <c r="S799" s="12"/>
      <c r="T799" s="12"/>
      <c r="U799" s="12"/>
      <c r="W799" s="12"/>
      <c r="X799" s="12"/>
    </row>
    <row r="800" spans="1:24" ht="15.75" customHeight="1">
      <c r="A800" s="12"/>
      <c r="B800" s="12"/>
      <c r="C800" s="12"/>
      <c r="D800" s="12"/>
      <c r="E800" s="12"/>
      <c r="F800" s="12"/>
      <c r="G800" s="12"/>
      <c r="H800" s="12"/>
      <c r="I800" s="12"/>
      <c r="J800" s="12"/>
      <c r="K800" s="12"/>
      <c r="L800" s="12"/>
      <c r="M800" s="12"/>
      <c r="N800" s="12"/>
      <c r="O800" s="12"/>
      <c r="P800" s="12"/>
      <c r="Q800" s="12"/>
      <c r="R800" s="12"/>
      <c r="S800" s="12"/>
      <c r="T800" s="12"/>
      <c r="U800" s="12"/>
      <c r="W800" s="12"/>
      <c r="X800" s="12"/>
    </row>
    <row r="801" spans="1:24" ht="15.75" customHeight="1">
      <c r="A801" s="12"/>
      <c r="B801" s="12"/>
      <c r="C801" s="12"/>
      <c r="D801" s="12"/>
      <c r="E801" s="12"/>
      <c r="F801" s="12"/>
      <c r="G801" s="12"/>
      <c r="H801" s="12"/>
      <c r="I801" s="12"/>
      <c r="J801" s="12"/>
      <c r="K801" s="12"/>
      <c r="L801" s="12"/>
      <c r="M801" s="12"/>
      <c r="N801" s="12"/>
      <c r="O801" s="12"/>
      <c r="P801" s="12"/>
      <c r="Q801" s="12"/>
      <c r="R801" s="12"/>
      <c r="S801" s="12"/>
      <c r="T801" s="12"/>
      <c r="U801" s="12"/>
      <c r="W801" s="12"/>
      <c r="X801" s="12"/>
    </row>
    <row r="802" spans="1:24" ht="15.75" customHeight="1">
      <c r="A802" s="12"/>
      <c r="B802" s="12"/>
      <c r="C802" s="12"/>
      <c r="D802" s="12"/>
      <c r="E802" s="12"/>
      <c r="F802" s="12"/>
      <c r="G802" s="12"/>
      <c r="H802" s="12"/>
      <c r="I802" s="12"/>
      <c r="J802" s="12"/>
      <c r="K802" s="12"/>
      <c r="L802" s="12"/>
      <c r="M802" s="12"/>
      <c r="N802" s="12"/>
      <c r="O802" s="12"/>
      <c r="P802" s="12"/>
      <c r="Q802" s="12"/>
      <c r="R802" s="12"/>
      <c r="S802" s="12"/>
      <c r="T802" s="12"/>
      <c r="U802" s="12"/>
      <c r="W802" s="12"/>
      <c r="X802" s="12"/>
    </row>
    <row r="803" spans="1:24" ht="15.75" customHeight="1">
      <c r="A803" s="12"/>
      <c r="B803" s="12"/>
      <c r="C803" s="12"/>
      <c r="D803" s="12"/>
      <c r="E803" s="12"/>
      <c r="F803" s="12"/>
      <c r="G803" s="12"/>
      <c r="H803" s="12"/>
      <c r="I803" s="12"/>
      <c r="J803" s="12"/>
      <c r="K803" s="12"/>
      <c r="L803" s="12"/>
      <c r="M803" s="12"/>
      <c r="N803" s="12"/>
      <c r="O803" s="12"/>
      <c r="P803" s="12"/>
      <c r="Q803" s="12"/>
      <c r="R803" s="12"/>
      <c r="S803" s="12"/>
      <c r="T803" s="12"/>
      <c r="U803" s="12"/>
      <c r="W803" s="12"/>
      <c r="X803" s="12"/>
    </row>
    <row r="804" spans="1:24" ht="15.75" customHeight="1">
      <c r="A804" s="12"/>
      <c r="B804" s="12"/>
      <c r="C804" s="12"/>
      <c r="D804" s="12"/>
      <c r="E804" s="12"/>
      <c r="F804" s="12"/>
      <c r="G804" s="12"/>
      <c r="H804" s="12"/>
      <c r="I804" s="12"/>
      <c r="J804" s="12"/>
      <c r="K804" s="12"/>
      <c r="L804" s="12"/>
      <c r="M804" s="12"/>
      <c r="N804" s="12"/>
      <c r="O804" s="12"/>
      <c r="P804" s="12"/>
      <c r="Q804" s="12"/>
      <c r="R804" s="12"/>
      <c r="S804" s="12"/>
      <c r="T804" s="12"/>
      <c r="U804" s="12"/>
      <c r="W804" s="12"/>
      <c r="X804" s="12"/>
    </row>
    <row r="805" spans="1:24" ht="15.75" customHeight="1">
      <c r="A805" s="12"/>
      <c r="B805" s="12"/>
      <c r="C805" s="12"/>
      <c r="D805" s="12"/>
      <c r="E805" s="12"/>
      <c r="F805" s="12"/>
      <c r="G805" s="12"/>
      <c r="H805" s="12"/>
      <c r="I805" s="12"/>
      <c r="J805" s="12"/>
      <c r="K805" s="12"/>
      <c r="L805" s="12"/>
      <c r="M805" s="12"/>
      <c r="N805" s="12"/>
      <c r="O805" s="12"/>
      <c r="P805" s="12"/>
      <c r="Q805" s="12"/>
      <c r="R805" s="12"/>
      <c r="S805" s="12"/>
      <c r="T805" s="12"/>
      <c r="U805" s="12"/>
      <c r="W805" s="12"/>
      <c r="X805" s="12"/>
    </row>
    <row r="806" spans="1:24" ht="15.75" customHeight="1">
      <c r="A806" s="12"/>
      <c r="B806" s="12"/>
      <c r="C806" s="12"/>
      <c r="D806" s="12"/>
      <c r="E806" s="12"/>
      <c r="F806" s="12"/>
      <c r="G806" s="12"/>
      <c r="H806" s="12"/>
      <c r="I806" s="12"/>
      <c r="J806" s="12"/>
      <c r="K806" s="12"/>
      <c r="L806" s="12"/>
      <c r="M806" s="12"/>
      <c r="N806" s="12"/>
      <c r="O806" s="12"/>
      <c r="P806" s="12"/>
      <c r="Q806" s="12"/>
      <c r="R806" s="12"/>
      <c r="S806" s="12"/>
      <c r="T806" s="12"/>
      <c r="U806" s="12"/>
      <c r="W806" s="12"/>
      <c r="X806" s="12"/>
    </row>
    <row r="807" spans="1:24" ht="15.75" customHeight="1">
      <c r="A807" s="12"/>
      <c r="B807" s="12"/>
      <c r="C807" s="12"/>
      <c r="D807" s="12"/>
      <c r="E807" s="12"/>
      <c r="F807" s="12"/>
      <c r="G807" s="12"/>
      <c r="H807" s="12"/>
      <c r="I807" s="12"/>
      <c r="J807" s="12"/>
      <c r="K807" s="12"/>
      <c r="L807" s="12"/>
      <c r="M807" s="12"/>
      <c r="N807" s="12"/>
      <c r="O807" s="12"/>
      <c r="P807" s="12"/>
      <c r="Q807" s="12"/>
      <c r="R807" s="12"/>
      <c r="S807" s="12"/>
      <c r="T807" s="12"/>
      <c r="U807" s="12"/>
      <c r="W807" s="12"/>
      <c r="X807" s="12"/>
    </row>
    <row r="808" spans="1:24" ht="15.75" customHeight="1">
      <c r="A808" s="12"/>
      <c r="B808" s="12"/>
      <c r="C808" s="12"/>
      <c r="D808" s="12"/>
      <c r="E808" s="12"/>
      <c r="F808" s="12"/>
      <c r="G808" s="12"/>
      <c r="H808" s="12"/>
      <c r="I808" s="12"/>
      <c r="J808" s="12"/>
      <c r="K808" s="12"/>
      <c r="L808" s="12"/>
      <c r="M808" s="12"/>
      <c r="N808" s="12"/>
      <c r="O808" s="12"/>
      <c r="P808" s="12"/>
      <c r="Q808" s="12"/>
      <c r="R808" s="12"/>
      <c r="S808" s="12"/>
      <c r="T808" s="12"/>
      <c r="U808" s="12"/>
      <c r="W808" s="12"/>
      <c r="X808" s="12"/>
    </row>
    <row r="809" spans="1:24" ht="15.75" customHeight="1">
      <c r="A809" s="12"/>
      <c r="B809" s="12"/>
      <c r="C809" s="12"/>
      <c r="D809" s="12"/>
      <c r="E809" s="12"/>
      <c r="F809" s="12"/>
      <c r="G809" s="12"/>
      <c r="H809" s="12"/>
      <c r="I809" s="12"/>
      <c r="J809" s="12"/>
      <c r="K809" s="12"/>
      <c r="L809" s="12"/>
      <c r="M809" s="12"/>
      <c r="N809" s="12"/>
      <c r="O809" s="12"/>
      <c r="P809" s="12"/>
      <c r="Q809" s="12"/>
      <c r="R809" s="12"/>
      <c r="S809" s="12"/>
      <c r="T809" s="12"/>
      <c r="U809" s="12"/>
      <c r="W809" s="12"/>
      <c r="X809" s="12"/>
    </row>
    <row r="810" spans="1:24" ht="15.75" customHeight="1">
      <c r="A810" s="12"/>
      <c r="B810" s="12"/>
      <c r="C810" s="12"/>
      <c r="D810" s="12"/>
      <c r="E810" s="12"/>
      <c r="F810" s="12"/>
      <c r="G810" s="12"/>
      <c r="H810" s="12"/>
      <c r="I810" s="12"/>
      <c r="J810" s="12"/>
      <c r="K810" s="12"/>
      <c r="L810" s="12"/>
      <c r="M810" s="12"/>
      <c r="N810" s="12"/>
      <c r="O810" s="12"/>
      <c r="P810" s="12"/>
      <c r="Q810" s="12"/>
      <c r="R810" s="12"/>
      <c r="S810" s="12"/>
      <c r="T810" s="12"/>
      <c r="U810" s="12"/>
      <c r="W810" s="12"/>
      <c r="X810" s="12"/>
    </row>
    <row r="811" spans="1:24" ht="15.75" customHeight="1">
      <c r="A811" s="12"/>
      <c r="B811" s="12"/>
      <c r="C811" s="12"/>
      <c r="D811" s="12"/>
      <c r="E811" s="12"/>
      <c r="F811" s="12"/>
      <c r="G811" s="12"/>
      <c r="H811" s="12"/>
      <c r="I811" s="12"/>
      <c r="J811" s="12"/>
      <c r="K811" s="12"/>
      <c r="L811" s="12"/>
      <c r="M811" s="12"/>
      <c r="N811" s="12"/>
      <c r="O811" s="12"/>
      <c r="P811" s="12"/>
      <c r="Q811" s="12"/>
      <c r="R811" s="12"/>
      <c r="S811" s="12"/>
      <c r="T811" s="12"/>
      <c r="U811" s="12"/>
      <c r="W811" s="12"/>
      <c r="X811" s="12"/>
    </row>
    <row r="812" spans="1:24" ht="15.75" customHeight="1">
      <c r="A812" s="12"/>
      <c r="B812" s="12"/>
      <c r="C812" s="12"/>
      <c r="D812" s="12"/>
      <c r="E812" s="12"/>
      <c r="F812" s="12"/>
      <c r="G812" s="12"/>
      <c r="H812" s="12"/>
      <c r="I812" s="12"/>
      <c r="J812" s="12"/>
      <c r="K812" s="12"/>
      <c r="L812" s="12"/>
      <c r="M812" s="12"/>
      <c r="N812" s="12"/>
      <c r="O812" s="12"/>
      <c r="P812" s="12"/>
      <c r="Q812" s="12"/>
      <c r="R812" s="12"/>
      <c r="S812" s="12"/>
      <c r="T812" s="12"/>
      <c r="U812" s="12"/>
      <c r="W812" s="12"/>
      <c r="X812" s="12"/>
    </row>
    <row r="813" spans="1:24" ht="15.75" customHeight="1">
      <c r="A813" s="12"/>
      <c r="B813" s="12"/>
      <c r="C813" s="12"/>
      <c r="D813" s="12"/>
      <c r="E813" s="12"/>
      <c r="F813" s="12"/>
      <c r="G813" s="12"/>
      <c r="H813" s="12"/>
      <c r="I813" s="12"/>
      <c r="J813" s="12"/>
      <c r="K813" s="12"/>
      <c r="L813" s="12"/>
      <c r="M813" s="12"/>
      <c r="N813" s="12"/>
      <c r="O813" s="12"/>
      <c r="P813" s="12"/>
      <c r="Q813" s="12"/>
      <c r="R813" s="12"/>
      <c r="S813" s="12"/>
      <c r="T813" s="12"/>
      <c r="U813" s="12"/>
      <c r="W813" s="12"/>
      <c r="X813" s="12"/>
    </row>
    <row r="814" spans="1:24" ht="15.75" customHeight="1">
      <c r="A814" s="12"/>
      <c r="B814" s="12"/>
      <c r="C814" s="12"/>
      <c r="D814" s="12"/>
      <c r="E814" s="12"/>
      <c r="F814" s="12"/>
      <c r="G814" s="12"/>
      <c r="H814" s="12"/>
      <c r="I814" s="12"/>
      <c r="J814" s="12"/>
      <c r="K814" s="12"/>
      <c r="L814" s="12"/>
      <c r="M814" s="12"/>
      <c r="N814" s="12"/>
      <c r="O814" s="12"/>
      <c r="P814" s="12"/>
      <c r="Q814" s="12"/>
      <c r="R814" s="12"/>
      <c r="S814" s="12"/>
      <c r="T814" s="12"/>
      <c r="U814" s="12"/>
      <c r="W814" s="12"/>
      <c r="X814" s="12"/>
    </row>
    <row r="815" spans="1:24" ht="15.75" customHeight="1">
      <c r="A815" s="12"/>
      <c r="B815" s="12"/>
      <c r="C815" s="12"/>
      <c r="D815" s="12"/>
      <c r="E815" s="12"/>
      <c r="F815" s="12"/>
      <c r="G815" s="12"/>
      <c r="H815" s="12"/>
      <c r="I815" s="12"/>
      <c r="J815" s="12"/>
      <c r="K815" s="12"/>
      <c r="L815" s="12"/>
      <c r="M815" s="12"/>
      <c r="N815" s="12"/>
      <c r="O815" s="12"/>
      <c r="P815" s="12"/>
      <c r="Q815" s="12"/>
      <c r="R815" s="12"/>
      <c r="S815" s="12"/>
      <c r="T815" s="12"/>
      <c r="U815" s="12"/>
      <c r="W815" s="12"/>
      <c r="X815" s="12"/>
    </row>
    <row r="816" spans="1:24" ht="15.75" customHeight="1">
      <c r="A816" s="12"/>
      <c r="B816" s="12"/>
      <c r="C816" s="12"/>
      <c r="D816" s="12"/>
      <c r="E816" s="12"/>
      <c r="F816" s="12"/>
      <c r="G816" s="12"/>
      <c r="H816" s="12"/>
      <c r="I816" s="12"/>
      <c r="J816" s="12"/>
      <c r="K816" s="12"/>
      <c r="L816" s="12"/>
      <c r="M816" s="12"/>
      <c r="N816" s="12"/>
      <c r="O816" s="12"/>
      <c r="P816" s="12"/>
      <c r="Q816" s="12"/>
      <c r="R816" s="12"/>
      <c r="S816" s="12"/>
      <c r="T816" s="12"/>
      <c r="U816" s="12"/>
      <c r="W816" s="12"/>
      <c r="X816" s="12"/>
    </row>
    <row r="817" spans="1:24" ht="15.75" customHeight="1">
      <c r="A817" s="12"/>
      <c r="B817" s="12"/>
      <c r="C817" s="12"/>
      <c r="D817" s="12"/>
      <c r="E817" s="12"/>
      <c r="F817" s="12"/>
      <c r="G817" s="12"/>
      <c r="H817" s="12"/>
      <c r="I817" s="12"/>
      <c r="J817" s="12"/>
      <c r="K817" s="12"/>
      <c r="L817" s="12"/>
      <c r="M817" s="12"/>
      <c r="N817" s="12"/>
      <c r="O817" s="12"/>
      <c r="P817" s="12"/>
      <c r="Q817" s="12"/>
      <c r="R817" s="12"/>
      <c r="S817" s="12"/>
      <c r="T817" s="12"/>
      <c r="U817" s="12"/>
      <c r="W817" s="12"/>
      <c r="X817" s="12"/>
    </row>
    <row r="818" spans="1:24" ht="15.75" customHeight="1">
      <c r="A818" s="12"/>
      <c r="B818" s="12"/>
      <c r="C818" s="12"/>
      <c r="D818" s="12"/>
      <c r="E818" s="12"/>
      <c r="F818" s="12"/>
      <c r="G818" s="12"/>
      <c r="H818" s="12"/>
      <c r="I818" s="12"/>
      <c r="J818" s="12"/>
      <c r="K818" s="12"/>
      <c r="L818" s="12"/>
      <c r="M818" s="12"/>
      <c r="N818" s="12"/>
      <c r="O818" s="12"/>
      <c r="P818" s="12"/>
      <c r="Q818" s="12"/>
      <c r="R818" s="12"/>
      <c r="S818" s="12"/>
      <c r="T818" s="12"/>
      <c r="U818" s="12"/>
      <c r="W818" s="12"/>
      <c r="X818" s="12"/>
    </row>
    <row r="819" spans="1:24" ht="15.75" customHeight="1">
      <c r="A819" s="12"/>
      <c r="B819" s="12"/>
      <c r="C819" s="12"/>
      <c r="D819" s="12"/>
      <c r="E819" s="12"/>
      <c r="F819" s="12"/>
      <c r="G819" s="12"/>
      <c r="H819" s="12"/>
      <c r="I819" s="12"/>
      <c r="J819" s="12"/>
      <c r="K819" s="12"/>
      <c r="L819" s="12"/>
      <c r="M819" s="12"/>
      <c r="N819" s="12"/>
      <c r="O819" s="12"/>
      <c r="P819" s="12"/>
      <c r="Q819" s="12"/>
      <c r="R819" s="12"/>
      <c r="S819" s="12"/>
      <c r="T819" s="12"/>
      <c r="U819" s="12"/>
      <c r="W819" s="12"/>
      <c r="X819" s="12"/>
    </row>
    <row r="820" spans="1:24" ht="15.75" customHeight="1">
      <c r="A820" s="12"/>
      <c r="B820" s="12"/>
      <c r="C820" s="12"/>
      <c r="D820" s="12"/>
      <c r="E820" s="12"/>
      <c r="F820" s="12"/>
      <c r="G820" s="12"/>
      <c r="H820" s="12"/>
      <c r="I820" s="12"/>
      <c r="J820" s="12"/>
      <c r="K820" s="12"/>
      <c r="L820" s="12"/>
      <c r="M820" s="12"/>
      <c r="N820" s="12"/>
      <c r="O820" s="12"/>
      <c r="P820" s="12"/>
      <c r="Q820" s="12"/>
      <c r="R820" s="12"/>
      <c r="S820" s="12"/>
      <c r="T820" s="12"/>
      <c r="U820" s="12"/>
      <c r="W820" s="12"/>
      <c r="X820" s="12"/>
    </row>
    <row r="821" spans="1:24" ht="15.75" customHeight="1">
      <c r="A821" s="12"/>
      <c r="B821" s="12"/>
      <c r="C821" s="12"/>
      <c r="D821" s="12"/>
      <c r="E821" s="12"/>
      <c r="F821" s="12"/>
      <c r="G821" s="12"/>
      <c r="H821" s="12"/>
      <c r="I821" s="12"/>
      <c r="J821" s="12"/>
      <c r="K821" s="12"/>
      <c r="L821" s="12"/>
      <c r="M821" s="12"/>
      <c r="N821" s="12"/>
      <c r="O821" s="12"/>
      <c r="P821" s="12"/>
      <c r="Q821" s="12"/>
      <c r="R821" s="12"/>
      <c r="S821" s="12"/>
      <c r="T821" s="12"/>
      <c r="U821" s="12"/>
      <c r="W821" s="12"/>
      <c r="X821" s="12"/>
    </row>
    <row r="822" spans="1:24" ht="15.75" customHeight="1">
      <c r="A822" s="12"/>
      <c r="B822" s="12"/>
      <c r="C822" s="12"/>
      <c r="D822" s="12"/>
      <c r="E822" s="12"/>
      <c r="F822" s="12"/>
      <c r="G822" s="12"/>
      <c r="H822" s="12"/>
      <c r="I822" s="12"/>
      <c r="J822" s="12"/>
      <c r="K822" s="12"/>
      <c r="L822" s="12"/>
      <c r="M822" s="12"/>
      <c r="N822" s="12"/>
      <c r="O822" s="12"/>
      <c r="P822" s="12"/>
      <c r="Q822" s="12"/>
      <c r="R822" s="12"/>
      <c r="S822" s="12"/>
      <c r="T822" s="12"/>
      <c r="U822" s="12"/>
      <c r="W822" s="12"/>
      <c r="X822" s="12"/>
    </row>
    <row r="823" spans="1:24" ht="15.75" customHeight="1">
      <c r="A823" s="12"/>
      <c r="B823" s="12"/>
      <c r="C823" s="12"/>
      <c r="D823" s="12"/>
      <c r="E823" s="12"/>
      <c r="F823" s="12"/>
      <c r="G823" s="12"/>
      <c r="H823" s="12"/>
      <c r="I823" s="12"/>
      <c r="J823" s="12"/>
      <c r="K823" s="12"/>
      <c r="L823" s="12"/>
      <c r="M823" s="12"/>
      <c r="N823" s="12"/>
      <c r="O823" s="12"/>
      <c r="P823" s="12"/>
      <c r="Q823" s="12"/>
      <c r="R823" s="12"/>
      <c r="S823" s="12"/>
      <c r="T823" s="12"/>
      <c r="U823" s="12"/>
      <c r="W823" s="12"/>
      <c r="X823" s="12"/>
    </row>
    <row r="824" spans="1:24" ht="15.75" customHeight="1">
      <c r="A824" s="12"/>
      <c r="B824" s="12"/>
      <c r="C824" s="12"/>
      <c r="D824" s="12"/>
      <c r="E824" s="12"/>
      <c r="F824" s="12"/>
      <c r="G824" s="12"/>
      <c r="H824" s="12"/>
      <c r="I824" s="12"/>
      <c r="J824" s="12"/>
      <c r="K824" s="12"/>
      <c r="L824" s="12"/>
      <c r="M824" s="12"/>
      <c r="N824" s="12"/>
      <c r="O824" s="12"/>
      <c r="P824" s="12"/>
      <c r="Q824" s="12"/>
      <c r="R824" s="12"/>
      <c r="S824" s="12"/>
      <c r="T824" s="12"/>
      <c r="U824" s="12"/>
      <c r="W824" s="12"/>
      <c r="X824" s="12"/>
    </row>
    <row r="825" spans="1:24" ht="15.75" customHeight="1">
      <c r="A825" s="12"/>
      <c r="B825" s="12"/>
      <c r="C825" s="12"/>
      <c r="D825" s="12"/>
      <c r="E825" s="12"/>
      <c r="F825" s="12"/>
      <c r="G825" s="12"/>
      <c r="H825" s="12"/>
      <c r="I825" s="12"/>
      <c r="J825" s="12"/>
      <c r="K825" s="12"/>
      <c r="L825" s="12"/>
      <c r="M825" s="12"/>
      <c r="N825" s="12"/>
      <c r="O825" s="12"/>
      <c r="P825" s="12"/>
      <c r="Q825" s="12"/>
      <c r="R825" s="12"/>
      <c r="S825" s="12"/>
      <c r="T825" s="12"/>
      <c r="U825" s="12"/>
      <c r="W825" s="12"/>
      <c r="X825" s="12"/>
    </row>
    <row r="826" spans="1:24" ht="15.75" customHeight="1">
      <c r="A826" s="12"/>
      <c r="B826" s="12"/>
      <c r="C826" s="12"/>
      <c r="D826" s="12"/>
      <c r="E826" s="12"/>
      <c r="F826" s="12"/>
      <c r="G826" s="12"/>
      <c r="H826" s="12"/>
      <c r="I826" s="12"/>
      <c r="J826" s="12"/>
      <c r="K826" s="12"/>
      <c r="L826" s="12"/>
      <c r="M826" s="12"/>
      <c r="N826" s="12"/>
      <c r="O826" s="12"/>
      <c r="P826" s="12"/>
      <c r="Q826" s="12"/>
      <c r="R826" s="12"/>
      <c r="S826" s="12"/>
      <c r="T826" s="12"/>
      <c r="U826" s="12"/>
      <c r="W826" s="12"/>
      <c r="X826" s="12"/>
    </row>
    <row r="827" spans="1:24" ht="15.75" customHeight="1">
      <c r="A827" s="12"/>
      <c r="B827" s="12"/>
      <c r="C827" s="12"/>
      <c r="D827" s="12"/>
      <c r="E827" s="12"/>
      <c r="F827" s="12"/>
      <c r="G827" s="12"/>
      <c r="H827" s="12"/>
      <c r="I827" s="12"/>
      <c r="J827" s="12"/>
      <c r="K827" s="12"/>
      <c r="L827" s="12"/>
      <c r="M827" s="12"/>
      <c r="N827" s="12"/>
      <c r="O827" s="12"/>
      <c r="P827" s="12"/>
      <c r="Q827" s="12"/>
      <c r="R827" s="12"/>
      <c r="S827" s="12"/>
      <c r="T827" s="12"/>
      <c r="U827" s="12"/>
      <c r="W827" s="12"/>
      <c r="X827" s="12"/>
    </row>
    <row r="828" spans="1:24" ht="15.75" customHeight="1">
      <c r="A828" s="12"/>
      <c r="B828" s="12"/>
      <c r="C828" s="12"/>
      <c r="D828" s="12"/>
      <c r="E828" s="12"/>
      <c r="F828" s="12"/>
      <c r="G828" s="12"/>
      <c r="H828" s="12"/>
      <c r="I828" s="12"/>
      <c r="J828" s="12"/>
      <c r="K828" s="12"/>
      <c r="L828" s="12"/>
      <c r="M828" s="12"/>
      <c r="N828" s="12"/>
      <c r="O828" s="12"/>
      <c r="P828" s="12"/>
      <c r="Q828" s="12"/>
      <c r="R828" s="12"/>
      <c r="S828" s="12"/>
      <c r="T828" s="12"/>
      <c r="U828" s="12"/>
      <c r="W828" s="12"/>
      <c r="X828" s="12"/>
    </row>
    <row r="829" spans="1:24" ht="15.75" customHeight="1">
      <c r="A829" s="12"/>
      <c r="B829" s="12"/>
      <c r="C829" s="12"/>
      <c r="D829" s="12"/>
      <c r="E829" s="12"/>
      <c r="F829" s="12"/>
      <c r="G829" s="12"/>
      <c r="H829" s="12"/>
      <c r="I829" s="12"/>
      <c r="J829" s="12"/>
      <c r="K829" s="12"/>
      <c r="L829" s="12"/>
      <c r="M829" s="12"/>
      <c r="N829" s="12"/>
      <c r="O829" s="12"/>
      <c r="P829" s="12"/>
      <c r="Q829" s="12"/>
      <c r="R829" s="12"/>
      <c r="S829" s="12"/>
      <c r="T829" s="12"/>
      <c r="U829" s="12"/>
      <c r="W829" s="12"/>
      <c r="X829" s="12"/>
    </row>
    <row r="830" spans="1:24" ht="15.75" customHeight="1">
      <c r="A830" s="12"/>
      <c r="B830" s="12"/>
      <c r="C830" s="12"/>
      <c r="D830" s="12"/>
      <c r="E830" s="12"/>
      <c r="F830" s="12"/>
      <c r="G830" s="12"/>
      <c r="H830" s="12"/>
      <c r="I830" s="12"/>
      <c r="J830" s="12"/>
      <c r="K830" s="12"/>
      <c r="L830" s="12"/>
      <c r="M830" s="12"/>
      <c r="N830" s="12"/>
      <c r="O830" s="12"/>
      <c r="P830" s="12"/>
      <c r="Q830" s="12"/>
      <c r="R830" s="12"/>
      <c r="S830" s="12"/>
      <c r="T830" s="12"/>
      <c r="U830" s="12"/>
      <c r="W830" s="12"/>
      <c r="X830" s="12"/>
    </row>
    <row r="831" spans="1:24" ht="15.75" customHeight="1">
      <c r="A831" s="12"/>
      <c r="B831" s="12"/>
      <c r="C831" s="12"/>
      <c r="D831" s="12"/>
      <c r="E831" s="12"/>
      <c r="F831" s="12"/>
      <c r="G831" s="12"/>
      <c r="H831" s="12"/>
      <c r="I831" s="12"/>
      <c r="J831" s="12"/>
      <c r="K831" s="12"/>
      <c r="L831" s="12"/>
      <c r="M831" s="12"/>
      <c r="N831" s="12"/>
      <c r="O831" s="12"/>
      <c r="P831" s="12"/>
      <c r="Q831" s="12"/>
      <c r="R831" s="12"/>
      <c r="S831" s="12"/>
      <c r="T831" s="12"/>
      <c r="U831" s="12"/>
      <c r="W831" s="12"/>
      <c r="X831" s="12"/>
    </row>
    <row r="832" spans="1:24" ht="15.75" customHeight="1">
      <c r="A832" s="12"/>
      <c r="B832" s="12"/>
      <c r="C832" s="12"/>
      <c r="D832" s="12"/>
      <c r="E832" s="12"/>
      <c r="F832" s="12"/>
      <c r="G832" s="12"/>
      <c r="H832" s="12"/>
      <c r="I832" s="12"/>
      <c r="J832" s="12"/>
      <c r="K832" s="12"/>
      <c r="L832" s="12"/>
      <c r="M832" s="12"/>
      <c r="N832" s="12"/>
      <c r="O832" s="12"/>
      <c r="P832" s="12"/>
      <c r="Q832" s="12"/>
      <c r="R832" s="12"/>
      <c r="S832" s="12"/>
      <c r="T832" s="12"/>
      <c r="U832" s="12"/>
      <c r="W832" s="12"/>
      <c r="X832" s="12"/>
    </row>
    <row r="833" spans="1:24" ht="15.75" customHeight="1">
      <c r="A833" s="12"/>
      <c r="B833" s="12"/>
      <c r="C833" s="12"/>
      <c r="D833" s="12"/>
      <c r="E833" s="12"/>
      <c r="F833" s="12"/>
      <c r="G833" s="12"/>
      <c r="H833" s="12"/>
      <c r="I833" s="12"/>
      <c r="J833" s="12"/>
      <c r="K833" s="12"/>
      <c r="L833" s="12"/>
      <c r="M833" s="12"/>
      <c r="N833" s="12"/>
      <c r="O833" s="12"/>
      <c r="P833" s="12"/>
      <c r="Q833" s="12"/>
      <c r="R833" s="12"/>
      <c r="S833" s="12"/>
      <c r="T833" s="12"/>
      <c r="U833" s="12"/>
      <c r="W833" s="12"/>
      <c r="X833" s="12"/>
    </row>
    <row r="834" spans="1:24" ht="15.75" customHeight="1">
      <c r="A834" s="12"/>
      <c r="B834" s="12"/>
      <c r="C834" s="12"/>
      <c r="D834" s="12"/>
      <c r="E834" s="12"/>
      <c r="F834" s="12"/>
      <c r="G834" s="12"/>
      <c r="H834" s="12"/>
      <c r="I834" s="12"/>
      <c r="J834" s="12"/>
      <c r="K834" s="12"/>
      <c r="L834" s="12"/>
      <c r="M834" s="12"/>
      <c r="N834" s="12"/>
      <c r="O834" s="12"/>
      <c r="P834" s="12"/>
      <c r="Q834" s="12"/>
      <c r="R834" s="12"/>
      <c r="S834" s="12"/>
      <c r="T834" s="12"/>
      <c r="U834" s="12"/>
      <c r="W834" s="12"/>
      <c r="X834" s="12"/>
    </row>
    <row r="835" spans="1:24" ht="15.75" customHeight="1">
      <c r="A835" s="12"/>
      <c r="B835" s="12"/>
      <c r="C835" s="12"/>
      <c r="D835" s="12"/>
      <c r="E835" s="12"/>
      <c r="F835" s="12"/>
      <c r="G835" s="12"/>
      <c r="H835" s="12"/>
      <c r="I835" s="12"/>
      <c r="J835" s="12"/>
      <c r="K835" s="12"/>
      <c r="L835" s="12"/>
      <c r="M835" s="12"/>
      <c r="N835" s="12"/>
      <c r="O835" s="12"/>
      <c r="P835" s="12"/>
      <c r="Q835" s="12"/>
      <c r="R835" s="12"/>
      <c r="S835" s="12"/>
      <c r="T835" s="12"/>
      <c r="U835" s="12"/>
      <c r="W835" s="12"/>
      <c r="X835" s="12"/>
    </row>
    <row r="836" spans="1:24" ht="15.75" customHeight="1">
      <c r="A836" s="12"/>
      <c r="B836" s="12"/>
      <c r="C836" s="12"/>
      <c r="D836" s="12"/>
      <c r="E836" s="12"/>
      <c r="F836" s="12"/>
      <c r="G836" s="12"/>
      <c r="H836" s="12"/>
      <c r="I836" s="12"/>
      <c r="J836" s="12"/>
      <c r="K836" s="12"/>
      <c r="L836" s="12"/>
      <c r="M836" s="12"/>
      <c r="N836" s="12"/>
      <c r="O836" s="12"/>
      <c r="P836" s="12"/>
      <c r="Q836" s="12"/>
      <c r="R836" s="12"/>
      <c r="S836" s="12"/>
      <c r="T836" s="12"/>
      <c r="U836" s="12"/>
      <c r="W836" s="12"/>
      <c r="X836" s="12"/>
    </row>
    <row r="837" spans="1:24" ht="15.75" customHeight="1">
      <c r="A837" s="12"/>
      <c r="B837" s="12"/>
      <c r="C837" s="12"/>
      <c r="D837" s="12"/>
      <c r="E837" s="12"/>
      <c r="F837" s="12"/>
      <c r="G837" s="12"/>
      <c r="H837" s="12"/>
      <c r="I837" s="12"/>
      <c r="J837" s="12"/>
      <c r="K837" s="12"/>
      <c r="L837" s="12"/>
      <c r="M837" s="12"/>
      <c r="N837" s="12"/>
      <c r="O837" s="12"/>
      <c r="P837" s="12"/>
      <c r="Q837" s="12"/>
      <c r="R837" s="12"/>
      <c r="S837" s="12"/>
      <c r="T837" s="12"/>
      <c r="U837" s="12"/>
      <c r="W837" s="12"/>
      <c r="X837" s="12"/>
    </row>
    <row r="838" spans="1:24" ht="15.75" customHeight="1">
      <c r="A838" s="12"/>
      <c r="B838" s="12"/>
      <c r="C838" s="12"/>
      <c r="D838" s="12"/>
      <c r="E838" s="12"/>
      <c r="F838" s="12"/>
      <c r="G838" s="12"/>
      <c r="H838" s="12"/>
      <c r="I838" s="12"/>
      <c r="J838" s="12"/>
      <c r="K838" s="12"/>
      <c r="L838" s="12"/>
      <c r="M838" s="12"/>
      <c r="N838" s="12"/>
      <c r="O838" s="12"/>
      <c r="P838" s="12"/>
      <c r="Q838" s="12"/>
      <c r="R838" s="12"/>
      <c r="S838" s="12"/>
      <c r="T838" s="12"/>
      <c r="U838" s="12"/>
      <c r="W838" s="12"/>
      <c r="X838" s="12"/>
    </row>
    <row r="839" spans="1:24" ht="15.75" customHeight="1">
      <c r="A839" s="12"/>
      <c r="B839" s="12"/>
      <c r="C839" s="12"/>
      <c r="D839" s="12"/>
      <c r="E839" s="12"/>
      <c r="F839" s="12"/>
      <c r="G839" s="12"/>
      <c r="H839" s="12"/>
      <c r="I839" s="12"/>
      <c r="J839" s="12"/>
      <c r="K839" s="12"/>
      <c r="L839" s="12"/>
      <c r="M839" s="12"/>
      <c r="N839" s="12"/>
      <c r="O839" s="12"/>
      <c r="P839" s="12"/>
      <c r="Q839" s="12"/>
      <c r="R839" s="12"/>
      <c r="S839" s="12"/>
      <c r="T839" s="12"/>
      <c r="U839" s="12"/>
      <c r="W839" s="12"/>
      <c r="X839" s="12"/>
    </row>
    <row r="840" spans="1:24" ht="15.75" customHeight="1">
      <c r="A840" s="12"/>
      <c r="B840" s="12"/>
      <c r="C840" s="12"/>
      <c r="D840" s="12"/>
      <c r="E840" s="12"/>
      <c r="F840" s="12"/>
      <c r="G840" s="12"/>
      <c r="H840" s="12"/>
      <c r="I840" s="12"/>
      <c r="J840" s="12"/>
      <c r="K840" s="12"/>
      <c r="L840" s="12"/>
      <c r="M840" s="12"/>
      <c r="N840" s="12"/>
      <c r="O840" s="12"/>
      <c r="P840" s="12"/>
      <c r="Q840" s="12"/>
      <c r="R840" s="12"/>
      <c r="S840" s="12"/>
      <c r="T840" s="12"/>
      <c r="U840" s="12"/>
      <c r="W840" s="12"/>
      <c r="X840" s="12"/>
    </row>
    <row r="841" spans="1:24" ht="15.75" customHeight="1">
      <c r="A841" s="12"/>
      <c r="B841" s="12"/>
      <c r="C841" s="12"/>
      <c r="D841" s="12"/>
      <c r="E841" s="12"/>
      <c r="F841" s="12"/>
      <c r="G841" s="12"/>
      <c r="H841" s="12"/>
      <c r="I841" s="12"/>
      <c r="J841" s="12"/>
      <c r="K841" s="12"/>
      <c r="L841" s="12"/>
      <c r="M841" s="12"/>
      <c r="N841" s="12"/>
      <c r="O841" s="12"/>
      <c r="P841" s="12"/>
      <c r="Q841" s="12"/>
      <c r="R841" s="12"/>
      <c r="S841" s="12"/>
      <c r="T841" s="12"/>
      <c r="U841" s="12"/>
      <c r="W841" s="12"/>
      <c r="X841" s="12"/>
    </row>
    <row r="842" spans="1:24" ht="15.75" customHeight="1">
      <c r="A842" s="12"/>
      <c r="B842" s="12"/>
      <c r="C842" s="12"/>
      <c r="D842" s="12"/>
      <c r="E842" s="12"/>
      <c r="F842" s="12"/>
      <c r="G842" s="12"/>
      <c r="H842" s="12"/>
      <c r="I842" s="12"/>
      <c r="J842" s="12"/>
      <c r="K842" s="12"/>
      <c r="L842" s="12"/>
      <c r="M842" s="12"/>
      <c r="N842" s="12"/>
      <c r="O842" s="12"/>
      <c r="P842" s="12"/>
      <c r="Q842" s="12"/>
      <c r="R842" s="12"/>
      <c r="S842" s="12"/>
      <c r="T842" s="12"/>
      <c r="U842" s="12"/>
      <c r="W842" s="12"/>
      <c r="X842" s="12"/>
    </row>
    <row r="843" spans="1:24" ht="15.75" customHeight="1">
      <c r="A843" s="12"/>
      <c r="B843" s="12"/>
      <c r="C843" s="12"/>
      <c r="D843" s="12"/>
      <c r="E843" s="12"/>
      <c r="F843" s="12"/>
      <c r="G843" s="12"/>
      <c r="H843" s="12"/>
      <c r="I843" s="12"/>
      <c r="J843" s="12"/>
      <c r="K843" s="12"/>
      <c r="L843" s="12"/>
      <c r="M843" s="12"/>
      <c r="N843" s="12"/>
      <c r="O843" s="12"/>
      <c r="P843" s="12"/>
      <c r="Q843" s="12"/>
      <c r="R843" s="12"/>
      <c r="S843" s="12"/>
      <c r="T843" s="12"/>
      <c r="U843" s="12"/>
      <c r="W843" s="12"/>
      <c r="X843" s="12"/>
    </row>
    <row r="844" spans="1:24" ht="15.75" customHeight="1">
      <c r="A844" s="12"/>
      <c r="B844" s="12"/>
      <c r="C844" s="12"/>
      <c r="D844" s="12"/>
      <c r="E844" s="12"/>
      <c r="F844" s="12"/>
      <c r="G844" s="12"/>
      <c r="H844" s="12"/>
      <c r="I844" s="12"/>
      <c r="J844" s="12"/>
      <c r="K844" s="12"/>
      <c r="L844" s="12"/>
      <c r="M844" s="12"/>
      <c r="N844" s="12"/>
      <c r="O844" s="12"/>
      <c r="P844" s="12"/>
      <c r="Q844" s="12"/>
      <c r="R844" s="12"/>
      <c r="S844" s="12"/>
      <c r="T844" s="12"/>
      <c r="U844" s="12"/>
      <c r="W844" s="12"/>
      <c r="X844" s="12"/>
    </row>
    <row r="845" spans="1:24" ht="15.75" customHeight="1">
      <c r="A845" s="12"/>
      <c r="B845" s="12"/>
      <c r="C845" s="12"/>
      <c r="D845" s="12"/>
      <c r="E845" s="12"/>
      <c r="F845" s="12"/>
      <c r="G845" s="12"/>
      <c r="H845" s="12"/>
      <c r="I845" s="12"/>
      <c r="J845" s="12"/>
      <c r="K845" s="12"/>
      <c r="L845" s="12"/>
      <c r="M845" s="12"/>
      <c r="N845" s="12"/>
      <c r="O845" s="12"/>
      <c r="P845" s="12"/>
      <c r="Q845" s="12"/>
      <c r="R845" s="12"/>
      <c r="S845" s="12"/>
      <c r="T845" s="12"/>
      <c r="U845" s="12"/>
      <c r="W845" s="12"/>
      <c r="X845" s="12"/>
    </row>
    <row r="846" spans="1:24" ht="15.75" customHeight="1">
      <c r="A846" s="12"/>
      <c r="B846" s="12"/>
      <c r="C846" s="12"/>
      <c r="D846" s="12"/>
      <c r="E846" s="12"/>
      <c r="F846" s="12"/>
      <c r="G846" s="12"/>
      <c r="H846" s="12"/>
      <c r="I846" s="12"/>
      <c r="J846" s="12"/>
      <c r="K846" s="12"/>
      <c r="L846" s="12"/>
      <c r="M846" s="12"/>
      <c r="N846" s="12"/>
      <c r="O846" s="12"/>
      <c r="P846" s="12"/>
      <c r="Q846" s="12"/>
      <c r="R846" s="12"/>
      <c r="S846" s="12"/>
      <c r="T846" s="12"/>
      <c r="U846" s="12"/>
      <c r="W846" s="12"/>
      <c r="X846" s="12"/>
    </row>
    <row r="847" spans="1:24" ht="15.75" customHeight="1">
      <c r="A847" s="12"/>
      <c r="B847" s="12"/>
      <c r="C847" s="12"/>
      <c r="D847" s="12"/>
      <c r="E847" s="12"/>
      <c r="F847" s="12"/>
      <c r="G847" s="12"/>
      <c r="H847" s="12"/>
      <c r="I847" s="12"/>
      <c r="J847" s="12"/>
      <c r="K847" s="12"/>
      <c r="L847" s="12"/>
      <c r="M847" s="12"/>
      <c r="N847" s="12"/>
      <c r="O847" s="12"/>
      <c r="P847" s="12"/>
      <c r="Q847" s="12"/>
      <c r="R847" s="12"/>
      <c r="S847" s="12"/>
      <c r="T847" s="12"/>
      <c r="U847" s="12"/>
      <c r="W847" s="12"/>
      <c r="X847" s="12"/>
    </row>
    <row r="848" spans="1:24" ht="15.75" customHeight="1">
      <c r="A848" s="12"/>
      <c r="B848" s="12"/>
      <c r="C848" s="12"/>
      <c r="D848" s="12"/>
      <c r="E848" s="12"/>
      <c r="F848" s="12"/>
      <c r="G848" s="12"/>
      <c r="H848" s="12"/>
      <c r="I848" s="12"/>
      <c r="J848" s="12"/>
      <c r="K848" s="12"/>
      <c r="L848" s="12"/>
      <c r="M848" s="12"/>
      <c r="N848" s="12"/>
      <c r="O848" s="12"/>
      <c r="P848" s="12"/>
      <c r="Q848" s="12"/>
      <c r="R848" s="12"/>
      <c r="S848" s="12"/>
      <c r="T848" s="12"/>
      <c r="U848" s="12"/>
      <c r="W848" s="12"/>
      <c r="X848" s="12"/>
    </row>
    <row r="849" spans="1:24" ht="15.75" customHeight="1">
      <c r="A849" s="12"/>
      <c r="B849" s="12"/>
      <c r="C849" s="12"/>
      <c r="D849" s="12"/>
      <c r="E849" s="12"/>
      <c r="F849" s="12"/>
      <c r="G849" s="12"/>
      <c r="H849" s="12"/>
      <c r="I849" s="12"/>
      <c r="J849" s="12"/>
      <c r="K849" s="12"/>
      <c r="L849" s="12"/>
      <c r="M849" s="12"/>
      <c r="N849" s="12"/>
      <c r="O849" s="12"/>
      <c r="P849" s="12"/>
      <c r="Q849" s="12"/>
      <c r="R849" s="12"/>
      <c r="S849" s="12"/>
      <c r="T849" s="12"/>
      <c r="U849" s="12"/>
      <c r="W849" s="12"/>
      <c r="X849" s="12"/>
    </row>
    <row r="850" spans="1:24" ht="15.75" customHeight="1">
      <c r="A850" s="12"/>
      <c r="B850" s="12"/>
      <c r="C850" s="12"/>
      <c r="D850" s="12"/>
      <c r="E850" s="12"/>
      <c r="F850" s="12"/>
      <c r="G850" s="12"/>
      <c r="H850" s="12"/>
      <c r="I850" s="12"/>
      <c r="J850" s="12"/>
      <c r="K850" s="12"/>
      <c r="L850" s="12"/>
      <c r="M850" s="12"/>
      <c r="N850" s="12"/>
      <c r="O850" s="12"/>
      <c r="P850" s="12"/>
      <c r="Q850" s="12"/>
      <c r="R850" s="12"/>
      <c r="S850" s="12"/>
      <c r="T850" s="12"/>
      <c r="U850" s="12"/>
      <c r="W850" s="12"/>
      <c r="X850" s="12"/>
    </row>
    <row r="851" spans="1:24" ht="15.75" customHeight="1">
      <c r="A851" s="12"/>
      <c r="B851" s="12"/>
      <c r="C851" s="12"/>
      <c r="D851" s="12"/>
      <c r="E851" s="12"/>
      <c r="F851" s="12"/>
      <c r="G851" s="12"/>
      <c r="H851" s="12"/>
      <c r="I851" s="12"/>
      <c r="J851" s="12"/>
      <c r="K851" s="12"/>
      <c r="L851" s="12"/>
      <c r="M851" s="12"/>
      <c r="N851" s="12"/>
      <c r="O851" s="12"/>
      <c r="P851" s="12"/>
      <c r="Q851" s="12"/>
      <c r="R851" s="12"/>
      <c r="S851" s="12"/>
      <c r="T851" s="12"/>
      <c r="U851" s="12"/>
      <c r="W851" s="12"/>
      <c r="X851" s="12"/>
    </row>
    <row r="852" spans="1:24" ht="15.75" customHeight="1">
      <c r="A852" s="12"/>
      <c r="B852" s="12"/>
      <c r="C852" s="12"/>
      <c r="D852" s="12"/>
      <c r="E852" s="12"/>
      <c r="F852" s="12"/>
      <c r="G852" s="12"/>
      <c r="H852" s="12"/>
      <c r="I852" s="12"/>
      <c r="J852" s="12"/>
      <c r="K852" s="12"/>
      <c r="L852" s="12"/>
      <c r="M852" s="12"/>
      <c r="N852" s="12"/>
      <c r="O852" s="12"/>
      <c r="P852" s="12"/>
      <c r="Q852" s="12"/>
      <c r="R852" s="12"/>
      <c r="S852" s="12"/>
      <c r="T852" s="12"/>
      <c r="U852" s="12"/>
      <c r="W852" s="12"/>
      <c r="X852" s="12"/>
    </row>
    <row r="853" spans="1:24" ht="15.75" customHeight="1">
      <c r="A853" s="12"/>
      <c r="B853" s="12"/>
      <c r="C853" s="12"/>
      <c r="D853" s="12"/>
      <c r="E853" s="12"/>
      <c r="F853" s="12"/>
      <c r="G853" s="12"/>
      <c r="H853" s="12"/>
      <c r="I853" s="12"/>
      <c r="J853" s="12"/>
      <c r="K853" s="12"/>
      <c r="L853" s="12"/>
      <c r="M853" s="12"/>
      <c r="N853" s="12"/>
      <c r="O853" s="12"/>
      <c r="P853" s="12"/>
      <c r="Q853" s="12"/>
      <c r="R853" s="12"/>
      <c r="S853" s="12"/>
      <c r="T853" s="12"/>
      <c r="U853" s="12"/>
      <c r="W853" s="12"/>
      <c r="X853" s="12"/>
    </row>
    <row r="854" spans="1:24" ht="15.75" customHeight="1">
      <c r="A854" s="12"/>
      <c r="B854" s="12"/>
      <c r="C854" s="12"/>
      <c r="D854" s="12"/>
      <c r="E854" s="12"/>
      <c r="F854" s="12"/>
      <c r="G854" s="12"/>
      <c r="H854" s="12"/>
      <c r="I854" s="12"/>
      <c r="J854" s="12"/>
      <c r="K854" s="12"/>
      <c r="L854" s="12"/>
      <c r="M854" s="12"/>
      <c r="N854" s="12"/>
      <c r="O854" s="12"/>
      <c r="P854" s="12"/>
      <c r="Q854" s="12"/>
      <c r="R854" s="12"/>
      <c r="S854" s="12"/>
      <c r="T854" s="12"/>
      <c r="U854" s="12"/>
      <c r="W854" s="12"/>
      <c r="X854" s="12"/>
    </row>
    <row r="855" spans="1:24" ht="15.75" customHeight="1">
      <c r="A855" s="12"/>
      <c r="B855" s="12"/>
      <c r="C855" s="12"/>
      <c r="D855" s="12"/>
      <c r="E855" s="12"/>
      <c r="F855" s="12"/>
      <c r="G855" s="12"/>
      <c r="H855" s="12"/>
      <c r="I855" s="12"/>
      <c r="J855" s="12"/>
      <c r="K855" s="12"/>
      <c r="L855" s="12"/>
      <c r="M855" s="12"/>
      <c r="N855" s="12"/>
      <c r="O855" s="12"/>
      <c r="P855" s="12"/>
      <c r="Q855" s="12"/>
      <c r="R855" s="12"/>
      <c r="S855" s="12"/>
      <c r="T855" s="12"/>
      <c r="U855" s="12"/>
      <c r="W855" s="12"/>
      <c r="X855" s="12"/>
    </row>
    <row r="856" spans="1:24" ht="15.75" customHeight="1">
      <c r="A856" s="12"/>
      <c r="B856" s="12"/>
      <c r="C856" s="12"/>
      <c r="D856" s="12"/>
      <c r="E856" s="12"/>
      <c r="F856" s="12"/>
      <c r="G856" s="12"/>
      <c r="H856" s="12"/>
      <c r="I856" s="12"/>
      <c r="J856" s="12"/>
      <c r="K856" s="12"/>
      <c r="L856" s="12"/>
      <c r="M856" s="12"/>
      <c r="N856" s="12"/>
      <c r="O856" s="12"/>
      <c r="P856" s="12"/>
      <c r="Q856" s="12"/>
      <c r="R856" s="12"/>
      <c r="S856" s="12"/>
      <c r="T856" s="12"/>
      <c r="U856" s="12"/>
      <c r="W856" s="12"/>
      <c r="X856" s="12"/>
    </row>
    <row r="857" spans="1:24" ht="15.75" customHeight="1">
      <c r="A857" s="12"/>
      <c r="B857" s="12"/>
      <c r="C857" s="12"/>
      <c r="D857" s="12"/>
      <c r="E857" s="12"/>
      <c r="F857" s="12"/>
      <c r="G857" s="12"/>
      <c r="H857" s="12"/>
      <c r="I857" s="12"/>
      <c r="J857" s="12"/>
      <c r="K857" s="12"/>
      <c r="L857" s="12"/>
      <c r="M857" s="12"/>
      <c r="N857" s="12"/>
      <c r="O857" s="12"/>
      <c r="P857" s="12"/>
      <c r="Q857" s="12"/>
      <c r="R857" s="12"/>
      <c r="S857" s="12"/>
      <c r="T857" s="12"/>
      <c r="U857" s="12"/>
      <c r="W857" s="12"/>
      <c r="X857" s="12"/>
    </row>
    <row r="858" spans="1:24" ht="15.75" customHeight="1">
      <c r="A858" s="12"/>
      <c r="B858" s="12"/>
      <c r="C858" s="12"/>
      <c r="D858" s="12"/>
      <c r="E858" s="12"/>
      <c r="F858" s="12"/>
      <c r="G858" s="12"/>
      <c r="H858" s="12"/>
      <c r="I858" s="12"/>
      <c r="J858" s="12"/>
      <c r="K858" s="12"/>
      <c r="L858" s="12"/>
      <c r="M858" s="12"/>
      <c r="N858" s="12"/>
      <c r="O858" s="12"/>
      <c r="P858" s="12"/>
      <c r="Q858" s="12"/>
      <c r="R858" s="12"/>
      <c r="S858" s="12"/>
      <c r="T858" s="12"/>
      <c r="U858" s="12"/>
      <c r="W858" s="12"/>
      <c r="X858" s="12"/>
    </row>
    <row r="859" spans="1:24" ht="15.75" customHeight="1">
      <c r="A859" s="12"/>
      <c r="B859" s="12"/>
      <c r="C859" s="12"/>
      <c r="D859" s="12"/>
      <c r="E859" s="12"/>
      <c r="F859" s="12"/>
      <c r="G859" s="12"/>
      <c r="H859" s="12"/>
      <c r="I859" s="12"/>
      <c r="J859" s="12"/>
      <c r="K859" s="12"/>
      <c r="L859" s="12"/>
      <c r="M859" s="12"/>
      <c r="N859" s="12"/>
      <c r="O859" s="12"/>
      <c r="P859" s="12"/>
      <c r="Q859" s="12"/>
      <c r="R859" s="12"/>
      <c r="S859" s="12"/>
      <c r="T859" s="12"/>
      <c r="U859" s="12"/>
      <c r="W859" s="12"/>
      <c r="X859" s="12"/>
    </row>
    <row r="860" spans="1:24" ht="15.75" customHeight="1">
      <c r="A860" s="12"/>
      <c r="B860" s="12"/>
      <c r="C860" s="12"/>
      <c r="D860" s="12"/>
      <c r="E860" s="12"/>
      <c r="F860" s="12"/>
      <c r="G860" s="12"/>
      <c r="H860" s="12"/>
      <c r="I860" s="12"/>
      <c r="J860" s="12"/>
      <c r="K860" s="12"/>
      <c r="L860" s="12"/>
      <c r="M860" s="12"/>
      <c r="N860" s="12"/>
      <c r="O860" s="12"/>
      <c r="P860" s="12"/>
      <c r="Q860" s="12"/>
      <c r="R860" s="12"/>
      <c r="S860" s="12"/>
      <c r="T860" s="12"/>
      <c r="U860" s="12"/>
      <c r="W860" s="12"/>
      <c r="X860" s="12"/>
    </row>
    <row r="861" spans="1:24" ht="15.75" customHeight="1">
      <c r="A861" s="12"/>
      <c r="B861" s="12"/>
      <c r="C861" s="12"/>
      <c r="D861" s="12"/>
      <c r="E861" s="12"/>
      <c r="F861" s="12"/>
      <c r="G861" s="12"/>
      <c r="H861" s="12"/>
      <c r="I861" s="12"/>
      <c r="J861" s="12"/>
      <c r="K861" s="12"/>
      <c r="L861" s="12"/>
      <c r="M861" s="12"/>
      <c r="N861" s="12"/>
      <c r="O861" s="12"/>
      <c r="P861" s="12"/>
      <c r="Q861" s="12"/>
      <c r="R861" s="12"/>
      <c r="S861" s="12"/>
      <c r="T861" s="12"/>
      <c r="U861" s="12"/>
      <c r="W861" s="12"/>
      <c r="X861" s="12"/>
    </row>
    <row r="862" spans="1:24" ht="15.75" customHeight="1">
      <c r="A862" s="12"/>
      <c r="B862" s="12"/>
      <c r="C862" s="12"/>
      <c r="D862" s="12"/>
      <c r="E862" s="12"/>
      <c r="F862" s="12"/>
      <c r="G862" s="12"/>
      <c r="H862" s="12"/>
      <c r="I862" s="12"/>
      <c r="J862" s="12"/>
      <c r="K862" s="12"/>
      <c r="L862" s="12"/>
      <c r="M862" s="12"/>
      <c r="N862" s="12"/>
      <c r="O862" s="12"/>
      <c r="P862" s="12"/>
      <c r="Q862" s="12"/>
      <c r="R862" s="12"/>
      <c r="S862" s="12"/>
      <c r="T862" s="12"/>
      <c r="U862" s="12"/>
      <c r="W862" s="12"/>
      <c r="X862" s="12"/>
    </row>
    <row r="863" spans="1:24" ht="15.75" customHeight="1">
      <c r="A863" s="12"/>
      <c r="B863" s="12"/>
      <c r="C863" s="12"/>
      <c r="D863" s="12"/>
      <c r="E863" s="12"/>
      <c r="F863" s="12"/>
      <c r="G863" s="12"/>
      <c r="H863" s="12"/>
      <c r="I863" s="12"/>
      <c r="J863" s="12"/>
      <c r="K863" s="12"/>
      <c r="L863" s="12"/>
      <c r="M863" s="12"/>
      <c r="N863" s="12"/>
      <c r="O863" s="12"/>
      <c r="P863" s="12"/>
      <c r="Q863" s="12"/>
      <c r="R863" s="12"/>
      <c r="S863" s="12"/>
      <c r="T863" s="12"/>
      <c r="U863" s="12"/>
      <c r="W863" s="12"/>
      <c r="X863" s="12"/>
    </row>
    <row r="864" spans="1:24" ht="15.75" customHeight="1">
      <c r="A864" s="12"/>
      <c r="B864" s="12"/>
      <c r="C864" s="12"/>
      <c r="D864" s="12"/>
      <c r="E864" s="12"/>
      <c r="F864" s="12"/>
      <c r="G864" s="12"/>
      <c r="H864" s="12"/>
      <c r="I864" s="12"/>
      <c r="J864" s="12"/>
      <c r="K864" s="12"/>
      <c r="L864" s="12"/>
      <c r="M864" s="12"/>
      <c r="N864" s="12"/>
      <c r="O864" s="12"/>
      <c r="P864" s="12"/>
      <c r="Q864" s="12"/>
      <c r="R864" s="12"/>
      <c r="S864" s="12"/>
      <c r="T864" s="12"/>
      <c r="U864" s="12"/>
      <c r="W864" s="12"/>
      <c r="X864" s="12"/>
    </row>
    <row r="865" spans="1:24" ht="15.75" customHeight="1">
      <c r="A865" s="12"/>
      <c r="B865" s="12"/>
      <c r="C865" s="12"/>
      <c r="D865" s="12"/>
      <c r="E865" s="12"/>
      <c r="F865" s="12"/>
      <c r="G865" s="12"/>
      <c r="H865" s="12"/>
      <c r="I865" s="12"/>
      <c r="J865" s="12"/>
      <c r="K865" s="12"/>
      <c r="L865" s="12"/>
      <c r="M865" s="12"/>
      <c r="N865" s="12"/>
      <c r="O865" s="12"/>
      <c r="P865" s="12"/>
      <c r="Q865" s="12"/>
      <c r="R865" s="12"/>
      <c r="S865" s="12"/>
      <c r="T865" s="12"/>
      <c r="U865" s="12"/>
      <c r="W865" s="12"/>
      <c r="X865" s="12"/>
    </row>
    <row r="866" spans="1:24" ht="15.75" customHeight="1">
      <c r="A866" s="12"/>
      <c r="B866" s="12"/>
      <c r="C866" s="12"/>
      <c r="D866" s="12"/>
      <c r="E866" s="12"/>
      <c r="F866" s="12"/>
      <c r="G866" s="12"/>
      <c r="H866" s="12"/>
      <c r="I866" s="12"/>
      <c r="J866" s="12"/>
      <c r="K866" s="12"/>
      <c r="L866" s="12"/>
      <c r="M866" s="12"/>
      <c r="N866" s="12"/>
      <c r="O866" s="12"/>
      <c r="P866" s="12"/>
      <c r="Q866" s="12"/>
      <c r="R866" s="12"/>
      <c r="S866" s="12"/>
      <c r="T866" s="12"/>
      <c r="U866" s="12"/>
      <c r="W866" s="12"/>
      <c r="X866" s="12"/>
    </row>
    <row r="867" spans="1:24" ht="15.75" customHeight="1">
      <c r="A867" s="12"/>
      <c r="B867" s="12"/>
      <c r="C867" s="12"/>
      <c r="D867" s="12"/>
      <c r="E867" s="12"/>
      <c r="F867" s="12"/>
      <c r="G867" s="12"/>
      <c r="H867" s="12"/>
      <c r="I867" s="12"/>
      <c r="J867" s="12"/>
      <c r="K867" s="12"/>
      <c r="L867" s="12"/>
      <c r="M867" s="12"/>
      <c r="N867" s="12"/>
      <c r="O867" s="12"/>
      <c r="P867" s="12"/>
      <c r="Q867" s="12"/>
      <c r="R867" s="12"/>
      <c r="S867" s="12"/>
      <c r="T867" s="12"/>
      <c r="U867" s="12"/>
      <c r="W867" s="12"/>
      <c r="X867" s="12"/>
    </row>
    <row r="868" spans="1:24" ht="15.75" customHeight="1">
      <c r="A868" s="12"/>
      <c r="B868" s="12"/>
      <c r="C868" s="12"/>
      <c r="D868" s="12"/>
      <c r="E868" s="12"/>
      <c r="F868" s="12"/>
      <c r="G868" s="12"/>
      <c r="H868" s="12"/>
      <c r="I868" s="12"/>
      <c r="J868" s="12"/>
      <c r="K868" s="12"/>
      <c r="L868" s="12"/>
      <c r="M868" s="12"/>
      <c r="N868" s="12"/>
      <c r="O868" s="12"/>
      <c r="P868" s="12"/>
      <c r="Q868" s="12"/>
      <c r="R868" s="12"/>
      <c r="S868" s="12"/>
      <c r="T868" s="12"/>
      <c r="U868" s="12"/>
      <c r="W868" s="12"/>
      <c r="X868" s="12"/>
    </row>
    <row r="869" spans="1:24" ht="15.75" customHeight="1">
      <c r="A869" s="12"/>
      <c r="B869" s="12"/>
      <c r="C869" s="12"/>
      <c r="D869" s="12"/>
      <c r="E869" s="12"/>
      <c r="F869" s="12"/>
      <c r="G869" s="12"/>
      <c r="H869" s="12"/>
      <c r="I869" s="12"/>
      <c r="J869" s="12"/>
      <c r="K869" s="12"/>
      <c r="L869" s="12"/>
      <c r="M869" s="12"/>
      <c r="N869" s="12"/>
      <c r="O869" s="12"/>
      <c r="P869" s="12"/>
      <c r="Q869" s="12"/>
      <c r="R869" s="12"/>
      <c r="S869" s="12"/>
      <c r="T869" s="12"/>
      <c r="U869" s="12"/>
      <c r="W869" s="12"/>
      <c r="X869" s="12"/>
    </row>
    <row r="870" spans="1:24" ht="15.75" customHeight="1">
      <c r="A870" s="12"/>
      <c r="B870" s="12"/>
      <c r="C870" s="12"/>
      <c r="D870" s="12"/>
      <c r="E870" s="12"/>
      <c r="F870" s="12"/>
      <c r="G870" s="12"/>
      <c r="H870" s="12"/>
      <c r="I870" s="12"/>
      <c r="J870" s="12"/>
      <c r="K870" s="12"/>
      <c r="L870" s="12"/>
      <c r="M870" s="12"/>
      <c r="N870" s="12"/>
      <c r="O870" s="12"/>
      <c r="P870" s="12"/>
      <c r="Q870" s="12"/>
      <c r="R870" s="12"/>
      <c r="S870" s="12"/>
      <c r="T870" s="12"/>
      <c r="U870" s="12"/>
      <c r="W870" s="12"/>
      <c r="X870" s="12"/>
    </row>
    <row r="871" spans="1:24" ht="15.75" customHeight="1">
      <c r="A871" s="12"/>
      <c r="B871" s="12"/>
      <c r="C871" s="12"/>
      <c r="D871" s="12"/>
      <c r="E871" s="12"/>
      <c r="F871" s="12"/>
      <c r="G871" s="12"/>
      <c r="H871" s="12"/>
      <c r="I871" s="12"/>
      <c r="J871" s="12"/>
      <c r="K871" s="12"/>
      <c r="L871" s="12"/>
      <c r="M871" s="12"/>
      <c r="N871" s="12"/>
      <c r="O871" s="12"/>
      <c r="P871" s="12"/>
      <c r="Q871" s="12"/>
      <c r="R871" s="12"/>
      <c r="S871" s="12"/>
      <c r="T871" s="12"/>
      <c r="U871" s="12"/>
      <c r="W871" s="12"/>
      <c r="X871" s="12"/>
    </row>
    <row r="872" spans="1:24" ht="15.75" customHeight="1">
      <c r="A872" s="12"/>
      <c r="B872" s="12"/>
      <c r="C872" s="12"/>
      <c r="D872" s="12"/>
      <c r="E872" s="12"/>
      <c r="F872" s="12"/>
      <c r="G872" s="12"/>
      <c r="H872" s="12"/>
      <c r="I872" s="12"/>
      <c r="J872" s="12"/>
      <c r="K872" s="12"/>
      <c r="L872" s="12"/>
      <c r="M872" s="12"/>
      <c r="N872" s="12"/>
      <c r="O872" s="12"/>
      <c r="P872" s="12"/>
      <c r="Q872" s="12"/>
      <c r="R872" s="12"/>
      <c r="S872" s="12"/>
      <c r="T872" s="12"/>
      <c r="U872" s="12"/>
      <c r="W872" s="12"/>
      <c r="X872" s="12"/>
    </row>
    <row r="873" spans="1:24" ht="15.75" customHeight="1">
      <c r="A873" s="12"/>
      <c r="B873" s="12"/>
      <c r="C873" s="12"/>
      <c r="D873" s="12"/>
      <c r="E873" s="12"/>
      <c r="F873" s="12"/>
      <c r="G873" s="12"/>
      <c r="H873" s="12"/>
      <c r="I873" s="12"/>
      <c r="J873" s="12"/>
      <c r="K873" s="12"/>
      <c r="L873" s="12"/>
      <c r="M873" s="12"/>
      <c r="N873" s="12"/>
      <c r="O873" s="12"/>
      <c r="P873" s="12"/>
      <c r="Q873" s="12"/>
      <c r="R873" s="12"/>
      <c r="S873" s="12"/>
      <c r="T873" s="12"/>
      <c r="U873" s="12"/>
      <c r="W873" s="12"/>
      <c r="X873" s="12"/>
    </row>
    <row r="874" spans="1:24" ht="15.75" customHeight="1">
      <c r="A874" s="12"/>
      <c r="B874" s="12"/>
      <c r="C874" s="12"/>
      <c r="D874" s="12"/>
      <c r="E874" s="12"/>
      <c r="F874" s="12"/>
      <c r="G874" s="12"/>
      <c r="H874" s="12"/>
      <c r="I874" s="12"/>
      <c r="J874" s="12"/>
      <c r="K874" s="12"/>
      <c r="L874" s="12"/>
      <c r="M874" s="12"/>
      <c r="N874" s="12"/>
      <c r="O874" s="12"/>
      <c r="P874" s="12"/>
      <c r="Q874" s="12"/>
      <c r="R874" s="12"/>
      <c r="S874" s="12"/>
      <c r="T874" s="12"/>
      <c r="U874" s="12"/>
      <c r="W874" s="12"/>
      <c r="X874" s="12"/>
    </row>
    <row r="875" spans="1:24" ht="15.75" customHeight="1">
      <c r="A875" s="12"/>
      <c r="B875" s="12"/>
      <c r="C875" s="12"/>
      <c r="D875" s="12"/>
      <c r="E875" s="12"/>
      <c r="F875" s="12"/>
      <c r="G875" s="12"/>
      <c r="H875" s="12"/>
      <c r="I875" s="12"/>
      <c r="J875" s="12"/>
      <c r="K875" s="12"/>
      <c r="L875" s="12"/>
      <c r="M875" s="12"/>
      <c r="N875" s="12"/>
      <c r="O875" s="12"/>
      <c r="P875" s="12"/>
      <c r="Q875" s="12"/>
      <c r="R875" s="12"/>
      <c r="S875" s="12"/>
      <c r="T875" s="12"/>
      <c r="U875" s="12"/>
      <c r="W875" s="12"/>
      <c r="X875" s="12"/>
    </row>
    <row r="876" spans="1:24" ht="15.75" customHeight="1">
      <c r="A876" s="12"/>
      <c r="B876" s="12"/>
      <c r="C876" s="12"/>
      <c r="D876" s="12"/>
      <c r="E876" s="12"/>
      <c r="F876" s="12"/>
      <c r="G876" s="12"/>
      <c r="H876" s="12"/>
      <c r="I876" s="12"/>
      <c r="J876" s="12"/>
      <c r="K876" s="12"/>
      <c r="L876" s="12"/>
      <c r="M876" s="12"/>
      <c r="N876" s="12"/>
      <c r="O876" s="12"/>
      <c r="P876" s="12"/>
      <c r="Q876" s="12"/>
      <c r="R876" s="12"/>
      <c r="S876" s="12"/>
      <c r="T876" s="12"/>
      <c r="U876" s="12"/>
      <c r="W876" s="12"/>
      <c r="X876" s="12"/>
    </row>
    <row r="877" spans="1:24" ht="15.75" customHeight="1">
      <c r="A877" s="12"/>
      <c r="B877" s="12"/>
      <c r="C877" s="12"/>
      <c r="D877" s="12"/>
      <c r="E877" s="12"/>
      <c r="F877" s="12"/>
      <c r="G877" s="12"/>
      <c r="H877" s="12"/>
      <c r="I877" s="12"/>
      <c r="J877" s="12"/>
      <c r="K877" s="12"/>
      <c r="L877" s="12"/>
      <c r="M877" s="12"/>
      <c r="N877" s="12"/>
      <c r="O877" s="12"/>
      <c r="P877" s="12"/>
      <c r="Q877" s="12"/>
      <c r="R877" s="12"/>
      <c r="S877" s="12"/>
      <c r="T877" s="12"/>
      <c r="U877" s="12"/>
      <c r="W877" s="12"/>
      <c r="X877" s="12"/>
    </row>
    <row r="878" spans="1:24" ht="15.75" customHeight="1">
      <c r="A878" s="12"/>
      <c r="B878" s="12"/>
      <c r="C878" s="12"/>
      <c r="D878" s="12"/>
      <c r="E878" s="12"/>
      <c r="F878" s="12"/>
      <c r="G878" s="12"/>
      <c r="H878" s="12"/>
      <c r="I878" s="12"/>
      <c r="J878" s="12"/>
      <c r="K878" s="12"/>
      <c r="L878" s="12"/>
      <c r="M878" s="12"/>
      <c r="N878" s="12"/>
      <c r="O878" s="12"/>
      <c r="P878" s="12"/>
      <c r="Q878" s="12"/>
      <c r="R878" s="12"/>
      <c r="S878" s="12"/>
      <c r="T878" s="12"/>
      <c r="U878" s="12"/>
      <c r="W878" s="12"/>
      <c r="X878" s="12"/>
    </row>
    <row r="879" spans="1:24" ht="15.75" customHeight="1">
      <c r="A879" s="12"/>
      <c r="B879" s="12"/>
      <c r="C879" s="12"/>
      <c r="D879" s="12"/>
      <c r="E879" s="12"/>
      <c r="F879" s="12"/>
      <c r="G879" s="12"/>
      <c r="H879" s="12"/>
      <c r="I879" s="12"/>
      <c r="J879" s="12"/>
      <c r="K879" s="12"/>
      <c r="L879" s="12"/>
      <c r="M879" s="12"/>
      <c r="N879" s="12"/>
      <c r="O879" s="12"/>
      <c r="P879" s="12"/>
      <c r="Q879" s="12"/>
      <c r="R879" s="12"/>
      <c r="S879" s="12"/>
      <c r="T879" s="12"/>
      <c r="U879" s="12"/>
      <c r="W879" s="12"/>
      <c r="X879" s="12"/>
    </row>
    <row r="880" spans="1:24" ht="15.75" customHeight="1">
      <c r="A880" s="12"/>
      <c r="B880" s="12"/>
      <c r="C880" s="12"/>
      <c r="D880" s="12"/>
      <c r="E880" s="12"/>
      <c r="F880" s="12"/>
      <c r="G880" s="12"/>
      <c r="H880" s="12"/>
      <c r="I880" s="12"/>
      <c r="J880" s="12"/>
      <c r="K880" s="12"/>
      <c r="L880" s="12"/>
      <c r="M880" s="12"/>
      <c r="N880" s="12"/>
      <c r="O880" s="12"/>
      <c r="P880" s="12"/>
      <c r="Q880" s="12"/>
      <c r="R880" s="12"/>
      <c r="S880" s="12"/>
      <c r="T880" s="12"/>
      <c r="U880" s="12"/>
      <c r="W880" s="12"/>
      <c r="X880" s="12"/>
    </row>
    <row r="881" spans="1:24" ht="15.75" customHeight="1">
      <c r="A881" s="12"/>
      <c r="B881" s="12"/>
      <c r="C881" s="12"/>
      <c r="D881" s="12"/>
      <c r="E881" s="12"/>
      <c r="F881" s="12"/>
      <c r="G881" s="12"/>
      <c r="H881" s="12"/>
      <c r="I881" s="12"/>
      <c r="J881" s="12"/>
      <c r="K881" s="12"/>
      <c r="L881" s="12"/>
      <c r="M881" s="12"/>
      <c r="N881" s="12"/>
      <c r="O881" s="12"/>
      <c r="P881" s="12"/>
      <c r="Q881" s="12"/>
      <c r="R881" s="12"/>
      <c r="S881" s="12"/>
      <c r="T881" s="12"/>
      <c r="U881" s="12"/>
      <c r="W881" s="12"/>
      <c r="X881" s="12"/>
    </row>
    <row r="882" spans="1:24" ht="15.75" customHeight="1">
      <c r="A882" s="12"/>
      <c r="B882" s="12"/>
      <c r="C882" s="12"/>
      <c r="D882" s="12"/>
      <c r="E882" s="12"/>
      <c r="F882" s="12"/>
      <c r="G882" s="12"/>
      <c r="H882" s="12"/>
      <c r="I882" s="12"/>
      <c r="J882" s="12"/>
      <c r="K882" s="12"/>
      <c r="L882" s="12"/>
      <c r="M882" s="12"/>
      <c r="N882" s="12"/>
      <c r="O882" s="12"/>
      <c r="P882" s="12"/>
      <c r="Q882" s="12"/>
      <c r="R882" s="12"/>
      <c r="S882" s="12"/>
      <c r="T882" s="12"/>
      <c r="U882" s="12"/>
      <c r="W882" s="12"/>
      <c r="X882" s="12"/>
    </row>
    <row r="883" spans="1:24" ht="15.75" customHeight="1">
      <c r="A883" s="12"/>
      <c r="B883" s="12"/>
      <c r="C883" s="12"/>
      <c r="D883" s="12"/>
      <c r="E883" s="12"/>
      <c r="F883" s="12"/>
      <c r="G883" s="12"/>
      <c r="H883" s="12"/>
      <c r="I883" s="12"/>
      <c r="J883" s="12"/>
      <c r="K883" s="12"/>
      <c r="L883" s="12"/>
      <c r="M883" s="12"/>
      <c r="N883" s="12"/>
      <c r="O883" s="12"/>
      <c r="P883" s="12"/>
      <c r="Q883" s="12"/>
      <c r="R883" s="12"/>
      <c r="S883" s="12"/>
      <c r="T883" s="12"/>
      <c r="U883" s="12"/>
      <c r="W883" s="12"/>
      <c r="X883" s="12"/>
    </row>
    <row r="884" spans="1:24" ht="15.75" customHeight="1">
      <c r="A884" s="12"/>
      <c r="B884" s="12"/>
      <c r="C884" s="12"/>
      <c r="D884" s="12"/>
      <c r="E884" s="12"/>
      <c r="F884" s="12"/>
      <c r="G884" s="12"/>
      <c r="H884" s="12"/>
      <c r="I884" s="12"/>
      <c r="J884" s="12"/>
      <c r="K884" s="12"/>
      <c r="L884" s="12"/>
      <c r="M884" s="12"/>
      <c r="N884" s="12"/>
      <c r="O884" s="12"/>
      <c r="P884" s="12"/>
      <c r="Q884" s="12"/>
      <c r="R884" s="12"/>
      <c r="S884" s="12"/>
      <c r="T884" s="12"/>
      <c r="U884" s="12"/>
      <c r="W884" s="12"/>
      <c r="X884" s="12"/>
    </row>
    <row r="885" spans="1:24" ht="15.75" customHeight="1">
      <c r="A885" s="12"/>
      <c r="B885" s="12"/>
      <c r="C885" s="12"/>
      <c r="D885" s="12"/>
      <c r="E885" s="12"/>
      <c r="F885" s="12"/>
      <c r="G885" s="12"/>
      <c r="H885" s="12"/>
      <c r="I885" s="12"/>
      <c r="J885" s="12"/>
      <c r="K885" s="12"/>
      <c r="L885" s="12"/>
      <c r="M885" s="12"/>
      <c r="N885" s="12"/>
      <c r="O885" s="12"/>
      <c r="P885" s="12"/>
      <c r="Q885" s="12"/>
      <c r="R885" s="12"/>
      <c r="S885" s="12"/>
      <c r="T885" s="12"/>
      <c r="U885" s="12"/>
      <c r="W885" s="12"/>
      <c r="X885" s="12"/>
    </row>
    <row r="886" spans="1:24" ht="15.75" customHeight="1">
      <c r="A886" s="12"/>
      <c r="B886" s="12"/>
      <c r="C886" s="12"/>
      <c r="D886" s="12"/>
      <c r="E886" s="12"/>
      <c r="F886" s="12"/>
      <c r="G886" s="12"/>
      <c r="H886" s="12"/>
      <c r="I886" s="12"/>
      <c r="J886" s="12"/>
      <c r="K886" s="12"/>
      <c r="L886" s="12"/>
      <c r="M886" s="12"/>
      <c r="N886" s="12"/>
      <c r="O886" s="12"/>
      <c r="P886" s="12"/>
      <c r="Q886" s="12"/>
      <c r="R886" s="12"/>
      <c r="S886" s="12"/>
      <c r="T886" s="12"/>
      <c r="U886" s="12"/>
      <c r="W886" s="12"/>
      <c r="X886" s="12"/>
    </row>
    <row r="887" spans="1:24" ht="15.75" customHeight="1">
      <c r="A887" s="12"/>
      <c r="B887" s="12"/>
      <c r="C887" s="12"/>
      <c r="D887" s="12"/>
      <c r="E887" s="12"/>
      <c r="F887" s="12"/>
      <c r="G887" s="12"/>
      <c r="H887" s="12"/>
      <c r="I887" s="12"/>
      <c r="J887" s="12"/>
      <c r="K887" s="12"/>
      <c r="L887" s="12"/>
      <c r="M887" s="12"/>
      <c r="N887" s="12"/>
      <c r="O887" s="12"/>
      <c r="P887" s="12"/>
      <c r="Q887" s="12"/>
      <c r="R887" s="12"/>
      <c r="S887" s="12"/>
      <c r="T887" s="12"/>
      <c r="U887" s="12"/>
      <c r="W887" s="12"/>
      <c r="X887" s="12"/>
    </row>
    <row r="888" spans="1:24" ht="15.75" customHeight="1">
      <c r="A888" s="12"/>
      <c r="B888" s="12"/>
      <c r="C888" s="12"/>
      <c r="D888" s="12"/>
      <c r="E888" s="12"/>
      <c r="F888" s="12"/>
      <c r="G888" s="12"/>
      <c r="H888" s="12"/>
      <c r="I888" s="12"/>
      <c r="J888" s="12"/>
      <c r="K888" s="12"/>
      <c r="L888" s="12"/>
      <c r="M888" s="12"/>
      <c r="N888" s="12"/>
      <c r="O888" s="12"/>
      <c r="P888" s="12"/>
      <c r="Q888" s="12"/>
      <c r="R888" s="12"/>
      <c r="S888" s="12"/>
      <c r="T888" s="12"/>
      <c r="U888" s="12"/>
      <c r="W888" s="12"/>
      <c r="X888" s="12"/>
    </row>
    <row r="889" spans="1:24" ht="15.75" customHeight="1">
      <c r="A889" s="12"/>
      <c r="B889" s="12"/>
      <c r="C889" s="12"/>
      <c r="D889" s="12"/>
      <c r="E889" s="12"/>
      <c r="F889" s="12"/>
      <c r="G889" s="12"/>
      <c r="H889" s="12"/>
      <c r="I889" s="12"/>
      <c r="J889" s="12"/>
      <c r="K889" s="12"/>
      <c r="L889" s="12"/>
      <c r="M889" s="12"/>
      <c r="N889" s="12"/>
      <c r="O889" s="12"/>
      <c r="P889" s="12"/>
      <c r="Q889" s="12"/>
      <c r="R889" s="12"/>
      <c r="S889" s="12"/>
      <c r="T889" s="12"/>
      <c r="U889" s="12"/>
      <c r="W889" s="12"/>
      <c r="X889" s="12"/>
    </row>
    <row r="890" spans="1:24" ht="15.75" customHeight="1">
      <c r="A890" s="12"/>
      <c r="B890" s="12"/>
      <c r="C890" s="12"/>
      <c r="D890" s="12"/>
      <c r="E890" s="12"/>
      <c r="F890" s="12"/>
      <c r="G890" s="12"/>
      <c r="H890" s="12"/>
      <c r="I890" s="12"/>
      <c r="J890" s="12"/>
      <c r="K890" s="12"/>
      <c r="L890" s="12"/>
      <c r="M890" s="12"/>
      <c r="N890" s="12"/>
      <c r="O890" s="12"/>
      <c r="P890" s="12"/>
      <c r="Q890" s="12"/>
      <c r="R890" s="12"/>
      <c r="S890" s="12"/>
      <c r="T890" s="12"/>
      <c r="U890" s="12"/>
      <c r="W890" s="12"/>
      <c r="X890" s="12"/>
    </row>
    <row r="891" spans="1:24" ht="15.75" customHeight="1">
      <c r="A891" s="12"/>
      <c r="B891" s="12"/>
      <c r="C891" s="12"/>
      <c r="D891" s="12"/>
      <c r="E891" s="12"/>
      <c r="F891" s="12"/>
      <c r="G891" s="12"/>
      <c r="H891" s="12"/>
      <c r="I891" s="12"/>
      <c r="J891" s="12"/>
      <c r="K891" s="12"/>
      <c r="L891" s="12"/>
      <c r="M891" s="12"/>
      <c r="N891" s="12"/>
      <c r="O891" s="12"/>
      <c r="P891" s="12"/>
      <c r="Q891" s="12"/>
      <c r="R891" s="12"/>
      <c r="S891" s="12"/>
      <c r="T891" s="12"/>
      <c r="U891" s="12"/>
      <c r="W891" s="12"/>
      <c r="X891" s="12"/>
    </row>
    <row r="892" spans="1:24" ht="15.75" customHeight="1">
      <c r="A892" s="12"/>
      <c r="B892" s="12"/>
      <c r="C892" s="12"/>
      <c r="D892" s="12"/>
      <c r="E892" s="12"/>
      <c r="F892" s="12"/>
      <c r="G892" s="12"/>
      <c r="H892" s="12"/>
      <c r="I892" s="12"/>
      <c r="J892" s="12"/>
      <c r="K892" s="12"/>
      <c r="L892" s="12"/>
      <c r="M892" s="12"/>
      <c r="N892" s="12"/>
      <c r="O892" s="12"/>
      <c r="P892" s="12"/>
      <c r="Q892" s="12"/>
      <c r="R892" s="12"/>
      <c r="S892" s="12"/>
      <c r="T892" s="12"/>
      <c r="U892" s="12"/>
      <c r="W892" s="12"/>
      <c r="X892" s="12"/>
    </row>
    <row r="893" spans="1:24" ht="15.75" customHeight="1">
      <c r="A893" s="12"/>
      <c r="B893" s="12"/>
      <c r="C893" s="12"/>
      <c r="D893" s="12"/>
      <c r="E893" s="12"/>
      <c r="F893" s="12"/>
      <c r="G893" s="12"/>
      <c r="H893" s="12"/>
      <c r="I893" s="12"/>
      <c r="J893" s="12"/>
      <c r="K893" s="12"/>
      <c r="L893" s="12"/>
      <c r="M893" s="12"/>
      <c r="N893" s="12"/>
      <c r="O893" s="12"/>
      <c r="P893" s="12"/>
      <c r="Q893" s="12"/>
      <c r="R893" s="12"/>
      <c r="S893" s="12"/>
      <c r="T893" s="12"/>
      <c r="U893" s="12"/>
      <c r="W893" s="12"/>
      <c r="X893" s="12"/>
    </row>
    <row r="894" spans="1:24" ht="15.75" customHeight="1">
      <c r="A894" s="12"/>
      <c r="B894" s="12"/>
      <c r="C894" s="12"/>
      <c r="D894" s="12"/>
      <c r="E894" s="12"/>
      <c r="F894" s="12"/>
      <c r="G894" s="12"/>
      <c r="H894" s="12"/>
      <c r="I894" s="12"/>
      <c r="J894" s="12"/>
      <c r="K894" s="12"/>
      <c r="L894" s="12"/>
      <c r="M894" s="12"/>
      <c r="N894" s="12"/>
      <c r="O894" s="12"/>
      <c r="P894" s="12"/>
      <c r="Q894" s="12"/>
      <c r="R894" s="12"/>
      <c r="S894" s="12"/>
      <c r="T894" s="12"/>
      <c r="U894" s="12"/>
      <c r="W894" s="12"/>
      <c r="X894" s="12"/>
    </row>
    <row r="895" spans="1:24" ht="15.75" customHeight="1">
      <c r="A895" s="12"/>
      <c r="B895" s="12"/>
      <c r="C895" s="12"/>
      <c r="D895" s="12"/>
      <c r="E895" s="12"/>
      <c r="F895" s="12"/>
      <c r="G895" s="12"/>
      <c r="H895" s="12"/>
      <c r="I895" s="12"/>
      <c r="J895" s="12"/>
      <c r="K895" s="12"/>
      <c r="L895" s="12"/>
      <c r="M895" s="12"/>
      <c r="N895" s="12"/>
      <c r="O895" s="12"/>
      <c r="P895" s="12"/>
      <c r="Q895" s="12"/>
      <c r="R895" s="12"/>
      <c r="S895" s="12"/>
      <c r="T895" s="12"/>
      <c r="U895" s="12"/>
      <c r="W895" s="12"/>
      <c r="X895" s="12"/>
    </row>
    <row r="896" spans="1:24" ht="15.75" customHeight="1">
      <c r="A896" s="12"/>
      <c r="B896" s="12"/>
      <c r="C896" s="12"/>
      <c r="D896" s="12"/>
      <c r="E896" s="12"/>
      <c r="F896" s="12"/>
      <c r="G896" s="12"/>
      <c r="H896" s="12"/>
      <c r="I896" s="12"/>
      <c r="J896" s="12"/>
      <c r="K896" s="12"/>
      <c r="L896" s="12"/>
      <c r="M896" s="12"/>
      <c r="N896" s="12"/>
      <c r="O896" s="12"/>
      <c r="P896" s="12"/>
      <c r="Q896" s="12"/>
      <c r="R896" s="12"/>
      <c r="S896" s="12"/>
      <c r="T896" s="12"/>
      <c r="U896" s="12"/>
      <c r="W896" s="12"/>
      <c r="X896" s="12"/>
    </row>
    <row r="897" spans="1:24" ht="15.75" customHeight="1">
      <c r="A897" s="12"/>
      <c r="B897" s="12"/>
      <c r="C897" s="12"/>
      <c r="D897" s="12"/>
      <c r="E897" s="12"/>
      <c r="F897" s="12"/>
      <c r="G897" s="12"/>
      <c r="H897" s="12"/>
      <c r="I897" s="12"/>
      <c r="J897" s="12"/>
      <c r="K897" s="12"/>
      <c r="L897" s="12"/>
      <c r="M897" s="12"/>
      <c r="N897" s="12"/>
      <c r="O897" s="12"/>
      <c r="P897" s="12"/>
      <c r="Q897" s="12"/>
      <c r="R897" s="12"/>
      <c r="S897" s="12"/>
      <c r="T897" s="12"/>
      <c r="U897" s="12"/>
      <c r="W897" s="12"/>
      <c r="X897" s="12"/>
    </row>
    <row r="898" spans="1:24" ht="15.75" customHeight="1">
      <c r="A898" s="12"/>
      <c r="B898" s="12"/>
      <c r="C898" s="12"/>
      <c r="D898" s="12"/>
      <c r="E898" s="12"/>
      <c r="F898" s="12"/>
      <c r="G898" s="12"/>
      <c r="H898" s="12"/>
      <c r="I898" s="12"/>
      <c r="J898" s="12"/>
      <c r="K898" s="12"/>
      <c r="L898" s="12"/>
      <c r="M898" s="12"/>
      <c r="N898" s="12"/>
      <c r="O898" s="12"/>
      <c r="P898" s="12"/>
      <c r="Q898" s="12"/>
      <c r="R898" s="12"/>
      <c r="S898" s="12"/>
      <c r="T898" s="12"/>
      <c r="U898" s="12"/>
      <c r="W898" s="12"/>
      <c r="X898" s="12"/>
    </row>
    <row r="899" spans="1:24" ht="15.75" customHeight="1">
      <c r="A899" s="12"/>
      <c r="B899" s="12"/>
      <c r="C899" s="12"/>
      <c r="D899" s="12"/>
      <c r="E899" s="12"/>
      <c r="F899" s="12"/>
      <c r="G899" s="12"/>
      <c r="H899" s="12"/>
      <c r="I899" s="12"/>
      <c r="J899" s="12"/>
      <c r="K899" s="12"/>
      <c r="L899" s="12"/>
      <c r="M899" s="12"/>
      <c r="N899" s="12"/>
      <c r="O899" s="12"/>
      <c r="P899" s="12"/>
      <c r="Q899" s="12"/>
      <c r="R899" s="12"/>
      <c r="S899" s="12"/>
      <c r="T899" s="12"/>
      <c r="U899" s="12"/>
      <c r="W899" s="12"/>
      <c r="X899" s="12"/>
    </row>
    <row r="900" spans="1:24" ht="15.75" customHeight="1">
      <c r="A900" s="12"/>
      <c r="B900" s="12"/>
      <c r="C900" s="12"/>
      <c r="D900" s="12"/>
      <c r="E900" s="12"/>
      <c r="F900" s="12"/>
      <c r="G900" s="12"/>
      <c r="H900" s="12"/>
      <c r="I900" s="12"/>
      <c r="J900" s="12"/>
      <c r="K900" s="12"/>
      <c r="L900" s="12"/>
      <c r="M900" s="12"/>
      <c r="N900" s="12"/>
      <c r="O900" s="12"/>
      <c r="P900" s="12"/>
      <c r="Q900" s="12"/>
      <c r="R900" s="12"/>
      <c r="S900" s="12"/>
      <c r="T900" s="12"/>
      <c r="U900" s="12"/>
      <c r="W900" s="12"/>
      <c r="X900" s="12"/>
    </row>
    <row r="901" spans="1:24" ht="15.75" customHeight="1">
      <c r="A901" s="12"/>
      <c r="B901" s="12"/>
      <c r="C901" s="12"/>
      <c r="D901" s="12"/>
      <c r="E901" s="12"/>
      <c r="F901" s="12"/>
      <c r="G901" s="12"/>
      <c r="H901" s="12"/>
      <c r="I901" s="12"/>
      <c r="J901" s="12"/>
      <c r="K901" s="12"/>
      <c r="L901" s="12"/>
      <c r="M901" s="12"/>
      <c r="N901" s="12"/>
      <c r="O901" s="12"/>
      <c r="P901" s="12"/>
      <c r="Q901" s="12"/>
      <c r="R901" s="12"/>
      <c r="S901" s="12"/>
      <c r="T901" s="12"/>
      <c r="U901" s="12"/>
      <c r="W901" s="12"/>
      <c r="X901" s="12"/>
    </row>
    <row r="902" spans="1:24" ht="15.75" customHeight="1">
      <c r="A902" s="12"/>
      <c r="B902" s="12"/>
      <c r="C902" s="12"/>
      <c r="D902" s="12"/>
      <c r="E902" s="12"/>
      <c r="F902" s="12"/>
      <c r="G902" s="12"/>
      <c r="H902" s="12"/>
      <c r="I902" s="12"/>
      <c r="J902" s="12"/>
      <c r="K902" s="12"/>
      <c r="L902" s="12"/>
      <c r="M902" s="12"/>
      <c r="N902" s="12"/>
      <c r="O902" s="12"/>
      <c r="P902" s="12"/>
      <c r="Q902" s="12"/>
      <c r="R902" s="12"/>
      <c r="S902" s="12"/>
      <c r="T902" s="12"/>
      <c r="U902" s="12"/>
      <c r="W902" s="12"/>
      <c r="X902" s="12"/>
    </row>
    <row r="903" spans="1:24" ht="15.75" customHeight="1">
      <c r="A903" s="12"/>
      <c r="B903" s="12"/>
      <c r="C903" s="12"/>
      <c r="D903" s="12"/>
      <c r="E903" s="12"/>
      <c r="F903" s="12"/>
      <c r="G903" s="12"/>
      <c r="H903" s="12"/>
      <c r="I903" s="12"/>
      <c r="J903" s="12"/>
      <c r="K903" s="12"/>
      <c r="L903" s="12"/>
      <c r="M903" s="12"/>
      <c r="N903" s="12"/>
      <c r="O903" s="12"/>
      <c r="P903" s="12"/>
      <c r="Q903" s="12"/>
      <c r="R903" s="12"/>
      <c r="S903" s="12"/>
      <c r="T903" s="12"/>
      <c r="U903" s="12"/>
      <c r="W903" s="12"/>
      <c r="X903" s="12"/>
    </row>
    <row r="904" spans="1:24" ht="15.75" customHeight="1">
      <c r="A904" s="12"/>
      <c r="B904" s="12"/>
      <c r="C904" s="12"/>
      <c r="D904" s="12"/>
      <c r="E904" s="12"/>
      <c r="F904" s="12"/>
      <c r="G904" s="12"/>
      <c r="H904" s="12"/>
      <c r="I904" s="12"/>
      <c r="J904" s="12"/>
      <c r="K904" s="12"/>
      <c r="L904" s="12"/>
      <c r="M904" s="12"/>
      <c r="N904" s="12"/>
      <c r="O904" s="12"/>
      <c r="P904" s="12"/>
      <c r="Q904" s="12"/>
      <c r="R904" s="12"/>
      <c r="S904" s="12"/>
      <c r="T904" s="12"/>
      <c r="U904" s="12"/>
      <c r="W904" s="12"/>
      <c r="X904" s="12"/>
    </row>
    <row r="905" spans="1:24" ht="15.75" customHeight="1">
      <c r="A905" s="12"/>
      <c r="B905" s="12"/>
      <c r="C905" s="12"/>
      <c r="D905" s="12"/>
      <c r="E905" s="12"/>
      <c r="F905" s="12"/>
      <c r="G905" s="12"/>
      <c r="H905" s="12"/>
      <c r="I905" s="12"/>
      <c r="J905" s="12"/>
      <c r="K905" s="12"/>
      <c r="L905" s="12"/>
      <c r="M905" s="12"/>
      <c r="N905" s="12"/>
      <c r="O905" s="12"/>
      <c r="P905" s="12"/>
      <c r="Q905" s="12"/>
      <c r="R905" s="12"/>
      <c r="S905" s="12"/>
      <c r="T905" s="12"/>
      <c r="U905" s="12"/>
      <c r="W905" s="12"/>
      <c r="X905" s="12"/>
    </row>
    <row r="906" spans="1:24" ht="15.75" customHeight="1">
      <c r="A906" s="12"/>
      <c r="B906" s="12"/>
      <c r="C906" s="12"/>
      <c r="D906" s="12"/>
      <c r="E906" s="12"/>
      <c r="F906" s="12"/>
      <c r="G906" s="12"/>
      <c r="H906" s="12"/>
      <c r="I906" s="12"/>
      <c r="J906" s="12"/>
      <c r="K906" s="12"/>
      <c r="L906" s="12"/>
      <c r="M906" s="12"/>
      <c r="N906" s="12"/>
      <c r="O906" s="12"/>
      <c r="P906" s="12"/>
      <c r="Q906" s="12"/>
      <c r="R906" s="12"/>
      <c r="S906" s="12"/>
      <c r="T906" s="12"/>
      <c r="U906" s="12"/>
      <c r="W906" s="12"/>
      <c r="X906" s="12"/>
    </row>
    <row r="907" spans="1:24" ht="15.75" customHeight="1">
      <c r="A907" s="12"/>
      <c r="B907" s="12"/>
      <c r="C907" s="12"/>
      <c r="D907" s="12"/>
      <c r="E907" s="12"/>
      <c r="F907" s="12"/>
      <c r="G907" s="12"/>
      <c r="H907" s="12"/>
      <c r="I907" s="12"/>
      <c r="J907" s="12"/>
      <c r="K907" s="12"/>
      <c r="L907" s="12"/>
      <c r="M907" s="12"/>
      <c r="N907" s="12"/>
      <c r="O907" s="12"/>
      <c r="P907" s="12"/>
      <c r="Q907" s="12"/>
      <c r="R907" s="12"/>
      <c r="S907" s="12"/>
      <c r="T907" s="12"/>
      <c r="U907" s="12"/>
      <c r="W907" s="12"/>
      <c r="X907" s="12"/>
    </row>
    <row r="908" spans="1:24" ht="15.75" customHeight="1">
      <c r="A908" s="12"/>
      <c r="B908" s="12"/>
      <c r="C908" s="12"/>
      <c r="D908" s="12"/>
      <c r="E908" s="12"/>
      <c r="F908" s="12"/>
      <c r="G908" s="12"/>
      <c r="H908" s="12"/>
      <c r="I908" s="12"/>
      <c r="J908" s="12"/>
      <c r="K908" s="12"/>
      <c r="L908" s="12"/>
      <c r="M908" s="12"/>
      <c r="N908" s="12"/>
      <c r="O908" s="12"/>
      <c r="P908" s="12"/>
      <c r="Q908" s="12"/>
      <c r="R908" s="12"/>
      <c r="S908" s="12"/>
      <c r="T908" s="12"/>
      <c r="U908" s="12"/>
      <c r="W908" s="12"/>
      <c r="X908" s="12"/>
    </row>
    <row r="909" spans="1:24" ht="15.75" customHeight="1">
      <c r="A909" s="12"/>
      <c r="B909" s="12"/>
      <c r="C909" s="12"/>
      <c r="D909" s="12"/>
      <c r="E909" s="12"/>
      <c r="F909" s="12"/>
      <c r="G909" s="12"/>
      <c r="H909" s="12"/>
      <c r="I909" s="12"/>
      <c r="J909" s="12"/>
      <c r="K909" s="12"/>
      <c r="L909" s="12"/>
      <c r="M909" s="12"/>
      <c r="N909" s="12"/>
      <c r="O909" s="12"/>
      <c r="P909" s="12"/>
      <c r="Q909" s="12"/>
      <c r="R909" s="12"/>
      <c r="S909" s="12"/>
      <c r="T909" s="12"/>
      <c r="U909" s="12"/>
      <c r="W909" s="12"/>
      <c r="X909" s="12"/>
    </row>
    <row r="910" spans="1:24" ht="15.75" customHeight="1">
      <c r="A910" s="12"/>
      <c r="B910" s="12"/>
      <c r="C910" s="12"/>
      <c r="D910" s="12"/>
      <c r="E910" s="12"/>
      <c r="F910" s="12"/>
      <c r="G910" s="12"/>
      <c r="H910" s="12"/>
      <c r="I910" s="12"/>
      <c r="J910" s="12"/>
      <c r="K910" s="12"/>
      <c r="L910" s="12"/>
      <c r="M910" s="12"/>
      <c r="N910" s="12"/>
      <c r="O910" s="12"/>
      <c r="P910" s="12"/>
      <c r="Q910" s="12"/>
      <c r="R910" s="12"/>
      <c r="S910" s="12"/>
      <c r="T910" s="12"/>
      <c r="U910" s="12"/>
      <c r="W910" s="12"/>
      <c r="X910" s="12"/>
    </row>
    <row r="911" spans="1:24" ht="15.75" customHeight="1">
      <c r="A911" s="12"/>
      <c r="B911" s="12"/>
      <c r="C911" s="12"/>
      <c r="D911" s="12"/>
      <c r="E911" s="12"/>
      <c r="F911" s="12"/>
      <c r="G911" s="12"/>
      <c r="H911" s="12"/>
      <c r="I911" s="12"/>
      <c r="J911" s="12"/>
      <c r="K911" s="12"/>
      <c r="L911" s="12"/>
      <c r="M911" s="12"/>
      <c r="N911" s="12"/>
      <c r="O911" s="12"/>
      <c r="P911" s="12"/>
      <c r="Q911" s="12"/>
      <c r="R911" s="12"/>
      <c r="S911" s="12"/>
      <c r="T911" s="12"/>
      <c r="U911" s="12"/>
      <c r="W911" s="12"/>
      <c r="X911" s="12"/>
    </row>
    <row r="912" spans="1:24" ht="15.75" customHeight="1">
      <c r="A912" s="12"/>
      <c r="B912" s="12"/>
      <c r="C912" s="12"/>
      <c r="D912" s="12"/>
      <c r="E912" s="12"/>
      <c r="F912" s="12"/>
      <c r="G912" s="12"/>
      <c r="H912" s="12"/>
      <c r="I912" s="12"/>
      <c r="J912" s="12"/>
      <c r="K912" s="12"/>
      <c r="L912" s="12"/>
      <c r="M912" s="12"/>
      <c r="N912" s="12"/>
      <c r="O912" s="12"/>
      <c r="P912" s="12"/>
      <c r="Q912" s="12"/>
      <c r="R912" s="12"/>
      <c r="S912" s="12"/>
      <c r="T912" s="12"/>
      <c r="U912" s="12"/>
      <c r="W912" s="12"/>
      <c r="X912" s="12"/>
    </row>
    <row r="913" spans="1:24" ht="15.75" customHeight="1">
      <c r="A913" s="12"/>
      <c r="B913" s="12"/>
      <c r="C913" s="12"/>
      <c r="D913" s="12"/>
      <c r="E913" s="12"/>
      <c r="F913" s="12"/>
      <c r="G913" s="12"/>
      <c r="H913" s="12"/>
      <c r="I913" s="12"/>
      <c r="J913" s="12"/>
      <c r="K913" s="12"/>
      <c r="L913" s="12"/>
      <c r="M913" s="12"/>
      <c r="N913" s="12"/>
      <c r="O913" s="12"/>
      <c r="P913" s="12"/>
      <c r="Q913" s="12"/>
      <c r="R913" s="12"/>
      <c r="S913" s="12"/>
      <c r="T913" s="12"/>
      <c r="U913" s="12"/>
      <c r="W913" s="12"/>
      <c r="X913" s="12"/>
    </row>
    <row r="914" spans="1:24" ht="15.75" customHeight="1">
      <c r="A914" s="12"/>
      <c r="B914" s="12"/>
      <c r="C914" s="12"/>
      <c r="D914" s="12"/>
      <c r="E914" s="12"/>
      <c r="F914" s="12"/>
      <c r="G914" s="12"/>
      <c r="H914" s="12"/>
      <c r="I914" s="12"/>
      <c r="J914" s="12"/>
      <c r="K914" s="12"/>
      <c r="L914" s="12"/>
      <c r="M914" s="12"/>
      <c r="N914" s="12"/>
      <c r="O914" s="12"/>
      <c r="P914" s="12"/>
      <c r="Q914" s="12"/>
      <c r="R914" s="12"/>
      <c r="S914" s="12"/>
      <c r="T914" s="12"/>
      <c r="U914" s="12"/>
      <c r="W914" s="12"/>
      <c r="X914" s="12"/>
    </row>
    <row r="915" spans="1:24" ht="15.75" customHeight="1">
      <c r="A915" s="12"/>
      <c r="B915" s="12"/>
      <c r="C915" s="12"/>
      <c r="D915" s="12"/>
      <c r="E915" s="12"/>
      <c r="F915" s="12"/>
      <c r="G915" s="12"/>
      <c r="H915" s="12"/>
      <c r="I915" s="12"/>
      <c r="J915" s="12"/>
      <c r="K915" s="12"/>
      <c r="L915" s="12"/>
      <c r="M915" s="12"/>
      <c r="N915" s="12"/>
      <c r="O915" s="12"/>
      <c r="P915" s="12"/>
      <c r="Q915" s="12"/>
      <c r="R915" s="12"/>
      <c r="S915" s="12"/>
      <c r="T915" s="12"/>
      <c r="U915" s="12"/>
      <c r="W915" s="12"/>
      <c r="X915" s="12"/>
    </row>
    <row r="916" spans="1:24" ht="15.75" customHeight="1">
      <c r="A916" s="12"/>
      <c r="B916" s="12"/>
      <c r="C916" s="12"/>
      <c r="D916" s="12"/>
      <c r="E916" s="12"/>
      <c r="F916" s="12"/>
      <c r="G916" s="12"/>
      <c r="H916" s="12"/>
      <c r="I916" s="12"/>
      <c r="J916" s="12"/>
      <c r="K916" s="12"/>
      <c r="L916" s="12"/>
      <c r="M916" s="12"/>
      <c r="N916" s="12"/>
      <c r="O916" s="12"/>
      <c r="P916" s="12"/>
      <c r="Q916" s="12"/>
      <c r="R916" s="12"/>
      <c r="S916" s="12"/>
      <c r="T916" s="12"/>
      <c r="U916" s="12"/>
      <c r="W916" s="12"/>
      <c r="X916" s="12"/>
    </row>
    <row r="917" spans="1:24" ht="15.75" customHeight="1">
      <c r="A917" s="12"/>
      <c r="B917" s="12"/>
      <c r="C917" s="12"/>
      <c r="D917" s="12"/>
      <c r="E917" s="12"/>
      <c r="F917" s="12"/>
      <c r="G917" s="12"/>
      <c r="H917" s="12"/>
      <c r="I917" s="12"/>
      <c r="J917" s="12"/>
      <c r="K917" s="12"/>
      <c r="L917" s="12"/>
      <c r="M917" s="12"/>
      <c r="N917" s="12"/>
      <c r="O917" s="12"/>
      <c r="P917" s="12"/>
      <c r="Q917" s="12"/>
      <c r="R917" s="12"/>
      <c r="S917" s="12"/>
      <c r="T917" s="12"/>
      <c r="U917" s="12"/>
      <c r="W917" s="12"/>
      <c r="X917" s="12"/>
    </row>
    <row r="918" spans="1:24" ht="15.75" customHeight="1">
      <c r="A918" s="12"/>
      <c r="B918" s="12"/>
      <c r="C918" s="12"/>
      <c r="D918" s="12"/>
      <c r="E918" s="12"/>
      <c r="F918" s="12"/>
      <c r="G918" s="12"/>
      <c r="H918" s="12"/>
      <c r="I918" s="12"/>
      <c r="J918" s="12"/>
      <c r="K918" s="12"/>
      <c r="L918" s="12"/>
      <c r="M918" s="12"/>
      <c r="N918" s="12"/>
      <c r="O918" s="12"/>
      <c r="P918" s="12"/>
      <c r="Q918" s="12"/>
      <c r="R918" s="12"/>
      <c r="S918" s="12"/>
      <c r="T918" s="12"/>
      <c r="U918" s="12"/>
      <c r="W918" s="12"/>
      <c r="X918" s="12"/>
    </row>
    <row r="919" spans="1:24" ht="15.75" customHeight="1">
      <c r="A919" s="12"/>
      <c r="B919" s="12"/>
      <c r="C919" s="12"/>
      <c r="D919" s="12"/>
      <c r="E919" s="12"/>
      <c r="F919" s="12"/>
      <c r="G919" s="12"/>
      <c r="H919" s="12"/>
      <c r="I919" s="12"/>
      <c r="J919" s="12"/>
      <c r="K919" s="12"/>
      <c r="L919" s="12"/>
      <c r="M919" s="12"/>
      <c r="N919" s="12"/>
      <c r="O919" s="12"/>
      <c r="P919" s="12"/>
      <c r="Q919" s="12"/>
      <c r="R919" s="12"/>
      <c r="S919" s="12"/>
      <c r="T919" s="12"/>
      <c r="U919" s="12"/>
      <c r="W919" s="12"/>
      <c r="X919" s="12"/>
    </row>
    <row r="920" spans="1:24" ht="15.75" customHeight="1">
      <c r="A920" s="12"/>
      <c r="B920" s="12"/>
      <c r="C920" s="12"/>
      <c r="D920" s="12"/>
      <c r="E920" s="12"/>
      <c r="F920" s="12"/>
      <c r="G920" s="12"/>
      <c r="H920" s="12"/>
      <c r="I920" s="12"/>
      <c r="J920" s="12"/>
      <c r="K920" s="12"/>
      <c r="L920" s="12"/>
      <c r="M920" s="12"/>
      <c r="N920" s="12"/>
      <c r="O920" s="12"/>
      <c r="P920" s="12"/>
      <c r="Q920" s="12"/>
      <c r="R920" s="12"/>
      <c r="S920" s="12"/>
      <c r="T920" s="12"/>
      <c r="U920" s="12"/>
      <c r="W920" s="12"/>
      <c r="X920" s="12"/>
    </row>
    <row r="921" spans="1:24" ht="15.75" customHeight="1">
      <c r="A921" s="12"/>
      <c r="B921" s="12"/>
      <c r="C921" s="12"/>
      <c r="D921" s="12"/>
      <c r="E921" s="12"/>
      <c r="F921" s="12"/>
      <c r="G921" s="12"/>
      <c r="H921" s="12"/>
      <c r="I921" s="12"/>
      <c r="J921" s="12"/>
      <c r="K921" s="12"/>
      <c r="L921" s="12"/>
      <c r="M921" s="12"/>
      <c r="N921" s="12"/>
      <c r="O921" s="12"/>
      <c r="P921" s="12"/>
      <c r="Q921" s="12"/>
      <c r="R921" s="12"/>
      <c r="S921" s="12"/>
      <c r="T921" s="12"/>
      <c r="U921" s="12"/>
      <c r="W921" s="12"/>
      <c r="X921" s="12"/>
    </row>
    <row r="922" spans="1:24" ht="15.75" customHeight="1">
      <c r="A922" s="12"/>
      <c r="B922" s="12"/>
      <c r="C922" s="12"/>
      <c r="D922" s="12"/>
      <c r="E922" s="12"/>
      <c r="F922" s="12"/>
      <c r="G922" s="12"/>
      <c r="H922" s="12"/>
      <c r="I922" s="12"/>
      <c r="J922" s="12"/>
      <c r="K922" s="12"/>
      <c r="L922" s="12"/>
      <c r="M922" s="12"/>
      <c r="N922" s="12"/>
      <c r="O922" s="12"/>
      <c r="P922" s="12"/>
      <c r="Q922" s="12"/>
      <c r="R922" s="12"/>
      <c r="S922" s="12"/>
      <c r="T922" s="12"/>
      <c r="U922" s="12"/>
      <c r="W922" s="12"/>
      <c r="X922" s="12"/>
    </row>
    <row r="923" spans="1:24" ht="15.75" customHeight="1">
      <c r="A923" s="12"/>
      <c r="B923" s="12"/>
      <c r="C923" s="12"/>
      <c r="D923" s="12"/>
      <c r="E923" s="12"/>
      <c r="F923" s="12"/>
      <c r="G923" s="12"/>
      <c r="H923" s="12"/>
      <c r="I923" s="12"/>
      <c r="J923" s="12"/>
      <c r="K923" s="12"/>
      <c r="L923" s="12"/>
      <c r="M923" s="12"/>
      <c r="N923" s="12"/>
      <c r="O923" s="12"/>
      <c r="P923" s="12"/>
      <c r="Q923" s="12"/>
      <c r="R923" s="12"/>
      <c r="S923" s="12"/>
      <c r="T923" s="12"/>
      <c r="U923" s="12"/>
      <c r="W923" s="12"/>
      <c r="X923" s="12"/>
    </row>
    <row r="924" spans="1:24" ht="15.75" customHeight="1">
      <c r="A924" s="12"/>
      <c r="B924" s="12"/>
      <c r="C924" s="12"/>
      <c r="D924" s="12"/>
      <c r="E924" s="12"/>
      <c r="F924" s="12"/>
      <c r="G924" s="12"/>
      <c r="H924" s="12"/>
      <c r="I924" s="12"/>
      <c r="J924" s="12"/>
      <c r="K924" s="12"/>
      <c r="L924" s="12"/>
      <c r="M924" s="12"/>
      <c r="N924" s="12"/>
      <c r="O924" s="12"/>
      <c r="P924" s="12"/>
      <c r="Q924" s="12"/>
      <c r="R924" s="12"/>
      <c r="S924" s="12"/>
      <c r="T924" s="12"/>
      <c r="U924" s="12"/>
      <c r="W924" s="12"/>
      <c r="X924" s="12"/>
    </row>
    <row r="925" spans="1:24" ht="15.75" customHeight="1">
      <c r="A925" s="12"/>
      <c r="B925" s="12"/>
      <c r="C925" s="12"/>
      <c r="D925" s="12"/>
      <c r="E925" s="12"/>
      <c r="F925" s="12"/>
      <c r="G925" s="12"/>
      <c r="H925" s="12"/>
      <c r="I925" s="12"/>
      <c r="J925" s="12"/>
      <c r="K925" s="12"/>
      <c r="L925" s="12"/>
      <c r="M925" s="12"/>
      <c r="N925" s="12"/>
      <c r="O925" s="12"/>
      <c r="P925" s="12"/>
      <c r="Q925" s="12"/>
      <c r="R925" s="12"/>
      <c r="S925" s="12"/>
      <c r="T925" s="12"/>
      <c r="U925" s="12"/>
      <c r="W925" s="12"/>
      <c r="X925" s="12"/>
    </row>
    <row r="926" spans="1:24" ht="15.75" customHeight="1">
      <c r="A926" s="12"/>
      <c r="B926" s="12"/>
      <c r="C926" s="12"/>
      <c r="D926" s="12"/>
      <c r="E926" s="12"/>
      <c r="F926" s="12"/>
      <c r="G926" s="12"/>
      <c r="H926" s="12"/>
      <c r="I926" s="12"/>
      <c r="J926" s="12"/>
      <c r="K926" s="12"/>
      <c r="L926" s="12"/>
      <c r="M926" s="12"/>
      <c r="N926" s="12"/>
      <c r="O926" s="12"/>
      <c r="P926" s="12"/>
      <c r="Q926" s="12"/>
      <c r="R926" s="12"/>
      <c r="S926" s="12"/>
      <c r="T926" s="12"/>
      <c r="U926" s="12"/>
      <c r="W926" s="12"/>
      <c r="X926" s="12"/>
    </row>
    <row r="927" spans="1:24" ht="15.75" customHeight="1">
      <c r="A927" s="12"/>
      <c r="B927" s="12"/>
      <c r="C927" s="12"/>
      <c r="D927" s="12"/>
      <c r="E927" s="12"/>
      <c r="F927" s="12"/>
      <c r="G927" s="12"/>
      <c r="H927" s="12"/>
      <c r="I927" s="12"/>
      <c r="J927" s="12"/>
      <c r="K927" s="12"/>
      <c r="L927" s="12"/>
      <c r="M927" s="12"/>
      <c r="N927" s="12"/>
      <c r="O927" s="12"/>
      <c r="P927" s="12"/>
      <c r="Q927" s="12"/>
      <c r="R927" s="12"/>
      <c r="S927" s="12"/>
      <c r="T927" s="12"/>
      <c r="U927" s="12"/>
      <c r="W927" s="12"/>
      <c r="X927" s="12"/>
    </row>
    <row r="928" spans="1:24" ht="15.75" customHeight="1">
      <c r="A928" s="12"/>
      <c r="B928" s="12"/>
      <c r="C928" s="12"/>
      <c r="D928" s="12"/>
      <c r="E928" s="12"/>
      <c r="F928" s="12"/>
      <c r="G928" s="12"/>
      <c r="H928" s="12"/>
      <c r="I928" s="12"/>
      <c r="J928" s="12"/>
      <c r="K928" s="12"/>
      <c r="L928" s="12"/>
      <c r="M928" s="12"/>
      <c r="N928" s="12"/>
      <c r="O928" s="12"/>
      <c r="P928" s="12"/>
      <c r="Q928" s="12"/>
      <c r="R928" s="12"/>
      <c r="S928" s="12"/>
      <c r="T928" s="12"/>
      <c r="U928" s="12"/>
      <c r="W928" s="12"/>
      <c r="X928" s="12"/>
    </row>
    <row r="929" spans="1:24" ht="15.75" customHeight="1">
      <c r="A929" s="12"/>
      <c r="B929" s="12"/>
      <c r="C929" s="12"/>
      <c r="D929" s="12"/>
      <c r="E929" s="12"/>
      <c r="F929" s="12"/>
      <c r="G929" s="12"/>
      <c r="H929" s="12"/>
      <c r="I929" s="12"/>
      <c r="J929" s="12"/>
      <c r="K929" s="12"/>
      <c r="L929" s="12"/>
      <c r="M929" s="12"/>
      <c r="N929" s="12"/>
      <c r="O929" s="12"/>
      <c r="P929" s="12"/>
      <c r="Q929" s="12"/>
      <c r="R929" s="12"/>
      <c r="S929" s="12"/>
      <c r="T929" s="12"/>
      <c r="U929" s="12"/>
      <c r="W929" s="12"/>
      <c r="X929" s="12"/>
    </row>
    <row r="930" spans="1:24" ht="15.75" customHeight="1">
      <c r="A930" s="12"/>
      <c r="B930" s="12"/>
      <c r="C930" s="12"/>
      <c r="D930" s="12"/>
      <c r="E930" s="12"/>
      <c r="F930" s="12"/>
      <c r="G930" s="12"/>
      <c r="H930" s="12"/>
      <c r="I930" s="12"/>
      <c r="J930" s="12"/>
      <c r="K930" s="12"/>
      <c r="L930" s="12"/>
      <c r="M930" s="12"/>
      <c r="N930" s="12"/>
      <c r="O930" s="12"/>
      <c r="P930" s="12"/>
      <c r="Q930" s="12"/>
      <c r="R930" s="12"/>
      <c r="S930" s="12"/>
      <c r="T930" s="12"/>
      <c r="U930" s="12"/>
      <c r="W930" s="12"/>
      <c r="X930" s="12"/>
    </row>
    <row r="931" spans="1:24" ht="15.75" customHeight="1">
      <c r="A931" s="12"/>
      <c r="B931" s="12"/>
      <c r="C931" s="12"/>
      <c r="D931" s="12"/>
      <c r="E931" s="12"/>
      <c r="F931" s="12"/>
      <c r="G931" s="12"/>
      <c r="H931" s="12"/>
      <c r="I931" s="12"/>
      <c r="J931" s="12"/>
      <c r="K931" s="12"/>
      <c r="L931" s="12"/>
      <c r="M931" s="12"/>
      <c r="N931" s="12"/>
      <c r="O931" s="12"/>
      <c r="P931" s="12"/>
      <c r="Q931" s="12"/>
      <c r="R931" s="12"/>
      <c r="S931" s="12"/>
      <c r="T931" s="12"/>
      <c r="U931" s="12"/>
      <c r="W931" s="12"/>
      <c r="X931" s="12"/>
    </row>
    <row r="932" spans="1:24" ht="15.75" customHeight="1">
      <c r="A932" s="12"/>
      <c r="B932" s="12"/>
      <c r="C932" s="12"/>
      <c r="D932" s="12"/>
      <c r="E932" s="12"/>
      <c r="F932" s="12"/>
      <c r="G932" s="12"/>
      <c r="H932" s="12"/>
      <c r="I932" s="12"/>
      <c r="J932" s="12"/>
      <c r="K932" s="12"/>
      <c r="L932" s="12"/>
      <c r="M932" s="12"/>
      <c r="N932" s="12"/>
      <c r="O932" s="12"/>
      <c r="P932" s="12"/>
      <c r="Q932" s="12"/>
      <c r="R932" s="12"/>
      <c r="S932" s="12"/>
      <c r="T932" s="12"/>
      <c r="U932" s="12"/>
      <c r="W932" s="12"/>
      <c r="X932" s="12"/>
    </row>
    <row r="933" spans="1:24" ht="15.75" customHeight="1">
      <c r="A933" s="12"/>
      <c r="B933" s="12"/>
      <c r="C933" s="12"/>
      <c r="D933" s="12"/>
      <c r="E933" s="12"/>
      <c r="F933" s="12"/>
      <c r="G933" s="12"/>
      <c r="H933" s="12"/>
      <c r="I933" s="12"/>
      <c r="J933" s="12"/>
      <c r="K933" s="12"/>
      <c r="L933" s="12"/>
      <c r="M933" s="12"/>
      <c r="N933" s="12"/>
      <c r="O933" s="12"/>
      <c r="P933" s="12"/>
      <c r="Q933" s="12"/>
      <c r="R933" s="12"/>
      <c r="S933" s="12"/>
      <c r="T933" s="12"/>
      <c r="U933" s="12"/>
      <c r="W933" s="12"/>
      <c r="X933" s="12"/>
    </row>
    <row r="934" spans="1:24" ht="15.75" customHeight="1">
      <c r="A934" s="12"/>
      <c r="B934" s="12"/>
      <c r="C934" s="12"/>
      <c r="D934" s="12"/>
      <c r="E934" s="12"/>
      <c r="F934" s="12"/>
      <c r="G934" s="12"/>
      <c r="H934" s="12"/>
      <c r="I934" s="12"/>
      <c r="J934" s="12"/>
      <c r="K934" s="12"/>
      <c r="L934" s="12"/>
      <c r="M934" s="12"/>
      <c r="N934" s="12"/>
      <c r="O934" s="12"/>
      <c r="P934" s="12"/>
      <c r="Q934" s="12"/>
      <c r="R934" s="12"/>
      <c r="S934" s="12"/>
      <c r="T934" s="12"/>
      <c r="U934" s="12"/>
      <c r="W934" s="12"/>
      <c r="X934" s="12"/>
    </row>
    <row r="935" spans="1:24" ht="15.75" customHeight="1">
      <c r="A935" s="12"/>
      <c r="B935" s="12"/>
      <c r="C935" s="12"/>
      <c r="D935" s="12"/>
      <c r="E935" s="12"/>
      <c r="F935" s="12"/>
      <c r="G935" s="12"/>
      <c r="H935" s="12"/>
      <c r="I935" s="12"/>
      <c r="J935" s="12"/>
      <c r="K935" s="12"/>
      <c r="L935" s="12"/>
      <c r="M935" s="12"/>
      <c r="N935" s="12"/>
      <c r="O935" s="12"/>
      <c r="P935" s="12"/>
      <c r="Q935" s="12"/>
      <c r="R935" s="12"/>
      <c r="S935" s="12"/>
      <c r="T935" s="12"/>
      <c r="U935" s="12"/>
      <c r="W935" s="12"/>
      <c r="X935" s="12"/>
    </row>
    <row r="936" spans="1:24" ht="15.75" customHeight="1">
      <c r="A936" s="12"/>
      <c r="B936" s="12"/>
      <c r="C936" s="12"/>
      <c r="D936" s="12"/>
      <c r="E936" s="12"/>
      <c r="F936" s="12"/>
      <c r="G936" s="12"/>
      <c r="H936" s="12"/>
      <c r="I936" s="12"/>
      <c r="J936" s="12"/>
      <c r="K936" s="12"/>
      <c r="L936" s="12"/>
      <c r="M936" s="12"/>
      <c r="N936" s="12"/>
      <c r="O936" s="12"/>
      <c r="P936" s="12"/>
      <c r="Q936" s="12"/>
      <c r="R936" s="12"/>
      <c r="S936" s="12"/>
      <c r="T936" s="12"/>
      <c r="U936" s="12"/>
      <c r="W936" s="12"/>
      <c r="X936" s="12"/>
    </row>
    <row r="937" spans="1:24" ht="15.75" customHeight="1">
      <c r="A937" s="12"/>
      <c r="B937" s="12"/>
      <c r="C937" s="12"/>
      <c r="D937" s="12"/>
      <c r="E937" s="12"/>
      <c r="F937" s="12"/>
      <c r="G937" s="12"/>
      <c r="H937" s="12"/>
      <c r="I937" s="12"/>
      <c r="J937" s="12"/>
      <c r="K937" s="12"/>
      <c r="L937" s="12"/>
      <c r="M937" s="12"/>
      <c r="N937" s="12"/>
      <c r="O937" s="12"/>
      <c r="P937" s="12"/>
      <c r="Q937" s="12"/>
      <c r="R937" s="12"/>
      <c r="S937" s="12"/>
      <c r="T937" s="12"/>
      <c r="U937" s="12"/>
      <c r="W937" s="12"/>
      <c r="X937" s="12"/>
    </row>
    <row r="938" spans="1:24" ht="15.75" customHeight="1">
      <c r="A938" s="12"/>
      <c r="B938" s="12"/>
      <c r="C938" s="12"/>
      <c r="D938" s="12"/>
      <c r="E938" s="12"/>
      <c r="F938" s="12"/>
      <c r="G938" s="12"/>
      <c r="H938" s="12"/>
      <c r="I938" s="12"/>
      <c r="J938" s="12"/>
      <c r="K938" s="12"/>
      <c r="L938" s="12"/>
      <c r="M938" s="12"/>
      <c r="N938" s="12"/>
      <c r="O938" s="12"/>
      <c r="P938" s="12"/>
      <c r="Q938" s="12"/>
      <c r="R938" s="12"/>
      <c r="S938" s="12"/>
      <c r="T938" s="12"/>
      <c r="U938" s="12"/>
      <c r="W938" s="12"/>
      <c r="X938" s="12"/>
    </row>
    <row r="939" spans="1:24" ht="15.75" customHeight="1">
      <c r="A939" s="12"/>
      <c r="B939" s="12"/>
      <c r="C939" s="12"/>
      <c r="D939" s="12"/>
      <c r="E939" s="12"/>
      <c r="F939" s="12"/>
      <c r="G939" s="12"/>
      <c r="H939" s="12"/>
      <c r="I939" s="12"/>
      <c r="J939" s="12"/>
      <c r="K939" s="12"/>
      <c r="L939" s="12"/>
      <c r="M939" s="12"/>
      <c r="N939" s="12"/>
      <c r="O939" s="12"/>
      <c r="P939" s="12"/>
      <c r="Q939" s="12"/>
      <c r="R939" s="12"/>
      <c r="S939" s="12"/>
      <c r="T939" s="12"/>
      <c r="U939" s="12"/>
      <c r="W939" s="12"/>
      <c r="X939" s="12"/>
    </row>
    <row r="940" spans="1:24" ht="15.75" customHeight="1">
      <c r="A940" s="12"/>
      <c r="B940" s="12"/>
      <c r="C940" s="12"/>
      <c r="D940" s="12"/>
      <c r="E940" s="12"/>
      <c r="F940" s="12"/>
      <c r="G940" s="12"/>
      <c r="H940" s="12"/>
      <c r="I940" s="12"/>
      <c r="J940" s="12"/>
      <c r="K940" s="12"/>
      <c r="L940" s="12"/>
      <c r="M940" s="12"/>
      <c r="N940" s="12"/>
      <c r="O940" s="12"/>
      <c r="P940" s="12"/>
      <c r="Q940" s="12"/>
      <c r="R940" s="12"/>
      <c r="S940" s="12"/>
      <c r="T940" s="12"/>
      <c r="U940" s="12"/>
      <c r="W940" s="12"/>
      <c r="X940" s="12"/>
    </row>
    <row r="941" spans="1:24" ht="15.75" customHeight="1">
      <c r="A941" s="12"/>
      <c r="B941" s="12"/>
      <c r="C941" s="12"/>
      <c r="D941" s="12"/>
      <c r="E941" s="12"/>
      <c r="F941" s="12"/>
      <c r="G941" s="12"/>
      <c r="H941" s="12"/>
      <c r="I941" s="12"/>
      <c r="J941" s="12"/>
      <c r="K941" s="12"/>
      <c r="L941" s="12"/>
      <c r="M941" s="12"/>
      <c r="N941" s="12"/>
      <c r="O941" s="12"/>
      <c r="P941" s="12"/>
      <c r="Q941" s="12"/>
      <c r="R941" s="12"/>
      <c r="S941" s="12"/>
      <c r="T941" s="12"/>
      <c r="U941" s="12"/>
      <c r="W941" s="12"/>
      <c r="X941" s="12"/>
    </row>
    <row r="942" spans="1:24" ht="15.75" customHeight="1">
      <c r="A942" s="12"/>
      <c r="B942" s="12"/>
      <c r="C942" s="12"/>
      <c r="D942" s="12"/>
      <c r="E942" s="12"/>
      <c r="F942" s="12"/>
      <c r="G942" s="12"/>
      <c r="H942" s="12"/>
      <c r="I942" s="12"/>
      <c r="J942" s="12"/>
      <c r="K942" s="12"/>
      <c r="L942" s="12"/>
      <c r="M942" s="12"/>
      <c r="N942" s="12"/>
      <c r="O942" s="12"/>
      <c r="P942" s="12"/>
      <c r="Q942" s="12"/>
      <c r="R942" s="12"/>
      <c r="S942" s="12"/>
      <c r="T942" s="12"/>
      <c r="U942" s="12"/>
      <c r="W942" s="12"/>
      <c r="X942" s="12"/>
    </row>
    <row r="943" spans="1:24" ht="15.75" customHeight="1">
      <c r="A943" s="12"/>
      <c r="B943" s="12"/>
      <c r="C943" s="12"/>
      <c r="D943" s="12"/>
      <c r="E943" s="12"/>
      <c r="F943" s="12"/>
      <c r="G943" s="12"/>
      <c r="H943" s="12"/>
      <c r="I943" s="12"/>
      <c r="J943" s="12"/>
      <c r="K943" s="12"/>
      <c r="L943" s="12"/>
      <c r="M943" s="12"/>
      <c r="N943" s="12"/>
      <c r="O943" s="12"/>
      <c r="P943" s="12"/>
      <c r="Q943" s="12"/>
      <c r="R943" s="12"/>
      <c r="S943" s="12"/>
      <c r="T943" s="12"/>
      <c r="U943" s="12"/>
      <c r="W943" s="12"/>
      <c r="X943" s="12"/>
    </row>
    <row r="944" spans="1:24" ht="15.75" customHeight="1">
      <c r="A944" s="12"/>
      <c r="B944" s="12"/>
      <c r="C944" s="12"/>
      <c r="D944" s="12"/>
      <c r="E944" s="12"/>
      <c r="F944" s="12"/>
      <c r="G944" s="12"/>
      <c r="H944" s="12"/>
      <c r="I944" s="12"/>
      <c r="J944" s="12"/>
      <c r="K944" s="12"/>
      <c r="L944" s="12"/>
      <c r="M944" s="12"/>
      <c r="N944" s="12"/>
      <c r="O944" s="12"/>
      <c r="P944" s="12"/>
      <c r="Q944" s="12"/>
      <c r="R944" s="12"/>
      <c r="S944" s="12"/>
      <c r="T944" s="12"/>
      <c r="U944" s="12"/>
      <c r="W944" s="12"/>
      <c r="X944" s="12"/>
    </row>
    <row r="945" spans="1:24" ht="15.75" customHeight="1">
      <c r="A945" s="12"/>
      <c r="B945" s="12"/>
      <c r="C945" s="12"/>
      <c r="D945" s="12"/>
      <c r="E945" s="12"/>
      <c r="F945" s="12"/>
      <c r="G945" s="12"/>
      <c r="H945" s="12"/>
      <c r="I945" s="12"/>
      <c r="J945" s="12"/>
      <c r="K945" s="12"/>
      <c r="L945" s="12"/>
      <c r="M945" s="12"/>
      <c r="N945" s="12"/>
      <c r="O945" s="12"/>
      <c r="P945" s="12"/>
      <c r="Q945" s="12"/>
      <c r="R945" s="12"/>
      <c r="S945" s="12"/>
      <c r="T945" s="12"/>
      <c r="U945" s="12"/>
      <c r="W945" s="12"/>
      <c r="X945" s="12"/>
    </row>
    <row r="946" spans="1:24" ht="15.75" customHeight="1">
      <c r="A946" s="12"/>
      <c r="B946" s="12"/>
      <c r="C946" s="12"/>
      <c r="D946" s="12"/>
      <c r="E946" s="12"/>
      <c r="F946" s="12"/>
      <c r="G946" s="12"/>
      <c r="H946" s="12"/>
      <c r="I946" s="12"/>
      <c r="J946" s="12"/>
      <c r="K946" s="12"/>
      <c r="L946" s="12"/>
      <c r="M946" s="12"/>
      <c r="N946" s="12"/>
      <c r="O946" s="12"/>
      <c r="P946" s="12"/>
      <c r="Q946" s="12"/>
      <c r="R946" s="12"/>
      <c r="S946" s="12"/>
      <c r="T946" s="12"/>
      <c r="U946" s="12"/>
      <c r="W946" s="12"/>
      <c r="X946" s="12"/>
    </row>
    <row r="947" spans="1:24" ht="15.75" customHeight="1">
      <c r="A947" s="12"/>
      <c r="B947" s="12"/>
      <c r="C947" s="12"/>
      <c r="D947" s="12"/>
      <c r="E947" s="12"/>
      <c r="F947" s="12"/>
      <c r="G947" s="12"/>
      <c r="H947" s="12"/>
      <c r="I947" s="12"/>
      <c r="J947" s="12"/>
      <c r="K947" s="12"/>
      <c r="L947" s="12"/>
      <c r="M947" s="12"/>
      <c r="N947" s="12"/>
      <c r="O947" s="12"/>
      <c r="P947" s="12"/>
      <c r="Q947" s="12"/>
      <c r="R947" s="12"/>
      <c r="S947" s="12"/>
      <c r="T947" s="12"/>
      <c r="U947" s="12"/>
      <c r="W947" s="12"/>
      <c r="X947" s="12"/>
    </row>
    <row r="948" spans="1:24" ht="15.75" customHeight="1">
      <c r="A948" s="12"/>
      <c r="B948" s="12"/>
      <c r="C948" s="12"/>
      <c r="D948" s="12"/>
      <c r="E948" s="12"/>
      <c r="F948" s="12"/>
      <c r="G948" s="12"/>
      <c r="H948" s="12"/>
      <c r="I948" s="12"/>
      <c r="J948" s="12"/>
      <c r="K948" s="12"/>
      <c r="L948" s="12"/>
      <c r="M948" s="12"/>
      <c r="N948" s="12"/>
      <c r="O948" s="12"/>
      <c r="P948" s="12"/>
      <c r="Q948" s="12"/>
      <c r="R948" s="12"/>
      <c r="S948" s="12"/>
      <c r="T948" s="12"/>
      <c r="U948" s="12"/>
      <c r="W948" s="12"/>
      <c r="X948" s="12"/>
    </row>
    <row r="949" spans="1:24" ht="15.75" customHeight="1">
      <c r="A949" s="12"/>
      <c r="B949" s="12"/>
      <c r="C949" s="12"/>
      <c r="D949" s="12"/>
      <c r="E949" s="12"/>
      <c r="F949" s="12"/>
      <c r="G949" s="12"/>
      <c r="H949" s="12"/>
      <c r="I949" s="12"/>
      <c r="J949" s="12"/>
      <c r="K949" s="12"/>
      <c r="L949" s="12"/>
      <c r="M949" s="12"/>
      <c r="N949" s="12"/>
      <c r="O949" s="12"/>
      <c r="P949" s="12"/>
      <c r="Q949" s="12"/>
      <c r="R949" s="12"/>
      <c r="S949" s="12"/>
      <c r="T949" s="12"/>
      <c r="U949" s="12"/>
      <c r="W949" s="12"/>
      <c r="X949" s="12"/>
    </row>
    <row r="950" spans="1:24" ht="15.75" customHeight="1">
      <c r="A950" s="12"/>
      <c r="B950" s="12"/>
      <c r="C950" s="12"/>
      <c r="D950" s="12"/>
      <c r="E950" s="12"/>
      <c r="F950" s="12"/>
      <c r="G950" s="12"/>
      <c r="H950" s="12"/>
      <c r="I950" s="12"/>
      <c r="J950" s="12"/>
      <c r="K950" s="12"/>
      <c r="L950" s="12"/>
      <c r="M950" s="12"/>
      <c r="N950" s="12"/>
      <c r="O950" s="12"/>
      <c r="P950" s="12"/>
      <c r="Q950" s="12"/>
      <c r="R950" s="12"/>
      <c r="S950" s="12"/>
      <c r="T950" s="12"/>
      <c r="U950" s="12"/>
      <c r="W950" s="12"/>
      <c r="X950" s="12"/>
    </row>
    <row r="951" spans="1:24" ht="15.75" customHeight="1">
      <c r="A951" s="12"/>
      <c r="B951" s="12"/>
      <c r="C951" s="12"/>
      <c r="D951" s="12"/>
      <c r="E951" s="12"/>
      <c r="F951" s="12"/>
      <c r="G951" s="12"/>
      <c r="H951" s="12"/>
      <c r="I951" s="12"/>
      <c r="J951" s="12"/>
      <c r="K951" s="12"/>
      <c r="L951" s="12"/>
      <c r="M951" s="12"/>
      <c r="N951" s="12"/>
      <c r="O951" s="12"/>
      <c r="P951" s="12"/>
      <c r="Q951" s="12"/>
      <c r="R951" s="12"/>
      <c r="S951" s="12"/>
      <c r="T951" s="12"/>
      <c r="U951" s="12"/>
      <c r="W951" s="12"/>
      <c r="X951" s="12"/>
    </row>
    <row r="952" spans="1:24" ht="15.75" customHeight="1">
      <c r="A952" s="12"/>
      <c r="B952" s="12"/>
      <c r="C952" s="12"/>
      <c r="D952" s="12"/>
      <c r="E952" s="12"/>
      <c r="F952" s="12"/>
      <c r="G952" s="12"/>
      <c r="H952" s="12"/>
      <c r="I952" s="12"/>
      <c r="J952" s="12"/>
      <c r="K952" s="12"/>
      <c r="L952" s="12"/>
      <c r="M952" s="12"/>
      <c r="N952" s="12"/>
      <c r="O952" s="12"/>
      <c r="P952" s="12"/>
      <c r="Q952" s="12"/>
      <c r="R952" s="12"/>
      <c r="S952" s="12"/>
      <c r="T952" s="12"/>
      <c r="U952" s="12"/>
      <c r="W952" s="12"/>
      <c r="X952" s="12"/>
    </row>
    <row r="953" spans="1:24" ht="15.75" customHeight="1">
      <c r="A953" s="12"/>
      <c r="B953" s="12"/>
      <c r="C953" s="12"/>
      <c r="D953" s="12"/>
      <c r="E953" s="12"/>
      <c r="F953" s="12"/>
      <c r="G953" s="12"/>
      <c r="H953" s="12"/>
      <c r="I953" s="12"/>
      <c r="J953" s="12"/>
      <c r="K953" s="12"/>
      <c r="L953" s="12"/>
      <c r="M953" s="12"/>
      <c r="N953" s="12"/>
      <c r="O953" s="12"/>
      <c r="P953" s="12"/>
      <c r="Q953" s="12"/>
      <c r="R953" s="12"/>
      <c r="S953" s="12"/>
      <c r="T953" s="12"/>
      <c r="U953" s="12"/>
      <c r="W953" s="12"/>
      <c r="X953" s="12"/>
    </row>
    <row r="954" spans="1:24" ht="15.75" customHeight="1">
      <c r="A954" s="12"/>
      <c r="B954" s="12"/>
      <c r="C954" s="12"/>
      <c r="D954" s="12"/>
      <c r="E954" s="12"/>
      <c r="F954" s="12"/>
      <c r="G954" s="12"/>
      <c r="H954" s="12"/>
      <c r="I954" s="12"/>
      <c r="J954" s="12"/>
      <c r="K954" s="12"/>
      <c r="L954" s="12"/>
      <c r="M954" s="12"/>
      <c r="N954" s="12"/>
      <c r="O954" s="12"/>
      <c r="P954" s="12"/>
      <c r="Q954" s="12"/>
      <c r="R954" s="12"/>
      <c r="S954" s="12"/>
      <c r="T954" s="12"/>
      <c r="U954" s="12"/>
      <c r="W954" s="12"/>
      <c r="X954" s="12"/>
    </row>
    <row r="955" spans="1:24" ht="15.75" customHeight="1">
      <c r="A955" s="12"/>
      <c r="B955" s="12"/>
      <c r="C955" s="12"/>
      <c r="D955" s="12"/>
      <c r="E955" s="12"/>
      <c r="F955" s="12"/>
      <c r="G955" s="12"/>
      <c r="H955" s="12"/>
      <c r="I955" s="12"/>
      <c r="J955" s="12"/>
      <c r="K955" s="12"/>
      <c r="L955" s="12"/>
      <c r="M955" s="12"/>
      <c r="N955" s="12"/>
      <c r="O955" s="12"/>
      <c r="P955" s="12"/>
      <c r="Q955" s="12"/>
      <c r="R955" s="12"/>
      <c r="S955" s="12"/>
      <c r="T955" s="12"/>
      <c r="U955" s="12"/>
      <c r="W955" s="12"/>
      <c r="X955" s="12"/>
    </row>
    <row r="956" spans="1:24" ht="15.75" customHeight="1">
      <c r="A956" s="12"/>
      <c r="B956" s="12"/>
      <c r="C956" s="12"/>
      <c r="D956" s="12"/>
      <c r="E956" s="12"/>
      <c r="F956" s="12"/>
      <c r="G956" s="12"/>
      <c r="H956" s="12"/>
      <c r="I956" s="12"/>
      <c r="J956" s="12"/>
      <c r="K956" s="12"/>
      <c r="L956" s="12"/>
      <c r="M956" s="12"/>
      <c r="N956" s="12"/>
      <c r="O956" s="12"/>
      <c r="P956" s="12"/>
      <c r="Q956" s="12"/>
      <c r="R956" s="12"/>
      <c r="S956" s="12"/>
      <c r="T956" s="12"/>
      <c r="U956" s="12"/>
      <c r="W956" s="12"/>
      <c r="X956" s="12"/>
    </row>
    <row r="957" spans="1:24" ht="15.75" customHeight="1">
      <c r="A957" s="12"/>
      <c r="B957" s="12"/>
      <c r="C957" s="12"/>
      <c r="D957" s="12"/>
      <c r="E957" s="12"/>
      <c r="F957" s="12"/>
      <c r="G957" s="12"/>
      <c r="H957" s="12"/>
      <c r="I957" s="12"/>
      <c r="J957" s="12"/>
      <c r="K957" s="12"/>
      <c r="L957" s="12"/>
      <c r="M957" s="12"/>
      <c r="N957" s="12"/>
      <c r="O957" s="12"/>
      <c r="P957" s="12"/>
      <c r="Q957" s="12"/>
      <c r="R957" s="12"/>
      <c r="S957" s="12"/>
      <c r="T957" s="12"/>
      <c r="U957" s="12"/>
      <c r="W957" s="12"/>
      <c r="X957" s="12"/>
    </row>
    <row r="958" spans="1:24" ht="15.75" customHeight="1">
      <c r="A958" s="12"/>
      <c r="B958" s="12"/>
      <c r="C958" s="12"/>
      <c r="D958" s="12"/>
      <c r="E958" s="12"/>
      <c r="F958" s="12"/>
      <c r="G958" s="12"/>
      <c r="H958" s="12"/>
      <c r="I958" s="12"/>
      <c r="J958" s="12"/>
      <c r="K958" s="12"/>
      <c r="L958" s="12"/>
      <c r="M958" s="12"/>
      <c r="N958" s="12"/>
      <c r="O958" s="12"/>
      <c r="P958" s="12"/>
      <c r="Q958" s="12"/>
      <c r="R958" s="12"/>
      <c r="S958" s="12"/>
      <c r="T958" s="12"/>
      <c r="U958" s="12"/>
      <c r="W958" s="12"/>
      <c r="X958" s="12"/>
    </row>
    <row r="959" spans="1:24" ht="15.75" customHeight="1">
      <c r="A959" s="12"/>
      <c r="B959" s="12"/>
      <c r="C959" s="12"/>
      <c r="D959" s="12"/>
      <c r="E959" s="12"/>
      <c r="F959" s="12"/>
      <c r="G959" s="12"/>
      <c r="H959" s="12"/>
      <c r="I959" s="12"/>
      <c r="J959" s="12"/>
      <c r="K959" s="12"/>
      <c r="L959" s="12"/>
      <c r="M959" s="12"/>
      <c r="N959" s="12"/>
      <c r="O959" s="12"/>
      <c r="P959" s="12"/>
      <c r="Q959" s="12"/>
      <c r="R959" s="12"/>
      <c r="S959" s="12"/>
      <c r="T959" s="12"/>
      <c r="U959" s="12"/>
      <c r="W959" s="12"/>
      <c r="X959" s="12"/>
    </row>
    <row r="960" spans="1:24" ht="15.75" customHeight="1">
      <c r="A960" s="12"/>
      <c r="B960" s="12"/>
      <c r="C960" s="12"/>
      <c r="D960" s="12"/>
      <c r="E960" s="12"/>
      <c r="F960" s="12"/>
      <c r="G960" s="12"/>
      <c r="H960" s="12"/>
      <c r="I960" s="12"/>
      <c r="J960" s="12"/>
      <c r="K960" s="12"/>
      <c r="L960" s="12"/>
      <c r="M960" s="12"/>
      <c r="N960" s="12"/>
      <c r="O960" s="12"/>
      <c r="P960" s="12"/>
      <c r="Q960" s="12"/>
      <c r="R960" s="12"/>
      <c r="S960" s="12"/>
      <c r="T960" s="12"/>
      <c r="U960" s="12"/>
      <c r="W960" s="12"/>
      <c r="X960" s="12"/>
    </row>
    <row r="961" spans="1:24" ht="15.75" customHeight="1">
      <c r="A961" s="12"/>
      <c r="B961" s="12"/>
      <c r="C961" s="12"/>
      <c r="D961" s="12"/>
      <c r="E961" s="12"/>
      <c r="F961" s="12"/>
      <c r="G961" s="12"/>
      <c r="H961" s="12"/>
      <c r="I961" s="12"/>
      <c r="J961" s="12"/>
      <c r="K961" s="12"/>
      <c r="L961" s="12"/>
      <c r="M961" s="12"/>
      <c r="N961" s="12"/>
      <c r="O961" s="12"/>
      <c r="P961" s="12"/>
      <c r="Q961" s="12"/>
      <c r="R961" s="12"/>
      <c r="S961" s="12"/>
      <c r="T961" s="12"/>
      <c r="U961" s="12"/>
      <c r="W961" s="12"/>
      <c r="X961" s="12"/>
    </row>
    <row r="962" spans="1:24" ht="15.75" customHeight="1">
      <c r="A962" s="12"/>
      <c r="B962" s="12"/>
      <c r="C962" s="12"/>
      <c r="D962" s="12"/>
      <c r="E962" s="12"/>
      <c r="F962" s="12"/>
      <c r="G962" s="12"/>
      <c r="H962" s="12"/>
      <c r="I962" s="12"/>
      <c r="J962" s="12"/>
      <c r="K962" s="12"/>
      <c r="L962" s="12"/>
      <c r="M962" s="12"/>
      <c r="N962" s="12"/>
      <c r="O962" s="12"/>
      <c r="P962" s="12"/>
      <c r="Q962" s="12"/>
      <c r="R962" s="12"/>
      <c r="S962" s="12"/>
      <c r="T962" s="12"/>
      <c r="U962" s="12"/>
      <c r="W962" s="12"/>
      <c r="X962" s="12"/>
    </row>
    <row r="963" spans="1:24" ht="15.75" customHeight="1">
      <c r="A963" s="12"/>
      <c r="B963" s="12"/>
      <c r="C963" s="12"/>
      <c r="D963" s="12"/>
      <c r="E963" s="12"/>
      <c r="F963" s="12"/>
      <c r="G963" s="12"/>
      <c r="H963" s="12"/>
      <c r="I963" s="12"/>
      <c r="J963" s="12"/>
      <c r="K963" s="12"/>
      <c r="L963" s="12"/>
      <c r="M963" s="12"/>
      <c r="N963" s="12"/>
      <c r="O963" s="12"/>
      <c r="P963" s="12"/>
      <c r="Q963" s="12"/>
      <c r="R963" s="12"/>
      <c r="S963" s="12"/>
      <c r="T963" s="12"/>
      <c r="U963" s="12"/>
      <c r="W963" s="12"/>
      <c r="X963" s="12"/>
    </row>
    <row r="964" spans="1:24" ht="15.75" customHeight="1">
      <c r="A964" s="12"/>
      <c r="B964" s="12"/>
      <c r="C964" s="12"/>
      <c r="D964" s="12"/>
      <c r="E964" s="12"/>
      <c r="F964" s="12"/>
      <c r="G964" s="12"/>
      <c r="H964" s="12"/>
      <c r="I964" s="12"/>
      <c r="J964" s="12"/>
      <c r="K964" s="12"/>
      <c r="L964" s="12"/>
      <c r="M964" s="12"/>
      <c r="N964" s="12"/>
      <c r="O964" s="12"/>
      <c r="P964" s="12"/>
      <c r="Q964" s="12"/>
      <c r="R964" s="12"/>
      <c r="S964" s="12"/>
      <c r="T964" s="12"/>
      <c r="U964" s="12"/>
      <c r="W964" s="12"/>
      <c r="X964" s="12"/>
    </row>
    <row r="965" spans="1:24" ht="15.75" customHeight="1">
      <c r="A965" s="12"/>
      <c r="B965" s="12"/>
      <c r="C965" s="12"/>
      <c r="D965" s="12"/>
      <c r="E965" s="12"/>
      <c r="F965" s="12"/>
      <c r="G965" s="12"/>
      <c r="H965" s="12"/>
      <c r="I965" s="12"/>
      <c r="J965" s="12"/>
      <c r="K965" s="12"/>
      <c r="L965" s="12"/>
      <c r="M965" s="12"/>
      <c r="N965" s="12"/>
      <c r="O965" s="12"/>
      <c r="P965" s="12"/>
      <c r="Q965" s="12"/>
      <c r="R965" s="12"/>
      <c r="S965" s="12"/>
      <c r="T965" s="12"/>
      <c r="U965" s="12"/>
      <c r="W965" s="12"/>
      <c r="X965" s="12"/>
    </row>
    <row r="966" spans="1:24" ht="15.75" customHeight="1">
      <c r="A966" s="12"/>
      <c r="B966" s="12"/>
      <c r="C966" s="12"/>
      <c r="D966" s="12"/>
      <c r="E966" s="12"/>
      <c r="F966" s="12"/>
      <c r="G966" s="12"/>
      <c r="H966" s="12"/>
      <c r="I966" s="12"/>
      <c r="J966" s="12"/>
      <c r="K966" s="12"/>
      <c r="L966" s="12"/>
      <c r="M966" s="12"/>
      <c r="N966" s="12"/>
      <c r="O966" s="12"/>
      <c r="P966" s="12"/>
      <c r="Q966" s="12"/>
      <c r="R966" s="12"/>
      <c r="S966" s="12"/>
      <c r="T966" s="12"/>
      <c r="U966" s="12"/>
      <c r="W966" s="12"/>
      <c r="X966" s="12"/>
    </row>
    <row r="967" spans="1:24" ht="15.75" customHeight="1">
      <c r="A967" s="12"/>
      <c r="B967" s="12"/>
      <c r="C967" s="12"/>
      <c r="D967" s="12"/>
      <c r="E967" s="12"/>
      <c r="F967" s="12"/>
      <c r="G967" s="12"/>
      <c r="H967" s="12"/>
      <c r="I967" s="12"/>
      <c r="J967" s="12"/>
      <c r="K967" s="12"/>
      <c r="L967" s="12"/>
      <c r="M967" s="12"/>
      <c r="N967" s="12"/>
      <c r="O967" s="12"/>
      <c r="P967" s="12"/>
      <c r="Q967" s="12"/>
      <c r="R967" s="12"/>
      <c r="S967" s="12"/>
      <c r="T967" s="12"/>
      <c r="U967" s="12"/>
      <c r="W967" s="12"/>
      <c r="X967" s="12"/>
    </row>
    <row r="968" spans="1:24" ht="15.75" customHeight="1">
      <c r="A968" s="12"/>
      <c r="B968" s="12"/>
      <c r="C968" s="12"/>
      <c r="D968" s="12"/>
      <c r="E968" s="12"/>
      <c r="F968" s="12"/>
      <c r="G968" s="12"/>
      <c r="H968" s="12"/>
      <c r="I968" s="12"/>
      <c r="J968" s="12"/>
      <c r="K968" s="12"/>
      <c r="L968" s="12"/>
      <c r="M968" s="12"/>
      <c r="N968" s="12"/>
      <c r="O968" s="12"/>
      <c r="P968" s="12"/>
      <c r="Q968" s="12"/>
      <c r="R968" s="12"/>
      <c r="S968" s="12"/>
      <c r="T968" s="12"/>
      <c r="U968" s="12"/>
      <c r="W968" s="12"/>
      <c r="X968" s="12"/>
    </row>
    <row r="969" spans="1:24" ht="15.75" customHeight="1">
      <c r="A969" s="12"/>
      <c r="B969" s="12"/>
      <c r="C969" s="12"/>
      <c r="D969" s="12"/>
      <c r="E969" s="12"/>
      <c r="F969" s="12"/>
      <c r="G969" s="12"/>
      <c r="H969" s="12"/>
      <c r="I969" s="12"/>
      <c r="J969" s="12"/>
      <c r="K969" s="12"/>
      <c r="L969" s="12"/>
      <c r="M969" s="12"/>
      <c r="N969" s="12"/>
      <c r="O969" s="12"/>
      <c r="P969" s="12"/>
      <c r="Q969" s="12"/>
      <c r="R969" s="12"/>
      <c r="S969" s="12"/>
      <c r="T969" s="12"/>
      <c r="U969" s="12"/>
      <c r="W969" s="12"/>
      <c r="X969" s="12"/>
    </row>
    <row r="970" spans="1:24" ht="15.75" customHeight="1">
      <c r="A970" s="12"/>
      <c r="B970" s="12"/>
      <c r="C970" s="12"/>
      <c r="D970" s="12"/>
      <c r="E970" s="12"/>
      <c r="F970" s="12"/>
      <c r="G970" s="12"/>
      <c r="H970" s="12"/>
      <c r="I970" s="12"/>
      <c r="J970" s="12"/>
      <c r="K970" s="12"/>
      <c r="L970" s="12"/>
      <c r="M970" s="12"/>
      <c r="N970" s="12"/>
      <c r="O970" s="12"/>
      <c r="P970" s="12"/>
      <c r="Q970" s="12"/>
      <c r="R970" s="12"/>
      <c r="S970" s="12"/>
      <c r="T970" s="12"/>
      <c r="U970" s="12"/>
      <c r="W970" s="12"/>
      <c r="X970" s="12"/>
    </row>
    <row r="971" spans="1:24" ht="15.75" customHeight="1">
      <c r="A971" s="12"/>
      <c r="B971" s="12"/>
      <c r="C971" s="12"/>
      <c r="D971" s="12"/>
      <c r="E971" s="12"/>
      <c r="F971" s="12"/>
      <c r="G971" s="12"/>
      <c r="H971" s="12"/>
      <c r="I971" s="12"/>
      <c r="J971" s="12"/>
      <c r="K971" s="12"/>
      <c r="L971" s="12"/>
      <c r="M971" s="12"/>
      <c r="N971" s="12"/>
      <c r="O971" s="12"/>
      <c r="P971" s="12"/>
      <c r="Q971" s="12"/>
      <c r="R971" s="12"/>
      <c r="S971" s="12"/>
      <c r="T971" s="12"/>
      <c r="U971" s="12"/>
      <c r="W971" s="12"/>
      <c r="X971" s="12"/>
    </row>
    <row r="972" spans="1:24" ht="15.75" customHeight="1">
      <c r="A972" s="12"/>
      <c r="B972" s="12"/>
      <c r="C972" s="12"/>
      <c r="D972" s="12"/>
      <c r="E972" s="12"/>
      <c r="F972" s="12"/>
      <c r="G972" s="12"/>
      <c r="H972" s="12"/>
      <c r="I972" s="12"/>
      <c r="J972" s="12"/>
      <c r="K972" s="12"/>
      <c r="L972" s="12"/>
      <c r="M972" s="12"/>
      <c r="N972" s="12"/>
      <c r="O972" s="12"/>
      <c r="P972" s="12"/>
      <c r="Q972" s="12"/>
      <c r="R972" s="12"/>
      <c r="S972" s="12"/>
      <c r="T972" s="12"/>
      <c r="U972" s="12"/>
      <c r="W972" s="12"/>
      <c r="X972" s="12"/>
    </row>
    <row r="973" spans="1:24" ht="15.75" customHeight="1">
      <c r="A973" s="12"/>
      <c r="B973" s="12"/>
      <c r="C973" s="12"/>
      <c r="D973" s="12"/>
      <c r="E973" s="12"/>
      <c r="F973" s="12"/>
      <c r="G973" s="12"/>
      <c r="H973" s="12"/>
      <c r="I973" s="12"/>
      <c r="J973" s="12"/>
      <c r="K973" s="12"/>
      <c r="L973" s="12"/>
      <c r="M973" s="12"/>
      <c r="N973" s="12"/>
      <c r="O973" s="12"/>
      <c r="P973" s="12"/>
      <c r="Q973" s="12"/>
      <c r="R973" s="12"/>
      <c r="S973" s="12"/>
      <c r="T973" s="12"/>
      <c r="U973" s="12"/>
      <c r="W973" s="12"/>
      <c r="X973" s="12"/>
    </row>
    <row r="974" spans="1:24" ht="15.75" customHeight="1">
      <c r="A974" s="12"/>
      <c r="B974" s="12"/>
      <c r="C974" s="12"/>
      <c r="D974" s="12"/>
      <c r="E974" s="12"/>
      <c r="F974" s="12"/>
      <c r="G974" s="12"/>
      <c r="H974" s="12"/>
      <c r="I974" s="12"/>
      <c r="J974" s="12"/>
      <c r="K974" s="12"/>
      <c r="L974" s="12"/>
      <c r="M974" s="12"/>
      <c r="N974" s="12"/>
      <c r="O974" s="12"/>
      <c r="P974" s="12"/>
      <c r="Q974" s="12"/>
      <c r="R974" s="12"/>
      <c r="S974" s="12"/>
      <c r="T974" s="12"/>
      <c r="U974" s="12"/>
      <c r="W974" s="12"/>
      <c r="X974" s="12"/>
    </row>
    <row r="975" spans="1:24" ht="15.75" customHeight="1">
      <c r="A975" s="12"/>
      <c r="B975" s="12"/>
      <c r="C975" s="12"/>
      <c r="D975" s="12"/>
      <c r="E975" s="12"/>
      <c r="F975" s="12"/>
      <c r="G975" s="12"/>
      <c r="H975" s="12"/>
      <c r="I975" s="12"/>
      <c r="J975" s="12"/>
      <c r="K975" s="12"/>
      <c r="L975" s="12"/>
      <c r="M975" s="12"/>
      <c r="N975" s="12"/>
      <c r="O975" s="12"/>
      <c r="P975" s="12"/>
      <c r="Q975" s="12"/>
      <c r="R975" s="12"/>
      <c r="S975" s="12"/>
      <c r="T975" s="12"/>
      <c r="U975" s="12"/>
      <c r="W975" s="12"/>
      <c r="X975" s="12"/>
    </row>
    <row r="976" spans="1:24" ht="15.75" customHeight="1">
      <c r="A976" s="12"/>
      <c r="B976" s="12"/>
      <c r="C976" s="12"/>
      <c r="D976" s="12"/>
      <c r="E976" s="12"/>
      <c r="F976" s="12"/>
      <c r="G976" s="12"/>
      <c r="H976" s="12"/>
      <c r="I976" s="12"/>
      <c r="J976" s="12"/>
      <c r="K976" s="12"/>
      <c r="L976" s="12"/>
      <c r="M976" s="12"/>
      <c r="N976" s="12"/>
      <c r="O976" s="12"/>
      <c r="P976" s="12"/>
      <c r="Q976" s="12"/>
      <c r="R976" s="12"/>
      <c r="S976" s="12"/>
      <c r="T976" s="12"/>
      <c r="U976" s="12"/>
      <c r="W976" s="12"/>
      <c r="X976" s="12"/>
    </row>
    <row r="977" spans="1:24" ht="15.75" customHeight="1">
      <c r="A977" s="12"/>
      <c r="B977" s="12"/>
      <c r="C977" s="12"/>
      <c r="D977" s="12"/>
      <c r="E977" s="12"/>
      <c r="F977" s="12"/>
      <c r="G977" s="12"/>
      <c r="H977" s="12"/>
      <c r="I977" s="12"/>
      <c r="J977" s="12"/>
      <c r="K977" s="12"/>
      <c r="L977" s="12"/>
      <c r="M977" s="12"/>
      <c r="N977" s="12"/>
      <c r="O977" s="12"/>
      <c r="P977" s="12"/>
      <c r="Q977" s="12"/>
      <c r="R977" s="12"/>
      <c r="S977" s="12"/>
      <c r="T977" s="12"/>
      <c r="U977" s="12"/>
      <c r="W977" s="12"/>
      <c r="X977" s="12"/>
    </row>
    <row r="978" spans="1:24" ht="15.75" customHeight="1">
      <c r="A978" s="12"/>
      <c r="B978" s="12"/>
      <c r="C978" s="12"/>
      <c r="D978" s="12"/>
      <c r="E978" s="12"/>
      <c r="F978" s="12"/>
      <c r="G978" s="12"/>
      <c r="H978" s="12"/>
      <c r="I978" s="12"/>
      <c r="J978" s="12"/>
      <c r="K978" s="12"/>
      <c r="L978" s="12"/>
      <c r="M978" s="12"/>
      <c r="N978" s="12"/>
      <c r="O978" s="12"/>
      <c r="P978" s="12"/>
      <c r="Q978" s="12"/>
      <c r="R978" s="12"/>
      <c r="S978" s="12"/>
      <c r="T978" s="12"/>
      <c r="U978" s="12"/>
      <c r="W978" s="12"/>
      <c r="X978" s="12"/>
    </row>
    <row r="979" spans="1:24" ht="15.75" customHeight="1">
      <c r="A979" s="12"/>
      <c r="B979" s="12"/>
      <c r="C979" s="12"/>
      <c r="D979" s="12"/>
      <c r="E979" s="12"/>
      <c r="F979" s="12"/>
      <c r="G979" s="12"/>
      <c r="H979" s="12"/>
      <c r="I979" s="12"/>
      <c r="J979" s="12"/>
      <c r="K979" s="12"/>
      <c r="L979" s="12"/>
      <c r="M979" s="12"/>
      <c r="N979" s="12"/>
      <c r="O979" s="12"/>
      <c r="P979" s="12"/>
      <c r="Q979" s="12"/>
      <c r="R979" s="12"/>
      <c r="S979" s="12"/>
      <c r="T979" s="12"/>
      <c r="U979" s="12"/>
      <c r="W979" s="12"/>
      <c r="X979" s="12"/>
    </row>
    <row r="980" spans="1:24" ht="15.75" customHeight="1">
      <c r="A980" s="12"/>
      <c r="B980" s="12"/>
      <c r="C980" s="12"/>
      <c r="D980" s="12"/>
      <c r="E980" s="12"/>
      <c r="F980" s="12"/>
      <c r="G980" s="12"/>
      <c r="H980" s="12"/>
      <c r="I980" s="12"/>
      <c r="J980" s="12"/>
      <c r="K980" s="12"/>
      <c r="L980" s="12"/>
      <c r="M980" s="12"/>
      <c r="N980" s="12"/>
      <c r="O980" s="12"/>
      <c r="P980" s="12"/>
      <c r="Q980" s="12"/>
      <c r="R980" s="12"/>
      <c r="S980" s="12"/>
      <c r="T980" s="12"/>
      <c r="U980" s="12"/>
      <c r="W980" s="12"/>
      <c r="X980" s="12"/>
    </row>
    <row r="981" spans="1:24" ht="15.75" customHeight="1">
      <c r="A981" s="12"/>
      <c r="B981" s="12"/>
      <c r="C981" s="12"/>
      <c r="D981" s="12"/>
      <c r="E981" s="12"/>
      <c r="F981" s="12"/>
      <c r="G981" s="12"/>
      <c r="H981" s="12"/>
      <c r="I981" s="12"/>
      <c r="J981" s="12"/>
      <c r="K981" s="12"/>
      <c r="L981" s="12"/>
      <c r="M981" s="12"/>
      <c r="N981" s="12"/>
      <c r="O981" s="12"/>
      <c r="P981" s="12"/>
      <c r="Q981" s="12"/>
      <c r="R981" s="12"/>
      <c r="S981" s="12"/>
      <c r="T981" s="12"/>
      <c r="U981" s="12"/>
      <c r="W981" s="12"/>
      <c r="X981" s="12"/>
    </row>
    <row r="982" spans="1:24" ht="15.75" customHeight="1">
      <c r="A982" s="12"/>
      <c r="B982" s="12"/>
      <c r="C982" s="12"/>
      <c r="D982" s="12"/>
      <c r="E982" s="12"/>
      <c r="F982" s="12"/>
      <c r="G982" s="12"/>
      <c r="H982" s="12"/>
      <c r="I982" s="12"/>
      <c r="J982" s="12"/>
      <c r="K982" s="12"/>
      <c r="L982" s="12"/>
      <c r="M982" s="12"/>
      <c r="N982" s="12"/>
      <c r="O982" s="12"/>
      <c r="P982" s="12"/>
      <c r="Q982" s="12"/>
      <c r="R982" s="12"/>
      <c r="S982" s="12"/>
      <c r="T982" s="12"/>
      <c r="U982" s="12"/>
      <c r="W982" s="12"/>
      <c r="X982" s="12"/>
    </row>
    <row r="983" spans="1:24" ht="15.75" customHeight="1">
      <c r="A983" s="12"/>
      <c r="B983" s="12"/>
      <c r="C983" s="12"/>
      <c r="D983" s="12"/>
      <c r="E983" s="12"/>
      <c r="F983" s="12"/>
      <c r="G983" s="12"/>
      <c r="H983" s="12"/>
      <c r="I983" s="12"/>
      <c r="J983" s="12"/>
      <c r="K983" s="12"/>
      <c r="L983" s="12"/>
      <c r="M983" s="12"/>
      <c r="N983" s="12"/>
      <c r="O983" s="12"/>
      <c r="P983" s="12"/>
      <c r="Q983" s="12"/>
      <c r="R983" s="12"/>
      <c r="S983" s="12"/>
      <c r="T983" s="12"/>
      <c r="U983" s="12"/>
      <c r="W983" s="12"/>
      <c r="X983" s="12"/>
    </row>
    <row r="984" spans="1:24" ht="15.75" customHeight="1">
      <c r="A984" s="12"/>
      <c r="B984" s="12"/>
      <c r="C984" s="12"/>
      <c r="D984" s="12"/>
      <c r="E984" s="12"/>
      <c r="F984" s="12"/>
      <c r="G984" s="12"/>
      <c r="H984" s="12"/>
      <c r="I984" s="12"/>
      <c r="J984" s="12"/>
      <c r="K984" s="12"/>
      <c r="L984" s="12"/>
      <c r="M984" s="12"/>
      <c r="N984" s="12"/>
      <c r="O984" s="12"/>
      <c r="P984" s="12"/>
      <c r="Q984" s="12"/>
      <c r="R984" s="12"/>
      <c r="S984" s="12"/>
      <c r="T984" s="12"/>
      <c r="U984" s="12"/>
      <c r="W984" s="12"/>
      <c r="X984" s="12"/>
    </row>
    <row r="985" spans="1:24" ht="15.75" customHeight="1">
      <c r="A985" s="12"/>
      <c r="B985" s="12"/>
      <c r="C985" s="12"/>
      <c r="D985" s="12"/>
      <c r="E985" s="12"/>
      <c r="F985" s="12"/>
      <c r="G985" s="12"/>
      <c r="H985" s="12"/>
      <c r="I985" s="12"/>
      <c r="J985" s="12"/>
      <c r="K985" s="12"/>
      <c r="L985" s="12"/>
      <c r="M985" s="12"/>
      <c r="N985" s="12"/>
      <c r="O985" s="12"/>
      <c r="P985" s="12"/>
      <c r="Q985" s="12"/>
      <c r="R985" s="12"/>
      <c r="S985" s="12"/>
      <c r="T985" s="12"/>
      <c r="U985" s="12"/>
      <c r="W985" s="12"/>
      <c r="X985" s="12"/>
    </row>
    <row r="986" spans="1:24" ht="15.75" customHeight="1">
      <c r="A986" s="12"/>
      <c r="B986" s="12"/>
      <c r="C986" s="12"/>
      <c r="D986" s="12"/>
      <c r="E986" s="12"/>
      <c r="F986" s="12"/>
      <c r="G986" s="12"/>
      <c r="H986" s="12"/>
      <c r="I986" s="12"/>
      <c r="J986" s="12"/>
      <c r="K986" s="12"/>
      <c r="L986" s="12"/>
      <c r="M986" s="12"/>
      <c r="N986" s="12"/>
      <c r="O986" s="12"/>
      <c r="P986" s="12"/>
      <c r="Q986" s="12"/>
      <c r="R986" s="12"/>
      <c r="S986" s="12"/>
      <c r="T986" s="12"/>
      <c r="U986" s="12"/>
      <c r="W986" s="12"/>
      <c r="X986" s="12"/>
    </row>
    <row r="987" spans="1:24" ht="15.75" customHeight="1">
      <c r="A987" s="12"/>
      <c r="B987" s="12"/>
      <c r="C987" s="12"/>
      <c r="D987" s="12"/>
      <c r="E987" s="12"/>
      <c r="F987" s="12"/>
      <c r="G987" s="12"/>
      <c r="H987" s="12"/>
      <c r="I987" s="12"/>
      <c r="J987" s="12"/>
      <c r="K987" s="12"/>
      <c r="L987" s="12"/>
      <c r="M987" s="12"/>
      <c r="N987" s="12"/>
      <c r="O987" s="12"/>
      <c r="P987" s="12"/>
      <c r="Q987" s="12"/>
      <c r="R987" s="12"/>
      <c r="S987" s="12"/>
      <c r="T987" s="12"/>
      <c r="U987" s="12"/>
      <c r="W987" s="12"/>
      <c r="X987" s="12"/>
    </row>
    <row r="988" spans="1:24" ht="15.75" customHeight="1">
      <c r="A988" s="12"/>
      <c r="B988" s="12"/>
      <c r="C988" s="12"/>
      <c r="D988" s="12"/>
      <c r="E988" s="12"/>
      <c r="F988" s="12"/>
      <c r="G988" s="12"/>
      <c r="H988" s="12"/>
      <c r="I988" s="12"/>
      <c r="J988" s="12"/>
      <c r="K988" s="12"/>
      <c r="L988" s="12"/>
      <c r="M988" s="12"/>
      <c r="N988" s="12"/>
      <c r="O988" s="12"/>
      <c r="P988" s="12"/>
      <c r="Q988" s="12"/>
      <c r="R988" s="12"/>
      <c r="S988" s="12"/>
      <c r="T988" s="12"/>
      <c r="U988" s="12"/>
      <c r="W988" s="12"/>
      <c r="X988" s="12"/>
    </row>
    <row r="989" spans="1:24" ht="15.75" customHeight="1">
      <c r="A989" s="12"/>
      <c r="B989" s="12"/>
      <c r="C989" s="12"/>
      <c r="D989" s="12"/>
      <c r="E989" s="12"/>
      <c r="F989" s="12"/>
      <c r="G989" s="12"/>
      <c r="H989" s="12"/>
      <c r="I989" s="12"/>
      <c r="J989" s="12"/>
      <c r="K989" s="12"/>
      <c r="L989" s="12"/>
      <c r="M989" s="12"/>
      <c r="N989" s="12"/>
      <c r="O989" s="12"/>
      <c r="P989" s="12"/>
      <c r="Q989" s="12"/>
      <c r="R989" s="12"/>
      <c r="S989" s="12"/>
      <c r="T989" s="12"/>
      <c r="U989" s="12"/>
      <c r="W989" s="12"/>
      <c r="X989" s="12"/>
    </row>
    <row r="990" spans="1:24" ht="15.75" customHeight="1">
      <c r="A990" s="12"/>
      <c r="B990" s="12"/>
      <c r="C990" s="12"/>
      <c r="D990" s="12"/>
      <c r="E990" s="12"/>
      <c r="F990" s="12"/>
      <c r="G990" s="12"/>
      <c r="H990" s="12"/>
      <c r="I990" s="12"/>
      <c r="J990" s="12"/>
      <c r="K990" s="12"/>
      <c r="L990" s="12"/>
      <c r="M990" s="12"/>
      <c r="N990" s="12"/>
      <c r="O990" s="12"/>
      <c r="P990" s="12"/>
      <c r="Q990" s="12"/>
      <c r="R990" s="12"/>
      <c r="S990" s="12"/>
      <c r="T990" s="12"/>
      <c r="U990" s="12"/>
      <c r="W990" s="12"/>
      <c r="X990" s="12"/>
    </row>
    <row r="991" spans="1:24" ht="15.75" customHeight="1">
      <c r="A991" s="12"/>
      <c r="B991" s="12"/>
      <c r="C991" s="12"/>
      <c r="D991" s="12"/>
      <c r="E991" s="12"/>
      <c r="F991" s="12"/>
      <c r="G991" s="12"/>
      <c r="H991" s="12"/>
      <c r="I991" s="12"/>
      <c r="J991" s="12"/>
      <c r="K991" s="12"/>
      <c r="L991" s="12"/>
      <c r="M991" s="12"/>
      <c r="N991" s="12"/>
      <c r="O991" s="12"/>
      <c r="P991" s="12"/>
      <c r="Q991" s="12"/>
      <c r="R991" s="12"/>
      <c r="S991" s="12"/>
      <c r="T991" s="12"/>
      <c r="U991" s="12"/>
      <c r="W991" s="12"/>
      <c r="X991" s="12"/>
    </row>
    <row r="992" spans="1:24" ht="15.75" customHeight="1">
      <c r="A992" s="12"/>
      <c r="B992" s="12"/>
      <c r="C992" s="12"/>
      <c r="D992" s="12"/>
      <c r="E992" s="12"/>
      <c r="F992" s="12"/>
      <c r="G992" s="12"/>
      <c r="H992" s="12"/>
      <c r="I992" s="12"/>
      <c r="J992" s="12"/>
      <c r="K992" s="12"/>
      <c r="L992" s="12"/>
      <c r="M992" s="12"/>
      <c r="N992" s="12"/>
      <c r="O992" s="12"/>
      <c r="P992" s="12"/>
      <c r="Q992" s="12"/>
      <c r="R992" s="12"/>
      <c r="S992" s="12"/>
      <c r="T992" s="12"/>
      <c r="U992" s="12"/>
      <c r="W992" s="12"/>
      <c r="X992" s="12"/>
    </row>
    <row r="993" spans="1:24" ht="15.75" customHeight="1">
      <c r="A993" s="12"/>
      <c r="B993" s="12"/>
      <c r="C993" s="12"/>
      <c r="D993" s="12"/>
      <c r="E993" s="12"/>
      <c r="F993" s="12"/>
      <c r="G993" s="12"/>
      <c r="H993" s="12"/>
      <c r="I993" s="12"/>
      <c r="J993" s="12"/>
      <c r="K993" s="12"/>
      <c r="L993" s="12"/>
      <c r="M993" s="12"/>
      <c r="N993" s="12"/>
      <c r="O993" s="12"/>
      <c r="P993" s="12"/>
      <c r="Q993" s="12"/>
      <c r="R993" s="12"/>
      <c r="S993" s="12"/>
      <c r="T993" s="12"/>
      <c r="U993" s="12"/>
      <c r="W993" s="12"/>
      <c r="X993" s="12"/>
    </row>
    <row r="994" spans="1:24" ht="15.75" customHeight="1">
      <c r="A994" s="12"/>
      <c r="B994" s="12"/>
      <c r="C994" s="12"/>
      <c r="D994" s="12"/>
      <c r="E994" s="12"/>
      <c r="F994" s="12"/>
      <c r="G994" s="12"/>
      <c r="H994" s="12"/>
      <c r="I994" s="12"/>
      <c r="J994" s="12"/>
      <c r="K994" s="12"/>
      <c r="L994" s="12"/>
      <c r="M994" s="12"/>
      <c r="N994" s="12"/>
      <c r="O994" s="12"/>
      <c r="P994" s="12"/>
      <c r="Q994" s="12"/>
      <c r="R994" s="12"/>
      <c r="S994" s="12"/>
      <c r="T994" s="12"/>
      <c r="U994" s="12"/>
      <c r="W994" s="12"/>
      <c r="X994" s="12"/>
    </row>
    <row r="995" spans="1:24" ht="15.75" customHeight="1">
      <c r="A995" s="12"/>
      <c r="B995" s="12"/>
      <c r="C995" s="12"/>
      <c r="D995" s="12"/>
      <c r="E995" s="12"/>
      <c r="F995" s="12"/>
      <c r="G995" s="12"/>
      <c r="H995" s="12"/>
      <c r="I995" s="12"/>
      <c r="J995" s="12"/>
      <c r="K995" s="12"/>
      <c r="L995" s="12"/>
      <c r="M995" s="12"/>
      <c r="N995" s="12"/>
      <c r="O995" s="12"/>
      <c r="P995" s="12"/>
      <c r="Q995" s="12"/>
      <c r="R995" s="12"/>
      <c r="S995" s="12"/>
      <c r="T995" s="12"/>
      <c r="U995" s="12"/>
      <c r="W995" s="12"/>
      <c r="X995" s="12"/>
    </row>
    <row r="996" spans="1:24" ht="15.75" customHeight="1">
      <c r="A996" s="12"/>
      <c r="B996" s="12"/>
      <c r="C996" s="12"/>
      <c r="D996" s="12"/>
      <c r="E996" s="12"/>
      <c r="F996" s="12"/>
      <c r="G996" s="12"/>
      <c r="H996" s="12"/>
      <c r="I996" s="12"/>
      <c r="J996" s="12"/>
      <c r="K996" s="12"/>
      <c r="L996" s="12"/>
      <c r="M996" s="12"/>
      <c r="N996" s="12"/>
      <c r="O996" s="12"/>
      <c r="P996" s="12"/>
      <c r="Q996" s="12"/>
      <c r="R996" s="12"/>
      <c r="S996" s="12"/>
      <c r="T996" s="12"/>
      <c r="U996" s="12"/>
      <c r="W996" s="12"/>
      <c r="X996" s="12"/>
    </row>
    <row r="997" spans="1:24" ht="15.75" customHeight="1">
      <c r="A997" s="12"/>
      <c r="B997" s="12"/>
      <c r="C997" s="12"/>
      <c r="D997" s="12"/>
      <c r="E997" s="12"/>
      <c r="F997" s="12"/>
      <c r="G997" s="12"/>
      <c r="H997" s="12"/>
      <c r="I997" s="12"/>
      <c r="J997" s="12"/>
      <c r="K997" s="12"/>
      <c r="L997" s="12"/>
      <c r="M997" s="12"/>
      <c r="N997" s="12"/>
      <c r="O997" s="12"/>
      <c r="P997" s="12"/>
      <c r="Q997" s="12"/>
      <c r="R997" s="12"/>
      <c r="S997" s="12"/>
      <c r="T997" s="12"/>
      <c r="U997" s="12"/>
      <c r="W997" s="12"/>
      <c r="X997" s="12"/>
    </row>
    <row r="998" spans="1:24" ht="15.75" customHeight="1">
      <c r="A998" s="12"/>
      <c r="B998" s="12"/>
      <c r="C998" s="12"/>
      <c r="D998" s="12"/>
      <c r="E998" s="12"/>
      <c r="F998" s="12"/>
      <c r="G998" s="12"/>
      <c r="H998" s="12"/>
      <c r="I998" s="12"/>
      <c r="J998" s="12"/>
      <c r="K998" s="12"/>
      <c r="L998" s="12"/>
      <c r="M998" s="12"/>
      <c r="N998" s="12"/>
      <c r="O998" s="12"/>
      <c r="P998" s="12"/>
      <c r="Q998" s="12"/>
      <c r="R998" s="12"/>
      <c r="S998" s="12"/>
      <c r="T998" s="12"/>
      <c r="U998" s="12"/>
      <c r="W998" s="12"/>
      <c r="X998" s="12"/>
    </row>
    <row r="999" spans="1:24" ht="15.75" customHeight="1">
      <c r="A999" s="12"/>
      <c r="B999" s="12"/>
      <c r="C999" s="12"/>
      <c r="D999" s="12"/>
      <c r="E999" s="12"/>
      <c r="F999" s="12"/>
      <c r="G999" s="12"/>
      <c r="H999" s="12"/>
      <c r="I999" s="12"/>
      <c r="J999" s="12"/>
      <c r="K999" s="12"/>
      <c r="L999" s="12"/>
      <c r="M999" s="12"/>
      <c r="N999" s="12"/>
      <c r="O999" s="12"/>
      <c r="P999" s="12"/>
      <c r="Q999" s="12"/>
      <c r="R999" s="12"/>
      <c r="S999" s="12"/>
      <c r="T999" s="12"/>
      <c r="U999" s="12"/>
      <c r="W999" s="12"/>
      <c r="X999" s="12"/>
    </row>
    <row r="1000" spans="1:24"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W1000" s="12"/>
      <c r="X1000" s="12"/>
    </row>
  </sheetData>
  <mergeCells count="101">
    <mergeCell ref="B210:D210"/>
    <mergeCell ref="A211:D211"/>
    <mergeCell ref="A135:A158"/>
    <mergeCell ref="B135:B136"/>
    <mergeCell ref="B138:B144"/>
    <mergeCell ref="B145:B146"/>
    <mergeCell ref="B147:B149"/>
    <mergeCell ref="B158:D158"/>
    <mergeCell ref="A159:A210"/>
    <mergeCell ref="C135:C136"/>
    <mergeCell ref="C138:C144"/>
    <mergeCell ref="C145:C146"/>
    <mergeCell ref="C147:C149"/>
    <mergeCell ref="C150:C153"/>
    <mergeCell ref="B173:B179"/>
    <mergeCell ref="C173:C179"/>
    <mergeCell ref="B204:B206"/>
    <mergeCell ref="C204:C206"/>
    <mergeCell ref="B180:B183"/>
    <mergeCell ref="C180:C183"/>
    <mergeCell ref="B184:B186"/>
    <mergeCell ref="C184:C186"/>
    <mergeCell ref="B187:B192"/>
    <mergeCell ref="C187:C192"/>
    <mergeCell ref="B200:B201"/>
    <mergeCell ref="C200:C201"/>
    <mergeCell ref="B150:B153"/>
    <mergeCell ref="B159:B162"/>
    <mergeCell ref="C159:C162"/>
    <mergeCell ref="B163:B167"/>
    <mergeCell ref="C163:C167"/>
    <mergeCell ref="B168:B172"/>
    <mergeCell ref="C168:C172"/>
    <mergeCell ref="B202:B203"/>
    <mergeCell ref="C202:C203"/>
    <mergeCell ref="C94:C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111:B113"/>
    <mergeCell ref="C111:C113"/>
    <mergeCell ref="B104:B105"/>
    <mergeCell ref="C104:C105"/>
    <mergeCell ref="B106:B110"/>
    <mergeCell ref="C106:C110"/>
    <mergeCell ref="B94:B103"/>
    <mergeCell ref="B194:B199"/>
    <mergeCell ref="C194:C199"/>
    <mergeCell ref="B79:B85"/>
    <mergeCell ref="C79:C85"/>
    <mergeCell ref="B86:B89"/>
    <mergeCell ref="C86:C89"/>
    <mergeCell ref="A69:A93"/>
    <mergeCell ref="B40:B46"/>
    <mergeCell ref="C40:C46"/>
    <mergeCell ref="B47:B56"/>
    <mergeCell ref="C47:C56"/>
    <mergeCell ref="B75:B78"/>
    <mergeCell ref="B57:B66"/>
    <mergeCell ref="C57:C66"/>
    <mergeCell ref="B70:B74"/>
    <mergeCell ref="C70:C74"/>
    <mergeCell ref="C75:C78"/>
    <mergeCell ref="B93:D93"/>
    <mergeCell ref="R4:R5"/>
    <mergeCell ref="S4:S5"/>
    <mergeCell ref="V4:V5"/>
    <mergeCell ref="B6:B23"/>
    <mergeCell ref="B26:B36"/>
    <mergeCell ref="C26:C36"/>
    <mergeCell ref="B37:B39"/>
    <mergeCell ref="C37:C39"/>
    <mergeCell ref="A4:A5"/>
    <mergeCell ref="C4:C5"/>
    <mergeCell ref="D4:D5"/>
    <mergeCell ref="E4:E5"/>
    <mergeCell ref="F4:F5"/>
    <mergeCell ref="B4:B5"/>
    <mergeCell ref="A6:A68"/>
    <mergeCell ref="B68:D68"/>
    <mergeCell ref="C6:C23"/>
    <mergeCell ref="B24:B25"/>
    <mergeCell ref="C24:C25"/>
    <mergeCell ref="A3:E3"/>
    <mergeCell ref="G4:H4"/>
    <mergeCell ref="J4:L4"/>
    <mergeCell ref="M4:M5"/>
    <mergeCell ref="N4:N5"/>
    <mergeCell ref="O4:O5"/>
    <mergeCell ref="I4:I5"/>
    <mergeCell ref="P4:P5"/>
    <mergeCell ref="Q4:Q5"/>
  </mergeCells>
  <pageMargins left="0.16" right="0.16" top="0.23" bottom="0.32" header="0" footer="0"/>
  <pageSetup scale="85" orientation="portrait" r:id="rId1"/>
</worksheet>
</file>

<file path=xl/worksheets/sheet3.xml><?xml version="1.0" encoding="utf-8"?>
<worksheet xmlns="http://schemas.openxmlformats.org/spreadsheetml/2006/main" xmlns:r="http://schemas.openxmlformats.org/officeDocument/2006/relationships">
  <dimension ref="A1:AA1000"/>
  <sheetViews>
    <sheetView workbookViewId="0">
      <pane xSplit="3" ySplit="5" topLeftCell="D186" activePane="bottomRight" state="frozen"/>
      <selection pane="topRight" activeCell="D1" sqref="D1"/>
      <selection pane="bottomLeft" activeCell="A6" sqref="A6"/>
      <selection pane="bottomRight" activeCell="P187" sqref="P187:V187"/>
    </sheetView>
  </sheetViews>
  <sheetFormatPr defaultColWidth="14.42578125" defaultRowHeight="15" customHeight="1"/>
  <cols>
    <col min="1" max="1" width="6.7109375" style="784" customWidth="1"/>
    <col min="2" max="2" width="6.42578125" style="784" customWidth="1"/>
    <col min="3" max="3" width="8" style="784" customWidth="1"/>
    <col min="4" max="4" width="5.140625" style="784" customWidth="1"/>
    <col min="5" max="5" width="16.42578125" style="784" customWidth="1"/>
    <col min="6" max="6" width="7.42578125" style="784" customWidth="1"/>
    <col min="7" max="7" width="6" style="784" customWidth="1"/>
    <col min="8" max="8" width="13.7109375" style="784" customWidth="1"/>
    <col min="9" max="9" width="11.140625" style="784" customWidth="1"/>
    <col min="10" max="10" width="6.85546875" style="784" customWidth="1"/>
    <col min="11" max="11" width="9.28515625" style="784" customWidth="1"/>
    <col min="12" max="12" width="6.7109375" style="784" customWidth="1"/>
    <col min="13" max="13" width="10.85546875" style="784" customWidth="1"/>
    <col min="14" max="14" width="9.7109375" style="784" customWidth="1"/>
    <col min="15" max="15" width="9.85546875" style="784" customWidth="1"/>
    <col min="16" max="16" width="9.7109375" style="784" customWidth="1"/>
    <col min="17" max="17" width="8.28515625" style="784" customWidth="1"/>
    <col min="18" max="18" width="12.140625" style="784" customWidth="1"/>
    <col min="19" max="19" width="10.42578125" style="784" customWidth="1"/>
    <col min="20" max="20" width="10.7109375" style="784" customWidth="1"/>
    <col min="21" max="21" width="12.5703125" style="784" customWidth="1"/>
    <col min="22" max="22" width="52.5703125" style="517" customWidth="1"/>
    <col min="23" max="23" width="54.85546875" style="784" hidden="1" customWidth="1"/>
    <col min="24" max="25" width="14.42578125" style="784" hidden="1" customWidth="1"/>
    <col min="26" max="27" width="14.42578125" style="784" customWidth="1"/>
    <col min="28" max="16384" width="14.42578125" style="784"/>
  </cols>
  <sheetData>
    <row r="1" spans="1:27" ht="20.25" customHeight="1">
      <c r="A1" s="1"/>
      <c r="B1" s="2"/>
      <c r="C1" s="2"/>
      <c r="D1" s="2"/>
      <c r="E1" s="469" t="s">
        <v>0</v>
      </c>
      <c r="J1" s="3"/>
      <c r="K1" s="3"/>
      <c r="L1" s="3"/>
      <c r="M1" s="3"/>
      <c r="N1" s="3"/>
      <c r="O1" s="3"/>
      <c r="P1" s="3"/>
      <c r="Q1" s="3"/>
      <c r="R1" s="3"/>
      <c r="S1" s="3"/>
      <c r="T1" s="3"/>
      <c r="U1" s="3"/>
      <c r="V1" s="501"/>
    </row>
    <row r="2" spans="1:27" ht="23.25" customHeight="1">
      <c r="A2" s="3"/>
      <c r="B2" s="3"/>
      <c r="C2" s="3"/>
      <c r="D2" s="3"/>
      <c r="E2" s="3"/>
      <c r="F2" s="3"/>
      <c r="G2" s="3"/>
      <c r="H2" s="3"/>
      <c r="I2" s="3"/>
      <c r="J2" s="3"/>
      <c r="K2" s="3"/>
      <c r="L2" s="3"/>
      <c r="M2" s="3"/>
      <c r="N2" s="3"/>
      <c r="O2" s="3"/>
      <c r="P2" s="3"/>
      <c r="Q2" s="3"/>
      <c r="R2" s="3"/>
      <c r="S2" s="3"/>
      <c r="T2" s="3"/>
      <c r="U2" s="3"/>
      <c r="V2" s="501"/>
    </row>
    <row r="3" spans="1:27" ht="22.5" customHeight="1">
      <c r="A3" s="827" t="s">
        <v>1607</v>
      </c>
      <c r="B3" s="827"/>
      <c r="C3" s="827"/>
      <c r="D3" s="827"/>
      <c r="E3" s="827"/>
      <c r="F3" s="470"/>
      <c r="G3" s="470"/>
      <c r="H3" s="470"/>
      <c r="I3" s="470"/>
      <c r="J3" s="470"/>
      <c r="K3" s="470"/>
      <c r="L3" s="470"/>
      <c r="M3" s="470"/>
      <c r="N3" s="470"/>
      <c r="O3" s="470"/>
      <c r="P3" s="470"/>
      <c r="Q3" s="470"/>
      <c r="R3" s="470"/>
      <c r="S3" s="470"/>
      <c r="T3" s="471"/>
      <c r="U3" s="470"/>
      <c r="V3" s="502" t="s">
        <v>2</v>
      </c>
    </row>
    <row r="4" spans="1:27" ht="43.5" customHeight="1">
      <c r="A4" s="828" t="s">
        <v>3</v>
      </c>
      <c r="B4" s="828" t="s">
        <v>4</v>
      </c>
      <c r="C4" s="828" t="s">
        <v>5</v>
      </c>
      <c r="D4" s="828" t="s">
        <v>6</v>
      </c>
      <c r="E4" s="828" t="s">
        <v>388</v>
      </c>
      <c r="F4" s="828" t="s">
        <v>8</v>
      </c>
      <c r="G4" s="828" t="s">
        <v>9</v>
      </c>
      <c r="H4" s="736"/>
      <c r="I4" s="828" t="s">
        <v>10</v>
      </c>
      <c r="J4" s="828" t="s">
        <v>11</v>
      </c>
      <c r="K4" s="736"/>
      <c r="L4" s="736"/>
      <c r="M4" s="828" t="s">
        <v>12</v>
      </c>
      <c r="N4" s="828" t="s">
        <v>13</v>
      </c>
      <c r="O4" s="828" t="s">
        <v>14</v>
      </c>
      <c r="P4" s="828" t="s">
        <v>445</v>
      </c>
      <c r="Q4" s="828" t="s">
        <v>16</v>
      </c>
      <c r="R4" s="828" t="s">
        <v>17</v>
      </c>
      <c r="S4" s="828" t="s">
        <v>18</v>
      </c>
      <c r="T4" s="829" t="s">
        <v>19</v>
      </c>
      <c r="U4" s="829" t="s">
        <v>19</v>
      </c>
      <c r="V4" s="690" t="s">
        <v>389</v>
      </c>
      <c r="W4" s="472"/>
      <c r="X4" s="3"/>
      <c r="Y4" s="3"/>
      <c r="Z4" s="3"/>
      <c r="AA4" s="3"/>
    </row>
    <row r="5" spans="1:27" ht="53.25" customHeight="1">
      <c r="A5" s="736"/>
      <c r="B5" s="736"/>
      <c r="C5" s="736"/>
      <c r="D5" s="736"/>
      <c r="E5" s="736"/>
      <c r="F5" s="736"/>
      <c r="G5" s="829" t="s">
        <v>21</v>
      </c>
      <c r="H5" s="829" t="s">
        <v>22</v>
      </c>
      <c r="I5" s="736"/>
      <c r="J5" s="829" t="s">
        <v>1564</v>
      </c>
      <c r="K5" s="829" t="s">
        <v>23</v>
      </c>
      <c r="L5" s="829" t="s">
        <v>24</v>
      </c>
      <c r="M5" s="736"/>
      <c r="N5" s="736"/>
      <c r="O5" s="736"/>
      <c r="P5" s="736"/>
      <c r="Q5" s="736"/>
      <c r="R5" s="736"/>
      <c r="S5" s="736"/>
      <c r="T5" s="829" t="s">
        <v>25</v>
      </c>
      <c r="U5" s="829" t="s">
        <v>26</v>
      </c>
      <c r="V5" s="691"/>
      <c r="W5" s="472"/>
      <c r="X5" s="3"/>
      <c r="Y5" s="3"/>
      <c r="Z5" s="3"/>
      <c r="AA5" s="3"/>
    </row>
    <row r="6" spans="1:27" ht="45">
      <c r="A6" s="831" t="s">
        <v>27</v>
      </c>
      <c r="B6" s="828" t="s">
        <v>28</v>
      </c>
      <c r="C6" s="828" t="s">
        <v>29</v>
      </c>
      <c r="D6" s="829">
        <v>1</v>
      </c>
      <c r="E6" s="829" t="s">
        <v>30</v>
      </c>
      <c r="F6" s="979"/>
      <c r="G6" s="979"/>
      <c r="H6" s="979"/>
      <c r="I6" s="979"/>
      <c r="J6" s="979"/>
      <c r="K6" s="979"/>
      <c r="L6" s="979"/>
      <c r="M6" s="979"/>
      <c r="N6" s="979"/>
      <c r="O6" s="979"/>
      <c r="P6" s="979"/>
      <c r="Q6" s="979"/>
      <c r="R6" s="979"/>
      <c r="S6" s="979"/>
      <c r="T6" s="847">
        <f t="shared" ref="T6:T103" si="0">SUM(F6:S6)</f>
        <v>0</v>
      </c>
      <c r="U6" s="847">
        <v>0</v>
      </c>
      <c r="V6" s="503"/>
      <c r="W6" s="472"/>
      <c r="X6" s="3"/>
      <c r="Y6" s="3"/>
      <c r="Z6" s="3"/>
      <c r="AA6" s="3"/>
    </row>
    <row r="7" spans="1:27" ht="60">
      <c r="A7" s="736"/>
      <c r="B7" s="736"/>
      <c r="C7" s="736"/>
      <c r="D7" s="829">
        <v>2</v>
      </c>
      <c r="E7" s="829" t="s">
        <v>31</v>
      </c>
      <c r="F7" s="979"/>
      <c r="G7" s="979"/>
      <c r="H7" s="979"/>
      <c r="I7" s="979"/>
      <c r="J7" s="980"/>
      <c r="K7" s="981"/>
      <c r="L7" s="979"/>
      <c r="M7" s="979"/>
      <c r="N7" s="979"/>
      <c r="O7" s="979"/>
      <c r="P7" s="982"/>
      <c r="Q7" s="979"/>
      <c r="R7" s="979"/>
      <c r="S7" s="979"/>
      <c r="T7" s="847">
        <f t="shared" si="0"/>
        <v>0</v>
      </c>
      <c r="U7" s="847">
        <v>0</v>
      </c>
      <c r="V7" s="503"/>
      <c r="W7" s="472"/>
      <c r="X7" s="3"/>
      <c r="Y7" s="3"/>
      <c r="Z7" s="3"/>
      <c r="AA7" s="3"/>
    </row>
    <row r="8" spans="1:27" ht="112.5" customHeight="1">
      <c r="A8" s="736"/>
      <c r="B8" s="736"/>
      <c r="C8" s="736"/>
      <c r="D8" s="829">
        <v>3</v>
      </c>
      <c r="E8" s="829" t="s">
        <v>32</v>
      </c>
      <c r="F8" s="982">
        <v>26.87</v>
      </c>
      <c r="G8" s="979"/>
      <c r="H8" s="979"/>
      <c r="I8" s="979"/>
      <c r="J8" s="979"/>
      <c r="K8" s="979"/>
      <c r="L8" s="979"/>
      <c r="M8" s="979"/>
      <c r="N8" s="979"/>
      <c r="O8" s="982">
        <v>21.94</v>
      </c>
      <c r="P8" s="979"/>
      <c r="Q8" s="979"/>
      <c r="R8" s="982">
        <v>1.08</v>
      </c>
      <c r="S8" s="979"/>
      <c r="T8" s="847">
        <f t="shared" si="0"/>
        <v>49.89</v>
      </c>
      <c r="U8" s="847">
        <f t="shared" ref="U8:U12" si="1">T8</f>
        <v>49.89</v>
      </c>
      <c r="V8" s="634" t="s">
        <v>446</v>
      </c>
      <c r="W8" s="472"/>
      <c r="X8" s="3"/>
      <c r="Y8" s="3"/>
      <c r="Z8" s="3"/>
      <c r="AA8" s="3"/>
    </row>
    <row r="9" spans="1:27" ht="162.75" customHeight="1">
      <c r="A9" s="736"/>
      <c r="B9" s="736"/>
      <c r="C9" s="736"/>
      <c r="D9" s="829">
        <v>4</v>
      </c>
      <c r="E9" s="829" t="s">
        <v>34</v>
      </c>
      <c r="F9" s="979"/>
      <c r="G9" s="979"/>
      <c r="H9" s="979"/>
      <c r="I9" s="979"/>
      <c r="J9" s="979"/>
      <c r="K9" s="881">
        <v>38.94</v>
      </c>
      <c r="L9" s="979"/>
      <c r="M9" s="983">
        <v>7.92</v>
      </c>
      <c r="N9" s="979"/>
      <c r="O9" s="881">
        <v>0</v>
      </c>
      <c r="P9" s="982">
        <v>21.094999999999999</v>
      </c>
      <c r="Q9" s="979"/>
      <c r="R9" s="979"/>
      <c r="S9" s="979"/>
      <c r="T9" s="847">
        <f t="shared" si="0"/>
        <v>67.954999999999998</v>
      </c>
      <c r="U9" s="847">
        <f t="shared" si="1"/>
        <v>67.954999999999998</v>
      </c>
      <c r="V9" s="634" t="s">
        <v>447</v>
      </c>
      <c r="W9" s="472"/>
      <c r="X9" s="3"/>
      <c r="Y9" s="3"/>
      <c r="Z9" s="3"/>
      <c r="AA9" s="3"/>
    </row>
    <row r="10" spans="1:27" ht="69" customHeight="1">
      <c r="A10" s="736"/>
      <c r="B10" s="736"/>
      <c r="C10" s="736"/>
      <c r="D10" s="829">
        <v>5</v>
      </c>
      <c r="E10" s="829" t="s">
        <v>36</v>
      </c>
      <c r="F10" s="979"/>
      <c r="G10" s="979"/>
      <c r="H10" s="979"/>
      <c r="I10" s="979"/>
      <c r="J10" s="979"/>
      <c r="K10" s="979"/>
      <c r="L10" s="979"/>
      <c r="M10" s="979"/>
      <c r="N10" s="979"/>
      <c r="O10" s="979"/>
      <c r="P10" s="983">
        <v>19.805</v>
      </c>
      <c r="Q10" s="979"/>
      <c r="R10" s="979"/>
      <c r="S10" s="979"/>
      <c r="T10" s="847">
        <f t="shared" si="0"/>
        <v>19.805</v>
      </c>
      <c r="U10" s="847">
        <f t="shared" si="1"/>
        <v>19.805</v>
      </c>
      <c r="V10" s="503" t="s">
        <v>448</v>
      </c>
      <c r="W10" s="472"/>
      <c r="X10" s="3"/>
      <c r="Y10" s="3"/>
      <c r="Z10" s="3"/>
      <c r="AA10" s="3"/>
    </row>
    <row r="11" spans="1:27" ht="110.25" customHeight="1">
      <c r="A11" s="736"/>
      <c r="B11" s="736"/>
      <c r="C11" s="736"/>
      <c r="D11" s="829">
        <v>6</v>
      </c>
      <c r="E11" s="829" t="s">
        <v>38</v>
      </c>
      <c r="F11" s="881">
        <v>0.36</v>
      </c>
      <c r="G11" s="979"/>
      <c r="H11" s="979"/>
      <c r="I11" s="979"/>
      <c r="J11" s="979"/>
      <c r="K11" s="979"/>
      <c r="L11" s="979"/>
      <c r="M11" s="979"/>
      <c r="N11" s="984"/>
      <c r="O11" s="881">
        <v>1.1200000000000001</v>
      </c>
      <c r="P11" s="982">
        <v>0.67</v>
      </c>
      <c r="Q11" s="979"/>
      <c r="R11" s="979"/>
      <c r="S11" s="979"/>
      <c r="T11" s="847">
        <f t="shared" si="0"/>
        <v>2.15</v>
      </c>
      <c r="U11" s="847">
        <f t="shared" si="1"/>
        <v>2.15</v>
      </c>
      <c r="V11" s="503" t="s">
        <v>449</v>
      </c>
      <c r="W11" s="472"/>
      <c r="X11" s="3"/>
      <c r="Y11" s="3"/>
      <c r="Z11" s="3"/>
      <c r="AA11" s="3"/>
    </row>
    <row r="12" spans="1:27" ht="83.25" customHeight="1">
      <c r="A12" s="736"/>
      <c r="B12" s="736"/>
      <c r="C12" s="736"/>
      <c r="D12" s="829">
        <v>7</v>
      </c>
      <c r="E12" s="829" t="s">
        <v>40</v>
      </c>
      <c r="F12" s="979"/>
      <c r="G12" s="979"/>
      <c r="H12" s="979"/>
      <c r="I12" s="979"/>
      <c r="J12" s="979"/>
      <c r="K12" s="979"/>
      <c r="L12" s="979"/>
      <c r="M12" s="979"/>
      <c r="N12" s="979"/>
      <c r="O12" s="979"/>
      <c r="P12" s="982">
        <v>0</v>
      </c>
      <c r="Q12" s="985">
        <v>1.25</v>
      </c>
      <c r="R12" s="881">
        <v>0.1</v>
      </c>
      <c r="S12" s="979"/>
      <c r="T12" s="847">
        <f t="shared" si="0"/>
        <v>1.35</v>
      </c>
      <c r="U12" s="847">
        <f t="shared" si="1"/>
        <v>1.35</v>
      </c>
      <c r="V12" s="634" t="s">
        <v>450</v>
      </c>
      <c r="W12" s="472"/>
      <c r="X12" s="3"/>
      <c r="Y12" s="3"/>
      <c r="Z12" s="3"/>
      <c r="AA12" s="3"/>
    </row>
    <row r="13" spans="1:27" ht="24.75" customHeight="1">
      <c r="A13" s="736"/>
      <c r="B13" s="736"/>
      <c r="C13" s="736"/>
      <c r="D13" s="829">
        <v>8</v>
      </c>
      <c r="E13" s="829" t="s">
        <v>42</v>
      </c>
      <c r="F13" s="979"/>
      <c r="G13" s="979"/>
      <c r="H13" s="979"/>
      <c r="I13" s="979"/>
      <c r="J13" s="979"/>
      <c r="K13" s="979"/>
      <c r="L13" s="979"/>
      <c r="M13" s="979"/>
      <c r="N13" s="783"/>
      <c r="O13" s="979"/>
      <c r="P13" s="979"/>
      <c r="Q13" s="979"/>
      <c r="R13" s="979"/>
      <c r="S13" s="979"/>
      <c r="T13" s="847">
        <f t="shared" si="0"/>
        <v>0</v>
      </c>
      <c r="U13" s="847">
        <f>T13*1.05</f>
        <v>0</v>
      </c>
      <c r="V13" s="503"/>
      <c r="W13" s="472"/>
      <c r="X13" s="3"/>
      <c r="Y13" s="3"/>
      <c r="Z13" s="3"/>
      <c r="AA13" s="3"/>
    </row>
    <row r="14" spans="1:27" ht="86.25" customHeight="1">
      <c r="A14" s="736"/>
      <c r="B14" s="736"/>
      <c r="C14" s="736"/>
      <c r="D14" s="829">
        <v>9</v>
      </c>
      <c r="E14" s="829" t="s">
        <v>43</v>
      </c>
      <c r="F14" s="979"/>
      <c r="G14" s="979"/>
      <c r="H14" s="979"/>
      <c r="I14" s="979"/>
      <c r="J14" s="979"/>
      <c r="K14" s="979"/>
      <c r="L14" s="979"/>
      <c r="M14" s="979"/>
      <c r="N14" s="983"/>
      <c r="O14" s="979"/>
      <c r="P14" s="836">
        <v>0.15851999999999999</v>
      </c>
      <c r="Q14" s="837"/>
      <c r="R14" s="837">
        <v>0.18</v>
      </c>
      <c r="S14" s="837"/>
      <c r="T14" s="847">
        <f t="shared" si="0"/>
        <v>0.33851999999999999</v>
      </c>
      <c r="U14" s="847">
        <f>T14</f>
        <v>0.33851999999999999</v>
      </c>
      <c r="V14" s="634" t="s">
        <v>451</v>
      </c>
      <c r="W14" s="472"/>
      <c r="X14" s="3"/>
      <c r="Y14" s="3"/>
      <c r="Z14" s="3"/>
      <c r="AA14" s="3"/>
    </row>
    <row r="15" spans="1:27" ht="86.25" customHeight="1">
      <c r="A15" s="736"/>
      <c r="B15" s="736"/>
      <c r="C15" s="736"/>
      <c r="D15" s="829">
        <v>10</v>
      </c>
      <c r="E15" s="829" t="s">
        <v>44</v>
      </c>
      <c r="F15" s="979"/>
      <c r="G15" s="979"/>
      <c r="H15" s="979"/>
      <c r="I15" s="981">
        <v>0.02</v>
      </c>
      <c r="J15" s="979"/>
      <c r="K15" s="979"/>
      <c r="L15" s="979"/>
      <c r="M15" s="979"/>
      <c r="N15" s="983">
        <v>0.82</v>
      </c>
      <c r="O15" s="979"/>
      <c r="P15" s="980"/>
      <c r="Q15" s="979"/>
      <c r="R15" s="979"/>
      <c r="S15" s="979"/>
      <c r="T15" s="847">
        <f t="shared" si="0"/>
        <v>0.84</v>
      </c>
      <c r="U15" s="847">
        <v>0.82</v>
      </c>
      <c r="V15" s="634" t="s">
        <v>1609</v>
      </c>
      <c r="W15" s="472"/>
      <c r="X15" s="3"/>
      <c r="Y15" s="3"/>
      <c r="Z15" s="3"/>
      <c r="AA15" s="3"/>
    </row>
    <row r="16" spans="1:27" ht="24.75" customHeight="1">
      <c r="A16" s="736"/>
      <c r="B16" s="736"/>
      <c r="C16" s="736"/>
      <c r="D16" s="829">
        <v>11</v>
      </c>
      <c r="E16" s="829" t="s">
        <v>45</v>
      </c>
      <c r="F16" s="979"/>
      <c r="G16" s="984"/>
      <c r="H16" s="984"/>
      <c r="I16" s="979"/>
      <c r="J16" s="979"/>
      <c r="K16" s="979"/>
      <c r="L16" s="979"/>
      <c r="M16" s="979"/>
      <c r="N16" s="979"/>
      <c r="O16" s="979"/>
      <c r="P16" s="979"/>
      <c r="Q16" s="979"/>
      <c r="R16" s="979"/>
      <c r="S16" s="979"/>
      <c r="T16" s="847">
        <f t="shared" si="0"/>
        <v>0</v>
      </c>
      <c r="U16" s="847">
        <v>0</v>
      </c>
      <c r="V16" s="503"/>
      <c r="W16" s="472"/>
      <c r="X16" s="3"/>
      <c r="Y16" s="3"/>
      <c r="Z16" s="3"/>
      <c r="AA16" s="3"/>
    </row>
    <row r="17" spans="1:27" ht="48.75" customHeight="1">
      <c r="A17" s="736"/>
      <c r="B17" s="736"/>
      <c r="C17" s="736"/>
      <c r="D17" s="829">
        <v>12</v>
      </c>
      <c r="E17" s="829" t="s">
        <v>46</v>
      </c>
      <c r="F17" s="979"/>
      <c r="G17" s="979"/>
      <c r="H17" s="979"/>
      <c r="I17" s="979"/>
      <c r="J17" s="979"/>
      <c r="K17" s="979"/>
      <c r="L17" s="979"/>
      <c r="M17" s="979"/>
      <c r="N17" s="983">
        <v>1</v>
      </c>
      <c r="O17" s="979"/>
      <c r="P17" s="979"/>
      <c r="Q17" s="979"/>
      <c r="R17" s="979"/>
      <c r="S17" s="979"/>
      <c r="T17" s="847">
        <f t="shared" si="0"/>
        <v>1</v>
      </c>
      <c r="U17" s="847">
        <v>2</v>
      </c>
      <c r="V17" s="634" t="s">
        <v>452</v>
      </c>
      <c r="W17" s="472"/>
      <c r="X17" s="3"/>
      <c r="Y17" s="3"/>
      <c r="Z17" s="3"/>
      <c r="AA17" s="3"/>
    </row>
    <row r="18" spans="1:27" ht="24.75" customHeight="1">
      <c r="A18" s="736"/>
      <c r="B18" s="736"/>
      <c r="C18" s="736"/>
      <c r="D18" s="829">
        <v>13</v>
      </c>
      <c r="E18" s="829" t="s">
        <v>48</v>
      </c>
      <c r="F18" s="979"/>
      <c r="G18" s="979"/>
      <c r="H18" s="979"/>
      <c r="I18" s="979"/>
      <c r="J18" s="979"/>
      <c r="K18" s="979"/>
      <c r="L18" s="979"/>
      <c r="M18" s="979"/>
      <c r="N18" s="979"/>
      <c r="O18" s="979"/>
      <c r="P18" s="984"/>
      <c r="Q18" s="979"/>
      <c r="R18" s="979"/>
      <c r="S18" s="979"/>
      <c r="T18" s="847">
        <f t="shared" si="0"/>
        <v>0</v>
      </c>
      <c r="U18" s="847">
        <v>0</v>
      </c>
      <c r="V18" s="503"/>
      <c r="W18" s="472"/>
      <c r="X18" s="3"/>
      <c r="Y18" s="3"/>
      <c r="Z18" s="3"/>
      <c r="AA18" s="3"/>
    </row>
    <row r="19" spans="1:27" ht="24.75" customHeight="1">
      <c r="A19" s="736"/>
      <c r="B19" s="736"/>
      <c r="C19" s="736"/>
      <c r="D19" s="829">
        <v>14</v>
      </c>
      <c r="E19" s="829" t="s">
        <v>49</v>
      </c>
      <c r="F19" s="979"/>
      <c r="G19" s="979"/>
      <c r="H19" s="979"/>
      <c r="I19" s="979"/>
      <c r="J19" s="979"/>
      <c r="K19" s="979"/>
      <c r="L19" s="979"/>
      <c r="M19" s="979"/>
      <c r="N19" s="979"/>
      <c r="O19" s="979"/>
      <c r="P19" s="979"/>
      <c r="Q19" s="979"/>
      <c r="R19" s="979"/>
      <c r="S19" s="979"/>
      <c r="T19" s="847">
        <f t="shared" si="0"/>
        <v>0</v>
      </c>
      <c r="U19" s="847">
        <v>0</v>
      </c>
      <c r="V19" s="503"/>
      <c r="W19" s="472"/>
      <c r="X19" s="3"/>
      <c r="Y19" s="3"/>
      <c r="Z19" s="3"/>
      <c r="AA19" s="3"/>
    </row>
    <row r="20" spans="1:27" ht="293.25">
      <c r="A20" s="736"/>
      <c r="B20" s="736"/>
      <c r="C20" s="736"/>
      <c r="D20" s="829">
        <v>15</v>
      </c>
      <c r="E20" s="829" t="s">
        <v>50</v>
      </c>
      <c r="F20" s="979"/>
      <c r="G20" s="979"/>
      <c r="H20" s="979"/>
      <c r="I20" s="982">
        <v>0.35</v>
      </c>
      <c r="J20" s="979"/>
      <c r="K20" s="979"/>
      <c r="L20" s="979"/>
      <c r="M20" s="979"/>
      <c r="N20" s="983">
        <v>0.75</v>
      </c>
      <c r="O20" s="979"/>
      <c r="P20" s="982">
        <v>3</v>
      </c>
      <c r="Q20" s="984"/>
      <c r="R20" s="980"/>
      <c r="S20" s="979"/>
      <c r="T20" s="847">
        <f t="shared" si="0"/>
        <v>4.0999999999999996</v>
      </c>
      <c r="U20" s="847">
        <f>0.38+1+1+2</f>
        <v>4.38</v>
      </c>
      <c r="V20" s="634" t="s">
        <v>453</v>
      </c>
      <c r="W20" s="472"/>
      <c r="X20" s="3"/>
      <c r="Y20" s="3"/>
      <c r="Z20" s="3"/>
      <c r="AA20" s="3"/>
    </row>
    <row r="21" spans="1:27" ht="24.75" customHeight="1">
      <c r="A21" s="736"/>
      <c r="B21" s="736"/>
      <c r="C21" s="736"/>
      <c r="D21" s="829">
        <v>16</v>
      </c>
      <c r="E21" s="829" t="s">
        <v>51</v>
      </c>
      <c r="F21" s="979"/>
      <c r="G21" s="979"/>
      <c r="H21" s="979"/>
      <c r="I21" s="979"/>
      <c r="J21" s="979"/>
      <c r="K21" s="979"/>
      <c r="L21" s="979"/>
      <c r="M21" s="979"/>
      <c r="N21" s="979"/>
      <c r="O21" s="979"/>
      <c r="P21" s="979"/>
      <c r="Q21" s="979"/>
      <c r="R21" s="979"/>
      <c r="S21" s="979"/>
      <c r="T21" s="847">
        <f t="shared" si="0"/>
        <v>0</v>
      </c>
      <c r="U21" s="847">
        <f>T21*1.05</f>
        <v>0</v>
      </c>
      <c r="V21" s="503"/>
      <c r="W21" s="472"/>
      <c r="X21" s="3"/>
      <c r="Y21" s="3"/>
      <c r="Z21" s="3"/>
      <c r="AA21" s="3"/>
    </row>
    <row r="22" spans="1:27" ht="24.75" customHeight="1">
      <c r="A22" s="736"/>
      <c r="B22" s="736"/>
      <c r="C22" s="736"/>
      <c r="D22" s="829">
        <v>17</v>
      </c>
      <c r="E22" s="829" t="s">
        <v>52</v>
      </c>
      <c r="F22" s="979"/>
      <c r="G22" s="979"/>
      <c r="H22" s="979"/>
      <c r="I22" s="783"/>
      <c r="J22" s="979"/>
      <c r="K22" s="979"/>
      <c r="L22" s="979"/>
      <c r="M22" s="979"/>
      <c r="N22" s="983"/>
      <c r="O22" s="979"/>
      <c r="P22" s="982">
        <v>1.5</v>
      </c>
      <c r="Q22" s="980">
        <v>2.4500000000000002</v>
      </c>
      <c r="R22" s="979"/>
      <c r="S22" s="984"/>
      <c r="T22" s="847">
        <f t="shared" si="0"/>
        <v>3.95</v>
      </c>
      <c r="U22" s="728">
        <f>T22+0.5</f>
        <v>4.45</v>
      </c>
      <c r="V22" s="503" t="s">
        <v>454</v>
      </c>
      <c r="W22" s="472"/>
      <c r="X22" s="3"/>
      <c r="Y22" s="3"/>
      <c r="Z22" s="3"/>
      <c r="AA22" s="3"/>
    </row>
    <row r="23" spans="1:27" ht="45" customHeight="1">
      <c r="A23" s="736"/>
      <c r="B23" s="736"/>
      <c r="C23" s="736"/>
      <c r="D23" s="829">
        <v>18</v>
      </c>
      <c r="E23" s="829" t="s">
        <v>53</v>
      </c>
      <c r="F23" s="979"/>
      <c r="G23" s="979"/>
      <c r="H23" s="979"/>
      <c r="I23" s="979"/>
      <c r="J23" s="979"/>
      <c r="K23" s="979"/>
      <c r="L23" s="979"/>
      <c r="M23" s="979"/>
      <c r="N23" s="979"/>
      <c r="O23" s="979"/>
      <c r="P23" s="982">
        <v>2.16</v>
      </c>
      <c r="Q23" s="984"/>
      <c r="R23" s="979"/>
      <c r="S23" s="984"/>
      <c r="T23" s="847">
        <f t="shared" si="0"/>
        <v>2.16</v>
      </c>
      <c r="U23" s="847">
        <f>T23</f>
        <v>2.16</v>
      </c>
      <c r="V23" s="634" t="s">
        <v>1610</v>
      </c>
      <c r="W23" s="472"/>
      <c r="X23" s="3"/>
      <c r="Y23" s="3"/>
      <c r="Z23" s="3"/>
      <c r="AA23" s="3"/>
    </row>
    <row r="24" spans="1:27" ht="24.75" customHeight="1">
      <c r="A24" s="736"/>
      <c r="B24" s="828" t="s">
        <v>54</v>
      </c>
      <c r="C24" s="828" t="s">
        <v>55</v>
      </c>
      <c r="D24" s="829">
        <v>19</v>
      </c>
      <c r="E24" s="829" t="s">
        <v>55</v>
      </c>
      <c r="F24" s="979"/>
      <c r="G24" s="979"/>
      <c r="H24" s="979"/>
      <c r="I24" s="979"/>
      <c r="J24" s="979"/>
      <c r="K24" s="979"/>
      <c r="L24" s="979"/>
      <c r="M24" s="979"/>
      <c r="N24" s="979"/>
      <c r="O24" s="979"/>
      <c r="P24" s="979"/>
      <c r="Q24" s="979"/>
      <c r="R24" s="979"/>
      <c r="S24" s="979"/>
      <c r="T24" s="847">
        <f t="shared" si="0"/>
        <v>0</v>
      </c>
      <c r="U24" s="847">
        <v>0</v>
      </c>
      <c r="V24" s="503"/>
      <c r="W24" s="472"/>
      <c r="X24" s="3"/>
      <c r="Y24" s="3"/>
      <c r="Z24" s="3"/>
      <c r="AA24" s="3"/>
    </row>
    <row r="25" spans="1:27" ht="42" customHeight="1">
      <c r="A25" s="736"/>
      <c r="B25" s="736"/>
      <c r="C25" s="736"/>
      <c r="D25" s="829">
        <v>20</v>
      </c>
      <c r="E25" s="829" t="s">
        <v>56</v>
      </c>
      <c r="F25" s="979"/>
      <c r="G25" s="979"/>
      <c r="H25" s="979"/>
      <c r="I25" s="979"/>
      <c r="J25" s="979"/>
      <c r="K25" s="979"/>
      <c r="L25" s="979"/>
      <c r="M25" s="979"/>
      <c r="N25" s="979"/>
      <c r="O25" s="979"/>
      <c r="P25" s="979"/>
      <c r="Q25" s="983">
        <v>0.4</v>
      </c>
      <c r="R25" s="979"/>
      <c r="S25" s="979"/>
      <c r="T25" s="847">
        <f t="shared" si="0"/>
        <v>0.4</v>
      </c>
      <c r="U25" s="847">
        <f>0.4</f>
        <v>0.4</v>
      </c>
      <c r="V25" s="504" t="s">
        <v>455</v>
      </c>
      <c r="W25" s="472"/>
      <c r="X25" s="3"/>
      <c r="Y25" s="3"/>
      <c r="Z25" s="3"/>
      <c r="AA25" s="3"/>
    </row>
    <row r="26" spans="1:27" ht="294" customHeight="1">
      <c r="A26" s="736"/>
      <c r="B26" s="828" t="s">
        <v>58</v>
      </c>
      <c r="C26" s="828" t="s">
        <v>59</v>
      </c>
      <c r="D26" s="829">
        <v>21</v>
      </c>
      <c r="E26" s="829" t="s">
        <v>60</v>
      </c>
      <c r="F26" s="986"/>
      <c r="G26" s="986"/>
      <c r="H26" s="987"/>
      <c r="I26" s="988">
        <v>1.1399999999999999</v>
      </c>
      <c r="J26" s="986"/>
      <c r="K26" s="989"/>
      <c r="L26" s="986"/>
      <c r="M26" s="986"/>
      <c r="N26" s="988">
        <f>1+0.42+0.25</f>
        <v>1.67</v>
      </c>
      <c r="O26" s="986"/>
      <c r="P26" s="990">
        <f>12.6+2.196</f>
        <v>14.795999999999999</v>
      </c>
      <c r="Q26" s="990">
        <v>0.14249999999999999</v>
      </c>
      <c r="R26" s="988">
        <v>0.5</v>
      </c>
      <c r="S26" s="986"/>
      <c r="T26" s="847">
        <f t="shared" si="0"/>
        <v>18.248499999999996</v>
      </c>
      <c r="U26" s="728">
        <f>I26+N26+P26+Q26+R26</f>
        <v>18.248499999999996</v>
      </c>
      <c r="V26" s="634" t="s">
        <v>456</v>
      </c>
      <c r="W26" s="472"/>
      <c r="X26" s="3"/>
      <c r="Y26" s="3"/>
      <c r="Z26" s="3"/>
      <c r="AA26" s="3"/>
    </row>
    <row r="27" spans="1:27" ht="186" customHeight="1">
      <c r="A27" s="736"/>
      <c r="B27" s="736"/>
      <c r="C27" s="736"/>
      <c r="D27" s="829">
        <v>22</v>
      </c>
      <c r="E27" s="829" t="s">
        <v>62</v>
      </c>
      <c r="F27" s="991"/>
      <c r="G27" s="992"/>
      <c r="H27" s="993"/>
      <c r="I27" s="882">
        <f>227330/100000</f>
        <v>2.2732999999999999</v>
      </c>
      <c r="J27" s="992"/>
      <c r="K27" s="992"/>
      <c r="L27" s="992"/>
      <c r="M27" s="993">
        <v>1</v>
      </c>
      <c r="N27" s="992"/>
      <c r="O27" s="992"/>
      <c r="P27" s="993">
        <f>77.233+1.2</f>
        <v>78.433000000000007</v>
      </c>
      <c r="Q27" s="993">
        <v>1</v>
      </c>
      <c r="R27" s="994"/>
      <c r="S27" s="992"/>
      <c r="T27" s="847">
        <f t="shared" si="0"/>
        <v>82.706300000000013</v>
      </c>
      <c r="U27" s="728">
        <f>M27+P27+Q27</f>
        <v>80.433000000000007</v>
      </c>
      <c r="V27" s="504" t="s">
        <v>457</v>
      </c>
      <c r="W27" s="472"/>
      <c r="X27" s="3"/>
      <c r="Y27" s="3"/>
      <c r="Z27" s="3"/>
      <c r="AA27" s="3"/>
    </row>
    <row r="28" spans="1:27" ht="147.75" customHeight="1">
      <c r="A28" s="736"/>
      <c r="B28" s="736"/>
      <c r="C28" s="736"/>
      <c r="D28" s="829">
        <v>23</v>
      </c>
      <c r="E28" s="829" t="s">
        <v>64</v>
      </c>
      <c r="F28" s="992"/>
      <c r="G28" s="995"/>
      <c r="H28" s="992"/>
      <c r="I28" s="992"/>
      <c r="J28" s="992"/>
      <c r="K28" s="996"/>
      <c r="L28" s="992"/>
      <c r="M28" s="992"/>
      <c r="N28" s="995">
        <v>0.11</v>
      </c>
      <c r="O28" s="997">
        <v>32.729999999999997</v>
      </c>
      <c r="P28" s="992"/>
      <c r="Q28" s="993"/>
      <c r="R28" s="992"/>
      <c r="S28" s="992"/>
      <c r="T28" s="847">
        <f t="shared" si="0"/>
        <v>32.839999999999996</v>
      </c>
      <c r="U28" s="728">
        <f>T28</f>
        <v>32.839999999999996</v>
      </c>
      <c r="V28" s="505" t="s">
        <v>458</v>
      </c>
      <c r="W28" s="472"/>
      <c r="X28" s="3"/>
      <c r="Y28" s="3"/>
      <c r="Z28" s="3"/>
      <c r="AA28" s="3"/>
    </row>
    <row r="29" spans="1:27" ht="183.75" customHeight="1">
      <c r="A29" s="736"/>
      <c r="B29" s="736"/>
      <c r="C29" s="736"/>
      <c r="D29" s="829">
        <v>24</v>
      </c>
      <c r="E29" s="829" t="s">
        <v>66</v>
      </c>
      <c r="F29" s="992"/>
      <c r="G29" s="992"/>
      <c r="H29" s="991"/>
      <c r="I29" s="992"/>
      <c r="J29" s="992"/>
      <c r="K29" s="992"/>
      <c r="L29" s="992"/>
      <c r="M29" s="992"/>
      <c r="N29" s="919">
        <f>1+0.688+0.688+0.5+2</f>
        <v>4.8759999999999994</v>
      </c>
      <c r="O29" s="991"/>
      <c r="P29" s="995">
        <v>8.25</v>
      </c>
      <c r="Q29" s="994">
        <v>1</v>
      </c>
      <c r="R29" s="992"/>
      <c r="S29" s="992"/>
      <c r="T29" s="847">
        <f t="shared" si="0"/>
        <v>14.125999999999999</v>
      </c>
      <c r="U29" s="920">
        <v>16.125999999999998</v>
      </c>
      <c r="V29" s="503" t="s">
        <v>459</v>
      </c>
      <c r="W29" s="472"/>
      <c r="X29" s="3"/>
      <c r="Y29" s="3"/>
      <c r="Z29" s="3"/>
      <c r="AA29" s="3"/>
    </row>
    <row r="30" spans="1:27" ht="82.5" customHeight="1">
      <c r="A30" s="736"/>
      <c r="B30" s="736"/>
      <c r="C30" s="736"/>
      <c r="D30" s="829">
        <v>25</v>
      </c>
      <c r="E30" s="829" t="s">
        <v>68</v>
      </c>
      <c r="F30" s="992"/>
      <c r="G30" s="992"/>
      <c r="H30" s="992"/>
      <c r="I30" s="992"/>
      <c r="J30" s="992"/>
      <c r="K30" s="992"/>
      <c r="L30" s="992"/>
      <c r="M30" s="992"/>
      <c r="N30" s="994">
        <v>0.5</v>
      </c>
      <c r="O30" s="998">
        <v>6.3500000000000001E-2</v>
      </c>
      <c r="P30" s="992">
        <v>0.88400000000000001</v>
      </c>
      <c r="Q30" s="995"/>
      <c r="R30" s="992"/>
      <c r="S30" s="992"/>
      <c r="T30" s="847">
        <f t="shared" si="0"/>
        <v>1.4475</v>
      </c>
      <c r="U30" s="728">
        <f>T30</f>
        <v>1.4475</v>
      </c>
      <c r="V30" s="503" t="s">
        <v>460</v>
      </c>
      <c r="W30" s="472"/>
      <c r="X30" s="3"/>
      <c r="Y30" s="3"/>
      <c r="Z30" s="3"/>
      <c r="AA30" s="3"/>
    </row>
    <row r="31" spans="1:27" ht="99.75" customHeight="1">
      <c r="A31" s="736"/>
      <c r="B31" s="736"/>
      <c r="C31" s="736"/>
      <c r="D31" s="829">
        <v>26</v>
      </c>
      <c r="E31" s="829" t="s">
        <v>70</v>
      </c>
      <c r="F31" s="992"/>
      <c r="G31" s="992"/>
      <c r="H31" s="992"/>
      <c r="I31" s="996"/>
      <c r="J31" s="992"/>
      <c r="K31" s="992"/>
      <c r="L31" s="992"/>
      <c r="M31" s="992"/>
      <c r="N31" s="994">
        <v>2.5499999999999998</v>
      </c>
      <c r="O31" s="992"/>
      <c r="P31" s="992"/>
      <c r="Q31" s="919">
        <v>3.2</v>
      </c>
      <c r="R31" s="922">
        <v>0.2</v>
      </c>
      <c r="S31" s="992"/>
      <c r="T31" s="847">
        <f t="shared" si="0"/>
        <v>5.95</v>
      </c>
      <c r="U31" s="728">
        <f>T31-0.2</f>
        <v>5.75</v>
      </c>
      <c r="V31" s="503" t="s">
        <v>461</v>
      </c>
      <c r="W31" s="472"/>
      <c r="X31" s="3"/>
      <c r="Y31" s="3"/>
      <c r="Z31" s="3"/>
      <c r="AA31" s="3"/>
    </row>
    <row r="32" spans="1:27" ht="127.5">
      <c r="A32" s="736"/>
      <c r="B32" s="736"/>
      <c r="C32" s="736"/>
      <c r="D32" s="829">
        <v>27</v>
      </c>
      <c r="E32" s="829" t="s">
        <v>72</v>
      </c>
      <c r="F32" s="992"/>
      <c r="G32" s="992"/>
      <c r="H32" s="991"/>
      <c r="I32" s="999"/>
      <c r="J32" s="992"/>
      <c r="K32" s="992"/>
      <c r="L32" s="992"/>
      <c r="M32" s="992"/>
      <c r="N32" s="999">
        <v>1</v>
      </c>
      <c r="O32" s="991"/>
      <c r="P32" s="997">
        <v>3</v>
      </c>
      <c r="Q32" s="992"/>
      <c r="R32" s="992"/>
      <c r="S32" s="992"/>
      <c r="T32" s="847">
        <f t="shared" si="0"/>
        <v>4</v>
      </c>
      <c r="U32" s="847">
        <f>T32</f>
        <v>4</v>
      </c>
      <c r="V32" s="505" t="s">
        <v>462</v>
      </c>
      <c r="W32" s="472"/>
      <c r="X32" s="3"/>
      <c r="Y32" s="3"/>
      <c r="Z32" s="3"/>
      <c r="AA32" s="3"/>
    </row>
    <row r="33" spans="1:27" ht="75">
      <c r="A33" s="736"/>
      <c r="B33" s="736"/>
      <c r="C33" s="736"/>
      <c r="D33" s="829">
        <v>28</v>
      </c>
      <c r="E33" s="829" t="s">
        <v>34</v>
      </c>
      <c r="F33" s="992"/>
      <c r="G33" s="992"/>
      <c r="H33" s="992"/>
      <c r="I33" s="992"/>
      <c r="J33" s="992"/>
      <c r="K33" s="999">
        <v>1.1879999999999999</v>
      </c>
      <c r="L33" s="992"/>
      <c r="M33" s="1000">
        <v>1.1879999999999999</v>
      </c>
      <c r="N33" s="992"/>
      <c r="O33" s="992"/>
      <c r="P33" s="992"/>
      <c r="Q33" s="992"/>
      <c r="R33" s="992"/>
      <c r="S33" s="992"/>
      <c r="T33" s="847">
        <f t="shared" si="0"/>
        <v>2.3759999999999999</v>
      </c>
      <c r="U33" s="847">
        <f>2.38</f>
        <v>2.38</v>
      </c>
      <c r="V33" s="634" t="s">
        <v>1611</v>
      </c>
      <c r="W33" s="472"/>
      <c r="X33" s="3"/>
      <c r="Y33" s="3"/>
      <c r="Z33" s="3"/>
      <c r="AA33" s="3"/>
    </row>
    <row r="34" spans="1:27" ht="60">
      <c r="A34" s="736"/>
      <c r="B34" s="736"/>
      <c r="C34" s="736"/>
      <c r="D34" s="829">
        <v>29</v>
      </c>
      <c r="E34" s="829" t="s">
        <v>36</v>
      </c>
      <c r="F34" s="992"/>
      <c r="G34" s="992"/>
      <c r="H34" s="992"/>
      <c r="I34" s="992"/>
      <c r="J34" s="992"/>
      <c r="K34" s="992"/>
      <c r="L34" s="992"/>
      <c r="M34" s="992"/>
      <c r="N34" s="992"/>
      <c r="O34" s="992"/>
      <c r="P34" s="1000">
        <v>2.97</v>
      </c>
      <c r="Q34" s="992"/>
      <c r="R34" s="992"/>
      <c r="S34" s="992"/>
      <c r="T34" s="847">
        <f t="shared" si="0"/>
        <v>2.97</v>
      </c>
      <c r="U34" s="847">
        <f t="shared" ref="U34:U35" si="2">T34</f>
        <v>2.97</v>
      </c>
      <c r="V34" s="634" t="s">
        <v>1612</v>
      </c>
      <c r="W34" s="472"/>
      <c r="X34" s="3"/>
      <c r="Y34" s="3"/>
      <c r="Z34" s="3"/>
      <c r="AA34" s="3"/>
    </row>
    <row r="35" spans="1:27" ht="84.75" customHeight="1">
      <c r="A35" s="736"/>
      <c r="B35" s="736"/>
      <c r="C35" s="736"/>
      <c r="D35" s="829">
        <v>30</v>
      </c>
      <c r="E35" s="829" t="s">
        <v>74</v>
      </c>
      <c r="F35" s="992"/>
      <c r="G35" s="992"/>
      <c r="H35" s="992"/>
      <c r="I35" s="994"/>
      <c r="J35" s="992"/>
      <c r="K35" s="992"/>
      <c r="L35" s="992"/>
      <c r="M35" s="992"/>
      <c r="N35" s="992"/>
      <c r="O35" s="992"/>
      <c r="P35" s="992"/>
      <c r="Q35" s="994">
        <v>2.09</v>
      </c>
      <c r="R35" s="922">
        <v>1.75</v>
      </c>
      <c r="S35" s="992"/>
      <c r="T35" s="847">
        <f t="shared" si="0"/>
        <v>3.84</v>
      </c>
      <c r="U35" s="847">
        <f t="shared" si="2"/>
        <v>3.84</v>
      </c>
      <c r="V35" s="506" t="s">
        <v>463</v>
      </c>
      <c r="W35" s="472"/>
      <c r="X35" s="3"/>
      <c r="Y35" s="3"/>
      <c r="Z35" s="3"/>
      <c r="AA35" s="3"/>
    </row>
    <row r="36" spans="1:27" ht="24.75" customHeight="1">
      <c r="A36" s="736"/>
      <c r="B36" s="736"/>
      <c r="C36" s="736"/>
      <c r="D36" s="829">
        <v>31</v>
      </c>
      <c r="E36" s="829" t="s">
        <v>53</v>
      </c>
      <c r="F36" s="992"/>
      <c r="G36" s="992"/>
      <c r="H36" s="992"/>
      <c r="I36" s="992"/>
      <c r="J36" s="992"/>
      <c r="K36" s="992"/>
      <c r="L36" s="992"/>
      <c r="M36" s="992"/>
      <c r="N36" s="992"/>
      <c r="O36" s="992"/>
      <c r="P36" s="992"/>
      <c r="Q36" s="992"/>
      <c r="R36" s="992"/>
      <c r="S36" s="992"/>
      <c r="T36" s="847">
        <f t="shared" si="0"/>
        <v>0</v>
      </c>
      <c r="U36" s="847"/>
      <c r="V36" s="507"/>
      <c r="W36" s="472"/>
      <c r="X36" s="3"/>
      <c r="Y36" s="3"/>
      <c r="Z36" s="3"/>
      <c r="AA36" s="3"/>
    </row>
    <row r="37" spans="1:27" ht="51.75" customHeight="1">
      <c r="A37" s="736"/>
      <c r="B37" s="828" t="s">
        <v>76</v>
      </c>
      <c r="C37" s="828" t="s">
        <v>77</v>
      </c>
      <c r="D37" s="829">
        <v>32</v>
      </c>
      <c r="E37" s="829" t="s">
        <v>78</v>
      </c>
      <c r="F37" s="979"/>
      <c r="G37" s="979"/>
      <c r="H37" s="979"/>
      <c r="I37" s="783"/>
      <c r="J37" s="979"/>
      <c r="K37" s="979"/>
      <c r="L37" s="979"/>
      <c r="M37" s="783"/>
      <c r="N37" s="983">
        <v>3.6520000000000001</v>
      </c>
      <c r="O37" s="982">
        <v>24.681650000000001</v>
      </c>
      <c r="P37" s="982">
        <v>10.828239999999999</v>
      </c>
      <c r="Q37" s="983">
        <v>1.4</v>
      </c>
      <c r="R37" s="845">
        <v>4.2960000000000003</v>
      </c>
      <c r="S37" s="1001">
        <v>2.92</v>
      </c>
      <c r="T37" s="847">
        <f t="shared" si="0"/>
        <v>47.777889999999999</v>
      </c>
      <c r="U37" s="847">
        <f>T37-0.4635</f>
        <v>47.314389999999996</v>
      </c>
      <c r="V37" s="506" t="s">
        <v>464</v>
      </c>
      <c r="W37" s="472"/>
      <c r="X37" s="3"/>
      <c r="Y37" s="3"/>
      <c r="Z37" s="3"/>
      <c r="AA37" s="3"/>
    </row>
    <row r="38" spans="1:27" ht="42.75" customHeight="1">
      <c r="A38" s="736"/>
      <c r="B38" s="736"/>
      <c r="C38" s="736"/>
      <c r="D38" s="829">
        <v>33</v>
      </c>
      <c r="E38" s="829" t="s">
        <v>80</v>
      </c>
      <c r="F38" s="979"/>
      <c r="G38" s="979"/>
      <c r="H38" s="979"/>
      <c r="I38" s="979"/>
      <c r="J38" s="979"/>
      <c r="K38" s="979"/>
      <c r="L38" s="979"/>
      <c r="M38" s="979"/>
      <c r="N38" s="979"/>
      <c r="O38" s="979"/>
      <c r="P38" s="979"/>
      <c r="Q38" s="979"/>
      <c r="R38" s="979"/>
      <c r="S38" s="979"/>
      <c r="T38" s="847">
        <f t="shared" si="0"/>
        <v>0</v>
      </c>
      <c r="U38" s="847">
        <v>0</v>
      </c>
      <c r="V38" s="503"/>
      <c r="W38" s="472"/>
      <c r="X38" s="3"/>
      <c r="Y38" s="3"/>
      <c r="Z38" s="3"/>
      <c r="AA38" s="3"/>
    </row>
    <row r="39" spans="1:27" ht="46.5" customHeight="1">
      <c r="A39" s="736"/>
      <c r="B39" s="736"/>
      <c r="C39" s="736"/>
      <c r="D39" s="829">
        <v>34</v>
      </c>
      <c r="E39" s="829" t="s">
        <v>81</v>
      </c>
      <c r="F39" s="979"/>
      <c r="G39" s="979"/>
      <c r="H39" s="979"/>
      <c r="I39" s="979"/>
      <c r="J39" s="979"/>
      <c r="K39" s="979"/>
      <c r="L39" s="979"/>
      <c r="M39" s="979"/>
      <c r="N39" s="783"/>
      <c r="O39" s="979"/>
      <c r="P39" s="984"/>
      <c r="Q39" s="979"/>
      <c r="R39" s="979"/>
      <c r="S39" s="979"/>
      <c r="T39" s="847">
        <f t="shared" si="0"/>
        <v>0</v>
      </c>
      <c r="U39" s="847">
        <v>0</v>
      </c>
      <c r="V39" s="503"/>
      <c r="W39" s="472"/>
      <c r="X39" s="3"/>
      <c r="Y39" s="3"/>
      <c r="Z39" s="3"/>
      <c r="AA39" s="3"/>
    </row>
    <row r="40" spans="1:27" ht="242.25">
      <c r="A40" s="736"/>
      <c r="B40" s="828" t="s">
        <v>82</v>
      </c>
      <c r="C40" s="828" t="s">
        <v>83</v>
      </c>
      <c r="D40" s="829">
        <v>35</v>
      </c>
      <c r="E40" s="829" t="s">
        <v>84</v>
      </c>
      <c r="F40" s="967"/>
      <c r="G40" s="967"/>
      <c r="H40" s="967"/>
      <c r="I40" s="956"/>
      <c r="J40" s="967"/>
      <c r="K40" s="967"/>
      <c r="L40" s="967"/>
      <c r="M40" s="967"/>
      <c r="N40" s="956">
        <v>1.2</v>
      </c>
      <c r="O40" s="967"/>
      <c r="P40" s="957">
        <f>1.2+3.84+2.5+0.21+0.1</f>
        <v>7.85</v>
      </c>
      <c r="Q40" s="1002">
        <v>0.25</v>
      </c>
      <c r="R40" s="955"/>
      <c r="S40" s="967"/>
      <c r="T40" s="847">
        <f t="shared" si="0"/>
        <v>9.2999999999999989</v>
      </c>
      <c r="U40" s="728">
        <f>T40</f>
        <v>9.2999999999999989</v>
      </c>
      <c r="V40" s="506" t="s">
        <v>1613</v>
      </c>
      <c r="W40" s="472"/>
      <c r="X40" s="3"/>
      <c r="Y40" s="3"/>
      <c r="Z40" s="3"/>
      <c r="AA40" s="3"/>
    </row>
    <row r="41" spans="1:27" ht="44.25" customHeight="1">
      <c r="A41" s="736"/>
      <c r="B41" s="736"/>
      <c r="C41" s="736"/>
      <c r="D41" s="829">
        <v>36</v>
      </c>
      <c r="E41" s="829" t="s">
        <v>85</v>
      </c>
      <c r="F41" s="967"/>
      <c r="G41" s="967"/>
      <c r="H41" s="967"/>
      <c r="I41" s="967"/>
      <c r="J41" s="967"/>
      <c r="K41" s="1003"/>
      <c r="L41" s="967"/>
      <c r="M41" s="967"/>
      <c r="N41" s="956">
        <v>0.5</v>
      </c>
      <c r="O41" s="967"/>
      <c r="P41" s="967"/>
      <c r="Q41" s="967"/>
      <c r="R41" s="967"/>
      <c r="S41" s="967"/>
      <c r="T41" s="847">
        <f t="shared" si="0"/>
        <v>0.5</v>
      </c>
      <c r="U41" s="847">
        <v>0.5</v>
      </c>
      <c r="V41" s="506" t="s">
        <v>1614</v>
      </c>
      <c r="W41" s="472"/>
      <c r="X41" s="3"/>
      <c r="Y41" s="3"/>
      <c r="Z41" s="3"/>
      <c r="AA41" s="3"/>
    </row>
    <row r="42" spans="1:27" ht="48.75" customHeight="1">
      <c r="A42" s="736"/>
      <c r="B42" s="736"/>
      <c r="C42" s="736"/>
      <c r="D42" s="829">
        <v>37</v>
      </c>
      <c r="E42" s="829" t="s">
        <v>86</v>
      </c>
      <c r="F42" s="967"/>
      <c r="G42" s="967"/>
      <c r="H42" s="967"/>
      <c r="I42" s="967"/>
      <c r="J42" s="967"/>
      <c r="K42" s="1003"/>
      <c r="L42" s="967"/>
      <c r="M42" s="967"/>
      <c r="N42" s="967"/>
      <c r="O42" s="967"/>
      <c r="P42" s="967"/>
      <c r="Q42" s="967"/>
      <c r="R42" s="967"/>
      <c r="S42" s="967"/>
      <c r="T42" s="847">
        <f t="shared" si="0"/>
        <v>0</v>
      </c>
      <c r="U42" s="847">
        <v>0</v>
      </c>
      <c r="V42" s="506"/>
      <c r="W42" s="472"/>
      <c r="X42" s="3"/>
      <c r="Y42" s="3"/>
      <c r="Z42" s="3"/>
      <c r="AA42" s="3"/>
    </row>
    <row r="43" spans="1:27" ht="204">
      <c r="A43" s="736"/>
      <c r="B43" s="736"/>
      <c r="C43" s="736"/>
      <c r="D43" s="829">
        <v>38</v>
      </c>
      <c r="E43" s="829" t="s">
        <v>87</v>
      </c>
      <c r="F43" s="967"/>
      <c r="G43" s="967"/>
      <c r="H43" s="967"/>
      <c r="I43" s="967"/>
      <c r="J43" s="967"/>
      <c r="K43" s="967"/>
      <c r="L43" s="967"/>
      <c r="M43" s="967"/>
      <c r="N43" s="956">
        <v>7</v>
      </c>
      <c r="O43" s="1002">
        <v>0.32</v>
      </c>
      <c r="P43" s="957">
        <v>13.6</v>
      </c>
      <c r="Q43" s="1002">
        <v>1.4</v>
      </c>
      <c r="R43" s="955"/>
      <c r="S43" s="967"/>
      <c r="T43" s="847">
        <f t="shared" si="0"/>
        <v>22.32</v>
      </c>
      <c r="U43" s="847">
        <v>22.32</v>
      </c>
      <c r="V43" s="506" t="s">
        <v>1615</v>
      </c>
      <c r="W43" s="472"/>
      <c r="X43" s="3"/>
      <c r="Y43" s="3"/>
      <c r="Z43" s="3"/>
      <c r="AA43" s="3"/>
    </row>
    <row r="44" spans="1:27" ht="59.25" customHeight="1">
      <c r="A44" s="736"/>
      <c r="B44" s="736"/>
      <c r="C44" s="736"/>
      <c r="D44" s="829">
        <v>39</v>
      </c>
      <c r="E44" s="829" t="s">
        <v>88</v>
      </c>
      <c r="F44" s="967"/>
      <c r="G44" s="967"/>
      <c r="H44" s="967"/>
      <c r="I44" s="967"/>
      <c r="J44" s="967"/>
      <c r="K44" s="967"/>
      <c r="L44" s="967"/>
      <c r="M44" s="967"/>
      <c r="N44" s="1004">
        <v>1</v>
      </c>
      <c r="O44" s="967"/>
      <c r="P44" s="957">
        <v>0.4</v>
      </c>
      <c r="Q44" s="498"/>
      <c r="R44" s="967"/>
      <c r="S44" s="967"/>
      <c r="T44" s="847">
        <f t="shared" si="0"/>
        <v>1.4</v>
      </c>
      <c r="U44" s="847">
        <v>1.4</v>
      </c>
      <c r="V44" s="506" t="s">
        <v>465</v>
      </c>
      <c r="W44" s="472"/>
      <c r="X44" s="3"/>
      <c r="Y44" s="3"/>
      <c r="Z44" s="3"/>
      <c r="AA44" s="3"/>
    </row>
    <row r="45" spans="1:27" ht="145.5" customHeight="1">
      <c r="A45" s="736"/>
      <c r="B45" s="736"/>
      <c r="C45" s="736"/>
      <c r="D45" s="829">
        <v>40</v>
      </c>
      <c r="E45" s="829" t="s">
        <v>89</v>
      </c>
      <c r="F45" s="967"/>
      <c r="G45" s="967"/>
      <c r="H45" s="967"/>
      <c r="I45" s="967"/>
      <c r="J45" s="967"/>
      <c r="K45" s="967"/>
      <c r="L45" s="967"/>
      <c r="M45" s="967"/>
      <c r="N45" s="925">
        <v>0.11</v>
      </c>
      <c r="O45" s="967"/>
      <c r="P45" s="957"/>
      <c r="Q45" s="956">
        <f>0.52+1.475</f>
        <v>1.9950000000000001</v>
      </c>
      <c r="R45" s="957"/>
      <c r="S45" s="967"/>
      <c r="T45" s="847">
        <f t="shared" si="0"/>
        <v>2.105</v>
      </c>
      <c r="U45" s="847">
        <v>2.1</v>
      </c>
      <c r="V45" s="506" t="s">
        <v>1616</v>
      </c>
      <c r="W45" s="472"/>
      <c r="X45" s="3"/>
      <c r="Y45" s="3"/>
      <c r="Z45" s="3"/>
      <c r="AA45" s="3"/>
    </row>
    <row r="46" spans="1:27" ht="102.75" customHeight="1">
      <c r="A46" s="736"/>
      <c r="B46" s="736"/>
      <c r="C46" s="736"/>
      <c r="D46" s="829">
        <v>41</v>
      </c>
      <c r="E46" s="829" t="s">
        <v>53</v>
      </c>
      <c r="F46" s="967"/>
      <c r="G46" s="967"/>
      <c r="H46" s="967"/>
      <c r="I46" s="967"/>
      <c r="J46" s="967"/>
      <c r="K46" s="967"/>
      <c r="L46" s="967"/>
      <c r="M46" s="967"/>
      <c r="N46" s="967"/>
      <c r="O46" s="967"/>
      <c r="P46" s="967"/>
      <c r="Q46" s="499"/>
      <c r="R46" s="967"/>
      <c r="S46" s="967"/>
      <c r="T46" s="847">
        <f t="shared" si="0"/>
        <v>0</v>
      </c>
      <c r="U46" s="847">
        <v>0</v>
      </c>
      <c r="V46" s="506"/>
      <c r="W46" s="472"/>
      <c r="X46" s="3"/>
      <c r="Y46" s="3"/>
      <c r="Z46" s="3"/>
      <c r="AA46" s="3"/>
    </row>
    <row r="47" spans="1:27" ht="51.75" customHeight="1">
      <c r="A47" s="736"/>
      <c r="B47" s="828" t="s">
        <v>90</v>
      </c>
      <c r="C47" s="828" t="s">
        <v>91</v>
      </c>
      <c r="D47" s="829">
        <v>42</v>
      </c>
      <c r="E47" s="829" t="s">
        <v>92</v>
      </c>
      <c r="F47" s="982">
        <v>4.4279999999999999</v>
      </c>
      <c r="G47" s="979"/>
      <c r="H47" s="979"/>
      <c r="I47" s="783"/>
      <c r="J47" s="979"/>
      <c r="K47" s="979"/>
      <c r="L47" s="979"/>
      <c r="M47" s="979"/>
      <c r="N47" s="835">
        <v>1.1000000000000001</v>
      </c>
      <c r="O47" s="881"/>
      <c r="P47" s="982"/>
      <c r="Q47" s="979"/>
      <c r="R47" s="979"/>
      <c r="S47" s="979"/>
      <c r="T47" s="847">
        <f t="shared" si="0"/>
        <v>5.5280000000000005</v>
      </c>
      <c r="U47" s="847">
        <f t="shared" ref="U47:U50" si="3">T47</f>
        <v>5.5280000000000005</v>
      </c>
      <c r="V47" s="634" t="s">
        <v>1617</v>
      </c>
      <c r="W47" s="472"/>
      <c r="X47" s="3"/>
      <c r="Y47" s="3"/>
      <c r="Z47" s="3"/>
      <c r="AA47" s="3"/>
    </row>
    <row r="48" spans="1:27" ht="24.75" customHeight="1">
      <c r="A48" s="736"/>
      <c r="B48" s="736"/>
      <c r="C48" s="736"/>
      <c r="D48" s="829">
        <v>43</v>
      </c>
      <c r="E48" s="829" t="s">
        <v>93</v>
      </c>
      <c r="F48" s="982">
        <v>0.18149999999999999</v>
      </c>
      <c r="G48" s="979"/>
      <c r="H48" s="979"/>
      <c r="I48" s="783"/>
      <c r="J48" s="979"/>
      <c r="K48" s="979"/>
      <c r="L48" s="979"/>
      <c r="M48" s="979"/>
      <c r="N48" s="835">
        <v>0.34499999999999997</v>
      </c>
      <c r="O48" s="881"/>
      <c r="P48" s="982"/>
      <c r="Q48" s="979"/>
      <c r="R48" s="979"/>
      <c r="S48" s="979"/>
      <c r="T48" s="847">
        <f t="shared" si="0"/>
        <v>0.52649999999999997</v>
      </c>
      <c r="U48" s="847">
        <f t="shared" si="3"/>
        <v>0.52649999999999997</v>
      </c>
      <c r="V48" s="634" t="s">
        <v>466</v>
      </c>
      <c r="W48" s="472"/>
      <c r="X48" s="3"/>
      <c r="Y48" s="3"/>
      <c r="Z48" s="3"/>
      <c r="AA48" s="3"/>
    </row>
    <row r="49" spans="1:27" ht="153">
      <c r="A49" s="736"/>
      <c r="B49" s="736"/>
      <c r="C49" s="736"/>
      <c r="D49" s="829">
        <v>44</v>
      </c>
      <c r="E49" s="829" t="s">
        <v>95</v>
      </c>
      <c r="F49" s="982">
        <v>0.44979999999999998</v>
      </c>
      <c r="G49" s="979"/>
      <c r="H49" s="979"/>
      <c r="I49" s="783"/>
      <c r="J49" s="979"/>
      <c r="K49" s="979"/>
      <c r="L49" s="979"/>
      <c r="M49" s="979"/>
      <c r="N49" s="929">
        <v>0.375</v>
      </c>
      <c r="O49" s="982">
        <v>0.17699999999999999</v>
      </c>
      <c r="P49" s="982"/>
      <c r="Q49" s="979"/>
      <c r="R49" s="979"/>
      <c r="S49" s="979"/>
      <c r="T49" s="847">
        <f t="shared" si="0"/>
        <v>1.0018</v>
      </c>
      <c r="U49" s="847">
        <f t="shared" si="3"/>
        <v>1.0018</v>
      </c>
      <c r="V49" s="634" t="s">
        <v>1618</v>
      </c>
      <c r="W49" s="472"/>
      <c r="X49" s="3"/>
      <c r="Y49" s="3"/>
      <c r="Z49" s="3"/>
      <c r="AA49" s="3"/>
    </row>
    <row r="50" spans="1:27" ht="24.75" customHeight="1">
      <c r="A50" s="736"/>
      <c r="B50" s="736"/>
      <c r="C50" s="736"/>
      <c r="D50" s="829">
        <v>45</v>
      </c>
      <c r="E50" s="829" t="s">
        <v>96</v>
      </c>
      <c r="F50" s="982">
        <v>0.10199999999999999</v>
      </c>
      <c r="G50" s="979"/>
      <c r="H50" s="979"/>
      <c r="I50" s="979"/>
      <c r="J50" s="979"/>
      <c r="K50" s="979"/>
      <c r="L50" s="979"/>
      <c r="M50" s="979"/>
      <c r="N50" s="783"/>
      <c r="O50" s="985">
        <v>0.10199999999999999</v>
      </c>
      <c r="P50" s="979"/>
      <c r="Q50" s="979"/>
      <c r="R50" s="979"/>
      <c r="S50" s="979"/>
      <c r="T50" s="847">
        <f t="shared" si="0"/>
        <v>0.20399999999999999</v>
      </c>
      <c r="U50" s="847">
        <f t="shared" si="3"/>
        <v>0.20399999999999999</v>
      </c>
      <c r="V50" s="634" t="s">
        <v>467</v>
      </c>
      <c r="W50" s="472"/>
      <c r="X50" s="3"/>
      <c r="Y50" s="3"/>
      <c r="Z50" s="3"/>
      <c r="AA50" s="3"/>
    </row>
    <row r="51" spans="1:27" ht="24.75" customHeight="1">
      <c r="A51" s="736"/>
      <c r="B51" s="736"/>
      <c r="C51" s="736"/>
      <c r="D51" s="829">
        <v>46</v>
      </c>
      <c r="E51" s="829" t="s">
        <v>98</v>
      </c>
      <c r="F51" s="979"/>
      <c r="G51" s="979"/>
      <c r="H51" s="979"/>
      <c r="I51" s="979"/>
      <c r="J51" s="979"/>
      <c r="K51" s="979"/>
      <c r="L51" s="979"/>
      <c r="M51" s="979"/>
      <c r="N51" s="979"/>
      <c r="O51" s="979"/>
      <c r="P51" s="979"/>
      <c r="Q51" s="979"/>
      <c r="R51" s="979"/>
      <c r="S51" s="979"/>
      <c r="T51" s="847">
        <f t="shared" si="0"/>
        <v>0</v>
      </c>
      <c r="U51" s="847">
        <v>0</v>
      </c>
      <c r="V51" s="503"/>
      <c r="W51" s="472"/>
      <c r="X51" s="3"/>
      <c r="Y51" s="3"/>
      <c r="Z51" s="3"/>
      <c r="AA51" s="3"/>
    </row>
    <row r="52" spans="1:27" ht="45">
      <c r="A52" s="736"/>
      <c r="B52" s="736"/>
      <c r="C52" s="736"/>
      <c r="D52" s="829">
        <v>47</v>
      </c>
      <c r="E52" s="829" t="s">
        <v>99</v>
      </c>
      <c r="F52" s="982">
        <v>0.9</v>
      </c>
      <c r="G52" s="979"/>
      <c r="H52" s="881">
        <v>0</v>
      </c>
      <c r="I52" s="979"/>
      <c r="J52" s="979"/>
      <c r="K52" s="979"/>
      <c r="L52" s="979"/>
      <c r="M52" s="979"/>
      <c r="N52" s="980"/>
      <c r="O52" s="979"/>
      <c r="P52" s="979"/>
      <c r="Q52" s="979"/>
      <c r="R52" s="979"/>
      <c r="S52" s="979"/>
      <c r="T52" s="847">
        <f t="shared" si="0"/>
        <v>0.9</v>
      </c>
      <c r="U52" s="847">
        <f t="shared" ref="U52:U55" si="4">T52</f>
        <v>0.9</v>
      </c>
      <c r="V52" s="634" t="s">
        <v>468</v>
      </c>
      <c r="W52" s="472"/>
      <c r="X52" s="3"/>
      <c r="Y52" s="3"/>
      <c r="Z52" s="3"/>
      <c r="AA52" s="3"/>
    </row>
    <row r="53" spans="1:27" ht="25.5">
      <c r="A53" s="736"/>
      <c r="B53" s="736"/>
      <c r="C53" s="736"/>
      <c r="D53" s="829">
        <v>48</v>
      </c>
      <c r="E53" s="829" t="s">
        <v>101</v>
      </c>
      <c r="F53" s="979"/>
      <c r="G53" s="979"/>
      <c r="H53" s="979"/>
      <c r="I53" s="979"/>
      <c r="J53" s="979"/>
      <c r="K53" s="979"/>
      <c r="L53" s="979"/>
      <c r="M53" s="979"/>
      <c r="N53" s="847">
        <v>0.28899999999999998</v>
      </c>
      <c r="O53" s="979"/>
      <c r="P53" s="984"/>
      <c r="Q53" s="979"/>
      <c r="R53" s="979"/>
      <c r="S53" s="979"/>
      <c r="T53" s="847">
        <f t="shared" si="0"/>
        <v>0.28899999999999998</v>
      </c>
      <c r="U53" s="847">
        <f t="shared" si="4"/>
        <v>0.28899999999999998</v>
      </c>
      <c r="V53" s="634" t="s">
        <v>102</v>
      </c>
      <c r="W53" s="472"/>
      <c r="X53" s="3"/>
      <c r="Y53" s="3"/>
      <c r="Z53" s="3"/>
      <c r="AA53" s="3"/>
    </row>
    <row r="54" spans="1:27" ht="60">
      <c r="A54" s="736"/>
      <c r="B54" s="736"/>
      <c r="C54" s="736"/>
      <c r="D54" s="829">
        <v>49</v>
      </c>
      <c r="E54" s="829" t="s">
        <v>103</v>
      </c>
      <c r="F54" s="979"/>
      <c r="G54" s="979"/>
      <c r="H54" s="979"/>
      <c r="I54" s="979"/>
      <c r="J54" s="979"/>
      <c r="K54" s="979"/>
      <c r="L54" s="979"/>
      <c r="M54" s="979"/>
      <c r="N54" s="979"/>
      <c r="O54" s="979"/>
      <c r="P54" s="979"/>
      <c r="Q54" s="983">
        <v>1.85</v>
      </c>
      <c r="R54" s="982">
        <v>1</v>
      </c>
      <c r="S54" s="979"/>
      <c r="T54" s="847">
        <f t="shared" si="0"/>
        <v>2.85</v>
      </c>
      <c r="U54" s="847">
        <f t="shared" si="4"/>
        <v>2.85</v>
      </c>
      <c r="V54" s="503" t="s">
        <v>469</v>
      </c>
      <c r="W54" s="472"/>
      <c r="X54" s="3"/>
      <c r="Y54" s="3"/>
      <c r="Z54" s="3"/>
      <c r="AA54" s="3"/>
    </row>
    <row r="55" spans="1:27" ht="85.5" customHeight="1">
      <c r="A55" s="736"/>
      <c r="B55" s="736"/>
      <c r="C55" s="736"/>
      <c r="D55" s="829">
        <v>50</v>
      </c>
      <c r="E55" s="829" t="s">
        <v>105</v>
      </c>
      <c r="F55" s="979"/>
      <c r="G55" s="979"/>
      <c r="H55" s="979"/>
      <c r="I55" s="783"/>
      <c r="J55" s="979"/>
      <c r="K55" s="881">
        <v>0.28999999999999998</v>
      </c>
      <c r="L55" s="979"/>
      <c r="M55" s="979"/>
      <c r="N55" s="983"/>
      <c r="O55" s="979"/>
      <c r="P55" s="982"/>
      <c r="Q55" s="983">
        <v>2.08</v>
      </c>
      <c r="R55" s="982">
        <v>0.04</v>
      </c>
      <c r="S55" s="979"/>
      <c r="T55" s="847">
        <f t="shared" si="0"/>
        <v>2.41</v>
      </c>
      <c r="U55" s="847">
        <f t="shared" si="4"/>
        <v>2.41</v>
      </c>
      <c r="V55" s="504" t="s">
        <v>470</v>
      </c>
      <c r="W55" s="472"/>
      <c r="X55" s="3"/>
      <c r="Y55" s="3"/>
      <c r="Z55" s="3"/>
      <c r="AA55" s="3"/>
    </row>
    <row r="56" spans="1:27" ht="53.25" customHeight="1">
      <c r="A56" s="736"/>
      <c r="B56" s="736"/>
      <c r="C56" s="736"/>
      <c r="D56" s="829">
        <v>51</v>
      </c>
      <c r="E56" s="829" t="s">
        <v>53</v>
      </c>
      <c r="F56" s="979"/>
      <c r="G56" s="979"/>
      <c r="H56" s="979"/>
      <c r="I56" s="979"/>
      <c r="J56" s="979"/>
      <c r="K56" s="979"/>
      <c r="L56" s="979"/>
      <c r="M56" s="979"/>
      <c r="N56" s="984"/>
      <c r="O56" s="979"/>
      <c r="P56" s="979"/>
      <c r="Q56" s="979"/>
      <c r="R56" s="979"/>
      <c r="S56" s="979"/>
      <c r="T56" s="847">
        <f t="shared" si="0"/>
        <v>0</v>
      </c>
      <c r="U56" s="847">
        <v>0</v>
      </c>
      <c r="V56" s="503"/>
      <c r="W56" s="472"/>
      <c r="X56" s="3"/>
      <c r="Y56" s="3"/>
      <c r="Z56" s="3"/>
      <c r="AA56" s="3"/>
    </row>
    <row r="57" spans="1:27" ht="174" customHeight="1">
      <c r="A57" s="736"/>
      <c r="B57" s="828" t="s">
        <v>107</v>
      </c>
      <c r="C57" s="828" t="s">
        <v>108</v>
      </c>
      <c r="D57" s="829">
        <v>52</v>
      </c>
      <c r="E57" s="829" t="s">
        <v>109</v>
      </c>
      <c r="F57" s="992"/>
      <c r="G57" s="992"/>
      <c r="H57" s="992"/>
      <c r="I57" s="996"/>
      <c r="J57" s="992"/>
      <c r="K57" s="996"/>
      <c r="L57" s="992"/>
      <c r="M57" s="992"/>
      <c r="N57" s="999">
        <v>2</v>
      </c>
      <c r="O57" s="997">
        <v>19.638000000000002</v>
      </c>
      <c r="P57" s="992"/>
      <c r="Q57" s="992"/>
      <c r="R57" s="992"/>
      <c r="S57" s="992"/>
      <c r="T57" s="847">
        <f t="shared" si="0"/>
        <v>21.638000000000002</v>
      </c>
      <c r="U57" s="728">
        <f>N57+O57</f>
        <v>21.638000000000002</v>
      </c>
      <c r="V57" s="506" t="s">
        <v>471</v>
      </c>
      <c r="W57" s="472"/>
      <c r="X57" s="3"/>
      <c r="Y57" s="3"/>
      <c r="Z57" s="3"/>
      <c r="AA57" s="3"/>
    </row>
    <row r="58" spans="1:27" ht="118.5" customHeight="1">
      <c r="A58" s="736"/>
      <c r="B58" s="736"/>
      <c r="C58" s="736"/>
      <c r="D58" s="829">
        <v>53</v>
      </c>
      <c r="E58" s="829" t="s">
        <v>111</v>
      </c>
      <c r="F58" s="992"/>
      <c r="G58" s="992"/>
      <c r="H58" s="992"/>
      <c r="I58" s="992"/>
      <c r="J58" s="992"/>
      <c r="K58" s="996"/>
      <c r="L58" s="992"/>
      <c r="M58" s="992"/>
      <c r="N58" s="999">
        <v>3.75</v>
      </c>
      <c r="O58" s="997">
        <v>2.1819999999999999</v>
      </c>
      <c r="P58" s="992"/>
      <c r="Q58" s="993">
        <v>3</v>
      </c>
      <c r="R58" s="992"/>
      <c r="S58" s="992"/>
      <c r="T58" s="847">
        <f t="shared" si="0"/>
        <v>8.9320000000000004</v>
      </c>
      <c r="U58" s="728">
        <f>T58</f>
        <v>8.9320000000000004</v>
      </c>
      <c r="V58" s="505" t="s">
        <v>472</v>
      </c>
      <c r="W58" s="472"/>
      <c r="X58" s="3"/>
      <c r="Y58" s="3"/>
      <c r="Z58" s="3"/>
      <c r="AA58" s="3"/>
    </row>
    <row r="59" spans="1:27" ht="24.75" customHeight="1">
      <c r="A59" s="736"/>
      <c r="B59" s="736"/>
      <c r="C59" s="736"/>
      <c r="D59" s="829">
        <v>54</v>
      </c>
      <c r="E59" s="829" t="s">
        <v>113</v>
      </c>
      <c r="F59" s="992"/>
      <c r="G59" s="992"/>
      <c r="H59" s="991"/>
      <c r="I59" s="992"/>
      <c r="J59" s="992"/>
      <c r="K59" s="992"/>
      <c r="L59" s="992"/>
      <c r="M59" s="992"/>
      <c r="N59" s="992"/>
      <c r="O59" s="991"/>
      <c r="P59" s="991"/>
      <c r="Q59" s="992"/>
      <c r="R59" s="992"/>
      <c r="S59" s="992"/>
      <c r="T59" s="847">
        <f t="shared" si="0"/>
        <v>0</v>
      </c>
      <c r="U59" s="847">
        <v>0</v>
      </c>
      <c r="V59" s="503"/>
      <c r="W59" s="472"/>
      <c r="X59" s="3"/>
      <c r="Y59" s="3"/>
      <c r="Z59" s="3"/>
      <c r="AA59" s="3"/>
    </row>
    <row r="60" spans="1:27" ht="24.75" customHeight="1">
      <c r="A60" s="736"/>
      <c r="B60" s="736"/>
      <c r="C60" s="736"/>
      <c r="D60" s="829">
        <v>55</v>
      </c>
      <c r="E60" s="829" t="s">
        <v>114</v>
      </c>
      <c r="F60" s="992"/>
      <c r="G60" s="992"/>
      <c r="H60" s="992"/>
      <c r="I60" s="992"/>
      <c r="J60" s="992"/>
      <c r="K60" s="996"/>
      <c r="L60" s="992"/>
      <c r="M60" s="992"/>
      <c r="N60" s="992"/>
      <c r="O60" s="992"/>
      <c r="P60" s="992"/>
      <c r="Q60" s="992"/>
      <c r="R60" s="992"/>
      <c r="S60" s="992"/>
      <c r="T60" s="847">
        <f t="shared" si="0"/>
        <v>0</v>
      </c>
      <c r="U60" s="847">
        <v>0</v>
      </c>
      <c r="V60" s="503"/>
      <c r="W60" s="472"/>
      <c r="X60" s="3"/>
      <c r="Y60" s="3"/>
      <c r="Z60" s="3"/>
      <c r="AA60" s="3"/>
    </row>
    <row r="61" spans="1:27" ht="51">
      <c r="A61" s="736"/>
      <c r="B61" s="736"/>
      <c r="C61" s="736"/>
      <c r="D61" s="829">
        <v>56</v>
      </c>
      <c r="E61" s="829" t="s">
        <v>115</v>
      </c>
      <c r="F61" s="992"/>
      <c r="G61" s="992"/>
      <c r="H61" s="992"/>
      <c r="I61" s="992"/>
      <c r="J61" s="992"/>
      <c r="K61" s="992"/>
      <c r="L61" s="992"/>
      <c r="M61" s="995"/>
      <c r="N61" s="992"/>
      <c r="O61" s="997">
        <v>4.3639999999999999</v>
      </c>
      <c r="P61" s="992"/>
      <c r="Q61" s="995">
        <v>0.5</v>
      </c>
      <c r="R61" s="992"/>
      <c r="S61" s="992"/>
      <c r="T61" s="847">
        <f t="shared" si="0"/>
        <v>4.8639999999999999</v>
      </c>
      <c r="U61" s="847">
        <f>T61</f>
        <v>4.8639999999999999</v>
      </c>
      <c r="V61" s="505" t="s">
        <v>473</v>
      </c>
      <c r="W61" s="472"/>
      <c r="X61" s="3"/>
      <c r="Y61" s="3"/>
      <c r="Z61" s="3"/>
      <c r="AA61" s="3"/>
    </row>
    <row r="62" spans="1:27" ht="52.5" customHeight="1">
      <c r="A62" s="736"/>
      <c r="B62" s="736"/>
      <c r="C62" s="736"/>
      <c r="D62" s="829">
        <v>57</v>
      </c>
      <c r="E62" s="829" t="s">
        <v>116</v>
      </c>
      <c r="F62" s="992"/>
      <c r="G62" s="992"/>
      <c r="H62" s="991"/>
      <c r="I62" s="992"/>
      <c r="J62" s="992"/>
      <c r="K62" s="992"/>
      <c r="L62" s="992"/>
      <c r="M62" s="997">
        <v>1.05</v>
      </c>
      <c r="N62" s="992"/>
      <c r="O62" s="992"/>
      <c r="P62" s="992"/>
      <c r="Q62" s="992"/>
      <c r="R62" s="992"/>
      <c r="S62" s="992"/>
      <c r="T62" s="847">
        <f t="shared" si="0"/>
        <v>1.05</v>
      </c>
      <c r="U62" s="847">
        <f>M62</f>
        <v>1.05</v>
      </c>
      <c r="V62" s="505" t="s">
        <v>474</v>
      </c>
      <c r="W62" s="472"/>
      <c r="X62" s="3"/>
      <c r="Y62" s="3"/>
      <c r="Z62" s="3"/>
      <c r="AA62" s="3"/>
    </row>
    <row r="63" spans="1:27" ht="76.5">
      <c r="A63" s="736"/>
      <c r="B63" s="736"/>
      <c r="C63" s="736"/>
      <c r="D63" s="829">
        <v>58</v>
      </c>
      <c r="E63" s="829" t="s">
        <v>117</v>
      </c>
      <c r="F63" s="992"/>
      <c r="G63" s="992"/>
      <c r="H63" s="992"/>
      <c r="I63" s="992"/>
      <c r="J63" s="992"/>
      <c r="K63" s="996"/>
      <c r="L63" s="992"/>
      <c r="M63" s="992"/>
      <c r="N63" s="992"/>
      <c r="O63" s="1005">
        <v>1.091</v>
      </c>
      <c r="P63" s="992"/>
      <c r="Q63" s="993">
        <v>0.75</v>
      </c>
      <c r="R63" s="992"/>
      <c r="S63" s="992"/>
      <c r="T63" s="847">
        <f t="shared" si="0"/>
        <v>1.841</v>
      </c>
      <c r="U63" s="847">
        <f>T63</f>
        <v>1.841</v>
      </c>
      <c r="V63" s="505" t="s">
        <v>475</v>
      </c>
      <c r="W63" s="472"/>
      <c r="X63" s="3"/>
      <c r="Y63" s="3"/>
      <c r="Z63" s="3"/>
      <c r="AA63" s="3"/>
    </row>
    <row r="64" spans="1:27" ht="24.75" customHeight="1">
      <c r="A64" s="736"/>
      <c r="B64" s="736"/>
      <c r="C64" s="736"/>
      <c r="D64" s="829">
        <v>59</v>
      </c>
      <c r="E64" s="829" t="s">
        <v>119</v>
      </c>
      <c r="F64" s="992"/>
      <c r="G64" s="992"/>
      <c r="H64" s="992"/>
      <c r="I64" s="992"/>
      <c r="J64" s="992"/>
      <c r="K64" s="992"/>
      <c r="L64" s="992"/>
      <c r="M64" s="992"/>
      <c r="N64" s="992"/>
      <c r="O64" s="992"/>
      <c r="P64" s="992"/>
      <c r="Q64" s="992"/>
      <c r="R64" s="992"/>
      <c r="S64" s="992"/>
      <c r="T64" s="847">
        <f t="shared" si="0"/>
        <v>0</v>
      </c>
      <c r="U64" s="847">
        <v>0</v>
      </c>
      <c r="V64" s="503"/>
      <c r="W64" s="472"/>
      <c r="X64" s="3"/>
      <c r="Y64" s="3"/>
      <c r="Z64" s="3"/>
      <c r="AA64" s="3"/>
    </row>
    <row r="65" spans="1:27" ht="24.75" customHeight="1">
      <c r="A65" s="736"/>
      <c r="B65" s="736"/>
      <c r="C65" s="736"/>
      <c r="D65" s="829">
        <v>60</v>
      </c>
      <c r="E65" s="829" t="s">
        <v>120</v>
      </c>
      <c r="F65" s="992"/>
      <c r="G65" s="992"/>
      <c r="H65" s="992"/>
      <c r="I65" s="992"/>
      <c r="J65" s="992"/>
      <c r="K65" s="992"/>
      <c r="L65" s="992"/>
      <c r="M65" s="992"/>
      <c r="N65" s="992"/>
      <c r="O65" s="992"/>
      <c r="P65" s="992"/>
      <c r="Q65" s="992"/>
      <c r="R65" s="992"/>
      <c r="S65" s="992"/>
      <c r="T65" s="847">
        <f t="shared" si="0"/>
        <v>0</v>
      </c>
      <c r="U65" s="847">
        <v>0</v>
      </c>
      <c r="V65" s="503"/>
      <c r="W65" s="472"/>
      <c r="X65" s="3"/>
      <c r="Y65" s="3"/>
      <c r="Z65" s="3"/>
      <c r="AA65" s="3"/>
    </row>
    <row r="66" spans="1:27" ht="24.75" customHeight="1">
      <c r="A66" s="736"/>
      <c r="B66" s="736"/>
      <c r="C66" s="736"/>
      <c r="D66" s="829">
        <v>61</v>
      </c>
      <c r="E66" s="829" t="s">
        <v>53</v>
      </c>
      <c r="F66" s="992"/>
      <c r="G66" s="992"/>
      <c r="H66" s="992"/>
      <c r="I66" s="992"/>
      <c r="J66" s="992"/>
      <c r="K66" s="992"/>
      <c r="L66" s="992"/>
      <c r="M66" s="992"/>
      <c r="N66" s="992"/>
      <c r="O66" s="992"/>
      <c r="P66" s="992"/>
      <c r="Q66" s="992"/>
      <c r="R66" s="992"/>
      <c r="S66" s="992"/>
      <c r="T66" s="847">
        <f t="shared" si="0"/>
        <v>0</v>
      </c>
      <c r="U66" s="847">
        <v>0</v>
      </c>
      <c r="V66" s="503"/>
      <c r="W66" s="472"/>
      <c r="X66" s="3"/>
      <c r="Y66" s="3"/>
      <c r="Z66" s="3"/>
      <c r="AA66" s="3"/>
    </row>
    <row r="67" spans="1:27" ht="79.5" customHeight="1">
      <c r="A67" s="736"/>
      <c r="B67" s="829" t="s">
        <v>121</v>
      </c>
      <c r="C67" s="829" t="s">
        <v>122</v>
      </c>
      <c r="D67" s="829">
        <v>62</v>
      </c>
      <c r="E67" s="829" t="s">
        <v>123</v>
      </c>
      <c r="F67" s="979"/>
      <c r="G67" s="979"/>
      <c r="H67" s="979"/>
      <c r="I67" s="979"/>
      <c r="J67" s="979"/>
      <c r="K67" s="979"/>
      <c r="L67" s="979"/>
      <c r="M67" s="783"/>
      <c r="N67" s="979"/>
      <c r="O67" s="985">
        <v>0.5</v>
      </c>
      <c r="P67" s="984"/>
      <c r="Q67" s="983">
        <v>0.2</v>
      </c>
      <c r="R67" s="979"/>
      <c r="S67" s="984"/>
      <c r="T67" s="847">
        <f t="shared" si="0"/>
        <v>0.7</v>
      </c>
      <c r="U67" s="847">
        <f>T67</f>
        <v>0.7</v>
      </c>
      <c r="V67" s="635" t="s">
        <v>124</v>
      </c>
      <c r="W67" s="472"/>
      <c r="X67" s="3"/>
      <c r="Y67" s="3"/>
      <c r="Z67" s="3"/>
      <c r="AA67" s="3"/>
    </row>
    <row r="68" spans="1:27" ht="24.75" customHeight="1">
      <c r="A68" s="736"/>
      <c r="B68" s="948" t="s">
        <v>125</v>
      </c>
      <c r="C68" s="850"/>
      <c r="D68" s="850"/>
      <c r="E68" s="949"/>
      <c r="F68" s="949">
        <f t="shared" ref="F68:S68" si="5">SUM(F6:F67)</f>
        <v>33.2913</v>
      </c>
      <c r="G68" s="949">
        <f t="shared" si="5"/>
        <v>0</v>
      </c>
      <c r="H68" s="949">
        <f t="shared" si="5"/>
        <v>0</v>
      </c>
      <c r="I68" s="949">
        <f t="shared" si="5"/>
        <v>3.7832999999999997</v>
      </c>
      <c r="J68" s="949">
        <f t="shared" si="5"/>
        <v>0</v>
      </c>
      <c r="K68" s="949">
        <f t="shared" si="5"/>
        <v>40.417999999999999</v>
      </c>
      <c r="L68" s="949">
        <f t="shared" si="5"/>
        <v>0</v>
      </c>
      <c r="M68" s="949">
        <f t="shared" si="5"/>
        <v>11.158000000000001</v>
      </c>
      <c r="N68" s="949">
        <f t="shared" si="5"/>
        <v>34.597000000000001</v>
      </c>
      <c r="O68" s="949">
        <f t="shared" si="5"/>
        <v>108.90915000000001</v>
      </c>
      <c r="P68" s="949">
        <f t="shared" si="5"/>
        <v>189.39975999999999</v>
      </c>
      <c r="Q68" s="949">
        <f t="shared" si="5"/>
        <v>24.9575</v>
      </c>
      <c r="R68" s="949">
        <f t="shared" si="5"/>
        <v>9.145999999999999</v>
      </c>
      <c r="S68" s="949">
        <f t="shared" si="5"/>
        <v>2.92</v>
      </c>
      <c r="T68" s="1006">
        <f t="shared" si="0"/>
        <v>458.58001000000002</v>
      </c>
      <c r="U68" s="852">
        <f>SUM(U6:U67)</f>
        <v>459.40220999999997</v>
      </c>
      <c r="V68" s="503"/>
      <c r="W68" s="472"/>
      <c r="X68" s="3"/>
      <c r="Y68" s="3"/>
      <c r="Z68" s="3"/>
      <c r="AA68" s="3"/>
    </row>
    <row r="69" spans="1:27" ht="39.75" customHeight="1">
      <c r="A69" s="831" t="s">
        <v>126</v>
      </c>
      <c r="B69" s="829" t="s">
        <v>127</v>
      </c>
      <c r="C69" s="829" t="s">
        <v>128</v>
      </c>
      <c r="D69" s="829">
        <v>63</v>
      </c>
      <c r="E69" s="829" t="s">
        <v>129</v>
      </c>
      <c r="F69" s="979"/>
      <c r="G69" s="979"/>
      <c r="H69" s="979"/>
      <c r="I69" s="979"/>
      <c r="J69" s="979"/>
      <c r="K69" s="979"/>
      <c r="L69" s="979"/>
      <c r="M69" s="984"/>
      <c r="N69" s="983">
        <v>5.75</v>
      </c>
      <c r="O69" s="979"/>
      <c r="P69" s="783"/>
      <c r="Q69" s="881">
        <v>0</v>
      </c>
      <c r="R69" s="982">
        <v>3.75</v>
      </c>
      <c r="S69" s="982">
        <v>2</v>
      </c>
      <c r="T69" s="847">
        <f t="shared" si="0"/>
        <v>11.5</v>
      </c>
      <c r="U69" s="847">
        <f t="shared" ref="U69:U73" si="6">T69</f>
        <v>11.5</v>
      </c>
      <c r="V69" s="635" t="s">
        <v>476</v>
      </c>
      <c r="W69" s="472" t="s">
        <v>476</v>
      </c>
      <c r="X69" s="3"/>
      <c r="Y69" s="3"/>
      <c r="Z69" s="3"/>
      <c r="AA69" s="3"/>
    </row>
    <row r="70" spans="1:27" ht="39.75" customHeight="1">
      <c r="A70" s="736"/>
      <c r="B70" s="828" t="s">
        <v>131</v>
      </c>
      <c r="C70" s="828" t="s">
        <v>132</v>
      </c>
      <c r="D70" s="829">
        <v>64</v>
      </c>
      <c r="E70" s="829" t="s">
        <v>133</v>
      </c>
      <c r="F70" s="979"/>
      <c r="G70" s="979"/>
      <c r="H70" s="984"/>
      <c r="I70" s="981">
        <v>1.37</v>
      </c>
      <c r="J70" s="979"/>
      <c r="K70" s="783"/>
      <c r="L70" s="979"/>
      <c r="M70" s="979"/>
      <c r="N70" s="1007">
        <v>1.1000000000000001</v>
      </c>
      <c r="O70" s="1008"/>
      <c r="P70" s="1007">
        <v>1.24</v>
      </c>
      <c r="Q70" s="1007">
        <v>0.7</v>
      </c>
      <c r="R70" s="1008">
        <v>6.1</v>
      </c>
      <c r="S70" s="984"/>
      <c r="T70" s="847">
        <f t="shared" si="0"/>
        <v>10.51</v>
      </c>
      <c r="U70" s="847">
        <f t="shared" si="6"/>
        <v>10.51</v>
      </c>
      <c r="V70" s="504" t="s">
        <v>477</v>
      </c>
      <c r="W70" s="472" t="s">
        <v>477</v>
      </c>
      <c r="X70" s="3"/>
      <c r="Y70" s="3"/>
      <c r="Z70" s="3"/>
      <c r="AA70" s="3"/>
    </row>
    <row r="71" spans="1:27" ht="39.75" customHeight="1">
      <c r="A71" s="736"/>
      <c r="B71" s="736"/>
      <c r="C71" s="736"/>
      <c r="D71" s="829">
        <v>65</v>
      </c>
      <c r="E71" s="829" t="s">
        <v>135</v>
      </c>
      <c r="F71" s="979"/>
      <c r="G71" s="979"/>
      <c r="H71" s="979"/>
      <c r="I71" s="979"/>
      <c r="J71" s="979"/>
      <c r="K71" s="979"/>
      <c r="L71" s="979"/>
      <c r="M71" s="979"/>
      <c r="N71" s="783"/>
      <c r="O71" s="979"/>
      <c r="P71" s="1008">
        <v>0.45</v>
      </c>
      <c r="Q71" s="881"/>
      <c r="R71" s="979"/>
      <c r="S71" s="984"/>
      <c r="T71" s="847">
        <f t="shared" si="0"/>
        <v>0.45</v>
      </c>
      <c r="U71" s="847">
        <f t="shared" si="6"/>
        <v>0.45</v>
      </c>
      <c r="V71" s="503" t="s">
        <v>136</v>
      </c>
      <c r="W71" s="472" t="s">
        <v>136</v>
      </c>
      <c r="X71" s="3"/>
      <c r="Y71" s="3"/>
      <c r="Z71" s="3"/>
      <c r="AA71" s="3"/>
    </row>
    <row r="72" spans="1:27" ht="39.75" customHeight="1">
      <c r="A72" s="736"/>
      <c r="B72" s="736"/>
      <c r="C72" s="736"/>
      <c r="D72" s="829">
        <v>66</v>
      </c>
      <c r="E72" s="829" t="s">
        <v>137</v>
      </c>
      <c r="F72" s="979"/>
      <c r="G72" s="979"/>
      <c r="H72" s="979"/>
      <c r="I72" s="979"/>
      <c r="J72" s="979"/>
      <c r="K72" s="783"/>
      <c r="L72" s="979"/>
      <c r="M72" s="979"/>
      <c r="N72" s="1007">
        <v>0.2</v>
      </c>
      <c r="O72" s="979"/>
      <c r="P72" s="985">
        <v>0.09</v>
      </c>
      <c r="Q72" s="981">
        <v>0.05</v>
      </c>
      <c r="R72" s="1009">
        <v>0.15</v>
      </c>
      <c r="S72" s="979"/>
      <c r="T72" s="847">
        <f t="shared" si="0"/>
        <v>0.49</v>
      </c>
      <c r="U72" s="847">
        <f t="shared" si="6"/>
        <v>0.49</v>
      </c>
      <c r="V72" s="503" t="s">
        <v>138</v>
      </c>
      <c r="W72" s="472" t="s">
        <v>138</v>
      </c>
      <c r="X72" s="3"/>
      <c r="Y72" s="3"/>
      <c r="Z72" s="3"/>
      <c r="AA72" s="3"/>
    </row>
    <row r="73" spans="1:27" ht="39.75" customHeight="1">
      <c r="A73" s="736"/>
      <c r="B73" s="736"/>
      <c r="C73" s="736"/>
      <c r="D73" s="829">
        <v>67</v>
      </c>
      <c r="E73" s="829" t="s">
        <v>139</v>
      </c>
      <c r="F73" s="979"/>
      <c r="G73" s="979"/>
      <c r="H73" s="979"/>
      <c r="I73" s="1010"/>
      <c r="J73" s="979"/>
      <c r="K73" s="783"/>
      <c r="L73" s="979"/>
      <c r="M73" s="979"/>
      <c r="N73" s="1007">
        <v>0.4</v>
      </c>
      <c r="O73" s="1010">
        <v>0.87</v>
      </c>
      <c r="P73" s="1008">
        <v>21.01</v>
      </c>
      <c r="Q73" s="1007">
        <v>0.65</v>
      </c>
      <c r="R73" s="1008">
        <v>3.5</v>
      </c>
      <c r="S73" s="985">
        <v>3</v>
      </c>
      <c r="T73" s="847">
        <f t="shared" si="0"/>
        <v>29.43</v>
      </c>
      <c r="U73" s="847">
        <f t="shared" si="6"/>
        <v>29.43</v>
      </c>
      <c r="V73" s="503" t="s">
        <v>478</v>
      </c>
      <c r="W73" s="472" t="s">
        <v>478</v>
      </c>
      <c r="X73" s="3"/>
      <c r="Y73" s="3"/>
      <c r="Z73" s="3"/>
      <c r="AA73" s="3"/>
    </row>
    <row r="74" spans="1:27" ht="39.75" customHeight="1">
      <c r="A74" s="736"/>
      <c r="B74" s="736"/>
      <c r="C74" s="736"/>
      <c r="D74" s="829">
        <v>68</v>
      </c>
      <c r="E74" s="829" t="s">
        <v>141</v>
      </c>
      <c r="F74" s="984"/>
      <c r="G74" s="979"/>
      <c r="H74" s="979"/>
      <c r="I74" s="783"/>
      <c r="J74" s="979"/>
      <c r="K74" s="783"/>
      <c r="L74" s="979"/>
      <c r="M74" s="979"/>
      <c r="N74" s="1007">
        <v>0.4</v>
      </c>
      <c r="O74" s="984"/>
      <c r="P74" s="1008">
        <v>0.25</v>
      </c>
      <c r="Q74" s="1007">
        <v>0.25</v>
      </c>
      <c r="R74" s="1008"/>
      <c r="S74" s="985">
        <v>0.5</v>
      </c>
      <c r="T74" s="847">
        <f t="shared" si="0"/>
        <v>1.4</v>
      </c>
      <c r="U74" s="847">
        <f>T74-0.5</f>
        <v>0.89999999999999991</v>
      </c>
      <c r="V74" s="503" t="s">
        <v>479</v>
      </c>
      <c r="W74" s="472" t="s">
        <v>480</v>
      </c>
      <c r="X74" s="3"/>
      <c r="Y74" s="3"/>
      <c r="Z74" s="3"/>
      <c r="AA74" s="3"/>
    </row>
    <row r="75" spans="1:27" ht="39.75" customHeight="1">
      <c r="A75" s="736"/>
      <c r="B75" s="828" t="s">
        <v>143</v>
      </c>
      <c r="C75" s="828" t="s">
        <v>144</v>
      </c>
      <c r="D75" s="829">
        <v>69</v>
      </c>
      <c r="E75" s="829" t="s">
        <v>145</v>
      </c>
      <c r="F75" s="939"/>
      <c r="G75" s="939"/>
      <c r="H75" s="939"/>
      <c r="I75" s="939"/>
      <c r="J75" s="939"/>
      <c r="K75" s="939"/>
      <c r="L75" s="939"/>
      <c r="M75" s="940">
        <v>0.68</v>
      </c>
      <c r="N75" s="939"/>
      <c r="O75" s="940">
        <v>37.377000000000002</v>
      </c>
      <c r="P75" s="940">
        <v>0.8</v>
      </c>
      <c r="Q75" s="939"/>
      <c r="R75" s="939"/>
      <c r="S75" s="939"/>
      <c r="T75" s="847">
        <f t="shared" si="0"/>
        <v>38.856999999999999</v>
      </c>
      <c r="U75" s="941">
        <v>38.856999999999999</v>
      </c>
      <c r="V75" s="508" t="s">
        <v>481</v>
      </c>
      <c r="W75" s="490" t="s">
        <v>481</v>
      </c>
      <c r="X75" s="3"/>
      <c r="Y75" s="3"/>
      <c r="Z75" s="3"/>
      <c r="AA75" s="3"/>
    </row>
    <row r="76" spans="1:27" ht="39.75" customHeight="1">
      <c r="A76" s="736"/>
      <c r="B76" s="736"/>
      <c r="C76" s="736"/>
      <c r="D76" s="829">
        <v>70</v>
      </c>
      <c r="E76" s="829" t="s">
        <v>147</v>
      </c>
      <c r="F76" s="939"/>
      <c r="G76" s="939"/>
      <c r="H76" s="939"/>
      <c r="I76" s="942">
        <v>0.20799999999999999</v>
      </c>
      <c r="J76" s="939"/>
      <c r="K76" s="939"/>
      <c r="L76" s="939"/>
      <c r="M76" s="939"/>
      <c r="N76" s="939"/>
      <c r="O76" s="939"/>
      <c r="P76" s="940">
        <v>1.1000000000000001</v>
      </c>
      <c r="Q76" s="939"/>
      <c r="R76" s="939"/>
      <c r="S76" s="939"/>
      <c r="T76" s="847">
        <f t="shared" si="0"/>
        <v>1.3080000000000001</v>
      </c>
      <c r="U76" s="941">
        <v>1.3080000000000001</v>
      </c>
      <c r="V76" s="508" t="s">
        <v>482</v>
      </c>
      <c r="W76" s="490" t="s">
        <v>482</v>
      </c>
      <c r="X76" s="3"/>
      <c r="Y76" s="3"/>
      <c r="Z76" s="3"/>
      <c r="AA76" s="3"/>
    </row>
    <row r="77" spans="1:27" ht="39.75" customHeight="1">
      <c r="A77" s="736"/>
      <c r="B77" s="736"/>
      <c r="C77" s="736"/>
      <c r="D77" s="829">
        <v>71</v>
      </c>
      <c r="E77" s="829" t="s">
        <v>149</v>
      </c>
      <c r="F77" s="939"/>
      <c r="G77" s="939"/>
      <c r="H77" s="939"/>
      <c r="I77" s="939"/>
      <c r="J77" s="939"/>
      <c r="K77" s="939"/>
      <c r="L77" s="939"/>
      <c r="M77" s="939"/>
      <c r="N77" s="939"/>
      <c r="O77" s="939"/>
      <c r="P77" s="939"/>
      <c r="Q77" s="939"/>
      <c r="R77" s="939"/>
      <c r="S77" s="939"/>
      <c r="T77" s="847">
        <f t="shared" si="0"/>
        <v>0</v>
      </c>
      <c r="U77" s="941">
        <v>0</v>
      </c>
      <c r="V77" s="508"/>
      <c r="W77" s="490"/>
      <c r="X77" s="3"/>
      <c r="Y77" s="3"/>
      <c r="Z77" s="3"/>
      <c r="AA77" s="3"/>
    </row>
    <row r="78" spans="1:27" ht="39.75" customHeight="1">
      <c r="A78" s="736"/>
      <c r="B78" s="736"/>
      <c r="C78" s="736"/>
      <c r="D78" s="829">
        <v>72</v>
      </c>
      <c r="E78" s="829" t="s">
        <v>150</v>
      </c>
      <c r="F78" s="939"/>
      <c r="G78" s="939"/>
      <c r="H78" s="939"/>
      <c r="I78" s="939"/>
      <c r="J78" s="939"/>
      <c r="K78" s="939"/>
      <c r="L78" s="939"/>
      <c r="M78" s="939"/>
      <c r="N78" s="940">
        <v>2.8559999999999999</v>
      </c>
      <c r="O78" s="939"/>
      <c r="P78" s="939"/>
      <c r="Q78" s="940">
        <v>2.016</v>
      </c>
      <c r="R78" s="942">
        <v>2.7229999999999999</v>
      </c>
      <c r="S78" s="939"/>
      <c r="T78" s="847">
        <f t="shared" si="0"/>
        <v>7.5949999999999998</v>
      </c>
      <c r="U78" s="941">
        <v>7.5949999999999998</v>
      </c>
      <c r="V78" s="635" t="s">
        <v>483</v>
      </c>
      <c r="W78" s="490" t="s">
        <v>484</v>
      </c>
      <c r="X78" s="3"/>
      <c r="Y78" s="3"/>
      <c r="Z78" s="3"/>
      <c r="AA78" s="3"/>
    </row>
    <row r="79" spans="1:27" ht="408.75">
      <c r="A79" s="736"/>
      <c r="B79" s="828" t="s">
        <v>152</v>
      </c>
      <c r="C79" s="828" t="s">
        <v>153</v>
      </c>
      <c r="D79" s="829">
        <v>73</v>
      </c>
      <c r="E79" s="829" t="s">
        <v>154</v>
      </c>
      <c r="F79" s="862">
        <v>1.99</v>
      </c>
      <c r="G79" s="1011">
        <v>2.5</v>
      </c>
      <c r="H79" s="862"/>
      <c r="I79" s="862">
        <v>8.4</v>
      </c>
      <c r="J79" s="979"/>
      <c r="K79" s="862"/>
      <c r="L79" s="881">
        <v>2.6</v>
      </c>
      <c r="M79" s="862">
        <v>9.4</v>
      </c>
      <c r="N79" s="862">
        <v>6.2</v>
      </c>
      <c r="O79" s="1012"/>
      <c r="P79" s="862">
        <v>3</v>
      </c>
      <c r="Q79" s="979"/>
      <c r="R79" s="862">
        <v>14</v>
      </c>
      <c r="S79" s="862">
        <v>0.5</v>
      </c>
      <c r="T79" s="847">
        <f t="shared" si="0"/>
        <v>48.59</v>
      </c>
      <c r="U79" s="847">
        <v>46.3</v>
      </c>
      <c r="V79" s="503" t="s">
        <v>485</v>
      </c>
      <c r="W79" s="472"/>
      <c r="X79" s="3"/>
      <c r="Y79" s="3"/>
      <c r="Z79" s="3"/>
      <c r="AA79" s="3"/>
    </row>
    <row r="80" spans="1:27" ht="77.25">
      <c r="A80" s="736"/>
      <c r="B80" s="736"/>
      <c r="C80" s="736"/>
      <c r="D80" s="829">
        <v>74</v>
      </c>
      <c r="E80" s="829" t="s">
        <v>155</v>
      </c>
      <c r="F80" s="862">
        <v>34</v>
      </c>
      <c r="G80" s="1012"/>
      <c r="H80" s="979"/>
      <c r="I80" s="979"/>
      <c r="J80" s="979"/>
      <c r="K80" s="979"/>
      <c r="L80" s="979"/>
      <c r="M80" s="979"/>
      <c r="N80" s="979"/>
      <c r="O80" s="979"/>
      <c r="P80" s="979"/>
      <c r="Q80" s="979"/>
      <c r="R80" s="979"/>
      <c r="S80" s="979"/>
      <c r="T80" s="847">
        <f t="shared" si="0"/>
        <v>34</v>
      </c>
      <c r="U80" s="847">
        <v>40.799999999999997</v>
      </c>
      <c r="V80" s="503" t="s">
        <v>486</v>
      </c>
      <c r="W80" s="472"/>
      <c r="X80" s="3"/>
      <c r="Y80" s="3"/>
      <c r="Z80" s="3"/>
      <c r="AA80" s="3"/>
    </row>
    <row r="81" spans="1:27" ht="141">
      <c r="A81" s="736"/>
      <c r="B81" s="736"/>
      <c r="C81" s="736"/>
      <c r="D81" s="829">
        <v>75</v>
      </c>
      <c r="E81" s="829" t="s">
        <v>157</v>
      </c>
      <c r="F81" s="862">
        <v>1.32</v>
      </c>
      <c r="G81" s="1012"/>
      <c r="H81" s="979"/>
      <c r="I81" s="979"/>
      <c r="J81" s="979"/>
      <c r="K81" s="979"/>
      <c r="L81" s="979"/>
      <c r="M81" s="979"/>
      <c r="N81" s="979"/>
      <c r="O81" s="979"/>
      <c r="P81" s="862">
        <v>2.2000000000000002</v>
      </c>
      <c r="Q81" s="979"/>
      <c r="R81" s="979"/>
      <c r="S81" s="979"/>
      <c r="T81" s="847">
        <f t="shared" si="0"/>
        <v>3.5200000000000005</v>
      </c>
      <c r="U81" s="847">
        <v>5.2</v>
      </c>
      <c r="V81" s="503" t="s">
        <v>487</v>
      </c>
      <c r="W81" s="472"/>
      <c r="X81" s="3"/>
      <c r="Y81" s="3"/>
      <c r="Z81" s="3"/>
      <c r="AA81" s="3"/>
    </row>
    <row r="82" spans="1:27" ht="64.5">
      <c r="A82" s="736"/>
      <c r="B82" s="736"/>
      <c r="C82" s="736"/>
      <c r="D82" s="829">
        <v>76</v>
      </c>
      <c r="E82" s="829" t="s">
        <v>159</v>
      </c>
      <c r="F82" s="979"/>
      <c r="G82" s="979"/>
      <c r="H82" s="979"/>
      <c r="I82" s="979"/>
      <c r="J82" s="979"/>
      <c r="K82" s="1012"/>
      <c r="L82" s="979"/>
      <c r="M82" s="862">
        <v>1.6</v>
      </c>
      <c r="N82" s="979"/>
      <c r="O82" s="979"/>
      <c r="P82" s="979"/>
      <c r="Q82" s="979"/>
      <c r="R82" s="979"/>
      <c r="S82" s="979"/>
      <c r="T82" s="847">
        <f t="shared" si="0"/>
        <v>1.6</v>
      </c>
      <c r="U82" s="847">
        <v>1.9</v>
      </c>
      <c r="V82" s="503" t="s">
        <v>488</v>
      </c>
      <c r="W82" s="472"/>
      <c r="X82" s="3"/>
      <c r="Y82" s="3"/>
      <c r="Z82" s="3"/>
      <c r="AA82" s="3"/>
    </row>
    <row r="83" spans="1:27" ht="332.25">
      <c r="A83" s="736"/>
      <c r="B83" s="736"/>
      <c r="C83" s="736"/>
      <c r="D83" s="829">
        <v>77</v>
      </c>
      <c r="E83" s="829" t="s">
        <v>161</v>
      </c>
      <c r="F83" s="862">
        <v>1.4</v>
      </c>
      <c r="G83" s="1011">
        <v>2</v>
      </c>
      <c r="H83" s="862"/>
      <c r="I83" s="862">
        <v>2</v>
      </c>
      <c r="J83" s="979"/>
      <c r="K83" s="862"/>
      <c r="L83" s="881">
        <v>1.2</v>
      </c>
      <c r="M83" s="1012"/>
      <c r="N83" s="862">
        <v>0.4</v>
      </c>
      <c r="O83" s="979"/>
      <c r="P83" s="979"/>
      <c r="Q83" s="979"/>
      <c r="R83" s="979"/>
      <c r="S83" s="862">
        <v>0.5</v>
      </c>
      <c r="T83" s="847">
        <f t="shared" si="0"/>
        <v>7.5000000000000009</v>
      </c>
      <c r="U83" s="847">
        <v>9.1</v>
      </c>
      <c r="V83" s="503" t="s">
        <v>489</v>
      </c>
      <c r="W83" s="472"/>
      <c r="X83" s="3"/>
      <c r="Y83" s="3"/>
      <c r="Z83" s="3"/>
      <c r="AA83" s="3"/>
    </row>
    <row r="84" spans="1:27" ht="115.5">
      <c r="A84" s="736"/>
      <c r="B84" s="736"/>
      <c r="C84" s="736"/>
      <c r="D84" s="829">
        <v>78</v>
      </c>
      <c r="E84" s="829" t="s">
        <v>163</v>
      </c>
      <c r="F84" s="979"/>
      <c r="G84" s="979"/>
      <c r="H84" s="979"/>
      <c r="I84" s="979"/>
      <c r="J84" s="979"/>
      <c r="K84" s="979"/>
      <c r="L84" s="979"/>
      <c r="M84" s="979"/>
      <c r="N84" s="979"/>
      <c r="O84" s="979"/>
      <c r="P84" s="979"/>
      <c r="Q84" s="862">
        <v>8.5</v>
      </c>
      <c r="R84" s="979"/>
      <c r="S84" s="979"/>
      <c r="T84" s="847">
        <f t="shared" si="0"/>
        <v>8.5</v>
      </c>
      <c r="U84" s="847">
        <v>8.5</v>
      </c>
      <c r="V84" s="503" t="s">
        <v>490</v>
      </c>
      <c r="W84" s="472"/>
      <c r="X84" s="3"/>
      <c r="Y84" s="3"/>
      <c r="Z84" s="3"/>
      <c r="AA84" s="3"/>
    </row>
    <row r="85" spans="1:27" ht="11.25" customHeight="1">
      <c r="A85" s="736"/>
      <c r="B85" s="736"/>
      <c r="C85" s="736"/>
      <c r="D85" s="829">
        <v>79</v>
      </c>
      <c r="E85" s="829" t="s">
        <v>53</v>
      </c>
      <c r="F85" s="979"/>
      <c r="G85" s="979"/>
      <c r="H85" s="979"/>
      <c r="I85" s="979"/>
      <c r="J85" s="979"/>
      <c r="K85" s="979"/>
      <c r="L85" s="979"/>
      <c r="M85" s="979"/>
      <c r="N85" s="979"/>
      <c r="O85" s="979"/>
      <c r="P85" s="979"/>
      <c r="Q85" s="979"/>
      <c r="R85" s="979"/>
      <c r="S85" s="979"/>
      <c r="T85" s="847">
        <f t="shared" si="0"/>
        <v>0</v>
      </c>
      <c r="U85" s="847">
        <v>0</v>
      </c>
      <c r="V85" s="507"/>
      <c r="W85" s="472"/>
      <c r="X85" s="3"/>
      <c r="Y85" s="3"/>
      <c r="Z85" s="3"/>
      <c r="AA85" s="3"/>
    </row>
    <row r="86" spans="1:27" ht="77.25">
      <c r="A86" s="736"/>
      <c r="B86" s="828" t="s">
        <v>165</v>
      </c>
      <c r="C86" s="828" t="s">
        <v>166</v>
      </c>
      <c r="D86" s="829">
        <v>80</v>
      </c>
      <c r="E86" s="829" t="s">
        <v>167</v>
      </c>
      <c r="F86" s="979"/>
      <c r="G86" s="979"/>
      <c r="H86" s="979"/>
      <c r="I86" s="979"/>
      <c r="J86" s="979"/>
      <c r="K86" s="1013"/>
      <c r="L86" s="980"/>
      <c r="M86" s="981"/>
      <c r="N86" s="881"/>
      <c r="O86" s="979"/>
      <c r="P86" s="845">
        <v>2.4</v>
      </c>
      <c r="Q86" s="847">
        <v>1</v>
      </c>
      <c r="R86" s="984"/>
      <c r="S86" s="979"/>
      <c r="T86" s="847">
        <f t="shared" si="0"/>
        <v>3.4</v>
      </c>
      <c r="U86" s="847">
        <v>3.4</v>
      </c>
      <c r="V86" s="503" t="s">
        <v>1619</v>
      </c>
      <c r="W86" s="472"/>
      <c r="X86" s="3"/>
      <c r="Y86" s="3"/>
      <c r="Z86" s="3"/>
      <c r="AA86" s="3"/>
    </row>
    <row r="87" spans="1:27" ht="45">
      <c r="A87" s="736"/>
      <c r="B87" s="736"/>
      <c r="C87" s="736"/>
      <c r="D87" s="829">
        <v>81</v>
      </c>
      <c r="E87" s="829" t="s">
        <v>168</v>
      </c>
      <c r="F87" s="979"/>
      <c r="G87" s="979"/>
      <c r="H87" s="979"/>
      <c r="I87" s="979"/>
      <c r="J87" s="979"/>
      <c r="K87" s="979"/>
      <c r="L87" s="979"/>
      <c r="M87" s="847"/>
      <c r="N87" s="847"/>
      <c r="O87" s="879"/>
      <c r="P87" s="1014">
        <v>0.1</v>
      </c>
      <c r="Q87" s="1014"/>
      <c r="R87" s="879"/>
      <c r="S87" s="979"/>
      <c r="T87" s="847">
        <f t="shared" si="0"/>
        <v>0.1</v>
      </c>
      <c r="U87" s="847">
        <v>0.1</v>
      </c>
      <c r="V87" s="509" t="s">
        <v>169</v>
      </c>
      <c r="W87" s="472"/>
      <c r="X87" s="3"/>
      <c r="Y87" s="3"/>
      <c r="Z87" s="3"/>
      <c r="AA87" s="3"/>
    </row>
    <row r="88" spans="1:27" ht="39.75" customHeight="1">
      <c r="A88" s="736"/>
      <c r="B88" s="736"/>
      <c r="C88" s="736"/>
      <c r="D88" s="829">
        <v>82</v>
      </c>
      <c r="E88" s="829" t="s">
        <v>170</v>
      </c>
      <c r="F88" s="979"/>
      <c r="G88" s="979"/>
      <c r="H88" s="979"/>
      <c r="I88" s="979"/>
      <c r="J88" s="979"/>
      <c r="K88" s="979"/>
      <c r="L88" s="979"/>
      <c r="M88" s="979"/>
      <c r="N88" s="979"/>
      <c r="O88" s="979"/>
      <c r="P88" s="984"/>
      <c r="Q88" s="979"/>
      <c r="R88" s="979"/>
      <c r="S88" s="979"/>
      <c r="T88" s="847">
        <f t="shared" si="0"/>
        <v>0</v>
      </c>
      <c r="U88" s="847">
        <v>0</v>
      </c>
      <c r="V88" s="503"/>
      <c r="W88" s="472"/>
      <c r="X88" s="3"/>
      <c r="Y88" s="3"/>
      <c r="Z88" s="3"/>
      <c r="AA88" s="3"/>
    </row>
    <row r="89" spans="1:27" ht="115.5">
      <c r="A89" s="736"/>
      <c r="B89" s="736"/>
      <c r="C89" s="736"/>
      <c r="D89" s="829">
        <v>83</v>
      </c>
      <c r="E89" s="829" t="s">
        <v>172</v>
      </c>
      <c r="F89" s="979"/>
      <c r="G89" s="979"/>
      <c r="H89" s="979"/>
      <c r="I89" s="979"/>
      <c r="J89" s="979"/>
      <c r="K89" s="847">
        <v>0.5</v>
      </c>
      <c r="L89" s="979"/>
      <c r="M89" s="984"/>
      <c r="N89" s="983"/>
      <c r="O89" s="979"/>
      <c r="P89" s="845">
        <v>1</v>
      </c>
      <c r="Q89" s="783"/>
      <c r="R89" s="984"/>
      <c r="S89" s="979"/>
      <c r="T89" s="847">
        <f t="shared" si="0"/>
        <v>1.5</v>
      </c>
      <c r="U89" s="847">
        <v>1.5</v>
      </c>
      <c r="V89" s="504" t="s">
        <v>1620</v>
      </c>
      <c r="W89" s="472"/>
      <c r="X89" s="3"/>
      <c r="Y89" s="3"/>
      <c r="Z89" s="3"/>
      <c r="AA89" s="3"/>
    </row>
    <row r="90" spans="1:27" ht="90">
      <c r="A90" s="736"/>
      <c r="B90" s="829" t="s">
        <v>173</v>
      </c>
      <c r="C90" s="829" t="s">
        <v>174</v>
      </c>
      <c r="D90" s="829">
        <v>84</v>
      </c>
      <c r="E90" s="829" t="s">
        <v>175</v>
      </c>
      <c r="F90" s="979"/>
      <c r="G90" s="979"/>
      <c r="H90" s="979"/>
      <c r="I90" s="783"/>
      <c r="J90" s="979"/>
      <c r="K90" s="783"/>
      <c r="L90" s="979"/>
      <c r="M90" s="979"/>
      <c r="N90" s="477">
        <v>1</v>
      </c>
      <c r="O90" s="874"/>
      <c r="P90" s="874"/>
      <c r="Q90" s="478">
        <v>1.5</v>
      </c>
      <c r="R90" s="500">
        <v>0.5</v>
      </c>
      <c r="S90" s="979"/>
      <c r="T90" s="847">
        <f t="shared" si="0"/>
        <v>3</v>
      </c>
      <c r="U90" s="847">
        <v>3</v>
      </c>
      <c r="V90" s="634" t="s">
        <v>1621</v>
      </c>
      <c r="W90" s="472"/>
      <c r="X90" s="3"/>
      <c r="Y90" s="3"/>
      <c r="Z90" s="3"/>
      <c r="AA90" s="3"/>
    </row>
    <row r="91" spans="1:27" ht="66.75" customHeight="1">
      <c r="A91" s="736"/>
      <c r="B91" s="829" t="s">
        <v>176</v>
      </c>
      <c r="C91" s="829" t="s">
        <v>177</v>
      </c>
      <c r="D91" s="829">
        <v>85</v>
      </c>
      <c r="E91" s="829" t="s">
        <v>178</v>
      </c>
      <c r="F91" s="979"/>
      <c r="G91" s="979"/>
      <c r="H91" s="979"/>
      <c r="I91" s="979"/>
      <c r="J91" s="979"/>
      <c r="K91" s="783"/>
      <c r="L91" s="979"/>
      <c r="M91" s="979"/>
      <c r="N91" s="983">
        <v>0.5</v>
      </c>
      <c r="O91" s="979"/>
      <c r="P91" s="979"/>
      <c r="Q91" s="983">
        <v>1</v>
      </c>
      <c r="R91" s="984"/>
      <c r="S91" s="979"/>
      <c r="T91" s="847">
        <f t="shared" si="0"/>
        <v>1.5</v>
      </c>
      <c r="U91" s="847">
        <v>1.5</v>
      </c>
      <c r="V91" s="634" t="s">
        <v>424</v>
      </c>
      <c r="W91" s="472"/>
      <c r="X91" s="3"/>
      <c r="Y91" s="3"/>
      <c r="Z91" s="3"/>
      <c r="AA91" s="3"/>
    </row>
    <row r="92" spans="1:27" ht="39.75" customHeight="1">
      <c r="A92" s="736"/>
      <c r="B92" s="829" t="s">
        <v>180</v>
      </c>
      <c r="C92" s="829" t="s">
        <v>53</v>
      </c>
      <c r="D92" s="829">
        <v>86</v>
      </c>
      <c r="E92" s="829" t="s">
        <v>181</v>
      </c>
      <c r="F92" s="979"/>
      <c r="G92" s="979"/>
      <c r="H92" s="979"/>
      <c r="I92" s="979"/>
      <c r="J92" s="979"/>
      <c r="K92" s="979"/>
      <c r="L92" s="979"/>
      <c r="M92" s="979"/>
      <c r="N92" s="979"/>
      <c r="O92" s="979"/>
      <c r="P92" s="979"/>
      <c r="Q92" s="979"/>
      <c r="R92" s="979"/>
      <c r="S92" s="979"/>
      <c r="T92" s="847">
        <f t="shared" si="0"/>
        <v>0</v>
      </c>
      <c r="U92" s="847">
        <v>0</v>
      </c>
      <c r="V92" s="503"/>
      <c r="W92" s="472"/>
      <c r="X92" s="3"/>
      <c r="Y92" s="3"/>
      <c r="Z92" s="3"/>
      <c r="AA92" s="3"/>
    </row>
    <row r="93" spans="1:27" ht="39.75" customHeight="1">
      <c r="A93" s="736"/>
      <c r="B93" s="948" t="s">
        <v>182</v>
      </c>
      <c r="C93" s="736"/>
      <c r="D93" s="736"/>
      <c r="E93" s="949"/>
      <c r="F93" s="949">
        <f t="shared" ref="F93:S93" si="7">SUM(F69:F92)</f>
        <v>38.71</v>
      </c>
      <c r="G93" s="949">
        <f t="shared" si="7"/>
        <v>4.5</v>
      </c>
      <c r="H93" s="949">
        <f t="shared" si="7"/>
        <v>0</v>
      </c>
      <c r="I93" s="949">
        <f t="shared" si="7"/>
        <v>11.978</v>
      </c>
      <c r="J93" s="949">
        <f t="shared" si="7"/>
        <v>0</v>
      </c>
      <c r="K93" s="949">
        <f t="shared" si="7"/>
        <v>0.5</v>
      </c>
      <c r="L93" s="949">
        <f t="shared" si="7"/>
        <v>3.8</v>
      </c>
      <c r="M93" s="950">
        <f t="shared" si="7"/>
        <v>11.68</v>
      </c>
      <c r="N93" s="951">
        <f t="shared" si="7"/>
        <v>18.805999999999997</v>
      </c>
      <c r="O93" s="949">
        <f t="shared" si="7"/>
        <v>38.247</v>
      </c>
      <c r="P93" s="951">
        <f t="shared" si="7"/>
        <v>33.640000000000008</v>
      </c>
      <c r="Q93" s="949">
        <f t="shared" si="7"/>
        <v>15.666</v>
      </c>
      <c r="R93" s="950">
        <f t="shared" si="7"/>
        <v>30.722999999999999</v>
      </c>
      <c r="S93" s="950">
        <f t="shared" si="7"/>
        <v>6.5</v>
      </c>
      <c r="T93" s="847">
        <f t="shared" si="0"/>
        <v>214.75</v>
      </c>
      <c r="U93" s="951">
        <f t="shared" ref="U93:V93" si="8">SUM(U69:U92)</f>
        <v>222.33999999999997</v>
      </c>
      <c r="V93" s="510">
        <f t="shared" si="8"/>
        <v>0</v>
      </c>
      <c r="W93" s="472"/>
      <c r="X93" s="3"/>
      <c r="Y93" s="3"/>
      <c r="Z93" s="3"/>
      <c r="AA93" s="3"/>
    </row>
    <row r="94" spans="1:27" ht="39.75" customHeight="1">
      <c r="A94" s="831" t="s">
        <v>183</v>
      </c>
      <c r="B94" s="828" t="s">
        <v>184</v>
      </c>
      <c r="C94" s="828" t="s">
        <v>185</v>
      </c>
      <c r="D94" s="829">
        <v>87</v>
      </c>
      <c r="E94" s="829" t="s">
        <v>186</v>
      </c>
      <c r="F94" s="855"/>
      <c r="G94" s="855"/>
      <c r="H94" s="855"/>
      <c r="I94" s="855"/>
      <c r="J94" s="855"/>
      <c r="K94" s="857">
        <v>5</v>
      </c>
      <c r="L94" s="855"/>
      <c r="M94" s="855"/>
      <c r="N94" s="855"/>
      <c r="O94" s="855"/>
      <c r="P94" s="855"/>
      <c r="Q94" s="855"/>
      <c r="R94" s="855"/>
      <c r="S94" s="939"/>
      <c r="T94" s="847">
        <f t="shared" si="0"/>
        <v>5</v>
      </c>
      <c r="U94" s="952">
        <v>0</v>
      </c>
      <c r="V94" s="509" t="s">
        <v>491</v>
      </c>
      <c r="W94" s="473"/>
      <c r="X94" s="3"/>
      <c r="Y94" s="3"/>
      <c r="Z94" s="3"/>
      <c r="AA94" s="3"/>
    </row>
    <row r="95" spans="1:27" ht="39.75" customHeight="1">
      <c r="A95" s="736"/>
      <c r="B95" s="736"/>
      <c r="C95" s="736"/>
      <c r="D95" s="829">
        <v>88</v>
      </c>
      <c r="E95" s="829" t="s">
        <v>188</v>
      </c>
      <c r="F95" s="855"/>
      <c r="G95" s="855"/>
      <c r="H95" s="855"/>
      <c r="I95" s="855"/>
      <c r="J95" s="855"/>
      <c r="K95" s="855"/>
      <c r="L95" s="855"/>
      <c r="M95" s="855"/>
      <c r="N95" s="855"/>
      <c r="O95" s="855"/>
      <c r="P95" s="953">
        <v>4</v>
      </c>
      <c r="Q95" s="855"/>
      <c r="R95" s="855"/>
      <c r="S95" s="939"/>
      <c r="T95" s="847">
        <f t="shared" si="0"/>
        <v>4</v>
      </c>
      <c r="U95" s="952">
        <v>4</v>
      </c>
      <c r="V95" s="504" t="s">
        <v>492</v>
      </c>
      <c r="W95" s="474" t="s">
        <v>492</v>
      </c>
      <c r="X95" s="3"/>
      <c r="Y95" s="3"/>
      <c r="Z95" s="3"/>
      <c r="AA95" s="3"/>
    </row>
    <row r="96" spans="1:27" ht="39.75" customHeight="1">
      <c r="A96" s="736"/>
      <c r="B96" s="736"/>
      <c r="C96" s="736"/>
      <c r="D96" s="829">
        <v>89</v>
      </c>
      <c r="E96" s="829" t="s">
        <v>190</v>
      </c>
      <c r="F96" s="855"/>
      <c r="G96" s="855"/>
      <c r="H96" s="855"/>
      <c r="I96" s="855"/>
      <c r="J96" s="855"/>
      <c r="K96" s="855"/>
      <c r="L96" s="855"/>
      <c r="M96" s="855"/>
      <c r="N96" s="855"/>
      <c r="O96" s="855"/>
      <c r="P96" s="855"/>
      <c r="Q96" s="855"/>
      <c r="R96" s="855"/>
      <c r="S96" s="939"/>
      <c r="T96" s="847">
        <f t="shared" si="0"/>
        <v>0</v>
      </c>
      <c r="U96" s="952">
        <v>0</v>
      </c>
      <c r="V96" s="509"/>
      <c r="W96" s="474"/>
      <c r="X96" s="3"/>
      <c r="Y96" s="3"/>
      <c r="Z96" s="3"/>
      <c r="AA96" s="3"/>
    </row>
    <row r="97" spans="1:27" ht="39.75" customHeight="1">
      <c r="A97" s="736"/>
      <c r="B97" s="736"/>
      <c r="C97" s="736"/>
      <c r="D97" s="829">
        <v>90</v>
      </c>
      <c r="E97" s="829" t="s">
        <v>191</v>
      </c>
      <c r="F97" s="855"/>
      <c r="G97" s="855"/>
      <c r="H97" s="855"/>
      <c r="I97" s="855"/>
      <c r="J97" s="855"/>
      <c r="K97" s="855"/>
      <c r="L97" s="855"/>
      <c r="M97" s="855"/>
      <c r="N97" s="855"/>
      <c r="O97" s="855"/>
      <c r="P97" s="954"/>
      <c r="Q97" s="855"/>
      <c r="R97" s="855"/>
      <c r="S97" s="939"/>
      <c r="T97" s="847">
        <f t="shared" si="0"/>
        <v>0</v>
      </c>
      <c r="U97" s="952">
        <v>0</v>
      </c>
      <c r="V97" s="509"/>
      <c r="W97" s="474"/>
      <c r="X97" s="3"/>
      <c r="Y97" s="3"/>
      <c r="Z97" s="3"/>
      <c r="AA97" s="3"/>
    </row>
    <row r="98" spans="1:27" ht="39.75" customHeight="1">
      <c r="A98" s="736"/>
      <c r="B98" s="736"/>
      <c r="C98" s="736"/>
      <c r="D98" s="829">
        <v>91</v>
      </c>
      <c r="E98" s="829" t="s">
        <v>192</v>
      </c>
      <c r="F98" s="855"/>
      <c r="G98" s="855"/>
      <c r="H98" s="855"/>
      <c r="I98" s="855"/>
      <c r="J98" s="855"/>
      <c r="K98" s="887"/>
      <c r="L98" s="855"/>
      <c r="M98" s="855"/>
      <c r="N98" s="855"/>
      <c r="O98" s="855"/>
      <c r="P98" s="953">
        <v>0</v>
      </c>
      <c r="Q98" s="855"/>
      <c r="R98" s="855"/>
      <c r="S98" s="939"/>
      <c r="T98" s="847">
        <f t="shared" si="0"/>
        <v>0</v>
      </c>
      <c r="U98" s="952">
        <v>0</v>
      </c>
      <c r="V98" s="511"/>
      <c r="W98" s="474"/>
      <c r="X98" s="3"/>
      <c r="Y98" s="3"/>
      <c r="Z98" s="3"/>
      <c r="AA98" s="3"/>
    </row>
    <row r="99" spans="1:27" ht="39.75" customHeight="1">
      <c r="A99" s="736"/>
      <c r="B99" s="736"/>
      <c r="C99" s="736"/>
      <c r="D99" s="829">
        <v>92</v>
      </c>
      <c r="E99" s="829" t="s">
        <v>193</v>
      </c>
      <c r="F99" s="855"/>
      <c r="G99" s="855"/>
      <c r="H99" s="855"/>
      <c r="I99" s="855"/>
      <c r="J99" s="855"/>
      <c r="K99" s="855"/>
      <c r="L99" s="855"/>
      <c r="M99" s="855"/>
      <c r="N99" s="855"/>
      <c r="O99" s="855"/>
      <c r="P99" s="953">
        <v>0</v>
      </c>
      <c r="Q99" s="855"/>
      <c r="R99" s="855"/>
      <c r="S99" s="939"/>
      <c r="T99" s="847">
        <f t="shared" si="0"/>
        <v>0</v>
      </c>
      <c r="U99" s="952">
        <v>0</v>
      </c>
      <c r="V99" s="511"/>
      <c r="W99" s="491"/>
      <c r="X99" s="3"/>
      <c r="Y99" s="3"/>
      <c r="Z99" s="3"/>
      <c r="AA99" s="3"/>
    </row>
    <row r="100" spans="1:27" ht="39.75" customHeight="1">
      <c r="A100" s="736"/>
      <c r="B100" s="736"/>
      <c r="C100" s="736"/>
      <c r="D100" s="829">
        <v>93</v>
      </c>
      <c r="E100" s="829" t="s">
        <v>195</v>
      </c>
      <c r="F100" s="855"/>
      <c r="G100" s="855"/>
      <c r="H100" s="855"/>
      <c r="I100" s="954"/>
      <c r="J100" s="855"/>
      <c r="K100" s="855"/>
      <c r="L100" s="855"/>
      <c r="M100" s="855"/>
      <c r="N100" s="855"/>
      <c r="O100" s="855"/>
      <c r="P100" s="855"/>
      <c r="Q100" s="855"/>
      <c r="R100" s="855"/>
      <c r="S100" s="939"/>
      <c r="T100" s="847">
        <f t="shared" si="0"/>
        <v>0</v>
      </c>
      <c r="U100" s="952">
        <v>0</v>
      </c>
      <c r="V100" s="511"/>
      <c r="W100" s="474"/>
      <c r="X100" s="3"/>
      <c r="Y100" s="3"/>
      <c r="Z100" s="3"/>
      <c r="AA100" s="3"/>
    </row>
    <row r="101" spans="1:27" ht="39.75" customHeight="1">
      <c r="A101" s="736"/>
      <c r="B101" s="736"/>
      <c r="C101" s="736"/>
      <c r="D101" s="829">
        <v>94</v>
      </c>
      <c r="E101" s="829" t="s">
        <v>196</v>
      </c>
      <c r="F101" s="855"/>
      <c r="G101" s="855"/>
      <c r="H101" s="855"/>
      <c r="I101" s="954"/>
      <c r="J101" s="855"/>
      <c r="K101" s="855"/>
      <c r="L101" s="855"/>
      <c r="M101" s="855"/>
      <c r="N101" s="855"/>
      <c r="O101" s="855"/>
      <c r="P101" s="855"/>
      <c r="Q101" s="855"/>
      <c r="R101" s="855"/>
      <c r="S101" s="939"/>
      <c r="T101" s="847">
        <f t="shared" si="0"/>
        <v>0</v>
      </c>
      <c r="U101" s="952">
        <v>0</v>
      </c>
      <c r="V101" s="511"/>
      <c r="W101" s="491"/>
      <c r="X101" s="3"/>
      <c r="Y101" s="3"/>
      <c r="Z101" s="3"/>
      <c r="AA101" s="3"/>
    </row>
    <row r="102" spans="1:27" ht="39.75" customHeight="1">
      <c r="A102" s="736"/>
      <c r="B102" s="736"/>
      <c r="C102" s="736"/>
      <c r="D102" s="829">
        <v>95</v>
      </c>
      <c r="E102" s="829" t="s">
        <v>197</v>
      </c>
      <c r="F102" s="855"/>
      <c r="G102" s="855"/>
      <c r="H102" s="954"/>
      <c r="I102" s="857">
        <v>0</v>
      </c>
      <c r="J102" s="855"/>
      <c r="K102" s="855"/>
      <c r="L102" s="855"/>
      <c r="M102" s="855"/>
      <c r="N102" s="855"/>
      <c r="O102" s="855"/>
      <c r="P102" s="855"/>
      <c r="Q102" s="855"/>
      <c r="R102" s="855"/>
      <c r="S102" s="939"/>
      <c r="T102" s="847">
        <f t="shared" si="0"/>
        <v>0</v>
      </c>
      <c r="U102" s="952">
        <v>0</v>
      </c>
      <c r="V102" s="509"/>
      <c r="W102" s="474"/>
      <c r="X102" s="3"/>
      <c r="Y102" s="3"/>
      <c r="Z102" s="3"/>
      <c r="AA102" s="3"/>
    </row>
    <row r="103" spans="1:27" ht="39.75" customHeight="1">
      <c r="A103" s="736"/>
      <c r="B103" s="736"/>
      <c r="C103" s="736"/>
      <c r="D103" s="829">
        <v>96</v>
      </c>
      <c r="E103" s="829" t="s">
        <v>199</v>
      </c>
      <c r="F103" s="855"/>
      <c r="G103" s="855"/>
      <c r="H103" s="855"/>
      <c r="I103" s="855"/>
      <c r="J103" s="855"/>
      <c r="K103" s="855"/>
      <c r="L103" s="855"/>
      <c r="M103" s="855"/>
      <c r="N103" s="887"/>
      <c r="O103" s="855"/>
      <c r="P103" s="856">
        <v>2</v>
      </c>
      <c r="Q103" s="857">
        <v>1</v>
      </c>
      <c r="R103" s="953">
        <v>1</v>
      </c>
      <c r="S103" s="939"/>
      <c r="T103" s="847">
        <f t="shared" si="0"/>
        <v>4</v>
      </c>
      <c r="U103" s="952">
        <v>4</v>
      </c>
      <c r="V103" s="504" t="s">
        <v>200</v>
      </c>
      <c r="W103" s="492" t="s">
        <v>200</v>
      </c>
      <c r="X103" s="3"/>
      <c r="Y103" s="3"/>
      <c r="Z103" s="3"/>
      <c r="AA103" s="3"/>
    </row>
    <row r="104" spans="1:27" ht="153.75">
      <c r="A104" s="736"/>
      <c r="B104" s="828" t="s">
        <v>201</v>
      </c>
      <c r="C104" s="828" t="s">
        <v>202</v>
      </c>
      <c r="D104" s="829">
        <v>97</v>
      </c>
      <c r="E104" s="829" t="s">
        <v>203</v>
      </c>
      <c r="F104" s="955"/>
      <c r="G104" s="955"/>
      <c r="H104" s="955"/>
      <c r="I104" s="956">
        <v>1</v>
      </c>
      <c r="J104" s="955"/>
      <c r="K104" s="956"/>
      <c r="L104" s="955"/>
      <c r="M104" s="956"/>
      <c r="N104" s="956">
        <v>3.75</v>
      </c>
      <c r="O104" s="955">
        <v>4.5999999999999996</v>
      </c>
      <c r="P104" s="957">
        <v>15.25</v>
      </c>
      <c r="Q104" s="956">
        <v>2.5</v>
      </c>
      <c r="R104" s="957">
        <v>12</v>
      </c>
      <c r="S104" s="955"/>
      <c r="T104" s="956">
        <v>39.1</v>
      </c>
      <c r="U104" s="956">
        <v>39.1</v>
      </c>
      <c r="V104" s="635" t="s">
        <v>204</v>
      </c>
      <c r="W104" s="1015"/>
      <c r="X104" s="3"/>
      <c r="Y104" s="3"/>
      <c r="Z104" s="3"/>
      <c r="AA104" s="3"/>
    </row>
    <row r="105" spans="1:27" ht="39.75" customHeight="1">
      <c r="A105" s="736"/>
      <c r="B105" s="736"/>
      <c r="C105" s="736"/>
      <c r="D105" s="829">
        <v>98</v>
      </c>
      <c r="E105" s="829" t="s">
        <v>53</v>
      </c>
      <c r="F105" s="958"/>
      <c r="G105" s="958"/>
      <c r="H105" s="958"/>
      <c r="I105" s="958"/>
      <c r="J105" s="958"/>
      <c r="K105" s="958"/>
      <c r="L105" s="958"/>
      <c r="M105" s="958"/>
      <c r="N105" s="958"/>
      <c r="O105" s="958"/>
      <c r="P105" s="958"/>
      <c r="Q105" s="958"/>
      <c r="R105" s="958"/>
      <c r="S105" s="958"/>
      <c r="T105" s="956">
        <v>0</v>
      </c>
      <c r="U105" s="956">
        <v>0</v>
      </c>
      <c r="V105" s="512"/>
      <c r="W105" s="493"/>
      <c r="X105" s="3"/>
      <c r="Y105" s="3"/>
      <c r="Z105" s="3"/>
      <c r="AA105" s="3"/>
    </row>
    <row r="106" spans="1:27" ht="39.75" customHeight="1">
      <c r="A106" s="736"/>
      <c r="B106" s="828" t="s">
        <v>205</v>
      </c>
      <c r="C106" s="828" t="s">
        <v>206</v>
      </c>
      <c r="D106" s="829">
        <v>99</v>
      </c>
      <c r="E106" s="829" t="s">
        <v>207</v>
      </c>
      <c r="F106" s="958"/>
      <c r="G106" s="958"/>
      <c r="H106" s="1016"/>
      <c r="I106" s="956">
        <v>2</v>
      </c>
      <c r="J106" s="955"/>
      <c r="K106" s="956"/>
      <c r="L106" s="955"/>
      <c r="M106" s="955"/>
      <c r="N106" s="956">
        <v>1</v>
      </c>
      <c r="O106" s="955"/>
      <c r="P106" s="955"/>
      <c r="Q106" s="956">
        <v>1</v>
      </c>
      <c r="R106" s="958"/>
      <c r="S106" s="958"/>
      <c r="T106" s="956">
        <v>4</v>
      </c>
      <c r="U106" s="956">
        <v>3</v>
      </c>
      <c r="V106" s="512" t="s">
        <v>493</v>
      </c>
      <c r="W106" s="493" t="s">
        <v>429</v>
      </c>
      <c r="X106" s="3"/>
      <c r="Y106" s="3"/>
      <c r="Z106" s="3"/>
      <c r="AA106" s="3"/>
    </row>
    <row r="107" spans="1:27" ht="39.75" customHeight="1">
      <c r="A107" s="736"/>
      <c r="B107" s="736"/>
      <c r="C107" s="736"/>
      <c r="D107" s="829">
        <v>100</v>
      </c>
      <c r="E107" s="829" t="s">
        <v>209</v>
      </c>
      <c r="F107" s="958"/>
      <c r="G107" s="958"/>
      <c r="H107" s="958"/>
      <c r="I107" s="956"/>
      <c r="J107" s="958"/>
      <c r="K107" s="968"/>
      <c r="L107" s="958"/>
      <c r="M107" s="958"/>
      <c r="N107" s="958"/>
      <c r="O107" s="958"/>
      <c r="P107" s="958"/>
      <c r="Q107" s="958"/>
      <c r="R107" s="958"/>
      <c r="S107" s="958"/>
      <c r="T107" s="956">
        <v>0</v>
      </c>
      <c r="U107" s="956">
        <v>0</v>
      </c>
      <c r="V107" s="512"/>
      <c r="W107" s="493"/>
      <c r="X107" s="3"/>
      <c r="Y107" s="3"/>
      <c r="Z107" s="3"/>
      <c r="AA107" s="3"/>
    </row>
    <row r="108" spans="1:27" ht="39.75" customHeight="1">
      <c r="A108" s="736"/>
      <c r="B108" s="736"/>
      <c r="C108" s="736"/>
      <c r="D108" s="829">
        <v>101</v>
      </c>
      <c r="E108" s="829" t="s">
        <v>210</v>
      </c>
      <c r="F108" s="958"/>
      <c r="G108" s="958"/>
      <c r="H108" s="958"/>
      <c r="I108" s="958"/>
      <c r="J108" s="958"/>
      <c r="K108" s="958"/>
      <c r="L108" s="958"/>
      <c r="M108" s="958"/>
      <c r="N108" s="958"/>
      <c r="O108" s="958"/>
      <c r="P108" s="958"/>
      <c r="Q108" s="958"/>
      <c r="R108" s="958"/>
      <c r="S108" s="958"/>
      <c r="T108" s="956">
        <v>0</v>
      </c>
      <c r="U108" s="956">
        <v>0</v>
      </c>
      <c r="V108" s="512"/>
      <c r="W108" s="493"/>
      <c r="X108" s="3"/>
      <c r="Y108" s="3"/>
      <c r="Z108" s="3"/>
      <c r="AA108" s="3"/>
    </row>
    <row r="109" spans="1:27" ht="39.75" customHeight="1">
      <c r="A109" s="736"/>
      <c r="B109" s="736"/>
      <c r="C109" s="736"/>
      <c r="D109" s="829">
        <v>102</v>
      </c>
      <c r="E109" s="829" t="s">
        <v>211</v>
      </c>
      <c r="F109" s="958"/>
      <c r="G109" s="958"/>
      <c r="H109" s="958"/>
      <c r="I109" s="958"/>
      <c r="J109" s="958"/>
      <c r="K109" s="958"/>
      <c r="L109" s="958"/>
      <c r="M109" s="958"/>
      <c r="N109" s="958"/>
      <c r="O109" s="958"/>
      <c r="P109" s="958"/>
      <c r="Q109" s="968"/>
      <c r="R109" s="958"/>
      <c r="S109" s="958"/>
      <c r="T109" s="956">
        <v>0</v>
      </c>
      <c r="U109" s="956">
        <v>0</v>
      </c>
      <c r="V109" s="512"/>
      <c r="W109" s="493"/>
      <c r="X109" s="3"/>
      <c r="Y109" s="3"/>
      <c r="Z109" s="3"/>
      <c r="AA109" s="3"/>
    </row>
    <row r="110" spans="1:27" ht="39.75" customHeight="1">
      <c r="A110" s="736"/>
      <c r="B110" s="736"/>
      <c r="C110" s="736"/>
      <c r="D110" s="829">
        <v>103</v>
      </c>
      <c r="E110" s="829" t="s">
        <v>53</v>
      </c>
      <c r="F110" s="958"/>
      <c r="G110" s="958"/>
      <c r="H110" s="958"/>
      <c r="I110" s="958"/>
      <c r="J110" s="958"/>
      <c r="K110" s="958"/>
      <c r="L110" s="958"/>
      <c r="M110" s="958"/>
      <c r="N110" s="958"/>
      <c r="O110" s="958"/>
      <c r="P110" s="957">
        <v>4.3</v>
      </c>
      <c r="Q110" s="958"/>
      <c r="R110" s="1016">
        <v>0</v>
      </c>
      <c r="S110" s="1016"/>
      <c r="T110" s="956">
        <v>4.3</v>
      </c>
      <c r="U110" s="956">
        <v>4.3</v>
      </c>
      <c r="V110" s="512" t="s">
        <v>212</v>
      </c>
      <c r="W110" s="493"/>
      <c r="X110" s="3"/>
      <c r="Y110" s="3"/>
      <c r="Z110" s="3"/>
      <c r="AA110" s="3"/>
    </row>
    <row r="111" spans="1:27" ht="39.75" customHeight="1">
      <c r="A111" s="736"/>
      <c r="B111" s="828" t="s">
        <v>213</v>
      </c>
      <c r="C111" s="828" t="s">
        <v>214</v>
      </c>
      <c r="D111" s="829">
        <v>104</v>
      </c>
      <c r="E111" s="829" t="s">
        <v>215</v>
      </c>
      <c r="F111" s="955"/>
      <c r="G111" s="955"/>
      <c r="H111" s="955"/>
      <c r="I111" s="955"/>
      <c r="J111" s="955"/>
      <c r="K111" s="955"/>
      <c r="L111" s="955"/>
      <c r="M111" s="955"/>
      <c r="N111" s="957">
        <v>0.8</v>
      </c>
      <c r="O111" s="955"/>
      <c r="P111" s="957"/>
      <c r="Q111" s="957">
        <v>1.5</v>
      </c>
      <c r="R111" s="957">
        <v>1.5</v>
      </c>
      <c r="S111" s="957"/>
      <c r="T111" s="956">
        <v>3.8</v>
      </c>
      <c r="U111" s="956">
        <v>3.8</v>
      </c>
      <c r="V111" s="635" t="s">
        <v>1622</v>
      </c>
      <c r="W111" s="493"/>
      <c r="X111" s="3"/>
      <c r="Y111" s="3"/>
      <c r="Z111" s="3"/>
      <c r="AA111" s="3"/>
    </row>
    <row r="112" spans="1:27" ht="39.75" customHeight="1">
      <c r="A112" s="736"/>
      <c r="B112" s="736"/>
      <c r="C112" s="736"/>
      <c r="D112" s="829">
        <v>105</v>
      </c>
      <c r="E112" s="829" t="s">
        <v>216</v>
      </c>
      <c r="F112" s="955"/>
      <c r="G112" s="955"/>
      <c r="H112" s="955"/>
      <c r="I112" s="955"/>
      <c r="J112" s="955"/>
      <c r="K112" s="955"/>
      <c r="L112" s="955"/>
      <c r="M112" s="955"/>
      <c r="N112" s="955"/>
      <c r="O112" s="955"/>
      <c r="P112" s="955">
        <v>2</v>
      </c>
      <c r="Q112" s="955"/>
      <c r="R112" s="955"/>
      <c r="S112" s="955"/>
      <c r="T112" s="956">
        <v>2</v>
      </c>
      <c r="U112" s="956">
        <v>2</v>
      </c>
      <c r="V112" s="512" t="s">
        <v>217</v>
      </c>
      <c r="W112" s="493"/>
      <c r="X112" s="3"/>
      <c r="Y112" s="3"/>
      <c r="Z112" s="3"/>
      <c r="AA112" s="3"/>
    </row>
    <row r="113" spans="1:27" ht="39.75" customHeight="1">
      <c r="A113" s="736"/>
      <c r="B113" s="736"/>
      <c r="C113" s="736"/>
      <c r="D113" s="829">
        <v>106</v>
      </c>
      <c r="E113" s="829" t="s">
        <v>218</v>
      </c>
      <c r="F113" s="955"/>
      <c r="G113" s="955"/>
      <c r="H113" s="955"/>
      <c r="I113" s="956"/>
      <c r="J113" s="955"/>
      <c r="K113" s="956"/>
      <c r="L113" s="955"/>
      <c r="M113" s="955"/>
      <c r="N113" s="956">
        <v>0.2</v>
      </c>
      <c r="O113" s="955"/>
      <c r="P113" s="957"/>
      <c r="Q113" s="958"/>
      <c r="R113" s="958"/>
      <c r="S113" s="958"/>
      <c r="T113" s="956">
        <v>0.2</v>
      </c>
      <c r="U113" s="956">
        <v>0.2</v>
      </c>
      <c r="V113" s="512" t="s">
        <v>219</v>
      </c>
      <c r="W113" s="493"/>
      <c r="X113" s="3"/>
      <c r="Y113" s="3"/>
      <c r="Z113" s="3"/>
      <c r="AA113" s="3"/>
    </row>
    <row r="114" spans="1:27" ht="64.5">
      <c r="A114" s="736"/>
      <c r="B114" s="828" t="s">
        <v>220</v>
      </c>
      <c r="C114" s="828" t="s">
        <v>221</v>
      </c>
      <c r="D114" s="829">
        <v>107</v>
      </c>
      <c r="E114" s="829" t="s">
        <v>222</v>
      </c>
      <c r="F114" s="958"/>
      <c r="G114" s="958"/>
      <c r="H114" s="958"/>
      <c r="I114" s="956"/>
      <c r="J114" s="958"/>
      <c r="K114" s="968"/>
      <c r="L114" s="958"/>
      <c r="M114" s="958"/>
      <c r="N114" s="968"/>
      <c r="O114" s="958"/>
      <c r="P114" s="957">
        <v>2.5</v>
      </c>
      <c r="Q114" s="955"/>
      <c r="R114" s="957">
        <v>1</v>
      </c>
      <c r="S114" s="958"/>
      <c r="T114" s="956">
        <v>3.5</v>
      </c>
      <c r="U114" s="956">
        <v>3.5</v>
      </c>
      <c r="V114" s="512" t="s">
        <v>223</v>
      </c>
      <c r="W114" s="493"/>
      <c r="X114" s="3"/>
      <c r="Y114" s="3"/>
      <c r="Z114" s="3"/>
      <c r="AA114" s="3"/>
    </row>
    <row r="115" spans="1:27" ht="30">
      <c r="A115" s="736"/>
      <c r="B115" s="736"/>
      <c r="C115" s="736"/>
      <c r="D115" s="829">
        <v>108</v>
      </c>
      <c r="E115" s="829" t="s">
        <v>224</v>
      </c>
      <c r="F115" s="958"/>
      <c r="G115" s="958"/>
      <c r="H115" s="958"/>
      <c r="I115" s="968"/>
      <c r="J115" s="958"/>
      <c r="K115" s="968"/>
      <c r="L115" s="958"/>
      <c r="M115" s="958"/>
      <c r="N115" s="958"/>
      <c r="O115" s="958"/>
      <c r="P115" s="957">
        <v>3</v>
      </c>
      <c r="Q115" s="958"/>
      <c r="R115" s="958"/>
      <c r="S115" s="958"/>
      <c r="T115" s="956">
        <v>3</v>
      </c>
      <c r="U115" s="956">
        <v>3</v>
      </c>
      <c r="V115" s="512" t="s">
        <v>225</v>
      </c>
      <c r="W115" s="493"/>
      <c r="X115" s="3"/>
      <c r="Y115" s="3"/>
      <c r="Z115" s="3"/>
      <c r="AA115" s="3"/>
    </row>
    <row r="116" spans="1:27" ht="39.75" customHeight="1">
      <c r="A116" s="736"/>
      <c r="B116" s="736"/>
      <c r="C116" s="736"/>
      <c r="D116" s="829">
        <v>109</v>
      </c>
      <c r="E116" s="829" t="s">
        <v>226</v>
      </c>
      <c r="F116" s="958"/>
      <c r="G116" s="958"/>
      <c r="H116" s="1016"/>
      <c r="I116" s="956"/>
      <c r="J116" s="958"/>
      <c r="K116" s="968"/>
      <c r="L116" s="958"/>
      <c r="M116" s="958"/>
      <c r="N116" s="958"/>
      <c r="O116" s="958"/>
      <c r="P116" s="955"/>
      <c r="Q116" s="958"/>
      <c r="R116" s="958"/>
      <c r="S116" s="958"/>
      <c r="T116" s="956">
        <v>0</v>
      </c>
      <c r="U116" s="956">
        <v>0</v>
      </c>
      <c r="V116" s="512"/>
      <c r="W116" s="493"/>
      <c r="X116" s="3"/>
      <c r="Y116" s="3"/>
      <c r="Z116" s="3"/>
      <c r="AA116" s="3"/>
    </row>
    <row r="117" spans="1:27" ht="115.5">
      <c r="A117" s="736"/>
      <c r="B117" s="736"/>
      <c r="C117" s="736"/>
      <c r="D117" s="829">
        <v>110</v>
      </c>
      <c r="E117" s="829" t="s">
        <v>227</v>
      </c>
      <c r="F117" s="958"/>
      <c r="G117" s="958"/>
      <c r="H117" s="958"/>
      <c r="I117" s="968"/>
      <c r="J117" s="958"/>
      <c r="K117" s="968"/>
      <c r="L117" s="958"/>
      <c r="M117" s="1016"/>
      <c r="N117" s="956">
        <v>3</v>
      </c>
      <c r="O117" s="957">
        <v>33.840000000000003</v>
      </c>
      <c r="P117" s="956"/>
      <c r="Q117" s="957">
        <v>5.07</v>
      </c>
      <c r="R117" s="957">
        <v>3</v>
      </c>
      <c r="S117" s="958"/>
      <c r="T117" s="847">
        <f>SUM(F117:S117)</f>
        <v>44.910000000000004</v>
      </c>
      <c r="U117" s="956">
        <f>T117</f>
        <v>44.910000000000004</v>
      </c>
      <c r="V117" s="503" t="s">
        <v>494</v>
      </c>
      <c r="W117" s="493"/>
      <c r="X117" s="3"/>
      <c r="Y117" s="3"/>
      <c r="Z117" s="3"/>
      <c r="AA117" s="3"/>
    </row>
    <row r="118" spans="1:27" ht="39.75" customHeight="1">
      <c r="A118" s="736"/>
      <c r="B118" s="736"/>
      <c r="C118" s="736"/>
      <c r="D118" s="829">
        <v>111</v>
      </c>
      <c r="E118" s="829" t="s">
        <v>53</v>
      </c>
      <c r="F118" s="958"/>
      <c r="G118" s="958"/>
      <c r="H118" s="958"/>
      <c r="I118" s="1016"/>
      <c r="J118" s="958"/>
      <c r="K118" s="1016"/>
      <c r="L118" s="958"/>
      <c r="M118" s="955"/>
      <c r="N118" s="958"/>
      <c r="O118" s="958"/>
      <c r="P118" s="1016"/>
      <c r="Q118" s="968"/>
      <c r="R118" s="958"/>
      <c r="S118" s="1016"/>
      <c r="T118" s="956">
        <v>0</v>
      </c>
      <c r="U118" s="956">
        <v>0</v>
      </c>
      <c r="V118" s="512"/>
      <c r="W118" s="493"/>
      <c r="X118" s="3"/>
      <c r="Y118" s="3"/>
      <c r="Z118" s="3"/>
      <c r="AA118" s="3"/>
    </row>
    <row r="119" spans="1:27" ht="39.75" customHeight="1">
      <c r="A119" s="736"/>
      <c r="B119" s="828" t="s">
        <v>229</v>
      </c>
      <c r="C119" s="828" t="s">
        <v>230</v>
      </c>
      <c r="D119" s="829">
        <v>112</v>
      </c>
      <c r="E119" s="829" t="s">
        <v>231</v>
      </c>
      <c r="F119" s="958"/>
      <c r="G119" s="958"/>
      <c r="H119" s="958"/>
      <c r="I119" s="956"/>
      <c r="J119" s="955"/>
      <c r="K119" s="968"/>
      <c r="L119" s="958"/>
      <c r="M119" s="958">
        <v>0.5</v>
      </c>
      <c r="N119" s="958"/>
      <c r="O119" s="958"/>
      <c r="P119" s="958"/>
      <c r="Q119" s="968"/>
      <c r="R119" s="958"/>
      <c r="S119" s="958"/>
      <c r="T119" s="956">
        <v>0.5</v>
      </c>
      <c r="U119" s="956">
        <v>0</v>
      </c>
      <c r="V119" s="635" t="s">
        <v>495</v>
      </c>
      <c r="W119" s="493"/>
      <c r="X119" s="3"/>
      <c r="Y119" s="3"/>
      <c r="Z119" s="3"/>
      <c r="AA119" s="3"/>
    </row>
    <row r="120" spans="1:27" ht="55.5" customHeight="1">
      <c r="A120" s="736"/>
      <c r="B120" s="736"/>
      <c r="C120" s="736"/>
      <c r="D120" s="829">
        <v>113</v>
      </c>
      <c r="E120" s="829" t="s">
        <v>232</v>
      </c>
      <c r="F120" s="955"/>
      <c r="G120" s="955"/>
      <c r="H120" s="955"/>
      <c r="I120" s="956"/>
      <c r="J120" s="955"/>
      <c r="K120" s="956"/>
      <c r="L120" s="955"/>
      <c r="M120" s="956"/>
      <c r="N120" s="956">
        <v>0.5</v>
      </c>
      <c r="O120" s="955"/>
      <c r="P120" s="955"/>
      <c r="Q120" s="956">
        <v>0.3</v>
      </c>
      <c r="R120" s="955"/>
      <c r="S120" s="955"/>
      <c r="T120" s="956">
        <v>0.8</v>
      </c>
      <c r="U120" s="956">
        <v>0.8</v>
      </c>
      <c r="V120" s="635" t="s">
        <v>496</v>
      </c>
      <c r="W120" s="493"/>
      <c r="X120" s="3"/>
      <c r="Y120" s="3"/>
      <c r="Z120" s="3"/>
      <c r="AA120" s="3"/>
    </row>
    <row r="121" spans="1:27" ht="59.25" customHeight="1">
      <c r="A121" s="736"/>
      <c r="B121" s="829" t="s">
        <v>234</v>
      </c>
      <c r="C121" s="829" t="s">
        <v>235</v>
      </c>
      <c r="D121" s="829">
        <v>114</v>
      </c>
      <c r="E121" s="829" t="s">
        <v>236</v>
      </c>
      <c r="F121" s="958"/>
      <c r="G121" s="958"/>
      <c r="H121" s="1016"/>
      <c r="I121" s="958">
        <v>0.14000000000000001</v>
      </c>
      <c r="J121" s="958"/>
      <c r="K121" s="958"/>
      <c r="L121" s="958"/>
      <c r="M121" s="958"/>
      <c r="N121" s="957">
        <v>0.5</v>
      </c>
      <c r="O121" s="958"/>
      <c r="P121" s="957">
        <v>32.9</v>
      </c>
      <c r="Q121" s="956">
        <v>0.5</v>
      </c>
      <c r="R121" s="957">
        <v>0.5</v>
      </c>
      <c r="S121" s="1016">
        <v>0</v>
      </c>
      <c r="T121" s="956">
        <v>34.54</v>
      </c>
      <c r="U121" s="956">
        <v>34.54</v>
      </c>
      <c r="V121" s="635" t="s">
        <v>497</v>
      </c>
      <c r="W121" s="493"/>
      <c r="X121" s="3"/>
      <c r="Y121" s="3"/>
      <c r="Z121" s="3"/>
      <c r="AA121" s="3"/>
    </row>
    <row r="122" spans="1:27" ht="57.75" customHeight="1">
      <c r="A122" s="736"/>
      <c r="B122" s="828" t="s">
        <v>238</v>
      </c>
      <c r="C122" s="828" t="s">
        <v>239</v>
      </c>
      <c r="D122" s="829">
        <v>115</v>
      </c>
      <c r="E122" s="829" t="s">
        <v>240</v>
      </c>
      <c r="F122" s="958"/>
      <c r="G122" s="958"/>
      <c r="H122" s="958"/>
      <c r="I122" s="958"/>
      <c r="J122" s="958"/>
      <c r="K122" s="958"/>
      <c r="L122" s="958"/>
      <c r="M122" s="968">
        <v>1</v>
      </c>
      <c r="N122" s="958"/>
      <c r="O122" s="958"/>
      <c r="P122" s="958"/>
      <c r="Q122" s="958">
        <v>6.9</v>
      </c>
      <c r="R122" s="958"/>
      <c r="S122" s="958"/>
      <c r="T122" s="956">
        <v>7.9</v>
      </c>
      <c r="U122" s="956">
        <v>7.9</v>
      </c>
      <c r="V122" s="635" t="s">
        <v>498</v>
      </c>
      <c r="W122" s="493"/>
      <c r="X122" s="3"/>
      <c r="Y122" s="3"/>
      <c r="Z122" s="3"/>
      <c r="AA122" s="3"/>
    </row>
    <row r="123" spans="1:27" ht="42" customHeight="1">
      <c r="A123" s="736"/>
      <c r="B123" s="736"/>
      <c r="C123" s="736"/>
      <c r="D123" s="829">
        <v>116</v>
      </c>
      <c r="E123" s="829" t="s">
        <v>242</v>
      </c>
      <c r="F123" s="958"/>
      <c r="G123" s="958"/>
      <c r="H123" s="958"/>
      <c r="I123" s="958"/>
      <c r="J123" s="958"/>
      <c r="K123" s="958"/>
      <c r="L123" s="958"/>
      <c r="M123" s="956">
        <v>6.3</v>
      </c>
      <c r="N123" s="958"/>
      <c r="O123" s="958"/>
      <c r="P123" s="958"/>
      <c r="Q123" s="956"/>
      <c r="R123" s="958"/>
      <c r="S123" s="958"/>
      <c r="T123" s="956">
        <v>6.3</v>
      </c>
      <c r="U123" s="956">
        <v>6.3</v>
      </c>
      <c r="V123" s="635" t="s">
        <v>243</v>
      </c>
      <c r="W123" s="493"/>
      <c r="X123" s="3"/>
      <c r="Y123" s="3"/>
      <c r="Z123" s="3"/>
      <c r="AA123" s="3"/>
    </row>
    <row r="124" spans="1:27" ht="39.75" customHeight="1">
      <c r="A124" s="736"/>
      <c r="B124" s="736"/>
      <c r="C124" s="736"/>
      <c r="D124" s="829">
        <v>117</v>
      </c>
      <c r="E124" s="829" t="s">
        <v>244</v>
      </c>
      <c r="F124" s="958"/>
      <c r="G124" s="958"/>
      <c r="H124" s="958"/>
      <c r="I124" s="958"/>
      <c r="J124" s="958"/>
      <c r="K124" s="958"/>
      <c r="L124" s="958"/>
      <c r="M124" s="958"/>
      <c r="N124" s="958"/>
      <c r="O124" s="958"/>
      <c r="P124" s="958"/>
      <c r="Q124" s="958"/>
      <c r="R124" s="958"/>
      <c r="S124" s="958"/>
      <c r="T124" s="956">
        <v>0</v>
      </c>
      <c r="U124" s="956">
        <v>0</v>
      </c>
      <c r="V124" s="512"/>
      <c r="W124" s="493"/>
      <c r="X124" s="3"/>
      <c r="Y124" s="3"/>
      <c r="Z124" s="3"/>
      <c r="AA124" s="3"/>
    </row>
    <row r="125" spans="1:27" ht="39.75" customHeight="1">
      <c r="A125" s="736"/>
      <c r="B125" s="736"/>
      <c r="C125" s="736"/>
      <c r="D125" s="829">
        <v>118</v>
      </c>
      <c r="E125" s="829" t="s">
        <v>53</v>
      </c>
      <c r="F125" s="958"/>
      <c r="G125" s="958"/>
      <c r="H125" s="958"/>
      <c r="I125" s="958"/>
      <c r="J125" s="958"/>
      <c r="K125" s="958"/>
      <c r="L125" s="958"/>
      <c r="M125" s="958"/>
      <c r="N125" s="958"/>
      <c r="O125" s="958"/>
      <c r="P125" s="958"/>
      <c r="Q125" s="968"/>
      <c r="R125" s="958"/>
      <c r="S125" s="958"/>
      <c r="T125" s="956">
        <v>0</v>
      </c>
      <c r="U125" s="956">
        <v>0</v>
      </c>
      <c r="V125" s="512"/>
      <c r="W125" s="493"/>
      <c r="X125" s="3"/>
      <c r="Y125" s="3"/>
      <c r="Z125" s="3"/>
      <c r="AA125" s="3"/>
    </row>
    <row r="126" spans="1:27" ht="55.5" customHeight="1">
      <c r="A126" s="736"/>
      <c r="B126" s="829" t="s">
        <v>245</v>
      </c>
      <c r="C126" s="829" t="s">
        <v>246</v>
      </c>
      <c r="D126" s="829">
        <v>119</v>
      </c>
      <c r="E126" s="829" t="s">
        <v>247</v>
      </c>
      <c r="F126" s="955"/>
      <c r="G126" s="955"/>
      <c r="H126" s="957"/>
      <c r="I126" s="956"/>
      <c r="J126" s="955"/>
      <c r="K126" s="955"/>
      <c r="L126" s="955"/>
      <c r="M126" s="955"/>
      <c r="N126" s="956">
        <v>2</v>
      </c>
      <c r="O126" s="955"/>
      <c r="P126" s="957">
        <v>8</v>
      </c>
      <c r="Q126" s="956"/>
      <c r="R126" s="955"/>
      <c r="S126" s="955">
        <v>0</v>
      </c>
      <c r="T126" s="956">
        <v>10</v>
      </c>
      <c r="U126" s="956">
        <v>10</v>
      </c>
      <c r="V126" s="503" t="s">
        <v>248</v>
      </c>
      <c r="W126" s="493"/>
      <c r="X126" s="3"/>
      <c r="Y126" s="3"/>
      <c r="Z126" s="3"/>
      <c r="AA126" s="3"/>
    </row>
    <row r="127" spans="1:27" ht="39.75" customHeight="1">
      <c r="A127" s="736"/>
      <c r="B127" s="829" t="s">
        <v>249</v>
      </c>
      <c r="C127" s="829" t="s">
        <v>250</v>
      </c>
      <c r="D127" s="829">
        <v>120</v>
      </c>
      <c r="E127" s="829" t="s">
        <v>251</v>
      </c>
      <c r="F127" s="958"/>
      <c r="G127" s="958"/>
      <c r="H127" s="958"/>
      <c r="I127" s="958"/>
      <c r="J127" s="958"/>
      <c r="K127" s="1016"/>
      <c r="L127" s="958"/>
      <c r="M127" s="1016"/>
      <c r="N127" s="968"/>
      <c r="O127" s="958"/>
      <c r="P127" s="1016"/>
      <c r="Q127" s="968"/>
      <c r="R127" s="1016"/>
      <c r="S127" s="958"/>
      <c r="T127" s="956">
        <v>0</v>
      </c>
      <c r="U127" s="956">
        <v>0</v>
      </c>
      <c r="V127" s="512"/>
      <c r="W127" s="1017"/>
      <c r="X127" s="3"/>
      <c r="Y127" s="3"/>
      <c r="Z127" s="3"/>
      <c r="AA127" s="3"/>
    </row>
    <row r="128" spans="1:27" ht="78.75" customHeight="1">
      <c r="A128" s="736"/>
      <c r="B128" s="828" t="s">
        <v>252</v>
      </c>
      <c r="C128" s="828" t="s">
        <v>253</v>
      </c>
      <c r="D128" s="829">
        <v>121</v>
      </c>
      <c r="E128" s="829" t="s">
        <v>254</v>
      </c>
      <c r="F128" s="940">
        <v>0</v>
      </c>
      <c r="G128" s="940">
        <v>0</v>
      </c>
      <c r="H128" s="940">
        <v>0</v>
      </c>
      <c r="I128" s="952">
        <v>0</v>
      </c>
      <c r="J128" s="940">
        <v>0</v>
      </c>
      <c r="K128" s="940">
        <v>0</v>
      </c>
      <c r="L128" s="940">
        <v>0</v>
      </c>
      <c r="M128" s="940">
        <v>0</v>
      </c>
      <c r="N128" s="940">
        <v>0.48</v>
      </c>
      <c r="O128" s="940">
        <v>0</v>
      </c>
      <c r="P128" s="940">
        <v>0</v>
      </c>
      <c r="Q128" s="940">
        <v>0</v>
      </c>
      <c r="R128" s="940">
        <v>0</v>
      </c>
      <c r="S128" s="940">
        <v>0</v>
      </c>
      <c r="T128" s="847">
        <f t="shared" ref="T128:T130" si="9">SUM(F128:S128)</f>
        <v>0.48</v>
      </c>
      <c r="U128" s="952">
        <v>0.96</v>
      </c>
      <c r="V128" s="635" t="s">
        <v>499</v>
      </c>
      <c r="W128" s="490" t="s">
        <v>500</v>
      </c>
      <c r="X128" s="3"/>
      <c r="Y128" s="3"/>
      <c r="Z128" s="3"/>
      <c r="AA128" s="3"/>
    </row>
    <row r="129" spans="1:27" ht="39.75" customHeight="1">
      <c r="A129" s="736"/>
      <c r="B129" s="736"/>
      <c r="C129" s="736"/>
      <c r="D129" s="829">
        <v>122</v>
      </c>
      <c r="E129" s="829" t="s">
        <v>256</v>
      </c>
      <c r="F129" s="940">
        <v>0</v>
      </c>
      <c r="G129" s="940">
        <v>0</v>
      </c>
      <c r="H129" s="940">
        <v>0</v>
      </c>
      <c r="I129" s="940">
        <v>0</v>
      </c>
      <c r="J129" s="940">
        <v>0</v>
      </c>
      <c r="K129" s="940">
        <v>0</v>
      </c>
      <c r="L129" s="940">
        <v>0</v>
      </c>
      <c r="M129" s="940">
        <v>0</v>
      </c>
      <c r="N129" s="940">
        <v>0</v>
      </c>
      <c r="O129" s="940">
        <v>0</v>
      </c>
      <c r="P129" s="940">
        <v>0</v>
      </c>
      <c r="Q129" s="940">
        <v>0</v>
      </c>
      <c r="R129" s="940">
        <v>0</v>
      </c>
      <c r="S129" s="940">
        <v>0</v>
      </c>
      <c r="T129" s="847">
        <f t="shared" si="9"/>
        <v>0</v>
      </c>
      <c r="U129" s="952">
        <v>0</v>
      </c>
      <c r="V129" s="508"/>
      <c r="W129" s="494"/>
      <c r="X129" s="3"/>
      <c r="Y129" s="3"/>
      <c r="Z129" s="3"/>
      <c r="AA129" s="3"/>
    </row>
    <row r="130" spans="1:27" ht="75">
      <c r="A130" s="736"/>
      <c r="B130" s="736"/>
      <c r="C130" s="736"/>
      <c r="D130" s="829">
        <v>123</v>
      </c>
      <c r="E130" s="829" t="s">
        <v>257</v>
      </c>
      <c r="F130" s="940">
        <v>0</v>
      </c>
      <c r="G130" s="940">
        <v>0</v>
      </c>
      <c r="H130" s="940">
        <v>0</v>
      </c>
      <c r="I130" s="940">
        <v>0</v>
      </c>
      <c r="J130" s="940">
        <v>0</v>
      </c>
      <c r="K130" s="940">
        <v>0</v>
      </c>
      <c r="L130" s="940">
        <v>0</v>
      </c>
      <c r="M130" s="940">
        <v>0</v>
      </c>
      <c r="N130" s="940">
        <v>0</v>
      </c>
      <c r="O130" s="940">
        <v>0</v>
      </c>
      <c r="P130" s="959">
        <v>0</v>
      </c>
      <c r="Q130" s="952">
        <v>1.5</v>
      </c>
      <c r="R130" s="940">
        <v>0</v>
      </c>
      <c r="S130" s="940">
        <v>0</v>
      </c>
      <c r="T130" s="847">
        <f t="shared" si="9"/>
        <v>1.5</v>
      </c>
      <c r="U130" s="952">
        <v>1.5</v>
      </c>
      <c r="V130" s="635" t="s">
        <v>258</v>
      </c>
      <c r="W130" s="494" t="s">
        <v>258</v>
      </c>
      <c r="X130" s="3"/>
      <c r="Y130" s="3"/>
      <c r="Z130" s="3"/>
      <c r="AA130" s="3"/>
    </row>
    <row r="131" spans="1:27" ht="39.75" customHeight="1">
      <c r="A131" s="736"/>
      <c r="B131" s="828" t="s">
        <v>259</v>
      </c>
      <c r="C131" s="828" t="s">
        <v>260</v>
      </c>
      <c r="D131" s="829">
        <v>124</v>
      </c>
      <c r="E131" s="829" t="s">
        <v>261</v>
      </c>
      <c r="F131" s="940"/>
      <c r="G131" s="940"/>
      <c r="H131" s="959">
        <v>0</v>
      </c>
      <c r="I131" s="940"/>
      <c r="J131" s="940"/>
      <c r="K131" s="940"/>
      <c r="L131" s="940"/>
      <c r="M131" s="940"/>
      <c r="N131" s="940">
        <v>1</v>
      </c>
      <c r="O131" s="940"/>
      <c r="P131" s="940"/>
      <c r="Q131" s="959">
        <v>0.5</v>
      </c>
      <c r="R131" s="940"/>
      <c r="S131" s="940"/>
      <c r="T131" s="956">
        <v>1.5</v>
      </c>
      <c r="U131" s="956">
        <v>1.5</v>
      </c>
      <c r="V131" s="635" t="s">
        <v>501</v>
      </c>
      <c r="W131" s="472"/>
      <c r="X131" s="3"/>
      <c r="Y131" s="3"/>
      <c r="Z131" s="3"/>
      <c r="AA131" s="3"/>
    </row>
    <row r="132" spans="1:27" ht="39.75" customHeight="1">
      <c r="A132" s="736"/>
      <c r="B132" s="736"/>
      <c r="C132" s="736"/>
      <c r="D132" s="829">
        <v>125</v>
      </c>
      <c r="E132" s="829" t="s">
        <v>263</v>
      </c>
      <c r="F132" s="940"/>
      <c r="G132" s="940"/>
      <c r="H132" s="959"/>
      <c r="I132" s="940"/>
      <c r="J132" s="940"/>
      <c r="K132" s="940"/>
      <c r="L132" s="940"/>
      <c r="M132" s="940"/>
      <c r="N132" s="940">
        <v>1</v>
      </c>
      <c r="O132" s="940"/>
      <c r="P132" s="940"/>
      <c r="Q132" s="959">
        <v>0.5</v>
      </c>
      <c r="R132" s="940"/>
      <c r="S132" s="940"/>
      <c r="T132" s="956">
        <v>1.5</v>
      </c>
      <c r="U132" s="956">
        <v>1.5</v>
      </c>
      <c r="V132" s="635" t="s">
        <v>502</v>
      </c>
      <c r="W132" s="472"/>
      <c r="X132" s="3"/>
      <c r="Y132" s="3"/>
      <c r="Z132" s="3"/>
      <c r="AA132" s="3"/>
    </row>
    <row r="133" spans="1:27" ht="39.75" customHeight="1">
      <c r="A133" s="736"/>
      <c r="B133" s="829" t="s">
        <v>264</v>
      </c>
      <c r="C133" s="829" t="s">
        <v>265</v>
      </c>
      <c r="D133" s="829">
        <v>126</v>
      </c>
      <c r="E133" s="829" t="s">
        <v>181</v>
      </c>
      <c r="F133" s="979"/>
      <c r="G133" s="979"/>
      <c r="H133" s="979"/>
      <c r="I133" s="979"/>
      <c r="J133" s="979"/>
      <c r="K133" s="979"/>
      <c r="L133" s="979"/>
      <c r="M133" s="979"/>
      <c r="N133" s="979"/>
      <c r="O133" s="979"/>
      <c r="P133" s="979"/>
      <c r="Q133" s="979"/>
      <c r="R133" s="979"/>
      <c r="S133" s="979"/>
      <c r="T133" s="847">
        <f t="shared" ref="T133:T205" si="10">SUM(F133:S133)</f>
        <v>0</v>
      </c>
      <c r="U133" s="847">
        <v>0</v>
      </c>
      <c r="V133" s="503"/>
      <c r="W133" s="472"/>
      <c r="X133" s="3"/>
      <c r="Y133" s="3"/>
      <c r="Z133" s="3"/>
      <c r="AA133" s="3"/>
    </row>
    <row r="134" spans="1:27" ht="39.75" customHeight="1">
      <c r="A134" s="736"/>
      <c r="B134" s="948" t="s">
        <v>266</v>
      </c>
      <c r="C134" s="736"/>
      <c r="D134" s="736"/>
      <c r="E134" s="949"/>
      <c r="F134" s="949">
        <f t="shared" ref="F134:S134" si="11">SUM(F94:F133)</f>
        <v>0</v>
      </c>
      <c r="G134" s="949">
        <f t="shared" si="11"/>
        <v>0</v>
      </c>
      <c r="H134" s="949">
        <f t="shared" si="11"/>
        <v>0</v>
      </c>
      <c r="I134" s="949">
        <f t="shared" si="11"/>
        <v>3.14</v>
      </c>
      <c r="J134" s="949">
        <f t="shared" si="11"/>
        <v>0</v>
      </c>
      <c r="K134" s="951">
        <f t="shared" si="11"/>
        <v>5</v>
      </c>
      <c r="L134" s="949">
        <f t="shared" si="11"/>
        <v>0</v>
      </c>
      <c r="M134" s="949">
        <f t="shared" si="11"/>
        <v>7.8</v>
      </c>
      <c r="N134" s="949">
        <f t="shared" si="11"/>
        <v>14.23</v>
      </c>
      <c r="O134" s="949">
        <f t="shared" si="11"/>
        <v>38.440000000000005</v>
      </c>
      <c r="P134" s="949">
        <f t="shared" si="11"/>
        <v>73.949999999999989</v>
      </c>
      <c r="Q134" s="949">
        <f t="shared" si="11"/>
        <v>21.270000000000003</v>
      </c>
      <c r="R134" s="949">
        <f t="shared" si="11"/>
        <v>19</v>
      </c>
      <c r="S134" s="949">
        <f t="shared" si="11"/>
        <v>0</v>
      </c>
      <c r="T134" s="951">
        <f t="shared" si="10"/>
        <v>182.83</v>
      </c>
      <c r="U134" s="951">
        <f>SUM(U94:U133)</f>
        <v>176.81000000000003</v>
      </c>
      <c r="V134" s="503"/>
      <c r="W134" s="472"/>
      <c r="X134" s="3"/>
      <c r="Y134" s="3"/>
      <c r="Z134" s="3"/>
      <c r="AA134" s="3"/>
    </row>
    <row r="135" spans="1:27" ht="68.25" customHeight="1">
      <c r="A135" s="831" t="s">
        <v>267</v>
      </c>
      <c r="B135" s="828" t="s">
        <v>268</v>
      </c>
      <c r="C135" s="828" t="s">
        <v>269</v>
      </c>
      <c r="D135" s="829">
        <v>127</v>
      </c>
      <c r="E135" s="829" t="s">
        <v>270</v>
      </c>
      <c r="F135" s="979"/>
      <c r="G135" s="979"/>
      <c r="H135" s="979"/>
      <c r="I135" s="979"/>
      <c r="J135" s="979"/>
      <c r="K135" s="979"/>
      <c r="L135" s="979"/>
      <c r="M135" s="979"/>
      <c r="N135" s="979"/>
      <c r="O135" s="979"/>
      <c r="P135" s="979"/>
      <c r="Q135" s="979"/>
      <c r="R135" s="979"/>
      <c r="S135" s="979"/>
      <c r="T135" s="847">
        <f t="shared" si="10"/>
        <v>0</v>
      </c>
      <c r="U135" s="847">
        <v>0</v>
      </c>
      <c r="V135" s="503"/>
      <c r="W135" s="472"/>
      <c r="X135" s="3"/>
      <c r="Y135" s="3"/>
      <c r="Z135" s="3"/>
      <c r="AA135" s="3"/>
    </row>
    <row r="136" spans="1:27" ht="39.75" customHeight="1">
      <c r="A136" s="736"/>
      <c r="B136" s="736"/>
      <c r="C136" s="736"/>
      <c r="D136" s="829">
        <v>128</v>
      </c>
      <c r="E136" s="829" t="s">
        <v>271</v>
      </c>
      <c r="F136" s="979"/>
      <c r="G136" s="979"/>
      <c r="H136" s="979"/>
      <c r="I136" s="979"/>
      <c r="J136" s="979"/>
      <c r="K136" s="783"/>
      <c r="L136" s="979"/>
      <c r="M136" s="979"/>
      <c r="N136" s="783"/>
      <c r="O136" s="979"/>
      <c r="P136" s="961"/>
      <c r="Q136" s="941">
        <f>(0.75*2)</f>
        <v>1.5</v>
      </c>
      <c r="R136" s="963"/>
      <c r="S136" s="963"/>
      <c r="T136" s="847">
        <f t="shared" si="10"/>
        <v>1.5</v>
      </c>
      <c r="U136" s="941">
        <f>T136</f>
        <v>1.5</v>
      </c>
      <c r="V136" s="513" t="s">
        <v>272</v>
      </c>
      <c r="W136" s="472"/>
      <c r="X136" s="3"/>
      <c r="Y136" s="3"/>
      <c r="Z136" s="3"/>
      <c r="AA136" s="3"/>
    </row>
    <row r="137" spans="1:27" ht="39.75" customHeight="1">
      <c r="A137" s="736"/>
      <c r="B137" s="829"/>
      <c r="C137" s="829"/>
      <c r="D137" s="829">
        <v>129</v>
      </c>
      <c r="E137" s="829" t="s">
        <v>273</v>
      </c>
      <c r="F137" s="979"/>
      <c r="G137" s="979"/>
      <c r="H137" s="979"/>
      <c r="I137" s="979"/>
      <c r="J137" s="979"/>
      <c r="K137" s="979"/>
      <c r="L137" s="979"/>
      <c r="M137" s="979"/>
      <c r="N137" s="979"/>
      <c r="O137" s="979"/>
      <c r="P137" s="979"/>
      <c r="Q137" s="979"/>
      <c r="R137" s="979"/>
      <c r="S137" s="979"/>
      <c r="T137" s="847">
        <f t="shared" si="10"/>
        <v>0</v>
      </c>
      <c r="U137" s="847">
        <v>0</v>
      </c>
      <c r="V137" s="503"/>
      <c r="W137" s="472"/>
      <c r="X137" s="3"/>
      <c r="Y137" s="3"/>
      <c r="Z137" s="3"/>
      <c r="AA137" s="3"/>
    </row>
    <row r="138" spans="1:27" ht="39.75" customHeight="1">
      <c r="A138" s="736"/>
      <c r="B138" s="828" t="s">
        <v>274</v>
      </c>
      <c r="C138" s="828" t="s">
        <v>275</v>
      </c>
      <c r="D138" s="829">
        <v>130</v>
      </c>
      <c r="E138" s="829" t="s">
        <v>276</v>
      </c>
      <c r="F138" s="979"/>
      <c r="G138" s="979"/>
      <c r="H138" s="979"/>
      <c r="I138" s="979"/>
      <c r="J138" s="979"/>
      <c r="K138" s="979"/>
      <c r="L138" s="979"/>
      <c r="M138" s="979"/>
      <c r="N138" s="979"/>
      <c r="O138" s="979"/>
      <c r="P138" s="979"/>
      <c r="Q138" s="979"/>
      <c r="R138" s="979"/>
      <c r="S138" s="979"/>
      <c r="T138" s="847">
        <f t="shared" si="10"/>
        <v>0</v>
      </c>
      <c r="U138" s="847">
        <v>0</v>
      </c>
      <c r="V138" s="503"/>
      <c r="W138" s="472"/>
      <c r="X138" s="3"/>
      <c r="Y138" s="3"/>
      <c r="Z138" s="3"/>
      <c r="AA138" s="3"/>
    </row>
    <row r="139" spans="1:27" ht="39.75" customHeight="1">
      <c r="A139" s="736"/>
      <c r="B139" s="736"/>
      <c r="C139" s="736"/>
      <c r="D139" s="829">
        <v>131</v>
      </c>
      <c r="E139" s="829" t="s">
        <v>277</v>
      </c>
      <c r="F139" s="979"/>
      <c r="G139" s="979"/>
      <c r="H139" s="979"/>
      <c r="I139" s="979"/>
      <c r="J139" s="979"/>
      <c r="K139" s="979"/>
      <c r="L139" s="979"/>
      <c r="M139" s="979"/>
      <c r="N139" s="983">
        <v>0.39</v>
      </c>
      <c r="O139" s="979"/>
      <c r="P139" s="979"/>
      <c r="Q139" s="979"/>
      <c r="R139" s="979"/>
      <c r="S139" s="979"/>
      <c r="T139" s="847">
        <f t="shared" si="10"/>
        <v>0.39</v>
      </c>
      <c r="U139" s="847">
        <v>0.41</v>
      </c>
      <c r="V139" s="503" t="s">
        <v>503</v>
      </c>
      <c r="W139" s="472"/>
      <c r="X139" s="3"/>
      <c r="Y139" s="3"/>
      <c r="Z139" s="3"/>
      <c r="AA139" s="3"/>
    </row>
    <row r="140" spans="1:27" ht="39.75" customHeight="1">
      <c r="A140" s="736"/>
      <c r="B140" s="736"/>
      <c r="C140" s="736"/>
      <c r="D140" s="829">
        <v>132</v>
      </c>
      <c r="E140" s="829" t="s">
        <v>279</v>
      </c>
      <c r="F140" s="979"/>
      <c r="G140" s="979"/>
      <c r="H140" s="979"/>
      <c r="I140" s="979"/>
      <c r="J140" s="979"/>
      <c r="K140" s="979"/>
      <c r="L140" s="979"/>
      <c r="M140" s="979"/>
      <c r="N140" s="979"/>
      <c r="O140" s="979"/>
      <c r="P140" s="979"/>
      <c r="Q140" s="979"/>
      <c r="R140" s="979"/>
      <c r="S140" s="979"/>
      <c r="T140" s="847">
        <f t="shared" si="10"/>
        <v>0</v>
      </c>
      <c r="U140" s="847">
        <v>0</v>
      </c>
      <c r="V140" s="503"/>
      <c r="W140" s="472"/>
      <c r="X140" s="3"/>
      <c r="Y140" s="3"/>
      <c r="Z140" s="3"/>
      <c r="AA140" s="3"/>
    </row>
    <row r="141" spans="1:27" ht="39.75" customHeight="1">
      <c r="A141" s="736"/>
      <c r="B141" s="736"/>
      <c r="C141" s="736"/>
      <c r="D141" s="829">
        <v>133</v>
      </c>
      <c r="E141" s="829" t="s">
        <v>280</v>
      </c>
      <c r="F141" s="979"/>
      <c r="G141" s="979"/>
      <c r="H141" s="979"/>
      <c r="I141" s="979"/>
      <c r="J141" s="979"/>
      <c r="K141" s="979"/>
      <c r="L141" s="979"/>
      <c r="M141" s="979"/>
      <c r="N141" s="979"/>
      <c r="O141" s="979"/>
      <c r="P141" s="979"/>
      <c r="Q141" s="979"/>
      <c r="R141" s="979"/>
      <c r="S141" s="979"/>
      <c r="T141" s="847">
        <f t="shared" si="10"/>
        <v>0</v>
      </c>
      <c r="U141" s="847">
        <v>0</v>
      </c>
      <c r="V141" s="503"/>
      <c r="W141" s="472"/>
      <c r="X141" s="3"/>
      <c r="Y141" s="3"/>
      <c r="Z141" s="3"/>
      <c r="AA141" s="3"/>
    </row>
    <row r="142" spans="1:27" ht="39.75" customHeight="1">
      <c r="A142" s="736"/>
      <c r="B142" s="736"/>
      <c r="C142" s="736"/>
      <c r="D142" s="829">
        <v>134</v>
      </c>
      <c r="E142" s="829" t="s">
        <v>281</v>
      </c>
      <c r="F142" s="979"/>
      <c r="G142" s="979"/>
      <c r="H142" s="979"/>
      <c r="I142" s="979"/>
      <c r="J142" s="979"/>
      <c r="K142" s="979"/>
      <c r="L142" s="979"/>
      <c r="M142" s="979"/>
      <c r="N142" s="979"/>
      <c r="O142" s="979"/>
      <c r="P142" s="965">
        <f>(10*0.005*12)+(10*0.0025*12)</f>
        <v>0.90000000000000013</v>
      </c>
      <c r="Q142" s="979"/>
      <c r="R142" s="979"/>
      <c r="S142" s="979"/>
      <c r="T142" s="847">
        <f t="shared" si="10"/>
        <v>0.90000000000000013</v>
      </c>
      <c r="U142" s="847">
        <f>T142</f>
        <v>0.90000000000000013</v>
      </c>
      <c r="V142" s="507" t="s">
        <v>504</v>
      </c>
      <c r="W142" s="472"/>
      <c r="X142" s="3"/>
      <c r="Y142" s="3"/>
      <c r="Z142" s="3"/>
      <c r="AA142" s="3"/>
    </row>
    <row r="143" spans="1:27" ht="39.75" customHeight="1">
      <c r="A143" s="736"/>
      <c r="B143" s="736"/>
      <c r="C143" s="736"/>
      <c r="D143" s="829">
        <v>135</v>
      </c>
      <c r="E143" s="829" t="s">
        <v>283</v>
      </c>
      <c r="F143" s="979"/>
      <c r="G143" s="979"/>
      <c r="H143" s="979"/>
      <c r="I143" s="979"/>
      <c r="J143" s="979"/>
      <c r="K143" s="979"/>
      <c r="L143" s="979"/>
      <c r="M143" s="979"/>
      <c r="N143" s="979"/>
      <c r="O143" s="979"/>
      <c r="P143" s="979"/>
      <c r="Q143" s="979"/>
      <c r="R143" s="979"/>
      <c r="S143" s="979"/>
      <c r="T143" s="847">
        <f t="shared" si="10"/>
        <v>0</v>
      </c>
      <c r="U143" s="847">
        <v>0</v>
      </c>
      <c r="V143" s="503"/>
      <c r="W143" s="472"/>
      <c r="X143" s="3"/>
      <c r="Y143" s="3"/>
      <c r="Z143" s="3"/>
      <c r="AA143" s="3"/>
    </row>
    <row r="144" spans="1:27" ht="39.75" customHeight="1">
      <c r="A144" s="736"/>
      <c r="B144" s="736"/>
      <c r="C144" s="736"/>
      <c r="D144" s="829">
        <v>136</v>
      </c>
      <c r="E144" s="829" t="s">
        <v>284</v>
      </c>
      <c r="F144" s="979"/>
      <c r="G144" s="979"/>
      <c r="H144" s="979"/>
      <c r="I144" s="979"/>
      <c r="J144" s="979"/>
      <c r="K144" s="979"/>
      <c r="L144" s="979"/>
      <c r="M144" s="979"/>
      <c r="N144" s="979"/>
      <c r="O144" s="979"/>
      <c r="P144" s="783"/>
      <c r="Q144" s="979"/>
      <c r="R144" s="979"/>
      <c r="S144" s="979"/>
      <c r="T144" s="847">
        <f t="shared" si="10"/>
        <v>0</v>
      </c>
      <c r="U144" s="847">
        <v>0</v>
      </c>
      <c r="V144" s="503"/>
      <c r="W144" s="472"/>
      <c r="X144" s="3"/>
      <c r="Y144" s="3"/>
      <c r="Z144" s="3"/>
      <c r="AA144" s="3"/>
    </row>
    <row r="145" spans="1:27" ht="39.75" customHeight="1">
      <c r="A145" s="736"/>
      <c r="B145" s="828" t="s">
        <v>285</v>
      </c>
      <c r="C145" s="828" t="s">
        <v>286</v>
      </c>
      <c r="D145" s="829">
        <v>137</v>
      </c>
      <c r="E145" s="829" t="s">
        <v>287</v>
      </c>
      <c r="F145" s="979"/>
      <c r="G145" s="979"/>
      <c r="H145" s="979"/>
      <c r="I145" s="979"/>
      <c r="J145" s="979"/>
      <c r="K145" s="979"/>
      <c r="L145" s="979"/>
      <c r="M145" s="783"/>
      <c r="N145" s="979"/>
      <c r="O145" s="979"/>
      <c r="P145" s="941"/>
      <c r="Q145" s="979"/>
      <c r="R145" s="979"/>
      <c r="S145" s="979"/>
      <c r="T145" s="847">
        <f t="shared" si="10"/>
        <v>0</v>
      </c>
      <c r="U145" s="847">
        <f>T145</f>
        <v>0</v>
      </c>
      <c r="V145" s="503"/>
      <c r="W145" s="472"/>
      <c r="X145" s="3"/>
      <c r="Y145" s="3"/>
      <c r="Z145" s="3"/>
      <c r="AA145" s="3"/>
    </row>
    <row r="146" spans="1:27" ht="39.75" customHeight="1">
      <c r="A146" s="736"/>
      <c r="B146" s="736"/>
      <c r="C146" s="736"/>
      <c r="D146" s="829">
        <v>138</v>
      </c>
      <c r="E146" s="829" t="s">
        <v>288</v>
      </c>
      <c r="F146" s="979"/>
      <c r="G146" s="979"/>
      <c r="H146" s="783"/>
      <c r="I146" s="783"/>
      <c r="J146" s="979"/>
      <c r="K146" s="783"/>
      <c r="L146" s="979"/>
      <c r="M146" s="783"/>
      <c r="N146" s="979"/>
      <c r="O146" s="979"/>
      <c r="P146" s="979"/>
      <c r="Q146" s="979"/>
      <c r="R146" s="979"/>
      <c r="S146" s="979"/>
      <c r="T146" s="847">
        <f t="shared" si="10"/>
        <v>0</v>
      </c>
      <c r="U146" s="847">
        <v>0</v>
      </c>
      <c r="V146" s="503"/>
      <c r="W146" s="472"/>
      <c r="X146" s="3"/>
      <c r="Y146" s="3"/>
      <c r="Z146" s="3"/>
      <c r="AA146" s="3"/>
    </row>
    <row r="147" spans="1:27" ht="39.75" customHeight="1">
      <c r="A147" s="736"/>
      <c r="B147" s="828" t="s">
        <v>289</v>
      </c>
      <c r="C147" s="828" t="s">
        <v>290</v>
      </c>
      <c r="D147" s="829">
        <v>139</v>
      </c>
      <c r="E147" s="829" t="s">
        <v>291</v>
      </c>
      <c r="F147" s="979"/>
      <c r="G147" s="979"/>
      <c r="H147" s="979"/>
      <c r="I147" s="979"/>
      <c r="J147" s="979"/>
      <c r="K147" s="979"/>
      <c r="L147" s="979"/>
      <c r="M147" s="979"/>
      <c r="N147" s="783"/>
      <c r="O147" s="979"/>
      <c r="P147" s="941">
        <v>2</v>
      </c>
      <c r="Q147" s="963"/>
      <c r="R147" s="941"/>
      <c r="S147" s="963"/>
      <c r="T147" s="847">
        <f t="shared" si="10"/>
        <v>2</v>
      </c>
      <c r="U147" s="728">
        <f t="shared" ref="U147:U148" si="12">T147</f>
        <v>2</v>
      </c>
      <c r="V147" s="513" t="s">
        <v>436</v>
      </c>
      <c r="W147" s="472"/>
      <c r="X147" s="3"/>
      <c r="Y147" s="3"/>
      <c r="Z147" s="3"/>
      <c r="AA147" s="3"/>
    </row>
    <row r="148" spans="1:27" ht="51">
      <c r="A148" s="736"/>
      <c r="B148" s="736"/>
      <c r="C148" s="736"/>
      <c r="D148" s="829">
        <v>140</v>
      </c>
      <c r="E148" s="829" t="s">
        <v>293</v>
      </c>
      <c r="F148" s="979"/>
      <c r="G148" s="979"/>
      <c r="H148" s="979"/>
      <c r="I148" s="979"/>
      <c r="J148" s="979"/>
      <c r="K148" s="979"/>
      <c r="L148" s="979"/>
      <c r="M148" s="979"/>
      <c r="N148" s="979"/>
      <c r="O148" s="979"/>
      <c r="P148" s="941">
        <f>2+( 2* 0.235)</f>
        <v>2.4699999999999998</v>
      </c>
      <c r="Q148" s="963"/>
      <c r="R148" s="963"/>
      <c r="S148" s="963"/>
      <c r="T148" s="847">
        <f t="shared" si="10"/>
        <v>2.4699999999999998</v>
      </c>
      <c r="U148" s="728">
        <f t="shared" si="12"/>
        <v>2.4699999999999998</v>
      </c>
      <c r="V148" s="513" t="s">
        <v>294</v>
      </c>
      <c r="W148" s="472"/>
      <c r="X148" s="3"/>
      <c r="Y148" s="3"/>
      <c r="Z148" s="3"/>
      <c r="AA148" s="3"/>
    </row>
    <row r="149" spans="1:27" ht="39.75" customHeight="1">
      <c r="A149" s="736"/>
      <c r="B149" s="736"/>
      <c r="C149" s="736"/>
      <c r="D149" s="829">
        <v>141</v>
      </c>
      <c r="E149" s="829" t="s">
        <v>295</v>
      </c>
      <c r="F149" s="979"/>
      <c r="G149" s="979"/>
      <c r="H149" s="979"/>
      <c r="I149" s="979"/>
      <c r="J149" s="979"/>
      <c r="K149" s="979"/>
      <c r="L149" s="979"/>
      <c r="M149" s="979"/>
      <c r="N149" s="979"/>
      <c r="O149" s="979"/>
      <c r="P149" s="979"/>
      <c r="Q149" s="979"/>
      <c r="R149" s="979"/>
      <c r="S149" s="979"/>
      <c r="T149" s="847">
        <f t="shared" si="10"/>
        <v>0</v>
      </c>
      <c r="U149" s="847">
        <v>0</v>
      </c>
      <c r="V149" s="503"/>
      <c r="W149" s="472"/>
      <c r="X149" s="3"/>
      <c r="Y149" s="3"/>
      <c r="Z149" s="3"/>
      <c r="AA149" s="3"/>
    </row>
    <row r="150" spans="1:27" ht="39.75" customHeight="1">
      <c r="A150" s="736"/>
      <c r="B150" s="828" t="s">
        <v>296</v>
      </c>
      <c r="C150" s="828" t="s">
        <v>297</v>
      </c>
      <c r="D150" s="829">
        <v>142</v>
      </c>
      <c r="E150" s="829" t="s">
        <v>298</v>
      </c>
      <c r="F150" s="979"/>
      <c r="G150" s="979"/>
      <c r="H150" s="979"/>
      <c r="I150" s="979"/>
      <c r="J150" s="979"/>
      <c r="K150" s="979"/>
      <c r="L150" s="979"/>
      <c r="M150" s="979"/>
      <c r="N150" s="979"/>
      <c r="O150" s="979"/>
      <c r="P150" s="783">
        <v>446.55492000000004</v>
      </c>
      <c r="Q150" s="979"/>
      <c r="R150" s="980"/>
      <c r="S150" s="979"/>
      <c r="T150" s="847">
        <f t="shared" si="10"/>
        <v>446.55492000000004</v>
      </c>
      <c r="U150" s="783">
        <v>475.44702332400004</v>
      </c>
      <c r="V150" s="881" t="s">
        <v>1732</v>
      </c>
      <c r="W150" s="472"/>
      <c r="X150" s="3"/>
      <c r="Y150" s="3"/>
      <c r="Z150" s="3"/>
      <c r="AA150" s="3"/>
    </row>
    <row r="151" spans="1:27" ht="39.75" customHeight="1">
      <c r="A151" s="736"/>
      <c r="B151" s="736"/>
      <c r="C151" s="736"/>
      <c r="D151" s="829">
        <v>143</v>
      </c>
      <c r="E151" s="829" t="s">
        <v>299</v>
      </c>
      <c r="F151" s="979"/>
      <c r="G151" s="979"/>
      <c r="H151" s="979"/>
      <c r="I151" s="979"/>
      <c r="J151" s="979"/>
      <c r="K151" s="979"/>
      <c r="L151" s="979"/>
      <c r="M151" s="979"/>
      <c r="N151" s="979"/>
      <c r="O151" s="979"/>
      <c r="P151" s="979"/>
      <c r="Q151" s="979"/>
      <c r="R151" s="979"/>
      <c r="S151" s="979"/>
      <c r="T151" s="847">
        <f t="shared" si="10"/>
        <v>0</v>
      </c>
      <c r="U151" s="847">
        <v>0</v>
      </c>
      <c r="V151" s="503"/>
      <c r="W151" s="472"/>
      <c r="X151" s="3"/>
      <c r="Y151" s="3"/>
      <c r="Z151" s="3"/>
      <c r="AA151" s="3"/>
    </row>
    <row r="152" spans="1:27" ht="39.75" customHeight="1">
      <c r="A152" s="736"/>
      <c r="B152" s="736"/>
      <c r="C152" s="736"/>
      <c r="D152" s="829">
        <v>144</v>
      </c>
      <c r="E152" s="829" t="s">
        <v>300</v>
      </c>
      <c r="F152" s="979"/>
      <c r="G152" s="979"/>
      <c r="H152" s="979"/>
      <c r="I152" s="979"/>
      <c r="J152" s="979"/>
      <c r="K152" s="979"/>
      <c r="L152" s="979"/>
      <c r="M152" s="979"/>
      <c r="N152" s="979"/>
      <c r="O152" s="979"/>
      <c r="P152" s="979"/>
      <c r="Q152" s="979"/>
      <c r="R152" s="979"/>
      <c r="S152" s="979"/>
      <c r="T152" s="847">
        <f t="shared" si="10"/>
        <v>0</v>
      </c>
      <c r="U152" s="847">
        <v>0</v>
      </c>
      <c r="V152" s="503"/>
      <c r="W152" s="472"/>
      <c r="X152" s="3"/>
      <c r="Y152" s="3"/>
      <c r="Z152" s="3"/>
      <c r="AA152" s="3"/>
    </row>
    <row r="153" spans="1:27" ht="39.75" customHeight="1">
      <c r="A153" s="736"/>
      <c r="B153" s="736"/>
      <c r="C153" s="736"/>
      <c r="D153" s="829">
        <v>145</v>
      </c>
      <c r="E153" s="829" t="s">
        <v>301</v>
      </c>
      <c r="F153" s="979"/>
      <c r="G153" s="979"/>
      <c r="H153" s="979"/>
      <c r="I153" s="979"/>
      <c r="J153" s="979"/>
      <c r="K153" s="979"/>
      <c r="L153" s="979"/>
      <c r="M153" s="979"/>
      <c r="N153" s="979"/>
      <c r="O153" s="979"/>
      <c r="P153" s="979"/>
      <c r="Q153" s="979"/>
      <c r="R153" s="979"/>
      <c r="S153" s="979"/>
      <c r="T153" s="847">
        <f t="shared" si="10"/>
        <v>0</v>
      </c>
      <c r="U153" s="847">
        <v>0</v>
      </c>
      <c r="V153" s="503"/>
      <c r="W153" s="472"/>
      <c r="X153" s="3"/>
      <c r="Y153" s="3"/>
      <c r="Z153" s="3"/>
      <c r="AA153" s="3"/>
    </row>
    <row r="154" spans="1:27" ht="57.75" customHeight="1">
      <c r="A154" s="736"/>
      <c r="B154" s="829" t="s">
        <v>302</v>
      </c>
      <c r="C154" s="829" t="s">
        <v>303</v>
      </c>
      <c r="D154" s="829">
        <v>146</v>
      </c>
      <c r="E154" s="829" t="s">
        <v>304</v>
      </c>
      <c r="F154" s="979"/>
      <c r="G154" s="979"/>
      <c r="H154" s="979"/>
      <c r="I154" s="979"/>
      <c r="J154" s="979"/>
      <c r="K154" s="979"/>
      <c r="L154" s="979"/>
      <c r="M154" s="979"/>
      <c r="N154" s="979"/>
      <c r="O154" s="979"/>
      <c r="P154" s="979"/>
      <c r="Q154" s="979"/>
      <c r="R154" s="941">
        <f>(0.4*12)+(12*0.1)</f>
        <v>6.0000000000000009</v>
      </c>
      <c r="S154" s="963"/>
      <c r="T154" s="847">
        <f t="shared" si="10"/>
        <v>6.0000000000000009</v>
      </c>
      <c r="U154" s="941">
        <f>T154</f>
        <v>6.0000000000000009</v>
      </c>
      <c r="V154" s="513" t="s">
        <v>437</v>
      </c>
      <c r="W154" s="472"/>
      <c r="X154" s="3"/>
      <c r="Y154" s="3"/>
      <c r="Z154" s="3"/>
      <c r="AA154" s="3"/>
    </row>
    <row r="155" spans="1:27" ht="39.75" customHeight="1">
      <c r="A155" s="736"/>
      <c r="B155" s="829" t="s">
        <v>306</v>
      </c>
      <c r="C155" s="829" t="s">
        <v>307</v>
      </c>
      <c r="D155" s="829">
        <v>147</v>
      </c>
      <c r="E155" s="829" t="s">
        <v>157</v>
      </c>
      <c r="F155" s="979"/>
      <c r="G155" s="979"/>
      <c r="H155" s="979"/>
      <c r="I155" s="979"/>
      <c r="J155" s="979"/>
      <c r="K155" s="979"/>
      <c r="L155" s="979"/>
      <c r="M155" s="979"/>
      <c r="N155" s="979"/>
      <c r="O155" s="979"/>
      <c r="P155" s="979"/>
      <c r="Q155" s="979"/>
      <c r="R155" s="979"/>
      <c r="S155" s="979"/>
      <c r="T155" s="847">
        <f t="shared" si="10"/>
        <v>0</v>
      </c>
      <c r="U155" s="847">
        <v>0</v>
      </c>
      <c r="V155" s="503"/>
      <c r="W155" s="472"/>
      <c r="X155" s="3"/>
      <c r="Y155" s="3"/>
      <c r="Z155" s="3"/>
      <c r="AA155" s="3"/>
    </row>
    <row r="156" spans="1:27" ht="39.75" customHeight="1">
      <c r="A156" s="736"/>
      <c r="B156" s="829" t="s">
        <v>308</v>
      </c>
      <c r="C156" s="829" t="s">
        <v>309</v>
      </c>
      <c r="D156" s="829">
        <v>148</v>
      </c>
      <c r="E156" s="829" t="s">
        <v>310</v>
      </c>
      <c r="F156" s="979"/>
      <c r="G156" s="979"/>
      <c r="H156" s="979"/>
      <c r="I156" s="979"/>
      <c r="J156" s="979"/>
      <c r="K156" s="979"/>
      <c r="L156" s="979"/>
      <c r="M156" s="979"/>
      <c r="N156" s="783"/>
      <c r="O156" s="979"/>
      <c r="P156" s="783"/>
      <c r="Q156" s="979"/>
      <c r="R156" s="979"/>
      <c r="S156" s="979"/>
      <c r="T156" s="847">
        <f t="shared" si="10"/>
        <v>0</v>
      </c>
      <c r="U156" s="847">
        <v>0</v>
      </c>
      <c r="V156" s="503"/>
      <c r="W156" s="472"/>
      <c r="X156" s="3"/>
      <c r="Y156" s="3"/>
      <c r="Z156" s="3"/>
      <c r="AA156" s="3"/>
    </row>
    <row r="157" spans="1:27" ht="39.75" customHeight="1">
      <c r="A157" s="736"/>
      <c r="B157" s="829" t="s">
        <v>311</v>
      </c>
      <c r="C157" s="829" t="s">
        <v>312</v>
      </c>
      <c r="D157" s="829">
        <v>149</v>
      </c>
      <c r="E157" s="829" t="s">
        <v>313</v>
      </c>
      <c r="F157" s="979"/>
      <c r="G157" s="979"/>
      <c r="H157" s="979"/>
      <c r="I157" s="979"/>
      <c r="J157" s="979"/>
      <c r="K157" s="979"/>
      <c r="L157" s="979"/>
      <c r="M157" s="979"/>
      <c r="N157" s="979"/>
      <c r="O157" s="979"/>
      <c r="P157" s="983">
        <f>(2*1.75)+(0.05*39)</f>
        <v>5.45</v>
      </c>
      <c r="Q157" s="979"/>
      <c r="R157" s="979"/>
      <c r="S157" s="979"/>
      <c r="T157" s="847">
        <f t="shared" si="10"/>
        <v>5.45</v>
      </c>
      <c r="U157" s="983">
        <f>(2*1.75)+(0.05*41)</f>
        <v>5.5500000000000007</v>
      </c>
      <c r="V157" s="503" t="s">
        <v>505</v>
      </c>
      <c r="W157" s="472"/>
      <c r="X157" s="3"/>
      <c r="Y157" s="3"/>
      <c r="Z157" s="3"/>
      <c r="AA157" s="3"/>
    </row>
    <row r="158" spans="1:27" ht="39.75" customHeight="1">
      <c r="A158" s="736"/>
      <c r="B158" s="948" t="s">
        <v>315</v>
      </c>
      <c r="C158" s="736"/>
      <c r="D158" s="736"/>
      <c r="E158" s="949"/>
      <c r="F158" s="949">
        <f t="shared" ref="F158:S158" si="13">SUM(F135:F157)</f>
        <v>0</v>
      </c>
      <c r="G158" s="949">
        <f t="shared" si="13"/>
        <v>0</v>
      </c>
      <c r="H158" s="949">
        <f t="shared" si="13"/>
        <v>0</v>
      </c>
      <c r="I158" s="949">
        <f t="shared" si="13"/>
        <v>0</v>
      </c>
      <c r="J158" s="949">
        <f t="shared" si="13"/>
        <v>0</v>
      </c>
      <c r="K158" s="949">
        <f t="shared" si="13"/>
        <v>0</v>
      </c>
      <c r="L158" s="949">
        <f t="shared" si="13"/>
        <v>0</v>
      </c>
      <c r="M158" s="949">
        <f t="shared" si="13"/>
        <v>0</v>
      </c>
      <c r="N158" s="949">
        <f t="shared" si="13"/>
        <v>0.39</v>
      </c>
      <c r="O158" s="949">
        <f t="shared" si="13"/>
        <v>0</v>
      </c>
      <c r="P158" s="949">
        <f t="shared" si="13"/>
        <v>457.37492000000003</v>
      </c>
      <c r="Q158" s="949">
        <f t="shared" si="13"/>
        <v>1.5</v>
      </c>
      <c r="R158" s="949">
        <f t="shared" si="13"/>
        <v>6.0000000000000009</v>
      </c>
      <c r="S158" s="949">
        <f t="shared" si="13"/>
        <v>0</v>
      </c>
      <c r="T158" s="949">
        <f t="shared" si="10"/>
        <v>465.26492000000002</v>
      </c>
      <c r="U158" s="951">
        <f>SUM(U135:U157)</f>
        <v>494.27702332400003</v>
      </c>
      <c r="V158" s="503"/>
      <c r="W158" s="495"/>
      <c r="X158" s="54"/>
      <c r="Y158" s="54"/>
      <c r="Z158" s="54"/>
      <c r="AA158" s="54"/>
    </row>
    <row r="159" spans="1:27" ht="159.75" customHeight="1">
      <c r="A159" s="831" t="s">
        <v>316</v>
      </c>
      <c r="B159" s="828" t="s">
        <v>317</v>
      </c>
      <c r="C159" s="828" t="s">
        <v>269</v>
      </c>
      <c r="D159" s="829">
        <v>150</v>
      </c>
      <c r="E159" s="829" t="s">
        <v>318</v>
      </c>
      <c r="F159" s="836"/>
      <c r="G159" s="837"/>
      <c r="H159" s="837"/>
      <c r="I159" s="836"/>
      <c r="J159" s="836"/>
      <c r="K159" s="836"/>
      <c r="L159" s="836"/>
      <c r="M159" s="836"/>
      <c r="N159" s="835">
        <v>9.8000000000000007</v>
      </c>
      <c r="O159" s="836">
        <v>130.91999999999999</v>
      </c>
      <c r="P159" s="837"/>
      <c r="Q159" s="836">
        <v>1</v>
      </c>
      <c r="R159" s="836"/>
      <c r="S159" s="836"/>
      <c r="T159" s="847">
        <f t="shared" si="10"/>
        <v>141.72</v>
      </c>
      <c r="U159" s="847">
        <f t="shared" ref="U159:U160" si="14">T159</f>
        <v>141.72</v>
      </c>
      <c r="V159" s="514" t="s">
        <v>1623</v>
      </c>
      <c r="W159" s="472"/>
      <c r="X159" s="3"/>
      <c r="Y159" s="3"/>
      <c r="Z159" s="3"/>
      <c r="AA159" s="3"/>
    </row>
    <row r="160" spans="1:27" ht="114.75">
      <c r="A160" s="736"/>
      <c r="B160" s="736"/>
      <c r="C160" s="736"/>
      <c r="D160" s="829">
        <v>151</v>
      </c>
      <c r="E160" s="829" t="s">
        <v>319</v>
      </c>
      <c r="F160" s="836"/>
      <c r="G160" s="837"/>
      <c r="H160" s="837"/>
      <c r="I160" s="835"/>
      <c r="J160" s="836"/>
      <c r="K160" s="836"/>
      <c r="L160" s="836"/>
      <c r="M160" s="836"/>
      <c r="N160" s="835"/>
      <c r="O160" s="837"/>
      <c r="P160" s="837">
        <v>9.1199999999999992</v>
      </c>
      <c r="Q160" s="835"/>
      <c r="R160" s="837">
        <f>0.75+0.5</f>
        <v>1.25</v>
      </c>
      <c r="S160" s="836"/>
      <c r="T160" s="847">
        <f t="shared" si="10"/>
        <v>10.37</v>
      </c>
      <c r="U160" s="847">
        <f t="shared" si="14"/>
        <v>10.37</v>
      </c>
      <c r="V160" s="634" t="s">
        <v>506</v>
      </c>
      <c r="W160" s="472"/>
      <c r="X160" s="3"/>
      <c r="Y160" s="3"/>
      <c r="Z160" s="3"/>
      <c r="AA160" s="3"/>
    </row>
    <row r="161" spans="1:27" ht="39.75" customHeight="1">
      <c r="A161" s="736"/>
      <c r="B161" s="736"/>
      <c r="C161" s="736"/>
      <c r="D161" s="829">
        <v>152</v>
      </c>
      <c r="E161" s="829" t="s">
        <v>321</v>
      </c>
      <c r="F161" s="836"/>
      <c r="G161" s="836"/>
      <c r="H161" s="836"/>
      <c r="I161" s="836"/>
      <c r="J161" s="836"/>
      <c r="K161" s="836"/>
      <c r="L161" s="836"/>
      <c r="M161" s="836"/>
      <c r="N161" s="836"/>
      <c r="O161" s="836"/>
      <c r="P161" s="837"/>
      <c r="Q161" s="836"/>
      <c r="R161" s="836"/>
      <c r="S161" s="836"/>
      <c r="T161" s="847">
        <f t="shared" si="10"/>
        <v>0</v>
      </c>
      <c r="U161" s="847"/>
      <c r="V161" s="503"/>
      <c r="W161" s="472"/>
      <c r="X161" s="3"/>
      <c r="Y161" s="3"/>
      <c r="Z161" s="3"/>
      <c r="AA161" s="3"/>
    </row>
    <row r="162" spans="1:27" ht="39.75" customHeight="1">
      <c r="A162" s="736"/>
      <c r="B162" s="736"/>
      <c r="C162" s="736"/>
      <c r="D162" s="829">
        <v>153</v>
      </c>
      <c r="E162" s="829" t="s">
        <v>322</v>
      </c>
      <c r="F162" s="865"/>
      <c r="G162" s="865"/>
      <c r="H162" s="865"/>
      <c r="I162" s="865"/>
      <c r="J162" s="865"/>
      <c r="K162" s="865"/>
      <c r="L162" s="865"/>
      <c r="M162" s="865"/>
      <c r="N162" s="835"/>
      <c r="O162" s="865"/>
      <c r="P162" s="865"/>
      <c r="Q162" s="865"/>
      <c r="R162" s="865"/>
      <c r="S162" s="865"/>
      <c r="T162" s="847">
        <f t="shared" si="10"/>
        <v>0</v>
      </c>
      <c r="U162" s="847">
        <v>0</v>
      </c>
      <c r="V162" s="503"/>
      <c r="W162" s="472"/>
      <c r="X162" s="3"/>
      <c r="Y162" s="3"/>
      <c r="Z162" s="3"/>
      <c r="AA162" s="3"/>
    </row>
    <row r="163" spans="1:27" ht="39.75" customHeight="1">
      <c r="A163" s="736"/>
      <c r="B163" s="828" t="s">
        <v>324</v>
      </c>
      <c r="C163" s="828" t="s">
        <v>325</v>
      </c>
      <c r="D163" s="829">
        <v>154</v>
      </c>
      <c r="E163" s="829" t="s">
        <v>326</v>
      </c>
      <c r="F163" s="979"/>
      <c r="G163" s="979"/>
      <c r="H163" s="979"/>
      <c r="I163" s="979"/>
      <c r="J163" s="979"/>
      <c r="K163" s="783"/>
      <c r="L163" s="979"/>
      <c r="M163" s="783"/>
      <c r="N163" s="979"/>
      <c r="O163" s="979"/>
      <c r="P163" s="979"/>
      <c r="Q163" s="985">
        <v>0.1</v>
      </c>
      <c r="R163" s="979"/>
      <c r="S163" s="979"/>
      <c r="T163" s="847">
        <f t="shared" si="10"/>
        <v>0.1</v>
      </c>
      <c r="U163" s="847">
        <f t="shared" ref="U163:U165" si="15">T163</f>
        <v>0.1</v>
      </c>
      <c r="V163" s="634" t="s">
        <v>507</v>
      </c>
      <c r="W163" s="472"/>
      <c r="X163" s="3"/>
      <c r="Y163" s="3"/>
      <c r="Z163" s="3"/>
      <c r="AA163" s="3"/>
    </row>
    <row r="164" spans="1:27" ht="39.75" customHeight="1">
      <c r="A164" s="736"/>
      <c r="B164" s="736"/>
      <c r="C164" s="736"/>
      <c r="D164" s="829">
        <v>155</v>
      </c>
      <c r="E164" s="829" t="s">
        <v>328</v>
      </c>
      <c r="F164" s="979"/>
      <c r="G164" s="979"/>
      <c r="H164" s="979"/>
      <c r="I164" s="979"/>
      <c r="J164" s="979"/>
      <c r="K164" s="979"/>
      <c r="L164" s="979"/>
      <c r="M164" s="979"/>
      <c r="N164" s="836"/>
      <c r="O164" s="979"/>
      <c r="P164" s="984"/>
      <c r="Q164" s="979"/>
      <c r="R164" s="979"/>
      <c r="S164" s="979"/>
      <c r="T164" s="847">
        <f t="shared" si="10"/>
        <v>0</v>
      </c>
      <c r="U164" s="847">
        <f t="shared" si="15"/>
        <v>0</v>
      </c>
      <c r="V164" s="503"/>
      <c r="W164" s="472"/>
      <c r="X164" s="3"/>
      <c r="Y164" s="3"/>
      <c r="Z164" s="3"/>
      <c r="AA164" s="3"/>
    </row>
    <row r="165" spans="1:27" ht="39.75" customHeight="1">
      <c r="A165" s="736"/>
      <c r="B165" s="736"/>
      <c r="C165" s="736"/>
      <c r="D165" s="829">
        <v>156</v>
      </c>
      <c r="E165" s="829" t="s">
        <v>329</v>
      </c>
      <c r="F165" s="979"/>
      <c r="G165" s="979"/>
      <c r="H165" s="984"/>
      <c r="I165" s="981"/>
      <c r="J165" s="979"/>
      <c r="K165" s="979"/>
      <c r="L165" s="979"/>
      <c r="M165" s="979"/>
      <c r="N165" s="979"/>
      <c r="O165" s="979"/>
      <c r="P165" s="985">
        <v>1</v>
      </c>
      <c r="Q165" s="979"/>
      <c r="R165" s="979"/>
      <c r="S165" s="979"/>
      <c r="T165" s="847">
        <f t="shared" si="10"/>
        <v>1</v>
      </c>
      <c r="U165" s="847">
        <f t="shared" si="15"/>
        <v>1</v>
      </c>
      <c r="V165" s="504" t="s">
        <v>508</v>
      </c>
      <c r="W165" s="472"/>
      <c r="X165" s="3"/>
      <c r="Y165" s="3"/>
      <c r="Z165" s="3"/>
      <c r="AA165" s="3"/>
    </row>
    <row r="166" spans="1:27" ht="39.75" customHeight="1">
      <c r="A166" s="736"/>
      <c r="B166" s="736"/>
      <c r="C166" s="736"/>
      <c r="D166" s="829">
        <v>157</v>
      </c>
      <c r="E166" s="829" t="s">
        <v>331</v>
      </c>
      <c r="F166" s="979"/>
      <c r="G166" s="979"/>
      <c r="H166" s="979"/>
      <c r="I166" s="979"/>
      <c r="J166" s="979"/>
      <c r="K166" s="979"/>
      <c r="L166" s="979"/>
      <c r="M166" s="979"/>
      <c r="N166" s="979"/>
      <c r="O166" s="979"/>
      <c r="P166" s="979"/>
      <c r="Q166" s="979"/>
      <c r="R166" s="979"/>
      <c r="S166" s="979"/>
      <c r="T166" s="847">
        <f t="shared" si="10"/>
        <v>0</v>
      </c>
      <c r="U166" s="847">
        <v>0</v>
      </c>
      <c r="V166" s="503"/>
      <c r="W166" s="472"/>
      <c r="X166" s="3"/>
      <c r="Y166" s="3"/>
      <c r="Z166" s="3"/>
      <c r="AA166" s="3"/>
    </row>
    <row r="167" spans="1:27" ht="39.75" customHeight="1">
      <c r="A167" s="736"/>
      <c r="B167" s="736"/>
      <c r="C167" s="736"/>
      <c r="D167" s="829">
        <v>158</v>
      </c>
      <c r="E167" s="829" t="s">
        <v>332</v>
      </c>
      <c r="F167" s="979"/>
      <c r="G167" s="979"/>
      <c r="H167" s="979"/>
      <c r="I167" s="979"/>
      <c r="J167" s="979"/>
      <c r="K167" s="979"/>
      <c r="L167" s="979"/>
      <c r="M167" s="979"/>
      <c r="N167" s="979"/>
      <c r="O167" s="979"/>
      <c r="P167" s="979"/>
      <c r="Q167" s="783"/>
      <c r="R167" s="979"/>
      <c r="S167" s="979"/>
      <c r="T167" s="847">
        <f t="shared" si="10"/>
        <v>0</v>
      </c>
      <c r="U167" s="847">
        <v>0</v>
      </c>
      <c r="V167" s="503"/>
      <c r="W167" s="472"/>
      <c r="X167" s="3"/>
      <c r="Y167" s="3"/>
      <c r="Z167" s="3"/>
      <c r="AA167" s="3"/>
    </row>
    <row r="168" spans="1:27" ht="281.25">
      <c r="A168" s="736"/>
      <c r="B168" s="828" t="s">
        <v>333</v>
      </c>
      <c r="C168" s="828" t="s">
        <v>275</v>
      </c>
      <c r="D168" s="829">
        <v>159</v>
      </c>
      <c r="E168" s="829" t="s">
        <v>276</v>
      </c>
      <c r="F168" s="979"/>
      <c r="G168" s="979"/>
      <c r="H168" s="979"/>
      <c r="I168" s="979"/>
      <c r="J168" s="979"/>
      <c r="K168" s="783"/>
      <c r="L168" s="979"/>
      <c r="M168" s="979"/>
      <c r="N168" s="985">
        <v>19.739999999999998</v>
      </c>
      <c r="O168" s="993">
        <v>282.36500000000001</v>
      </c>
      <c r="P168" s="982">
        <v>27.2</v>
      </c>
      <c r="Q168" s="1018">
        <v>3.6110000000000002</v>
      </c>
      <c r="R168" s="979"/>
      <c r="S168" s="979"/>
      <c r="T168" s="847">
        <f t="shared" si="10"/>
        <v>332.916</v>
      </c>
      <c r="U168" s="728">
        <f>T168+2</f>
        <v>334.916</v>
      </c>
      <c r="V168" s="504" t="s">
        <v>1624</v>
      </c>
      <c r="W168" s="472"/>
      <c r="X168" s="3"/>
      <c r="Y168" s="3"/>
      <c r="Z168" s="3"/>
      <c r="AA168" s="3"/>
    </row>
    <row r="169" spans="1:27" ht="39.75" customHeight="1">
      <c r="A169" s="736"/>
      <c r="B169" s="736"/>
      <c r="C169" s="736"/>
      <c r="D169" s="829">
        <v>160</v>
      </c>
      <c r="E169" s="829" t="s">
        <v>334</v>
      </c>
      <c r="F169" s="979"/>
      <c r="G169" s="979"/>
      <c r="H169" s="979"/>
      <c r="I169" s="979"/>
      <c r="J169" s="979"/>
      <c r="K169" s="979"/>
      <c r="L169" s="979"/>
      <c r="M169" s="979"/>
      <c r="N169" s="979"/>
      <c r="O169" s="979"/>
      <c r="P169" s="979"/>
      <c r="Q169" s="979"/>
      <c r="R169" s="979"/>
      <c r="S169" s="979"/>
      <c r="T169" s="847">
        <f t="shared" si="10"/>
        <v>0</v>
      </c>
      <c r="U169" s="847">
        <v>0</v>
      </c>
      <c r="V169" s="503"/>
      <c r="W169" s="472"/>
      <c r="X169" s="3"/>
      <c r="Y169" s="3"/>
      <c r="Z169" s="3"/>
      <c r="AA169" s="3"/>
    </row>
    <row r="170" spans="1:27" ht="39.75" customHeight="1">
      <c r="A170" s="736"/>
      <c r="B170" s="736"/>
      <c r="C170" s="736"/>
      <c r="D170" s="829">
        <v>161</v>
      </c>
      <c r="E170" s="829" t="s">
        <v>279</v>
      </c>
      <c r="F170" s="979"/>
      <c r="G170" s="979"/>
      <c r="H170" s="979"/>
      <c r="I170" s="979"/>
      <c r="J170" s="979"/>
      <c r="K170" s="979"/>
      <c r="L170" s="979"/>
      <c r="M170" s="979"/>
      <c r="N170" s="980"/>
      <c r="O170" s="979"/>
      <c r="P170" s="979"/>
      <c r="Q170" s="979"/>
      <c r="R170" s="979"/>
      <c r="S170" s="979"/>
      <c r="T170" s="847">
        <f t="shared" si="10"/>
        <v>0</v>
      </c>
      <c r="U170" s="847"/>
      <c r="V170" s="503"/>
      <c r="W170" s="472"/>
      <c r="X170" s="3"/>
      <c r="Y170" s="3"/>
      <c r="Z170" s="3"/>
      <c r="AA170" s="3"/>
    </row>
    <row r="171" spans="1:27" ht="39.75" customHeight="1">
      <c r="A171" s="736"/>
      <c r="B171" s="736"/>
      <c r="C171" s="736"/>
      <c r="D171" s="829">
        <v>162</v>
      </c>
      <c r="E171" s="829" t="s">
        <v>280</v>
      </c>
      <c r="F171" s="979"/>
      <c r="G171" s="979"/>
      <c r="H171" s="979"/>
      <c r="I171" s="979"/>
      <c r="J171" s="979"/>
      <c r="K171" s="979"/>
      <c r="L171" s="979"/>
      <c r="M171" s="979"/>
      <c r="N171" s="979"/>
      <c r="O171" s="979"/>
      <c r="P171" s="979"/>
      <c r="Q171" s="979"/>
      <c r="R171" s="979"/>
      <c r="S171" s="979"/>
      <c r="T171" s="847">
        <f t="shared" si="10"/>
        <v>0</v>
      </c>
      <c r="U171" s="847">
        <v>0</v>
      </c>
      <c r="V171" s="503"/>
      <c r="W171" s="472"/>
      <c r="X171" s="3"/>
      <c r="Y171" s="3"/>
      <c r="Z171" s="3"/>
      <c r="AA171" s="3"/>
    </row>
    <row r="172" spans="1:27" ht="39.75" customHeight="1">
      <c r="A172" s="736"/>
      <c r="B172" s="736"/>
      <c r="C172" s="736"/>
      <c r="D172" s="829">
        <v>163</v>
      </c>
      <c r="E172" s="829" t="s">
        <v>335</v>
      </c>
      <c r="F172" s="979"/>
      <c r="G172" s="979"/>
      <c r="H172" s="979"/>
      <c r="I172" s="979"/>
      <c r="J172" s="979"/>
      <c r="K172" s="979"/>
      <c r="L172" s="979"/>
      <c r="M172" s="979"/>
      <c r="N172" s="979"/>
      <c r="O172" s="985">
        <v>5.4550000000000001</v>
      </c>
      <c r="P172" s="984"/>
      <c r="Q172" s="981">
        <v>1.6</v>
      </c>
      <c r="R172" s="979"/>
      <c r="S172" s="979"/>
      <c r="T172" s="847">
        <f t="shared" si="10"/>
        <v>7.0549999999999997</v>
      </c>
      <c r="U172" s="847">
        <f>T172</f>
        <v>7.0549999999999997</v>
      </c>
      <c r="V172" s="504" t="s">
        <v>509</v>
      </c>
      <c r="W172" s="472"/>
      <c r="X172" s="3"/>
      <c r="Y172" s="3"/>
      <c r="Z172" s="3"/>
      <c r="AA172" s="3"/>
    </row>
    <row r="173" spans="1:27" ht="39.75" customHeight="1">
      <c r="A173" s="736"/>
      <c r="B173" s="828" t="s">
        <v>336</v>
      </c>
      <c r="C173" s="828" t="s">
        <v>337</v>
      </c>
      <c r="D173" s="829">
        <v>164</v>
      </c>
      <c r="E173" s="829" t="s">
        <v>338</v>
      </c>
      <c r="F173" s="979"/>
      <c r="G173" s="984"/>
      <c r="H173" s="984"/>
      <c r="I173" s="979"/>
      <c r="J173" s="979"/>
      <c r="K173" s="979"/>
      <c r="L173" s="979"/>
      <c r="M173" s="979"/>
      <c r="N173" s="979"/>
      <c r="O173" s="979"/>
      <c r="P173" s="979"/>
      <c r="Q173" s="979"/>
      <c r="R173" s="979"/>
      <c r="S173" s="979"/>
      <c r="T173" s="847">
        <f t="shared" si="10"/>
        <v>0</v>
      </c>
      <c r="U173" s="847">
        <v>0</v>
      </c>
      <c r="V173" s="503"/>
      <c r="W173" s="472"/>
      <c r="X173" s="3"/>
      <c r="Y173" s="3"/>
      <c r="Z173" s="3"/>
      <c r="AA173" s="3"/>
    </row>
    <row r="174" spans="1:27" ht="39.75" customHeight="1">
      <c r="A174" s="736"/>
      <c r="B174" s="736"/>
      <c r="C174" s="736"/>
      <c r="D174" s="829">
        <v>165</v>
      </c>
      <c r="E174" s="829" t="s">
        <v>339</v>
      </c>
      <c r="F174" s="979"/>
      <c r="G174" s="984"/>
      <c r="H174" s="984"/>
      <c r="I174" s="979"/>
      <c r="J174" s="979"/>
      <c r="K174" s="979"/>
      <c r="L174" s="979"/>
      <c r="M174" s="979"/>
      <c r="N174" s="979"/>
      <c r="O174" s="979"/>
      <c r="P174" s="979"/>
      <c r="Q174" s="979"/>
      <c r="R174" s="979"/>
      <c r="S174" s="979"/>
      <c r="T174" s="847">
        <f t="shared" si="10"/>
        <v>0</v>
      </c>
      <c r="U174" s="847">
        <v>0</v>
      </c>
      <c r="V174" s="503"/>
      <c r="W174" s="472"/>
      <c r="X174" s="3"/>
      <c r="Y174" s="3"/>
      <c r="Z174" s="3"/>
      <c r="AA174" s="3"/>
    </row>
    <row r="175" spans="1:27" ht="39.75" customHeight="1">
      <c r="A175" s="736"/>
      <c r="B175" s="736"/>
      <c r="C175" s="736"/>
      <c r="D175" s="829">
        <v>166</v>
      </c>
      <c r="E175" s="829" t="s">
        <v>340</v>
      </c>
      <c r="F175" s="979"/>
      <c r="G175" s="984"/>
      <c r="H175" s="984"/>
      <c r="I175" s="979"/>
      <c r="J175" s="979"/>
      <c r="K175" s="979"/>
      <c r="L175" s="979"/>
      <c r="M175" s="979"/>
      <c r="N175" s="979"/>
      <c r="O175" s="979"/>
      <c r="P175" s="979"/>
      <c r="Q175" s="979"/>
      <c r="R175" s="979"/>
      <c r="S175" s="979"/>
      <c r="T175" s="847">
        <f t="shared" si="10"/>
        <v>0</v>
      </c>
      <c r="U175" s="847">
        <v>0</v>
      </c>
      <c r="V175" s="503"/>
      <c r="W175" s="472"/>
      <c r="X175" s="3"/>
      <c r="Y175" s="3"/>
      <c r="Z175" s="3"/>
      <c r="AA175" s="3"/>
    </row>
    <row r="176" spans="1:27" ht="39.75" customHeight="1">
      <c r="A176" s="736"/>
      <c r="B176" s="736"/>
      <c r="C176" s="736"/>
      <c r="D176" s="829">
        <v>167</v>
      </c>
      <c r="E176" s="829" t="s">
        <v>341</v>
      </c>
      <c r="F176" s="979"/>
      <c r="G176" s="984"/>
      <c r="H176" s="984"/>
      <c r="I176" s="979"/>
      <c r="J176" s="979"/>
      <c r="K176" s="979"/>
      <c r="L176" s="979"/>
      <c r="M176" s="979"/>
      <c r="N176" s="979"/>
      <c r="O176" s="979"/>
      <c r="P176" s="979"/>
      <c r="Q176" s="979"/>
      <c r="R176" s="979"/>
      <c r="S176" s="979"/>
      <c r="T176" s="847">
        <f t="shared" si="10"/>
        <v>0</v>
      </c>
      <c r="U176" s="847">
        <v>0</v>
      </c>
      <c r="V176" s="503"/>
      <c r="W176" s="472"/>
      <c r="X176" s="3"/>
      <c r="Y176" s="3"/>
      <c r="Z176" s="3"/>
      <c r="AA176" s="3"/>
    </row>
    <row r="177" spans="1:27" ht="39.75" customHeight="1">
      <c r="A177" s="736"/>
      <c r="B177" s="736"/>
      <c r="C177" s="736"/>
      <c r="D177" s="829">
        <v>168</v>
      </c>
      <c r="E177" s="829" t="s">
        <v>342</v>
      </c>
      <c r="F177" s="979"/>
      <c r="G177" s="984"/>
      <c r="H177" s="984"/>
      <c r="I177" s="979"/>
      <c r="J177" s="979"/>
      <c r="K177" s="979"/>
      <c r="L177" s="979"/>
      <c r="M177" s="979"/>
      <c r="N177" s="979"/>
      <c r="O177" s="979"/>
      <c r="P177" s="979"/>
      <c r="Q177" s="979"/>
      <c r="R177" s="979"/>
      <c r="S177" s="979"/>
      <c r="T177" s="847">
        <f t="shared" si="10"/>
        <v>0</v>
      </c>
      <c r="U177" s="847">
        <v>0</v>
      </c>
      <c r="V177" s="503"/>
      <c r="W177" s="472"/>
      <c r="X177" s="3"/>
      <c r="Y177" s="3"/>
      <c r="Z177" s="3"/>
      <c r="AA177" s="3"/>
    </row>
    <row r="178" spans="1:27" ht="39.75" customHeight="1">
      <c r="A178" s="736"/>
      <c r="B178" s="736"/>
      <c r="C178" s="736"/>
      <c r="D178" s="829">
        <v>169</v>
      </c>
      <c r="E178" s="829" t="s">
        <v>343</v>
      </c>
      <c r="F178" s="979"/>
      <c r="G178" s="984"/>
      <c r="H178" s="984"/>
      <c r="I178" s="981"/>
      <c r="J178" s="979"/>
      <c r="K178" s="979"/>
      <c r="L178" s="979"/>
      <c r="M178" s="979"/>
      <c r="N178" s="979"/>
      <c r="O178" s="979"/>
      <c r="P178" s="979"/>
      <c r="Q178" s="979"/>
      <c r="R178" s="979"/>
      <c r="S178" s="979"/>
      <c r="T178" s="847">
        <f t="shared" si="10"/>
        <v>0</v>
      </c>
      <c r="U178" s="847">
        <v>0</v>
      </c>
      <c r="V178" s="503"/>
      <c r="W178" s="472"/>
      <c r="X178" s="3"/>
      <c r="Y178" s="3"/>
      <c r="Z178" s="3"/>
      <c r="AA178" s="3"/>
    </row>
    <row r="179" spans="1:27" ht="39.75" customHeight="1">
      <c r="A179" s="736"/>
      <c r="B179" s="736"/>
      <c r="C179" s="736"/>
      <c r="D179" s="829">
        <v>170</v>
      </c>
      <c r="E179" s="829" t="s">
        <v>344</v>
      </c>
      <c r="F179" s="979"/>
      <c r="G179" s="979"/>
      <c r="H179" s="979"/>
      <c r="I179" s="979"/>
      <c r="J179" s="979"/>
      <c r="K179" s="979"/>
      <c r="L179" s="979"/>
      <c r="M179" s="979"/>
      <c r="N179" s="979"/>
      <c r="O179" s="979"/>
      <c r="P179" s="979"/>
      <c r="Q179" s="979"/>
      <c r="R179" s="979"/>
      <c r="S179" s="979"/>
      <c r="T179" s="847">
        <f t="shared" si="10"/>
        <v>0</v>
      </c>
      <c r="U179" s="847">
        <v>0</v>
      </c>
      <c r="V179" s="503"/>
      <c r="W179" s="472"/>
      <c r="X179" s="3"/>
      <c r="Y179" s="3"/>
      <c r="Z179" s="3"/>
      <c r="AA179" s="3"/>
    </row>
    <row r="180" spans="1:27" ht="39.75" customHeight="1">
      <c r="A180" s="736"/>
      <c r="B180" s="828" t="s">
        <v>345</v>
      </c>
      <c r="C180" s="828" t="s">
        <v>346</v>
      </c>
      <c r="D180" s="829">
        <v>171</v>
      </c>
      <c r="E180" s="829" t="s">
        <v>347</v>
      </c>
      <c r="F180" s="979"/>
      <c r="G180" s="979"/>
      <c r="H180" s="979"/>
      <c r="I180" s="979"/>
      <c r="J180" s="979"/>
      <c r="K180" s="979"/>
      <c r="L180" s="979"/>
      <c r="M180" s="979"/>
      <c r="N180" s="979"/>
      <c r="O180" s="979"/>
      <c r="P180" s="979"/>
      <c r="Q180" s="979"/>
      <c r="R180" s="979"/>
      <c r="S180" s="979"/>
      <c r="T180" s="847">
        <f t="shared" si="10"/>
        <v>0</v>
      </c>
      <c r="U180" s="847">
        <v>0</v>
      </c>
      <c r="V180" s="503"/>
      <c r="W180" s="472"/>
      <c r="X180" s="3"/>
      <c r="Y180" s="3"/>
      <c r="Z180" s="3"/>
      <c r="AA180" s="3"/>
    </row>
    <row r="181" spans="1:27" ht="39.75" customHeight="1">
      <c r="A181" s="736"/>
      <c r="B181" s="736"/>
      <c r="C181" s="736"/>
      <c r="D181" s="829">
        <v>172</v>
      </c>
      <c r="E181" s="829" t="s">
        <v>348</v>
      </c>
      <c r="F181" s="979"/>
      <c r="G181" s="979"/>
      <c r="H181" s="979"/>
      <c r="I181" s="979"/>
      <c r="J181" s="979"/>
      <c r="K181" s="979"/>
      <c r="L181" s="979"/>
      <c r="M181" s="979"/>
      <c r="N181" s="979"/>
      <c r="O181" s="979"/>
      <c r="P181" s="783"/>
      <c r="Q181" s="979"/>
      <c r="R181" s="979"/>
      <c r="S181" s="979"/>
      <c r="T181" s="847">
        <f t="shared" si="10"/>
        <v>0</v>
      </c>
      <c r="U181" s="847">
        <v>0</v>
      </c>
      <c r="V181" s="503"/>
      <c r="W181" s="472"/>
      <c r="X181" s="3"/>
      <c r="Y181" s="3"/>
      <c r="Z181" s="3"/>
      <c r="AA181" s="3"/>
    </row>
    <row r="182" spans="1:27" ht="39.75" customHeight="1">
      <c r="A182" s="736"/>
      <c r="B182" s="736"/>
      <c r="C182" s="736"/>
      <c r="D182" s="829">
        <v>173</v>
      </c>
      <c r="E182" s="829" t="s">
        <v>349</v>
      </c>
      <c r="F182" s="979"/>
      <c r="G182" s="979"/>
      <c r="H182" s="979"/>
      <c r="I182" s="979"/>
      <c r="J182" s="979"/>
      <c r="K182" s="979"/>
      <c r="L182" s="979"/>
      <c r="M182" s="979"/>
      <c r="N182" s="979"/>
      <c r="O182" s="979"/>
      <c r="P182" s="979"/>
      <c r="Q182" s="979"/>
      <c r="R182" s="979"/>
      <c r="S182" s="979"/>
      <c r="T182" s="847">
        <f t="shared" si="10"/>
        <v>0</v>
      </c>
      <c r="U182" s="847">
        <v>0</v>
      </c>
      <c r="V182" s="503"/>
      <c r="W182" s="472"/>
      <c r="X182" s="3"/>
      <c r="Y182" s="3"/>
      <c r="Z182" s="3"/>
      <c r="AA182" s="3"/>
    </row>
    <row r="183" spans="1:27" ht="39.75" customHeight="1">
      <c r="A183" s="736"/>
      <c r="B183" s="736"/>
      <c r="C183" s="736"/>
      <c r="D183" s="829">
        <v>174</v>
      </c>
      <c r="E183" s="829" t="s">
        <v>350</v>
      </c>
      <c r="F183" s="979"/>
      <c r="G183" s="979"/>
      <c r="H183" s="979"/>
      <c r="I183" s="979"/>
      <c r="J183" s="979"/>
      <c r="K183" s="979"/>
      <c r="L183" s="979"/>
      <c r="M183" s="979"/>
      <c r="N183" s="979"/>
      <c r="O183" s="979"/>
      <c r="P183" s="783"/>
      <c r="Q183" s="979"/>
      <c r="R183" s="979"/>
      <c r="S183" s="979"/>
      <c r="T183" s="847">
        <f t="shared" si="10"/>
        <v>0</v>
      </c>
      <c r="U183" s="847">
        <v>0</v>
      </c>
      <c r="V183" s="503"/>
      <c r="W183" s="472"/>
      <c r="X183" s="3"/>
      <c r="Y183" s="3"/>
      <c r="Z183" s="3"/>
      <c r="AA183" s="3"/>
    </row>
    <row r="184" spans="1:27" ht="409.5">
      <c r="A184" s="736"/>
      <c r="B184" s="828" t="s">
        <v>351</v>
      </c>
      <c r="C184" s="828" t="s">
        <v>290</v>
      </c>
      <c r="D184" s="829">
        <v>175</v>
      </c>
      <c r="E184" s="829" t="s">
        <v>291</v>
      </c>
      <c r="F184" s="992"/>
      <c r="G184" s="992"/>
      <c r="H184" s="1019">
        <v>0</v>
      </c>
      <c r="I184" s="1008">
        <v>6.9</v>
      </c>
      <c r="J184" s="992"/>
      <c r="K184" s="992"/>
      <c r="L184" s="992"/>
      <c r="M184" s="992"/>
      <c r="N184" s="1007">
        <v>9.09</v>
      </c>
      <c r="O184" s="992"/>
      <c r="P184" s="966">
        <f>5+27.08</f>
        <v>32.08</v>
      </c>
      <c r="Q184" s="993">
        <v>1</v>
      </c>
      <c r="R184" s="1008">
        <v>0.79</v>
      </c>
      <c r="S184" s="991"/>
      <c r="T184" s="847">
        <f t="shared" si="10"/>
        <v>49.86</v>
      </c>
      <c r="U184" s="847">
        <f t="shared" ref="U184:U186" si="16">T184</f>
        <v>49.86</v>
      </c>
      <c r="V184" s="489" t="s">
        <v>510</v>
      </c>
      <c r="W184" s="472"/>
      <c r="X184" s="3"/>
      <c r="Y184" s="3"/>
      <c r="Z184" s="3"/>
      <c r="AA184" s="3"/>
    </row>
    <row r="185" spans="1:27" ht="409.5">
      <c r="A185" s="736"/>
      <c r="B185" s="736"/>
      <c r="C185" s="736"/>
      <c r="D185" s="829">
        <v>176</v>
      </c>
      <c r="E185" s="829" t="s">
        <v>293</v>
      </c>
      <c r="F185" s="992"/>
      <c r="G185" s="992"/>
      <c r="H185" s="992"/>
      <c r="I185" s="1019"/>
      <c r="J185" s="992"/>
      <c r="K185" s="992"/>
      <c r="L185" s="992"/>
      <c r="M185" s="993">
        <v>16.100000000000001</v>
      </c>
      <c r="N185" s="992"/>
      <c r="O185" s="992"/>
      <c r="P185" s="993">
        <v>49.48</v>
      </c>
      <c r="Q185" s="993">
        <v>5.7</v>
      </c>
      <c r="R185" s="992"/>
      <c r="S185" s="992"/>
      <c r="T185" s="847">
        <f t="shared" si="10"/>
        <v>71.28</v>
      </c>
      <c r="U185" s="847">
        <f t="shared" si="16"/>
        <v>71.28</v>
      </c>
      <c r="V185" s="489" t="s">
        <v>511</v>
      </c>
      <c r="W185" s="472"/>
      <c r="X185" s="3"/>
      <c r="Y185" s="3"/>
      <c r="Z185" s="3"/>
      <c r="AA185" s="3"/>
    </row>
    <row r="186" spans="1:27" ht="66" customHeight="1">
      <c r="A186" s="736"/>
      <c r="B186" s="736"/>
      <c r="C186" s="736"/>
      <c r="D186" s="829">
        <v>177</v>
      </c>
      <c r="E186" s="829" t="s">
        <v>295</v>
      </c>
      <c r="F186" s="992"/>
      <c r="G186" s="992"/>
      <c r="H186" s="992"/>
      <c r="I186" s="992"/>
      <c r="J186" s="992"/>
      <c r="K186" s="992"/>
      <c r="L186" s="992"/>
      <c r="M186" s="992"/>
      <c r="N186" s="994">
        <v>1</v>
      </c>
      <c r="O186" s="992"/>
      <c r="P186" s="992"/>
      <c r="Q186" s="992"/>
      <c r="R186" s="992"/>
      <c r="S186" s="992"/>
      <c r="T186" s="847">
        <f t="shared" si="10"/>
        <v>1</v>
      </c>
      <c r="U186" s="847">
        <f t="shared" si="16"/>
        <v>1</v>
      </c>
      <c r="V186" s="504" t="s">
        <v>352</v>
      </c>
      <c r="W186" s="472"/>
      <c r="X186" s="3"/>
      <c r="Y186" s="3"/>
      <c r="Z186" s="3"/>
      <c r="AA186" s="3"/>
    </row>
    <row r="187" spans="1:27" ht="39.75" customHeight="1">
      <c r="A187" s="736"/>
      <c r="B187" s="828" t="s">
        <v>353</v>
      </c>
      <c r="C187" s="828" t="s">
        <v>354</v>
      </c>
      <c r="D187" s="829">
        <v>178</v>
      </c>
      <c r="E187" s="829" t="s">
        <v>355</v>
      </c>
      <c r="F187" s="979"/>
      <c r="G187" s="979"/>
      <c r="H187" s="979"/>
      <c r="I187" s="979"/>
      <c r="J187" s="979"/>
      <c r="K187" s="979"/>
      <c r="L187" s="979"/>
      <c r="M187" s="979"/>
      <c r="N187" s="979"/>
      <c r="O187" s="979"/>
      <c r="P187" s="847">
        <v>1.5</v>
      </c>
      <c r="Q187" s="829"/>
      <c r="R187" s="829"/>
      <c r="S187" s="829"/>
      <c r="T187" s="847">
        <f t="shared" ref="T187" si="17">SUM(F187:S187)</f>
        <v>1.5</v>
      </c>
      <c r="U187" s="847">
        <f>T187</f>
        <v>1.5</v>
      </c>
      <c r="V187" s="744" t="s">
        <v>1857</v>
      </c>
      <c r="W187" s="472"/>
      <c r="X187" s="3"/>
      <c r="Y187" s="3"/>
      <c r="Z187" s="3"/>
      <c r="AA187" s="3"/>
    </row>
    <row r="188" spans="1:27" ht="39.75" customHeight="1">
      <c r="A188" s="736"/>
      <c r="B188" s="736"/>
      <c r="C188" s="736"/>
      <c r="D188" s="829">
        <v>179</v>
      </c>
      <c r="E188" s="829" t="s">
        <v>157</v>
      </c>
      <c r="F188" s="979"/>
      <c r="G188" s="979"/>
      <c r="H188" s="979"/>
      <c r="I188" s="979"/>
      <c r="J188" s="979"/>
      <c r="K188" s="979"/>
      <c r="L188" s="979"/>
      <c r="M188" s="979"/>
      <c r="N188" s="979"/>
      <c r="O188" s="979"/>
      <c r="P188" s="979"/>
      <c r="Q188" s="979"/>
      <c r="R188" s="979"/>
      <c r="S188" s="979"/>
      <c r="T188" s="847">
        <f t="shared" si="10"/>
        <v>0</v>
      </c>
      <c r="U188" s="847">
        <v>0</v>
      </c>
      <c r="V188" s="503"/>
      <c r="W188" s="472"/>
      <c r="X188" s="3"/>
      <c r="Y188" s="3"/>
      <c r="Z188" s="3"/>
      <c r="AA188" s="3"/>
    </row>
    <row r="189" spans="1:27" ht="39.75" customHeight="1">
      <c r="A189" s="736"/>
      <c r="B189" s="736"/>
      <c r="C189" s="736"/>
      <c r="D189" s="829">
        <v>180</v>
      </c>
      <c r="E189" s="829" t="s">
        <v>356</v>
      </c>
      <c r="F189" s="979"/>
      <c r="G189" s="979"/>
      <c r="H189" s="979"/>
      <c r="I189" s="979"/>
      <c r="J189" s="979"/>
      <c r="K189" s="783"/>
      <c r="L189" s="979"/>
      <c r="M189" s="979"/>
      <c r="N189" s="979"/>
      <c r="O189" s="979"/>
      <c r="P189" s="984"/>
      <c r="Q189" s="979"/>
      <c r="R189" s="979"/>
      <c r="S189" s="979"/>
      <c r="T189" s="847">
        <f t="shared" si="10"/>
        <v>0</v>
      </c>
      <c r="U189" s="847">
        <v>0</v>
      </c>
      <c r="V189" s="503"/>
      <c r="W189" s="472"/>
      <c r="X189" s="3"/>
      <c r="Y189" s="3"/>
      <c r="Z189" s="3"/>
      <c r="AA189" s="3"/>
    </row>
    <row r="190" spans="1:27" ht="39.75" customHeight="1">
      <c r="A190" s="736"/>
      <c r="B190" s="736"/>
      <c r="C190" s="736"/>
      <c r="D190" s="829">
        <v>181</v>
      </c>
      <c r="E190" s="829" t="s">
        <v>357</v>
      </c>
      <c r="F190" s="979"/>
      <c r="G190" s="979"/>
      <c r="H190" s="979"/>
      <c r="I190" s="979"/>
      <c r="J190" s="979"/>
      <c r="K190" s="979"/>
      <c r="L190" s="979"/>
      <c r="M190" s="979"/>
      <c r="N190" s="979"/>
      <c r="O190" s="979"/>
      <c r="P190" s="979"/>
      <c r="Q190" s="979"/>
      <c r="R190" s="979"/>
      <c r="S190" s="979"/>
      <c r="T190" s="847">
        <f t="shared" si="10"/>
        <v>0</v>
      </c>
      <c r="U190" s="847">
        <v>0</v>
      </c>
      <c r="V190" s="503"/>
      <c r="W190" s="472"/>
      <c r="X190" s="3"/>
      <c r="Y190" s="3"/>
      <c r="Z190" s="3"/>
      <c r="AA190" s="3"/>
    </row>
    <row r="191" spans="1:27" ht="39.75" customHeight="1">
      <c r="A191" s="736"/>
      <c r="B191" s="736"/>
      <c r="C191" s="736"/>
      <c r="D191" s="829">
        <v>182</v>
      </c>
      <c r="E191" s="829" t="s">
        <v>358</v>
      </c>
      <c r="F191" s="979"/>
      <c r="G191" s="979"/>
      <c r="H191" s="979"/>
      <c r="I191" s="979"/>
      <c r="J191" s="979"/>
      <c r="K191" s="979"/>
      <c r="L191" s="979"/>
      <c r="M191" s="979"/>
      <c r="N191" s="979"/>
      <c r="O191" s="979"/>
      <c r="P191" s="983">
        <v>18</v>
      </c>
      <c r="Q191" s="979"/>
      <c r="R191" s="979"/>
      <c r="S191" s="979"/>
      <c r="T191" s="847">
        <f t="shared" si="10"/>
        <v>18</v>
      </c>
      <c r="U191" s="728">
        <f>T191*1.05</f>
        <v>18.900000000000002</v>
      </c>
      <c r="V191" s="503" t="s">
        <v>512</v>
      </c>
      <c r="W191" s="472"/>
      <c r="X191" s="3"/>
      <c r="Y191" s="3"/>
      <c r="Z191" s="3"/>
      <c r="AA191" s="3"/>
    </row>
    <row r="192" spans="1:27" ht="39.75" customHeight="1">
      <c r="A192" s="736"/>
      <c r="B192" s="736"/>
      <c r="C192" s="736"/>
      <c r="D192" s="829">
        <v>183</v>
      </c>
      <c r="E192" s="829" t="s">
        <v>360</v>
      </c>
      <c r="F192" s="979"/>
      <c r="G192" s="979"/>
      <c r="H192" s="979"/>
      <c r="I192" s="979"/>
      <c r="J192" s="979"/>
      <c r="K192" s="979"/>
      <c r="L192" s="979"/>
      <c r="M192" s="979"/>
      <c r="N192" s="979"/>
      <c r="O192" s="979"/>
      <c r="P192" s="984"/>
      <c r="Q192" s="979"/>
      <c r="R192" s="979"/>
      <c r="S192" s="979"/>
      <c r="T192" s="847">
        <f t="shared" si="10"/>
        <v>0</v>
      </c>
      <c r="U192" s="847">
        <v>0</v>
      </c>
      <c r="V192" s="503"/>
      <c r="W192" s="472"/>
      <c r="X192" s="3"/>
      <c r="Y192" s="3"/>
      <c r="Z192" s="3"/>
      <c r="AA192" s="3"/>
    </row>
    <row r="193" spans="1:27" ht="39.75" customHeight="1">
      <c r="A193" s="736"/>
      <c r="B193" s="829" t="s">
        <v>361</v>
      </c>
      <c r="C193" s="829" t="s">
        <v>362</v>
      </c>
      <c r="D193" s="829">
        <v>184</v>
      </c>
      <c r="E193" s="829" t="s">
        <v>363</v>
      </c>
      <c r="F193" s="979"/>
      <c r="G193" s="979"/>
      <c r="H193" s="979"/>
      <c r="I193" s="979"/>
      <c r="J193" s="979"/>
      <c r="K193" s="979"/>
      <c r="L193" s="979"/>
      <c r="M193" s="979"/>
      <c r="N193" s="979"/>
      <c r="O193" s="979"/>
      <c r="P193" s="783"/>
      <c r="Q193" s="979"/>
      <c r="R193" s="979"/>
      <c r="S193" s="979"/>
      <c r="T193" s="847">
        <f t="shared" si="10"/>
        <v>0</v>
      </c>
      <c r="U193" s="847">
        <v>0</v>
      </c>
      <c r="V193" s="503"/>
      <c r="W193" s="472"/>
      <c r="X193" s="3"/>
      <c r="Y193" s="3"/>
      <c r="Z193" s="3"/>
      <c r="AA193" s="3"/>
    </row>
    <row r="194" spans="1:27" ht="39.75" customHeight="1">
      <c r="A194" s="736"/>
      <c r="B194" s="828" t="s">
        <v>364</v>
      </c>
      <c r="C194" s="828" t="s">
        <v>297</v>
      </c>
      <c r="D194" s="829">
        <v>185</v>
      </c>
      <c r="E194" s="829" t="s">
        <v>298</v>
      </c>
      <c r="F194" s="979"/>
      <c r="G194" s="979"/>
      <c r="H194" s="979"/>
      <c r="I194" s="979"/>
      <c r="J194" s="979"/>
      <c r="K194" s="979"/>
      <c r="L194" s="979"/>
      <c r="M194" s="979"/>
      <c r="N194" s="979"/>
      <c r="O194" s="979"/>
      <c r="P194" s="783">
        <v>1847.251189999999</v>
      </c>
      <c r="Q194" s="979"/>
      <c r="R194" s="829"/>
      <c r="S194" s="979"/>
      <c r="T194" s="847">
        <f t="shared" si="10"/>
        <v>1847.251189999999</v>
      </c>
      <c r="U194" s="783">
        <v>1984.6866785359989</v>
      </c>
      <c r="V194" s="881" t="s">
        <v>1732</v>
      </c>
      <c r="W194" s="472"/>
      <c r="X194" s="3"/>
      <c r="Y194" s="3"/>
      <c r="Z194" s="3"/>
      <c r="AA194" s="3"/>
    </row>
    <row r="195" spans="1:27" ht="108" customHeight="1">
      <c r="A195" s="736"/>
      <c r="B195" s="736"/>
      <c r="C195" s="736"/>
      <c r="D195" s="829">
        <v>186</v>
      </c>
      <c r="E195" s="829" t="s">
        <v>299</v>
      </c>
      <c r="F195" s="979"/>
      <c r="G195" s="979"/>
      <c r="H195" s="979"/>
      <c r="I195" s="979"/>
      <c r="J195" s="979"/>
      <c r="K195" s="979"/>
      <c r="L195" s="979"/>
      <c r="M195" s="979"/>
      <c r="N195" s="979"/>
      <c r="O195" s="979"/>
      <c r="P195" s="985">
        <f>5.177+4.025</f>
        <v>9.202</v>
      </c>
      <c r="Q195" s="783"/>
      <c r="R195" s="881"/>
      <c r="S195" s="979"/>
      <c r="T195" s="847">
        <f t="shared" si="10"/>
        <v>9.202</v>
      </c>
      <c r="U195" s="847">
        <f>T195</f>
        <v>9.202</v>
      </c>
      <c r="V195" s="634" t="s">
        <v>513</v>
      </c>
      <c r="W195" s="472"/>
      <c r="X195" s="3"/>
      <c r="Y195" s="3"/>
      <c r="Z195" s="3"/>
      <c r="AA195" s="3"/>
    </row>
    <row r="196" spans="1:27" ht="39.75" customHeight="1">
      <c r="A196" s="736"/>
      <c r="B196" s="736"/>
      <c r="C196" s="736"/>
      <c r="D196" s="829">
        <v>187</v>
      </c>
      <c r="E196" s="829" t="s">
        <v>367</v>
      </c>
      <c r="F196" s="979"/>
      <c r="G196" s="979"/>
      <c r="H196" s="979"/>
      <c r="I196" s="979"/>
      <c r="J196" s="979"/>
      <c r="K196" s="979"/>
      <c r="L196" s="979"/>
      <c r="M196" s="979"/>
      <c r="N196" s="979"/>
      <c r="O196" s="979"/>
      <c r="P196" s="783">
        <v>716.98788000000002</v>
      </c>
      <c r="Q196" s="979"/>
      <c r="R196" s="979"/>
      <c r="S196" s="979"/>
      <c r="T196" s="847">
        <f t="shared" si="10"/>
        <v>716.98788000000002</v>
      </c>
      <c r="U196" s="783">
        <v>776.78466919200014</v>
      </c>
      <c r="V196" s="881" t="s">
        <v>1732</v>
      </c>
      <c r="W196" s="472"/>
      <c r="X196" s="3"/>
      <c r="Y196" s="3"/>
      <c r="Z196" s="3"/>
      <c r="AA196" s="3"/>
    </row>
    <row r="197" spans="1:27" ht="39.75" customHeight="1">
      <c r="A197" s="736"/>
      <c r="B197" s="736"/>
      <c r="C197" s="736"/>
      <c r="D197" s="829">
        <v>188</v>
      </c>
      <c r="E197" s="829" t="s">
        <v>300</v>
      </c>
      <c r="F197" s="980"/>
      <c r="G197" s="979"/>
      <c r="H197" s="979"/>
      <c r="I197" s="979"/>
      <c r="J197" s="979"/>
      <c r="K197" s="979"/>
      <c r="L197" s="979"/>
      <c r="M197" s="979"/>
      <c r="N197" s="979"/>
      <c r="O197" s="979"/>
      <c r="P197" s="979"/>
      <c r="Q197" s="979"/>
      <c r="R197" s="979"/>
      <c r="S197" s="979"/>
      <c r="T197" s="847">
        <f t="shared" si="10"/>
        <v>0</v>
      </c>
      <c r="U197" s="847">
        <v>0</v>
      </c>
      <c r="V197" s="503"/>
      <c r="W197" s="472"/>
      <c r="X197" s="3"/>
      <c r="Y197" s="3"/>
      <c r="Z197" s="3"/>
      <c r="AA197" s="3"/>
    </row>
    <row r="198" spans="1:27" ht="39.75" customHeight="1">
      <c r="A198" s="736"/>
      <c r="B198" s="736"/>
      <c r="C198" s="736"/>
      <c r="D198" s="829">
        <v>189</v>
      </c>
      <c r="E198" s="829" t="s">
        <v>301</v>
      </c>
      <c r="F198" s="979"/>
      <c r="G198" s="979"/>
      <c r="H198" s="979"/>
      <c r="I198" s="979"/>
      <c r="J198" s="979"/>
      <c r="K198" s="979"/>
      <c r="L198" s="979"/>
      <c r="M198" s="979"/>
      <c r="N198" s="979"/>
      <c r="O198" s="979"/>
      <c r="P198" s="979"/>
      <c r="Q198" s="979"/>
      <c r="R198" s="979"/>
      <c r="S198" s="979"/>
      <c r="T198" s="847">
        <f t="shared" si="10"/>
        <v>0</v>
      </c>
      <c r="U198" s="847">
        <v>0</v>
      </c>
      <c r="V198" s="503"/>
      <c r="W198" s="472"/>
      <c r="X198" s="3"/>
      <c r="Y198" s="3"/>
      <c r="Z198" s="3"/>
      <c r="AA198" s="3"/>
    </row>
    <row r="199" spans="1:27" ht="39.75" customHeight="1">
      <c r="A199" s="736"/>
      <c r="B199" s="736"/>
      <c r="C199" s="736"/>
      <c r="D199" s="829">
        <v>190</v>
      </c>
      <c r="E199" s="829" t="s">
        <v>368</v>
      </c>
      <c r="F199" s="979"/>
      <c r="G199" s="979"/>
      <c r="H199" s="979"/>
      <c r="I199" s="979"/>
      <c r="J199" s="979"/>
      <c r="K199" s="979"/>
      <c r="L199" s="979"/>
      <c r="M199" s="979"/>
      <c r="N199" s="979"/>
      <c r="O199" s="979"/>
      <c r="P199" s="984"/>
      <c r="Q199" s="979"/>
      <c r="R199" s="979"/>
      <c r="S199" s="979"/>
      <c r="T199" s="847">
        <f t="shared" si="10"/>
        <v>0</v>
      </c>
      <c r="U199" s="847">
        <v>0</v>
      </c>
      <c r="V199" s="503"/>
      <c r="W199" s="472"/>
      <c r="X199" s="3"/>
      <c r="Y199" s="3"/>
      <c r="Z199" s="3"/>
      <c r="AA199" s="3"/>
    </row>
    <row r="200" spans="1:27" ht="39.75" customHeight="1">
      <c r="A200" s="736"/>
      <c r="B200" s="828" t="s">
        <v>370</v>
      </c>
      <c r="C200" s="828" t="s">
        <v>371</v>
      </c>
      <c r="D200" s="829">
        <v>191</v>
      </c>
      <c r="E200" s="829" t="s">
        <v>372</v>
      </c>
      <c r="F200" s="979"/>
      <c r="G200" s="979"/>
      <c r="H200" s="979"/>
      <c r="I200" s="979"/>
      <c r="J200" s="979"/>
      <c r="K200" s="979"/>
      <c r="L200" s="979"/>
      <c r="M200" s="979"/>
      <c r="N200" s="783"/>
      <c r="O200" s="979"/>
      <c r="P200" s="979"/>
      <c r="Q200" s="979"/>
      <c r="R200" s="979"/>
      <c r="S200" s="979"/>
      <c r="T200" s="847">
        <f t="shared" si="10"/>
        <v>0</v>
      </c>
      <c r="U200" s="847">
        <v>0</v>
      </c>
      <c r="V200" s="503"/>
      <c r="W200" s="472"/>
      <c r="X200" s="3"/>
      <c r="Y200" s="3"/>
      <c r="Z200" s="3"/>
      <c r="AA200" s="3"/>
    </row>
    <row r="201" spans="1:27" ht="39.75" customHeight="1">
      <c r="A201" s="736"/>
      <c r="B201" s="736"/>
      <c r="C201" s="736"/>
      <c r="D201" s="829">
        <v>192</v>
      </c>
      <c r="E201" s="829" t="s">
        <v>373</v>
      </c>
      <c r="F201" s="979"/>
      <c r="G201" s="979"/>
      <c r="H201" s="984"/>
      <c r="I201" s="979"/>
      <c r="J201" s="979"/>
      <c r="K201" s="979"/>
      <c r="L201" s="979"/>
      <c r="M201" s="979"/>
      <c r="N201" s="981">
        <v>0</v>
      </c>
      <c r="O201" s="979"/>
      <c r="P201" s="783"/>
      <c r="Q201" s="984"/>
      <c r="R201" s="979"/>
      <c r="S201" s="979"/>
      <c r="T201" s="847">
        <f t="shared" si="10"/>
        <v>0</v>
      </c>
      <c r="U201" s="847">
        <v>0</v>
      </c>
      <c r="V201" s="503"/>
      <c r="W201" s="472"/>
      <c r="X201" s="3"/>
      <c r="Y201" s="3"/>
      <c r="Z201" s="3"/>
      <c r="AA201" s="3"/>
    </row>
    <row r="202" spans="1:27" ht="39.75" customHeight="1">
      <c r="A202" s="736"/>
      <c r="B202" s="828" t="s">
        <v>374</v>
      </c>
      <c r="C202" s="828" t="s">
        <v>303</v>
      </c>
      <c r="D202" s="829">
        <v>193</v>
      </c>
      <c r="E202" s="829" t="s">
        <v>375</v>
      </c>
      <c r="F202" s="979"/>
      <c r="G202" s="979"/>
      <c r="H202" s="979"/>
      <c r="I202" s="979"/>
      <c r="J202" s="979"/>
      <c r="K202" s="979"/>
      <c r="L202" s="979"/>
      <c r="M202" s="979"/>
      <c r="N202" s="979"/>
      <c r="O202" s="979"/>
      <c r="P202" s="783"/>
      <c r="Q202" s="979"/>
      <c r="R202" s="979"/>
      <c r="S202" s="984"/>
      <c r="T202" s="847">
        <f t="shared" si="10"/>
        <v>0</v>
      </c>
      <c r="U202" s="847">
        <v>0</v>
      </c>
      <c r="V202" s="503"/>
      <c r="W202" s="472"/>
      <c r="X202" s="3"/>
      <c r="Y202" s="3"/>
      <c r="Z202" s="3"/>
      <c r="AA202" s="3"/>
    </row>
    <row r="203" spans="1:27" ht="204.75" customHeight="1">
      <c r="A203" s="736"/>
      <c r="B203" s="736"/>
      <c r="C203" s="736"/>
      <c r="D203" s="829">
        <v>194</v>
      </c>
      <c r="E203" s="829" t="s">
        <v>304</v>
      </c>
      <c r="F203" s="979"/>
      <c r="G203" s="979"/>
      <c r="H203" s="979"/>
      <c r="I203" s="979"/>
      <c r="J203" s="979"/>
      <c r="K203" s="979"/>
      <c r="L203" s="979"/>
      <c r="M203" s="979"/>
      <c r="N203" s="981">
        <v>1.2</v>
      </c>
      <c r="O203" s="979"/>
      <c r="P203" s="979"/>
      <c r="Q203" s="783"/>
      <c r="R203" s="983">
        <v>35</v>
      </c>
      <c r="S203" s="979"/>
      <c r="T203" s="847">
        <f t="shared" si="10"/>
        <v>36.200000000000003</v>
      </c>
      <c r="U203" s="728">
        <f>R203*1.05+N203</f>
        <v>37.950000000000003</v>
      </c>
      <c r="V203" s="634" t="s">
        <v>1625</v>
      </c>
      <c r="W203" s="472"/>
      <c r="X203" s="3"/>
      <c r="Y203" s="3"/>
      <c r="Z203" s="3"/>
      <c r="AA203" s="3"/>
    </row>
    <row r="204" spans="1:27" ht="127.5">
      <c r="A204" s="736"/>
      <c r="B204" s="828" t="s">
        <v>376</v>
      </c>
      <c r="C204" s="828" t="s">
        <v>377</v>
      </c>
      <c r="D204" s="829">
        <v>195</v>
      </c>
      <c r="E204" s="829" t="s">
        <v>378</v>
      </c>
      <c r="F204" s="979"/>
      <c r="G204" s="979"/>
      <c r="H204" s="979"/>
      <c r="I204" s="979"/>
      <c r="J204" s="979"/>
      <c r="K204" s="979"/>
      <c r="L204" s="979"/>
      <c r="M204" s="979"/>
      <c r="N204" s="979"/>
      <c r="O204" s="979"/>
      <c r="P204" s="783"/>
      <c r="Q204" s="985">
        <v>1.1200000000000001</v>
      </c>
      <c r="R204" s="981">
        <v>2</v>
      </c>
      <c r="S204" s="881">
        <v>0.7</v>
      </c>
      <c r="T204" s="847">
        <f t="shared" si="10"/>
        <v>3.8200000000000003</v>
      </c>
      <c r="U204" s="847">
        <f>T204</f>
        <v>3.8200000000000003</v>
      </c>
      <c r="V204" s="634" t="s">
        <v>514</v>
      </c>
      <c r="W204" s="472"/>
      <c r="X204" s="3"/>
      <c r="Y204" s="3"/>
      <c r="Z204" s="3"/>
      <c r="AA204" s="3"/>
    </row>
    <row r="205" spans="1:27" ht="39.75" customHeight="1">
      <c r="A205" s="736"/>
      <c r="B205" s="736"/>
      <c r="C205" s="736"/>
      <c r="D205" s="829">
        <v>196</v>
      </c>
      <c r="E205" s="829" t="s">
        <v>379</v>
      </c>
      <c r="F205" s="979"/>
      <c r="G205" s="979"/>
      <c r="H205" s="979"/>
      <c r="I205" s="979"/>
      <c r="J205" s="979"/>
      <c r="K205" s="979"/>
      <c r="L205" s="979"/>
      <c r="M205" s="979"/>
      <c r="N205" s="979"/>
      <c r="O205" s="979"/>
      <c r="P205" s="979"/>
      <c r="Q205" s="979"/>
      <c r="R205" s="979"/>
      <c r="S205" s="979"/>
      <c r="T205" s="847">
        <f t="shared" si="10"/>
        <v>0</v>
      </c>
      <c r="U205" s="847">
        <v>0</v>
      </c>
      <c r="V205" s="503"/>
      <c r="W205" s="472"/>
      <c r="X205" s="3"/>
      <c r="Y205" s="3"/>
      <c r="Z205" s="3"/>
      <c r="AA205" s="3"/>
    </row>
    <row r="206" spans="1:27" ht="409.5" customHeight="1">
      <c r="A206" s="736"/>
      <c r="B206" s="736"/>
      <c r="C206" s="736"/>
      <c r="D206" s="829">
        <v>197</v>
      </c>
      <c r="E206" s="829" t="s">
        <v>380</v>
      </c>
      <c r="F206" s="967"/>
      <c r="G206" s="967"/>
      <c r="H206" s="967"/>
      <c r="I206" s="967"/>
      <c r="J206" s="967"/>
      <c r="K206" s="967"/>
      <c r="L206" s="967"/>
      <c r="M206" s="967"/>
      <c r="N206" s="958">
        <v>0.25</v>
      </c>
      <c r="O206" s="967"/>
      <c r="P206" s="968">
        <v>41.06</v>
      </c>
      <c r="Q206" s="958"/>
      <c r="R206" s="958">
        <v>0.05</v>
      </c>
      <c r="S206" s="958"/>
      <c r="T206" s="969">
        <f>SUM(N206:S206)</f>
        <v>41.36</v>
      </c>
      <c r="U206" s="968">
        <v>41.11</v>
      </c>
      <c r="V206" s="503" t="s">
        <v>1608</v>
      </c>
      <c r="W206" s="472"/>
      <c r="X206" s="3"/>
      <c r="Y206" s="3"/>
      <c r="Z206" s="3"/>
      <c r="AA206" s="3"/>
    </row>
    <row r="207" spans="1:27" ht="39.75" customHeight="1">
      <c r="A207" s="736"/>
      <c r="B207" s="829" t="s">
        <v>381</v>
      </c>
      <c r="C207" s="829" t="s">
        <v>309</v>
      </c>
      <c r="D207" s="829">
        <v>198</v>
      </c>
      <c r="E207" s="829" t="s">
        <v>310</v>
      </c>
      <c r="F207" s="979"/>
      <c r="G207" s="979"/>
      <c r="H207" s="979"/>
      <c r="I207" s="979"/>
      <c r="J207" s="979"/>
      <c r="K207" s="979"/>
      <c r="L207" s="979"/>
      <c r="M207" s="979"/>
      <c r="N207" s="979"/>
      <c r="O207" s="979"/>
      <c r="P207" s="979"/>
      <c r="Q207" s="979"/>
      <c r="R207" s="979"/>
      <c r="S207" s="979"/>
      <c r="T207" s="847">
        <f t="shared" ref="T207:T209" si="18">SUM(F207:S207)</f>
        <v>0</v>
      </c>
      <c r="U207" s="847">
        <v>0</v>
      </c>
      <c r="V207" s="503"/>
      <c r="W207" s="472"/>
      <c r="X207" s="3"/>
      <c r="Y207" s="3"/>
      <c r="Z207" s="3"/>
      <c r="AA207" s="3"/>
    </row>
    <row r="208" spans="1:27" ht="110.25" customHeight="1">
      <c r="A208" s="736"/>
      <c r="B208" s="829" t="s">
        <v>382</v>
      </c>
      <c r="C208" s="829" t="s">
        <v>312</v>
      </c>
      <c r="D208" s="829">
        <v>199</v>
      </c>
      <c r="E208" s="829" t="s">
        <v>313</v>
      </c>
      <c r="F208" s="979"/>
      <c r="G208" s="979"/>
      <c r="H208" s="979"/>
      <c r="I208" s="979"/>
      <c r="J208" s="979"/>
      <c r="K208" s="979"/>
      <c r="L208" s="979"/>
      <c r="M208" s="979"/>
      <c r="N208" s="979"/>
      <c r="O208" s="979"/>
      <c r="Q208" s="979"/>
      <c r="R208" s="1020">
        <v>160.1</v>
      </c>
      <c r="S208" s="979"/>
      <c r="T208" s="847">
        <f t="shared" si="18"/>
        <v>160.1</v>
      </c>
      <c r="U208" s="847">
        <v>160.1</v>
      </c>
      <c r="V208" s="634" t="s">
        <v>1626</v>
      </c>
      <c r="W208" s="472"/>
      <c r="X208" s="3"/>
      <c r="Y208" s="3"/>
      <c r="Z208" s="3"/>
      <c r="AA208" s="3"/>
    </row>
    <row r="209" spans="1:27" ht="60">
      <c r="A209" s="736"/>
      <c r="B209" s="829" t="s">
        <v>383</v>
      </c>
      <c r="C209" s="829"/>
      <c r="D209" s="829">
        <v>200</v>
      </c>
      <c r="E209" s="829" t="s">
        <v>384</v>
      </c>
      <c r="F209" s="979"/>
      <c r="G209" s="979"/>
      <c r="H209" s="979"/>
      <c r="I209" s="979"/>
      <c r="J209" s="979"/>
      <c r="K209" s="979"/>
      <c r="L209" s="979"/>
      <c r="M209" s="979"/>
      <c r="N209" s="889">
        <v>0.1956</v>
      </c>
      <c r="O209" s="889"/>
      <c r="P209" s="889"/>
      <c r="Q209" s="889"/>
      <c r="R209" s="889">
        <v>1</v>
      </c>
      <c r="S209" s="889"/>
      <c r="T209" s="847">
        <f t="shared" si="18"/>
        <v>1.1956</v>
      </c>
      <c r="U209" s="728">
        <v>1.1956</v>
      </c>
      <c r="V209" s="635" t="s">
        <v>385</v>
      </c>
      <c r="W209" s="490" t="s">
        <v>385</v>
      </c>
      <c r="X209" s="3"/>
      <c r="Y209" s="3"/>
      <c r="Z209" s="3"/>
      <c r="AA209" s="3"/>
    </row>
    <row r="210" spans="1:27" ht="39.75" customHeight="1">
      <c r="A210" s="736"/>
      <c r="B210" s="948" t="s">
        <v>386</v>
      </c>
      <c r="C210" s="736"/>
      <c r="D210" s="736"/>
      <c r="E210" s="949"/>
      <c r="F210" s="970">
        <f t="shared" ref="F210:U210" si="19">SUM(F159:F209)</f>
        <v>0</v>
      </c>
      <c r="G210" s="971">
        <f t="shared" si="19"/>
        <v>0</v>
      </c>
      <c r="H210" s="971">
        <f t="shared" si="19"/>
        <v>0</v>
      </c>
      <c r="I210" s="970">
        <f t="shared" si="19"/>
        <v>6.9</v>
      </c>
      <c r="J210" s="970">
        <f t="shared" si="19"/>
        <v>0</v>
      </c>
      <c r="K210" s="970">
        <f t="shared" si="19"/>
        <v>0</v>
      </c>
      <c r="L210" s="970">
        <f t="shared" si="19"/>
        <v>0</v>
      </c>
      <c r="M210" s="970">
        <f t="shared" si="19"/>
        <v>16.100000000000001</v>
      </c>
      <c r="N210" s="972">
        <f t="shared" si="19"/>
        <v>41.275599999999997</v>
      </c>
      <c r="O210" s="970">
        <f t="shared" si="19"/>
        <v>418.73999999999995</v>
      </c>
      <c r="P210" s="971">
        <f t="shared" si="19"/>
        <v>2752.881069999999</v>
      </c>
      <c r="Q210" s="970">
        <f t="shared" si="19"/>
        <v>14.131</v>
      </c>
      <c r="R210" s="970">
        <f t="shared" si="19"/>
        <v>200.19</v>
      </c>
      <c r="S210" s="970">
        <f t="shared" si="19"/>
        <v>0.7</v>
      </c>
      <c r="T210" s="972">
        <f t="shared" si="19"/>
        <v>3450.9176699999994</v>
      </c>
      <c r="U210" s="972">
        <f t="shared" si="19"/>
        <v>3652.5499477279996</v>
      </c>
      <c r="V210" s="634"/>
      <c r="W210" s="472"/>
      <c r="X210" s="3"/>
      <c r="Y210" s="3"/>
      <c r="Z210" s="3"/>
      <c r="AA210" s="3"/>
    </row>
    <row r="211" spans="1:27" ht="39.75" customHeight="1">
      <c r="A211" s="974" t="s">
        <v>387</v>
      </c>
      <c r="B211" s="736"/>
      <c r="C211" s="736"/>
      <c r="D211" s="736"/>
      <c r="E211" s="975"/>
      <c r="F211" s="976">
        <f t="shared" ref="F211:U211" si="20">F210+F158+F134+F93+F68</f>
        <v>72.001300000000001</v>
      </c>
      <c r="G211" s="977">
        <f t="shared" si="20"/>
        <v>4.5</v>
      </c>
      <c r="H211" s="977">
        <f t="shared" si="20"/>
        <v>0</v>
      </c>
      <c r="I211" s="976">
        <f t="shared" si="20"/>
        <v>25.801300000000001</v>
      </c>
      <c r="J211" s="976">
        <f t="shared" si="20"/>
        <v>0</v>
      </c>
      <c r="K211" s="978">
        <f t="shared" si="20"/>
        <v>45.917999999999999</v>
      </c>
      <c r="L211" s="976">
        <f t="shared" si="20"/>
        <v>3.8</v>
      </c>
      <c r="M211" s="977">
        <f t="shared" si="20"/>
        <v>46.738</v>
      </c>
      <c r="N211" s="978">
        <f t="shared" si="20"/>
        <v>109.29859999999999</v>
      </c>
      <c r="O211" s="976">
        <f t="shared" si="20"/>
        <v>604.33614999999998</v>
      </c>
      <c r="P211" s="977">
        <f t="shared" si="20"/>
        <v>3507.2457499999987</v>
      </c>
      <c r="Q211" s="976">
        <f t="shared" si="20"/>
        <v>77.524500000000003</v>
      </c>
      <c r="R211" s="977">
        <f t="shared" si="20"/>
        <v>265.05900000000003</v>
      </c>
      <c r="S211" s="977">
        <f t="shared" si="20"/>
        <v>10.120000000000001</v>
      </c>
      <c r="T211" s="978">
        <f t="shared" si="20"/>
        <v>4772.342599999999</v>
      </c>
      <c r="U211" s="978">
        <f t="shared" si="20"/>
        <v>5005.3791810520006</v>
      </c>
      <c r="V211" s="634"/>
      <c r="W211" s="472"/>
      <c r="X211" s="3"/>
      <c r="Y211" s="3"/>
      <c r="Z211" s="3"/>
      <c r="AA211" s="3"/>
    </row>
    <row r="212" spans="1:27" ht="24.75" hidden="1" customHeight="1">
      <c r="A212" s="471"/>
      <c r="B212" s="471"/>
      <c r="C212" s="471"/>
      <c r="D212" s="471"/>
      <c r="E212" s="471"/>
      <c r="F212" s="471"/>
      <c r="G212" s="471"/>
      <c r="H212" s="471"/>
      <c r="I212" s="471"/>
      <c r="J212" s="471"/>
      <c r="K212" s="471"/>
      <c r="L212" s="471"/>
      <c r="M212" s="471"/>
      <c r="N212" s="471"/>
      <c r="O212" s="471"/>
      <c r="P212" s="471"/>
      <c r="Q212" s="471"/>
      <c r="R212" s="471"/>
      <c r="S212" s="471"/>
      <c r="T212" s="496"/>
      <c r="U212" s="497"/>
      <c r="V212" s="515"/>
      <c r="W212" s="18"/>
      <c r="X212" s="3"/>
      <c r="Y212" s="3"/>
      <c r="Z212" s="3"/>
      <c r="AA212" s="3"/>
    </row>
    <row r="213" spans="1:27" ht="24.75" customHeight="1">
      <c r="A213" s="3"/>
      <c r="B213" s="3"/>
      <c r="C213" s="3"/>
      <c r="D213" s="3"/>
      <c r="E213" s="3"/>
      <c r="F213" s="3"/>
      <c r="G213" s="3"/>
      <c r="H213" s="3"/>
      <c r="I213" s="3"/>
      <c r="J213" s="3"/>
      <c r="K213" s="3"/>
      <c r="L213" s="3"/>
      <c r="M213" s="3"/>
      <c r="N213" s="3"/>
      <c r="O213" s="3"/>
      <c r="P213" s="3"/>
      <c r="Q213" s="3"/>
      <c r="R213" s="3"/>
      <c r="S213" s="3"/>
      <c r="T213" s="3"/>
      <c r="U213" s="3"/>
      <c r="V213" s="516"/>
      <c r="W213" s="18"/>
      <c r="X213" s="3"/>
      <c r="Y213" s="3"/>
      <c r="Z213" s="3"/>
      <c r="AA213" s="3"/>
    </row>
    <row r="214" spans="1:27" ht="24.75" customHeight="1">
      <c r="A214" s="3"/>
      <c r="B214" s="3"/>
      <c r="C214" s="3"/>
      <c r="D214" s="3"/>
      <c r="E214" s="3"/>
      <c r="F214" s="3"/>
      <c r="G214" s="3"/>
      <c r="H214" s="3"/>
      <c r="I214" s="3"/>
      <c r="J214" s="3"/>
      <c r="K214" s="3"/>
      <c r="L214" s="3"/>
      <c r="M214" s="3"/>
      <c r="N214" s="3"/>
      <c r="O214" s="3"/>
      <c r="P214" s="3"/>
      <c r="Q214" s="3"/>
      <c r="R214" s="3"/>
      <c r="S214" s="3"/>
      <c r="T214" s="3"/>
      <c r="U214" s="3"/>
      <c r="V214" s="516"/>
      <c r="W214" s="18"/>
      <c r="X214" s="3"/>
      <c r="Y214" s="3"/>
      <c r="Z214" s="3"/>
      <c r="AA214" s="3"/>
    </row>
    <row r="215" spans="1:27" ht="24.75" customHeight="1">
      <c r="A215" s="3"/>
      <c r="B215" s="3"/>
      <c r="C215" s="3"/>
      <c r="D215" s="3"/>
      <c r="E215" s="3"/>
      <c r="F215" s="3"/>
      <c r="G215" s="3"/>
      <c r="H215" s="3"/>
      <c r="I215" s="3"/>
      <c r="J215" s="3"/>
      <c r="K215" s="3"/>
      <c r="L215" s="3"/>
      <c r="M215" s="3"/>
      <c r="N215" s="3"/>
      <c r="O215" s="3"/>
      <c r="P215" s="3"/>
      <c r="Q215" s="3"/>
      <c r="R215" s="3"/>
      <c r="S215" s="3"/>
      <c r="T215" s="3"/>
      <c r="U215" s="3"/>
      <c r="V215" s="516"/>
      <c r="W215" s="18"/>
      <c r="X215" s="3"/>
      <c r="Y215" s="3"/>
      <c r="Z215" s="3"/>
      <c r="AA215" s="3"/>
    </row>
    <row r="216" spans="1:27" ht="24.75" customHeight="1">
      <c r="A216" s="3"/>
      <c r="B216" s="3"/>
      <c r="C216" s="3"/>
      <c r="D216" s="3"/>
      <c r="E216" s="3"/>
      <c r="F216" s="3"/>
      <c r="G216" s="3"/>
      <c r="H216" s="3"/>
      <c r="I216" s="3"/>
      <c r="J216" s="3"/>
      <c r="K216" s="3"/>
      <c r="L216" s="3"/>
      <c r="M216" s="3"/>
      <c r="N216" s="3"/>
      <c r="O216" s="3"/>
      <c r="P216" s="3"/>
      <c r="Q216" s="3"/>
      <c r="R216" s="3"/>
      <c r="S216" s="3"/>
      <c r="T216" s="3"/>
      <c r="U216" s="3"/>
      <c r="V216" s="516"/>
      <c r="W216" s="18"/>
      <c r="X216" s="3"/>
      <c r="Y216" s="3"/>
      <c r="Z216" s="3"/>
      <c r="AA216" s="3"/>
    </row>
    <row r="217" spans="1:27" ht="24.75" customHeight="1">
      <c r="A217" s="3"/>
      <c r="B217" s="3"/>
      <c r="C217" s="3"/>
      <c r="D217" s="3"/>
      <c r="E217" s="3"/>
      <c r="F217" s="3"/>
      <c r="G217" s="3"/>
      <c r="H217" s="3"/>
      <c r="I217" s="3"/>
      <c r="J217" s="3"/>
      <c r="K217" s="3"/>
      <c r="L217" s="3"/>
      <c r="M217" s="3"/>
      <c r="N217" s="3"/>
      <c r="O217" s="3"/>
      <c r="P217" s="3"/>
      <c r="Q217" s="3"/>
      <c r="R217" s="3"/>
      <c r="S217" s="3"/>
      <c r="T217" s="3"/>
      <c r="U217" s="3"/>
      <c r="V217" s="516"/>
      <c r="W217" s="18"/>
      <c r="X217" s="3"/>
      <c r="Y217" s="3"/>
      <c r="Z217" s="3"/>
      <c r="AA217" s="3"/>
    </row>
    <row r="218" spans="1:27" ht="24.75" customHeight="1">
      <c r="A218" s="3"/>
      <c r="B218" s="3"/>
      <c r="C218" s="3"/>
      <c r="D218" s="3"/>
      <c r="E218" s="3"/>
      <c r="F218" s="3"/>
      <c r="G218" s="3"/>
      <c r="H218" s="3"/>
      <c r="I218" s="3"/>
      <c r="J218" s="3"/>
      <c r="K218" s="3"/>
      <c r="L218" s="3"/>
      <c r="M218" s="3"/>
      <c r="N218" s="3"/>
      <c r="O218" s="3"/>
      <c r="P218" s="3"/>
      <c r="Q218" s="3"/>
      <c r="R218" s="3"/>
      <c r="S218" s="3"/>
      <c r="T218" s="3"/>
      <c r="U218" s="3"/>
      <c r="V218" s="516"/>
      <c r="W218" s="18"/>
      <c r="X218" s="3"/>
      <c r="Y218" s="3"/>
      <c r="Z218" s="3"/>
      <c r="AA218" s="3"/>
    </row>
    <row r="219" spans="1:27" ht="24.75" customHeight="1">
      <c r="A219" s="3"/>
      <c r="B219" s="3"/>
      <c r="C219" s="3"/>
      <c r="D219" s="3"/>
      <c r="E219" s="3"/>
      <c r="F219" s="3"/>
      <c r="G219" s="3"/>
      <c r="H219" s="3"/>
      <c r="I219" s="3"/>
      <c r="J219" s="3"/>
      <c r="K219" s="3"/>
      <c r="L219" s="3"/>
      <c r="M219" s="3"/>
      <c r="N219" s="3"/>
      <c r="O219" s="3"/>
      <c r="P219" s="3"/>
      <c r="Q219" s="3"/>
      <c r="R219" s="3"/>
      <c r="S219" s="3"/>
      <c r="T219" s="3"/>
      <c r="U219" s="3"/>
      <c r="V219" s="516"/>
      <c r="W219" s="18"/>
      <c r="X219" s="3"/>
      <c r="Y219" s="3"/>
      <c r="Z219" s="3"/>
      <c r="AA219" s="3"/>
    </row>
    <row r="220" spans="1:27" ht="24.75" customHeight="1">
      <c r="A220" s="3"/>
      <c r="B220" s="3"/>
      <c r="C220" s="3"/>
      <c r="D220" s="3"/>
      <c r="E220" s="3"/>
      <c r="F220" s="3"/>
      <c r="G220" s="3"/>
      <c r="H220" s="3"/>
      <c r="I220" s="3"/>
      <c r="J220" s="3"/>
      <c r="K220" s="3"/>
      <c r="L220" s="3"/>
      <c r="M220" s="3"/>
      <c r="N220" s="3"/>
      <c r="O220" s="3"/>
      <c r="P220" s="3"/>
      <c r="Q220" s="3"/>
      <c r="R220" s="3"/>
      <c r="S220" s="3"/>
      <c r="T220" s="3"/>
      <c r="U220" s="3"/>
      <c r="V220" s="516"/>
      <c r="W220" s="18"/>
      <c r="X220" s="3"/>
      <c r="Y220" s="3"/>
      <c r="Z220" s="3"/>
      <c r="AA220" s="3"/>
    </row>
    <row r="221" spans="1:27" ht="24.75" customHeight="1">
      <c r="A221" s="3"/>
      <c r="B221" s="3"/>
      <c r="C221" s="3"/>
      <c r="D221" s="3"/>
      <c r="E221" s="3"/>
      <c r="F221" s="3"/>
      <c r="G221" s="3"/>
      <c r="H221" s="3"/>
      <c r="I221" s="3"/>
      <c r="J221" s="3"/>
      <c r="K221" s="3"/>
      <c r="L221" s="3"/>
      <c r="M221" s="3"/>
      <c r="N221" s="3"/>
      <c r="O221" s="3"/>
      <c r="P221" s="3"/>
      <c r="Q221" s="3"/>
      <c r="R221" s="3"/>
      <c r="S221" s="3"/>
      <c r="T221" s="3"/>
      <c r="U221" s="3"/>
      <c r="V221" s="516"/>
      <c r="W221" s="18"/>
      <c r="X221" s="3"/>
      <c r="Y221" s="3"/>
      <c r="Z221" s="3"/>
      <c r="AA221" s="3"/>
    </row>
    <row r="222" spans="1:27" ht="24.75" customHeight="1">
      <c r="A222" s="3"/>
      <c r="B222" s="3"/>
      <c r="C222" s="3"/>
      <c r="D222" s="3"/>
      <c r="E222" s="3"/>
      <c r="F222" s="3"/>
      <c r="G222" s="3"/>
      <c r="H222" s="3"/>
      <c r="I222" s="3"/>
      <c r="J222" s="3"/>
      <c r="K222" s="3"/>
      <c r="L222" s="3"/>
      <c r="M222" s="3"/>
      <c r="N222" s="3"/>
      <c r="O222" s="3"/>
      <c r="P222" s="3"/>
      <c r="Q222" s="3"/>
      <c r="R222" s="3"/>
      <c r="S222" s="3"/>
      <c r="T222" s="3"/>
      <c r="U222" s="3"/>
      <c r="V222" s="516"/>
      <c r="W222" s="18"/>
      <c r="X222" s="3"/>
      <c r="Y222" s="3"/>
      <c r="Z222" s="3"/>
      <c r="AA222" s="3"/>
    </row>
    <row r="223" spans="1:27" ht="24.75" customHeight="1">
      <c r="A223" s="3"/>
      <c r="B223" s="3"/>
      <c r="C223" s="3"/>
      <c r="D223" s="3"/>
      <c r="E223" s="3"/>
      <c r="F223" s="3"/>
      <c r="G223" s="3"/>
      <c r="H223" s="3"/>
      <c r="I223" s="3"/>
      <c r="J223" s="3"/>
      <c r="K223" s="3"/>
      <c r="L223" s="3"/>
      <c r="M223" s="3"/>
      <c r="N223" s="3"/>
      <c r="O223" s="3"/>
      <c r="P223" s="3"/>
      <c r="Q223" s="3"/>
      <c r="R223" s="3"/>
      <c r="S223" s="3"/>
      <c r="T223" s="3"/>
      <c r="U223" s="3"/>
      <c r="V223" s="516"/>
      <c r="W223" s="18"/>
      <c r="X223" s="3"/>
      <c r="Y223" s="3"/>
      <c r="Z223" s="3"/>
      <c r="AA223" s="3"/>
    </row>
    <row r="224" spans="1:27" ht="24.75" customHeight="1">
      <c r="A224" s="3"/>
      <c r="B224" s="3"/>
      <c r="C224" s="3"/>
      <c r="D224" s="3"/>
      <c r="E224" s="3"/>
      <c r="F224" s="3"/>
      <c r="G224" s="3"/>
      <c r="H224" s="3"/>
      <c r="I224" s="3"/>
      <c r="J224" s="3"/>
      <c r="K224" s="3"/>
      <c r="L224" s="3"/>
      <c r="M224" s="3"/>
      <c r="N224" s="3"/>
      <c r="O224" s="3"/>
      <c r="P224" s="3"/>
      <c r="Q224" s="3"/>
      <c r="R224" s="3"/>
      <c r="S224" s="3"/>
      <c r="T224" s="3"/>
      <c r="U224" s="3"/>
      <c r="V224" s="516"/>
      <c r="W224" s="18"/>
      <c r="X224" s="3"/>
      <c r="Y224" s="3"/>
      <c r="Z224" s="3"/>
      <c r="AA224" s="3"/>
    </row>
    <row r="225" spans="1:27" ht="24.75" customHeight="1">
      <c r="A225" s="3"/>
      <c r="B225" s="3"/>
      <c r="C225" s="3"/>
      <c r="D225" s="3"/>
      <c r="E225" s="3"/>
      <c r="F225" s="3"/>
      <c r="G225" s="3"/>
      <c r="H225" s="3"/>
      <c r="I225" s="3"/>
      <c r="J225" s="3"/>
      <c r="K225" s="3"/>
      <c r="L225" s="3"/>
      <c r="M225" s="3"/>
      <c r="N225" s="3"/>
      <c r="O225" s="3"/>
      <c r="P225" s="3"/>
      <c r="Q225" s="3"/>
      <c r="R225" s="3"/>
      <c r="S225" s="3"/>
      <c r="T225" s="3"/>
      <c r="U225" s="3"/>
      <c r="V225" s="516"/>
      <c r="W225" s="18"/>
      <c r="X225" s="3"/>
      <c r="Y225" s="3"/>
      <c r="Z225" s="3"/>
      <c r="AA225" s="3"/>
    </row>
    <row r="226" spans="1:27" ht="24.75" customHeight="1">
      <c r="A226" s="3"/>
      <c r="B226" s="3"/>
      <c r="C226" s="3"/>
      <c r="D226" s="3"/>
      <c r="E226" s="3"/>
      <c r="F226" s="3"/>
      <c r="G226" s="3"/>
      <c r="H226" s="3"/>
      <c r="I226" s="3"/>
      <c r="J226" s="3"/>
      <c r="K226" s="3"/>
      <c r="L226" s="3"/>
      <c r="M226" s="3"/>
      <c r="N226" s="3"/>
      <c r="O226" s="3"/>
      <c r="P226" s="3"/>
      <c r="Q226" s="3"/>
      <c r="R226" s="3"/>
      <c r="S226" s="3"/>
      <c r="T226" s="3"/>
      <c r="U226" s="3"/>
      <c r="V226" s="516"/>
      <c r="W226" s="18"/>
      <c r="X226" s="3"/>
      <c r="Y226" s="3"/>
      <c r="Z226" s="3"/>
      <c r="AA226" s="3"/>
    </row>
    <row r="227" spans="1:27" ht="24.75" customHeight="1">
      <c r="A227" s="3"/>
      <c r="B227" s="3"/>
      <c r="C227" s="3"/>
      <c r="D227" s="3"/>
      <c r="E227" s="3"/>
      <c r="F227" s="3"/>
      <c r="G227" s="3"/>
      <c r="H227" s="3"/>
      <c r="I227" s="3"/>
      <c r="J227" s="3"/>
      <c r="K227" s="3"/>
      <c r="L227" s="3"/>
      <c r="M227" s="3"/>
      <c r="N227" s="3"/>
      <c r="O227" s="3"/>
      <c r="P227" s="3"/>
      <c r="Q227" s="3"/>
      <c r="R227" s="3"/>
      <c r="S227" s="3"/>
      <c r="T227" s="3"/>
      <c r="U227" s="3"/>
      <c r="V227" s="516"/>
      <c r="W227" s="18"/>
      <c r="X227" s="3"/>
      <c r="Y227" s="3"/>
      <c r="Z227" s="3"/>
      <c r="AA227" s="3"/>
    </row>
    <row r="228" spans="1:27" ht="24.75" customHeight="1">
      <c r="A228" s="3"/>
      <c r="B228" s="3"/>
      <c r="C228" s="3"/>
      <c r="D228" s="3"/>
      <c r="E228" s="3"/>
      <c r="F228" s="3"/>
      <c r="G228" s="3"/>
      <c r="H228" s="3"/>
      <c r="I228" s="3"/>
      <c r="J228" s="3"/>
      <c r="K228" s="3"/>
      <c r="L228" s="3"/>
      <c r="M228" s="3"/>
      <c r="N228" s="3"/>
      <c r="O228" s="3"/>
      <c r="P228" s="3"/>
      <c r="Q228" s="3"/>
      <c r="R228" s="3"/>
      <c r="S228" s="3"/>
      <c r="T228" s="3"/>
      <c r="U228" s="3"/>
      <c r="V228" s="516"/>
      <c r="W228" s="18"/>
      <c r="X228" s="3"/>
      <c r="Y228" s="3"/>
      <c r="Z228" s="3"/>
      <c r="AA228" s="3"/>
    </row>
    <row r="229" spans="1:27" ht="24.75" customHeight="1">
      <c r="A229" s="3"/>
      <c r="B229" s="3"/>
      <c r="C229" s="3"/>
      <c r="D229" s="3"/>
      <c r="E229" s="3"/>
      <c r="F229" s="3"/>
      <c r="G229" s="3"/>
      <c r="H229" s="3"/>
      <c r="I229" s="3"/>
      <c r="J229" s="3"/>
      <c r="K229" s="3"/>
      <c r="L229" s="3"/>
      <c r="M229" s="3"/>
      <c r="N229" s="3"/>
      <c r="O229" s="3"/>
      <c r="P229" s="3"/>
      <c r="Q229" s="3"/>
      <c r="R229" s="3"/>
      <c r="S229" s="3"/>
      <c r="T229" s="3"/>
      <c r="U229" s="3"/>
      <c r="V229" s="516"/>
      <c r="W229" s="18"/>
      <c r="X229" s="3"/>
      <c r="Y229" s="3"/>
      <c r="Z229" s="3"/>
      <c r="AA229" s="3"/>
    </row>
    <row r="230" spans="1:27" ht="24.75" customHeight="1">
      <c r="A230" s="3"/>
      <c r="B230" s="3"/>
      <c r="C230" s="3"/>
      <c r="D230" s="3"/>
      <c r="E230" s="3"/>
      <c r="F230" s="3"/>
      <c r="G230" s="3"/>
      <c r="H230" s="3"/>
      <c r="I230" s="3"/>
      <c r="J230" s="3"/>
      <c r="K230" s="3"/>
      <c r="L230" s="3"/>
      <c r="M230" s="3"/>
      <c r="N230" s="3"/>
      <c r="O230" s="3"/>
      <c r="P230" s="3"/>
      <c r="Q230" s="3"/>
      <c r="R230" s="3"/>
      <c r="S230" s="3"/>
      <c r="T230" s="3"/>
      <c r="U230" s="3"/>
      <c r="V230" s="516"/>
      <c r="W230" s="18"/>
      <c r="X230" s="3"/>
      <c r="Y230" s="3"/>
      <c r="Z230" s="3"/>
      <c r="AA230" s="3"/>
    </row>
    <row r="231" spans="1:27" ht="24.75" customHeight="1">
      <c r="A231" s="3"/>
      <c r="B231" s="3"/>
      <c r="C231" s="3"/>
      <c r="D231" s="3"/>
      <c r="E231" s="3"/>
      <c r="F231" s="3"/>
      <c r="G231" s="3"/>
      <c r="H231" s="3"/>
      <c r="I231" s="3"/>
      <c r="J231" s="3"/>
      <c r="K231" s="3"/>
      <c r="L231" s="3"/>
      <c r="M231" s="3"/>
      <c r="N231" s="3"/>
      <c r="O231" s="3"/>
      <c r="P231" s="3"/>
      <c r="Q231" s="3"/>
      <c r="R231" s="3"/>
      <c r="S231" s="3"/>
      <c r="T231" s="3"/>
      <c r="U231" s="3"/>
      <c r="V231" s="516"/>
      <c r="W231" s="18"/>
      <c r="X231" s="3"/>
      <c r="Y231" s="3"/>
      <c r="Z231" s="3"/>
      <c r="AA231" s="3"/>
    </row>
    <row r="232" spans="1:27" ht="24.75" customHeight="1">
      <c r="A232" s="3"/>
      <c r="B232" s="3"/>
      <c r="C232" s="3"/>
      <c r="D232" s="3"/>
      <c r="E232" s="3"/>
      <c r="F232" s="3"/>
      <c r="G232" s="3"/>
      <c r="H232" s="3"/>
      <c r="I232" s="3"/>
      <c r="J232" s="3"/>
      <c r="K232" s="3"/>
      <c r="L232" s="3"/>
      <c r="M232" s="3"/>
      <c r="N232" s="3"/>
      <c r="O232" s="3"/>
      <c r="P232" s="3"/>
      <c r="Q232" s="3"/>
      <c r="R232" s="3"/>
      <c r="S232" s="3"/>
      <c r="T232" s="3"/>
      <c r="U232" s="3"/>
      <c r="V232" s="516"/>
      <c r="W232" s="18"/>
      <c r="X232" s="3"/>
      <c r="Y232" s="3"/>
      <c r="Z232" s="3"/>
      <c r="AA232" s="3"/>
    </row>
    <row r="233" spans="1:27" ht="24.75" customHeight="1">
      <c r="A233" s="3"/>
      <c r="B233" s="3"/>
      <c r="C233" s="3"/>
      <c r="D233" s="3"/>
      <c r="E233" s="3"/>
      <c r="F233" s="3"/>
      <c r="G233" s="3"/>
      <c r="H233" s="3"/>
      <c r="I233" s="3"/>
      <c r="J233" s="3"/>
      <c r="K233" s="3"/>
      <c r="L233" s="3"/>
      <c r="M233" s="3"/>
      <c r="N233" s="3"/>
      <c r="O233" s="3"/>
      <c r="P233" s="3"/>
      <c r="Q233" s="3"/>
      <c r="R233" s="3"/>
      <c r="S233" s="3"/>
      <c r="T233" s="3"/>
      <c r="U233" s="3"/>
      <c r="V233" s="516"/>
      <c r="W233" s="18"/>
      <c r="X233" s="3"/>
      <c r="Y233" s="3"/>
      <c r="Z233" s="3"/>
      <c r="AA233" s="3"/>
    </row>
    <row r="234" spans="1:27" ht="24.75" customHeight="1">
      <c r="A234" s="3"/>
      <c r="B234" s="3"/>
      <c r="C234" s="3"/>
      <c r="D234" s="3"/>
      <c r="E234" s="3"/>
      <c r="F234" s="3"/>
      <c r="G234" s="3"/>
      <c r="H234" s="3"/>
      <c r="I234" s="3"/>
      <c r="J234" s="3"/>
      <c r="K234" s="3"/>
      <c r="L234" s="3"/>
      <c r="M234" s="3"/>
      <c r="N234" s="3"/>
      <c r="O234" s="3"/>
      <c r="P234" s="3"/>
      <c r="Q234" s="3"/>
      <c r="R234" s="3"/>
      <c r="S234" s="3"/>
      <c r="T234" s="3"/>
      <c r="U234" s="3"/>
      <c r="V234" s="516"/>
      <c r="W234" s="18"/>
      <c r="X234" s="3"/>
      <c r="Y234" s="3"/>
      <c r="Z234" s="3"/>
      <c r="AA234" s="3"/>
    </row>
    <row r="235" spans="1:27" ht="24.75" customHeight="1">
      <c r="A235" s="3"/>
      <c r="B235" s="3"/>
      <c r="C235" s="3"/>
      <c r="D235" s="3"/>
      <c r="E235" s="3"/>
      <c r="F235" s="3"/>
      <c r="G235" s="3"/>
      <c r="H235" s="3"/>
      <c r="I235" s="3"/>
      <c r="J235" s="3"/>
      <c r="K235" s="3"/>
      <c r="L235" s="3"/>
      <c r="M235" s="3"/>
      <c r="N235" s="3"/>
      <c r="O235" s="3"/>
      <c r="P235" s="3"/>
      <c r="Q235" s="3"/>
      <c r="R235" s="3"/>
      <c r="S235" s="3"/>
      <c r="T235" s="3"/>
      <c r="U235" s="3"/>
      <c r="V235" s="516"/>
      <c r="W235" s="18"/>
      <c r="X235" s="3"/>
      <c r="Y235" s="3"/>
      <c r="Z235" s="3"/>
      <c r="AA235" s="3"/>
    </row>
    <row r="236" spans="1:27" ht="24.75" customHeight="1">
      <c r="A236" s="3"/>
      <c r="B236" s="3"/>
      <c r="C236" s="3"/>
      <c r="D236" s="3"/>
      <c r="E236" s="3"/>
      <c r="F236" s="3"/>
      <c r="G236" s="3"/>
      <c r="H236" s="3"/>
      <c r="I236" s="3"/>
      <c r="J236" s="3"/>
      <c r="K236" s="3"/>
      <c r="L236" s="3"/>
      <c r="M236" s="3"/>
      <c r="N236" s="3"/>
      <c r="O236" s="3"/>
      <c r="P236" s="3"/>
      <c r="Q236" s="3"/>
      <c r="R236" s="3"/>
      <c r="S236" s="3"/>
      <c r="T236" s="3"/>
      <c r="U236" s="3"/>
      <c r="V236" s="516"/>
      <c r="W236" s="18"/>
      <c r="X236" s="3"/>
      <c r="Y236" s="3"/>
      <c r="Z236" s="3"/>
      <c r="AA236" s="3"/>
    </row>
    <row r="237" spans="1:27" ht="24.75" customHeight="1">
      <c r="A237" s="3"/>
      <c r="B237" s="3"/>
      <c r="C237" s="3"/>
      <c r="D237" s="3"/>
      <c r="E237" s="3"/>
      <c r="F237" s="3"/>
      <c r="G237" s="3"/>
      <c r="H237" s="3"/>
      <c r="I237" s="3"/>
      <c r="J237" s="3"/>
      <c r="K237" s="3"/>
      <c r="L237" s="3"/>
      <c r="M237" s="3"/>
      <c r="N237" s="3"/>
      <c r="O237" s="3"/>
      <c r="P237" s="3"/>
      <c r="Q237" s="3"/>
      <c r="R237" s="3"/>
      <c r="S237" s="3"/>
      <c r="T237" s="3"/>
      <c r="U237" s="3"/>
      <c r="V237" s="516"/>
      <c r="W237" s="18"/>
      <c r="X237" s="3"/>
      <c r="Y237" s="3"/>
      <c r="Z237" s="3"/>
      <c r="AA237" s="3"/>
    </row>
    <row r="238" spans="1:27" ht="24.75" customHeight="1">
      <c r="A238" s="3"/>
      <c r="B238" s="3"/>
      <c r="C238" s="3"/>
      <c r="D238" s="3"/>
      <c r="E238" s="3"/>
      <c r="F238" s="3"/>
      <c r="G238" s="3"/>
      <c r="H238" s="3"/>
      <c r="I238" s="3"/>
      <c r="J238" s="3"/>
      <c r="K238" s="3"/>
      <c r="L238" s="3"/>
      <c r="M238" s="3"/>
      <c r="N238" s="3"/>
      <c r="O238" s="3"/>
      <c r="P238" s="3"/>
      <c r="Q238" s="3"/>
      <c r="R238" s="3"/>
      <c r="S238" s="3"/>
      <c r="T238" s="3"/>
      <c r="U238" s="3"/>
      <c r="V238" s="516"/>
      <c r="W238" s="18"/>
      <c r="X238" s="3"/>
      <c r="Y238" s="3"/>
      <c r="Z238" s="3"/>
      <c r="AA238" s="3"/>
    </row>
    <row r="239" spans="1:27" ht="24.75" customHeight="1">
      <c r="A239" s="3"/>
      <c r="B239" s="3"/>
      <c r="C239" s="3"/>
      <c r="D239" s="3"/>
      <c r="E239" s="3"/>
      <c r="F239" s="3"/>
      <c r="G239" s="3"/>
      <c r="H239" s="3"/>
      <c r="I239" s="3"/>
      <c r="J239" s="3"/>
      <c r="K239" s="3"/>
      <c r="L239" s="3"/>
      <c r="M239" s="3"/>
      <c r="N239" s="3"/>
      <c r="O239" s="3"/>
      <c r="P239" s="3"/>
      <c r="Q239" s="3"/>
      <c r="R239" s="3"/>
      <c r="S239" s="3"/>
      <c r="T239" s="3"/>
      <c r="U239" s="3"/>
      <c r="V239" s="516"/>
      <c r="W239" s="18"/>
      <c r="X239" s="3"/>
      <c r="Y239" s="3"/>
      <c r="Z239" s="3"/>
      <c r="AA239" s="3"/>
    </row>
    <row r="240" spans="1:27" ht="24.75" customHeight="1">
      <c r="A240" s="3"/>
      <c r="B240" s="3"/>
      <c r="C240" s="3"/>
      <c r="D240" s="3"/>
      <c r="E240" s="3"/>
      <c r="F240" s="3"/>
      <c r="G240" s="3"/>
      <c r="H240" s="3"/>
      <c r="I240" s="3"/>
      <c r="J240" s="3"/>
      <c r="K240" s="3"/>
      <c r="L240" s="3"/>
      <c r="M240" s="3"/>
      <c r="N240" s="3"/>
      <c r="O240" s="3"/>
      <c r="P240" s="3"/>
      <c r="Q240" s="3"/>
      <c r="R240" s="3"/>
      <c r="S240" s="3"/>
      <c r="T240" s="3"/>
      <c r="U240" s="3"/>
      <c r="V240" s="516"/>
      <c r="W240" s="18"/>
      <c r="X240" s="3"/>
      <c r="Y240" s="3"/>
      <c r="Z240" s="3"/>
      <c r="AA240" s="3"/>
    </row>
    <row r="241" spans="1:27" ht="24.75" customHeight="1">
      <c r="A241" s="3"/>
      <c r="B241" s="3"/>
      <c r="C241" s="3"/>
      <c r="D241" s="3"/>
      <c r="E241" s="3"/>
      <c r="F241" s="3"/>
      <c r="G241" s="3"/>
      <c r="H241" s="3"/>
      <c r="I241" s="3"/>
      <c r="J241" s="3"/>
      <c r="K241" s="3"/>
      <c r="L241" s="3"/>
      <c r="M241" s="3"/>
      <c r="N241" s="3"/>
      <c r="O241" s="3"/>
      <c r="P241" s="3"/>
      <c r="Q241" s="3"/>
      <c r="R241" s="3"/>
      <c r="S241" s="3"/>
      <c r="T241" s="3"/>
      <c r="U241" s="3"/>
      <c r="V241" s="516"/>
      <c r="W241" s="18"/>
      <c r="X241" s="3"/>
      <c r="Y241" s="3"/>
      <c r="Z241" s="3"/>
      <c r="AA241" s="3"/>
    </row>
    <row r="242" spans="1:27" ht="24.75" customHeight="1">
      <c r="A242" s="3"/>
      <c r="B242" s="3"/>
      <c r="C242" s="3"/>
      <c r="D242" s="3"/>
      <c r="E242" s="3"/>
      <c r="F242" s="3"/>
      <c r="G242" s="3"/>
      <c r="H242" s="3"/>
      <c r="I242" s="3"/>
      <c r="J242" s="3"/>
      <c r="K242" s="3"/>
      <c r="L242" s="3"/>
      <c r="M242" s="3"/>
      <c r="N242" s="3"/>
      <c r="O242" s="3"/>
      <c r="P242" s="3"/>
      <c r="Q242" s="3"/>
      <c r="R242" s="3"/>
      <c r="S242" s="3"/>
      <c r="T242" s="3"/>
      <c r="U242" s="3"/>
      <c r="V242" s="516"/>
      <c r="W242" s="18"/>
      <c r="X242" s="3"/>
      <c r="Y242" s="3"/>
      <c r="Z242" s="3"/>
      <c r="AA242" s="3"/>
    </row>
    <row r="243" spans="1:27" ht="24.75" customHeight="1">
      <c r="A243" s="3"/>
      <c r="B243" s="3"/>
      <c r="C243" s="3"/>
      <c r="D243" s="3"/>
      <c r="E243" s="3"/>
      <c r="F243" s="3"/>
      <c r="G243" s="3"/>
      <c r="H243" s="3"/>
      <c r="I243" s="3"/>
      <c r="J243" s="3"/>
      <c r="K243" s="3"/>
      <c r="L243" s="3"/>
      <c r="M243" s="3"/>
      <c r="N243" s="3"/>
      <c r="O243" s="3"/>
      <c r="P243" s="3"/>
      <c r="Q243" s="3"/>
      <c r="R243" s="3"/>
      <c r="S243" s="3"/>
      <c r="T243" s="3"/>
      <c r="U243" s="3"/>
      <c r="V243" s="516"/>
      <c r="W243" s="18"/>
      <c r="X243" s="3"/>
      <c r="Y243" s="3"/>
      <c r="Z243" s="3"/>
      <c r="AA243" s="3"/>
    </row>
    <row r="244" spans="1:27" ht="24.75" customHeight="1">
      <c r="A244" s="3"/>
      <c r="B244" s="3"/>
      <c r="C244" s="3"/>
      <c r="D244" s="3"/>
      <c r="E244" s="3"/>
      <c r="F244" s="3"/>
      <c r="G244" s="3"/>
      <c r="H244" s="3"/>
      <c r="I244" s="3"/>
      <c r="J244" s="3"/>
      <c r="K244" s="3"/>
      <c r="L244" s="3"/>
      <c r="M244" s="3"/>
      <c r="N244" s="3"/>
      <c r="O244" s="3"/>
      <c r="P244" s="3"/>
      <c r="Q244" s="3"/>
      <c r="R244" s="3"/>
      <c r="S244" s="3"/>
      <c r="T244" s="3"/>
      <c r="U244" s="3"/>
      <c r="V244" s="516"/>
      <c r="W244" s="18"/>
      <c r="X244" s="3"/>
      <c r="Y244" s="3"/>
      <c r="Z244" s="3"/>
      <c r="AA244" s="3"/>
    </row>
    <row r="245" spans="1:27" ht="24.75" customHeight="1">
      <c r="A245" s="3"/>
      <c r="B245" s="3"/>
      <c r="C245" s="3"/>
      <c r="D245" s="3"/>
      <c r="E245" s="3"/>
      <c r="F245" s="3"/>
      <c r="G245" s="3"/>
      <c r="H245" s="3"/>
      <c r="I245" s="3"/>
      <c r="J245" s="3"/>
      <c r="K245" s="3"/>
      <c r="L245" s="3"/>
      <c r="M245" s="3"/>
      <c r="N245" s="3"/>
      <c r="O245" s="3"/>
      <c r="P245" s="3"/>
      <c r="Q245" s="3"/>
      <c r="R245" s="3"/>
      <c r="S245" s="3"/>
      <c r="T245" s="3"/>
      <c r="U245" s="3"/>
      <c r="V245" s="516"/>
      <c r="W245" s="18"/>
      <c r="X245" s="3"/>
      <c r="Y245" s="3"/>
      <c r="Z245" s="3"/>
      <c r="AA245" s="3"/>
    </row>
    <row r="246" spans="1:27" ht="24.75" customHeight="1">
      <c r="A246" s="3"/>
      <c r="B246" s="3"/>
      <c r="C246" s="3"/>
      <c r="D246" s="3"/>
      <c r="E246" s="3"/>
      <c r="F246" s="3"/>
      <c r="G246" s="3"/>
      <c r="H246" s="3"/>
      <c r="I246" s="3"/>
      <c r="J246" s="3"/>
      <c r="K246" s="3"/>
      <c r="L246" s="3"/>
      <c r="M246" s="3"/>
      <c r="N246" s="3"/>
      <c r="O246" s="3"/>
      <c r="P246" s="3"/>
      <c r="Q246" s="3"/>
      <c r="R246" s="3"/>
      <c r="S246" s="3"/>
      <c r="T246" s="3"/>
      <c r="U246" s="3"/>
      <c r="V246" s="516"/>
      <c r="W246" s="18"/>
      <c r="X246" s="3"/>
      <c r="Y246" s="3"/>
      <c r="Z246" s="3"/>
      <c r="AA246" s="3"/>
    </row>
    <row r="247" spans="1:27" ht="24.75" customHeight="1">
      <c r="A247" s="3"/>
      <c r="B247" s="3"/>
      <c r="C247" s="3"/>
      <c r="D247" s="3"/>
      <c r="E247" s="3"/>
      <c r="F247" s="3"/>
      <c r="G247" s="3"/>
      <c r="H247" s="3"/>
      <c r="I247" s="3"/>
      <c r="J247" s="3"/>
      <c r="K247" s="3"/>
      <c r="L247" s="3"/>
      <c r="M247" s="3"/>
      <c r="N247" s="3"/>
      <c r="O247" s="3"/>
      <c r="P247" s="3"/>
      <c r="Q247" s="3"/>
      <c r="R247" s="3"/>
      <c r="S247" s="3"/>
      <c r="T247" s="3"/>
      <c r="U247" s="3"/>
      <c r="V247" s="516"/>
      <c r="W247" s="18"/>
      <c r="X247" s="3"/>
      <c r="Y247" s="3"/>
      <c r="Z247" s="3"/>
      <c r="AA247" s="3"/>
    </row>
    <row r="248" spans="1:27" ht="24.75" customHeight="1">
      <c r="A248" s="3"/>
      <c r="B248" s="3"/>
      <c r="C248" s="3"/>
      <c r="D248" s="3"/>
      <c r="E248" s="3"/>
      <c r="F248" s="3"/>
      <c r="G248" s="3"/>
      <c r="H248" s="3"/>
      <c r="I248" s="3"/>
      <c r="J248" s="3"/>
      <c r="K248" s="3"/>
      <c r="L248" s="3"/>
      <c r="M248" s="3"/>
      <c r="N248" s="3"/>
      <c r="O248" s="3"/>
      <c r="P248" s="3"/>
      <c r="Q248" s="3"/>
      <c r="R248" s="3"/>
      <c r="S248" s="3"/>
      <c r="T248" s="3"/>
      <c r="U248" s="3"/>
      <c r="V248" s="516"/>
      <c r="W248" s="18"/>
      <c r="X248" s="3"/>
      <c r="Y248" s="3"/>
      <c r="Z248" s="3"/>
      <c r="AA248" s="3"/>
    </row>
    <row r="249" spans="1:27" ht="24.75" customHeight="1">
      <c r="A249" s="3"/>
      <c r="B249" s="3"/>
      <c r="C249" s="3"/>
      <c r="D249" s="3"/>
      <c r="E249" s="3"/>
      <c r="F249" s="3"/>
      <c r="G249" s="3"/>
      <c r="H249" s="3"/>
      <c r="I249" s="3"/>
      <c r="J249" s="3"/>
      <c r="K249" s="3"/>
      <c r="L249" s="3"/>
      <c r="M249" s="3"/>
      <c r="N249" s="3"/>
      <c r="O249" s="3"/>
      <c r="P249" s="3"/>
      <c r="Q249" s="3"/>
      <c r="R249" s="3"/>
      <c r="S249" s="3"/>
      <c r="T249" s="3"/>
      <c r="U249" s="3"/>
      <c r="V249" s="516"/>
      <c r="W249" s="18"/>
      <c r="X249" s="3"/>
      <c r="Y249" s="3"/>
      <c r="Z249" s="3"/>
      <c r="AA249" s="3"/>
    </row>
    <row r="250" spans="1:27" ht="24.75" customHeight="1">
      <c r="A250" s="3"/>
      <c r="B250" s="3"/>
      <c r="C250" s="3"/>
      <c r="D250" s="3"/>
      <c r="E250" s="3"/>
      <c r="F250" s="3"/>
      <c r="G250" s="3"/>
      <c r="H250" s="3"/>
      <c r="I250" s="3"/>
      <c r="J250" s="3"/>
      <c r="K250" s="3"/>
      <c r="L250" s="3"/>
      <c r="M250" s="3"/>
      <c r="N250" s="3"/>
      <c r="O250" s="3"/>
      <c r="P250" s="3"/>
      <c r="Q250" s="3"/>
      <c r="R250" s="3"/>
      <c r="S250" s="3"/>
      <c r="T250" s="3"/>
      <c r="U250" s="3"/>
      <c r="V250" s="516"/>
      <c r="W250" s="18"/>
      <c r="X250" s="3"/>
      <c r="Y250" s="3"/>
      <c r="Z250" s="3"/>
      <c r="AA250" s="3"/>
    </row>
    <row r="251" spans="1:27" ht="24.75" customHeight="1">
      <c r="A251" s="3"/>
      <c r="B251" s="3"/>
      <c r="C251" s="3"/>
      <c r="D251" s="3"/>
      <c r="E251" s="3"/>
      <c r="F251" s="3"/>
      <c r="G251" s="3"/>
      <c r="H251" s="3"/>
      <c r="I251" s="3"/>
      <c r="J251" s="3"/>
      <c r="K251" s="3"/>
      <c r="L251" s="3"/>
      <c r="M251" s="3"/>
      <c r="N251" s="3"/>
      <c r="O251" s="3"/>
      <c r="P251" s="3"/>
      <c r="Q251" s="3"/>
      <c r="R251" s="3"/>
      <c r="S251" s="3"/>
      <c r="T251" s="3"/>
      <c r="U251" s="3"/>
      <c r="V251" s="516"/>
      <c r="W251" s="18"/>
      <c r="X251" s="3"/>
      <c r="Y251" s="3"/>
      <c r="Z251" s="3"/>
      <c r="AA251" s="3"/>
    </row>
    <row r="252" spans="1:27" ht="24.75" customHeight="1">
      <c r="A252" s="3"/>
      <c r="B252" s="3"/>
      <c r="C252" s="3"/>
      <c r="D252" s="3"/>
      <c r="E252" s="3"/>
      <c r="F252" s="3"/>
      <c r="G252" s="3"/>
      <c r="H252" s="3"/>
      <c r="I252" s="3"/>
      <c r="J252" s="3"/>
      <c r="K252" s="3"/>
      <c r="L252" s="3"/>
      <c r="M252" s="3"/>
      <c r="N252" s="3"/>
      <c r="O252" s="3"/>
      <c r="P252" s="3"/>
      <c r="Q252" s="3"/>
      <c r="R252" s="3"/>
      <c r="S252" s="3"/>
      <c r="T252" s="3"/>
      <c r="U252" s="3"/>
      <c r="V252" s="516"/>
      <c r="W252" s="18"/>
      <c r="X252" s="3"/>
      <c r="Y252" s="3"/>
      <c r="Z252" s="3"/>
      <c r="AA252" s="3"/>
    </row>
    <row r="253" spans="1:27" ht="24.75" customHeight="1">
      <c r="A253" s="3"/>
      <c r="B253" s="3"/>
      <c r="C253" s="3"/>
      <c r="D253" s="3"/>
      <c r="E253" s="3"/>
      <c r="F253" s="3"/>
      <c r="G253" s="3"/>
      <c r="H253" s="3"/>
      <c r="I253" s="3"/>
      <c r="J253" s="3"/>
      <c r="K253" s="3"/>
      <c r="L253" s="3"/>
      <c r="M253" s="3"/>
      <c r="N253" s="3"/>
      <c r="O253" s="3"/>
      <c r="P253" s="3"/>
      <c r="Q253" s="3"/>
      <c r="R253" s="3"/>
      <c r="S253" s="3"/>
      <c r="T253" s="3"/>
      <c r="U253" s="3"/>
      <c r="V253" s="516"/>
      <c r="W253" s="18"/>
      <c r="X253" s="3"/>
      <c r="Y253" s="3"/>
      <c r="Z253" s="3"/>
      <c r="AA253" s="3"/>
    </row>
    <row r="254" spans="1:27" ht="24.75" customHeight="1">
      <c r="A254" s="3"/>
      <c r="B254" s="3"/>
      <c r="C254" s="3"/>
      <c r="D254" s="3"/>
      <c r="E254" s="3"/>
      <c r="F254" s="3"/>
      <c r="G254" s="3"/>
      <c r="H254" s="3"/>
      <c r="I254" s="3"/>
      <c r="J254" s="3"/>
      <c r="K254" s="3"/>
      <c r="L254" s="3"/>
      <c r="M254" s="3"/>
      <c r="N254" s="3"/>
      <c r="O254" s="3"/>
      <c r="P254" s="3"/>
      <c r="Q254" s="3"/>
      <c r="R254" s="3"/>
      <c r="S254" s="3"/>
      <c r="T254" s="3"/>
      <c r="U254" s="3"/>
      <c r="V254" s="516"/>
      <c r="W254" s="18"/>
      <c r="X254" s="3"/>
      <c r="Y254" s="3"/>
      <c r="Z254" s="3"/>
      <c r="AA254" s="3"/>
    </row>
    <row r="255" spans="1:27" ht="24.75" customHeight="1">
      <c r="A255" s="3"/>
      <c r="B255" s="3"/>
      <c r="C255" s="3"/>
      <c r="D255" s="3"/>
      <c r="E255" s="3"/>
      <c r="F255" s="3"/>
      <c r="G255" s="3"/>
      <c r="H255" s="3"/>
      <c r="I255" s="3"/>
      <c r="J255" s="3"/>
      <c r="K255" s="3"/>
      <c r="L255" s="3"/>
      <c r="M255" s="3"/>
      <c r="N255" s="3"/>
      <c r="O255" s="3"/>
      <c r="P255" s="3"/>
      <c r="Q255" s="3"/>
      <c r="R255" s="3"/>
      <c r="S255" s="3"/>
      <c r="T255" s="3"/>
      <c r="U255" s="3"/>
      <c r="V255" s="516"/>
      <c r="W255" s="18"/>
      <c r="X255" s="3"/>
      <c r="Y255" s="3"/>
      <c r="Z255" s="3"/>
      <c r="AA255" s="3"/>
    </row>
    <row r="256" spans="1:27" ht="24.75" customHeight="1">
      <c r="A256" s="3"/>
      <c r="B256" s="3"/>
      <c r="C256" s="3"/>
      <c r="D256" s="3"/>
      <c r="E256" s="3"/>
      <c r="F256" s="3"/>
      <c r="G256" s="3"/>
      <c r="H256" s="3"/>
      <c r="I256" s="3"/>
      <c r="J256" s="3"/>
      <c r="K256" s="3"/>
      <c r="L256" s="3"/>
      <c r="M256" s="3"/>
      <c r="N256" s="3"/>
      <c r="O256" s="3"/>
      <c r="P256" s="3"/>
      <c r="Q256" s="3"/>
      <c r="R256" s="3"/>
      <c r="S256" s="3"/>
      <c r="T256" s="3"/>
      <c r="U256" s="3"/>
      <c r="V256" s="516"/>
      <c r="W256" s="18"/>
      <c r="X256" s="3"/>
      <c r="Y256" s="3"/>
      <c r="Z256" s="3"/>
      <c r="AA256" s="3"/>
    </row>
    <row r="257" spans="1:27" ht="24.75" customHeight="1">
      <c r="A257" s="3"/>
      <c r="B257" s="3"/>
      <c r="C257" s="3"/>
      <c r="D257" s="3"/>
      <c r="E257" s="3"/>
      <c r="F257" s="3"/>
      <c r="G257" s="3"/>
      <c r="H257" s="3"/>
      <c r="I257" s="3"/>
      <c r="J257" s="3"/>
      <c r="K257" s="3"/>
      <c r="L257" s="3"/>
      <c r="M257" s="3"/>
      <c r="N257" s="3"/>
      <c r="O257" s="3"/>
      <c r="P257" s="3"/>
      <c r="Q257" s="3"/>
      <c r="R257" s="3"/>
      <c r="S257" s="3"/>
      <c r="T257" s="3"/>
      <c r="U257" s="3"/>
      <c r="V257" s="516"/>
      <c r="W257" s="18"/>
      <c r="X257" s="3"/>
      <c r="Y257" s="3"/>
      <c r="Z257" s="3"/>
      <c r="AA257" s="3"/>
    </row>
    <row r="258" spans="1:27" ht="24.75" customHeight="1">
      <c r="A258" s="3"/>
      <c r="B258" s="3"/>
      <c r="C258" s="3"/>
      <c r="D258" s="3"/>
      <c r="E258" s="3"/>
      <c r="F258" s="3"/>
      <c r="G258" s="3"/>
      <c r="H258" s="3"/>
      <c r="I258" s="3"/>
      <c r="J258" s="3"/>
      <c r="K258" s="3"/>
      <c r="L258" s="3"/>
      <c r="M258" s="3"/>
      <c r="N258" s="3"/>
      <c r="O258" s="3"/>
      <c r="P258" s="3"/>
      <c r="Q258" s="3"/>
      <c r="R258" s="3"/>
      <c r="S258" s="3"/>
      <c r="T258" s="3"/>
      <c r="U258" s="3"/>
      <c r="V258" s="516"/>
      <c r="W258" s="18"/>
      <c r="X258" s="3"/>
      <c r="Y258" s="3"/>
      <c r="Z258" s="3"/>
      <c r="AA258" s="3"/>
    </row>
    <row r="259" spans="1:27" ht="24.75" customHeight="1">
      <c r="A259" s="3"/>
      <c r="B259" s="3"/>
      <c r="C259" s="3"/>
      <c r="D259" s="3"/>
      <c r="E259" s="3"/>
      <c r="F259" s="3"/>
      <c r="G259" s="3"/>
      <c r="H259" s="3"/>
      <c r="I259" s="3"/>
      <c r="J259" s="3"/>
      <c r="K259" s="3"/>
      <c r="L259" s="3"/>
      <c r="M259" s="3"/>
      <c r="N259" s="3"/>
      <c r="O259" s="3"/>
      <c r="P259" s="3"/>
      <c r="Q259" s="3"/>
      <c r="R259" s="3"/>
      <c r="S259" s="3"/>
      <c r="T259" s="3"/>
      <c r="U259" s="3"/>
      <c r="V259" s="516"/>
      <c r="W259" s="18"/>
      <c r="X259" s="3"/>
      <c r="Y259" s="3"/>
      <c r="Z259" s="3"/>
      <c r="AA259" s="3"/>
    </row>
    <row r="260" spans="1:27" ht="24.75" customHeight="1">
      <c r="A260" s="3"/>
      <c r="B260" s="3"/>
      <c r="C260" s="3"/>
      <c r="D260" s="3"/>
      <c r="E260" s="3"/>
      <c r="F260" s="3"/>
      <c r="G260" s="3"/>
      <c r="H260" s="3"/>
      <c r="I260" s="3"/>
      <c r="J260" s="3"/>
      <c r="K260" s="3"/>
      <c r="L260" s="3"/>
      <c r="M260" s="3"/>
      <c r="N260" s="3"/>
      <c r="O260" s="3"/>
      <c r="P260" s="3"/>
      <c r="Q260" s="3"/>
      <c r="R260" s="3"/>
      <c r="S260" s="3"/>
      <c r="T260" s="3"/>
      <c r="U260" s="3"/>
      <c r="V260" s="516"/>
      <c r="W260" s="18"/>
      <c r="X260" s="3"/>
      <c r="Y260" s="3"/>
      <c r="Z260" s="3"/>
      <c r="AA260" s="3"/>
    </row>
    <row r="261" spans="1:27" ht="24.75" customHeight="1">
      <c r="A261" s="3"/>
      <c r="B261" s="3"/>
      <c r="C261" s="3"/>
      <c r="D261" s="3"/>
      <c r="E261" s="3"/>
      <c r="F261" s="3"/>
      <c r="G261" s="3"/>
      <c r="H261" s="3"/>
      <c r="I261" s="3"/>
      <c r="J261" s="3"/>
      <c r="K261" s="3"/>
      <c r="L261" s="3"/>
      <c r="M261" s="3"/>
      <c r="N261" s="3"/>
      <c r="O261" s="3"/>
      <c r="P261" s="3"/>
      <c r="Q261" s="3"/>
      <c r="R261" s="3"/>
      <c r="S261" s="3"/>
      <c r="T261" s="3"/>
      <c r="U261" s="3"/>
      <c r="V261" s="516"/>
      <c r="W261" s="18"/>
      <c r="X261" s="3"/>
      <c r="Y261" s="3"/>
      <c r="Z261" s="3"/>
      <c r="AA261" s="3"/>
    </row>
    <row r="262" spans="1:27" ht="24.75" customHeight="1">
      <c r="A262" s="3"/>
      <c r="B262" s="3"/>
      <c r="C262" s="3"/>
      <c r="D262" s="3"/>
      <c r="E262" s="3"/>
      <c r="F262" s="3"/>
      <c r="G262" s="3"/>
      <c r="H262" s="3"/>
      <c r="I262" s="3"/>
      <c r="J262" s="3"/>
      <c r="K262" s="3"/>
      <c r="L262" s="3"/>
      <c r="M262" s="3"/>
      <c r="N262" s="3"/>
      <c r="O262" s="3"/>
      <c r="P262" s="3"/>
      <c r="Q262" s="3"/>
      <c r="R262" s="3"/>
      <c r="S262" s="3"/>
      <c r="T262" s="3"/>
      <c r="U262" s="3"/>
      <c r="V262" s="516"/>
      <c r="W262" s="18"/>
      <c r="X262" s="3"/>
      <c r="Y262" s="3"/>
      <c r="Z262" s="3"/>
      <c r="AA262" s="3"/>
    </row>
    <row r="263" spans="1:27" ht="24.75" customHeight="1">
      <c r="A263" s="3"/>
      <c r="B263" s="3"/>
      <c r="C263" s="3"/>
      <c r="D263" s="3"/>
      <c r="E263" s="3"/>
      <c r="F263" s="3"/>
      <c r="G263" s="3"/>
      <c r="H263" s="3"/>
      <c r="I263" s="3"/>
      <c r="J263" s="3"/>
      <c r="K263" s="3"/>
      <c r="L263" s="3"/>
      <c r="M263" s="3"/>
      <c r="N263" s="3"/>
      <c r="O263" s="3"/>
      <c r="P263" s="3"/>
      <c r="Q263" s="3"/>
      <c r="R263" s="3"/>
      <c r="S263" s="3"/>
      <c r="T263" s="3"/>
      <c r="U263" s="3"/>
      <c r="V263" s="516"/>
      <c r="W263" s="18"/>
      <c r="X263" s="3"/>
      <c r="Y263" s="3"/>
      <c r="Z263" s="3"/>
      <c r="AA263" s="3"/>
    </row>
    <row r="264" spans="1:27" ht="24.75" customHeight="1">
      <c r="A264" s="3"/>
      <c r="B264" s="3"/>
      <c r="C264" s="3"/>
      <c r="D264" s="3"/>
      <c r="E264" s="3"/>
      <c r="F264" s="3"/>
      <c r="G264" s="3"/>
      <c r="H264" s="3"/>
      <c r="I264" s="3"/>
      <c r="J264" s="3"/>
      <c r="K264" s="3"/>
      <c r="L264" s="3"/>
      <c r="M264" s="3"/>
      <c r="N264" s="3"/>
      <c r="O264" s="3"/>
      <c r="P264" s="3"/>
      <c r="Q264" s="3"/>
      <c r="R264" s="3"/>
      <c r="S264" s="3"/>
      <c r="T264" s="3"/>
      <c r="U264" s="3"/>
      <c r="V264" s="516"/>
      <c r="W264" s="18"/>
      <c r="X264" s="3"/>
      <c r="Y264" s="3"/>
      <c r="Z264" s="3"/>
      <c r="AA264" s="3"/>
    </row>
    <row r="265" spans="1:27" ht="24.75" customHeight="1">
      <c r="A265" s="3"/>
      <c r="B265" s="3"/>
      <c r="C265" s="3"/>
      <c r="D265" s="3"/>
      <c r="E265" s="3"/>
      <c r="F265" s="3"/>
      <c r="G265" s="3"/>
      <c r="H265" s="3"/>
      <c r="I265" s="3"/>
      <c r="J265" s="3"/>
      <c r="K265" s="3"/>
      <c r="L265" s="3"/>
      <c r="M265" s="3"/>
      <c r="N265" s="3"/>
      <c r="O265" s="3"/>
      <c r="P265" s="3"/>
      <c r="Q265" s="3"/>
      <c r="R265" s="3"/>
      <c r="S265" s="3"/>
      <c r="T265" s="3"/>
      <c r="U265" s="3"/>
      <c r="V265" s="516"/>
      <c r="W265" s="18"/>
      <c r="X265" s="3"/>
      <c r="Y265" s="3"/>
      <c r="Z265" s="3"/>
      <c r="AA265" s="3"/>
    </row>
    <row r="266" spans="1:27" ht="24.75" customHeight="1">
      <c r="A266" s="3"/>
      <c r="B266" s="3"/>
      <c r="C266" s="3"/>
      <c r="D266" s="3"/>
      <c r="E266" s="3"/>
      <c r="F266" s="3"/>
      <c r="G266" s="3"/>
      <c r="H266" s="3"/>
      <c r="I266" s="3"/>
      <c r="J266" s="3"/>
      <c r="K266" s="3"/>
      <c r="L266" s="3"/>
      <c r="M266" s="3"/>
      <c r="N266" s="3"/>
      <c r="O266" s="3"/>
      <c r="P266" s="3"/>
      <c r="Q266" s="3"/>
      <c r="R266" s="3"/>
      <c r="S266" s="3"/>
      <c r="T266" s="3"/>
      <c r="U266" s="3"/>
      <c r="V266" s="516"/>
      <c r="W266" s="18"/>
      <c r="X266" s="3"/>
      <c r="Y266" s="3"/>
      <c r="Z266" s="3"/>
      <c r="AA266" s="3"/>
    </row>
    <row r="267" spans="1:27" ht="24.75" customHeight="1">
      <c r="A267" s="3"/>
      <c r="B267" s="3"/>
      <c r="C267" s="3"/>
      <c r="D267" s="3"/>
      <c r="E267" s="3"/>
      <c r="F267" s="3"/>
      <c r="G267" s="3"/>
      <c r="H267" s="3"/>
      <c r="I267" s="3"/>
      <c r="J267" s="3"/>
      <c r="K267" s="3"/>
      <c r="L267" s="3"/>
      <c r="M267" s="3"/>
      <c r="N267" s="3"/>
      <c r="O267" s="3"/>
      <c r="P267" s="3"/>
      <c r="Q267" s="3"/>
      <c r="R267" s="3"/>
      <c r="S267" s="3"/>
      <c r="T267" s="3"/>
      <c r="U267" s="3"/>
      <c r="V267" s="516"/>
      <c r="W267" s="18"/>
      <c r="X267" s="3"/>
      <c r="Y267" s="3"/>
      <c r="Z267" s="3"/>
      <c r="AA267" s="3"/>
    </row>
    <row r="268" spans="1:27" ht="24.75" customHeight="1">
      <c r="A268" s="3"/>
      <c r="B268" s="3"/>
      <c r="C268" s="3"/>
      <c r="D268" s="3"/>
      <c r="E268" s="3"/>
      <c r="F268" s="3"/>
      <c r="G268" s="3"/>
      <c r="H268" s="3"/>
      <c r="I268" s="3"/>
      <c r="J268" s="3"/>
      <c r="K268" s="3"/>
      <c r="L268" s="3"/>
      <c r="M268" s="3"/>
      <c r="N268" s="3"/>
      <c r="O268" s="3"/>
      <c r="P268" s="3"/>
      <c r="Q268" s="3"/>
      <c r="R268" s="3"/>
      <c r="S268" s="3"/>
      <c r="T268" s="3"/>
      <c r="U268" s="3"/>
      <c r="V268" s="516"/>
      <c r="W268" s="18"/>
      <c r="X268" s="3"/>
      <c r="Y268" s="3"/>
      <c r="Z268" s="3"/>
      <c r="AA268" s="3"/>
    </row>
    <row r="269" spans="1:27" ht="24.75" customHeight="1">
      <c r="A269" s="3"/>
      <c r="B269" s="3"/>
      <c r="C269" s="3"/>
      <c r="D269" s="3"/>
      <c r="E269" s="3"/>
      <c r="F269" s="3"/>
      <c r="G269" s="3"/>
      <c r="H269" s="3"/>
      <c r="I269" s="3"/>
      <c r="J269" s="3"/>
      <c r="K269" s="3"/>
      <c r="L269" s="3"/>
      <c r="M269" s="3"/>
      <c r="N269" s="3"/>
      <c r="O269" s="3"/>
      <c r="P269" s="3"/>
      <c r="Q269" s="3"/>
      <c r="R269" s="3"/>
      <c r="S269" s="3"/>
      <c r="T269" s="3"/>
      <c r="U269" s="3"/>
      <c r="V269" s="516"/>
      <c r="W269" s="18"/>
      <c r="X269" s="3"/>
      <c r="Y269" s="3"/>
      <c r="Z269" s="3"/>
      <c r="AA269" s="3"/>
    </row>
    <row r="270" spans="1:27" ht="24.75" customHeight="1">
      <c r="A270" s="3"/>
      <c r="B270" s="3"/>
      <c r="C270" s="3"/>
      <c r="D270" s="3"/>
      <c r="E270" s="3"/>
      <c r="F270" s="3"/>
      <c r="G270" s="3"/>
      <c r="H270" s="3"/>
      <c r="I270" s="3"/>
      <c r="J270" s="3"/>
      <c r="K270" s="3"/>
      <c r="L270" s="3"/>
      <c r="M270" s="3"/>
      <c r="N270" s="3"/>
      <c r="O270" s="3"/>
      <c r="P270" s="3"/>
      <c r="Q270" s="3"/>
      <c r="R270" s="3"/>
      <c r="S270" s="3"/>
      <c r="T270" s="3"/>
      <c r="U270" s="3"/>
      <c r="V270" s="516"/>
      <c r="W270" s="18"/>
      <c r="X270" s="3"/>
      <c r="Y270" s="3"/>
      <c r="Z270" s="3"/>
      <c r="AA270" s="3"/>
    </row>
    <row r="271" spans="1:27" ht="24.75" customHeight="1">
      <c r="A271" s="3"/>
      <c r="B271" s="3"/>
      <c r="C271" s="3"/>
      <c r="D271" s="3"/>
      <c r="E271" s="3"/>
      <c r="F271" s="3"/>
      <c r="G271" s="3"/>
      <c r="H271" s="3"/>
      <c r="I271" s="3"/>
      <c r="J271" s="3"/>
      <c r="K271" s="3"/>
      <c r="L271" s="3"/>
      <c r="M271" s="3"/>
      <c r="N271" s="3"/>
      <c r="O271" s="3"/>
      <c r="P271" s="3"/>
      <c r="Q271" s="3"/>
      <c r="R271" s="3"/>
      <c r="S271" s="3"/>
      <c r="T271" s="3"/>
      <c r="U271" s="3"/>
      <c r="V271" s="516"/>
      <c r="W271" s="18"/>
      <c r="X271" s="3"/>
      <c r="Y271" s="3"/>
      <c r="Z271" s="3"/>
      <c r="AA271" s="3"/>
    </row>
    <row r="272" spans="1:27" ht="24.75" customHeight="1">
      <c r="A272" s="3"/>
      <c r="B272" s="3"/>
      <c r="C272" s="3"/>
      <c r="D272" s="3"/>
      <c r="E272" s="3"/>
      <c r="F272" s="3"/>
      <c r="G272" s="3"/>
      <c r="H272" s="3"/>
      <c r="I272" s="3"/>
      <c r="J272" s="3"/>
      <c r="K272" s="3"/>
      <c r="L272" s="3"/>
      <c r="M272" s="3"/>
      <c r="N272" s="3"/>
      <c r="O272" s="3"/>
      <c r="P272" s="3"/>
      <c r="Q272" s="3"/>
      <c r="R272" s="3"/>
      <c r="S272" s="3"/>
      <c r="T272" s="3"/>
      <c r="U272" s="3"/>
      <c r="V272" s="516"/>
      <c r="W272" s="18"/>
      <c r="X272" s="3"/>
      <c r="Y272" s="3"/>
      <c r="Z272" s="3"/>
      <c r="AA272" s="3"/>
    </row>
    <row r="273" spans="1:27" ht="24.75" customHeight="1">
      <c r="A273" s="3"/>
      <c r="B273" s="3"/>
      <c r="C273" s="3"/>
      <c r="D273" s="3"/>
      <c r="E273" s="3"/>
      <c r="F273" s="3"/>
      <c r="G273" s="3"/>
      <c r="H273" s="3"/>
      <c r="I273" s="3"/>
      <c r="J273" s="3"/>
      <c r="K273" s="3"/>
      <c r="L273" s="3"/>
      <c r="M273" s="3"/>
      <c r="N273" s="3"/>
      <c r="O273" s="3"/>
      <c r="P273" s="3"/>
      <c r="Q273" s="3"/>
      <c r="R273" s="3"/>
      <c r="S273" s="3"/>
      <c r="T273" s="3"/>
      <c r="U273" s="3"/>
      <c r="V273" s="516"/>
      <c r="W273" s="18"/>
      <c r="X273" s="3"/>
      <c r="Y273" s="3"/>
      <c r="Z273" s="3"/>
      <c r="AA273" s="3"/>
    </row>
    <row r="274" spans="1:27" ht="24.75" customHeight="1">
      <c r="A274" s="3"/>
      <c r="B274" s="3"/>
      <c r="C274" s="3"/>
      <c r="D274" s="3"/>
      <c r="E274" s="3"/>
      <c r="F274" s="3"/>
      <c r="G274" s="3"/>
      <c r="H274" s="3"/>
      <c r="I274" s="3"/>
      <c r="J274" s="3"/>
      <c r="K274" s="3"/>
      <c r="L274" s="3"/>
      <c r="M274" s="3"/>
      <c r="N274" s="3"/>
      <c r="O274" s="3"/>
      <c r="P274" s="3"/>
      <c r="Q274" s="3"/>
      <c r="R274" s="3"/>
      <c r="S274" s="3"/>
      <c r="T274" s="3"/>
      <c r="U274" s="3"/>
      <c r="V274" s="516"/>
      <c r="W274" s="18"/>
      <c r="X274" s="3"/>
      <c r="Y274" s="3"/>
      <c r="Z274" s="3"/>
      <c r="AA274" s="3"/>
    </row>
    <row r="275" spans="1:27" ht="24.75" customHeight="1">
      <c r="A275" s="3"/>
      <c r="B275" s="3"/>
      <c r="C275" s="3"/>
      <c r="D275" s="3"/>
      <c r="E275" s="3"/>
      <c r="F275" s="3"/>
      <c r="G275" s="3"/>
      <c r="H275" s="3"/>
      <c r="I275" s="3"/>
      <c r="J275" s="3"/>
      <c r="K275" s="3"/>
      <c r="L275" s="3"/>
      <c r="M275" s="3"/>
      <c r="N275" s="3"/>
      <c r="O275" s="3"/>
      <c r="P275" s="3"/>
      <c r="Q275" s="3"/>
      <c r="R275" s="3"/>
      <c r="S275" s="3"/>
      <c r="T275" s="3"/>
      <c r="U275" s="3"/>
      <c r="V275" s="516"/>
      <c r="W275" s="18"/>
      <c r="X275" s="3"/>
      <c r="Y275" s="3"/>
      <c r="Z275" s="3"/>
      <c r="AA275" s="3"/>
    </row>
    <row r="276" spans="1:27" ht="24.75" customHeight="1">
      <c r="A276" s="3"/>
      <c r="B276" s="3"/>
      <c r="C276" s="3"/>
      <c r="D276" s="3"/>
      <c r="E276" s="3"/>
      <c r="F276" s="3"/>
      <c r="G276" s="3"/>
      <c r="H276" s="3"/>
      <c r="I276" s="3"/>
      <c r="J276" s="3"/>
      <c r="K276" s="3"/>
      <c r="L276" s="3"/>
      <c r="M276" s="3"/>
      <c r="N276" s="3"/>
      <c r="O276" s="3"/>
      <c r="P276" s="3"/>
      <c r="Q276" s="3"/>
      <c r="R276" s="3"/>
      <c r="S276" s="3"/>
      <c r="T276" s="3"/>
      <c r="U276" s="3"/>
      <c r="V276" s="516"/>
      <c r="W276" s="18"/>
      <c r="X276" s="3"/>
      <c r="Y276" s="3"/>
      <c r="Z276" s="3"/>
      <c r="AA276" s="3"/>
    </row>
    <row r="277" spans="1:27" ht="24.75" customHeight="1">
      <c r="A277" s="3"/>
      <c r="B277" s="3"/>
      <c r="C277" s="3"/>
      <c r="D277" s="3"/>
      <c r="E277" s="3"/>
      <c r="F277" s="3"/>
      <c r="G277" s="3"/>
      <c r="H277" s="3"/>
      <c r="I277" s="3"/>
      <c r="J277" s="3"/>
      <c r="K277" s="3"/>
      <c r="L277" s="3"/>
      <c r="M277" s="3"/>
      <c r="N277" s="3"/>
      <c r="O277" s="3"/>
      <c r="P277" s="3"/>
      <c r="Q277" s="3"/>
      <c r="R277" s="3"/>
      <c r="S277" s="3"/>
      <c r="T277" s="3"/>
      <c r="U277" s="3"/>
      <c r="V277" s="516"/>
      <c r="W277" s="18"/>
      <c r="X277" s="3"/>
      <c r="Y277" s="3"/>
      <c r="Z277" s="3"/>
      <c r="AA277" s="3"/>
    </row>
    <row r="278" spans="1:27" ht="24.75" customHeight="1">
      <c r="A278" s="3"/>
      <c r="B278" s="3"/>
      <c r="C278" s="3"/>
      <c r="D278" s="3"/>
      <c r="E278" s="3"/>
      <c r="F278" s="3"/>
      <c r="G278" s="3"/>
      <c r="H278" s="3"/>
      <c r="I278" s="3"/>
      <c r="J278" s="3"/>
      <c r="K278" s="3"/>
      <c r="L278" s="3"/>
      <c r="M278" s="3"/>
      <c r="N278" s="3"/>
      <c r="O278" s="3"/>
      <c r="P278" s="3"/>
      <c r="Q278" s="3"/>
      <c r="R278" s="3"/>
      <c r="S278" s="3"/>
      <c r="T278" s="3"/>
      <c r="U278" s="3"/>
      <c r="V278" s="516"/>
      <c r="W278" s="18"/>
      <c r="X278" s="3"/>
      <c r="Y278" s="3"/>
      <c r="Z278" s="3"/>
      <c r="AA278" s="3"/>
    </row>
    <row r="279" spans="1:27" ht="24.75" customHeight="1">
      <c r="A279" s="3"/>
      <c r="B279" s="3"/>
      <c r="C279" s="3"/>
      <c r="D279" s="3"/>
      <c r="E279" s="3"/>
      <c r="F279" s="3"/>
      <c r="G279" s="3"/>
      <c r="H279" s="3"/>
      <c r="I279" s="3"/>
      <c r="J279" s="3"/>
      <c r="K279" s="3"/>
      <c r="L279" s="3"/>
      <c r="M279" s="3"/>
      <c r="N279" s="3"/>
      <c r="O279" s="3"/>
      <c r="P279" s="3"/>
      <c r="Q279" s="3"/>
      <c r="R279" s="3"/>
      <c r="S279" s="3"/>
      <c r="T279" s="3"/>
      <c r="U279" s="3"/>
      <c r="V279" s="516"/>
      <c r="W279" s="18"/>
      <c r="X279" s="3"/>
      <c r="Y279" s="3"/>
      <c r="Z279" s="3"/>
      <c r="AA279" s="3"/>
    </row>
    <row r="280" spans="1:27" ht="24.75" customHeight="1">
      <c r="A280" s="3"/>
      <c r="B280" s="3"/>
      <c r="C280" s="3"/>
      <c r="D280" s="3"/>
      <c r="E280" s="3"/>
      <c r="F280" s="3"/>
      <c r="G280" s="3"/>
      <c r="H280" s="3"/>
      <c r="I280" s="3"/>
      <c r="J280" s="3"/>
      <c r="K280" s="3"/>
      <c r="L280" s="3"/>
      <c r="M280" s="3"/>
      <c r="N280" s="3"/>
      <c r="O280" s="3"/>
      <c r="P280" s="3"/>
      <c r="Q280" s="3"/>
      <c r="R280" s="3"/>
      <c r="S280" s="3"/>
      <c r="T280" s="3"/>
      <c r="U280" s="3"/>
      <c r="V280" s="516"/>
      <c r="W280" s="18"/>
      <c r="X280" s="3"/>
      <c r="Y280" s="3"/>
      <c r="Z280" s="3"/>
      <c r="AA280" s="3"/>
    </row>
    <row r="281" spans="1:27" ht="24.75" customHeight="1">
      <c r="A281" s="3"/>
      <c r="B281" s="3"/>
      <c r="C281" s="3"/>
      <c r="D281" s="3"/>
      <c r="E281" s="3"/>
      <c r="F281" s="3"/>
      <c r="G281" s="3"/>
      <c r="H281" s="3"/>
      <c r="I281" s="3"/>
      <c r="J281" s="3"/>
      <c r="K281" s="3"/>
      <c r="L281" s="3"/>
      <c r="M281" s="3"/>
      <c r="N281" s="3"/>
      <c r="O281" s="3"/>
      <c r="P281" s="3"/>
      <c r="Q281" s="3"/>
      <c r="R281" s="3"/>
      <c r="S281" s="3"/>
      <c r="T281" s="3"/>
      <c r="U281" s="3"/>
      <c r="V281" s="516"/>
      <c r="W281" s="18"/>
      <c r="X281" s="3"/>
      <c r="Y281" s="3"/>
      <c r="Z281" s="3"/>
      <c r="AA281" s="3"/>
    </row>
    <row r="282" spans="1:27" ht="24.75" customHeight="1">
      <c r="A282" s="3"/>
      <c r="B282" s="3"/>
      <c r="C282" s="3"/>
      <c r="D282" s="3"/>
      <c r="E282" s="3"/>
      <c r="F282" s="3"/>
      <c r="G282" s="3"/>
      <c r="H282" s="3"/>
      <c r="I282" s="3"/>
      <c r="J282" s="3"/>
      <c r="K282" s="3"/>
      <c r="L282" s="3"/>
      <c r="M282" s="3"/>
      <c r="N282" s="3"/>
      <c r="O282" s="3"/>
      <c r="P282" s="3"/>
      <c r="Q282" s="3"/>
      <c r="R282" s="3"/>
      <c r="S282" s="3"/>
      <c r="T282" s="3"/>
      <c r="U282" s="3"/>
      <c r="V282" s="516"/>
      <c r="W282" s="18"/>
      <c r="X282" s="3"/>
      <c r="Y282" s="3"/>
      <c r="Z282" s="3"/>
      <c r="AA282" s="3"/>
    </row>
    <row r="283" spans="1:27" ht="24.75" customHeight="1">
      <c r="A283" s="3"/>
      <c r="B283" s="3"/>
      <c r="C283" s="3"/>
      <c r="D283" s="3"/>
      <c r="E283" s="3"/>
      <c r="F283" s="3"/>
      <c r="G283" s="3"/>
      <c r="H283" s="3"/>
      <c r="I283" s="3"/>
      <c r="J283" s="3"/>
      <c r="K283" s="3"/>
      <c r="L283" s="3"/>
      <c r="M283" s="3"/>
      <c r="N283" s="3"/>
      <c r="O283" s="3"/>
      <c r="P283" s="3"/>
      <c r="Q283" s="3"/>
      <c r="R283" s="3"/>
      <c r="S283" s="3"/>
      <c r="T283" s="3"/>
      <c r="U283" s="3"/>
      <c r="V283" s="516"/>
      <c r="W283" s="18"/>
      <c r="X283" s="3"/>
      <c r="Y283" s="3"/>
      <c r="Z283" s="3"/>
      <c r="AA283" s="3"/>
    </row>
    <row r="284" spans="1:27" ht="24.75" customHeight="1">
      <c r="A284" s="3"/>
      <c r="B284" s="3"/>
      <c r="C284" s="3"/>
      <c r="D284" s="3"/>
      <c r="E284" s="3"/>
      <c r="F284" s="3"/>
      <c r="G284" s="3"/>
      <c r="H284" s="3"/>
      <c r="I284" s="3"/>
      <c r="J284" s="3"/>
      <c r="K284" s="3"/>
      <c r="L284" s="3"/>
      <c r="M284" s="3"/>
      <c r="N284" s="3"/>
      <c r="O284" s="3"/>
      <c r="P284" s="3"/>
      <c r="Q284" s="3"/>
      <c r="R284" s="3"/>
      <c r="S284" s="3"/>
      <c r="T284" s="3"/>
      <c r="U284" s="3"/>
      <c r="V284" s="516"/>
      <c r="W284" s="18"/>
      <c r="X284" s="3"/>
      <c r="Y284" s="3"/>
      <c r="Z284" s="3"/>
      <c r="AA284" s="3"/>
    </row>
    <row r="285" spans="1:27" ht="24.75" customHeight="1">
      <c r="A285" s="3"/>
      <c r="B285" s="3"/>
      <c r="C285" s="3"/>
      <c r="D285" s="3"/>
      <c r="E285" s="3"/>
      <c r="F285" s="3"/>
      <c r="G285" s="3"/>
      <c r="H285" s="3"/>
      <c r="I285" s="3"/>
      <c r="J285" s="3"/>
      <c r="K285" s="3"/>
      <c r="L285" s="3"/>
      <c r="M285" s="3"/>
      <c r="N285" s="3"/>
      <c r="O285" s="3"/>
      <c r="P285" s="3"/>
      <c r="Q285" s="3"/>
      <c r="R285" s="3"/>
      <c r="S285" s="3"/>
      <c r="T285" s="3"/>
      <c r="U285" s="3"/>
      <c r="V285" s="516"/>
      <c r="W285" s="18"/>
      <c r="X285" s="3"/>
      <c r="Y285" s="3"/>
      <c r="Z285" s="3"/>
      <c r="AA285" s="3"/>
    </row>
    <row r="286" spans="1:27" ht="24.75" customHeight="1">
      <c r="A286" s="3"/>
      <c r="B286" s="3"/>
      <c r="C286" s="3"/>
      <c r="D286" s="3"/>
      <c r="E286" s="3"/>
      <c r="F286" s="3"/>
      <c r="G286" s="3"/>
      <c r="H286" s="3"/>
      <c r="I286" s="3"/>
      <c r="J286" s="3"/>
      <c r="K286" s="3"/>
      <c r="L286" s="3"/>
      <c r="M286" s="3"/>
      <c r="N286" s="3"/>
      <c r="O286" s="3"/>
      <c r="P286" s="3"/>
      <c r="Q286" s="3"/>
      <c r="R286" s="3"/>
      <c r="S286" s="3"/>
      <c r="T286" s="3"/>
      <c r="U286" s="3"/>
      <c r="V286" s="516"/>
      <c r="W286" s="18"/>
      <c r="X286" s="3"/>
      <c r="Y286" s="3"/>
      <c r="Z286" s="3"/>
      <c r="AA286" s="3"/>
    </row>
    <row r="287" spans="1:27" ht="24.75" customHeight="1">
      <c r="A287" s="3"/>
      <c r="B287" s="3"/>
      <c r="C287" s="3"/>
      <c r="D287" s="3"/>
      <c r="E287" s="3"/>
      <c r="F287" s="3"/>
      <c r="G287" s="3"/>
      <c r="H287" s="3"/>
      <c r="I287" s="3"/>
      <c r="J287" s="3"/>
      <c r="K287" s="3"/>
      <c r="L287" s="3"/>
      <c r="M287" s="3"/>
      <c r="N287" s="3"/>
      <c r="O287" s="3"/>
      <c r="P287" s="3"/>
      <c r="Q287" s="3"/>
      <c r="R287" s="3"/>
      <c r="S287" s="3"/>
      <c r="T287" s="3"/>
      <c r="U287" s="3"/>
      <c r="V287" s="516"/>
      <c r="W287" s="18"/>
      <c r="X287" s="3"/>
      <c r="Y287" s="3"/>
      <c r="Z287" s="3"/>
      <c r="AA287" s="3"/>
    </row>
    <row r="288" spans="1:27" ht="24.75" customHeight="1">
      <c r="A288" s="3"/>
      <c r="B288" s="3"/>
      <c r="C288" s="3"/>
      <c r="D288" s="3"/>
      <c r="E288" s="3"/>
      <c r="F288" s="3"/>
      <c r="G288" s="3"/>
      <c r="H288" s="3"/>
      <c r="I288" s="3"/>
      <c r="J288" s="3"/>
      <c r="K288" s="3"/>
      <c r="L288" s="3"/>
      <c r="M288" s="3"/>
      <c r="N288" s="3"/>
      <c r="O288" s="3"/>
      <c r="P288" s="3"/>
      <c r="Q288" s="3"/>
      <c r="R288" s="3"/>
      <c r="S288" s="3"/>
      <c r="T288" s="3"/>
      <c r="U288" s="3"/>
      <c r="V288" s="516"/>
      <c r="W288" s="18"/>
      <c r="X288" s="3"/>
      <c r="Y288" s="3"/>
      <c r="Z288" s="3"/>
      <c r="AA288" s="3"/>
    </row>
    <row r="289" spans="1:27" ht="24.75" customHeight="1">
      <c r="A289" s="3"/>
      <c r="B289" s="3"/>
      <c r="C289" s="3"/>
      <c r="D289" s="3"/>
      <c r="E289" s="3"/>
      <c r="F289" s="3"/>
      <c r="G289" s="3"/>
      <c r="H289" s="3"/>
      <c r="I289" s="3"/>
      <c r="J289" s="3"/>
      <c r="K289" s="3"/>
      <c r="L289" s="3"/>
      <c r="M289" s="3"/>
      <c r="N289" s="3"/>
      <c r="O289" s="3"/>
      <c r="P289" s="3"/>
      <c r="Q289" s="3"/>
      <c r="R289" s="3"/>
      <c r="S289" s="3"/>
      <c r="T289" s="3"/>
      <c r="U289" s="3"/>
      <c r="V289" s="516"/>
      <c r="W289" s="18"/>
      <c r="X289" s="3"/>
      <c r="Y289" s="3"/>
      <c r="Z289" s="3"/>
      <c r="AA289" s="3"/>
    </row>
    <row r="290" spans="1:27" ht="24.75" customHeight="1">
      <c r="A290" s="3"/>
      <c r="B290" s="3"/>
      <c r="C290" s="3"/>
      <c r="D290" s="3"/>
      <c r="E290" s="3"/>
      <c r="F290" s="3"/>
      <c r="G290" s="3"/>
      <c r="H290" s="3"/>
      <c r="I290" s="3"/>
      <c r="J290" s="3"/>
      <c r="K290" s="3"/>
      <c r="L290" s="3"/>
      <c r="M290" s="3"/>
      <c r="N290" s="3"/>
      <c r="O290" s="3"/>
      <c r="P290" s="3"/>
      <c r="Q290" s="3"/>
      <c r="R290" s="3"/>
      <c r="S290" s="3"/>
      <c r="T290" s="3"/>
      <c r="U290" s="3"/>
      <c r="V290" s="516"/>
      <c r="W290" s="18"/>
      <c r="X290" s="3"/>
      <c r="Y290" s="3"/>
      <c r="Z290" s="3"/>
      <c r="AA290" s="3"/>
    </row>
    <row r="291" spans="1:27" ht="24.75" customHeight="1">
      <c r="A291" s="3"/>
      <c r="B291" s="3"/>
      <c r="C291" s="3"/>
      <c r="D291" s="3"/>
      <c r="E291" s="3"/>
      <c r="F291" s="3"/>
      <c r="G291" s="3"/>
      <c r="H291" s="3"/>
      <c r="I291" s="3"/>
      <c r="J291" s="3"/>
      <c r="K291" s="3"/>
      <c r="L291" s="3"/>
      <c r="M291" s="3"/>
      <c r="N291" s="3"/>
      <c r="O291" s="3"/>
      <c r="P291" s="3"/>
      <c r="Q291" s="3"/>
      <c r="R291" s="3"/>
      <c r="S291" s="3"/>
      <c r="T291" s="3"/>
      <c r="U291" s="3"/>
      <c r="V291" s="516"/>
      <c r="W291" s="18"/>
      <c r="X291" s="3"/>
      <c r="Y291" s="3"/>
      <c r="Z291" s="3"/>
      <c r="AA291" s="3"/>
    </row>
    <row r="292" spans="1:27" ht="24.75" customHeight="1">
      <c r="A292" s="3"/>
      <c r="B292" s="3"/>
      <c r="C292" s="3"/>
      <c r="D292" s="3"/>
      <c r="E292" s="3"/>
      <c r="F292" s="3"/>
      <c r="G292" s="3"/>
      <c r="H292" s="3"/>
      <c r="I292" s="3"/>
      <c r="J292" s="3"/>
      <c r="K292" s="3"/>
      <c r="L292" s="3"/>
      <c r="M292" s="3"/>
      <c r="N292" s="3"/>
      <c r="O292" s="3"/>
      <c r="P292" s="3"/>
      <c r="Q292" s="3"/>
      <c r="R292" s="3"/>
      <c r="S292" s="3"/>
      <c r="T292" s="3"/>
      <c r="U292" s="3"/>
      <c r="V292" s="516"/>
      <c r="W292" s="18"/>
      <c r="X292" s="3"/>
      <c r="Y292" s="3"/>
      <c r="Z292" s="3"/>
      <c r="AA292" s="3"/>
    </row>
    <row r="293" spans="1:27" ht="24.75" customHeight="1">
      <c r="A293" s="3"/>
      <c r="B293" s="3"/>
      <c r="C293" s="3"/>
      <c r="D293" s="3"/>
      <c r="E293" s="3"/>
      <c r="F293" s="3"/>
      <c r="G293" s="3"/>
      <c r="H293" s="3"/>
      <c r="I293" s="3"/>
      <c r="J293" s="3"/>
      <c r="K293" s="3"/>
      <c r="L293" s="3"/>
      <c r="M293" s="3"/>
      <c r="N293" s="3"/>
      <c r="O293" s="3"/>
      <c r="P293" s="3"/>
      <c r="Q293" s="3"/>
      <c r="R293" s="3"/>
      <c r="S293" s="3"/>
      <c r="T293" s="3"/>
      <c r="U293" s="3"/>
      <c r="V293" s="516"/>
      <c r="W293" s="18"/>
      <c r="X293" s="3"/>
      <c r="Y293" s="3"/>
      <c r="Z293" s="3"/>
      <c r="AA293" s="3"/>
    </row>
    <row r="294" spans="1:27" ht="24.75" customHeight="1">
      <c r="A294" s="3"/>
      <c r="B294" s="3"/>
      <c r="C294" s="3"/>
      <c r="D294" s="3"/>
      <c r="E294" s="3"/>
      <c r="F294" s="3"/>
      <c r="G294" s="3"/>
      <c r="H294" s="3"/>
      <c r="I294" s="3"/>
      <c r="J294" s="3"/>
      <c r="K294" s="3"/>
      <c r="L294" s="3"/>
      <c r="M294" s="3"/>
      <c r="N294" s="3"/>
      <c r="O294" s="3"/>
      <c r="P294" s="3"/>
      <c r="Q294" s="3"/>
      <c r="R294" s="3"/>
      <c r="S294" s="3"/>
      <c r="T294" s="3"/>
      <c r="U294" s="3"/>
      <c r="V294" s="516"/>
      <c r="W294" s="18"/>
      <c r="X294" s="3"/>
      <c r="Y294" s="3"/>
      <c r="Z294" s="3"/>
      <c r="AA294" s="3"/>
    </row>
    <row r="295" spans="1:27" ht="24.75" customHeight="1">
      <c r="A295" s="3"/>
      <c r="B295" s="3"/>
      <c r="C295" s="3"/>
      <c r="D295" s="3"/>
      <c r="E295" s="3"/>
      <c r="F295" s="3"/>
      <c r="G295" s="3"/>
      <c r="H295" s="3"/>
      <c r="I295" s="3"/>
      <c r="J295" s="3"/>
      <c r="K295" s="3"/>
      <c r="L295" s="3"/>
      <c r="M295" s="3"/>
      <c r="N295" s="3"/>
      <c r="O295" s="3"/>
      <c r="P295" s="3"/>
      <c r="Q295" s="3"/>
      <c r="R295" s="3"/>
      <c r="S295" s="3"/>
      <c r="T295" s="3"/>
      <c r="U295" s="3"/>
      <c r="V295" s="516"/>
      <c r="W295" s="18"/>
      <c r="X295" s="3"/>
      <c r="Y295" s="3"/>
      <c r="Z295" s="3"/>
      <c r="AA295" s="3"/>
    </row>
    <row r="296" spans="1:27" ht="24.75" customHeight="1">
      <c r="A296" s="3"/>
      <c r="B296" s="3"/>
      <c r="C296" s="3"/>
      <c r="D296" s="3"/>
      <c r="E296" s="3"/>
      <c r="F296" s="3"/>
      <c r="G296" s="3"/>
      <c r="H296" s="3"/>
      <c r="I296" s="3"/>
      <c r="J296" s="3"/>
      <c r="K296" s="3"/>
      <c r="L296" s="3"/>
      <c r="M296" s="3"/>
      <c r="N296" s="3"/>
      <c r="O296" s="3"/>
      <c r="P296" s="3"/>
      <c r="Q296" s="3"/>
      <c r="R296" s="3"/>
      <c r="S296" s="3"/>
      <c r="T296" s="3"/>
      <c r="U296" s="3"/>
      <c r="V296" s="516"/>
      <c r="W296" s="18"/>
      <c r="X296" s="3"/>
      <c r="Y296" s="3"/>
      <c r="Z296" s="3"/>
      <c r="AA296" s="3"/>
    </row>
    <row r="297" spans="1:27" ht="24.75" customHeight="1">
      <c r="A297" s="3"/>
      <c r="B297" s="3"/>
      <c r="C297" s="3"/>
      <c r="D297" s="3"/>
      <c r="E297" s="3"/>
      <c r="F297" s="3"/>
      <c r="G297" s="3"/>
      <c r="H297" s="3"/>
      <c r="I297" s="3"/>
      <c r="J297" s="3"/>
      <c r="K297" s="3"/>
      <c r="L297" s="3"/>
      <c r="M297" s="3"/>
      <c r="N297" s="3"/>
      <c r="O297" s="3"/>
      <c r="P297" s="3"/>
      <c r="Q297" s="3"/>
      <c r="R297" s="3"/>
      <c r="S297" s="3"/>
      <c r="T297" s="3"/>
      <c r="U297" s="3"/>
      <c r="V297" s="516"/>
      <c r="W297" s="18"/>
      <c r="X297" s="3"/>
      <c r="Y297" s="3"/>
      <c r="Z297" s="3"/>
      <c r="AA297" s="3"/>
    </row>
    <row r="298" spans="1:27" ht="24.75" customHeight="1">
      <c r="A298" s="3"/>
      <c r="B298" s="3"/>
      <c r="C298" s="3"/>
      <c r="D298" s="3"/>
      <c r="E298" s="3"/>
      <c r="F298" s="3"/>
      <c r="G298" s="3"/>
      <c r="H298" s="3"/>
      <c r="I298" s="3"/>
      <c r="J298" s="3"/>
      <c r="K298" s="3"/>
      <c r="L298" s="3"/>
      <c r="M298" s="3"/>
      <c r="N298" s="3"/>
      <c r="O298" s="3"/>
      <c r="P298" s="3"/>
      <c r="Q298" s="3"/>
      <c r="R298" s="3"/>
      <c r="S298" s="3"/>
      <c r="T298" s="3"/>
      <c r="U298" s="3"/>
      <c r="V298" s="516"/>
      <c r="W298" s="18"/>
      <c r="X298" s="3"/>
      <c r="Y298" s="3"/>
      <c r="Z298" s="3"/>
      <c r="AA298" s="3"/>
    </row>
    <row r="299" spans="1:27" ht="24.75" customHeight="1">
      <c r="A299" s="3"/>
      <c r="B299" s="3"/>
      <c r="C299" s="3"/>
      <c r="D299" s="3"/>
      <c r="E299" s="3"/>
      <c r="F299" s="3"/>
      <c r="G299" s="3"/>
      <c r="H299" s="3"/>
      <c r="I299" s="3"/>
      <c r="J299" s="3"/>
      <c r="K299" s="3"/>
      <c r="L299" s="3"/>
      <c r="M299" s="3"/>
      <c r="N299" s="3"/>
      <c r="O299" s="3"/>
      <c r="P299" s="3"/>
      <c r="Q299" s="3"/>
      <c r="R299" s="3"/>
      <c r="S299" s="3"/>
      <c r="T299" s="3"/>
      <c r="U299" s="3"/>
      <c r="V299" s="516"/>
      <c r="W299" s="18"/>
      <c r="X299" s="3"/>
      <c r="Y299" s="3"/>
      <c r="Z299" s="3"/>
      <c r="AA299" s="3"/>
    </row>
    <row r="300" spans="1:27" ht="24.75" customHeight="1">
      <c r="A300" s="3"/>
      <c r="B300" s="3"/>
      <c r="C300" s="3"/>
      <c r="D300" s="3"/>
      <c r="E300" s="3"/>
      <c r="F300" s="3"/>
      <c r="G300" s="3"/>
      <c r="H300" s="3"/>
      <c r="I300" s="3"/>
      <c r="J300" s="3"/>
      <c r="K300" s="3"/>
      <c r="L300" s="3"/>
      <c r="M300" s="3"/>
      <c r="N300" s="3"/>
      <c r="O300" s="3"/>
      <c r="P300" s="3"/>
      <c r="Q300" s="3"/>
      <c r="R300" s="3"/>
      <c r="S300" s="3"/>
      <c r="T300" s="3"/>
      <c r="U300" s="3"/>
      <c r="V300" s="516"/>
      <c r="W300" s="18"/>
      <c r="X300" s="3"/>
      <c r="Y300" s="3"/>
      <c r="Z300" s="3"/>
      <c r="AA300" s="3"/>
    </row>
    <row r="301" spans="1:27" ht="24.75" customHeight="1">
      <c r="A301" s="3"/>
      <c r="B301" s="3"/>
      <c r="C301" s="3"/>
      <c r="D301" s="3"/>
      <c r="E301" s="3"/>
      <c r="F301" s="3"/>
      <c r="G301" s="3"/>
      <c r="H301" s="3"/>
      <c r="I301" s="3"/>
      <c r="J301" s="3"/>
      <c r="K301" s="3"/>
      <c r="L301" s="3"/>
      <c r="M301" s="3"/>
      <c r="N301" s="3"/>
      <c r="O301" s="3"/>
      <c r="P301" s="3"/>
      <c r="Q301" s="3"/>
      <c r="R301" s="3"/>
      <c r="S301" s="3"/>
      <c r="T301" s="3"/>
      <c r="U301" s="3"/>
      <c r="V301" s="516"/>
      <c r="W301" s="18"/>
      <c r="X301" s="3"/>
      <c r="Y301" s="3"/>
      <c r="Z301" s="3"/>
      <c r="AA301" s="3"/>
    </row>
    <row r="302" spans="1:27" ht="24.75" customHeight="1">
      <c r="A302" s="3"/>
      <c r="B302" s="3"/>
      <c r="C302" s="3"/>
      <c r="D302" s="3"/>
      <c r="E302" s="3"/>
      <c r="F302" s="3"/>
      <c r="G302" s="3"/>
      <c r="H302" s="3"/>
      <c r="I302" s="3"/>
      <c r="J302" s="3"/>
      <c r="K302" s="3"/>
      <c r="L302" s="3"/>
      <c r="M302" s="3"/>
      <c r="N302" s="3"/>
      <c r="O302" s="3"/>
      <c r="P302" s="3"/>
      <c r="Q302" s="3"/>
      <c r="R302" s="3"/>
      <c r="S302" s="3"/>
      <c r="T302" s="3"/>
      <c r="U302" s="3"/>
      <c r="V302" s="516"/>
      <c r="W302" s="18"/>
      <c r="X302" s="3"/>
      <c r="Y302" s="3"/>
      <c r="Z302" s="3"/>
      <c r="AA302" s="3"/>
    </row>
    <row r="303" spans="1:27" ht="24.75" customHeight="1">
      <c r="A303" s="3"/>
      <c r="B303" s="3"/>
      <c r="C303" s="3"/>
      <c r="D303" s="3"/>
      <c r="E303" s="3"/>
      <c r="F303" s="3"/>
      <c r="G303" s="3"/>
      <c r="H303" s="3"/>
      <c r="I303" s="3"/>
      <c r="J303" s="3"/>
      <c r="K303" s="3"/>
      <c r="L303" s="3"/>
      <c r="M303" s="3"/>
      <c r="N303" s="3"/>
      <c r="O303" s="3"/>
      <c r="P303" s="3"/>
      <c r="Q303" s="3"/>
      <c r="R303" s="3"/>
      <c r="S303" s="3"/>
      <c r="T303" s="3"/>
      <c r="U303" s="3"/>
      <c r="V303" s="516"/>
      <c r="W303" s="18"/>
      <c r="X303" s="3"/>
      <c r="Y303" s="3"/>
      <c r="Z303" s="3"/>
      <c r="AA303" s="3"/>
    </row>
    <row r="304" spans="1:27" ht="24.75" customHeight="1">
      <c r="A304" s="3"/>
      <c r="B304" s="3"/>
      <c r="C304" s="3"/>
      <c r="D304" s="3"/>
      <c r="E304" s="3"/>
      <c r="F304" s="3"/>
      <c r="G304" s="3"/>
      <c r="H304" s="3"/>
      <c r="I304" s="3"/>
      <c r="J304" s="3"/>
      <c r="K304" s="3"/>
      <c r="L304" s="3"/>
      <c r="M304" s="3"/>
      <c r="N304" s="3"/>
      <c r="O304" s="3"/>
      <c r="P304" s="3"/>
      <c r="Q304" s="3"/>
      <c r="R304" s="3"/>
      <c r="S304" s="3"/>
      <c r="T304" s="3"/>
      <c r="U304" s="3"/>
      <c r="V304" s="516"/>
      <c r="W304" s="18"/>
      <c r="X304" s="3"/>
      <c r="Y304" s="3"/>
      <c r="Z304" s="3"/>
      <c r="AA304" s="3"/>
    </row>
    <row r="305" spans="1:27" ht="24.75" customHeight="1">
      <c r="A305" s="3"/>
      <c r="B305" s="3"/>
      <c r="C305" s="3"/>
      <c r="D305" s="3"/>
      <c r="E305" s="3"/>
      <c r="F305" s="3"/>
      <c r="G305" s="3"/>
      <c r="H305" s="3"/>
      <c r="I305" s="3"/>
      <c r="J305" s="3"/>
      <c r="K305" s="3"/>
      <c r="L305" s="3"/>
      <c r="M305" s="3"/>
      <c r="N305" s="3"/>
      <c r="O305" s="3"/>
      <c r="P305" s="3"/>
      <c r="Q305" s="3"/>
      <c r="R305" s="3"/>
      <c r="S305" s="3"/>
      <c r="T305" s="3"/>
      <c r="U305" s="3"/>
      <c r="V305" s="516"/>
      <c r="W305" s="18"/>
      <c r="X305" s="3"/>
      <c r="Y305" s="3"/>
      <c r="Z305" s="3"/>
      <c r="AA305" s="3"/>
    </row>
    <row r="306" spans="1:27" ht="24.75" customHeight="1">
      <c r="A306" s="3"/>
      <c r="B306" s="3"/>
      <c r="C306" s="3"/>
      <c r="D306" s="3"/>
      <c r="E306" s="3"/>
      <c r="F306" s="3"/>
      <c r="G306" s="3"/>
      <c r="H306" s="3"/>
      <c r="I306" s="3"/>
      <c r="J306" s="3"/>
      <c r="K306" s="3"/>
      <c r="L306" s="3"/>
      <c r="M306" s="3"/>
      <c r="N306" s="3"/>
      <c r="O306" s="3"/>
      <c r="P306" s="3"/>
      <c r="Q306" s="3"/>
      <c r="R306" s="3"/>
      <c r="S306" s="3"/>
      <c r="T306" s="3"/>
      <c r="U306" s="3"/>
      <c r="V306" s="516"/>
      <c r="W306" s="18"/>
      <c r="X306" s="3"/>
      <c r="Y306" s="3"/>
      <c r="Z306" s="3"/>
      <c r="AA306" s="3"/>
    </row>
    <row r="307" spans="1:27" ht="24.75" customHeight="1">
      <c r="A307" s="3"/>
      <c r="B307" s="3"/>
      <c r="C307" s="3"/>
      <c r="D307" s="3"/>
      <c r="E307" s="3"/>
      <c r="F307" s="3"/>
      <c r="G307" s="3"/>
      <c r="H307" s="3"/>
      <c r="I307" s="3"/>
      <c r="J307" s="3"/>
      <c r="K307" s="3"/>
      <c r="L307" s="3"/>
      <c r="M307" s="3"/>
      <c r="N307" s="3"/>
      <c r="O307" s="3"/>
      <c r="P307" s="3"/>
      <c r="Q307" s="3"/>
      <c r="R307" s="3"/>
      <c r="S307" s="3"/>
      <c r="T307" s="3"/>
      <c r="U307" s="3"/>
      <c r="V307" s="516"/>
      <c r="W307" s="18"/>
      <c r="X307" s="3"/>
      <c r="Y307" s="3"/>
      <c r="Z307" s="3"/>
      <c r="AA307" s="3"/>
    </row>
    <row r="308" spans="1:27" ht="24.75" customHeight="1">
      <c r="A308" s="3"/>
      <c r="B308" s="3"/>
      <c r="C308" s="3"/>
      <c r="D308" s="3"/>
      <c r="E308" s="3"/>
      <c r="F308" s="3"/>
      <c r="G308" s="3"/>
      <c r="H308" s="3"/>
      <c r="I308" s="3"/>
      <c r="J308" s="3"/>
      <c r="K308" s="3"/>
      <c r="L308" s="3"/>
      <c r="M308" s="3"/>
      <c r="N308" s="3"/>
      <c r="O308" s="3"/>
      <c r="P308" s="3"/>
      <c r="Q308" s="3"/>
      <c r="R308" s="3"/>
      <c r="S308" s="3"/>
      <c r="T308" s="3"/>
      <c r="U308" s="3"/>
      <c r="V308" s="516"/>
      <c r="W308" s="18"/>
      <c r="X308" s="3"/>
      <c r="Y308" s="3"/>
      <c r="Z308" s="3"/>
      <c r="AA308" s="3"/>
    </row>
    <row r="309" spans="1:27" ht="24.75" customHeight="1">
      <c r="A309" s="3"/>
      <c r="B309" s="3"/>
      <c r="C309" s="3"/>
      <c r="D309" s="3"/>
      <c r="E309" s="3"/>
      <c r="F309" s="3"/>
      <c r="G309" s="3"/>
      <c r="H309" s="3"/>
      <c r="I309" s="3"/>
      <c r="J309" s="3"/>
      <c r="K309" s="3"/>
      <c r="L309" s="3"/>
      <c r="M309" s="3"/>
      <c r="N309" s="3"/>
      <c r="O309" s="3"/>
      <c r="P309" s="3"/>
      <c r="Q309" s="3"/>
      <c r="R309" s="3"/>
      <c r="S309" s="3"/>
      <c r="T309" s="3"/>
      <c r="U309" s="3"/>
      <c r="V309" s="516"/>
      <c r="W309" s="18"/>
      <c r="X309" s="3"/>
      <c r="Y309" s="3"/>
      <c r="Z309" s="3"/>
      <c r="AA309" s="3"/>
    </row>
    <row r="310" spans="1:27" ht="24.75" customHeight="1">
      <c r="A310" s="3"/>
      <c r="B310" s="3"/>
      <c r="C310" s="3"/>
      <c r="D310" s="3"/>
      <c r="E310" s="3"/>
      <c r="F310" s="3"/>
      <c r="G310" s="3"/>
      <c r="H310" s="3"/>
      <c r="I310" s="3"/>
      <c r="J310" s="3"/>
      <c r="K310" s="3"/>
      <c r="L310" s="3"/>
      <c r="M310" s="3"/>
      <c r="N310" s="3"/>
      <c r="O310" s="3"/>
      <c r="P310" s="3"/>
      <c r="Q310" s="3"/>
      <c r="R310" s="3"/>
      <c r="S310" s="3"/>
      <c r="T310" s="3"/>
      <c r="U310" s="3"/>
      <c r="V310" s="516"/>
      <c r="W310" s="18"/>
      <c r="X310" s="3"/>
      <c r="Y310" s="3"/>
      <c r="Z310" s="3"/>
      <c r="AA310" s="3"/>
    </row>
    <row r="311" spans="1:27" ht="24.75" customHeight="1">
      <c r="A311" s="3"/>
      <c r="B311" s="3"/>
      <c r="C311" s="3"/>
      <c r="D311" s="3"/>
      <c r="E311" s="3"/>
      <c r="F311" s="3"/>
      <c r="G311" s="3"/>
      <c r="H311" s="3"/>
      <c r="I311" s="3"/>
      <c r="J311" s="3"/>
      <c r="K311" s="3"/>
      <c r="L311" s="3"/>
      <c r="M311" s="3"/>
      <c r="N311" s="3"/>
      <c r="O311" s="3"/>
      <c r="P311" s="3"/>
      <c r="Q311" s="3"/>
      <c r="R311" s="3"/>
      <c r="S311" s="3"/>
      <c r="T311" s="3"/>
      <c r="U311" s="3"/>
      <c r="V311" s="516"/>
      <c r="W311" s="18"/>
      <c r="X311" s="3"/>
      <c r="Y311" s="3"/>
      <c r="Z311" s="3"/>
      <c r="AA311" s="3"/>
    </row>
    <row r="312" spans="1:27" ht="24.75" customHeight="1">
      <c r="A312" s="3"/>
      <c r="B312" s="3"/>
      <c r="C312" s="3"/>
      <c r="D312" s="3"/>
      <c r="E312" s="3"/>
      <c r="F312" s="3"/>
      <c r="G312" s="3"/>
      <c r="H312" s="3"/>
      <c r="I312" s="3"/>
      <c r="J312" s="3"/>
      <c r="K312" s="3"/>
      <c r="L312" s="3"/>
      <c r="M312" s="3"/>
      <c r="N312" s="3"/>
      <c r="O312" s="3"/>
      <c r="P312" s="3"/>
      <c r="Q312" s="3"/>
      <c r="R312" s="3"/>
      <c r="S312" s="3"/>
      <c r="T312" s="3"/>
      <c r="U312" s="3"/>
      <c r="V312" s="516"/>
      <c r="W312" s="18"/>
      <c r="X312" s="3"/>
      <c r="Y312" s="3"/>
      <c r="Z312" s="3"/>
      <c r="AA312" s="3"/>
    </row>
    <row r="313" spans="1:27" ht="24.75" customHeight="1">
      <c r="A313" s="3"/>
      <c r="B313" s="3"/>
      <c r="C313" s="3"/>
      <c r="D313" s="3"/>
      <c r="E313" s="3"/>
      <c r="F313" s="3"/>
      <c r="G313" s="3"/>
      <c r="H313" s="3"/>
      <c r="I313" s="3"/>
      <c r="J313" s="3"/>
      <c r="K313" s="3"/>
      <c r="L313" s="3"/>
      <c r="M313" s="3"/>
      <c r="N313" s="3"/>
      <c r="O313" s="3"/>
      <c r="P313" s="3"/>
      <c r="Q313" s="3"/>
      <c r="R313" s="3"/>
      <c r="S313" s="3"/>
      <c r="T313" s="3"/>
      <c r="U313" s="3"/>
      <c r="V313" s="516"/>
      <c r="W313" s="18"/>
      <c r="X313" s="3"/>
      <c r="Y313" s="3"/>
      <c r="Z313" s="3"/>
      <c r="AA313" s="3"/>
    </row>
    <row r="314" spans="1:27" ht="24.75" customHeight="1">
      <c r="A314" s="3"/>
      <c r="B314" s="3"/>
      <c r="C314" s="3"/>
      <c r="D314" s="3"/>
      <c r="E314" s="3"/>
      <c r="F314" s="3"/>
      <c r="G314" s="3"/>
      <c r="H314" s="3"/>
      <c r="I314" s="3"/>
      <c r="J314" s="3"/>
      <c r="K314" s="3"/>
      <c r="L314" s="3"/>
      <c r="M314" s="3"/>
      <c r="N314" s="3"/>
      <c r="O314" s="3"/>
      <c r="P314" s="3"/>
      <c r="Q314" s="3"/>
      <c r="R314" s="3"/>
      <c r="S314" s="3"/>
      <c r="T314" s="3"/>
      <c r="U314" s="3"/>
      <c r="V314" s="516"/>
      <c r="W314" s="18"/>
      <c r="X314" s="3"/>
      <c r="Y314" s="3"/>
      <c r="Z314" s="3"/>
      <c r="AA314" s="3"/>
    </row>
    <row r="315" spans="1:27" ht="24.75" customHeight="1">
      <c r="A315" s="3"/>
      <c r="B315" s="3"/>
      <c r="C315" s="3"/>
      <c r="D315" s="3"/>
      <c r="E315" s="3"/>
      <c r="F315" s="3"/>
      <c r="G315" s="3"/>
      <c r="H315" s="3"/>
      <c r="I315" s="3"/>
      <c r="J315" s="3"/>
      <c r="K315" s="3"/>
      <c r="L315" s="3"/>
      <c r="M315" s="3"/>
      <c r="N315" s="3"/>
      <c r="O315" s="3"/>
      <c r="P315" s="3"/>
      <c r="Q315" s="3"/>
      <c r="R315" s="3"/>
      <c r="S315" s="3"/>
      <c r="T315" s="3"/>
      <c r="U315" s="3"/>
      <c r="V315" s="516"/>
      <c r="W315" s="18"/>
      <c r="X315" s="3"/>
      <c r="Y315" s="3"/>
      <c r="Z315" s="3"/>
      <c r="AA315" s="3"/>
    </row>
    <row r="316" spans="1:27" ht="24.75" customHeight="1">
      <c r="A316" s="3"/>
      <c r="B316" s="3"/>
      <c r="C316" s="3"/>
      <c r="D316" s="3"/>
      <c r="E316" s="3"/>
      <c r="F316" s="3"/>
      <c r="G316" s="3"/>
      <c r="H316" s="3"/>
      <c r="I316" s="3"/>
      <c r="J316" s="3"/>
      <c r="K316" s="3"/>
      <c r="L316" s="3"/>
      <c r="M316" s="3"/>
      <c r="N316" s="3"/>
      <c r="O316" s="3"/>
      <c r="P316" s="3"/>
      <c r="Q316" s="3"/>
      <c r="R316" s="3"/>
      <c r="S316" s="3"/>
      <c r="T316" s="3"/>
      <c r="U316" s="3"/>
      <c r="V316" s="516"/>
      <c r="W316" s="18"/>
      <c r="X316" s="3"/>
      <c r="Y316" s="3"/>
      <c r="Z316" s="3"/>
      <c r="AA316" s="3"/>
    </row>
    <row r="317" spans="1:27" ht="24.75" customHeight="1">
      <c r="A317" s="3"/>
      <c r="B317" s="3"/>
      <c r="C317" s="3"/>
      <c r="D317" s="3"/>
      <c r="E317" s="3"/>
      <c r="F317" s="3"/>
      <c r="G317" s="3"/>
      <c r="H317" s="3"/>
      <c r="I317" s="3"/>
      <c r="J317" s="3"/>
      <c r="K317" s="3"/>
      <c r="L317" s="3"/>
      <c r="M317" s="3"/>
      <c r="N317" s="3"/>
      <c r="O317" s="3"/>
      <c r="P317" s="3"/>
      <c r="Q317" s="3"/>
      <c r="R317" s="3"/>
      <c r="S317" s="3"/>
      <c r="T317" s="3"/>
      <c r="U317" s="3"/>
      <c r="V317" s="516"/>
      <c r="W317" s="18"/>
      <c r="X317" s="3"/>
      <c r="Y317" s="3"/>
      <c r="Z317" s="3"/>
      <c r="AA317" s="3"/>
    </row>
    <row r="318" spans="1:27" ht="24.75" customHeight="1">
      <c r="A318" s="3"/>
      <c r="B318" s="3"/>
      <c r="C318" s="3"/>
      <c r="D318" s="3"/>
      <c r="E318" s="3"/>
      <c r="F318" s="3"/>
      <c r="G318" s="3"/>
      <c r="H318" s="3"/>
      <c r="I318" s="3"/>
      <c r="J318" s="3"/>
      <c r="K318" s="3"/>
      <c r="L318" s="3"/>
      <c r="M318" s="3"/>
      <c r="N318" s="3"/>
      <c r="O318" s="3"/>
      <c r="P318" s="3"/>
      <c r="Q318" s="3"/>
      <c r="R318" s="3"/>
      <c r="S318" s="3"/>
      <c r="T318" s="3"/>
      <c r="U318" s="3"/>
      <c r="V318" s="516"/>
      <c r="W318" s="18"/>
      <c r="X318" s="3"/>
      <c r="Y318" s="3"/>
      <c r="Z318" s="3"/>
      <c r="AA318" s="3"/>
    </row>
    <row r="319" spans="1:27" ht="24.75" customHeight="1">
      <c r="A319" s="3"/>
      <c r="B319" s="3"/>
      <c r="C319" s="3"/>
      <c r="D319" s="3"/>
      <c r="E319" s="3"/>
      <c r="F319" s="3"/>
      <c r="G319" s="3"/>
      <c r="H319" s="3"/>
      <c r="I319" s="3"/>
      <c r="J319" s="3"/>
      <c r="K319" s="3"/>
      <c r="L319" s="3"/>
      <c r="M319" s="3"/>
      <c r="N319" s="3"/>
      <c r="O319" s="3"/>
      <c r="P319" s="3"/>
      <c r="Q319" s="3"/>
      <c r="R319" s="3"/>
      <c r="S319" s="3"/>
      <c r="T319" s="3"/>
      <c r="U319" s="3"/>
      <c r="V319" s="516"/>
      <c r="W319" s="18"/>
      <c r="X319" s="3"/>
      <c r="Y319" s="3"/>
      <c r="Z319" s="3"/>
      <c r="AA319" s="3"/>
    </row>
    <row r="320" spans="1:27" ht="24.75" customHeight="1">
      <c r="A320" s="3"/>
      <c r="B320" s="3"/>
      <c r="C320" s="3"/>
      <c r="D320" s="3"/>
      <c r="E320" s="3"/>
      <c r="F320" s="3"/>
      <c r="G320" s="3"/>
      <c r="H320" s="3"/>
      <c r="I320" s="3"/>
      <c r="J320" s="3"/>
      <c r="K320" s="3"/>
      <c r="L320" s="3"/>
      <c r="M320" s="3"/>
      <c r="N320" s="3"/>
      <c r="O320" s="3"/>
      <c r="P320" s="3"/>
      <c r="Q320" s="3"/>
      <c r="R320" s="3"/>
      <c r="S320" s="3"/>
      <c r="T320" s="3"/>
      <c r="U320" s="3"/>
      <c r="V320" s="516"/>
      <c r="W320" s="18"/>
      <c r="X320" s="3"/>
      <c r="Y320" s="3"/>
      <c r="Z320" s="3"/>
      <c r="AA320" s="3"/>
    </row>
    <row r="321" spans="1:27" ht="24.75" customHeight="1">
      <c r="A321" s="3"/>
      <c r="B321" s="3"/>
      <c r="C321" s="3"/>
      <c r="D321" s="3"/>
      <c r="E321" s="3"/>
      <c r="F321" s="3"/>
      <c r="G321" s="3"/>
      <c r="H321" s="3"/>
      <c r="I321" s="3"/>
      <c r="J321" s="3"/>
      <c r="K321" s="3"/>
      <c r="L321" s="3"/>
      <c r="M321" s="3"/>
      <c r="N321" s="3"/>
      <c r="O321" s="3"/>
      <c r="P321" s="3"/>
      <c r="Q321" s="3"/>
      <c r="R321" s="3"/>
      <c r="S321" s="3"/>
      <c r="T321" s="3"/>
      <c r="U321" s="3"/>
      <c r="V321" s="516"/>
      <c r="W321" s="18"/>
      <c r="X321" s="3"/>
      <c r="Y321" s="3"/>
      <c r="Z321" s="3"/>
      <c r="AA321" s="3"/>
    </row>
    <row r="322" spans="1:27" ht="24.75" customHeight="1">
      <c r="A322" s="3"/>
      <c r="B322" s="3"/>
      <c r="C322" s="3"/>
      <c r="D322" s="3"/>
      <c r="E322" s="3"/>
      <c r="F322" s="3"/>
      <c r="G322" s="3"/>
      <c r="H322" s="3"/>
      <c r="I322" s="3"/>
      <c r="J322" s="3"/>
      <c r="K322" s="3"/>
      <c r="L322" s="3"/>
      <c r="M322" s="3"/>
      <c r="N322" s="3"/>
      <c r="O322" s="3"/>
      <c r="P322" s="3"/>
      <c r="Q322" s="3"/>
      <c r="R322" s="3"/>
      <c r="S322" s="3"/>
      <c r="T322" s="3"/>
      <c r="U322" s="3"/>
      <c r="V322" s="516"/>
      <c r="W322" s="18"/>
      <c r="X322" s="3"/>
      <c r="Y322" s="3"/>
      <c r="Z322" s="3"/>
      <c r="AA322" s="3"/>
    </row>
    <row r="323" spans="1:27" ht="24.75" customHeight="1">
      <c r="A323" s="3"/>
      <c r="B323" s="3"/>
      <c r="C323" s="3"/>
      <c r="D323" s="3"/>
      <c r="E323" s="3"/>
      <c r="F323" s="3"/>
      <c r="G323" s="3"/>
      <c r="H323" s="3"/>
      <c r="I323" s="3"/>
      <c r="J323" s="3"/>
      <c r="K323" s="3"/>
      <c r="L323" s="3"/>
      <c r="M323" s="3"/>
      <c r="N323" s="3"/>
      <c r="O323" s="3"/>
      <c r="P323" s="3"/>
      <c r="Q323" s="3"/>
      <c r="R323" s="3"/>
      <c r="S323" s="3"/>
      <c r="T323" s="3"/>
      <c r="U323" s="3"/>
      <c r="V323" s="516"/>
      <c r="W323" s="18"/>
      <c r="X323" s="3"/>
      <c r="Y323" s="3"/>
      <c r="Z323" s="3"/>
      <c r="AA323" s="3"/>
    </row>
    <row r="324" spans="1:27" ht="24.75" customHeight="1">
      <c r="A324" s="3"/>
      <c r="B324" s="3"/>
      <c r="C324" s="3"/>
      <c r="D324" s="3"/>
      <c r="E324" s="3"/>
      <c r="F324" s="3"/>
      <c r="G324" s="3"/>
      <c r="H324" s="3"/>
      <c r="I324" s="3"/>
      <c r="J324" s="3"/>
      <c r="K324" s="3"/>
      <c r="L324" s="3"/>
      <c r="M324" s="3"/>
      <c r="N324" s="3"/>
      <c r="O324" s="3"/>
      <c r="P324" s="3"/>
      <c r="Q324" s="3"/>
      <c r="R324" s="3"/>
      <c r="S324" s="3"/>
      <c r="T324" s="3"/>
      <c r="U324" s="3"/>
      <c r="V324" s="516"/>
      <c r="W324" s="18"/>
      <c r="X324" s="3"/>
      <c r="Y324" s="3"/>
      <c r="Z324" s="3"/>
      <c r="AA324" s="3"/>
    </row>
    <row r="325" spans="1:27" ht="24.75" customHeight="1">
      <c r="A325" s="3"/>
      <c r="B325" s="3"/>
      <c r="C325" s="3"/>
      <c r="D325" s="3"/>
      <c r="E325" s="3"/>
      <c r="F325" s="3"/>
      <c r="G325" s="3"/>
      <c r="H325" s="3"/>
      <c r="I325" s="3"/>
      <c r="J325" s="3"/>
      <c r="K325" s="3"/>
      <c r="L325" s="3"/>
      <c r="M325" s="3"/>
      <c r="N325" s="3"/>
      <c r="O325" s="3"/>
      <c r="P325" s="3"/>
      <c r="Q325" s="3"/>
      <c r="R325" s="3"/>
      <c r="S325" s="3"/>
      <c r="T325" s="3"/>
      <c r="U325" s="3"/>
      <c r="V325" s="516"/>
      <c r="W325" s="18"/>
      <c r="X325" s="3"/>
      <c r="Y325" s="3"/>
      <c r="Z325" s="3"/>
      <c r="AA325" s="3"/>
    </row>
    <row r="326" spans="1:27" ht="24.75" customHeight="1">
      <c r="A326" s="3"/>
      <c r="B326" s="3"/>
      <c r="C326" s="3"/>
      <c r="D326" s="3"/>
      <c r="E326" s="3"/>
      <c r="F326" s="3"/>
      <c r="G326" s="3"/>
      <c r="H326" s="3"/>
      <c r="I326" s="3"/>
      <c r="J326" s="3"/>
      <c r="K326" s="3"/>
      <c r="L326" s="3"/>
      <c r="M326" s="3"/>
      <c r="N326" s="3"/>
      <c r="O326" s="3"/>
      <c r="P326" s="3"/>
      <c r="Q326" s="3"/>
      <c r="R326" s="3"/>
      <c r="S326" s="3"/>
      <c r="T326" s="3"/>
      <c r="U326" s="3"/>
      <c r="V326" s="516"/>
      <c r="W326" s="18"/>
      <c r="X326" s="3"/>
      <c r="Y326" s="3"/>
      <c r="Z326" s="3"/>
      <c r="AA326" s="3"/>
    </row>
    <row r="327" spans="1:27" ht="24.75" customHeight="1">
      <c r="A327" s="3"/>
      <c r="B327" s="3"/>
      <c r="C327" s="3"/>
      <c r="D327" s="3"/>
      <c r="E327" s="3"/>
      <c r="F327" s="3"/>
      <c r="G327" s="3"/>
      <c r="H327" s="3"/>
      <c r="I327" s="3"/>
      <c r="J327" s="3"/>
      <c r="K327" s="3"/>
      <c r="L327" s="3"/>
      <c r="M327" s="3"/>
      <c r="N327" s="3"/>
      <c r="O327" s="3"/>
      <c r="P327" s="3"/>
      <c r="Q327" s="3"/>
      <c r="R327" s="3"/>
      <c r="S327" s="3"/>
      <c r="T327" s="3"/>
      <c r="U327" s="3"/>
      <c r="V327" s="516"/>
      <c r="W327" s="18"/>
      <c r="X327" s="3"/>
      <c r="Y327" s="3"/>
      <c r="Z327" s="3"/>
      <c r="AA327" s="3"/>
    </row>
    <row r="328" spans="1:27" ht="24.75" customHeight="1">
      <c r="A328" s="3"/>
      <c r="B328" s="3"/>
      <c r="C328" s="3"/>
      <c r="D328" s="3"/>
      <c r="E328" s="3"/>
      <c r="F328" s="3"/>
      <c r="G328" s="3"/>
      <c r="H328" s="3"/>
      <c r="I328" s="3"/>
      <c r="J328" s="3"/>
      <c r="K328" s="3"/>
      <c r="L328" s="3"/>
      <c r="M328" s="3"/>
      <c r="N328" s="3"/>
      <c r="O328" s="3"/>
      <c r="P328" s="3"/>
      <c r="Q328" s="3"/>
      <c r="R328" s="3"/>
      <c r="S328" s="3"/>
      <c r="T328" s="3"/>
      <c r="U328" s="3"/>
      <c r="V328" s="516"/>
      <c r="W328" s="18"/>
      <c r="X328" s="3"/>
      <c r="Y328" s="3"/>
      <c r="Z328" s="3"/>
      <c r="AA328" s="3"/>
    </row>
    <row r="329" spans="1:27" ht="24.75" customHeight="1">
      <c r="A329" s="3"/>
      <c r="B329" s="3"/>
      <c r="C329" s="3"/>
      <c r="D329" s="3"/>
      <c r="E329" s="3"/>
      <c r="F329" s="3"/>
      <c r="G329" s="3"/>
      <c r="H329" s="3"/>
      <c r="I329" s="3"/>
      <c r="J329" s="3"/>
      <c r="K329" s="3"/>
      <c r="L329" s="3"/>
      <c r="M329" s="3"/>
      <c r="N329" s="3"/>
      <c r="O329" s="3"/>
      <c r="P329" s="3"/>
      <c r="Q329" s="3"/>
      <c r="R329" s="3"/>
      <c r="S329" s="3"/>
      <c r="T329" s="3"/>
      <c r="U329" s="3"/>
      <c r="V329" s="516"/>
      <c r="W329" s="18"/>
      <c r="X329" s="3"/>
      <c r="Y329" s="3"/>
      <c r="Z329" s="3"/>
      <c r="AA329" s="3"/>
    </row>
    <row r="330" spans="1:27" ht="24.75" customHeight="1">
      <c r="A330" s="3"/>
      <c r="B330" s="3"/>
      <c r="C330" s="3"/>
      <c r="D330" s="3"/>
      <c r="E330" s="3"/>
      <c r="F330" s="3"/>
      <c r="G330" s="3"/>
      <c r="H330" s="3"/>
      <c r="I330" s="3"/>
      <c r="J330" s="3"/>
      <c r="K330" s="3"/>
      <c r="L330" s="3"/>
      <c r="M330" s="3"/>
      <c r="N330" s="3"/>
      <c r="O330" s="3"/>
      <c r="P330" s="3"/>
      <c r="Q330" s="3"/>
      <c r="R330" s="3"/>
      <c r="S330" s="3"/>
      <c r="T330" s="3"/>
      <c r="U330" s="3"/>
      <c r="V330" s="516"/>
      <c r="W330" s="18"/>
      <c r="X330" s="3"/>
      <c r="Y330" s="3"/>
      <c r="Z330" s="3"/>
      <c r="AA330" s="3"/>
    </row>
    <row r="331" spans="1:27" ht="24.75" customHeight="1">
      <c r="A331" s="3"/>
      <c r="B331" s="3"/>
      <c r="C331" s="3"/>
      <c r="D331" s="3"/>
      <c r="E331" s="3"/>
      <c r="F331" s="3"/>
      <c r="G331" s="3"/>
      <c r="H331" s="3"/>
      <c r="I331" s="3"/>
      <c r="J331" s="3"/>
      <c r="K331" s="3"/>
      <c r="L331" s="3"/>
      <c r="M331" s="3"/>
      <c r="N331" s="3"/>
      <c r="O331" s="3"/>
      <c r="P331" s="3"/>
      <c r="Q331" s="3"/>
      <c r="R331" s="3"/>
      <c r="S331" s="3"/>
      <c r="T331" s="3"/>
      <c r="U331" s="3"/>
      <c r="V331" s="516"/>
      <c r="W331" s="18"/>
      <c r="X331" s="3"/>
      <c r="Y331" s="3"/>
      <c r="Z331" s="3"/>
      <c r="AA331" s="3"/>
    </row>
    <row r="332" spans="1:27" ht="24.75" customHeight="1">
      <c r="A332" s="3"/>
      <c r="B332" s="3"/>
      <c r="C332" s="3"/>
      <c r="D332" s="3"/>
      <c r="E332" s="3"/>
      <c r="F332" s="3"/>
      <c r="G332" s="3"/>
      <c r="H332" s="3"/>
      <c r="I332" s="3"/>
      <c r="J332" s="3"/>
      <c r="K332" s="3"/>
      <c r="L332" s="3"/>
      <c r="M332" s="3"/>
      <c r="N332" s="3"/>
      <c r="O332" s="3"/>
      <c r="P332" s="3"/>
      <c r="Q332" s="3"/>
      <c r="R332" s="3"/>
      <c r="S332" s="3"/>
      <c r="T332" s="3"/>
      <c r="U332" s="3"/>
      <c r="V332" s="516"/>
      <c r="W332" s="18"/>
      <c r="X332" s="3"/>
      <c r="Y332" s="3"/>
      <c r="Z332" s="3"/>
      <c r="AA332" s="3"/>
    </row>
    <row r="333" spans="1:27" ht="24.75" customHeight="1">
      <c r="A333" s="3"/>
      <c r="B333" s="3"/>
      <c r="C333" s="3"/>
      <c r="D333" s="3"/>
      <c r="E333" s="3"/>
      <c r="F333" s="3"/>
      <c r="G333" s="3"/>
      <c r="H333" s="3"/>
      <c r="I333" s="3"/>
      <c r="J333" s="3"/>
      <c r="K333" s="3"/>
      <c r="L333" s="3"/>
      <c r="M333" s="3"/>
      <c r="N333" s="3"/>
      <c r="O333" s="3"/>
      <c r="P333" s="3"/>
      <c r="Q333" s="3"/>
      <c r="R333" s="3"/>
      <c r="S333" s="3"/>
      <c r="T333" s="3"/>
      <c r="U333" s="3"/>
      <c r="V333" s="516"/>
      <c r="W333" s="18"/>
      <c r="X333" s="3"/>
      <c r="Y333" s="3"/>
      <c r="Z333" s="3"/>
      <c r="AA333" s="3"/>
    </row>
    <row r="334" spans="1:27" ht="24.75" customHeight="1">
      <c r="A334" s="3"/>
      <c r="B334" s="3"/>
      <c r="C334" s="3"/>
      <c r="D334" s="3"/>
      <c r="E334" s="3"/>
      <c r="F334" s="3"/>
      <c r="G334" s="3"/>
      <c r="H334" s="3"/>
      <c r="I334" s="3"/>
      <c r="J334" s="3"/>
      <c r="K334" s="3"/>
      <c r="L334" s="3"/>
      <c r="M334" s="3"/>
      <c r="N334" s="3"/>
      <c r="O334" s="3"/>
      <c r="P334" s="3"/>
      <c r="Q334" s="3"/>
      <c r="R334" s="3"/>
      <c r="S334" s="3"/>
      <c r="T334" s="3"/>
      <c r="U334" s="3"/>
      <c r="V334" s="516"/>
      <c r="W334" s="18"/>
      <c r="X334" s="3"/>
      <c r="Y334" s="3"/>
      <c r="Z334" s="3"/>
      <c r="AA334" s="3"/>
    </row>
    <row r="335" spans="1:27" ht="24.75" customHeight="1">
      <c r="A335" s="3"/>
      <c r="B335" s="3"/>
      <c r="C335" s="3"/>
      <c r="D335" s="3"/>
      <c r="E335" s="3"/>
      <c r="F335" s="3"/>
      <c r="G335" s="3"/>
      <c r="H335" s="3"/>
      <c r="I335" s="3"/>
      <c r="J335" s="3"/>
      <c r="K335" s="3"/>
      <c r="L335" s="3"/>
      <c r="M335" s="3"/>
      <c r="N335" s="3"/>
      <c r="O335" s="3"/>
      <c r="P335" s="3"/>
      <c r="Q335" s="3"/>
      <c r="R335" s="3"/>
      <c r="S335" s="3"/>
      <c r="T335" s="3"/>
      <c r="U335" s="3"/>
      <c r="V335" s="516"/>
      <c r="W335" s="18"/>
      <c r="X335" s="3"/>
      <c r="Y335" s="3"/>
      <c r="Z335" s="3"/>
      <c r="AA335" s="3"/>
    </row>
    <row r="336" spans="1:27" ht="24.75" customHeight="1">
      <c r="A336" s="3"/>
      <c r="B336" s="3"/>
      <c r="C336" s="3"/>
      <c r="D336" s="3"/>
      <c r="E336" s="3"/>
      <c r="F336" s="3"/>
      <c r="G336" s="3"/>
      <c r="H336" s="3"/>
      <c r="I336" s="3"/>
      <c r="J336" s="3"/>
      <c r="K336" s="3"/>
      <c r="L336" s="3"/>
      <c r="M336" s="3"/>
      <c r="N336" s="3"/>
      <c r="O336" s="3"/>
      <c r="P336" s="3"/>
      <c r="Q336" s="3"/>
      <c r="R336" s="3"/>
      <c r="S336" s="3"/>
      <c r="T336" s="3"/>
      <c r="U336" s="3"/>
      <c r="V336" s="516"/>
      <c r="W336" s="18"/>
      <c r="X336" s="3"/>
      <c r="Y336" s="3"/>
      <c r="Z336" s="3"/>
      <c r="AA336" s="3"/>
    </row>
    <row r="337" spans="1:27" ht="24.75" customHeight="1">
      <c r="A337" s="3"/>
      <c r="B337" s="3"/>
      <c r="C337" s="3"/>
      <c r="D337" s="3"/>
      <c r="E337" s="3"/>
      <c r="F337" s="3"/>
      <c r="G337" s="3"/>
      <c r="H337" s="3"/>
      <c r="I337" s="3"/>
      <c r="J337" s="3"/>
      <c r="K337" s="3"/>
      <c r="L337" s="3"/>
      <c r="M337" s="3"/>
      <c r="N337" s="3"/>
      <c r="O337" s="3"/>
      <c r="P337" s="3"/>
      <c r="Q337" s="3"/>
      <c r="R337" s="3"/>
      <c r="S337" s="3"/>
      <c r="T337" s="3"/>
      <c r="U337" s="3"/>
      <c r="V337" s="516"/>
      <c r="W337" s="18"/>
      <c r="X337" s="3"/>
      <c r="Y337" s="3"/>
      <c r="Z337" s="3"/>
      <c r="AA337" s="3"/>
    </row>
    <row r="338" spans="1:27" ht="24.75" customHeight="1">
      <c r="A338" s="3"/>
      <c r="B338" s="3"/>
      <c r="C338" s="3"/>
      <c r="D338" s="3"/>
      <c r="E338" s="3"/>
      <c r="F338" s="3"/>
      <c r="G338" s="3"/>
      <c r="H338" s="3"/>
      <c r="I338" s="3"/>
      <c r="J338" s="3"/>
      <c r="K338" s="3"/>
      <c r="L338" s="3"/>
      <c r="M338" s="3"/>
      <c r="N338" s="3"/>
      <c r="O338" s="3"/>
      <c r="P338" s="3"/>
      <c r="Q338" s="3"/>
      <c r="R338" s="3"/>
      <c r="S338" s="3"/>
      <c r="T338" s="3"/>
      <c r="U338" s="3"/>
      <c r="V338" s="516"/>
      <c r="W338" s="18"/>
      <c r="X338" s="3"/>
      <c r="Y338" s="3"/>
      <c r="Z338" s="3"/>
      <c r="AA338" s="3"/>
    </row>
    <row r="339" spans="1:27" ht="24.75" customHeight="1">
      <c r="A339" s="3"/>
      <c r="B339" s="3"/>
      <c r="C339" s="3"/>
      <c r="D339" s="3"/>
      <c r="E339" s="3"/>
      <c r="F339" s="3"/>
      <c r="G339" s="3"/>
      <c r="H339" s="3"/>
      <c r="I339" s="3"/>
      <c r="J339" s="3"/>
      <c r="K339" s="3"/>
      <c r="L339" s="3"/>
      <c r="M339" s="3"/>
      <c r="N339" s="3"/>
      <c r="O339" s="3"/>
      <c r="P339" s="3"/>
      <c r="Q339" s="3"/>
      <c r="R339" s="3"/>
      <c r="S339" s="3"/>
      <c r="T339" s="3"/>
      <c r="U339" s="3"/>
      <c r="V339" s="516"/>
      <c r="W339" s="18"/>
      <c r="X339" s="3"/>
      <c r="Y339" s="3"/>
      <c r="Z339" s="3"/>
      <c r="AA339" s="3"/>
    </row>
    <row r="340" spans="1:27" ht="24.75" customHeight="1">
      <c r="A340" s="3"/>
      <c r="B340" s="3"/>
      <c r="C340" s="3"/>
      <c r="D340" s="3"/>
      <c r="E340" s="3"/>
      <c r="F340" s="3"/>
      <c r="G340" s="3"/>
      <c r="H340" s="3"/>
      <c r="I340" s="3"/>
      <c r="J340" s="3"/>
      <c r="K340" s="3"/>
      <c r="L340" s="3"/>
      <c r="M340" s="3"/>
      <c r="N340" s="3"/>
      <c r="O340" s="3"/>
      <c r="P340" s="3"/>
      <c r="Q340" s="3"/>
      <c r="R340" s="3"/>
      <c r="S340" s="3"/>
      <c r="T340" s="3"/>
      <c r="U340" s="3"/>
      <c r="V340" s="516"/>
      <c r="W340" s="18"/>
      <c r="X340" s="3"/>
      <c r="Y340" s="3"/>
      <c r="Z340" s="3"/>
      <c r="AA340" s="3"/>
    </row>
    <row r="341" spans="1:27" ht="24.75" customHeight="1">
      <c r="A341" s="3"/>
      <c r="B341" s="3"/>
      <c r="C341" s="3"/>
      <c r="D341" s="3"/>
      <c r="E341" s="3"/>
      <c r="F341" s="3"/>
      <c r="G341" s="3"/>
      <c r="H341" s="3"/>
      <c r="I341" s="3"/>
      <c r="J341" s="3"/>
      <c r="K341" s="3"/>
      <c r="L341" s="3"/>
      <c r="M341" s="3"/>
      <c r="N341" s="3"/>
      <c r="O341" s="3"/>
      <c r="P341" s="3"/>
      <c r="Q341" s="3"/>
      <c r="R341" s="3"/>
      <c r="S341" s="3"/>
      <c r="T341" s="3"/>
      <c r="U341" s="3"/>
      <c r="V341" s="516"/>
      <c r="W341" s="18"/>
      <c r="X341" s="3"/>
      <c r="Y341" s="3"/>
      <c r="Z341" s="3"/>
      <c r="AA341" s="3"/>
    </row>
    <row r="342" spans="1:27" ht="24.75" customHeight="1">
      <c r="A342" s="3"/>
      <c r="B342" s="3"/>
      <c r="C342" s="3"/>
      <c r="D342" s="3"/>
      <c r="E342" s="3"/>
      <c r="F342" s="3"/>
      <c r="G342" s="3"/>
      <c r="H342" s="3"/>
      <c r="I342" s="3"/>
      <c r="J342" s="3"/>
      <c r="K342" s="3"/>
      <c r="L342" s="3"/>
      <c r="M342" s="3"/>
      <c r="N342" s="3"/>
      <c r="O342" s="3"/>
      <c r="P342" s="3"/>
      <c r="Q342" s="3"/>
      <c r="R342" s="3"/>
      <c r="S342" s="3"/>
      <c r="T342" s="3"/>
      <c r="U342" s="3"/>
      <c r="V342" s="516"/>
      <c r="W342" s="18"/>
      <c r="X342" s="3"/>
      <c r="Y342" s="3"/>
      <c r="Z342" s="3"/>
      <c r="AA342" s="3"/>
    </row>
    <row r="343" spans="1:27" ht="24.75" customHeight="1">
      <c r="A343" s="3"/>
      <c r="B343" s="3"/>
      <c r="C343" s="3"/>
      <c r="D343" s="3"/>
      <c r="E343" s="3"/>
      <c r="F343" s="3"/>
      <c r="G343" s="3"/>
      <c r="H343" s="3"/>
      <c r="I343" s="3"/>
      <c r="J343" s="3"/>
      <c r="K343" s="3"/>
      <c r="L343" s="3"/>
      <c r="M343" s="3"/>
      <c r="N343" s="3"/>
      <c r="O343" s="3"/>
      <c r="P343" s="3"/>
      <c r="Q343" s="3"/>
      <c r="R343" s="3"/>
      <c r="S343" s="3"/>
      <c r="T343" s="3"/>
      <c r="U343" s="3"/>
      <c r="V343" s="516"/>
      <c r="W343" s="18"/>
      <c r="X343" s="3"/>
      <c r="Y343" s="3"/>
      <c r="Z343" s="3"/>
      <c r="AA343" s="3"/>
    </row>
    <row r="344" spans="1:27" ht="24.75" customHeight="1">
      <c r="A344" s="3"/>
      <c r="B344" s="3"/>
      <c r="C344" s="3"/>
      <c r="D344" s="3"/>
      <c r="E344" s="3"/>
      <c r="F344" s="3"/>
      <c r="G344" s="3"/>
      <c r="H344" s="3"/>
      <c r="I344" s="3"/>
      <c r="J344" s="3"/>
      <c r="K344" s="3"/>
      <c r="L344" s="3"/>
      <c r="M344" s="3"/>
      <c r="N344" s="3"/>
      <c r="O344" s="3"/>
      <c r="P344" s="3"/>
      <c r="Q344" s="3"/>
      <c r="R344" s="3"/>
      <c r="S344" s="3"/>
      <c r="T344" s="3"/>
      <c r="U344" s="3"/>
      <c r="V344" s="516"/>
      <c r="W344" s="18"/>
      <c r="X344" s="3"/>
      <c r="Y344" s="3"/>
      <c r="Z344" s="3"/>
      <c r="AA344" s="3"/>
    </row>
    <row r="345" spans="1:27" ht="24.75" customHeight="1">
      <c r="A345" s="3"/>
      <c r="B345" s="3"/>
      <c r="C345" s="3"/>
      <c r="D345" s="3"/>
      <c r="E345" s="3"/>
      <c r="F345" s="3"/>
      <c r="G345" s="3"/>
      <c r="H345" s="3"/>
      <c r="I345" s="3"/>
      <c r="J345" s="3"/>
      <c r="K345" s="3"/>
      <c r="L345" s="3"/>
      <c r="M345" s="3"/>
      <c r="N345" s="3"/>
      <c r="O345" s="3"/>
      <c r="P345" s="3"/>
      <c r="Q345" s="3"/>
      <c r="R345" s="3"/>
      <c r="S345" s="3"/>
      <c r="T345" s="3"/>
      <c r="U345" s="3"/>
      <c r="V345" s="516"/>
      <c r="W345" s="18"/>
      <c r="X345" s="3"/>
      <c r="Y345" s="3"/>
      <c r="Z345" s="3"/>
      <c r="AA345" s="3"/>
    </row>
    <row r="346" spans="1:27" ht="24.75" customHeight="1">
      <c r="A346" s="3"/>
      <c r="B346" s="3"/>
      <c r="C346" s="3"/>
      <c r="D346" s="3"/>
      <c r="E346" s="3"/>
      <c r="F346" s="3"/>
      <c r="G346" s="3"/>
      <c r="H346" s="3"/>
      <c r="I346" s="3"/>
      <c r="J346" s="3"/>
      <c r="K346" s="3"/>
      <c r="L346" s="3"/>
      <c r="M346" s="3"/>
      <c r="N346" s="3"/>
      <c r="O346" s="3"/>
      <c r="P346" s="3"/>
      <c r="Q346" s="3"/>
      <c r="R346" s="3"/>
      <c r="S346" s="3"/>
      <c r="T346" s="3"/>
      <c r="U346" s="3"/>
      <c r="V346" s="516"/>
      <c r="W346" s="18"/>
      <c r="X346" s="3"/>
      <c r="Y346" s="3"/>
      <c r="Z346" s="3"/>
      <c r="AA346" s="3"/>
    </row>
    <row r="347" spans="1:27" ht="24.75" customHeight="1">
      <c r="A347" s="3"/>
      <c r="B347" s="3"/>
      <c r="C347" s="3"/>
      <c r="D347" s="3"/>
      <c r="E347" s="3"/>
      <c r="F347" s="3"/>
      <c r="G347" s="3"/>
      <c r="H347" s="3"/>
      <c r="I347" s="3"/>
      <c r="J347" s="3"/>
      <c r="K347" s="3"/>
      <c r="L347" s="3"/>
      <c r="M347" s="3"/>
      <c r="N347" s="3"/>
      <c r="O347" s="3"/>
      <c r="P347" s="3"/>
      <c r="Q347" s="3"/>
      <c r="R347" s="3"/>
      <c r="S347" s="3"/>
      <c r="T347" s="3"/>
      <c r="U347" s="3"/>
      <c r="V347" s="516"/>
      <c r="W347" s="18"/>
      <c r="X347" s="3"/>
      <c r="Y347" s="3"/>
      <c r="Z347" s="3"/>
      <c r="AA347" s="3"/>
    </row>
    <row r="348" spans="1:27" ht="24.75" customHeight="1">
      <c r="A348" s="3"/>
      <c r="B348" s="3"/>
      <c r="C348" s="3"/>
      <c r="D348" s="3"/>
      <c r="E348" s="3"/>
      <c r="F348" s="3"/>
      <c r="G348" s="3"/>
      <c r="H348" s="3"/>
      <c r="I348" s="3"/>
      <c r="J348" s="3"/>
      <c r="K348" s="3"/>
      <c r="L348" s="3"/>
      <c r="M348" s="3"/>
      <c r="N348" s="3"/>
      <c r="O348" s="3"/>
      <c r="P348" s="3"/>
      <c r="Q348" s="3"/>
      <c r="R348" s="3"/>
      <c r="S348" s="3"/>
      <c r="T348" s="3"/>
      <c r="U348" s="3"/>
      <c r="V348" s="516"/>
      <c r="W348" s="18"/>
      <c r="X348" s="3"/>
      <c r="Y348" s="3"/>
      <c r="Z348" s="3"/>
      <c r="AA348" s="3"/>
    </row>
    <row r="349" spans="1:27" ht="24.75" customHeight="1">
      <c r="A349" s="3"/>
      <c r="B349" s="3"/>
      <c r="C349" s="3"/>
      <c r="D349" s="3"/>
      <c r="E349" s="3"/>
      <c r="F349" s="3"/>
      <c r="G349" s="3"/>
      <c r="H349" s="3"/>
      <c r="I349" s="3"/>
      <c r="J349" s="3"/>
      <c r="K349" s="3"/>
      <c r="L349" s="3"/>
      <c r="M349" s="3"/>
      <c r="N349" s="3"/>
      <c r="O349" s="3"/>
      <c r="P349" s="3"/>
      <c r="Q349" s="3"/>
      <c r="R349" s="3"/>
      <c r="S349" s="3"/>
      <c r="T349" s="3"/>
      <c r="U349" s="3"/>
      <c r="V349" s="516"/>
      <c r="W349" s="18"/>
      <c r="X349" s="3"/>
      <c r="Y349" s="3"/>
      <c r="Z349" s="3"/>
      <c r="AA349" s="3"/>
    </row>
    <row r="350" spans="1:27" ht="24.75" customHeight="1">
      <c r="A350" s="3"/>
      <c r="B350" s="3"/>
      <c r="C350" s="3"/>
      <c r="D350" s="3"/>
      <c r="E350" s="3"/>
      <c r="F350" s="3"/>
      <c r="G350" s="3"/>
      <c r="H350" s="3"/>
      <c r="I350" s="3"/>
      <c r="J350" s="3"/>
      <c r="K350" s="3"/>
      <c r="L350" s="3"/>
      <c r="M350" s="3"/>
      <c r="N350" s="3"/>
      <c r="O350" s="3"/>
      <c r="P350" s="3"/>
      <c r="Q350" s="3"/>
      <c r="R350" s="3"/>
      <c r="S350" s="3"/>
      <c r="T350" s="3"/>
      <c r="U350" s="3"/>
      <c r="V350" s="516"/>
      <c r="W350" s="18"/>
      <c r="X350" s="3"/>
      <c r="Y350" s="3"/>
      <c r="Z350" s="3"/>
      <c r="AA350" s="3"/>
    </row>
    <row r="351" spans="1:27" ht="24.75" customHeight="1">
      <c r="A351" s="3"/>
      <c r="B351" s="3"/>
      <c r="C351" s="3"/>
      <c r="D351" s="3"/>
      <c r="E351" s="3"/>
      <c r="F351" s="3"/>
      <c r="G351" s="3"/>
      <c r="H351" s="3"/>
      <c r="I351" s="3"/>
      <c r="J351" s="3"/>
      <c r="K351" s="3"/>
      <c r="L351" s="3"/>
      <c r="M351" s="3"/>
      <c r="N351" s="3"/>
      <c r="O351" s="3"/>
      <c r="P351" s="3"/>
      <c r="Q351" s="3"/>
      <c r="R351" s="3"/>
      <c r="S351" s="3"/>
      <c r="T351" s="3"/>
      <c r="U351" s="3"/>
      <c r="V351" s="516"/>
      <c r="W351" s="18"/>
      <c r="X351" s="3"/>
      <c r="Y351" s="3"/>
      <c r="Z351" s="3"/>
      <c r="AA351" s="3"/>
    </row>
    <row r="352" spans="1:27" ht="24.75" customHeight="1">
      <c r="A352" s="3"/>
      <c r="B352" s="3"/>
      <c r="C352" s="3"/>
      <c r="D352" s="3"/>
      <c r="E352" s="3"/>
      <c r="F352" s="3"/>
      <c r="G352" s="3"/>
      <c r="H352" s="3"/>
      <c r="I352" s="3"/>
      <c r="J352" s="3"/>
      <c r="K352" s="3"/>
      <c r="L352" s="3"/>
      <c r="M352" s="3"/>
      <c r="N352" s="3"/>
      <c r="O352" s="3"/>
      <c r="P352" s="3"/>
      <c r="Q352" s="3"/>
      <c r="R352" s="3"/>
      <c r="S352" s="3"/>
      <c r="T352" s="3"/>
      <c r="U352" s="3"/>
      <c r="V352" s="516"/>
      <c r="W352" s="18"/>
      <c r="X352" s="3"/>
      <c r="Y352" s="3"/>
      <c r="Z352" s="3"/>
      <c r="AA352" s="3"/>
    </row>
    <row r="353" spans="1:27" ht="24.75" customHeight="1">
      <c r="A353" s="3"/>
      <c r="B353" s="3"/>
      <c r="C353" s="3"/>
      <c r="D353" s="3"/>
      <c r="E353" s="3"/>
      <c r="F353" s="3"/>
      <c r="G353" s="3"/>
      <c r="H353" s="3"/>
      <c r="I353" s="3"/>
      <c r="J353" s="3"/>
      <c r="K353" s="3"/>
      <c r="L353" s="3"/>
      <c r="M353" s="3"/>
      <c r="N353" s="3"/>
      <c r="O353" s="3"/>
      <c r="P353" s="3"/>
      <c r="Q353" s="3"/>
      <c r="R353" s="3"/>
      <c r="S353" s="3"/>
      <c r="T353" s="3"/>
      <c r="U353" s="3"/>
      <c r="V353" s="516"/>
      <c r="W353" s="18"/>
      <c r="X353" s="3"/>
      <c r="Y353" s="3"/>
      <c r="Z353" s="3"/>
      <c r="AA353" s="3"/>
    </row>
    <row r="354" spans="1:27" ht="24.75" customHeight="1">
      <c r="A354" s="3"/>
      <c r="B354" s="3"/>
      <c r="C354" s="3"/>
      <c r="D354" s="3"/>
      <c r="E354" s="3"/>
      <c r="F354" s="3"/>
      <c r="G354" s="3"/>
      <c r="H354" s="3"/>
      <c r="I354" s="3"/>
      <c r="J354" s="3"/>
      <c r="K354" s="3"/>
      <c r="L354" s="3"/>
      <c r="M354" s="3"/>
      <c r="N354" s="3"/>
      <c r="O354" s="3"/>
      <c r="P354" s="3"/>
      <c r="Q354" s="3"/>
      <c r="R354" s="3"/>
      <c r="S354" s="3"/>
      <c r="T354" s="3"/>
      <c r="U354" s="3"/>
      <c r="V354" s="516"/>
      <c r="W354" s="18"/>
      <c r="X354" s="3"/>
      <c r="Y354" s="3"/>
      <c r="Z354" s="3"/>
      <c r="AA354" s="3"/>
    </row>
    <row r="355" spans="1:27" ht="24.75" customHeight="1">
      <c r="A355" s="3"/>
      <c r="B355" s="3"/>
      <c r="C355" s="3"/>
      <c r="D355" s="3"/>
      <c r="E355" s="3"/>
      <c r="F355" s="3"/>
      <c r="G355" s="3"/>
      <c r="H355" s="3"/>
      <c r="I355" s="3"/>
      <c r="J355" s="3"/>
      <c r="K355" s="3"/>
      <c r="L355" s="3"/>
      <c r="M355" s="3"/>
      <c r="N355" s="3"/>
      <c r="O355" s="3"/>
      <c r="P355" s="3"/>
      <c r="Q355" s="3"/>
      <c r="R355" s="3"/>
      <c r="S355" s="3"/>
      <c r="T355" s="3"/>
      <c r="U355" s="3"/>
      <c r="V355" s="516"/>
      <c r="W355" s="18"/>
      <c r="X355" s="3"/>
      <c r="Y355" s="3"/>
      <c r="Z355" s="3"/>
      <c r="AA355" s="3"/>
    </row>
    <row r="356" spans="1:27" ht="24.75" customHeight="1">
      <c r="A356" s="3"/>
      <c r="B356" s="3"/>
      <c r="C356" s="3"/>
      <c r="D356" s="3"/>
      <c r="E356" s="3"/>
      <c r="F356" s="3"/>
      <c r="G356" s="3"/>
      <c r="H356" s="3"/>
      <c r="I356" s="3"/>
      <c r="J356" s="3"/>
      <c r="K356" s="3"/>
      <c r="L356" s="3"/>
      <c r="M356" s="3"/>
      <c r="N356" s="3"/>
      <c r="O356" s="3"/>
      <c r="P356" s="3"/>
      <c r="Q356" s="3"/>
      <c r="R356" s="3"/>
      <c r="S356" s="3"/>
      <c r="T356" s="3"/>
      <c r="U356" s="3"/>
      <c r="V356" s="516"/>
      <c r="W356" s="18"/>
      <c r="X356" s="3"/>
      <c r="Y356" s="3"/>
      <c r="Z356" s="3"/>
      <c r="AA356" s="3"/>
    </row>
    <row r="357" spans="1:27" ht="24.75" customHeight="1">
      <c r="A357" s="3"/>
      <c r="B357" s="3"/>
      <c r="C357" s="3"/>
      <c r="D357" s="3"/>
      <c r="E357" s="3"/>
      <c r="F357" s="3"/>
      <c r="G357" s="3"/>
      <c r="H357" s="3"/>
      <c r="I357" s="3"/>
      <c r="J357" s="3"/>
      <c r="K357" s="3"/>
      <c r="L357" s="3"/>
      <c r="M357" s="3"/>
      <c r="N357" s="3"/>
      <c r="O357" s="3"/>
      <c r="P357" s="3"/>
      <c r="Q357" s="3"/>
      <c r="R357" s="3"/>
      <c r="S357" s="3"/>
      <c r="T357" s="3"/>
      <c r="U357" s="3"/>
      <c r="V357" s="516"/>
      <c r="W357" s="18"/>
      <c r="X357" s="3"/>
      <c r="Y357" s="3"/>
      <c r="Z357" s="3"/>
      <c r="AA357" s="3"/>
    </row>
    <row r="358" spans="1:27" ht="24.75" customHeight="1">
      <c r="A358" s="3"/>
      <c r="B358" s="3"/>
      <c r="C358" s="3"/>
      <c r="D358" s="3"/>
      <c r="E358" s="3"/>
      <c r="F358" s="3"/>
      <c r="G358" s="3"/>
      <c r="H358" s="3"/>
      <c r="I358" s="3"/>
      <c r="J358" s="3"/>
      <c r="K358" s="3"/>
      <c r="L358" s="3"/>
      <c r="M358" s="3"/>
      <c r="N358" s="3"/>
      <c r="O358" s="3"/>
      <c r="P358" s="3"/>
      <c r="Q358" s="3"/>
      <c r="R358" s="3"/>
      <c r="S358" s="3"/>
      <c r="T358" s="3"/>
      <c r="U358" s="3"/>
      <c r="V358" s="516"/>
      <c r="W358" s="18"/>
      <c r="X358" s="3"/>
      <c r="Y358" s="3"/>
      <c r="Z358" s="3"/>
      <c r="AA358" s="3"/>
    </row>
    <row r="359" spans="1:27" ht="24.75" customHeight="1">
      <c r="A359" s="3"/>
      <c r="B359" s="3"/>
      <c r="C359" s="3"/>
      <c r="D359" s="3"/>
      <c r="E359" s="3"/>
      <c r="F359" s="3"/>
      <c r="G359" s="3"/>
      <c r="H359" s="3"/>
      <c r="I359" s="3"/>
      <c r="J359" s="3"/>
      <c r="K359" s="3"/>
      <c r="L359" s="3"/>
      <c r="M359" s="3"/>
      <c r="N359" s="3"/>
      <c r="O359" s="3"/>
      <c r="P359" s="3"/>
      <c r="Q359" s="3"/>
      <c r="R359" s="3"/>
      <c r="S359" s="3"/>
      <c r="T359" s="3"/>
      <c r="U359" s="3"/>
      <c r="V359" s="516"/>
      <c r="W359" s="18"/>
      <c r="X359" s="3"/>
      <c r="Y359" s="3"/>
      <c r="Z359" s="3"/>
      <c r="AA359" s="3"/>
    </row>
    <row r="360" spans="1:27" ht="24.75" customHeight="1">
      <c r="A360" s="3"/>
      <c r="B360" s="3"/>
      <c r="C360" s="3"/>
      <c r="D360" s="3"/>
      <c r="E360" s="3"/>
      <c r="F360" s="3"/>
      <c r="G360" s="3"/>
      <c r="H360" s="3"/>
      <c r="I360" s="3"/>
      <c r="J360" s="3"/>
      <c r="K360" s="3"/>
      <c r="L360" s="3"/>
      <c r="M360" s="3"/>
      <c r="N360" s="3"/>
      <c r="O360" s="3"/>
      <c r="P360" s="3"/>
      <c r="Q360" s="3"/>
      <c r="R360" s="3"/>
      <c r="S360" s="3"/>
      <c r="T360" s="3"/>
      <c r="U360" s="3"/>
      <c r="V360" s="516"/>
      <c r="W360" s="18"/>
      <c r="X360" s="3"/>
      <c r="Y360" s="3"/>
      <c r="Z360" s="3"/>
      <c r="AA360" s="3"/>
    </row>
    <row r="361" spans="1:27" ht="24.75" customHeight="1">
      <c r="A361" s="3"/>
      <c r="B361" s="3"/>
      <c r="C361" s="3"/>
      <c r="D361" s="3"/>
      <c r="E361" s="3"/>
      <c r="F361" s="3"/>
      <c r="G361" s="3"/>
      <c r="H361" s="3"/>
      <c r="I361" s="3"/>
      <c r="J361" s="3"/>
      <c r="K361" s="3"/>
      <c r="L361" s="3"/>
      <c r="M361" s="3"/>
      <c r="N361" s="3"/>
      <c r="O361" s="3"/>
      <c r="P361" s="3"/>
      <c r="Q361" s="3"/>
      <c r="R361" s="3"/>
      <c r="S361" s="3"/>
      <c r="T361" s="3"/>
      <c r="U361" s="3"/>
      <c r="V361" s="516"/>
      <c r="W361" s="18"/>
      <c r="X361" s="3"/>
      <c r="Y361" s="3"/>
      <c r="Z361" s="3"/>
      <c r="AA361" s="3"/>
    </row>
    <row r="362" spans="1:27" ht="24.75" customHeight="1">
      <c r="A362" s="3"/>
      <c r="B362" s="3"/>
      <c r="C362" s="3"/>
      <c r="D362" s="3"/>
      <c r="E362" s="3"/>
      <c r="F362" s="3"/>
      <c r="G362" s="3"/>
      <c r="H362" s="3"/>
      <c r="I362" s="3"/>
      <c r="J362" s="3"/>
      <c r="K362" s="3"/>
      <c r="L362" s="3"/>
      <c r="M362" s="3"/>
      <c r="N362" s="3"/>
      <c r="O362" s="3"/>
      <c r="P362" s="3"/>
      <c r="Q362" s="3"/>
      <c r="R362" s="3"/>
      <c r="S362" s="3"/>
      <c r="T362" s="3"/>
      <c r="U362" s="3"/>
      <c r="V362" s="516"/>
      <c r="W362" s="18"/>
      <c r="X362" s="3"/>
      <c r="Y362" s="3"/>
      <c r="Z362" s="3"/>
      <c r="AA362" s="3"/>
    </row>
    <row r="363" spans="1:27" ht="24.75" customHeight="1">
      <c r="A363" s="3"/>
      <c r="B363" s="3"/>
      <c r="C363" s="3"/>
      <c r="D363" s="3"/>
      <c r="E363" s="3"/>
      <c r="F363" s="3"/>
      <c r="G363" s="3"/>
      <c r="H363" s="3"/>
      <c r="I363" s="3"/>
      <c r="J363" s="3"/>
      <c r="K363" s="3"/>
      <c r="L363" s="3"/>
      <c r="M363" s="3"/>
      <c r="N363" s="3"/>
      <c r="O363" s="3"/>
      <c r="P363" s="3"/>
      <c r="Q363" s="3"/>
      <c r="R363" s="3"/>
      <c r="S363" s="3"/>
      <c r="T363" s="3"/>
      <c r="U363" s="3"/>
      <c r="V363" s="516"/>
      <c r="W363" s="18"/>
      <c r="X363" s="3"/>
      <c r="Y363" s="3"/>
      <c r="Z363" s="3"/>
      <c r="AA363" s="3"/>
    </row>
    <row r="364" spans="1:27" ht="24.75" customHeight="1">
      <c r="A364" s="3"/>
      <c r="B364" s="3"/>
      <c r="C364" s="3"/>
      <c r="D364" s="3"/>
      <c r="E364" s="3"/>
      <c r="F364" s="3"/>
      <c r="G364" s="3"/>
      <c r="H364" s="3"/>
      <c r="I364" s="3"/>
      <c r="J364" s="3"/>
      <c r="K364" s="3"/>
      <c r="L364" s="3"/>
      <c r="M364" s="3"/>
      <c r="N364" s="3"/>
      <c r="O364" s="3"/>
      <c r="P364" s="3"/>
      <c r="Q364" s="3"/>
      <c r="R364" s="3"/>
      <c r="S364" s="3"/>
      <c r="T364" s="3"/>
      <c r="U364" s="3"/>
      <c r="V364" s="516"/>
      <c r="W364" s="18"/>
      <c r="X364" s="3"/>
      <c r="Y364" s="3"/>
      <c r="Z364" s="3"/>
      <c r="AA364" s="3"/>
    </row>
    <row r="365" spans="1:27" ht="24.75" customHeight="1">
      <c r="A365" s="3"/>
      <c r="B365" s="3"/>
      <c r="C365" s="3"/>
      <c r="D365" s="3"/>
      <c r="E365" s="3"/>
      <c r="F365" s="3"/>
      <c r="G365" s="3"/>
      <c r="H365" s="3"/>
      <c r="I365" s="3"/>
      <c r="J365" s="3"/>
      <c r="K365" s="3"/>
      <c r="L365" s="3"/>
      <c r="M365" s="3"/>
      <c r="N365" s="3"/>
      <c r="O365" s="3"/>
      <c r="P365" s="3"/>
      <c r="Q365" s="3"/>
      <c r="R365" s="3"/>
      <c r="S365" s="3"/>
      <c r="T365" s="3"/>
      <c r="U365" s="3"/>
      <c r="V365" s="516"/>
      <c r="W365" s="18"/>
      <c r="X365" s="3"/>
      <c r="Y365" s="3"/>
      <c r="Z365" s="3"/>
      <c r="AA365" s="3"/>
    </row>
    <row r="366" spans="1:27" ht="24.75" customHeight="1">
      <c r="A366" s="3"/>
      <c r="B366" s="3"/>
      <c r="C366" s="3"/>
      <c r="D366" s="3"/>
      <c r="E366" s="3"/>
      <c r="F366" s="3"/>
      <c r="G366" s="3"/>
      <c r="H366" s="3"/>
      <c r="I366" s="3"/>
      <c r="J366" s="3"/>
      <c r="K366" s="3"/>
      <c r="L366" s="3"/>
      <c r="M366" s="3"/>
      <c r="N366" s="3"/>
      <c r="O366" s="3"/>
      <c r="P366" s="3"/>
      <c r="Q366" s="3"/>
      <c r="R366" s="3"/>
      <c r="S366" s="3"/>
      <c r="T366" s="3"/>
      <c r="U366" s="3"/>
      <c r="V366" s="516"/>
      <c r="W366" s="18"/>
      <c r="X366" s="3"/>
      <c r="Y366" s="3"/>
      <c r="Z366" s="3"/>
      <c r="AA366" s="3"/>
    </row>
    <row r="367" spans="1:27" ht="24.75" customHeight="1">
      <c r="A367" s="3"/>
      <c r="B367" s="3"/>
      <c r="C367" s="3"/>
      <c r="D367" s="3"/>
      <c r="E367" s="3"/>
      <c r="F367" s="3"/>
      <c r="G367" s="3"/>
      <c r="H367" s="3"/>
      <c r="I367" s="3"/>
      <c r="J367" s="3"/>
      <c r="K367" s="3"/>
      <c r="L367" s="3"/>
      <c r="M367" s="3"/>
      <c r="N367" s="3"/>
      <c r="O367" s="3"/>
      <c r="P367" s="3"/>
      <c r="Q367" s="3"/>
      <c r="R367" s="3"/>
      <c r="S367" s="3"/>
      <c r="T367" s="3"/>
      <c r="U367" s="3"/>
      <c r="V367" s="516"/>
      <c r="W367" s="18"/>
      <c r="X367" s="3"/>
      <c r="Y367" s="3"/>
      <c r="Z367" s="3"/>
      <c r="AA367" s="3"/>
    </row>
    <row r="368" spans="1:27" ht="24.75" customHeight="1">
      <c r="A368" s="3"/>
      <c r="B368" s="3"/>
      <c r="C368" s="3"/>
      <c r="D368" s="3"/>
      <c r="E368" s="3"/>
      <c r="F368" s="3"/>
      <c r="G368" s="3"/>
      <c r="H368" s="3"/>
      <c r="I368" s="3"/>
      <c r="J368" s="3"/>
      <c r="K368" s="3"/>
      <c r="L368" s="3"/>
      <c r="M368" s="3"/>
      <c r="N368" s="3"/>
      <c r="O368" s="3"/>
      <c r="P368" s="3"/>
      <c r="Q368" s="3"/>
      <c r="R368" s="3"/>
      <c r="S368" s="3"/>
      <c r="T368" s="3"/>
      <c r="U368" s="3"/>
      <c r="V368" s="516"/>
      <c r="W368" s="18"/>
      <c r="X368" s="3"/>
      <c r="Y368" s="3"/>
      <c r="Z368" s="3"/>
      <c r="AA368" s="3"/>
    </row>
    <row r="369" spans="1:27" ht="24.75" customHeight="1">
      <c r="A369" s="3"/>
      <c r="B369" s="3"/>
      <c r="C369" s="3"/>
      <c r="D369" s="3"/>
      <c r="E369" s="3"/>
      <c r="F369" s="3"/>
      <c r="G369" s="3"/>
      <c r="H369" s="3"/>
      <c r="I369" s="3"/>
      <c r="J369" s="3"/>
      <c r="K369" s="3"/>
      <c r="L369" s="3"/>
      <c r="M369" s="3"/>
      <c r="N369" s="3"/>
      <c r="O369" s="3"/>
      <c r="P369" s="3"/>
      <c r="Q369" s="3"/>
      <c r="R369" s="3"/>
      <c r="S369" s="3"/>
      <c r="T369" s="3"/>
      <c r="U369" s="3"/>
      <c r="V369" s="516"/>
      <c r="W369" s="18"/>
      <c r="X369" s="3"/>
      <c r="Y369" s="3"/>
      <c r="Z369" s="3"/>
      <c r="AA369" s="3"/>
    </row>
    <row r="370" spans="1:27" ht="24.75" customHeight="1">
      <c r="A370" s="3"/>
      <c r="B370" s="3"/>
      <c r="C370" s="3"/>
      <c r="D370" s="3"/>
      <c r="E370" s="3"/>
      <c r="F370" s="3"/>
      <c r="G370" s="3"/>
      <c r="H370" s="3"/>
      <c r="I370" s="3"/>
      <c r="J370" s="3"/>
      <c r="K370" s="3"/>
      <c r="L370" s="3"/>
      <c r="M370" s="3"/>
      <c r="N370" s="3"/>
      <c r="O370" s="3"/>
      <c r="P370" s="3"/>
      <c r="Q370" s="3"/>
      <c r="R370" s="3"/>
      <c r="S370" s="3"/>
      <c r="T370" s="3"/>
      <c r="U370" s="3"/>
      <c r="V370" s="516"/>
      <c r="W370" s="18"/>
      <c r="X370" s="3"/>
      <c r="Y370" s="3"/>
      <c r="Z370" s="3"/>
      <c r="AA370" s="3"/>
    </row>
    <row r="371" spans="1:27" ht="24.75" customHeight="1">
      <c r="A371" s="3"/>
      <c r="B371" s="3"/>
      <c r="C371" s="3"/>
      <c r="D371" s="3"/>
      <c r="E371" s="3"/>
      <c r="F371" s="3"/>
      <c r="G371" s="3"/>
      <c r="H371" s="3"/>
      <c r="I371" s="3"/>
      <c r="J371" s="3"/>
      <c r="K371" s="3"/>
      <c r="L371" s="3"/>
      <c r="M371" s="3"/>
      <c r="N371" s="3"/>
      <c r="O371" s="3"/>
      <c r="P371" s="3"/>
      <c r="Q371" s="3"/>
      <c r="R371" s="3"/>
      <c r="S371" s="3"/>
      <c r="T371" s="3"/>
      <c r="U371" s="3"/>
      <c r="V371" s="516"/>
      <c r="W371" s="18"/>
      <c r="X371" s="3"/>
      <c r="Y371" s="3"/>
      <c r="Z371" s="3"/>
      <c r="AA371" s="3"/>
    </row>
    <row r="372" spans="1:27" ht="24.75" customHeight="1">
      <c r="A372" s="3"/>
      <c r="B372" s="3"/>
      <c r="C372" s="3"/>
      <c r="D372" s="3"/>
      <c r="E372" s="3"/>
      <c r="F372" s="3"/>
      <c r="G372" s="3"/>
      <c r="H372" s="3"/>
      <c r="I372" s="3"/>
      <c r="J372" s="3"/>
      <c r="K372" s="3"/>
      <c r="L372" s="3"/>
      <c r="M372" s="3"/>
      <c r="N372" s="3"/>
      <c r="O372" s="3"/>
      <c r="P372" s="3"/>
      <c r="Q372" s="3"/>
      <c r="R372" s="3"/>
      <c r="S372" s="3"/>
      <c r="T372" s="3"/>
      <c r="U372" s="3"/>
      <c r="V372" s="516"/>
      <c r="W372" s="18"/>
      <c r="X372" s="3"/>
      <c r="Y372" s="3"/>
      <c r="Z372" s="3"/>
      <c r="AA372" s="3"/>
    </row>
    <row r="373" spans="1:27" ht="24.75" customHeight="1">
      <c r="A373" s="3"/>
      <c r="B373" s="3"/>
      <c r="C373" s="3"/>
      <c r="D373" s="3"/>
      <c r="E373" s="3"/>
      <c r="F373" s="3"/>
      <c r="G373" s="3"/>
      <c r="H373" s="3"/>
      <c r="I373" s="3"/>
      <c r="J373" s="3"/>
      <c r="K373" s="3"/>
      <c r="L373" s="3"/>
      <c r="M373" s="3"/>
      <c r="N373" s="3"/>
      <c r="O373" s="3"/>
      <c r="P373" s="3"/>
      <c r="Q373" s="3"/>
      <c r="R373" s="3"/>
      <c r="S373" s="3"/>
      <c r="T373" s="3"/>
      <c r="U373" s="3"/>
      <c r="V373" s="516"/>
      <c r="W373" s="18"/>
      <c r="X373" s="3"/>
      <c r="Y373" s="3"/>
      <c r="Z373" s="3"/>
      <c r="AA373" s="3"/>
    </row>
    <row r="374" spans="1:27" ht="24.75" customHeight="1">
      <c r="A374" s="3"/>
      <c r="B374" s="3"/>
      <c r="C374" s="3"/>
      <c r="D374" s="3"/>
      <c r="E374" s="3"/>
      <c r="F374" s="3"/>
      <c r="G374" s="3"/>
      <c r="H374" s="3"/>
      <c r="I374" s="3"/>
      <c r="J374" s="3"/>
      <c r="K374" s="3"/>
      <c r="L374" s="3"/>
      <c r="M374" s="3"/>
      <c r="N374" s="3"/>
      <c r="O374" s="3"/>
      <c r="P374" s="3"/>
      <c r="Q374" s="3"/>
      <c r="R374" s="3"/>
      <c r="S374" s="3"/>
      <c r="T374" s="3"/>
      <c r="U374" s="3"/>
      <c r="V374" s="516"/>
      <c r="W374" s="18"/>
      <c r="X374" s="3"/>
      <c r="Y374" s="3"/>
      <c r="Z374" s="3"/>
      <c r="AA374" s="3"/>
    </row>
    <row r="375" spans="1:27" ht="24.75" customHeight="1">
      <c r="A375" s="3"/>
      <c r="B375" s="3"/>
      <c r="C375" s="3"/>
      <c r="D375" s="3"/>
      <c r="E375" s="3"/>
      <c r="F375" s="3"/>
      <c r="G375" s="3"/>
      <c r="H375" s="3"/>
      <c r="I375" s="3"/>
      <c r="J375" s="3"/>
      <c r="K375" s="3"/>
      <c r="L375" s="3"/>
      <c r="M375" s="3"/>
      <c r="N375" s="3"/>
      <c r="O375" s="3"/>
      <c r="P375" s="3"/>
      <c r="Q375" s="3"/>
      <c r="R375" s="3"/>
      <c r="S375" s="3"/>
      <c r="T375" s="3"/>
      <c r="U375" s="3"/>
      <c r="V375" s="516"/>
      <c r="W375" s="18"/>
      <c r="X375" s="3"/>
      <c r="Y375" s="3"/>
      <c r="Z375" s="3"/>
      <c r="AA375" s="3"/>
    </row>
    <row r="376" spans="1:27" ht="24.75" customHeight="1">
      <c r="A376" s="3"/>
      <c r="B376" s="3"/>
      <c r="C376" s="3"/>
      <c r="D376" s="3"/>
      <c r="E376" s="3"/>
      <c r="F376" s="3"/>
      <c r="G376" s="3"/>
      <c r="H376" s="3"/>
      <c r="I376" s="3"/>
      <c r="J376" s="3"/>
      <c r="K376" s="3"/>
      <c r="L376" s="3"/>
      <c r="M376" s="3"/>
      <c r="N376" s="3"/>
      <c r="O376" s="3"/>
      <c r="P376" s="3"/>
      <c r="Q376" s="3"/>
      <c r="R376" s="3"/>
      <c r="S376" s="3"/>
      <c r="T376" s="3"/>
      <c r="U376" s="3"/>
      <c r="V376" s="516"/>
      <c r="W376" s="18"/>
      <c r="X376" s="3"/>
      <c r="Y376" s="3"/>
      <c r="Z376" s="3"/>
      <c r="AA376" s="3"/>
    </row>
    <row r="377" spans="1:27" ht="24.75" customHeight="1">
      <c r="A377" s="3"/>
      <c r="B377" s="3"/>
      <c r="C377" s="3"/>
      <c r="D377" s="3"/>
      <c r="E377" s="3"/>
      <c r="F377" s="3"/>
      <c r="G377" s="3"/>
      <c r="H377" s="3"/>
      <c r="I377" s="3"/>
      <c r="J377" s="3"/>
      <c r="K377" s="3"/>
      <c r="L377" s="3"/>
      <c r="M377" s="3"/>
      <c r="N377" s="3"/>
      <c r="O377" s="3"/>
      <c r="P377" s="3"/>
      <c r="Q377" s="3"/>
      <c r="R377" s="3"/>
      <c r="S377" s="3"/>
      <c r="T377" s="3"/>
      <c r="U377" s="3"/>
      <c r="V377" s="516"/>
      <c r="W377" s="18"/>
      <c r="X377" s="3"/>
      <c r="Y377" s="3"/>
      <c r="Z377" s="3"/>
      <c r="AA377" s="3"/>
    </row>
    <row r="378" spans="1:27" ht="24.75" customHeight="1">
      <c r="A378" s="3"/>
      <c r="B378" s="3"/>
      <c r="C378" s="3"/>
      <c r="D378" s="3"/>
      <c r="E378" s="3"/>
      <c r="F378" s="3"/>
      <c r="G378" s="3"/>
      <c r="H378" s="3"/>
      <c r="I378" s="3"/>
      <c r="J378" s="3"/>
      <c r="K378" s="3"/>
      <c r="L378" s="3"/>
      <c r="M378" s="3"/>
      <c r="N378" s="3"/>
      <c r="O378" s="3"/>
      <c r="P378" s="3"/>
      <c r="Q378" s="3"/>
      <c r="R378" s="3"/>
      <c r="S378" s="3"/>
      <c r="T378" s="3"/>
      <c r="U378" s="3"/>
      <c r="V378" s="516"/>
      <c r="W378" s="18"/>
      <c r="X378" s="3"/>
      <c r="Y378" s="3"/>
      <c r="Z378" s="3"/>
      <c r="AA378" s="3"/>
    </row>
    <row r="379" spans="1:27" ht="24.75" customHeight="1">
      <c r="A379" s="3"/>
      <c r="B379" s="3"/>
      <c r="C379" s="3"/>
      <c r="D379" s="3"/>
      <c r="E379" s="3"/>
      <c r="F379" s="3"/>
      <c r="G379" s="3"/>
      <c r="H379" s="3"/>
      <c r="I379" s="3"/>
      <c r="J379" s="3"/>
      <c r="K379" s="3"/>
      <c r="L379" s="3"/>
      <c r="M379" s="3"/>
      <c r="N379" s="3"/>
      <c r="O379" s="3"/>
      <c r="P379" s="3"/>
      <c r="Q379" s="3"/>
      <c r="R379" s="3"/>
      <c r="S379" s="3"/>
      <c r="T379" s="3"/>
      <c r="U379" s="3"/>
      <c r="V379" s="516"/>
      <c r="W379" s="18"/>
      <c r="X379" s="3"/>
      <c r="Y379" s="3"/>
      <c r="Z379" s="3"/>
      <c r="AA379" s="3"/>
    </row>
    <row r="380" spans="1:27" ht="24.75" customHeight="1">
      <c r="A380" s="3"/>
      <c r="B380" s="3"/>
      <c r="C380" s="3"/>
      <c r="D380" s="3"/>
      <c r="E380" s="3"/>
      <c r="F380" s="3"/>
      <c r="G380" s="3"/>
      <c r="H380" s="3"/>
      <c r="I380" s="3"/>
      <c r="J380" s="3"/>
      <c r="K380" s="3"/>
      <c r="L380" s="3"/>
      <c r="M380" s="3"/>
      <c r="N380" s="3"/>
      <c r="O380" s="3"/>
      <c r="P380" s="3"/>
      <c r="Q380" s="3"/>
      <c r="R380" s="3"/>
      <c r="S380" s="3"/>
      <c r="T380" s="3"/>
      <c r="U380" s="3"/>
      <c r="V380" s="516"/>
      <c r="W380" s="18"/>
      <c r="X380" s="3"/>
      <c r="Y380" s="3"/>
      <c r="Z380" s="3"/>
      <c r="AA380" s="3"/>
    </row>
    <row r="381" spans="1:27" ht="24.75" customHeight="1">
      <c r="A381" s="3"/>
      <c r="B381" s="3"/>
      <c r="C381" s="3"/>
      <c r="D381" s="3"/>
      <c r="E381" s="3"/>
      <c r="F381" s="3"/>
      <c r="G381" s="3"/>
      <c r="H381" s="3"/>
      <c r="I381" s="3"/>
      <c r="J381" s="3"/>
      <c r="K381" s="3"/>
      <c r="L381" s="3"/>
      <c r="M381" s="3"/>
      <c r="N381" s="3"/>
      <c r="O381" s="3"/>
      <c r="P381" s="3"/>
      <c r="Q381" s="3"/>
      <c r="R381" s="3"/>
      <c r="S381" s="3"/>
      <c r="T381" s="3"/>
      <c r="U381" s="3"/>
      <c r="V381" s="516"/>
      <c r="W381" s="18"/>
      <c r="X381" s="3"/>
      <c r="Y381" s="3"/>
      <c r="Z381" s="3"/>
      <c r="AA381" s="3"/>
    </row>
    <row r="382" spans="1:27" ht="24.75" customHeight="1">
      <c r="A382" s="3"/>
      <c r="B382" s="3"/>
      <c r="C382" s="3"/>
      <c r="D382" s="3"/>
      <c r="E382" s="3"/>
      <c r="F382" s="3"/>
      <c r="G382" s="3"/>
      <c r="H382" s="3"/>
      <c r="I382" s="3"/>
      <c r="J382" s="3"/>
      <c r="K382" s="3"/>
      <c r="L382" s="3"/>
      <c r="M382" s="3"/>
      <c r="N382" s="3"/>
      <c r="O382" s="3"/>
      <c r="P382" s="3"/>
      <c r="Q382" s="3"/>
      <c r="R382" s="3"/>
      <c r="S382" s="3"/>
      <c r="T382" s="3"/>
      <c r="U382" s="3"/>
      <c r="V382" s="516"/>
      <c r="W382" s="18"/>
      <c r="X382" s="3"/>
      <c r="Y382" s="3"/>
      <c r="Z382" s="3"/>
      <c r="AA382" s="3"/>
    </row>
    <row r="383" spans="1:27" ht="24.75" customHeight="1">
      <c r="A383" s="3"/>
      <c r="B383" s="3"/>
      <c r="C383" s="3"/>
      <c r="D383" s="3"/>
      <c r="E383" s="3"/>
      <c r="F383" s="3"/>
      <c r="G383" s="3"/>
      <c r="H383" s="3"/>
      <c r="I383" s="3"/>
      <c r="J383" s="3"/>
      <c r="K383" s="3"/>
      <c r="L383" s="3"/>
      <c r="M383" s="3"/>
      <c r="N383" s="3"/>
      <c r="O383" s="3"/>
      <c r="P383" s="3"/>
      <c r="Q383" s="3"/>
      <c r="R383" s="3"/>
      <c r="S383" s="3"/>
      <c r="T383" s="3"/>
      <c r="U383" s="3"/>
      <c r="V383" s="516"/>
      <c r="W383" s="18"/>
      <c r="X383" s="3"/>
      <c r="Y383" s="3"/>
      <c r="Z383" s="3"/>
      <c r="AA383" s="3"/>
    </row>
    <row r="384" spans="1:27" ht="24.75" customHeight="1">
      <c r="A384" s="3"/>
      <c r="B384" s="3"/>
      <c r="C384" s="3"/>
      <c r="D384" s="3"/>
      <c r="E384" s="3"/>
      <c r="F384" s="3"/>
      <c r="G384" s="3"/>
      <c r="H384" s="3"/>
      <c r="I384" s="3"/>
      <c r="J384" s="3"/>
      <c r="K384" s="3"/>
      <c r="L384" s="3"/>
      <c r="M384" s="3"/>
      <c r="N384" s="3"/>
      <c r="O384" s="3"/>
      <c r="P384" s="3"/>
      <c r="Q384" s="3"/>
      <c r="R384" s="3"/>
      <c r="S384" s="3"/>
      <c r="T384" s="3"/>
      <c r="U384" s="3"/>
      <c r="V384" s="516"/>
      <c r="W384" s="18"/>
      <c r="X384" s="3"/>
      <c r="Y384" s="3"/>
      <c r="Z384" s="3"/>
      <c r="AA384" s="3"/>
    </row>
    <row r="385" spans="1:27" ht="24.75" customHeight="1">
      <c r="A385" s="3"/>
      <c r="B385" s="3"/>
      <c r="C385" s="3"/>
      <c r="D385" s="3"/>
      <c r="E385" s="3"/>
      <c r="F385" s="3"/>
      <c r="G385" s="3"/>
      <c r="H385" s="3"/>
      <c r="I385" s="3"/>
      <c r="J385" s="3"/>
      <c r="K385" s="3"/>
      <c r="L385" s="3"/>
      <c r="M385" s="3"/>
      <c r="N385" s="3"/>
      <c r="O385" s="3"/>
      <c r="P385" s="3"/>
      <c r="Q385" s="3"/>
      <c r="R385" s="3"/>
      <c r="S385" s="3"/>
      <c r="T385" s="3"/>
      <c r="U385" s="3"/>
      <c r="V385" s="516"/>
      <c r="W385" s="18"/>
      <c r="X385" s="3"/>
      <c r="Y385" s="3"/>
      <c r="Z385" s="3"/>
      <c r="AA385" s="3"/>
    </row>
    <row r="386" spans="1:27" ht="24.75" customHeight="1">
      <c r="A386" s="3"/>
      <c r="B386" s="3"/>
      <c r="C386" s="3"/>
      <c r="D386" s="3"/>
      <c r="E386" s="3"/>
      <c r="F386" s="3"/>
      <c r="G386" s="3"/>
      <c r="H386" s="3"/>
      <c r="I386" s="3"/>
      <c r="J386" s="3"/>
      <c r="K386" s="3"/>
      <c r="L386" s="3"/>
      <c r="M386" s="3"/>
      <c r="N386" s="3"/>
      <c r="O386" s="3"/>
      <c r="P386" s="3"/>
      <c r="Q386" s="3"/>
      <c r="R386" s="3"/>
      <c r="S386" s="3"/>
      <c r="T386" s="3"/>
      <c r="U386" s="3"/>
      <c r="V386" s="516"/>
      <c r="W386" s="18"/>
      <c r="X386" s="3"/>
      <c r="Y386" s="3"/>
      <c r="Z386" s="3"/>
      <c r="AA386" s="3"/>
    </row>
    <row r="387" spans="1:27" ht="24.75" customHeight="1">
      <c r="A387" s="3"/>
      <c r="B387" s="3"/>
      <c r="C387" s="3"/>
      <c r="D387" s="3"/>
      <c r="E387" s="3"/>
      <c r="F387" s="3"/>
      <c r="G387" s="3"/>
      <c r="H387" s="3"/>
      <c r="I387" s="3"/>
      <c r="J387" s="3"/>
      <c r="K387" s="3"/>
      <c r="L387" s="3"/>
      <c r="M387" s="3"/>
      <c r="N387" s="3"/>
      <c r="O387" s="3"/>
      <c r="P387" s="3"/>
      <c r="Q387" s="3"/>
      <c r="R387" s="3"/>
      <c r="S387" s="3"/>
      <c r="T387" s="3"/>
      <c r="U387" s="3"/>
      <c r="V387" s="516"/>
      <c r="W387" s="18"/>
      <c r="X387" s="3"/>
      <c r="Y387" s="3"/>
      <c r="Z387" s="3"/>
      <c r="AA387" s="3"/>
    </row>
    <row r="388" spans="1:27" ht="24.75" customHeight="1">
      <c r="A388" s="3"/>
      <c r="B388" s="3"/>
      <c r="C388" s="3"/>
      <c r="D388" s="3"/>
      <c r="E388" s="3"/>
      <c r="F388" s="3"/>
      <c r="G388" s="3"/>
      <c r="H388" s="3"/>
      <c r="I388" s="3"/>
      <c r="J388" s="3"/>
      <c r="K388" s="3"/>
      <c r="L388" s="3"/>
      <c r="M388" s="3"/>
      <c r="N388" s="3"/>
      <c r="O388" s="3"/>
      <c r="P388" s="3"/>
      <c r="Q388" s="3"/>
      <c r="R388" s="3"/>
      <c r="S388" s="3"/>
      <c r="T388" s="3"/>
      <c r="U388" s="3"/>
      <c r="V388" s="516"/>
      <c r="W388" s="18"/>
      <c r="X388" s="3"/>
      <c r="Y388" s="3"/>
      <c r="Z388" s="3"/>
      <c r="AA388" s="3"/>
    </row>
    <row r="389" spans="1:27" ht="24.75" customHeight="1">
      <c r="A389" s="3"/>
      <c r="B389" s="3"/>
      <c r="C389" s="3"/>
      <c r="D389" s="3"/>
      <c r="E389" s="3"/>
      <c r="F389" s="3"/>
      <c r="G389" s="3"/>
      <c r="H389" s="3"/>
      <c r="I389" s="3"/>
      <c r="J389" s="3"/>
      <c r="K389" s="3"/>
      <c r="L389" s="3"/>
      <c r="M389" s="3"/>
      <c r="N389" s="3"/>
      <c r="O389" s="3"/>
      <c r="P389" s="3"/>
      <c r="Q389" s="3"/>
      <c r="R389" s="3"/>
      <c r="S389" s="3"/>
      <c r="T389" s="3"/>
      <c r="U389" s="3"/>
      <c r="V389" s="516"/>
      <c r="W389" s="18"/>
      <c r="X389" s="3"/>
      <c r="Y389" s="3"/>
      <c r="Z389" s="3"/>
      <c r="AA389" s="3"/>
    </row>
    <row r="390" spans="1:27" ht="24.75" customHeight="1">
      <c r="A390" s="3"/>
      <c r="B390" s="3"/>
      <c r="C390" s="3"/>
      <c r="D390" s="3"/>
      <c r="E390" s="3"/>
      <c r="F390" s="3"/>
      <c r="G390" s="3"/>
      <c r="H390" s="3"/>
      <c r="I390" s="3"/>
      <c r="J390" s="3"/>
      <c r="K390" s="3"/>
      <c r="L390" s="3"/>
      <c r="M390" s="3"/>
      <c r="N390" s="3"/>
      <c r="O390" s="3"/>
      <c r="P390" s="3"/>
      <c r="Q390" s="3"/>
      <c r="R390" s="3"/>
      <c r="S390" s="3"/>
      <c r="T390" s="3"/>
      <c r="U390" s="3"/>
      <c r="V390" s="516"/>
      <c r="W390" s="18"/>
      <c r="X390" s="3"/>
      <c r="Y390" s="3"/>
      <c r="Z390" s="3"/>
      <c r="AA390" s="3"/>
    </row>
    <row r="391" spans="1:27" ht="24.75" customHeight="1">
      <c r="A391" s="3"/>
      <c r="B391" s="3"/>
      <c r="C391" s="3"/>
      <c r="D391" s="3"/>
      <c r="E391" s="3"/>
      <c r="F391" s="3"/>
      <c r="G391" s="3"/>
      <c r="H391" s="3"/>
      <c r="I391" s="3"/>
      <c r="J391" s="3"/>
      <c r="K391" s="3"/>
      <c r="L391" s="3"/>
      <c r="M391" s="3"/>
      <c r="N391" s="3"/>
      <c r="O391" s="3"/>
      <c r="P391" s="3"/>
      <c r="Q391" s="3"/>
      <c r="R391" s="3"/>
      <c r="S391" s="3"/>
      <c r="T391" s="3"/>
      <c r="U391" s="3"/>
      <c r="V391" s="516"/>
      <c r="W391" s="18"/>
      <c r="X391" s="3"/>
      <c r="Y391" s="3"/>
      <c r="Z391" s="3"/>
      <c r="AA391" s="3"/>
    </row>
    <row r="392" spans="1:27" ht="24.75" customHeight="1">
      <c r="A392" s="3"/>
      <c r="B392" s="3"/>
      <c r="C392" s="3"/>
      <c r="D392" s="3"/>
      <c r="E392" s="3"/>
      <c r="F392" s="3"/>
      <c r="G392" s="3"/>
      <c r="H392" s="3"/>
      <c r="I392" s="3"/>
      <c r="J392" s="3"/>
      <c r="K392" s="3"/>
      <c r="L392" s="3"/>
      <c r="M392" s="3"/>
      <c r="N392" s="3"/>
      <c r="O392" s="3"/>
      <c r="P392" s="3"/>
      <c r="Q392" s="3"/>
      <c r="R392" s="3"/>
      <c r="S392" s="3"/>
      <c r="T392" s="3"/>
      <c r="U392" s="3"/>
      <c r="V392" s="516"/>
      <c r="W392" s="18"/>
      <c r="X392" s="3"/>
      <c r="Y392" s="3"/>
      <c r="Z392" s="3"/>
      <c r="AA392" s="3"/>
    </row>
    <row r="393" spans="1:27" ht="24.75" customHeight="1">
      <c r="A393" s="3"/>
      <c r="B393" s="3"/>
      <c r="C393" s="3"/>
      <c r="D393" s="3"/>
      <c r="E393" s="3"/>
      <c r="F393" s="3"/>
      <c r="G393" s="3"/>
      <c r="H393" s="3"/>
      <c r="I393" s="3"/>
      <c r="J393" s="3"/>
      <c r="K393" s="3"/>
      <c r="L393" s="3"/>
      <c r="M393" s="3"/>
      <c r="N393" s="3"/>
      <c r="O393" s="3"/>
      <c r="P393" s="3"/>
      <c r="Q393" s="3"/>
      <c r="R393" s="3"/>
      <c r="S393" s="3"/>
      <c r="T393" s="3"/>
      <c r="U393" s="3"/>
      <c r="V393" s="516"/>
      <c r="W393" s="18"/>
      <c r="X393" s="3"/>
      <c r="Y393" s="3"/>
      <c r="Z393" s="3"/>
      <c r="AA393" s="3"/>
    </row>
    <row r="394" spans="1:27" ht="24.75" customHeight="1">
      <c r="A394" s="3"/>
      <c r="B394" s="3"/>
      <c r="C394" s="3"/>
      <c r="D394" s="3"/>
      <c r="E394" s="3"/>
      <c r="F394" s="3"/>
      <c r="G394" s="3"/>
      <c r="H394" s="3"/>
      <c r="I394" s="3"/>
      <c r="J394" s="3"/>
      <c r="K394" s="3"/>
      <c r="L394" s="3"/>
      <c r="M394" s="3"/>
      <c r="N394" s="3"/>
      <c r="O394" s="3"/>
      <c r="P394" s="3"/>
      <c r="Q394" s="3"/>
      <c r="R394" s="3"/>
      <c r="S394" s="3"/>
      <c r="T394" s="3"/>
      <c r="U394" s="3"/>
      <c r="V394" s="516"/>
      <c r="W394" s="18"/>
      <c r="X394" s="3"/>
      <c r="Y394" s="3"/>
      <c r="Z394" s="3"/>
      <c r="AA394" s="3"/>
    </row>
    <row r="395" spans="1:27" ht="24.75" customHeight="1">
      <c r="A395" s="3"/>
      <c r="B395" s="3"/>
      <c r="C395" s="3"/>
      <c r="D395" s="3"/>
      <c r="E395" s="3"/>
      <c r="F395" s="3"/>
      <c r="G395" s="3"/>
      <c r="H395" s="3"/>
      <c r="I395" s="3"/>
      <c r="J395" s="3"/>
      <c r="K395" s="3"/>
      <c r="L395" s="3"/>
      <c r="M395" s="3"/>
      <c r="N395" s="3"/>
      <c r="O395" s="3"/>
      <c r="P395" s="3"/>
      <c r="Q395" s="3"/>
      <c r="R395" s="3"/>
      <c r="S395" s="3"/>
      <c r="T395" s="3"/>
      <c r="U395" s="3"/>
      <c r="V395" s="516"/>
      <c r="W395" s="18"/>
      <c r="X395" s="3"/>
      <c r="Y395" s="3"/>
      <c r="Z395" s="3"/>
      <c r="AA395" s="3"/>
    </row>
    <row r="396" spans="1:27" ht="24.75" customHeight="1">
      <c r="A396" s="3"/>
      <c r="B396" s="3"/>
      <c r="C396" s="3"/>
      <c r="D396" s="3"/>
      <c r="E396" s="3"/>
      <c r="F396" s="3"/>
      <c r="G396" s="3"/>
      <c r="H396" s="3"/>
      <c r="I396" s="3"/>
      <c r="J396" s="3"/>
      <c r="K396" s="3"/>
      <c r="L396" s="3"/>
      <c r="M396" s="3"/>
      <c r="N396" s="3"/>
      <c r="O396" s="3"/>
      <c r="P396" s="3"/>
      <c r="Q396" s="3"/>
      <c r="R396" s="3"/>
      <c r="S396" s="3"/>
      <c r="T396" s="3"/>
      <c r="U396" s="3"/>
      <c r="V396" s="516"/>
      <c r="W396" s="18"/>
      <c r="X396" s="3"/>
      <c r="Y396" s="3"/>
      <c r="Z396" s="3"/>
      <c r="AA396" s="3"/>
    </row>
    <row r="397" spans="1:27" ht="24.75" customHeight="1">
      <c r="A397" s="3"/>
      <c r="B397" s="3"/>
      <c r="C397" s="3"/>
      <c r="D397" s="3"/>
      <c r="E397" s="3"/>
      <c r="F397" s="3"/>
      <c r="G397" s="3"/>
      <c r="H397" s="3"/>
      <c r="I397" s="3"/>
      <c r="J397" s="3"/>
      <c r="K397" s="3"/>
      <c r="L397" s="3"/>
      <c r="M397" s="3"/>
      <c r="N397" s="3"/>
      <c r="O397" s="3"/>
      <c r="P397" s="3"/>
      <c r="Q397" s="3"/>
      <c r="R397" s="3"/>
      <c r="S397" s="3"/>
      <c r="T397" s="3"/>
      <c r="U397" s="3"/>
      <c r="V397" s="516"/>
      <c r="W397" s="18"/>
      <c r="X397" s="3"/>
      <c r="Y397" s="3"/>
      <c r="Z397" s="3"/>
      <c r="AA397" s="3"/>
    </row>
    <row r="398" spans="1:27" ht="24.75" customHeight="1">
      <c r="A398" s="3"/>
      <c r="B398" s="3"/>
      <c r="C398" s="3"/>
      <c r="D398" s="3"/>
      <c r="E398" s="3"/>
      <c r="F398" s="3"/>
      <c r="G398" s="3"/>
      <c r="H398" s="3"/>
      <c r="I398" s="3"/>
      <c r="J398" s="3"/>
      <c r="K398" s="3"/>
      <c r="L398" s="3"/>
      <c r="M398" s="3"/>
      <c r="N398" s="3"/>
      <c r="O398" s="3"/>
      <c r="P398" s="3"/>
      <c r="Q398" s="3"/>
      <c r="R398" s="3"/>
      <c r="S398" s="3"/>
      <c r="T398" s="3"/>
      <c r="U398" s="3"/>
      <c r="V398" s="516"/>
      <c r="W398" s="18"/>
      <c r="X398" s="3"/>
      <c r="Y398" s="3"/>
      <c r="Z398" s="3"/>
      <c r="AA398" s="3"/>
    </row>
    <row r="399" spans="1:27" ht="24.75" customHeight="1">
      <c r="A399" s="3"/>
      <c r="B399" s="3"/>
      <c r="C399" s="3"/>
      <c r="D399" s="3"/>
      <c r="E399" s="3"/>
      <c r="F399" s="3"/>
      <c r="G399" s="3"/>
      <c r="H399" s="3"/>
      <c r="I399" s="3"/>
      <c r="J399" s="3"/>
      <c r="K399" s="3"/>
      <c r="L399" s="3"/>
      <c r="M399" s="3"/>
      <c r="N399" s="3"/>
      <c r="O399" s="3"/>
      <c r="P399" s="3"/>
      <c r="Q399" s="3"/>
      <c r="R399" s="3"/>
      <c r="S399" s="3"/>
      <c r="T399" s="3"/>
      <c r="U399" s="3"/>
      <c r="V399" s="516"/>
      <c r="W399" s="18"/>
      <c r="X399" s="3"/>
      <c r="Y399" s="3"/>
      <c r="Z399" s="3"/>
      <c r="AA399" s="3"/>
    </row>
    <row r="400" spans="1:27" ht="24.75" customHeight="1">
      <c r="A400" s="3"/>
      <c r="B400" s="3"/>
      <c r="C400" s="3"/>
      <c r="D400" s="3"/>
      <c r="E400" s="3"/>
      <c r="F400" s="3"/>
      <c r="G400" s="3"/>
      <c r="H400" s="3"/>
      <c r="I400" s="3"/>
      <c r="J400" s="3"/>
      <c r="K400" s="3"/>
      <c r="L400" s="3"/>
      <c r="M400" s="3"/>
      <c r="N400" s="3"/>
      <c r="O400" s="3"/>
      <c r="P400" s="3"/>
      <c r="Q400" s="3"/>
      <c r="R400" s="3"/>
      <c r="S400" s="3"/>
      <c r="T400" s="3"/>
      <c r="U400" s="3"/>
      <c r="V400" s="516"/>
      <c r="W400" s="18"/>
      <c r="X400" s="3"/>
      <c r="Y400" s="3"/>
      <c r="Z400" s="3"/>
      <c r="AA400" s="3"/>
    </row>
    <row r="401" spans="1:27" ht="24.75" customHeight="1">
      <c r="A401" s="3"/>
      <c r="B401" s="3"/>
      <c r="C401" s="3"/>
      <c r="D401" s="3"/>
      <c r="E401" s="3"/>
      <c r="F401" s="3"/>
      <c r="G401" s="3"/>
      <c r="H401" s="3"/>
      <c r="I401" s="3"/>
      <c r="J401" s="3"/>
      <c r="K401" s="3"/>
      <c r="L401" s="3"/>
      <c r="M401" s="3"/>
      <c r="N401" s="3"/>
      <c r="O401" s="3"/>
      <c r="P401" s="3"/>
      <c r="Q401" s="3"/>
      <c r="R401" s="3"/>
      <c r="S401" s="3"/>
      <c r="T401" s="3"/>
      <c r="U401" s="3"/>
      <c r="V401" s="516"/>
      <c r="W401" s="18"/>
      <c r="X401" s="3"/>
      <c r="Y401" s="3"/>
      <c r="Z401" s="3"/>
      <c r="AA401" s="3"/>
    </row>
    <row r="402" spans="1:27" ht="24.75" customHeight="1">
      <c r="A402" s="3"/>
      <c r="B402" s="3"/>
      <c r="C402" s="3"/>
      <c r="D402" s="3"/>
      <c r="E402" s="3"/>
      <c r="F402" s="3"/>
      <c r="G402" s="3"/>
      <c r="H402" s="3"/>
      <c r="I402" s="3"/>
      <c r="J402" s="3"/>
      <c r="K402" s="3"/>
      <c r="L402" s="3"/>
      <c r="M402" s="3"/>
      <c r="N402" s="3"/>
      <c r="O402" s="3"/>
      <c r="P402" s="3"/>
      <c r="Q402" s="3"/>
      <c r="R402" s="3"/>
      <c r="S402" s="3"/>
      <c r="T402" s="3"/>
      <c r="U402" s="3"/>
      <c r="V402" s="516"/>
      <c r="W402" s="18"/>
      <c r="X402" s="3"/>
      <c r="Y402" s="3"/>
      <c r="Z402" s="3"/>
      <c r="AA402" s="3"/>
    </row>
    <row r="403" spans="1:27" ht="24.75" customHeight="1">
      <c r="A403" s="3"/>
      <c r="B403" s="3"/>
      <c r="C403" s="3"/>
      <c r="D403" s="3"/>
      <c r="E403" s="3"/>
      <c r="F403" s="3"/>
      <c r="G403" s="3"/>
      <c r="H403" s="3"/>
      <c r="I403" s="3"/>
      <c r="J403" s="3"/>
      <c r="K403" s="3"/>
      <c r="L403" s="3"/>
      <c r="M403" s="3"/>
      <c r="N403" s="3"/>
      <c r="O403" s="3"/>
      <c r="P403" s="3"/>
      <c r="Q403" s="3"/>
      <c r="R403" s="3"/>
      <c r="S403" s="3"/>
      <c r="T403" s="3"/>
      <c r="U403" s="3"/>
      <c r="V403" s="516"/>
      <c r="W403" s="18"/>
      <c r="X403" s="3"/>
      <c r="Y403" s="3"/>
      <c r="Z403" s="3"/>
      <c r="AA403" s="3"/>
    </row>
    <row r="404" spans="1:27" ht="24.75" customHeight="1">
      <c r="A404" s="3"/>
      <c r="B404" s="3"/>
      <c r="C404" s="3"/>
      <c r="D404" s="3"/>
      <c r="E404" s="3"/>
      <c r="F404" s="3"/>
      <c r="G404" s="3"/>
      <c r="H404" s="3"/>
      <c r="I404" s="3"/>
      <c r="J404" s="3"/>
      <c r="K404" s="3"/>
      <c r="L404" s="3"/>
      <c r="M404" s="3"/>
      <c r="N404" s="3"/>
      <c r="O404" s="3"/>
      <c r="P404" s="3"/>
      <c r="Q404" s="3"/>
      <c r="R404" s="3"/>
      <c r="S404" s="3"/>
      <c r="T404" s="3"/>
      <c r="U404" s="3"/>
      <c r="V404" s="516"/>
      <c r="W404" s="18"/>
      <c r="X404" s="3"/>
      <c r="Y404" s="3"/>
      <c r="Z404" s="3"/>
      <c r="AA404" s="3"/>
    </row>
    <row r="405" spans="1:27" ht="24.75" customHeight="1">
      <c r="A405" s="3"/>
      <c r="B405" s="3"/>
      <c r="C405" s="3"/>
      <c r="D405" s="3"/>
      <c r="E405" s="3"/>
      <c r="F405" s="3"/>
      <c r="G405" s="3"/>
      <c r="H405" s="3"/>
      <c r="I405" s="3"/>
      <c r="J405" s="3"/>
      <c r="K405" s="3"/>
      <c r="L405" s="3"/>
      <c r="M405" s="3"/>
      <c r="N405" s="3"/>
      <c r="O405" s="3"/>
      <c r="P405" s="3"/>
      <c r="Q405" s="3"/>
      <c r="R405" s="3"/>
      <c r="S405" s="3"/>
      <c r="T405" s="3"/>
      <c r="U405" s="3"/>
      <c r="V405" s="516"/>
      <c r="W405" s="18"/>
      <c r="X405" s="3"/>
      <c r="Y405" s="3"/>
      <c r="Z405" s="3"/>
      <c r="AA405" s="3"/>
    </row>
    <row r="406" spans="1:27" ht="24.75" customHeight="1">
      <c r="A406" s="3"/>
      <c r="B406" s="3"/>
      <c r="C406" s="3"/>
      <c r="D406" s="3"/>
      <c r="E406" s="3"/>
      <c r="F406" s="3"/>
      <c r="G406" s="3"/>
      <c r="H406" s="3"/>
      <c r="I406" s="3"/>
      <c r="J406" s="3"/>
      <c r="K406" s="3"/>
      <c r="L406" s="3"/>
      <c r="M406" s="3"/>
      <c r="N406" s="3"/>
      <c r="O406" s="3"/>
      <c r="P406" s="3"/>
      <c r="Q406" s="3"/>
      <c r="R406" s="3"/>
      <c r="S406" s="3"/>
      <c r="T406" s="3"/>
      <c r="U406" s="3"/>
      <c r="V406" s="516"/>
      <c r="W406" s="18"/>
      <c r="X406" s="3"/>
      <c r="Y406" s="3"/>
      <c r="Z406" s="3"/>
      <c r="AA406" s="3"/>
    </row>
    <row r="407" spans="1:27" ht="24.75" customHeight="1">
      <c r="A407" s="3"/>
      <c r="B407" s="3"/>
      <c r="C407" s="3"/>
      <c r="D407" s="3"/>
      <c r="E407" s="3"/>
      <c r="F407" s="3"/>
      <c r="G407" s="3"/>
      <c r="H407" s="3"/>
      <c r="I407" s="3"/>
      <c r="J407" s="3"/>
      <c r="K407" s="3"/>
      <c r="L407" s="3"/>
      <c r="M407" s="3"/>
      <c r="N407" s="3"/>
      <c r="O407" s="3"/>
      <c r="P407" s="3"/>
      <c r="Q407" s="3"/>
      <c r="R407" s="3"/>
      <c r="S407" s="3"/>
      <c r="T407" s="3"/>
      <c r="U407" s="3"/>
      <c r="V407" s="516"/>
      <c r="W407" s="18"/>
      <c r="X407" s="3"/>
      <c r="Y407" s="3"/>
      <c r="Z407" s="3"/>
      <c r="AA407" s="3"/>
    </row>
    <row r="408" spans="1:27" ht="24.75" customHeight="1">
      <c r="A408" s="3"/>
      <c r="B408" s="3"/>
      <c r="C408" s="3"/>
      <c r="D408" s="3"/>
      <c r="E408" s="3"/>
      <c r="F408" s="3"/>
      <c r="G408" s="3"/>
      <c r="H408" s="3"/>
      <c r="I408" s="3"/>
      <c r="J408" s="3"/>
      <c r="K408" s="3"/>
      <c r="L408" s="3"/>
      <c r="M408" s="3"/>
      <c r="N408" s="3"/>
      <c r="O408" s="3"/>
      <c r="P408" s="3"/>
      <c r="Q408" s="3"/>
      <c r="R408" s="3"/>
      <c r="S408" s="3"/>
      <c r="T408" s="3"/>
      <c r="U408" s="3"/>
      <c r="V408" s="516"/>
      <c r="W408" s="18"/>
      <c r="X408" s="3"/>
      <c r="Y408" s="3"/>
      <c r="Z408" s="3"/>
      <c r="AA408" s="3"/>
    </row>
    <row r="409" spans="1:27" ht="24.75" customHeight="1">
      <c r="A409" s="3"/>
      <c r="B409" s="3"/>
      <c r="C409" s="3"/>
      <c r="D409" s="3"/>
      <c r="E409" s="3"/>
      <c r="F409" s="3"/>
      <c r="G409" s="3"/>
      <c r="H409" s="3"/>
      <c r="I409" s="3"/>
      <c r="J409" s="3"/>
      <c r="K409" s="3"/>
      <c r="L409" s="3"/>
      <c r="M409" s="3"/>
      <c r="N409" s="3"/>
      <c r="O409" s="3"/>
      <c r="P409" s="3"/>
      <c r="Q409" s="3"/>
      <c r="R409" s="3"/>
      <c r="S409" s="3"/>
      <c r="T409" s="3"/>
      <c r="U409" s="3"/>
      <c r="V409" s="516"/>
      <c r="W409" s="18"/>
      <c r="X409" s="3"/>
      <c r="Y409" s="3"/>
      <c r="Z409" s="3"/>
      <c r="AA409" s="3"/>
    </row>
    <row r="410" spans="1:27" ht="24.75" customHeight="1">
      <c r="A410" s="3"/>
      <c r="B410" s="3"/>
      <c r="C410" s="3"/>
      <c r="D410" s="3"/>
      <c r="E410" s="3"/>
      <c r="F410" s="3"/>
      <c r="G410" s="3"/>
      <c r="H410" s="3"/>
      <c r="I410" s="3"/>
      <c r="J410" s="3"/>
      <c r="K410" s="3"/>
      <c r="L410" s="3"/>
      <c r="M410" s="3"/>
      <c r="N410" s="3"/>
      <c r="O410" s="3"/>
      <c r="P410" s="3"/>
      <c r="Q410" s="3"/>
      <c r="R410" s="3"/>
      <c r="S410" s="3"/>
      <c r="T410" s="3"/>
      <c r="U410" s="3"/>
      <c r="V410" s="516"/>
      <c r="W410" s="18"/>
      <c r="X410" s="3"/>
      <c r="Y410" s="3"/>
      <c r="Z410" s="3"/>
      <c r="AA410" s="3"/>
    </row>
    <row r="411" spans="1:27" ht="24.75" customHeight="1">
      <c r="A411" s="3"/>
      <c r="B411" s="3"/>
      <c r="C411" s="3"/>
      <c r="D411" s="3"/>
      <c r="E411" s="3"/>
      <c r="F411" s="3"/>
      <c r="G411" s="3"/>
      <c r="H411" s="3"/>
      <c r="I411" s="3"/>
      <c r="J411" s="3"/>
      <c r="K411" s="3"/>
      <c r="L411" s="3"/>
      <c r="M411" s="3"/>
      <c r="N411" s="3"/>
      <c r="O411" s="3"/>
      <c r="P411" s="3"/>
      <c r="Q411" s="3"/>
      <c r="R411" s="3"/>
      <c r="S411" s="3"/>
      <c r="T411" s="3"/>
      <c r="U411" s="3"/>
      <c r="V411" s="516"/>
      <c r="W411" s="18"/>
      <c r="X411" s="3"/>
      <c r="Y411" s="3"/>
      <c r="Z411" s="3"/>
      <c r="AA411" s="3"/>
    </row>
    <row r="412" spans="1:27" ht="15.75" customHeight="1">
      <c r="A412" s="12"/>
      <c r="B412" s="12"/>
      <c r="C412" s="12"/>
      <c r="D412" s="12"/>
      <c r="E412" s="12"/>
      <c r="F412" s="12"/>
      <c r="G412" s="12"/>
      <c r="H412" s="12"/>
      <c r="I412" s="12"/>
      <c r="J412" s="12"/>
      <c r="K412" s="12"/>
      <c r="L412" s="12"/>
      <c r="M412" s="12"/>
      <c r="N412" s="12"/>
      <c r="O412" s="12"/>
      <c r="P412" s="12"/>
      <c r="Q412" s="12"/>
      <c r="R412" s="12"/>
      <c r="S412" s="12"/>
      <c r="T412" s="12"/>
      <c r="U412" s="12"/>
      <c r="W412" s="67"/>
      <c r="X412" s="12"/>
      <c r="Y412" s="12"/>
      <c r="Z412" s="12"/>
      <c r="AA412" s="12"/>
    </row>
    <row r="413" spans="1:27" ht="15.75" customHeight="1">
      <c r="A413" s="12"/>
      <c r="B413" s="12"/>
      <c r="C413" s="12"/>
      <c r="D413" s="12"/>
      <c r="E413" s="12"/>
      <c r="F413" s="12"/>
      <c r="G413" s="12"/>
      <c r="H413" s="12"/>
      <c r="I413" s="12"/>
      <c r="J413" s="12"/>
      <c r="K413" s="12"/>
      <c r="L413" s="12"/>
      <c r="M413" s="12"/>
      <c r="N413" s="12"/>
      <c r="O413" s="12"/>
      <c r="P413" s="12"/>
      <c r="Q413" s="12"/>
      <c r="R413" s="12"/>
      <c r="S413" s="12"/>
      <c r="T413" s="12"/>
      <c r="U413" s="12"/>
      <c r="W413" s="67"/>
      <c r="X413" s="12"/>
      <c r="Y413" s="12"/>
      <c r="Z413" s="12"/>
      <c r="AA413" s="12"/>
    </row>
    <row r="414" spans="1:27" ht="15.75" customHeight="1">
      <c r="A414" s="12"/>
      <c r="B414" s="12"/>
      <c r="C414" s="12"/>
      <c r="D414" s="12"/>
      <c r="E414" s="12"/>
      <c r="F414" s="12"/>
      <c r="G414" s="12"/>
      <c r="H414" s="12"/>
      <c r="I414" s="12"/>
      <c r="J414" s="12"/>
      <c r="K414" s="12"/>
      <c r="L414" s="12"/>
      <c r="M414" s="12"/>
      <c r="N414" s="12"/>
      <c r="O414" s="12"/>
      <c r="P414" s="12"/>
      <c r="Q414" s="12"/>
      <c r="R414" s="12"/>
      <c r="S414" s="12"/>
      <c r="T414" s="12"/>
      <c r="U414" s="12"/>
      <c r="W414" s="67"/>
      <c r="X414" s="12"/>
      <c r="Y414" s="12"/>
      <c r="Z414" s="12"/>
      <c r="AA414" s="12"/>
    </row>
    <row r="415" spans="1:27" ht="15.75" customHeight="1">
      <c r="A415" s="12"/>
      <c r="B415" s="12"/>
      <c r="C415" s="12"/>
      <c r="D415" s="12"/>
      <c r="E415" s="12"/>
      <c r="F415" s="12"/>
      <c r="G415" s="12"/>
      <c r="H415" s="12"/>
      <c r="I415" s="12"/>
      <c r="J415" s="12"/>
      <c r="K415" s="12"/>
      <c r="L415" s="12"/>
      <c r="M415" s="12"/>
      <c r="N415" s="12"/>
      <c r="O415" s="12"/>
      <c r="P415" s="12"/>
      <c r="Q415" s="12"/>
      <c r="R415" s="12"/>
      <c r="S415" s="12"/>
      <c r="T415" s="12"/>
      <c r="U415" s="12"/>
      <c r="W415" s="67"/>
      <c r="X415" s="12"/>
      <c r="Y415" s="12"/>
      <c r="Z415" s="12"/>
      <c r="AA415" s="12"/>
    </row>
    <row r="416" spans="1:27" ht="15.75" customHeight="1">
      <c r="A416" s="12"/>
      <c r="B416" s="12"/>
      <c r="C416" s="12"/>
      <c r="D416" s="12"/>
      <c r="E416" s="12"/>
      <c r="F416" s="12"/>
      <c r="G416" s="12"/>
      <c r="H416" s="12"/>
      <c r="I416" s="12"/>
      <c r="J416" s="12"/>
      <c r="K416" s="12"/>
      <c r="L416" s="12"/>
      <c r="M416" s="12"/>
      <c r="N416" s="12"/>
      <c r="O416" s="12"/>
      <c r="P416" s="12"/>
      <c r="Q416" s="12"/>
      <c r="R416" s="12"/>
      <c r="S416" s="12"/>
      <c r="T416" s="12"/>
      <c r="U416" s="12"/>
      <c r="W416" s="67"/>
      <c r="X416" s="12"/>
      <c r="Y416" s="12"/>
      <c r="Z416" s="12"/>
      <c r="AA416" s="12"/>
    </row>
    <row r="417" spans="1:27" ht="15.75" customHeight="1">
      <c r="A417" s="12"/>
      <c r="B417" s="12"/>
      <c r="C417" s="12"/>
      <c r="D417" s="12"/>
      <c r="E417" s="12"/>
      <c r="F417" s="12"/>
      <c r="G417" s="12"/>
      <c r="H417" s="12"/>
      <c r="I417" s="12"/>
      <c r="J417" s="12"/>
      <c r="K417" s="12"/>
      <c r="L417" s="12"/>
      <c r="M417" s="12"/>
      <c r="N417" s="12"/>
      <c r="O417" s="12"/>
      <c r="P417" s="12"/>
      <c r="Q417" s="12"/>
      <c r="R417" s="12"/>
      <c r="S417" s="12"/>
      <c r="T417" s="12"/>
      <c r="U417" s="12"/>
      <c r="W417" s="67"/>
      <c r="X417" s="12"/>
      <c r="Y417" s="12"/>
      <c r="Z417" s="12"/>
      <c r="AA417" s="12"/>
    </row>
    <row r="418" spans="1:27" ht="15.75" customHeight="1">
      <c r="A418" s="12"/>
      <c r="B418" s="12"/>
      <c r="C418" s="12"/>
      <c r="D418" s="12"/>
      <c r="E418" s="12"/>
      <c r="F418" s="12"/>
      <c r="G418" s="12"/>
      <c r="H418" s="12"/>
      <c r="I418" s="12"/>
      <c r="J418" s="12"/>
      <c r="K418" s="12"/>
      <c r="L418" s="12"/>
      <c r="M418" s="12"/>
      <c r="N418" s="12"/>
      <c r="O418" s="12"/>
      <c r="P418" s="12"/>
      <c r="Q418" s="12"/>
      <c r="R418" s="12"/>
      <c r="S418" s="12"/>
      <c r="T418" s="12"/>
      <c r="U418" s="12"/>
      <c r="W418" s="67"/>
      <c r="X418" s="12"/>
      <c r="Y418" s="12"/>
      <c r="Z418" s="12"/>
      <c r="AA418" s="12"/>
    </row>
    <row r="419" spans="1:27" ht="15.75" customHeight="1">
      <c r="A419" s="12"/>
      <c r="B419" s="12"/>
      <c r="C419" s="12"/>
      <c r="D419" s="12"/>
      <c r="E419" s="12"/>
      <c r="F419" s="12"/>
      <c r="G419" s="12"/>
      <c r="H419" s="12"/>
      <c r="I419" s="12"/>
      <c r="J419" s="12"/>
      <c r="K419" s="12"/>
      <c r="L419" s="12"/>
      <c r="M419" s="12"/>
      <c r="N419" s="12"/>
      <c r="O419" s="12"/>
      <c r="P419" s="12"/>
      <c r="Q419" s="12"/>
      <c r="R419" s="12"/>
      <c r="S419" s="12"/>
      <c r="T419" s="12"/>
      <c r="U419" s="12"/>
      <c r="W419" s="67"/>
      <c r="X419" s="12"/>
      <c r="Y419" s="12"/>
      <c r="Z419" s="12"/>
      <c r="AA419" s="12"/>
    </row>
    <row r="420" spans="1:27" ht="15.75" customHeight="1">
      <c r="A420" s="12"/>
      <c r="B420" s="12"/>
      <c r="C420" s="12"/>
      <c r="D420" s="12"/>
      <c r="E420" s="12"/>
      <c r="F420" s="12"/>
      <c r="G420" s="12"/>
      <c r="H420" s="12"/>
      <c r="I420" s="12"/>
      <c r="J420" s="12"/>
      <c r="K420" s="12"/>
      <c r="L420" s="12"/>
      <c r="M420" s="12"/>
      <c r="N420" s="12"/>
      <c r="O420" s="12"/>
      <c r="P420" s="12"/>
      <c r="Q420" s="12"/>
      <c r="R420" s="12"/>
      <c r="S420" s="12"/>
      <c r="T420" s="12"/>
      <c r="U420" s="12"/>
      <c r="W420" s="67"/>
      <c r="X420" s="12"/>
      <c r="Y420" s="12"/>
      <c r="Z420" s="12"/>
      <c r="AA420" s="12"/>
    </row>
    <row r="421" spans="1:27" ht="15.75" customHeight="1">
      <c r="A421" s="12"/>
      <c r="B421" s="12"/>
      <c r="C421" s="12"/>
      <c r="D421" s="12"/>
      <c r="E421" s="12"/>
      <c r="F421" s="12"/>
      <c r="G421" s="12"/>
      <c r="H421" s="12"/>
      <c r="I421" s="12"/>
      <c r="J421" s="12"/>
      <c r="K421" s="12"/>
      <c r="L421" s="12"/>
      <c r="M421" s="12"/>
      <c r="N421" s="12"/>
      <c r="O421" s="12"/>
      <c r="P421" s="12"/>
      <c r="Q421" s="12"/>
      <c r="R421" s="12"/>
      <c r="S421" s="12"/>
      <c r="T421" s="12"/>
      <c r="U421" s="12"/>
      <c r="W421" s="67"/>
      <c r="X421" s="12"/>
      <c r="Y421" s="12"/>
      <c r="Z421" s="12"/>
      <c r="AA421" s="12"/>
    </row>
    <row r="422" spans="1:27" ht="15.75" customHeight="1">
      <c r="A422" s="12"/>
      <c r="B422" s="12"/>
      <c r="C422" s="12"/>
      <c r="D422" s="12"/>
      <c r="E422" s="12"/>
      <c r="F422" s="12"/>
      <c r="G422" s="12"/>
      <c r="H422" s="12"/>
      <c r="I422" s="12"/>
      <c r="J422" s="12"/>
      <c r="K422" s="12"/>
      <c r="L422" s="12"/>
      <c r="M422" s="12"/>
      <c r="N422" s="12"/>
      <c r="O422" s="12"/>
      <c r="P422" s="12"/>
      <c r="Q422" s="12"/>
      <c r="R422" s="12"/>
      <c r="S422" s="12"/>
      <c r="T422" s="12"/>
      <c r="U422" s="12"/>
      <c r="W422" s="67"/>
      <c r="X422" s="12"/>
      <c r="Y422" s="12"/>
      <c r="Z422" s="12"/>
      <c r="AA422" s="12"/>
    </row>
    <row r="423" spans="1:27" ht="15.75" customHeight="1">
      <c r="A423" s="12"/>
      <c r="B423" s="12"/>
      <c r="C423" s="12"/>
      <c r="D423" s="12"/>
      <c r="E423" s="12"/>
      <c r="F423" s="12"/>
      <c r="G423" s="12"/>
      <c r="H423" s="12"/>
      <c r="I423" s="12"/>
      <c r="J423" s="12"/>
      <c r="K423" s="12"/>
      <c r="L423" s="12"/>
      <c r="M423" s="12"/>
      <c r="N423" s="12"/>
      <c r="O423" s="12"/>
      <c r="P423" s="12"/>
      <c r="Q423" s="12"/>
      <c r="R423" s="12"/>
      <c r="S423" s="12"/>
      <c r="T423" s="12"/>
      <c r="U423" s="12"/>
      <c r="W423" s="67"/>
      <c r="X423" s="12"/>
      <c r="Y423" s="12"/>
      <c r="Z423" s="12"/>
      <c r="AA423" s="12"/>
    </row>
    <row r="424" spans="1:27" ht="15.75" customHeight="1">
      <c r="A424" s="12"/>
      <c r="B424" s="12"/>
      <c r="C424" s="12"/>
      <c r="D424" s="12"/>
      <c r="E424" s="12"/>
      <c r="F424" s="12"/>
      <c r="G424" s="12"/>
      <c r="H424" s="12"/>
      <c r="I424" s="12"/>
      <c r="J424" s="12"/>
      <c r="K424" s="12"/>
      <c r="L424" s="12"/>
      <c r="M424" s="12"/>
      <c r="N424" s="12"/>
      <c r="O424" s="12"/>
      <c r="P424" s="12"/>
      <c r="Q424" s="12"/>
      <c r="R424" s="12"/>
      <c r="S424" s="12"/>
      <c r="T424" s="12"/>
      <c r="U424" s="12"/>
      <c r="W424" s="67"/>
      <c r="X424" s="12"/>
      <c r="Y424" s="12"/>
      <c r="Z424" s="12"/>
      <c r="AA424" s="12"/>
    </row>
    <row r="425" spans="1:27" ht="15.75" customHeight="1">
      <c r="A425" s="12"/>
      <c r="B425" s="12"/>
      <c r="C425" s="12"/>
      <c r="D425" s="12"/>
      <c r="E425" s="12"/>
      <c r="F425" s="12"/>
      <c r="G425" s="12"/>
      <c r="H425" s="12"/>
      <c r="I425" s="12"/>
      <c r="J425" s="12"/>
      <c r="K425" s="12"/>
      <c r="L425" s="12"/>
      <c r="M425" s="12"/>
      <c r="N425" s="12"/>
      <c r="O425" s="12"/>
      <c r="P425" s="12"/>
      <c r="Q425" s="12"/>
      <c r="R425" s="12"/>
      <c r="S425" s="12"/>
      <c r="T425" s="12"/>
      <c r="U425" s="12"/>
      <c r="W425" s="67"/>
      <c r="X425" s="12"/>
      <c r="Y425" s="12"/>
      <c r="Z425" s="12"/>
      <c r="AA425" s="12"/>
    </row>
    <row r="426" spans="1:27" ht="15.75" customHeight="1">
      <c r="A426" s="12"/>
      <c r="B426" s="12"/>
      <c r="C426" s="12"/>
      <c r="D426" s="12"/>
      <c r="E426" s="12"/>
      <c r="F426" s="12"/>
      <c r="G426" s="12"/>
      <c r="H426" s="12"/>
      <c r="I426" s="12"/>
      <c r="J426" s="12"/>
      <c r="K426" s="12"/>
      <c r="L426" s="12"/>
      <c r="M426" s="12"/>
      <c r="N426" s="12"/>
      <c r="O426" s="12"/>
      <c r="P426" s="12"/>
      <c r="Q426" s="12"/>
      <c r="R426" s="12"/>
      <c r="S426" s="12"/>
      <c r="T426" s="12"/>
      <c r="U426" s="12"/>
      <c r="W426" s="67"/>
      <c r="X426" s="12"/>
      <c r="Y426" s="12"/>
      <c r="Z426" s="12"/>
      <c r="AA426" s="12"/>
    </row>
    <row r="427" spans="1:27" ht="15.75" customHeight="1">
      <c r="A427" s="12"/>
      <c r="B427" s="12"/>
      <c r="C427" s="12"/>
      <c r="D427" s="12"/>
      <c r="E427" s="12"/>
      <c r="F427" s="12"/>
      <c r="G427" s="12"/>
      <c r="H427" s="12"/>
      <c r="I427" s="12"/>
      <c r="J427" s="12"/>
      <c r="K427" s="12"/>
      <c r="L427" s="12"/>
      <c r="M427" s="12"/>
      <c r="N427" s="12"/>
      <c r="O427" s="12"/>
      <c r="P427" s="12"/>
      <c r="Q427" s="12"/>
      <c r="R427" s="12"/>
      <c r="S427" s="12"/>
      <c r="T427" s="12"/>
      <c r="U427" s="12"/>
      <c r="W427" s="67"/>
      <c r="X427" s="12"/>
      <c r="Y427" s="12"/>
      <c r="Z427" s="12"/>
      <c r="AA427" s="12"/>
    </row>
    <row r="428" spans="1:27" ht="15.75" customHeight="1">
      <c r="A428" s="12"/>
      <c r="B428" s="12"/>
      <c r="C428" s="12"/>
      <c r="D428" s="12"/>
      <c r="E428" s="12"/>
      <c r="F428" s="12"/>
      <c r="G428" s="12"/>
      <c r="H428" s="12"/>
      <c r="I428" s="12"/>
      <c r="J428" s="12"/>
      <c r="K428" s="12"/>
      <c r="L428" s="12"/>
      <c r="M428" s="12"/>
      <c r="N428" s="12"/>
      <c r="O428" s="12"/>
      <c r="P428" s="12"/>
      <c r="Q428" s="12"/>
      <c r="R428" s="12"/>
      <c r="S428" s="12"/>
      <c r="T428" s="12"/>
      <c r="U428" s="12"/>
      <c r="W428" s="67"/>
      <c r="X428" s="12"/>
      <c r="Y428" s="12"/>
      <c r="Z428" s="12"/>
      <c r="AA428" s="12"/>
    </row>
    <row r="429" spans="1:27" ht="15.75" customHeight="1">
      <c r="A429" s="12"/>
      <c r="B429" s="12"/>
      <c r="C429" s="12"/>
      <c r="D429" s="12"/>
      <c r="E429" s="12"/>
      <c r="F429" s="12"/>
      <c r="G429" s="12"/>
      <c r="H429" s="12"/>
      <c r="I429" s="12"/>
      <c r="J429" s="12"/>
      <c r="K429" s="12"/>
      <c r="L429" s="12"/>
      <c r="M429" s="12"/>
      <c r="N429" s="12"/>
      <c r="O429" s="12"/>
      <c r="P429" s="12"/>
      <c r="Q429" s="12"/>
      <c r="R429" s="12"/>
      <c r="S429" s="12"/>
      <c r="T429" s="12"/>
      <c r="U429" s="12"/>
      <c r="W429" s="67"/>
      <c r="X429" s="12"/>
      <c r="Y429" s="12"/>
      <c r="Z429" s="12"/>
      <c r="AA429" s="12"/>
    </row>
    <row r="430" spans="1:27" ht="15.75" customHeight="1">
      <c r="A430" s="12"/>
      <c r="B430" s="12"/>
      <c r="C430" s="12"/>
      <c r="D430" s="12"/>
      <c r="E430" s="12"/>
      <c r="F430" s="12"/>
      <c r="G430" s="12"/>
      <c r="H430" s="12"/>
      <c r="I430" s="12"/>
      <c r="J430" s="12"/>
      <c r="K430" s="12"/>
      <c r="L430" s="12"/>
      <c r="M430" s="12"/>
      <c r="N430" s="12"/>
      <c r="O430" s="12"/>
      <c r="P430" s="12"/>
      <c r="Q430" s="12"/>
      <c r="R430" s="12"/>
      <c r="S430" s="12"/>
      <c r="T430" s="12"/>
      <c r="U430" s="12"/>
      <c r="W430" s="67"/>
      <c r="X430" s="12"/>
      <c r="Y430" s="12"/>
      <c r="Z430" s="12"/>
      <c r="AA430" s="12"/>
    </row>
    <row r="431" spans="1:27" ht="15.75" customHeight="1">
      <c r="A431" s="12"/>
      <c r="B431" s="12"/>
      <c r="C431" s="12"/>
      <c r="D431" s="12"/>
      <c r="E431" s="12"/>
      <c r="F431" s="12"/>
      <c r="G431" s="12"/>
      <c r="H431" s="12"/>
      <c r="I431" s="12"/>
      <c r="J431" s="12"/>
      <c r="K431" s="12"/>
      <c r="L431" s="12"/>
      <c r="M431" s="12"/>
      <c r="N431" s="12"/>
      <c r="O431" s="12"/>
      <c r="P431" s="12"/>
      <c r="Q431" s="12"/>
      <c r="R431" s="12"/>
      <c r="S431" s="12"/>
      <c r="T431" s="12"/>
      <c r="U431" s="12"/>
      <c r="W431" s="67"/>
      <c r="X431" s="12"/>
      <c r="Y431" s="12"/>
      <c r="Z431" s="12"/>
      <c r="AA431" s="12"/>
    </row>
    <row r="432" spans="1:27" ht="15.75" customHeight="1">
      <c r="A432" s="12"/>
      <c r="B432" s="12"/>
      <c r="C432" s="12"/>
      <c r="D432" s="12"/>
      <c r="E432" s="12"/>
      <c r="F432" s="12"/>
      <c r="G432" s="12"/>
      <c r="H432" s="12"/>
      <c r="I432" s="12"/>
      <c r="J432" s="12"/>
      <c r="K432" s="12"/>
      <c r="L432" s="12"/>
      <c r="M432" s="12"/>
      <c r="N432" s="12"/>
      <c r="O432" s="12"/>
      <c r="P432" s="12"/>
      <c r="Q432" s="12"/>
      <c r="R432" s="12"/>
      <c r="S432" s="12"/>
      <c r="T432" s="12"/>
      <c r="U432" s="12"/>
      <c r="W432" s="67"/>
      <c r="X432" s="12"/>
      <c r="Y432" s="12"/>
      <c r="Z432" s="12"/>
      <c r="AA432" s="12"/>
    </row>
    <row r="433" spans="1:27" ht="15.75" customHeight="1">
      <c r="A433" s="12"/>
      <c r="B433" s="12"/>
      <c r="C433" s="12"/>
      <c r="D433" s="12"/>
      <c r="E433" s="12"/>
      <c r="F433" s="12"/>
      <c r="G433" s="12"/>
      <c r="H433" s="12"/>
      <c r="I433" s="12"/>
      <c r="J433" s="12"/>
      <c r="K433" s="12"/>
      <c r="L433" s="12"/>
      <c r="M433" s="12"/>
      <c r="N433" s="12"/>
      <c r="O433" s="12"/>
      <c r="P433" s="12"/>
      <c r="Q433" s="12"/>
      <c r="R433" s="12"/>
      <c r="S433" s="12"/>
      <c r="T433" s="12"/>
      <c r="U433" s="12"/>
      <c r="W433" s="67"/>
      <c r="X433" s="12"/>
      <c r="Y433" s="12"/>
      <c r="Z433" s="12"/>
      <c r="AA433" s="12"/>
    </row>
    <row r="434" spans="1:27" ht="15.75" customHeight="1">
      <c r="A434" s="12"/>
      <c r="B434" s="12"/>
      <c r="C434" s="12"/>
      <c r="D434" s="12"/>
      <c r="E434" s="12"/>
      <c r="F434" s="12"/>
      <c r="G434" s="12"/>
      <c r="H434" s="12"/>
      <c r="I434" s="12"/>
      <c r="J434" s="12"/>
      <c r="K434" s="12"/>
      <c r="L434" s="12"/>
      <c r="M434" s="12"/>
      <c r="N434" s="12"/>
      <c r="O434" s="12"/>
      <c r="P434" s="12"/>
      <c r="Q434" s="12"/>
      <c r="R434" s="12"/>
      <c r="S434" s="12"/>
      <c r="T434" s="12"/>
      <c r="U434" s="12"/>
      <c r="W434" s="67"/>
      <c r="X434" s="12"/>
      <c r="Y434" s="12"/>
      <c r="Z434" s="12"/>
      <c r="AA434" s="12"/>
    </row>
    <row r="435" spans="1:27" ht="15.75" customHeight="1">
      <c r="A435" s="12"/>
      <c r="B435" s="12"/>
      <c r="C435" s="12"/>
      <c r="D435" s="12"/>
      <c r="E435" s="12"/>
      <c r="F435" s="12"/>
      <c r="G435" s="12"/>
      <c r="H435" s="12"/>
      <c r="I435" s="12"/>
      <c r="J435" s="12"/>
      <c r="K435" s="12"/>
      <c r="L435" s="12"/>
      <c r="M435" s="12"/>
      <c r="N435" s="12"/>
      <c r="O435" s="12"/>
      <c r="P435" s="12"/>
      <c r="Q435" s="12"/>
      <c r="R435" s="12"/>
      <c r="S435" s="12"/>
      <c r="T435" s="12"/>
      <c r="U435" s="12"/>
      <c r="W435" s="67"/>
      <c r="X435" s="12"/>
      <c r="Y435" s="12"/>
      <c r="Z435" s="12"/>
      <c r="AA435" s="12"/>
    </row>
    <row r="436" spans="1:27" ht="15.75" customHeight="1">
      <c r="A436" s="12"/>
      <c r="B436" s="12"/>
      <c r="C436" s="12"/>
      <c r="D436" s="12"/>
      <c r="E436" s="12"/>
      <c r="F436" s="12"/>
      <c r="G436" s="12"/>
      <c r="H436" s="12"/>
      <c r="I436" s="12"/>
      <c r="J436" s="12"/>
      <c r="K436" s="12"/>
      <c r="L436" s="12"/>
      <c r="M436" s="12"/>
      <c r="N436" s="12"/>
      <c r="O436" s="12"/>
      <c r="P436" s="12"/>
      <c r="Q436" s="12"/>
      <c r="R436" s="12"/>
      <c r="S436" s="12"/>
      <c r="T436" s="12"/>
      <c r="U436" s="12"/>
      <c r="W436" s="67"/>
      <c r="X436" s="12"/>
      <c r="Y436" s="12"/>
      <c r="Z436" s="12"/>
      <c r="AA436" s="12"/>
    </row>
    <row r="437" spans="1:27" ht="15.75" customHeight="1">
      <c r="A437" s="12"/>
      <c r="B437" s="12"/>
      <c r="C437" s="12"/>
      <c r="D437" s="12"/>
      <c r="E437" s="12"/>
      <c r="F437" s="12"/>
      <c r="G437" s="12"/>
      <c r="H437" s="12"/>
      <c r="I437" s="12"/>
      <c r="J437" s="12"/>
      <c r="K437" s="12"/>
      <c r="L437" s="12"/>
      <c r="M437" s="12"/>
      <c r="N437" s="12"/>
      <c r="O437" s="12"/>
      <c r="P437" s="12"/>
      <c r="Q437" s="12"/>
      <c r="R437" s="12"/>
      <c r="S437" s="12"/>
      <c r="T437" s="12"/>
      <c r="U437" s="12"/>
      <c r="W437" s="67"/>
      <c r="X437" s="12"/>
      <c r="Y437" s="12"/>
      <c r="Z437" s="12"/>
      <c r="AA437" s="12"/>
    </row>
    <row r="438" spans="1:27" ht="15.75" customHeight="1">
      <c r="A438" s="12"/>
      <c r="B438" s="12"/>
      <c r="C438" s="12"/>
      <c r="D438" s="12"/>
      <c r="E438" s="12"/>
      <c r="F438" s="12"/>
      <c r="G438" s="12"/>
      <c r="H438" s="12"/>
      <c r="I438" s="12"/>
      <c r="J438" s="12"/>
      <c r="K438" s="12"/>
      <c r="L438" s="12"/>
      <c r="M438" s="12"/>
      <c r="N438" s="12"/>
      <c r="O438" s="12"/>
      <c r="P438" s="12"/>
      <c r="Q438" s="12"/>
      <c r="R438" s="12"/>
      <c r="S438" s="12"/>
      <c r="T438" s="12"/>
      <c r="U438" s="12"/>
      <c r="W438" s="67"/>
      <c r="X438" s="12"/>
      <c r="Y438" s="12"/>
      <c r="Z438" s="12"/>
      <c r="AA438" s="12"/>
    </row>
    <row r="439" spans="1:27" ht="15.75" customHeight="1">
      <c r="A439" s="12"/>
      <c r="B439" s="12"/>
      <c r="C439" s="12"/>
      <c r="D439" s="12"/>
      <c r="E439" s="12"/>
      <c r="F439" s="12"/>
      <c r="G439" s="12"/>
      <c r="H439" s="12"/>
      <c r="I439" s="12"/>
      <c r="J439" s="12"/>
      <c r="K439" s="12"/>
      <c r="L439" s="12"/>
      <c r="M439" s="12"/>
      <c r="N439" s="12"/>
      <c r="O439" s="12"/>
      <c r="P439" s="12"/>
      <c r="Q439" s="12"/>
      <c r="R439" s="12"/>
      <c r="S439" s="12"/>
      <c r="T439" s="12"/>
      <c r="U439" s="12"/>
      <c r="W439" s="67"/>
      <c r="X439" s="12"/>
      <c r="Y439" s="12"/>
      <c r="Z439" s="12"/>
      <c r="AA439" s="12"/>
    </row>
    <row r="440" spans="1:27" ht="15.75" customHeight="1">
      <c r="A440" s="12"/>
      <c r="B440" s="12"/>
      <c r="C440" s="12"/>
      <c r="D440" s="12"/>
      <c r="E440" s="12"/>
      <c r="F440" s="12"/>
      <c r="G440" s="12"/>
      <c r="H440" s="12"/>
      <c r="I440" s="12"/>
      <c r="J440" s="12"/>
      <c r="K440" s="12"/>
      <c r="L440" s="12"/>
      <c r="M440" s="12"/>
      <c r="N440" s="12"/>
      <c r="O440" s="12"/>
      <c r="P440" s="12"/>
      <c r="Q440" s="12"/>
      <c r="R440" s="12"/>
      <c r="S440" s="12"/>
      <c r="T440" s="12"/>
      <c r="U440" s="12"/>
      <c r="W440" s="67"/>
      <c r="X440" s="12"/>
      <c r="Y440" s="12"/>
      <c r="Z440" s="12"/>
      <c r="AA440" s="12"/>
    </row>
    <row r="441" spans="1:27" ht="15.75" customHeight="1">
      <c r="A441" s="12"/>
      <c r="B441" s="12"/>
      <c r="C441" s="12"/>
      <c r="D441" s="12"/>
      <c r="E441" s="12"/>
      <c r="F441" s="12"/>
      <c r="G441" s="12"/>
      <c r="H441" s="12"/>
      <c r="I441" s="12"/>
      <c r="J441" s="12"/>
      <c r="K441" s="12"/>
      <c r="L441" s="12"/>
      <c r="M441" s="12"/>
      <c r="N441" s="12"/>
      <c r="O441" s="12"/>
      <c r="P441" s="12"/>
      <c r="Q441" s="12"/>
      <c r="R441" s="12"/>
      <c r="S441" s="12"/>
      <c r="T441" s="12"/>
      <c r="U441" s="12"/>
      <c r="W441" s="67"/>
      <c r="X441" s="12"/>
      <c r="Y441" s="12"/>
      <c r="Z441" s="12"/>
      <c r="AA441" s="12"/>
    </row>
    <row r="442" spans="1:27" ht="15.75" customHeight="1">
      <c r="A442" s="12"/>
      <c r="B442" s="12"/>
      <c r="C442" s="12"/>
      <c r="D442" s="12"/>
      <c r="E442" s="12"/>
      <c r="F442" s="12"/>
      <c r="G442" s="12"/>
      <c r="H442" s="12"/>
      <c r="I442" s="12"/>
      <c r="J442" s="12"/>
      <c r="K442" s="12"/>
      <c r="L442" s="12"/>
      <c r="M442" s="12"/>
      <c r="N442" s="12"/>
      <c r="O442" s="12"/>
      <c r="P442" s="12"/>
      <c r="Q442" s="12"/>
      <c r="R442" s="12"/>
      <c r="S442" s="12"/>
      <c r="T442" s="12"/>
      <c r="U442" s="12"/>
      <c r="W442" s="67"/>
      <c r="X442" s="12"/>
      <c r="Y442" s="12"/>
      <c r="Z442" s="12"/>
      <c r="AA442" s="12"/>
    </row>
    <row r="443" spans="1:27" ht="15.75" customHeight="1">
      <c r="A443" s="12"/>
      <c r="B443" s="12"/>
      <c r="C443" s="12"/>
      <c r="D443" s="12"/>
      <c r="E443" s="12"/>
      <c r="F443" s="12"/>
      <c r="G443" s="12"/>
      <c r="H443" s="12"/>
      <c r="I443" s="12"/>
      <c r="J443" s="12"/>
      <c r="K443" s="12"/>
      <c r="L443" s="12"/>
      <c r="M443" s="12"/>
      <c r="N443" s="12"/>
      <c r="O443" s="12"/>
      <c r="P443" s="12"/>
      <c r="Q443" s="12"/>
      <c r="R443" s="12"/>
      <c r="S443" s="12"/>
      <c r="T443" s="12"/>
      <c r="U443" s="12"/>
      <c r="W443" s="67"/>
      <c r="X443" s="12"/>
      <c r="Y443" s="12"/>
      <c r="Z443" s="12"/>
      <c r="AA443" s="12"/>
    </row>
    <row r="444" spans="1:27" ht="15.75" customHeight="1">
      <c r="A444" s="12"/>
      <c r="B444" s="12"/>
      <c r="C444" s="12"/>
      <c r="D444" s="12"/>
      <c r="E444" s="12"/>
      <c r="F444" s="12"/>
      <c r="G444" s="12"/>
      <c r="H444" s="12"/>
      <c r="I444" s="12"/>
      <c r="J444" s="12"/>
      <c r="K444" s="12"/>
      <c r="L444" s="12"/>
      <c r="M444" s="12"/>
      <c r="N444" s="12"/>
      <c r="O444" s="12"/>
      <c r="P444" s="12"/>
      <c r="Q444" s="12"/>
      <c r="R444" s="12"/>
      <c r="S444" s="12"/>
      <c r="T444" s="12"/>
      <c r="U444" s="12"/>
      <c r="W444" s="67"/>
      <c r="X444" s="12"/>
      <c r="Y444" s="12"/>
      <c r="Z444" s="12"/>
      <c r="AA444" s="12"/>
    </row>
    <row r="445" spans="1:27" ht="15.75" customHeight="1">
      <c r="A445" s="12"/>
      <c r="B445" s="12"/>
      <c r="C445" s="12"/>
      <c r="D445" s="12"/>
      <c r="E445" s="12"/>
      <c r="F445" s="12"/>
      <c r="G445" s="12"/>
      <c r="H445" s="12"/>
      <c r="I445" s="12"/>
      <c r="J445" s="12"/>
      <c r="K445" s="12"/>
      <c r="L445" s="12"/>
      <c r="M445" s="12"/>
      <c r="N445" s="12"/>
      <c r="O445" s="12"/>
      <c r="P445" s="12"/>
      <c r="Q445" s="12"/>
      <c r="R445" s="12"/>
      <c r="S445" s="12"/>
      <c r="T445" s="12"/>
      <c r="U445" s="12"/>
      <c r="W445" s="67"/>
      <c r="X445" s="12"/>
      <c r="Y445" s="12"/>
      <c r="Z445" s="12"/>
      <c r="AA445" s="12"/>
    </row>
    <row r="446" spans="1:27" ht="15.75" customHeight="1">
      <c r="A446" s="12"/>
      <c r="B446" s="12"/>
      <c r="C446" s="12"/>
      <c r="D446" s="12"/>
      <c r="E446" s="12"/>
      <c r="F446" s="12"/>
      <c r="G446" s="12"/>
      <c r="H446" s="12"/>
      <c r="I446" s="12"/>
      <c r="J446" s="12"/>
      <c r="K446" s="12"/>
      <c r="L446" s="12"/>
      <c r="M446" s="12"/>
      <c r="N446" s="12"/>
      <c r="O446" s="12"/>
      <c r="P446" s="12"/>
      <c r="Q446" s="12"/>
      <c r="R446" s="12"/>
      <c r="S446" s="12"/>
      <c r="T446" s="12"/>
      <c r="U446" s="12"/>
      <c r="W446" s="67"/>
      <c r="X446" s="12"/>
      <c r="Y446" s="12"/>
      <c r="Z446" s="12"/>
      <c r="AA446" s="12"/>
    </row>
    <row r="447" spans="1:27" ht="15.75" customHeight="1">
      <c r="A447" s="12"/>
      <c r="B447" s="12"/>
      <c r="C447" s="12"/>
      <c r="D447" s="12"/>
      <c r="E447" s="12"/>
      <c r="F447" s="12"/>
      <c r="G447" s="12"/>
      <c r="H447" s="12"/>
      <c r="I447" s="12"/>
      <c r="J447" s="12"/>
      <c r="K447" s="12"/>
      <c r="L447" s="12"/>
      <c r="M447" s="12"/>
      <c r="N447" s="12"/>
      <c r="O447" s="12"/>
      <c r="P447" s="12"/>
      <c r="Q447" s="12"/>
      <c r="R447" s="12"/>
      <c r="S447" s="12"/>
      <c r="T447" s="12"/>
      <c r="U447" s="12"/>
      <c r="W447" s="67"/>
      <c r="X447" s="12"/>
      <c r="Y447" s="12"/>
      <c r="Z447" s="12"/>
      <c r="AA447" s="12"/>
    </row>
    <row r="448" spans="1:27" ht="15.75" customHeight="1">
      <c r="A448" s="12"/>
      <c r="B448" s="12"/>
      <c r="C448" s="12"/>
      <c r="D448" s="12"/>
      <c r="E448" s="12"/>
      <c r="F448" s="12"/>
      <c r="G448" s="12"/>
      <c r="H448" s="12"/>
      <c r="I448" s="12"/>
      <c r="J448" s="12"/>
      <c r="K448" s="12"/>
      <c r="L448" s="12"/>
      <c r="M448" s="12"/>
      <c r="N448" s="12"/>
      <c r="O448" s="12"/>
      <c r="P448" s="12"/>
      <c r="Q448" s="12"/>
      <c r="R448" s="12"/>
      <c r="S448" s="12"/>
      <c r="T448" s="12"/>
      <c r="U448" s="12"/>
      <c r="W448" s="67"/>
      <c r="X448" s="12"/>
      <c r="Y448" s="12"/>
      <c r="Z448" s="12"/>
      <c r="AA448" s="12"/>
    </row>
    <row r="449" spans="1:27" ht="15.75" customHeight="1">
      <c r="A449" s="12"/>
      <c r="B449" s="12"/>
      <c r="C449" s="12"/>
      <c r="D449" s="12"/>
      <c r="E449" s="12"/>
      <c r="F449" s="12"/>
      <c r="G449" s="12"/>
      <c r="H449" s="12"/>
      <c r="I449" s="12"/>
      <c r="J449" s="12"/>
      <c r="K449" s="12"/>
      <c r="L449" s="12"/>
      <c r="M449" s="12"/>
      <c r="N449" s="12"/>
      <c r="O449" s="12"/>
      <c r="P449" s="12"/>
      <c r="Q449" s="12"/>
      <c r="R449" s="12"/>
      <c r="S449" s="12"/>
      <c r="T449" s="12"/>
      <c r="U449" s="12"/>
      <c r="W449" s="67"/>
      <c r="X449" s="12"/>
      <c r="Y449" s="12"/>
      <c r="Z449" s="12"/>
      <c r="AA449" s="12"/>
    </row>
    <row r="450" spans="1:27" ht="15.75" customHeight="1">
      <c r="A450" s="12"/>
      <c r="B450" s="12"/>
      <c r="C450" s="12"/>
      <c r="D450" s="12"/>
      <c r="E450" s="12"/>
      <c r="F450" s="12"/>
      <c r="G450" s="12"/>
      <c r="H450" s="12"/>
      <c r="I450" s="12"/>
      <c r="J450" s="12"/>
      <c r="K450" s="12"/>
      <c r="L450" s="12"/>
      <c r="M450" s="12"/>
      <c r="N450" s="12"/>
      <c r="O450" s="12"/>
      <c r="P450" s="12"/>
      <c r="Q450" s="12"/>
      <c r="R450" s="12"/>
      <c r="S450" s="12"/>
      <c r="T450" s="12"/>
      <c r="U450" s="12"/>
      <c r="W450" s="67"/>
      <c r="X450" s="12"/>
      <c r="Y450" s="12"/>
      <c r="Z450" s="12"/>
      <c r="AA450" s="12"/>
    </row>
    <row r="451" spans="1:27" ht="15.75" customHeight="1">
      <c r="A451" s="12"/>
      <c r="B451" s="12"/>
      <c r="C451" s="12"/>
      <c r="D451" s="12"/>
      <c r="E451" s="12"/>
      <c r="F451" s="12"/>
      <c r="G451" s="12"/>
      <c r="H451" s="12"/>
      <c r="I451" s="12"/>
      <c r="J451" s="12"/>
      <c r="K451" s="12"/>
      <c r="L451" s="12"/>
      <c r="M451" s="12"/>
      <c r="N451" s="12"/>
      <c r="O451" s="12"/>
      <c r="P451" s="12"/>
      <c r="Q451" s="12"/>
      <c r="R451" s="12"/>
      <c r="S451" s="12"/>
      <c r="T451" s="12"/>
      <c r="U451" s="12"/>
      <c r="W451" s="67"/>
      <c r="X451" s="12"/>
      <c r="Y451" s="12"/>
      <c r="Z451" s="12"/>
      <c r="AA451" s="12"/>
    </row>
    <row r="452" spans="1:27" ht="15.75" customHeight="1">
      <c r="A452" s="12"/>
      <c r="B452" s="12"/>
      <c r="C452" s="12"/>
      <c r="D452" s="12"/>
      <c r="E452" s="12"/>
      <c r="F452" s="12"/>
      <c r="G452" s="12"/>
      <c r="H452" s="12"/>
      <c r="I452" s="12"/>
      <c r="J452" s="12"/>
      <c r="K452" s="12"/>
      <c r="L452" s="12"/>
      <c r="M452" s="12"/>
      <c r="N452" s="12"/>
      <c r="O452" s="12"/>
      <c r="P452" s="12"/>
      <c r="Q452" s="12"/>
      <c r="R452" s="12"/>
      <c r="S452" s="12"/>
      <c r="T452" s="12"/>
      <c r="U452" s="12"/>
      <c r="W452" s="67"/>
      <c r="X452" s="12"/>
      <c r="Y452" s="12"/>
      <c r="Z452" s="12"/>
      <c r="AA452" s="12"/>
    </row>
    <row r="453" spans="1:27" ht="15.75" customHeight="1">
      <c r="A453" s="12"/>
      <c r="B453" s="12"/>
      <c r="C453" s="12"/>
      <c r="D453" s="12"/>
      <c r="E453" s="12"/>
      <c r="F453" s="12"/>
      <c r="G453" s="12"/>
      <c r="H453" s="12"/>
      <c r="I453" s="12"/>
      <c r="J453" s="12"/>
      <c r="K453" s="12"/>
      <c r="L453" s="12"/>
      <c r="M453" s="12"/>
      <c r="N453" s="12"/>
      <c r="O453" s="12"/>
      <c r="P453" s="12"/>
      <c r="Q453" s="12"/>
      <c r="R453" s="12"/>
      <c r="S453" s="12"/>
      <c r="T453" s="12"/>
      <c r="U453" s="12"/>
      <c r="W453" s="67"/>
      <c r="X453" s="12"/>
      <c r="Y453" s="12"/>
      <c r="Z453" s="12"/>
      <c r="AA453" s="12"/>
    </row>
    <row r="454" spans="1:27" ht="15.75" customHeight="1">
      <c r="A454" s="12"/>
      <c r="B454" s="12"/>
      <c r="C454" s="12"/>
      <c r="D454" s="12"/>
      <c r="E454" s="12"/>
      <c r="F454" s="12"/>
      <c r="G454" s="12"/>
      <c r="H454" s="12"/>
      <c r="I454" s="12"/>
      <c r="J454" s="12"/>
      <c r="K454" s="12"/>
      <c r="L454" s="12"/>
      <c r="M454" s="12"/>
      <c r="N454" s="12"/>
      <c r="O454" s="12"/>
      <c r="P454" s="12"/>
      <c r="Q454" s="12"/>
      <c r="R454" s="12"/>
      <c r="S454" s="12"/>
      <c r="T454" s="12"/>
      <c r="U454" s="12"/>
      <c r="W454" s="67"/>
      <c r="X454" s="12"/>
      <c r="Y454" s="12"/>
      <c r="Z454" s="12"/>
      <c r="AA454" s="12"/>
    </row>
    <row r="455" spans="1:27" ht="15.75" customHeight="1">
      <c r="A455" s="12"/>
      <c r="B455" s="12"/>
      <c r="C455" s="12"/>
      <c r="D455" s="12"/>
      <c r="E455" s="12"/>
      <c r="F455" s="12"/>
      <c r="G455" s="12"/>
      <c r="H455" s="12"/>
      <c r="I455" s="12"/>
      <c r="J455" s="12"/>
      <c r="K455" s="12"/>
      <c r="L455" s="12"/>
      <c r="M455" s="12"/>
      <c r="N455" s="12"/>
      <c r="O455" s="12"/>
      <c r="P455" s="12"/>
      <c r="Q455" s="12"/>
      <c r="R455" s="12"/>
      <c r="S455" s="12"/>
      <c r="T455" s="12"/>
      <c r="U455" s="12"/>
      <c r="W455" s="67"/>
      <c r="X455" s="12"/>
      <c r="Y455" s="12"/>
      <c r="Z455" s="12"/>
      <c r="AA455" s="12"/>
    </row>
    <row r="456" spans="1:27" ht="15.75" customHeight="1">
      <c r="A456" s="12"/>
      <c r="B456" s="12"/>
      <c r="C456" s="12"/>
      <c r="D456" s="12"/>
      <c r="E456" s="12"/>
      <c r="F456" s="12"/>
      <c r="G456" s="12"/>
      <c r="H456" s="12"/>
      <c r="I456" s="12"/>
      <c r="J456" s="12"/>
      <c r="K456" s="12"/>
      <c r="L456" s="12"/>
      <c r="M456" s="12"/>
      <c r="N456" s="12"/>
      <c r="O456" s="12"/>
      <c r="P456" s="12"/>
      <c r="Q456" s="12"/>
      <c r="R456" s="12"/>
      <c r="S456" s="12"/>
      <c r="T456" s="12"/>
      <c r="U456" s="12"/>
      <c r="W456" s="67"/>
      <c r="X456" s="12"/>
      <c r="Y456" s="12"/>
      <c r="Z456" s="12"/>
      <c r="AA456" s="12"/>
    </row>
    <row r="457" spans="1:27" ht="15.75" customHeight="1">
      <c r="A457" s="12"/>
      <c r="B457" s="12"/>
      <c r="C457" s="12"/>
      <c r="D457" s="12"/>
      <c r="E457" s="12"/>
      <c r="F457" s="12"/>
      <c r="G457" s="12"/>
      <c r="H457" s="12"/>
      <c r="I457" s="12"/>
      <c r="J457" s="12"/>
      <c r="K457" s="12"/>
      <c r="L457" s="12"/>
      <c r="M457" s="12"/>
      <c r="N457" s="12"/>
      <c r="O457" s="12"/>
      <c r="P457" s="12"/>
      <c r="Q457" s="12"/>
      <c r="R457" s="12"/>
      <c r="S457" s="12"/>
      <c r="T457" s="12"/>
      <c r="U457" s="12"/>
      <c r="W457" s="67"/>
      <c r="X457" s="12"/>
      <c r="Y457" s="12"/>
      <c r="Z457" s="12"/>
      <c r="AA457" s="12"/>
    </row>
    <row r="458" spans="1:27" ht="15.75" customHeight="1">
      <c r="A458" s="12"/>
      <c r="B458" s="12"/>
      <c r="C458" s="12"/>
      <c r="D458" s="12"/>
      <c r="E458" s="12"/>
      <c r="F458" s="12"/>
      <c r="G458" s="12"/>
      <c r="H458" s="12"/>
      <c r="I458" s="12"/>
      <c r="J458" s="12"/>
      <c r="K458" s="12"/>
      <c r="L458" s="12"/>
      <c r="M458" s="12"/>
      <c r="N458" s="12"/>
      <c r="O458" s="12"/>
      <c r="P458" s="12"/>
      <c r="Q458" s="12"/>
      <c r="R458" s="12"/>
      <c r="S458" s="12"/>
      <c r="T458" s="12"/>
      <c r="U458" s="12"/>
      <c r="W458" s="67"/>
      <c r="X458" s="12"/>
      <c r="Y458" s="12"/>
      <c r="Z458" s="12"/>
      <c r="AA458" s="12"/>
    </row>
    <row r="459" spans="1:27" ht="15.75" customHeight="1">
      <c r="A459" s="12"/>
      <c r="B459" s="12"/>
      <c r="C459" s="12"/>
      <c r="D459" s="12"/>
      <c r="E459" s="12"/>
      <c r="F459" s="12"/>
      <c r="G459" s="12"/>
      <c r="H459" s="12"/>
      <c r="I459" s="12"/>
      <c r="J459" s="12"/>
      <c r="K459" s="12"/>
      <c r="L459" s="12"/>
      <c r="M459" s="12"/>
      <c r="N459" s="12"/>
      <c r="O459" s="12"/>
      <c r="P459" s="12"/>
      <c r="Q459" s="12"/>
      <c r="R459" s="12"/>
      <c r="S459" s="12"/>
      <c r="T459" s="12"/>
      <c r="U459" s="12"/>
      <c r="W459" s="67"/>
      <c r="X459" s="12"/>
      <c r="Y459" s="12"/>
      <c r="Z459" s="12"/>
      <c r="AA459" s="12"/>
    </row>
    <row r="460" spans="1:27" ht="15.75" customHeight="1">
      <c r="A460" s="12"/>
      <c r="B460" s="12"/>
      <c r="C460" s="12"/>
      <c r="D460" s="12"/>
      <c r="E460" s="12"/>
      <c r="F460" s="12"/>
      <c r="G460" s="12"/>
      <c r="H460" s="12"/>
      <c r="I460" s="12"/>
      <c r="J460" s="12"/>
      <c r="K460" s="12"/>
      <c r="L460" s="12"/>
      <c r="M460" s="12"/>
      <c r="N460" s="12"/>
      <c r="O460" s="12"/>
      <c r="P460" s="12"/>
      <c r="Q460" s="12"/>
      <c r="R460" s="12"/>
      <c r="S460" s="12"/>
      <c r="T460" s="12"/>
      <c r="U460" s="12"/>
      <c r="W460" s="67"/>
      <c r="X460" s="12"/>
      <c r="Y460" s="12"/>
      <c r="Z460" s="12"/>
      <c r="AA460" s="12"/>
    </row>
    <row r="461" spans="1:27" ht="15.75" customHeight="1">
      <c r="A461" s="12"/>
      <c r="B461" s="12"/>
      <c r="C461" s="12"/>
      <c r="D461" s="12"/>
      <c r="E461" s="12"/>
      <c r="F461" s="12"/>
      <c r="G461" s="12"/>
      <c r="H461" s="12"/>
      <c r="I461" s="12"/>
      <c r="J461" s="12"/>
      <c r="K461" s="12"/>
      <c r="L461" s="12"/>
      <c r="M461" s="12"/>
      <c r="N461" s="12"/>
      <c r="O461" s="12"/>
      <c r="P461" s="12"/>
      <c r="Q461" s="12"/>
      <c r="R461" s="12"/>
      <c r="S461" s="12"/>
      <c r="T461" s="12"/>
      <c r="U461" s="12"/>
      <c r="W461" s="67"/>
      <c r="X461" s="12"/>
      <c r="Y461" s="12"/>
      <c r="Z461" s="12"/>
      <c r="AA461" s="12"/>
    </row>
    <row r="462" spans="1:27" ht="15.75" customHeight="1">
      <c r="A462" s="12"/>
      <c r="B462" s="12"/>
      <c r="C462" s="12"/>
      <c r="D462" s="12"/>
      <c r="E462" s="12"/>
      <c r="F462" s="12"/>
      <c r="G462" s="12"/>
      <c r="H462" s="12"/>
      <c r="I462" s="12"/>
      <c r="J462" s="12"/>
      <c r="K462" s="12"/>
      <c r="L462" s="12"/>
      <c r="M462" s="12"/>
      <c r="N462" s="12"/>
      <c r="O462" s="12"/>
      <c r="P462" s="12"/>
      <c r="Q462" s="12"/>
      <c r="R462" s="12"/>
      <c r="S462" s="12"/>
      <c r="T462" s="12"/>
      <c r="U462" s="12"/>
      <c r="W462" s="67"/>
      <c r="X462" s="12"/>
      <c r="Y462" s="12"/>
      <c r="Z462" s="12"/>
      <c r="AA462" s="12"/>
    </row>
    <row r="463" spans="1:27" ht="15.75" customHeight="1">
      <c r="A463" s="12"/>
      <c r="B463" s="12"/>
      <c r="C463" s="12"/>
      <c r="D463" s="12"/>
      <c r="E463" s="12"/>
      <c r="F463" s="12"/>
      <c r="G463" s="12"/>
      <c r="H463" s="12"/>
      <c r="I463" s="12"/>
      <c r="J463" s="12"/>
      <c r="K463" s="12"/>
      <c r="L463" s="12"/>
      <c r="M463" s="12"/>
      <c r="N463" s="12"/>
      <c r="O463" s="12"/>
      <c r="P463" s="12"/>
      <c r="Q463" s="12"/>
      <c r="R463" s="12"/>
      <c r="S463" s="12"/>
      <c r="T463" s="12"/>
      <c r="U463" s="12"/>
      <c r="W463" s="67"/>
      <c r="X463" s="12"/>
      <c r="Y463" s="12"/>
      <c r="Z463" s="12"/>
      <c r="AA463" s="12"/>
    </row>
    <row r="464" spans="1:27" ht="15.75" customHeight="1">
      <c r="A464" s="12"/>
      <c r="B464" s="12"/>
      <c r="C464" s="12"/>
      <c r="D464" s="12"/>
      <c r="E464" s="12"/>
      <c r="F464" s="12"/>
      <c r="G464" s="12"/>
      <c r="H464" s="12"/>
      <c r="I464" s="12"/>
      <c r="J464" s="12"/>
      <c r="K464" s="12"/>
      <c r="L464" s="12"/>
      <c r="M464" s="12"/>
      <c r="N464" s="12"/>
      <c r="O464" s="12"/>
      <c r="P464" s="12"/>
      <c r="Q464" s="12"/>
      <c r="R464" s="12"/>
      <c r="S464" s="12"/>
      <c r="T464" s="12"/>
      <c r="U464" s="12"/>
      <c r="W464" s="67"/>
      <c r="X464" s="12"/>
      <c r="Y464" s="12"/>
      <c r="Z464" s="12"/>
      <c r="AA464" s="12"/>
    </row>
    <row r="465" spans="1:27" ht="15.75" customHeight="1">
      <c r="A465" s="12"/>
      <c r="B465" s="12"/>
      <c r="C465" s="12"/>
      <c r="D465" s="12"/>
      <c r="E465" s="12"/>
      <c r="F465" s="12"/>
      <c r="G465" s="12"/>
      <c r="H465" s="12"/>
      <c r="I465" s="12"/>
      <c r="J465" s="12"/>
      <c r="K465" s="12"/>
      <c r="L465" s="12"/>
      <c r="M465" s="12"/>
      <c r="N465" s="12"/>
      <c r="O465" s="12"/>
      <c r="P465" s="12"/>
      <c r="Q465" s="12"/>
      <c r="R465" s="12"/>
      <c r="S465" s="12"/>
      <c r="T465" s="12"/>
      <c r="U465" s="12"/>
      <c r="W465" s="67"/>
      <c r="X465" s="12"/>
      <c r="Y465" s="12"/>
      <c r="Z465" s="12"/>
      <c r="AA465" s="12"/>
    </row>
    <row r="466" spans="1:27" ht="15.75" customHeight="1">
      <c r="A466" s="12"/>
      <c r="B466" s="12"/>
      <c r="C466" s="12"/>
      <c r="D466" s="12"/>
      <c r="E466" s="12"/>
      <c r="F466" s="12"/>
      <c r="G466" s="12"/>
      <c r="H466" s="12"/>
      <c r="I466" s="12"/>
      <c r="J466" s="12"/>
      <c r="K466" s="12"/>
      <c r="L466" s="12"/>
      <c r="M466" s="12"/>
      <c r="N466" s="12"/>
      <c r="O466" s="12"/>
      <c r="P466" s="12"/>
      <c r="Q466" s="12"/>
      <c r="R466" s="12"/>
      <c r="S466" s="12"/>
      <c r="T466" s="12"/>
      <c r="U466" s="12"/>
      <c r="W466" s="67"/>
      <c r="X466" s="12"/>
      <c r="Y466" s="12"/>
      <c r="Z466" s="12"/>
      <c r="AA466" s="12"/>
    </row>
    <row r="467" spans="1:27" ht="15.75" customHeight="1">
      <c r="A467" s="12"/>
      <c r="B467" s="12"/>
      <c r="C467" s="12"/>
      <c r="D467" s="12"/>
      <c r="E467" s="12"/>
      <c r="F467" s="12"/>
      <c r="G467" s="12"/>
      <c r="H467" s="12"/>
      <c r="I467" s="12"/>
      <c r="J467" s="12"/>
      <c r="K467" s="12"/>
      <c r="L467" s="12"/>
      <c r="M467" s="12"/>
      <c r="N467" s="12"/>
      <c r="O467" s="12"/>
      <c r="P467" s="12"/>
      <c r="Q467" s="12"/>
      <c r="R467" s="12"/>
      <c r="S467" s="12"/>
      <c r="T467" s="12"/>
      <c r="U467" s="12"/>
      <c r="W467" s="67"/>
      <c r="X467" s="12"/>
      <c r="Y467" s="12"/>
      <c r="Z467" s="12"/>
      <c r="AA467" s="12"/>
    </row>
    <row r="468" spans="1:27" ht="15.75" customHeight="1">
      <c r="A468" s="12"/>
      <c r="B468" s="12"/>
      <c r="C468" s="12"/>
      <c r="D468" s="12"/>
      <c r="E468" s="12"/>
      <c r="F468" s="12"/>
      <c r="G468" s="12"/>
      <c r="H468" s="12"/>
      <c r="I468" s="12"/>
      <c r="J468" s="12"/>
      <c r="K468" s="12"/>
      <c r="L468" s="12"/>
      <c r="M468" s="12"/>
      <c r="N468" s="12"/>
      <c r="O468" s="12"/>
      <c r="P468" s="12"/>
      <c r="Q468" s="12"/>
      <c r="R468" s="12"/>
      <c r="S468" s="12"/>
      <c r="T468" s="12"/>
      <c r="U468" s="12"/>
      <c r="W468" s="67"/>
      <c r="X468" s="12"/>
      <c r="Y468" s="12"/>
      <c r="Z468" s="12"/>
      <c r="AA468" s="12"/>
    </row>
    <row r="469" spans="1:27" ht="15.75" customHeight="1">
      <c r="A469" s="12"/>
      <c r="B469" s="12"/>
      <c r="C469" s="12"/>
      <c r="D469" s="12"/>
      <c r="E469" s="12"/>
      <c r="F469" s="12"/>
      <c r="G469" s="12"/>
      <c r="H469" s="12"/>
      <c r="I469" s="12"/>
      <c r="J469" s="12"/>
      <c r="K469" s="12"/>
      <c r="L469" s="12"/>
      <c r="M469" s="12"/>
      <c r="N469" s="12"/>
      <c r="O469" s="12"/>
      <c r="P469" s="12"/>
      <c r="Q469" s="12"/>
      <c r="R469" s="12"/>
      <c r="S469" s="12"/>
      <c r="T469" s="12"/>
      <c r="U469" s="12"/>
      <c r="W469" s="67"/>
      <c r="X469" s="12"/>
      <c r="Y469" s="12"/>
      <c r="Z469" s="12"/>
      <c r="AA469" s="12"/>
    </row>
    <row r="470" spans="1:27" ht="15.75" customHeight="1">
      <c r="A470" s="12"/>
      <c r="B470" s="12"/>
      <c r="C470" s="12"/>
      <c r="D470" s="12"/>
      <c r="E470" s="12"/>
      <c r="F470" s="12"/>
      <c r="G470" s="12"/>
      <c r="H470" s="12"/>
      <c r="I470" s="12"/>
      <c r="J470" s="12"/>
      <c r="K470" s="12"/>
      <c r="L470" s="12"/>
      <c r="M470" s="12"/>
      <c r="N470" s="12"/>
      <c r="O470" s="12"/>
      <c r="P470" s="12"/>
      <c r="Q470" s="12"/>
      <c r="R470" s="12"/>
      <c r="S470" s="12"/>
      <c r="T470" s="12"/>
      <c r="U470" s="12"/>
      <c r="W470" s="67"/>
      <c r="X470" s="12"/>
      <c r="Y470" s="12"/>
      <c r="Z470" s="12"/>
      <c r="AA470" s="12"/>
    </row>
    <row r="471" spans="1:27" ht="15.75" customHeight="1">
      <c r="A471" s="12"/>
      <c r="B471" s="12"/>
      <c r="C471" s="12"/>
      <c r="D471" s="12"/>
      <c r="E471" s="12"/>
      <c r="F471" s="12"/>
      <c r="G471" s="12"/>
      <c r="H471" s="12"/>
      <c r="I471" s="12"/>
      <c r="J471" s="12"/>
      <c r="K471" s="12"/>
      <c r="L471" s="12"/>
      <c r="M471" s="12"/>
      <c r="N471" s="12"/>
      <c r="O471" s="12"/>
      <c r="P471" s="12"/>
      <c r="Q471" s="12"/>
      <c r="R471" s="12"/>
      <c r="S471" s="12"/>
      <c r="T471" s="12"/>
      <c r="U471" s="12"/>
      <c r="W471" s="67"/>
      <c r="X471" s="12"/>
      <c r="Y471" s="12"/>
      <c r="Z471" s="12"/>
      <c r="AA471" s="12"/>
    </row>
    <row r="472" spans="1:27" ht="15.75" customHeight="1">
      <c r="A472" s="12"/>
      <c r="B472" s="12"/>
      <c r="C472" s="12"/>
      <c r="D472" s="12"/>
      <c r="E472" s="12"/>
      <c r="F472" s="12"/>
      <c r="G472" s="12"/>
      <c r="H472" s="12"/>
      <c r="I472" s="12"/>
      <c r="J472" s="12"/>
      <c r="K472" s="12"/>
      <c r="L472" s="12"/>
      <c r="M472" s="12"/>
      <c r="N472" s="12"/>
      <c r="O472" s="12"/>
      <c r="P472" s="12"/>
      <c r="Q472" s="12"/>
      <c r="R472" s="12"/>
      <c r="S472" s="12"/>
      <c r="T472" s="12"/>
      <c r="U472" s="12"/>
      <c r="W472" s="67"/>
      <c r="X472" s="12"/>
      <c r="Y472" s="12"/>
      <c r="Z472" s="12"/>
      <c r="AA472" s="12"/>
    </row>
    <row r="473" spans="1:27" ht="15.75" customHeight="1">
      <c r="A473" s="12"/>
      <c r="B473" s="12"/>
      <c r="C473" s="12"/>
      <c r="D473" s="12"/>
      <c r="E473" s="12"/>
      <c r="F473" s="12"/>
      <c r="G473" s="12"/>
      <c r="H473" s="12"/>
      <c r="I473" s="12"/>
      <c r="J473" s="12"/>
      <c r="K473" s="12"/>
      <c r="L473" s="12"/>
      <c r="M473" s="12"/>
      <c r="N473" s="12"/>
      <c r="O473" s="12"/>
      <c r="P473" s="12"/>
      <c r="Q473" s="12"/>
      <c r="R473" s="12"/>
      <c r="S473" s="12"/>
      <c r="T473" s="12"/>
      <c r="U473" s="12"/>
      <c r="W473" s="67"/>
      <c r="X473" s="12"/>
      <c r="Y473" s="12"/>
      <c r="Z473" s="12"/>
      <c r="AA473" s="12"/>
    </row>
    <row r="474" spans="1:27" ht="15.75" customHeight="1">
      <c r="A474" s="12"/>
      <c r="B474" s="12"/>
      <c r="C474" s="12"/>
      <c r="D474" s="12"/>
      <c r="E474" s="12"/>
      <c r="F474" s="12"/>
      <c r="G474" s="12"/>
      <c r="H474" s="12"/>
      <c r="I474" s="12"/>
      <c r="J474" s="12"/>
      <c r="K474" s="12"/>
      <c r="L474" s="12"/>
      <c r="M474" s="12"/>
      <c r="N474" s="12"/>
      <c r="O474" s="12"/>
      <c r="P474" s="12"/>
      <c r="Q474" s="12"/>
      <c r="R474" s="12"/>
      <c r="S474" s="12"/>
      <c r="T474" s="12"/>
      <c r="U474" s="12"/>
      <c r="W474" s="67"/>
      <c r="X474" s="12"/>
      <c r="Y474" s="12"/>
      <c r="Z474" s="12"/>
      <c r="AA474" s="12"/>
    </row>
    <row r="475" spans="1:27" ht="15.75" customHeight="1">
      <c r="A475" s="12"/>
      <c r="B475" s="12"/>
      <c r="C475" s="12"/>
      <c r="D475" s="12"/>
      <c r="E475" s="12"/>
      <c r="F475" s="12"/>
      <c r="G475" s="12"/>
      <c r="H475" s="12"/>
      <c r="I475" s="12"/>
      <c r="J475" s="12"/>
      <c r="K475" s="12"/>
      <c r="L475" s="12"/>
      <c r="M475" s="12"/>
      <c r="N475" s="12"/>
      <c r="O475" s="12"/>
      <c r="P475" s="12"/>
      <c r="Q475" s="12"/>
      <c r="R475" s="12"/>
      <c r="S475" s="12"/>
      <c r="T475" s="12"/>
      <c r="U475" s="12"/>
      <c r="W475" s="67"/>
      <c r="X475" s="12"/>
      <c r="Y475" s="12"/>
      <c r="Z475" s="12"/>
      <c r="AA475" s="12"/>
    </row>
    <row r="476" spans="1:27" ht="15.75" customHeight="1">
      <c r="A476" s="12"/>
      <c r="B476" s="12"/>
      <c r="C476" s="12"/>
      <c r="D476" s="12"/>
      <c r="E476" s="12"/>
      <c r="F476" s="12"/>
      <c r="G476" s="12"/>
      <c r="H476" s="12"/>
      <c r="I476" s="12"/>
      <c r="J476" s="12"/>
      <c r="K476" s="12"/>
      <c r="L476" s="12"/>
      <c r="M476" s="12"/>
      <c r="N476" s="12"/>
      <c r="O476" s="12"/>
      <c r="P476" s="12"/>
      <c r="Q476" s="12"/>
      <c r="R476" s="12"/>
      <c r="S476" s="12"/>
      <c r="T476" s="12"/>
      <c r="U476" s="12"/>
      <c r="W476" s="67"/>
      <c r="X476" s="12"/>
      <c r="Y476" s="12"/>
      <c r="Z476" s="12"/>
      <c r="AA476" s="12"/>
    </row>
    <row r="477" spans="1:27" ht="15.75" customHeight="1">
      <c r="A477" s="12"/>
      <c r="B477" s="12"/>
      <c r="C477" s="12"/>
      <c r="D477" s="12"/>
      <c r="E477" s="12"/>
      <c r="F477" s="12"/>
      <c r="G477" s="12"/>
      <c r="H477" s="12"/>
      <c r="I477" s="12"/>
      <c r="J477" s="12"/>
      <c r="K477" s="12"/>
      <c r="L477" s="12"/>
      <c r="M477" s="12"/>
      <c r="N477" s="12"/>
      <c r="O477" s="12"/>
      <c r="P477" s="12"/>
      <c r="Q477" s="12"/>
      <c r="R477" s="12"/>
      <c r="S477" s="12"/>
      <c r="T477" s="12"/>
      <c r="U477" s="12"/>
      <c r="W477" s="67"/>
      <c r="X477" s="12"/>
      <c r="Y477" s="12"/>
      <c r="Z477" s="12"/>
      <c r="AA477" s="12"/>
    </row>
    <row r="478" spans="1:27" ht="15.75" customHeight="1">
      <c r="A478" s="12"/>
      <c r="B478" s="12"/>
      <c r="C478" s="12"/>
      <c r="D478" s="12"/>
      <c r="E478" s="12"/>
      <c r="F478" s="12"/>
      <c r="G478" s="12"/>
      <c r="H478" s="12"/>
      <c r="I478" s="12"/>
      <c r="J478" s="12"/>
      <c r="K478" s="12"/>
      <c r="L478" s="12"/>
      <c r="M478" s="12"/>
      <c r="N478" s="12"/>
      <c r="O478" s="12"/>
      <c r="P478" s="12"/>
      <c r="Q478" s="12"/>
      <c r="R478" s="12"/>
      <c r="S478" s="12"/>
      <c r="T478" s="12"/>
      <c r="U478" s="12"/>
      <c r="W478" s="67"/>
      <c r="X478" s="12"/>
      <c r="Y478" s="12"/>
      <c r="Z478" s="12"/>
      <c r="AA478" s="12"/>
    </row>
    <row r="479" spans="1:27" ht="15.75" customHeight="1">
      <c r="A479" s="12"/>
      <c r="B479" s="12"/>
      <c r="C479" s="12"/>
      <c r="D479" s="12"/>
      <c r="E479" s="12"/>
      <c r="F479" s="12"/>
      <c r="G479" s="12"/>
      <c r="H479" s="12"/>
      <c r="I479" s="12"/>
      <c r="J479" s="12"/>
      <c r="K479" s="12"/>
      <c r="L479" s="12"/>
      <c r="M479" s="12"/>
      <c r="N479" s="12"/>
      <c r="O479" s="12"/>
      <c r="P479" s="12"/>
      <c r="Q479" s="12"/>
      <c r="R479" s="12"/>
      <c r="S479" s="12"/>
      <c r="T479" s="12"/>
      <c r="U479" s="12"/>
      <c r="W479" s="67"/>
      <c r="X479" s="12"/>
      <c r="Y479" s="12"/>
      <c r="Z479" s="12"/>
      <c r="AA479" s="12"/>
    </row>
    <row r="480" spans="1:27" ht="15.75" customHeight="1">
      <c r="A480" s="12"/>
      <c r="B480" s="12"/>
      <c r="C480" s="12"/>
      <c r="D480" s="12"/>
      <c r="E480" s="12"/>
      <c r="F480" s="12"/>
      <c r="G480" s="12"/>
      <c r="H480" s="12"/>
      <c r="I480" s="12"/>
      <c r="J480" s="12"/>
      <c r="K480" s="12"/>
      <c r="L480" s="12"/>
      <c r="M480" s="12"/>
      <c r="N480" s="12"/>
      <c r="O480" s="12"/>
      <c r="P480" s="12"/>
      <c r="Q480" s="12"/>
      <c r="R480" s="12"/>
      <c r="S480" s="12"/>
      <c r="T480" s="12"/>
      <c r="U480" s="12"/>
      <c r="W480" s="67"/>
      <c r="X480" s="12"/>
      <c r="Y480" s="12"/>
      <c r="Z480" s="12"/>
      <c r="AA480" s="12"/>
    </row>
    <row r="481" spans="1:27" ht="15.75" customHeight="1">
      <c r="A481" s="12"/>
      <c r="B481" s="12"/>
      <c r="C481" s="12"/>
      <c r="D481" s="12"/>
      <c r="E481" s="12"/>
      <c r="F481" s="12"/>
      <c r="G481" s="12"/>
      <c r="H481" s="12"/>
      <c r="I481" s="12"/>
      <c r="J481" s="12"/>
      <c r="K481" s="12"/>
      <c r="L481" s="12"/>
      <c r="M481" s="12"/>
      <c r="N481" s="12"/>
      <c r="O481" s="12"/>
      <c r="P481" s="12"/>
      <c r="Q481" s="12"/>
      <c r="R481" s="12"/>
      <c r="S481" s="12"/>
      <c r="T481" s="12"/>
      <c r="U481" s="12"/>
      <c r="W481" s="67"/>
      <c r="X481" s="12"/>
      <c r="Y481" s="12"/>
      <c r="Z481" s="12"/>
      <c r="AA481" s="12"/>
    </row>
    <row r="482" spans="1:27" ht="15.75" customHeight="1">
      <c r="A482" s="12"/>
      <c r="B482" s="12"/>
      <c r="C482" s="12"/>
      <c r="D482" s="12"/>
      <c r="E482" s="12"/>
      <c r="F482" s="12"/>
      <c r="G482" s="12"/>
      <c r="H482" s="12"/>
      <c r="I482" s="12"/>
      <c r="J482" s="12"/>
      <c r="K482" s="12"/>
      <c r="L482" s="12"/>
      <c r="M482" s="12"/>
      <c r="N482" s="12"/>
      <c r="O482" s="12"/>
      <c r="P482" s="12"/>
      <c r="Q482" s="12"/>
      <c r="R482" s="12"/>
      <c r="S482" s="12"/>
      <c r="T482" s="12"/>
      <c r="U482" s="12"/>
      <c r="W482" s="67"/>
      <c r="X482" s="12"/>
      <c r="Y482" s="12"/>
      <c r="Z482" s="12"/>
      <c r="AA482" s="12"/>
    </row>
    <row r="483" spans="1:27" ht="15.75" customHeight="1">
      <c r="A483" s="12"/>
      <c r="B483" s="12"/>
      <c r="C483" s="12"/>
      <c r="D483" s="12"/>
      <c r="E483" s="12"/>
      <c r="F483" s="12"/>
      <c r="G483" s="12"/>
      <c r="H483" s="12"/>
      <c r="I483" s="12"/>
      <c r="J483" s="12"/>
      <c r="K483" s="12"/>
      <c r="L483" s="12"/>
      <c r="M483" s="12"/>
      <c r="N483" s="12"/>
      <c r="O483" s="12"/>
      <c r="P483" s="12"/>
      <c r="Q483" s="12"/>
      <c r="R483" s="12"/>
      <c r="S483" s="12"/>
      <c r="T483" s="12"/>
      <c r="U483" s="12"/>
      <c r="W483" s="67"/>
      <c r="X483" s="12"/>
      <c r="Y483" s="12"/>
      <c r="Z483" s="12"/>
      <c r="AA483" s="12"/>
    </row>
    <row r="484" spans="1:27" ht="15.75" customHeight="1">
      <c r="A484" s="12"/>
      <c r="B484" s="12"/>
      <c r="C484" s="12"/>
      <c r="D484" s="12"/>
      <c r="E484" s="12"/>
      <c r="F484" s="12"/>
      <c r="G484" s="12"/>
      <c r="H484" s="12"/>
      <c r="I484" s="12"/>
      <c r="J484" s="12"/>
      <c r="K484" s="12"/>
      <c r="L484" s="12"/>
      <c r="M484" s="12"/>
      <c r="N484" s="12"/>
      <c r="O484" s="12"/>
      <c r="P484" s="12"/>
      <c r="Q484" s="12"/>
      <c r="R484" s="12"/>
      <c r="S484" s="12"/>
      <c r="T484" s="12"/>
      <c r="U484" s="12"/>
      <c r="W484" s="67"/>
      <c r="X484" s="12"/>
      <c r="Y484" s="12"/>
      <c r="Z484" s="12"/>
      <c r="AA484" s="12"/>
    </row>
    <row r="485" spans="1:27" ht="15.75" customHeight="1">
      <c r="A485" s="12"/>
      <c r="B485" s="12"/>
      <c r="C485" s="12"/>
      <c r="D485" s="12"/>
      <c r="E485" s="12"/>
      <c r="F485" s="12"/>
      <c r="G485" s="12"/>
      <c r="H485" s="12"/>
      <c r="I485" s="12"/>
      <c r="J485" s="12"/>
      <c r="K485" s="12"/>
      <c r="L485" s="12"/>
      <c r="M485" s="12"/>
      <c r="N485" s="12"/>
      <c r="O485" s="12"/>
      <c r="P485" s="12"/>
      <c r="Q485" s="12"/>
      <c r="R485" s="12"/>
      <c r="S485" s="12"/>
      <c r="T485" s="12"/>
      <c r="U485" s="12"/>
      <c r="W485" s="67"/>
      <c r="X485" s="12"/>
      <c r="Y485" s="12"/>
      <c r="Z485" s="12"/>
      <c r="AA485" s="12"/>
    </row>
    <row r="486" spans="1:27" ht="15.75" customHeight="1">
      <c r="A486" s="12"/>
      <c r="B486" s="12"/>
      <c r="C486" s="12"/>
      <c r="D486" s="12"/>
      <c r="E486" s="12"/>
      <c r="F486" s="12"/>
      <c r="G486" s="12"/>
      <c r="H486" s="12"/>
      <c r="I486" s="12"/>
      <c r="J486" s="12"/>
      <c r="K486" s="12"/>
      <c r="L486" s="12"/>
      <c r="M486" s="12"/>
      <c r="N486" s="12"/>
      <c r="O486" s="12"/>
      <c r="P486" s="12"/>
      <c r="Q486" s="12"/>
      <c r="R486" s="12"/>
      <c r="S486" s="12"/>
      <c r="T486" s="12"/>
      <c r="U486" s="12"/>
      <c r="W486" s="67"/>
      <c r="X486" s="12"/>
      <c r="Y486" s="12"/>
      <c r="Z486" s="12"/>
      <c r="AA486" s="12"/>
    </row>
    <row r="487" spans="1:27" ht="15.75" customHeight="1">
      <c r="A487" s="12"/>
      <c r="B487" s="12"/>
      <c r="C487" s="12"/>
      <c r="D487" s="12"/>
      <c r="E487" s="12"/>
      <c r="F487" s="12"/>
      <c r="G487" s="12"/>
      <c r="H487" s="12"/>
      <c r="I487" s="12"/>
      <c r="J487" s="12"/>
      <c r="K487" s="12"/>
      <c r="L487" s="12"/>
      <c r="M487" s="12"/>
      <c r="N487" s="12"/>
      <c r="O487" s="12"/>
      <c r="P487" s="12"/>
      <c r="Q487" s="12"/>
      <c r="R487" s="12"/>
      <c r="S487" s="12"/>
      <c r="T487" s="12"/>
      <c r="U487" s="12"/>
      <c r="W487" s="67"/>
      <c r="X487" s="12"/>
      <c r="Y487" s="12"/>
      <c r="Z487" s="12"/>
      <c r="AA487" s="12"/>
    </row>
    <row r="488" spans="1:27" ht="15.75" customHeight="1">
      <c r="A488" s="12"/>
      <c r="B488" s="12"/>
      <c r="C488" s="12"/>
      <c r="D488" s="12"/>
      <c r="E488" s="12"/>
      <c r="F488" s="12"/>
      <c r="G488" s="12"/>
      <c r="H488" s="12"/>
      <c r="I488" s="12"/>
      <c r="J488" s="12"/>
      <c r="K488" s="12"/>
      <c r="L488" s="12"/>
      <c r="M488" s="12"/>
      <c r="N488" s="12"/>
      <c r="O488" s="12"/>
      <c r="P488" s="12"/>
      <c r="Q488" s="12"/>
      <c r="R488" s="12"/>
      <c r="S488" s="12"/>
      <c r="T488" s="12"/>
      <c r="U488" s="12"/>
      <c r="W488" s="67"/>
      <c r="X488" s="12"/>
      <c r="Y488" s="12"/>
      <c r="Z488" s="12"/>
      <c r="AA488" s="12"/>
    </row>
    <row r="489" spans="1:27" ht="15.75" customHeight="1">
      <c r="A489" s="12"/>
      <c r="B489" s="12"/>
      <c r="C489" s="12"/>
      <c r="D489" s="12"/>
      <c r="E489" s="12"/>
      <c r="F489" s="12"/>
      <c r="G489" s="12"/>
      <c r="H489" s="12"/>
      <c r="I489" s="12"/>
      <c r="J489" s="12"/>
      <c r="K489" s="12"/>
      <c r="L489" s="12"/>
      <c r="M489" s="12"/>
      <c r="N489" s="12"/>
      <c r="O489" s="12"/>
      <c r="P489" s="12"/>
      <c r="Q489" s="12"/>
      <c r="R489" s="12"/>
      <c r="S489" s="12"/>
      <c r="T489" s="12"/>
      <c r="U489" s="12"/>
      <c r="W489" s="67"/>
      <c r="X489" s="12"/>
      <c r="Y489" s="12"/>
      <c r="Z489" s="12"/>
      <c r="AA489" s="12"/>
    </row>
    <row r="490" spans="1:27" ht="15.75" customHeight="1">
      <c r="A490" s="12"/>
      <c r="B490" s="12"/>
      <c r="C490" s="12"/>
      <c r="D490" s="12"/>
      <c r="E490" s="12"/>
      <c r="F490" s="12"/>
      <c r="G490" s="12"/>
      <c r="H490" s="12"/>
      <c r="I490" s="12"/>
      <c r="J490" s="12"/>
      <c r="K490" s="12"/>
      <c r="L490" s="12"/>
      <c r="M490" s="12"/>
      <c r="N490" s="12"/>
      <c r="O490" s="12"/>
      <c r="P490" s="12"/>
      <c r="Q490" s="12"/>
      <c r="R490" s="12"/>
      <c r="S490" s="12"/>
      <c r="T490" s="12"/>
      <c r="U490" s="12"/>
      <c r="W490" s="67"/>
      <c r="X490" s="12"/>
      <c r="Y490" s="12"/>
      <c r="Z490" s="12"/>
      <c r="AA490" s="12"/>
    </row>
    <row r="491" spans="1:27" ht="15.75" customHeight="1">
      <c r="A491" s="12"/>
      <c r="B491" s="12"/>
      <c r="C491" s="12"/>
      <c r="D491" s="12"/>
      <c r="E491" s="12"/>
      <c r="F491" s="12"/>
      <c r="G491" s="12"/>
      <c r="H491" s="12"/>
      <c r="I491" s="12"/>
      <c r="J491" s="12"/>
      <c r="K491" s="12"/>
      <c r="L491" s="12"/>
      <c r="M491" s="12"/>
      <c r="N491" s="12"/>
      <c r="O491" s="12"/>
      <c r="P491" s="12"/>
      <c r="Q491" s="12"/>
      <c r="R491" s="12"/>
      <c r="S491" s="12"/>
      <c r="T491" s="12"/>
      <c r="U491" s="12"/>
      <c r="W491" s="67"/>
      <c r="X491" s="12"/>
      <c r="Y491" s="12"/>
      <c r="Z491" s="12"/>
      <c r="AA491" s="12"/>
    </row>
    <row r="492" spans="1:27" ht="15.75" customHeight="1">
      <c r="A492" s="12"/>
      <c r="B492" s="12"/>
      <c r="C492" s="12"/>
      <c r="D492" s="12"/>
      <c r="E492" s="12"/>
      <c r="F492" s="12"/>
      <c r="G492" s="12"/>
      <c r="H492" s="12"/>
      <c r="I492" s="12"/>
      <c r="J492" s="12"/>
      <c r="K492" s="12"/>
      <c r="L492" s="12"/>
      <c r="M492" s="12"/>
      <c r="N492" s="12"/>
      <c r="O492" s="12"/>
      <c r="P492" s="12"/>
      <c r="Q492" s="12"/>
      <c r="R492" s="12"/>
      <c r="S492" s="12"/>
      <c r="T492" s="12"/>
      <c r="U492" s="12"/>
      <c r="W492" s="67"/>
      <c r="X492" s="12"/>
      <c r="Y492" s="12"/>
      <c r="Z492" s="12"/>
      <c r="AA492" s="12"/>
    </row>
    <row r="493" spans="1:27" ht="15.75" customHeight="1">
      <c r="A493" s="12"/>
      <c r="B493" s="12"/>
      <c r="C493" s="12"/>
      <c r="D493" s="12"/>
      <c r="E493" s="12"/>
      <c r="F493" s="12"/>
      <c r="G493" s="12"/>
      <c r="H493" s="12"/>
      <c r="I493" s="12"/>
      <c r="J493" s="12"/>
      <c r="K493" s="12"/>
      <c r="L493" s="12"/>
      <c r="M493" s="12"/>
      <c r="N493" s="12"/>
      <c r="O493" s="12"/>
      <c r="P493" s="12"/>
      <c r="Q493" s="12"/>
      <c r="R493" s="12"/>
      <c r="S493" s="12"/>
      <c r="T493" s="12"/>
      <c r="U493" s="12"/>
      <c r="W493" s="67"/>
      <c r="X493" s="12"/>
      <c r="Y493" s="12"/>
      <c r="Z493" s="12"/>
      <c r="AA493" s="12"/>
    </row>
    <row r="494" spans="1:27" ht="15.75" customHeight="1">
      <c r="A494" s="12"/>
      <c r="B494" s="12"/>
      <c r="C494" s="12"/>
      <c r="D494" s="12"/>
      <c r="E494" s="12"/>
      <c r="F494" s="12"/>
      <c r="G494" s="12"/>
      <c r="H494" s="12"/>
      <c r="I494" s="12"/>
      <c r="J494" s="12"/>
      <c r="K494" s="12"/>
      <c r="L494" s="12"/>
      <c r="M494" s="12"/>
      <c r="N494" s="12"/>
      <c r="O494" s="12"/>
      <c r="P494" s="12"/>
      <c r="Q494" s="12"/>
      <c r="R494" s="12"/>
      <c r="S494" s="12"/>
      <c r="T494" s="12"/>
      <c r="U494" s="12"/>
      <c r="W494" s="67"/>
      <c r="X494" s="12"/>
      <c r="Y494" s="12"/>
      <c r="Z494" s="12"/>
      <c r="AA494" s="12"/>
    </row>
    <row r="495" spans="1:27" ht="15.75" customHeight="1">
      <c r="A495" s="12"/>
      <c r="B495" s="12"/>
      <c r="C495" s="12"/>
      <c r="D495" s="12"/>
      <c r="E495" s="12"/>
      <c r="F495" s="12"/>
      <c r="G495" s="12"/>
      <c r="H495" s="12"/>
      <c r="I495" s="12"/>
      <c r="J495" s="12"/>
      <c r="K495" s="12"/>
      <c r="L495" s="12"/>
      <c r="M495" s="12"/>
      <c r="N495" s="12"/>
      <c r="O495" s="12"/>
      <c r="P495" s="12"/>
      <c r="Q495" s="12"/>
      <c r="R495" s="12"/>
      <c r="S495" s="12"/>
      <c r="T495" s="12"/>
      <c r="U495" s="12"/>
      <c r="W495" s="67"/>
      <c r="X495" s="12"/>
      <c r="Y495" s="12"/>
      <c r="Z495" s="12"/>
      <c r="AA495" s="12"/>
    </row>
    <row r="496" spans="1:27" ht="15.75" customHeight="1">
      <c r="A496" s="12"/>
      <c r="B496" s="12"/>
      <c r="C496" s="12"/>
      <c r="D496" s="12"/>
      <c r="E496" s="12"/>
      <c r="F496" s="12"/>
      <c r="G496" s="12"/>
      <c r="H496" s="12"/>
      <c r="I496" s="12"/>
      <c r="J496" s="12"/>
      <c r="K496" s="12"/>
      <c r="L496" s="12"/>
      <c r="M496" s="12"/>
      <c r="N496" s="12"/>
      <c r="O496" s="12"/>
      <c r="P496" s="12"/>
      <c r="Q496" s="12"/>
      <c r="R496" s="12"/>
      <c r="S496" s="12"/>
      <c r="T496" s="12"/>
      <c r="U496" s="12"/>
      <c r="W496" s="67"/>
      <c r="X496" s="12"/>
      <c r="Y496" s="12"/>
      <c r="Z496" s="12"/>
      <c r="AA496" s="12"/>
    </row>
    <row r="497" spans="1:27" ht="15.75" customHeight="1">
      <c r="A497" s="12"/>
      <c r="B497" s="12"/>
      <c r="C497" s="12"/>
      <c r="D497" s="12"/>
      <c r="E497" s="12"/>
      <c r="F497" s="12"/>
      <c r="G497" s="12"/>
      <c r="H497" s="12"/>
      <c r="I497" s="12"/>
      <c r="J497" s="12"/>
      <c r="K497" s="12"/>
      <c r="L497" s="12"/>
      <c r="M497" s="12"/>
      <c r="N497" s="12"/>
      <c r="O497" s="12"/>
      <c r="P497" s="12"/>
      <c r="Q497" s="12"/>
      <c r="R497" s="12"/>
      <c r="S497" s="12"/>
      <c r="T497" s="12"/>
      <c r="U497" s="12"/>
      <c r="W497" s="67"/>
      <c r="X497" s="12"/>
      <c r="Y497" s="12"/>
      <c r="Z497" s="12"/>
      <c r="AA497" s="12"/>
    </row>
    <row r="498" spans="1:27" ht="15.75" customHeight="1">
      <c r="A498" s="12"/>
      <c r="B498" s="12"/>
      <c r="C498" s="12"/>
      <c r="D498" s="12"/>
      <c r="E498" s="12"/>
      <c r="F498" s="12"/>
      <c r="G498" s="12"/>
      <c r="H498" s="12"/>
      <c r="I498" s="12"/>
      <c r="J498" s="12"/>
      <c r="K498" s="12"/>
      <c r="L498" s="12"/>
      <c r="M498" s="12"/>
      <c r="N498" s="12"/>
      <c r="O498" s="12"/>
      <c r="P498" s="12"/>
      <c r="Q498" s="12"/>
      <c r="R498" s="12"/>
      <c r="S498" s="12"/>
      <c r="T498" s="12"/>
      <c r="U498" s="12"/>
      <c r="W498" s="67"/>
      <c r="X498" s="12"/>
      <c r="Y498" s="12"/>
      <c r="Z498" s="12"/>
      <c r="AA498" s="12"/>
    </row>
    <row r="499" spans="1:27" ht="15.75" customHeight="1">
      <c r="A499" s="12"/>
      <c r="B499" s="12"/>
      <c r="C499" s="12"/>
      <c r="D499" s="12"/>
      <c r="E499" s="12"/>
      <c r="F499" s="12"/>
      <c r="G499" s="12"/>
      <c r="H499" s="12"/>
      <c r="I499" s="12"/>
      <c r="J499" s="12"/>
      <c r="K499" s="12"/>
      <c r="L499" s="12"/>
      <c r="M499" s="12"/>
      <c r="N499" s="12"/>
      <c r="O499" s="12"/>
      <c r="P499" s="12"/>
      <c r="Q499" s="12"/>
      <c r="R499" s="12"/>
      <c r="S499" s="12"/>
      <c r="T499" s="12"/>
      <c r="U499" s="12"/>
      <c r="W499" s="67"/>
      <c r="X499" s="12"/>
      <c r="Y499" s="12"/>
      <c r="Z499" s="12"/>
      <c r="AA499" s="12"/>
    </row>
    <row r="500" spans="1:27" ht="15.75" customHeight="1">
      <c r="A500" s="12"/>
      <c r="B500" s="12"/>
      <c r="C500" s="12"/>
      <c r="D500" s="12"/>
      <c r="E500" s="12"/>
      <c r="F500" s="12"/>
      <c r="G500" s="12"/>
      <c r="H500" s="12"/>
      <c r="I500" s="12"/>
      <c r="J500" s="12"/>
      <c r="K500" s="12"/>
      <c r="L500" s="12"/>
      <c r="M500" s="12"/>
      <c r="N500" s="12"/>
      <c r="O500" s="12"/>
      <c r="P500" s="12"/>
      <c r="Q500" s="12"/>
      <c r="R500" s="12"/>
      <c r="S500" s="12"/>
      <c r="T500" s="12"/>
      <c r="U500" s="12"/>
      <c r="W500" s="67"/>
      <c r="X500" s="12"/>
      <c r="Y500" s="12"/>
      <c r="Z500" s="12"/>
      <c r="AA500" s="12"/>
    </row>
    <row r="501" spans="1:27" ht="15.75" customHeight="1">
      <c r="A501" s="12"/>
      <c r="B501" s="12"/>
      <c r="C501" s="12"/>
      <c r="D501" s="12"/>
      <c r="E501" s="12"/>
      <c r="F501" s="12"/>
      <c r="G501" s="12"/>
      <c r="H501" s="12"/>
      <c r="I501" s="12"/>
      <c r="J501" s="12"/>
      <c r="K501" s="12"/>
      <c r="L501" s="12"/>
      <c r="M501" s="12"/>
      <c r="N501" s="12"/>
      <c r="O501" s="12"/>
      <c r="P501" s="12"/>
      <c r="Q501" s="12"/>
      <c r="R501" s="12"/>
      <c r="S501" s="12"/>
      <c r="T501" s="12"/>
      <c r="U501" s="12"/>
      <c r="W501" s="67"/>
      <c r="X501" s="12"/>
      <c r="Y501" s="12"/>
      <c r="Z501" s="12"/>
      <c r="AA501" s="12"/>
    </row>
    <row r="502" spans="1:27" ht="15.75" customHeight="1">
      <c r="A502" s="12"/>
      <c r="B502" s="12"/>
      <c r="C502" s="12"/>
      <c r="D502" s="12"/>
      <c r="E502" s="12"/>
      <c r="F502" s="12"/>
      <c r="G502" s="12"/>
      <c r="H502" s="12"/>
      <c r="I502" s="12"/>
      <c r="J502" s="12"/>
      <c r="K502" s="12"/>
      <c r="L502" s="12"/>
      <c r="M502" s="12"/>
      <c r="N502" s="12"/>
      <c r="O502" s="12"/>
      <c r="P502" s="12"/>
      <c r="Q502" s="12"/>
      <c r="R502" s="12"/>
      <c r="S502" s="12"/>
      <c r="T502" s="12"/>
      <c r="U502" s="12"/>
      <c r="W502" s="67"/>
      <c r="X502" s="12"/>
      <c r="Y502" s="12"/>
      <c r="Z502" s="12"/>
      <c r="AA502" s="12"/>
    </row>
    <row r="503" spans="1:27" ht="15.75" customHeight="1">
      <c r="A503" s="12"/>
      <c r="B503" s="12"/>
      <c r="C503" s="12"/>
      <c r="D503" s="12"/>
      <c r="E503" s="12"/>
      <c r="F503" s="12"/>
      <c r="G503" s="12"/>
      <c r="H503" s="12"/>
      <c r="I503" s="12"/>
      <c r="J503" s="12"/>
      <c r="K503" s="12"/>
      <c r="L503" s="12"/>
      <c r="M503" s="12"/>
      <c r="N503" s="12"/>
      <c r="O503" s="12"/>
      <c r="P503" s="12"/>
      <c r="Q503" s="12"/>
      <c r="R503" s="12"/>
      <c r="S503" s="12"/>
      <c r="T503" s="12"/>
      <c r="U503" s="12"/>
      <c r="W503" s="67"/>
      <c r="X503" s="12"/>
      <c r="Y503" s="12"/>
      <c r="Z503" s="12"/>
      <c r="AA503" s="12"/>
    </row>
    <row r="504" spans="1:27" ht="15.75" customHeight="1">
      <c r="A504" s="12"/>
      <c r="B504" s="12"/>
      <c r="C504" s="12"/>
      <c r="D504" s="12"/>
      <c r="E504" s="12"/>
      <c r="F504" s="12"/>
      <c r="G504" s="12"/>
      <c r="H504" s="12"/>
      <c r="I504" s="12"/>
      <c r="J504" s="12"/>
      <c r="K504" s="12"/>
      <c r="L504" s="12"/>
      <c r="M504" s="12"/>
      <c r="N504" s="12"/>
      <c r="O504" s="12"/>
      <c r="P504" s="12"/>
      <c r="Q504" s="12"/>
      <c r="R504" s="12"/>
      <c r="S504" s="12"/>
      <c r="T504" s="12"/>
      <c r="U504" s="12"/>
      <c r="W504" s="67"/>
      <c r="X504" s="12"/>
      <c r="Y504" s="12"/>
      <c r="Z504" s="12"/>
      <c r="AA504" s="12"/>
    </row>
    <row r="505" spans="1:27" ht="15.75" customHeight="1">
      <c r="A505" s="12"/>
      <c r="B505" s="12"/>
      <c r="C505" s="12"/>
      <c r="D505" s="12"/>
      <c r="E505" s="12"/>
      <c r="F505" s="12"/>
      <c r="G505" s="12"/>
      <c r="H505" s="12"/>
      <c r="I505" s="12"/>
      <c r="J505" s="12"/>
      <c r="K505" s="12"/>
      <c r="L505" s="12"/>
      <c r="M505" s="12"/>
      <c r="N505" s="12"/>
      <c r="O505" s="12"/>
      <c r="P505" s="12"/>
      <c r="Q505" s="12"/>
      <c r="R505" s="12"/>
      <c r="S505" s="12"/>
      <c r="T505" s="12"/>
      <c r="U505" s="12"/>
      <c r="W505" s="67"/>
      <c r="X505" s="12"/>
      <c r="Y505" s="12"/>
      <c r="Z505" s="12"/>
      <c r="AA505" s="12"/>
    </row>
    <row r="506" spans="1:27" ht="15.75" customHeight="1">
      <c r="A506" s="12"/>
      <c r="B506" s="12"/>
      <c r="C506" s="12"/>
      <c r="D506" s="12"/>
      <c r="E506" s="12"/>
      <c r="F506" s="12"/>
      <c r="G506" s="12"/>
      <c r="H506" s="12"/>
      <c r="I506" s="12"/>
      <c r="J506" s="12"/>
      <c r="K506" s="12"/>
      <c r="L506" s="12"/>
      <c r="M506" s="12"/>
      <c r="N506" s="12"/>
      <c r="O506" s="12"/>
      <c r="P506" s="12"/>
      <c r="Q506" s="12"/>
      <c r="R506" s="12"/>
      <c r="S506" s="12"/>
      <c r="T506" s="12"/>
      <c r="U506" s="12"/>
      <c r="W506" s="67"/>
      <c r="X506" s="12"/>
      <c r="Y506" s="12"/>
      <c r="Z506" s="12"/>
      <c r="AA506" s="12"/>
    </row>
    <row r="507" spans="1:27" ht="15.75" customHeight="1">
      <c r="A507" s="12"/>
      <c r="B507" s="12"/>
      <c r="C507" s="12"/>
      <c r="D507" s="12"/>
      <c r="E507" s="12"/>
      <c r="F507" s="12"/>
      <c r="G507" s="12"/>
      <c r="H507" s="12"/>
      <c r="I507" s="12"/>
      <c r="J507" s="12"/>
      <c r="K507" s="12"/>
      <c r="L507" s="12"/>
      <c r="M507" s="12"/>
      <c r="N507" s="12"/>
      <c r="O507" s="12"/>
      <c r="P507" s="12"/>
      <c r="Q507" s="12"/>
      <c r="R507" s="12"/>
      <c r="S507" s="12"/>
      <c r="T507" s="12"/>
      <c r="U507" s="12"/>
      <c r="W507" s="67"/>
      <c r="X507" s="12"/>
      <c r="Y507" s="12"/>
      <c r="Z507" s="12"/>
      <c r="AA507" s="12"/>
    </row>
    <row r="508" spans="1:27" ht="15.75" customHeight="1">
      <c r="A508" s="12"/>
      <c r="B508" s="12"/>
      <c r="C508" s="12"/>
      <c r="D508" s="12"/>
      <c r="E508" s="12"/>
      <c r="F508" s="12"/>
      <c r="G508" s="12"/>
      <c r="H508" s="12"/>
      <c r="I508" s="12"/>
      <c r="J508" s="12"/>
      <c r="K508" s="12"/>
      <c r="L508" s="12"/>
      <c r="M508" s="12"/>
      <c r="N508" s="12"/>
      <c r="O508" s="12"/>
      <c r="P508" s="12"/>
      <c r="Q508" s="12"/>
      <c r="R508" s="12"/>
      <c r="S508" s="12"/>
      <c r="T508" s="12"/>
      <c r="U508" s="12"/>
      <c r="W508" s="67"/>
      <c r="X508" s="12"/>
      <c r="Y508" s="12"/>
      <c r="Z508" s="12"/>
      <c r="AA508" s="12"/>
    </row>
    <row r="509" spans="1:27" ht="15.75" customHeight="1">
      <c r="A509" s="12"/>
      <c r="B509" s="12"/>
      <c r="C509" s="12"/>
      <c r="D509" s="12"/>
      <c r="E509" s="12"/>
      <c r="F509" s="12"/>
      <c r="G509" s="12"/>
      <c r="H509" s="12"/>
      <c r="I509" s="12"/>
      <c r="J509" s="12"/>
      <c r="K509" s="12"/>
      <c r="L509" s="12"/>
      <c r="M509" s="12"/>
      <c r="N509" s="12"/>
      <c r="O509" s="12"/>
      <c r="P509" s="12"/>
      <c r="Q509" s="12"/>
      <c r="R509" s="12"/>
      <c r="S509" s="12"/>
      <c r="T509" s="12"/>
      <c r="U509" s="12"/>
      <c r="W509" s="67"/>
      <c r="X509" s="12"/>
      <c r="Y509" s="12"/>
      <c r="Z509" s="12"/>
      <c r="AA509" s="12"/>
    </row>
    <row r="510" spans="1:27" ht="15.75" customHeight="1">
      <c r="A510" s="12"/>
      <c r="B510" s="12"/>
      <c r="C510" s="12"/>
      <c r="D510" s="12"/>
      <c r="E510" s="12"/>
      <c r="F510" s="12"/>
      <c r="G510" s="12"/>
      <c r="H510" s="12"/>
      <c r="I510" s="12"/>
      <c r="J510" s="12"/>
      <c r="K510" s="12"/>
      <c r="L510" s="12"/>
      <c r="M510" s="12"/>
      <c r="N510" s="12"/>
      <c r="O510" s="12"/>
      <c r="P510" s="12"/>
      <c r="Q510" s="12"/>
      <c r="R510" s="12"/>
      <c r="S510" s="12"/>
      <c r="T510" s="12"/>
      <c r="U510" s="12"/>
      <c r="W510" s="67"/>
      <c r="X510" s="12"/>
      <c r="Y510" s="12"/>
      <c r="Z510" s="12"/>
      <c r="AA510" s="12"/>
    </row>
    <row r="511" spans="1:27" ht="15.75" customHeight="1">
      <c r="A511" s="12"/>
      <c r="B511" s="12"/>
      <c r="C511" s="12"/>
      <c r="D511" s="12"/>
      <c r="E511" s="12"/>
      <c r="F511" s="12"/>
      <c r="G511" s="12"/>
      <c r="H511" s="12"/>
      <c r="I511" s="12"/>
      <c r="J511" s="12"/>
      <c r="K511" s="12"/>
      <c r="L511" s="12"/>
      <c r="M511" s="12"/>
      <c r="N511" s="12"/>
      <c r="O511" s="12"/>
      <c r="P511" s="12"/>
      <c r="Q511" s="12"/>
      <c r="R511" s="12"/>
      <c r="S511" s="12"/>
      <c r="T511" s="12"/>
      <c r="U511" s="12"/>
      <c r="W511" s="67"/>
      <c r="X511" s="12"/>
      <c r="Y511" s="12"/>
      <c r="Z511" s="12"/>
      <c r="AA511" s="12"/>
    </row>
    <row r="512" spans="1:27" ht="15.75" customHeight="1">
      <c r="A512" s="12"/>
      <c r="B512" s="12"/>
      <c r="C512" s="12"/>
      <c r="D512" s="12"/>
      <c r="E512" s="12"/>
      <c r="F512" s="12"/>
      <c r="G512" s="12"/>
      <c r="H512" s="12"/>
      <c r="I512" s="12"/>
      <c r="J512" s="12"/>
      <c r="K512" s="12"/>
      <c r="L512" s="12"/>
      <c r="M512" s="12"/>
      <c r="N512" s="12"/>
      <c r="O512" s="12"/>
      <c r="P512" s="12"/>
      <c r="Q512" s="12"/>
      <c r="R512" s="12"/>
      <c r="S512" s="12"/>
      <c r="T512" s="12"/>
      <c r="U512" s="12"/>
      <c r="W512" s="67"/>
      <c r="X512" s="12"/>
      <c r="Y512" s="12"/>
      <c r="Z512" s="12"/>
      <c r="AA512" s="12"/>
    </row>
    <row r="513" spans="1:27" ht="15.75" customHeight="1">
      <c r="A513" s="12"/>
      <c r="B513" s="12"/>
      <c r="C513" s="12"/>
      <c r="D513" s="12"/>
      <c r="E513" s="12"/>
      <c r="F513" s="12"/>
      <c r="G513" s="12"/>
      <c r="H513" s="12"/>
      <c r="I513" s="12"/>
      <c r="J513" s="12"/>
      <c r="K513" s="12"/>
      <c r="L513" s="12"/>
      <c r="M513" s="12"/>
      <c r="N513" s="12"/>
      <c r="O513" s="12"/>
      <c r="P513" s="12"/>
      <c r="Q513" s="12"/>
      <c r="R513" s="12"/>
      <c r="S513" s="12"/>
      <c r="T513" s="12"/>
      <c r="U513" s="12"/>
      <c r="W513" s="67"/>
      <c r="X513" s="12"/>
      <c r="Y513" s="12"/>
      <c r="Z513" s="12"/>
      <c r="AA513" s="12"/>
    </row>
    <row r="514" spans="1:27" ht="15.75" customHeight="1">
      <c r="A514" s="12"/>
      <c r="B514" s="12"/>
      <c r="C514" s="12"/>
      <c r="D514" s="12"/>
      <c r="E514" s="12"/>
      <c r="F514" s="12"/>
      <c r="G514" s="12"/>
      <c r="H514" s="12"/>
      <c r="I514" s="12"/>
      <c r="J514" s="12"/>
      <c r="K514" s="12"/>
      <c r="L514" s="12"/>
      <c r="M514" s="12"/>
      <c r="N514" s="12"/>
      <c r="O514" s="12"/>
      <c r="P514" s="12"/>
      <c r="Q514" s="12"/>
      <c r="R514" s="12"/>
      <c r="S514" s="12"/>
      <c r="T514" s="12"/>
      <c r="U514" s="12"/>
      <c r="W514" s="67"/>
      <c r="X514" s="12"/>
      <c r="Y514" s="12"/>
      <c r="Z514" s="12"/>
      <c r="AA514" s="12"/>
    </row>
    <row r="515" spans="1:27" ht="15.75" customHeight="1">
      <c r="A515" s="12"/>
      <c r="B515" s="12"/>
      <c r="C515" s="12"/>
      <c r="D515" s="12"/>
      <c r="E515" s="12"/>
      <c r="F515" s="12"/>
      <c r="G515" s="12"/>
      <c r="H515" s="12"/>
      <c r="I515" s="12"/>
      <c r="J515" s="12"/>
      <c r="K515" s="12"/>
      <c r="L515" s="12"/>
      <c r="M515" s="12"/>
      <c r="N515" s="12"/>
      <c r="O515" s="12"/>
      <c r="P515" s="12"/>
      <c r="Q515" s="12"/>
      <c r="R515" s="12"/>
      <c r="S515" s="12"/>
      <c r="T515" s="12"/>
      <c r="U515" s="12"/>
      <c r="W515" s="67"/>
      <c r="X515" s="12"/>
      <c r="Y515" s="12"/>
      <c r="Z515" s="12"/>
      <c r="AA515" s="12"/>
    </row>
    <row r="516" spans="1:27" ht="15.75" customHeight="1">
      <c r="A516" s="12"/>
      <c r="B516" s="12"/>
      <c r="C516" s="12"/>
      <c r="D516" s="12"/>
      <c r="E516" s="12"/>
      <c r="F516" s="12"/>
      <c r="G516" s="12"/>
      <c r="H516" s="12"/>
      <c r="I516" s="12"/>
      <c r="J516" s="12"/>
      <c r="K516" s="12"/>
      <c r="L516" s="12"/>
      <c r="M516" s="12"/>
      <c r="N516" s="12"/>
      <c r="O516" s="12"/>
      <c r="P516" s="12"/>
      <c r="Q516" s="12"/>
      <c r="R516" s="12"/>
      <c r="S516" s="12"/>
      <c r="T516" s="12"/>
      <c r="U516" s="12"/>
      <c r="W516" s="67"/>
      <c r="X516" s="12"/>
      <c r="Y516" s="12"/>
      <c r="Z516" s="12"/>
      <c r="AA516" s="12"/>
    </row>
    <row r="517" spans="1:27" ht="15.75" customHeight="1">
      <c r="A517" s="12"/>
      <c r="B517" s="12"/>
      <c r="C517" s="12"/>
      <c r="D517" s="12"/>
      <c r="E517" s="12"/>
      <c r="F517" s="12"/>
      <c r="G517" s="12"/>
      <c r="H517" s="12"/>
      <c r="I517" s="12"/>
      <c r="J517" s="12"/>
      <c r="K517" s="12"/>
      <c r="L517" s="12"/>
      <c r="M517" s="12"/>
      <c r="N517" s="12"/>
      <c r="O517" s="12"/>
      <c r="P517" s="12"/>
      <c r="Q517" s="12"/>
      <c r="R517" s="12"/>
      <c r="S517" s="12"/>
      <c r="T517" s="12"/>
      <c r="U517" s="12"/>
      <c r="W517" s="67"/>
      <c r="X517" s="12"/>
      <c r="Y517" s="12"/>
      <c r="Z517" s="12"/>
      <c r="AA517" s="12"/>
    </row>
    <row r="518" spans="1:27" ht="15.75" customHeight="1">
      <c r="A518" s="12"/>
      <c r="B518" s="12"/>
      <c r="C518" s="12"/>
      <c r="D518" s="12"/>
      <c r="E518" s="12"/>
      <c r="F518" s="12"/>
      <c r="G518" s="12"/>
      <c r="H518" s="12"/>
      <c r="I518" s="12"/>
      <c r="J518" s="12"/>
      <c r="K518" s="12"/>
      <c r="L518" s="12"/>
      <c r="M518" s="12"/>
      <c r="N518" s="12"/>
      <c r="O518" s="12"/>
      <c r="P518" s="12"/>
      <c r="Q518" s="12"/>
      <c r="R518" s="12"/>
      <c r="S518" s="12"/>
      <c r="T518" s="12"/>
      <c r="U518" s="12"/>
      <c r="W518" s="67"/>
      <c r="X518" s="12"/>
      <c r="Y518" s="12"/>
      <c r="Z518" s="12"/>
      <c r="AA518" s="12"/>
    </row>
    <row r="519" spans="1:27" ht="15.75" customHeight="1">
      <c r="A519" s="12"/>
      <c r="B519" s="12"/>
      <c r="C519" s="12"/>
      <c r="D519" s="12"/>
      <c r="E519" s="12"/>
      <c r="F519" s="12"/>
      <c r="G519" s="12"/>
      <c r="H519" s="12"/>
      <c r="I519" s="12"/>
      <c r="J519" s="12"/>
      <c r="K519" s="12"/>
      <c r="L519" s="12"/>
      <c r="M519" s="12"/>
      <c r="N519" s="12"/>
      <c r="O519" s="12"/>
      <c r="P519" s="12"/>
      <c r="Q519" s="12"/>
      <c r="R519" s="12"/>
      <c r="S519" s="12"/>
      <c r="T519" s="12"/>
      <c r="U519" s="12"/>
      <c r="W519" s="67"/>
      <c r="X519" s="12"/>
      <c r="Y519" s="12"/>
      <c r="Z519" s="12"/>
      <c r="AA519" s="12"/>
    </row>
    <row r="520" spans="1:27" ht="15.75" customHeight="1">
      <c r="A520" s="12"/>
      <c r="B520" s="12"/>
      <c r="C520" s="12"/>
      <c r="D520" s="12"/>
      <c r="E520" s="12"/>
      <c r="F520" s="12"/>
      <c r="G520" s="12"/>
      <c r="H520" s="12"/>
      <c r="I520" s="12"/>
      <c r="J520" s="12"/>
      <c r="K520" s="12"/>
      <c r="L520" s="12"/>
      <c r="M520" s="12"/>
      <c r="N520" s="12"/>
      <c r="O520" s="12"/>
      <c r="P520" s="12"/>
      <c r="Q520" s="12"/>
      <c r="R520" s="12"/>
      <c r="S520" s="12"/>
      <c r="T520" s="12"/>
      <c r="U520" s="12"/>
      <c r="W520" s="67"/>
      <c r="X520" s="12"/>
      <c r="Y520" s="12"/>
      <c r="Z520" s="12"/>
      <c r="AA520" s="12"/>
    </row>
    <row r="521" spans="1:27" ht="15.75" customHeight="1">
      <c r="A521" s="12"/>
      <c r="B521" s="12"/>
      <c r="C521" s="12"/>
      <c r="D521" s="12"/>
      <c r="E521" s="12"/>
      <c r="F521" s="12"/>
      <c r="G521" s="12"/>
      <c r="H521" s="12"/>
      <c r="I521" s="12"/>
      <c r="J521" s="12"/>
      <c r="K521" s="12"/>
      <c r="L521" s="12"/>
      <c r="M521" s="12"/>
      <c r="N521" s="12"/>
      <c r="O521" s="12"/>
      <c r="P521" s="12"/>
      <c r="Q521" s="12"/>
      <c r="R521" s="12"/>
      <c r="S521" s="12"/>
      <c r="T521" s="12"/>
      <c r="U521" s="12"/>
      <c r="W521" s="67"/>
      <c r="X521" s="12"/>
      <c r="Y521" s="12"/>
      <c r="Z521" s="12"/>
      <c r="AA521" s="12"/>
    </row>
    <row r="522" spans="1:27" ht="15.75" customHeight="1">
      <c r="A522" s="12"/>
      <c r="B522" s="12"/>
      <c r="C522" s="12"/>
      <c r="D522" s="12"/>
      <c r="E522" s="12"/>
      <c r="F522" s="12"/>
      <c r="G522" s="12"/>
      <c r="H522" s="12"/>
      <c r="I522" s="12"/>
      <c r="J522" s="12"/>
      <c r="K522" s="12"/>
      <c r="L522" s="12"/>
      <c r="M522" s="12"/>
      <c r="N522" s="12"/>
      <c r="O522" s="12"/>
      <c r="P522" s="12"/>
      <c r="Q522" s="12"/>
      <c r="R522" s="12"/>
      <c r="S522" s="12"/>
      <c r="T522" s="12"/>
      <c r="U522" s="12"/>
      <c r="W522" s="67"/>
      <c r="X522" s="12"/>
      <c r="Y522" s="12"/>
      <c r="Z522" s="12"/>
      <c r="AA522" s="12"/>
    </row>
    <row r="523" spans="1:27" ht="15.75" customHeight="1">
      <c r="A523" s="12"/>
      <c r="B523" s="12"/>
      <c r="C523" s="12"/>
      <c r="D523" s="12"/>
      <c r="E523" s="12"/>
      <c r="F523" s="12"/>
      <c r="G523" s="12"/>
      <c r="H523" s="12"/>
      <c r="I523" s="12"/>
      <c r="J523" s="12"/>
      <c r="K523" s="12"/>
      <c r="L523" s="12"/>
      <c r="M523" s="12"/>
      <c r="N523" s="12"/>
      <c r="O523" s="12"/>
      <c r="P523" s="12"/>
      <c r="Q523" s="12"/>
      <c r="R523" s="12"/>
      <c r="S523" s="12"/>
      <c r="T523" s="12"/>
      <c r="U523" s="12"/>
      <c r="W523" s="67"/>
      <c r="X523" s="12"/>
      <c r="Y523" s="12"/>
      <c r="Z523" s="12"/>
      <c r="AA523" s="12"/>
    </row>
    <row r="524" spans="1:27" ht="15.75" customHeight="1">
      <c r="A524" s="12"/>
      <c r="B524" s="12"/>
      <c r="C524" s="12"/>
      <c r="D524" s="12"/>
      <c r="E524" s="12"/>
      <c r="F524" s="12"/>
      <c r="G524" s="12"/>
      <c r="H524" s="12"/>
      <c r="I524" s="12"/>
      <c r="J524" s="12"/>
      <c r="K524" s="12"/>
      <c r="L524" s="12"/>
      <c r="M524" s="12"/>
      <c r="N524" s="12"/>
      <c r="O524" s="12"/>
      <c r="P524" s="12"/>
      <c r="Q524" s="12"/>
      <c r="R524" s="12"/>
      <c r="S524" s="12"/>
      <c r="T524" s="12"/>
      <c r="U524" s="12"/>
      <c r="W524" s="67"/>
      <c r="X524" s="12"/>
      <c r="Y524" s="12"/>
      <c r="Z524" s="12"/>
      <c r="AA524" s="12"/>
    </row>
    <row r="525" spans="1:27" ht="15.75" customHeight="1">
      <c r="A525" s="12"/>
      <c r="B525" s="12"/>
      <c r="C525" s="12"/>
      <c r="D525" s="12"/>
      <c r="E525" s="12"/>
      <c r="F525" s="12"/>
      <c r="G525" s="12"/>
      <c r="H525" s="12"/>
      <c r="I525" s="12"/>
      <c r="J525" s="12"/>
      <c r="K525" s="12"/>
      <c r="L525" s="12"/>
      <c r="M525" s="12"/>
      <c r="N525" s="12"/>
      <c r="O525" s="12"/>
      <c r="P525" s="12"/>
      <c r="Q525" s="12"/>
      <c r="R525" s="12"/>
      <c r="S525" s="12"/>
      <c r="T525" s="12"/>
      <c r="U525" s="12"/>
      <c r="W525" s="67"/>
      <c r="X525" s="12"/>
      <c r="Y525" s="12"/>
      <c r="Z525" s="12"/>
      <c r="AA525" s="12"/>
    </row>
    <row r="526" spans="1:27" ht="15.75" customHeight="1">
      <c r="A526" s="12"/>
      <c r="B526" s="12"/>
      <c r="C526" s="12"/>
      <c r="D526" s="12"/>
      <c r="E526" s="12"/>
      <c r="F526" s="12"/>
      <c r="G526" s="12"/>
      <c r="H526" s="12"/>
      <c r="I526" s="12"/>
      <c r="J526" s="12"/>
      <c r="K526" s="12"/>
      <c r="L526" s="12"/>
      <c r="M526" s="12"/>
      <c r="N526" s="12"/>
      <c r="O526" s="12"/>
      <c r="P526" s="12"/>
      <c r="Q526" s="12"/>
      <c r="R526" s="12"/>
      <c r="S526" s="12"/>
      <c r="T526" s="12"/>
      <c r="U526" s="12"/>
      <c r="W526" s="67"/>
      <c r="X526" s="12"/>
      <c r="Y526" s="12"/>
      <c r="Z526" s="12"/>
      <c r="AA526" s="12"/>
    </row>
    <row r="527" spans="1:27" ht="15.75" customHeight="1">
      <c r="A527" s="12"/>
      <c r="B527" s="12"/>
      <c r="C527" s="12"/>
      <c r="D527" s="12"/>
      <c r="E527" s="12"/>
      <c r="F527" s="12"/>
      <c r="G527" s="12"/>
      <c r="H527" s="12"/>
      <c r="I527" s="12"/>
      <c r="J527" s="12"/>
      <c r="K527" s="12"/>
      <c r="L527" s="12"/>
      <c r="M527" s="12"/>
      <c r="N527" s="12"/>
      <c r="O527" s="12"/>
      <c r="P527" s="12"/>
      <c r="Q527" s="12"/>
      <c r="R527" s="12"/>
      <c r="S527" s="12"/>
      <c r="T527" s="12"/>
      <c r="U527" s="12"/>
      <c r="W527" s="67"/>
      <c r="X527" s="12"/>
      <c r="Y527" s="12"/>
      <c r="Z527" s="12"/>
      <c r="AA527" s="12"/>
    </row>
    <row r="528" spans="1:27" ht="15.75" customHeight="1">
      <c r="A528" s="12"/>
      <c r="B528" s="12"/>
      <c r="C528" s="12"/>
      <c r="D528" s="12"/>
      <c r="E528" s="12"/>
      <c r="F528" s="12"/>
      <c r="G528" s="12"/>
      <c r="H528" s="12"/>
      <c r="I528" s="12"/>
      <c r="J528" s="12"/>
      <c r="K528" s="12"/>
      <c r="L528" s="12"/>
      <c r="M528" s="12"/>
      <c r="N528" s="12"/>
      <c r="O528" s="12"/>
      <c r="P528" s="12"/>
      <c r="Q528" s="12"/>
      <c r="R528" s="12"/>
      <c r="S528" s="12"/>
      <c r="T528" s="12"/>
      <c r="U528" s="12"/>
      <c r="W528" s="67"/>
      <c r="X528" s="12"/>
      <c r="Y528" s="12"/>
      <c r="Z528" s="12"/>
      <c r="AA528" s="12"/>
    </row>
    <row r="529" spans="1:27" ht="15.75" customHeight="1">
      <c r="A529" s="12"/>
      <c r="B529" s="12"/>
      <c r="C529" s="12"/>
      <c r="D529" s="12"/>
      <c r="E529" s="12"/>
      <c r="F529" s="12"/>
      <c r="G529" s="12"/>
      <c r="H529" s="12"/>
      <c r="I529" s="12"/>
      <c r="J529" s="12"/>
      <c r="K529" s="12"/>
      <c r="L529" s="12"/>
      <c r="M529" s="12"/>
      <c r="N529" s="12"/>
      <c r="O529" s="12"/>
      <c r="P529" s="12"/>
      <c r="Q529" s="12"/>
      <c r="R529" s="12"/>
      <c r="S529" s="12"/>
      <c r="T529" s="12"/>
      <c r="U529" s="12"/>
      <c r="W529" s="67"/>
      <c r="X529" s="12"/>
      <c r="Y529" s="12"/>
      <c r="Z529" s="12"/>
      <c r="AA529" s="12"/>
    </row>
    <row r="530" spans="1:27" ht="15.75" customHeight="1">
      <c r="A530" s="12"/>
      <c r="B530" s="12"/>
      <c r="C530" s="12"/>
      <c r="D530" s="12"/>
      <c r="E530" s="12"/>
      <c r="F530" s="12"/>
      <c r="G530" s="12"/>
      <c r="H530" s="12"/>
      <c r="I530" s="12"/>
      <c r="J530" s="12"/>
      <c r="K530" s="12"/>
      <c r="L530" s="12"/>
      <c r="M530" s="12"/>
      <c r="N530" s="12"/>
      <c r="O530" s="12"/>
      <c r="P530" s="12"/>
      <c r="Q530" s="12"/>
      <c r="R530" s="12"/>
      <c r="S530" s="12"/>
      <c r="T530" s="12"/>
      <c r="U530" s="12"/>
      <c r="W530" s="67"/>
      <c r="X530" s="12"/>
      <c r="Y530" s="12"/>
      <c r="Z530" s="12"/>
      <c r="AA530" s="12"/>
    </row>
    <row r="531" spans="1:27" ht="15.75" customHeight="1">
      <c r="A531" s="12"/>
      <c r="B531" s="12"/>
      <c r="C531" s="12"/>
      <c r="D531" s="12"/>
      <c r="E531" s="12"/>
      <c r="F531" s="12"/>
      <c r="G531" s="12"/>
      <c r="H531" s="12"/>
      <c r="I531" s="12"/>
      <c r="J531" s="12"/>
      <c r="K531" s="12"/>
      <c r="L531" s="12"/>
      <c r="M531" s="12"/>
      <c r="N531" s="12"/>
      <c r="O531" s="12"/>
      <c r="P531" s="12"/>
      <c r="Q531" s="12"/>
      <c r="R531" s="12"/>
      <c r="S531" s="12"/>
      <c r="T531" s="12"/>
      <c r="U531" s="12"/>
      <c r="W531" s="67"/>
      <c r="X531" s="12"/>
      <c r="Y531" s="12"/>
      <c r="Z531" s="12"/>
      <c r="AA531" s="12"/>
    </row>
    <row r="532" spans="1:27" ht="15.75" customHeight="1">
      <c r="A532" s="12"/>
      <c r="B532" s="12"/>
      <c r="C532" s="12"/>
      <c r="D532" s="12"/>
      <c r="E532" s="12"/>
      <c r="F532" s="12"/>
      <c r="G532" s="12"/>
      <c r="H532" s="12"/>
      <c r="I532" s="12"/>
      <c r="J532" s="12"/>
      <c r="K532" s="12"/>
      <c r="L532" s="12"/>
      <c r="M532" s="12"/>
      <c r="N532" s="12"/>
      <c r="O532" s="12"/>
      <c r="P532" s="12"/>
      <c r="Q532" s="12"/>
      <c r="R532" s="12"/>
      <c r="S532" s="12"/>
      <c r="T532" s="12"/>
      <c r="U532" s="12"/>
      <c r="W532" s="67"/>
      <c r="X532" s="12"/>
      <c r="Y532" s="12"/>
      <c r="Z532" s="12"/>
      <c r="AA532" s="12"/>
    </row>
    <row r="533" spans="1:27" ht="15.75" customHeight="1">
      <c r="A533" s="12"/>
      <c r="B533" s="12"/>
      <c r="C533" s="12"/>
      <c r="D533" s="12"/>
      <c r="E533" s="12"/>
      <c r="F533" s="12"/>
      <c r="G533" s="12"/>
      <c r="H533" s="12"/>
      <c r="I533" s="12"/>
      <c r="J533" s="12"/>
      <c r="K533" s="12"/>
      <c r="L533" s="12"/>
      <c r="M533" s="12"/>
      <c r="N533" s="12"/>
      <c r="O533" s="12"/>
      <c r="P533" s="12"/>
      <c r="Q533" s="12"/>
      <c r="R533" s="12"/>
      <c r="S533" s="12"/>
      <c r="T533" s="12"/>
      <c r="U533" s="12"/>
      <c r="W533" s="67"/>
      <c r="X533" s="12"/>
      <c r="Y533" s="12"/>
      <c r="Z533" s="12"/>
      <c r="AA533" s="12"/>
    </row>
    <row r="534" spans="1:27" ht="15.75" customHeight="1">
      <c r="A534" s="12"/>
      <c r="B534" s="12"/>
      <c r="C534" s="12"/>
      <c r="D534" s="12"/>
      <c r="E534" s="12"/>
      <c r="F534" s="12"/>
      <c r="G534" s="12"/>
      <c r="H534" s="12"/>
      <c r="I534" s="12"/>
      <c r="J534" s="12"/>
      <c r="K534" s="12"/>
      <c r="L534" s="12"/>
      <c r="M534" s="12"/>
      <c r="N534" s="12"/>
      <c r="O534" s="12"/>
      <c r="P534" s="12"/>
      <c r="Q534" s="12"/>
      <c r="R534" s="12"/>
      <c r="S534" s="12"/>
      <c r="T534" s="12"/>
      <c r="U534" s="12"/>
      <c r="W534" s="67"/>
      <c r="X534" s="12"/>
      <c r="Y534" s="12"/>
      <c r="Z534" s="12"/>
      <c r="AA534" s="12"/>
    </row>
    <row r="535" spans="1:27" ht="15.75" customHeight="1">
      <c r="A535" s="12"/>
      <c r="B535" s="12"/>
      <c r="C535" s="12"/>
      <c r="D535" s="12"/>
      <c r="E535" s="12"/>
      <c r="F535" s="12"/>
      <c r="G535" s="12"/>
      <c r="H535" s="12"/>
      <c r="I535" s="12"/>
      <c r="J535" s="12"/>
      <c r="K535" s="12"/>
      <c r="L535" s="12"/>
      <c r="M535" s="12"/>
      <c r="N535" s="12"/>
      <c r="O535" s="12"/>
      <c r="P535" s="12"/>
      <c r="Q535" s="12"/>
      <c r="R535" s="12"/>
      <c r="S535" s="12"/>
      <c r="T535" s="12"/>
      <c r="U535" s="12"/>
      <c r="W535" s="67"/>
      <c r="X535" s="12"/>
      <c r="Y535" s="12"/>
      <c r="Z535" s="12"/>
      <c r="AA535" s="12"/>
    </row>
    <row r="536" spans="1:27" ht="15.75" customHeight="1">
      <c r="A536" s="12"/>
      <c r="B536" s="12"/>
      <c r="C536" s="12"/>
      <c r="D536" s="12"/>
      <c r="E536" s="12"/>
      <c r="F536" s="12"/>
      <c r="G536" s="12"/>
      <c r="H536" s="12"/>
      <c r="I536" s="12"/>
      <c r="J536" s="12"/>
      <c r="K536" s="12"/>
      <c r="L536" s="12"/>
      <c r="M536" s="12"/>
      <c r="N536" s="12"/>
      <c r="O536" s="12"/>
      <c r="P536" s="12"/>
      <c r="Q536" s="12"/>
      <c r="R536" s="12"/>
      <c r="S536" s="12"/>
      <c r="T536" s="12"/>
      <c r="U536" s="12"/>
      <c r="W536" s="67"/>
      <c r="X536" s="12"/>
      <c r="Y536" s="12"/>
      <c r="Z536" s="12"/>
      <c r="AA536" s="12"/>
    </row>
    <row r="537" spans="1:27" ht="15.75" customHeight="1">
      <c r="A537" s="12"/>
      <c r="B537" s="12"/>
      <c r="C537" s="12"/>
      <c r="D537" s="12"/>
      <c r="E537" s="12"/>
      <c r="F537" s="12"/>
      <c r="G537" s="12"/>
      <c r="H537" s="12"/>
      <c r="I537" s="12"/>
      <c r="J537" s="12"/>
      <c r="K537" s="12"/>
      <c r="L537" s="12"/>
      <c r="M537" s="12"/>
      <c r="N537" s="12"/>
      <c r="O537" s="12"/>
      <c r="P537" s="12"/>
      <c r="Q537" s="12"/>
      <c r="R537" s="12"/>
      <c r="S537" s="12"/>
      <c r="T537" s="12"/>
      <c r="U537" s="12"/>
      <c r="W537" s="67"/>
      <c r="X537" s="12"/>
      <c r="Y537" s="12"/>
      <c r="Z537" s="12"/>
      <c r="AA537" s="12"/>
    </row>
    <row r="538" spans="1:27" ht="15.75" customHeight="1">
      <c r="A538" s="12"/>
      <c r="B538" s="12"/>
      <c r="C538" s="12"/>
      <c r="D538" s="12"/>
      <c r="E538" s="12"/>
      <c r="F538" s="12"/>
      <c r="G538" s="12"/>
      <c r="H538" s="12"/>
      <c r="I538" s="12"/>
      <c r="J538" s="12"/>
      <c r="K538" s="12"/>
      <c r="L538" s="12"/>
      <c r="M538" s="12"/>
      <c r="N538" s="12"/>
      <c r="O538" s="12"/>
      <c r="P538" s="12"/>
      <c r="Q538" s="12"/>
      <c r="R538" s="12"/>
      <c r="S538" s="12"/>
      <c r="T538" s="12"/>
      <c r="U538" s="12"/>
      <c r="W538" s="67"/>
      <c r="X538" s="12"/>
      <c r="Y538" s="12"/>
      <c r="Z538" s="12"/>
      <c r="AA538" s="12"/>
    </row>
    <row r="539" spans="1:27" ht="15.75" customHeight="1">
      <c r="A539" s="12"/>
      <c r="B539" s="12"/>
      <c r="C539" s="12"/>
      <c r="D539" s="12"/>
      <c r="E539" s="12"/>
      <c r="F539" s="12"/>
      <c r="G539" s="12"/>
      <c r="H539" s="12"/>
      <c r="I539" s="12"/>
      <c r="J539" s="12"/>
      <c r="K539" s="12"/>
      <c r="L539" s="12"/>
      <c r="M539" s="12"/>
      <c r="N539" s="12"/>
      <c r="O539" s="12"/>
      <c r="P539" s="12"/>
      <c r="Q539" s="12"/>
      <c r="R539" s="12"/>
      <c r="S539" s="12"/>
      <c r="T539" s="12"/>
      <c r="U539" s="12"/>
      <c r="W539" s="67"/>
      <c r="X539" s="12"/>
      <c r="Y539" s="12"/>
      <c r="Z539" s="12"/>
      <c r="AA539" s="12"/>
    </row>
    <row r="540" spans="1:27" ht="15.75" customHeight="1">
      <c r="A540" s="12"/>
      <c r="B540" s="12"/>
      <c r="C540" s="12"/>
      <c r="D540" s="12"/>
      <c r="E540" s="12"/>
      <c r="F540" s="12"/>
      <c r="G540" s="12"/>
      <c r="H540" s="12"/>
      <c r="I540" s="12"/>
      <c r="J540" s="12"/>
      <c r="K540" s="12"/>
      <c r="L540" s="12"/>
      <c r="M540" s="12"/>
      <c r="N540" s="12"/>
      <c r="O540" s="12"/>
      <c r="P540" s="12"/>
      <c r="Q540" s="12"/>
      <c r="R540" s="12"/>
      <c r="S540" s="12"/>
      <c r="T540" s="12"/>
      <c r="U540" s="12"/>
      <c r="W540" s="67"/>
      <c r="X540" s="12"/>
      <c r="Y540" s="12"/>
      <c r="Z540" s="12"/>
      <c r="AA540" s="12"/>
    </row>
    <row r="541" spans="1:27" ht="15.75" customHeight="1">
      <c r="A541" s="12"/>
      <c r="B541" s="12"/>
      <c r="C541" s="12"/>
      <c r="D541" s="12"/>
      <c r="E541" s="12"/>
      <c r="F541" s="12"/>
      <c r="G541" s="12"/>
      <c r="H541" s="12"/>
      <c r="I541" s="12"/>
      <c r="J541" s="12"/>
      <c r="K541" s="12"/>
      <c r="L541" s="12"/>
      <c r="M541" s="12"/>
      <c r="N541" s="12"/>
      <c r="O541" s="12"/>
      <c r="P541" s="12"/>
      <c r="Q541" s="12"/>
      <c r="R541" s="12"/>
      <c r="S541" s="12"/>
      <c r="T541" s="12"/>
      <c r="U541" s="12"/>
      <c r="W541" s="67"/>
      <c r="X541" s="12"/>
      <c r="Y541" s="12"/>
      <c r="Z541" s="12"/>
      <c r="AA541" s="12"/>
    </row>
    <row r="542" spans="1:27" ht="15.75" customHeight="1">
      <c r="A542" s="12"/>
      <c r="B542" s="12"/>
      <c r="C542" s="12"/>
      <c r="D542" s="12"/>
      <c r="E542" s="12"/>
      <c r="F542" s="12"/>
      <c r="G542" s="12"/>
      <c r="H542" s="12"/>
      <c r="I542" s="12"/>
      <c r="J542" s="12"/>
      <c r="K542" s="12"/>
      <c r="L542" s="12"/>
      <c r="M542" s="12"/>
      <c r="N542" s="12"/>
      <c r="O542" s="12"/>
      <c r="P542" s="12"/>
      <c r="Q542" s="12"/>
      <c r="R542" s="12"/>
      <c r="S542" s="12"/>
      <c r="T542" s="12"/>
      <c r="U542" s="12"/>
      <c r="W542" s="67"/>
      <c r="X542" s="12"/>
      <c r="Y542" s="12"/>
      <c r="Z542" s="12"/>
      <c r="AA542" s="12"/>
    </row>
    <row r="543" spans="1:27" ht="15.75" customHeight="1">
      <c r="A543" s="12"/>
      <c r="B543" s="12"/>
      <c r="C543" s="12"/>
      <c r="D543" s="12"/>
      <c r="E543" s="12"/>
      <c r="F543" s="12"/>
      <c r="G543" s="12"/>
      <c r="H543" s="12"/>
      <c r="I543" s="12"/>
      <c r="J543" s="12"/>
      <c r="K543" s="12"/>
      <c r="L543" s="12"/>
      <c r="M543" s="12"/>
      <c r="N543" s="12"/>
      <c r="O543" s="12"/>
      <c r="P543" s="12"/>
      <c r="Q543" s="12"/>
      <c r="R543" s="12"/>
      <c r="S543" s="12"/>
      <c r="T543" s="12"/>
      <c r="U543" s="12"/>
      <c r="W543" s="67"/>
      <c r="X543" s="12"/>
      <c r="Y543" s="12"/>
      <c r="Z543" s="12"/>
      <c r="AA543" s="12"/>
    </row>
    <row r="544" spans="1:27" ht="15.75" customHeight="1">
      <c r="A544" s="12"/>
      <c r="B544" s="12"/>
      <c r="C544" s="12"/>
      <c r="D544" s="12"/>
      <c r="E544" s="12"/>
      <c r="F544" s="12"/>
      <c r="G544" s="12"/>
      <c r="H544" s="12"/>
      <c r="I544" s="12"/>
      <c r="J544" s="12"/>
      <c r="K544" s="12"/>
      <c r="L544" s="12"/>
      <c r="M544" s="12"/>
      <c r="N544" s="12"/>
      <c r="O544" s="12"/>
      <c r="P544" s="12"/>
      <c r="Q544" s="12"/>
      <c r="R544" s="12"/>
      <c r="S544" s="12"/>
      <c r="T544" s="12"/>
      <c r="U544" s="12"/>
      <c r="W544" s="67"/>
      <c r="X544" s="12"/>
      <c r="Y544" s="12"/>
      <c r="Z544" s="12"/>
      <c r="AA544" s="12"/>
    </row>
    <row r="545" spans="1:27" ht="15.75" customHeight="1">
      <c r="A545" s="12"/>
      <c r="B545" s="12"/>
      <c r="C545" s="12"/>
      <c r="D545" s="12"/>
      <c r="E545" s="12"/>
      <c r="F545" s="12"/>
      <c r="G545" s="12"/>
      <c r="H545" s="12"/>
      <c r="I545" s="12"/>
      <c r="J545" s="12"/>
      <c r="K545" s="12"/>
      <c r="L545" s="12"/>
      <c r="M545" s="12"/>
      <c r="N545" s="12"/>
      <c r="O545" s="12"/>
      <c r="P545" s="12"/>
      <c r="Q545" s="12"/>
      <c r="R545" s="12"/>
      <c r="S545" s="12"/>
      <c r="T545" s="12"/>
      <c r="U545" s="12"/>
      <c r="W545" s="67"/>
      <c r="X545" s="12"/>
      <c r="Y545" s="12"/>
      <c r="Z545" s="12"/>
      <c r="AA545" s="12"/>
    </row>
    <row r="546" spans="1:27" ht="15.75" customHeight="1">
      <c r="A546" s="12"/>
      <c r="B546" s="12"/>
      <c r="C546" s="12"/>
      <c r="D546" s="12"/>
      <c r="E546" s="12"/>
      <c r="F546" s="12"/>
      <c r="G546" s="12"/>
      <c r="H546" s="12"/>
      <c r="I546" s="12"/>
      <c r="J546" s="12"/>
      <c r="K546" s="12"/>
      <c r="L546" s="12"/>
      <c r="M546" s="12"/>
      <c r="N546" s="12"/>
      <c r="O546" s="12"/>
      <c r="P546" s="12"/>
      <c r="Q546" s="12"/>
      <c r="R546" s="12"/>
      <c r="S546" s="12"/>
      <c r="T546" s="12"/>
      <c r="U546" s="12"/>
      <c r="W546" s="67"/>
      <c r="X546" s="12"/>
      <c r="Y546" s="12"/>
      <c r="Z546" s="12"/>
      <c r="AA546" s="12"/>
    </row>
    <row r="547" spans="1:27" ht="15.75" customHeight="1">
      <c r="A547" s="12"/>
      <c r="B547" s="12"/>
      <c r="C547" s="12"/>
      <c r="D547" s="12"/>
      <c r="E547" s="12"/>
      <c r="F547" s="12"/>
      <c r="G547" s="12"/>
      <c r="H547" s="12"/>
      <c r="I547" s="12"/>
      <c r="J547" s="12"/>
      <c r="K547" s="12"/>
      <c r="L547" s="12"/>
      <c r="M547" s="12"/>
      <c r="N547" s="12"/>
      <c r="O547" s="12"/>
      <c r="P547" s="12"/>
      <c r="Q547" s="12"/>
      <c r="R547" s="12"/>
      <c r="S547" s="12"/>
      <c r="T547" s="12"/>
      <c r="U547" s="12"/>
      <c r="W547" s="67"/>
      <c r="X547" s="12"/>
      <c r="Y547" s="12"/>
      <c r="Z547" s="12"/>
      <c r="AA547" s="12"/>
    </row>
    <row r="548" spans="1:27" ht="15.75" customHeight="1">
      <c r="A548" s="12"/>
      <c r="B548" s="12"/>
      <c r="C548" s="12"/>
      <c r="D548" s="12"/>
      <c r="E548" s="12"/>
      <c r="F548" s="12"/>
      <c r="G548" s="12"/>
      <c r="H548" s="12"/>
      <c r="I548" s="12"/>
      <c r="J548" s="12"/>
      <c r="K548" s="12"/>
      <c r="L548" s="12"/>
      <c r="M548" s="12"/>
      <c r="N548" s="12"/>
      <c r="O548" s="12"/>
      <c r="P548" s="12"/>
      <c r="Q548" s="12"/>
      <c r="R548" s="12"/>
      <c r="S548" s="12"/>
      <c r="T548" s="12"/>
      <c r="U548" s="12"/>
      <c r="W548" s="67"/>
      <c r="X548" s="12"/>
      <c r="Y548" s="12"/>
      <c r="Z548" s="12"/>
      <c r="AA548" s="12"/>
    </row>
    <row r="549" spans="1:27" ht="15.75" customHeight="1">
      <c r="A549" s="12"/>
      <c r="B549" s="12"/>
      <c r="C549" s="12"/>
      <c r="D549" s="12"/>
      <c r="E549" s="12"/>
      <c r="F549" s="12"/>
      <c r="G549" s="12"/>
      <c r="H549" s="12"/>
      <c r="I549" s="12"/>
      <c r="J549" s="12"/>
      <c r="K549" s="12"/>
      <c r="L549" s="12"/>
      <c r="M549" s="12"/>
      <c r="N549" s="12"/>
      <c r="O549" s="12"/>
      <c r="P549" s="12"/>
      <c r="Q549" s="12"/>
      <c r="R549" s="12"/>
      <c r="S549" s="12"/>
      <c r="T549" s="12"/>
      <c r="U549" s="12"/>
      <c r="W549" s="67"/>
      <c r="X549" s="12"/>
      <c r="Y549" s="12"/>
      <c r="Z549" s="12"/>
      <c r="AA549" s="12"/>
    </row>
    <row r="550" spans="1:27" ht="15.75" customHeight="1">
      <c r="A550" s="12"/>
      <c r="B550" s="12"/>
      <c r="C550" s="12"/>
      <c r="D550" s="12"/>
      <c r="E550" s="12"/>
      <c r="F550" s="12"/>
      <c r="G550" s="12"/>
      <c r="H550" s="12"/>
      <c r="I550" s="12"/>
      <c r="J550" s="12"/>
      <c r="K550" s="12"/>
      <c r="L550" s="12"/>
      <c r="M550" s="12"/>
      <c r="N550" s="12"/>
      <c r="O550" s="12"/>
      <c r="P550" s="12"/>
      <c r="Q550" s="12"/>
      <c r="R550" s="12"/>
      <c r="S550" s="12"/>
      <c r="T550" s="12"/>
      <c r="U550" s="12"/>
      <c r="W550" s="67"/>
      <c r="X550" s="12"/>
      <c r="Y550" s="12"/>
      <c r="Z550" s="12"/>
      <c r="AA550" s="12"/>
    </row>
    <row r="551" spans="1:27" ht="15.75" customHeight="1">
      <c r="A551" s="12"/>
      <c r="B551" s="12"/>
      <c r="C551" s="12"/>
      <c r="D551" s="12"/>
      <c r="E551" s="12"/>
      <c r="F551" s="12"/>
      <c r="G551" s="12"/>
      <c r="H551" s="12"/>
      <c r="I551" s="12"/>
      <c r="J551" s="12"/>
      <c r="K551" s="12"/>
      <c r="L551" s="12"/>
      <c r="M551" s="12"/>
      <c r="N551" s="12"/>
      <c r="O551" s="12"/>
      <c r="P551" s="12"/>
      <c r="Q551" s="12"/>
      <c r="R551" s="12"/>
      <c r="S551" s="12"/>
      <c r="T551" s="12"/>
      <c r="U551" s="12"/>
      <c r="W551" s="67"/>
      <c r="X551" s="12"/>
      <c r="Y551" s="12"/>
      <c r="Z551" s="12"/>
      <c r="AA551" s="12"/>
    </row>
    <row r="552" spans="1:27" ht="15.75" customHeight="1">
      <c r="A552" s="12"/>
      <c r="B552" s="12"/>
      <c r="C552" s="12"/>
      <c r="D552" s="12"/>
      <c r="E552" s="12"/>
      <c r="F552" s="12"/>
      <c r="G552" s="12"/>
      <c r="H552" s="12"/>
      <c r="I552" s="12"/>
      <c r="J552" s="12"/>
      <c r="K552" s="12"/>
      <c r="L552" s="12"/>
      <c r="M552" s="12"/>
      <c r="N552" s="12"/>
      <c r="O552" s="12"/>
      <c r="P552" s="12"/>
      <c r="Q552" s="12"/>
      <c r="R552" s="12"/>
      <c r="S552" s="12"/>
      <c r="T552" s="12"/>
      <c r="U552" s="12"/>
      <c r="W552" s="67"/>
      <c r="X552" s="12"/>
      <c r="Y552" s="12"/>
      <c r="Z552" s="12"/>
      <c r="AA552" s="12"/>
    </row>
    <row r="553" spans="1:27" ht="15.75" customHeight="1">
      <c r="A553" s="12"/>
      <c r="B553" s="12"/>
      <c r="C553" s="12"/>
      <c r="D553" s="12"/>
      <c r="E553" s="12"/>
      <c r="F553" s="12"/>
      <c r="G553" s="12"/>
      <c r="H553" s="12"/>
      <c r="I553" s="12"/>
      <c r="J553" s="12"/>
      <c r="K553" s="12"/>
      <c r="L553" s="12"/>
      <c r="M553" s="12"/>
      <c r="N553" s="12"/>
      <c r="O553" s="12"/>
      <c r="P553" s="12"/>
      <c r="Q553" s="12"/>
      <c r="R553" s="12"/>
      <c r="S553" s="12"/>
      <c r="T553" s="12"/>
      <c r="U553" s="12"/>
      <c r="W553" s="67"/>
      <c r="X553" s="12"/>
      <c r="Y553" s="12"/>
      <c r="Z553" s="12"/>
      <c r="AA553" s="12"/>
    </row>
    <row r="554" spans="1:27" ht="15.75" customHeight="1">
      <c r="A554" s="12"/>
      <c r="B554" s="12"/>
      <c r="C554" s="12"/>
      <c r="D554" s="12"/>
      <c r="E554" s="12"/>
      <c r="F554" s="12"/>
      <c r="G554" s="12"/>
      <c r="H554" s="12"/>
      <c r="I554" s="12"/>
      <c r="J554" s="12"/>
      <c r="K554" s="12"/>
      <c r="L554" s="12"/>
      <c r="M554" s="12"/>
      <c r="N554" s="12"/>
      <c r="O554" s="12"/>
      <c r="P554" s="12"/>
      <c r="Q554" s="12"/>
      <c r="R554" s="12"/>
      <c r="S554" s="12"/>
      <c r="T554" s="12"/>
      <c r="U554" s="12"/>
      <c r="W554" s="67"/>
      <c r="X554" s="12"/>
      <c r="Y554" s="12"/>
      <c r="Z554" s="12"/>
      <c r="AA554" s="12"/>
    </row>
    <row r="555" spans="1:27" ht="15.75" customHeight="1">
      <c r="A555" s="12"/>
      <c r="B555" s="12"/>
      <c r="C555" s="12"/>
      <c r="D555" s="12"/>
      <c r="E555" s="12"/>
      <c r="F555" s="12"/>
      <c r="G555" s="12"/>
      <c r="H555" s="12"/>
      <c r="I555" s="12"/>
      <c r="J555" s="12"/>
      <c r="K555" s="12"/>
      <c r="L555" s="12"/>
      <c r="M555" s="12"/>
      <c r="N555" s="12"/>
      <c r="O555" s="12"/>
      <c r="P555" s="12"/>
      <c r="Q555" s="12"/>
      <c r="R555" s="12"/>
      <c r="S555" s="12"/>
      <c r="T555" s="12"/>
      <c r="U555" s="12"/>
      <c r="W555" s="67"/>
      <c r="X555" s="12"/>
      <c r="Y555" s="12"/>
      <c r="Z555" s="12"/>
      <c r="AA555" s="12"/>
    </row>
    <row r="556" spans="1:27" ht="15.75" customHeight="1">
      <c r="A556" s="12"/>
      <c r="B556" s="12"/>
      <c r="C556" s="12"/>
      <c r="D556" s="12"/>
      <c r="E556" s="12"/>
      <c r="F556" s="12"/>
      <c r="G556" s="12"/>
      <c r="H556" s="12"/>
      <c r="I556" s="12"/>
      <c r="J556" s="12"/>
      <c r="K556" s="12"/>
      <c r="L556" s="12"/>
      <c r="M556" s="12"/>
      <c r="N556" s="12"/>
      <c r="O556" s="12"/>
      <c r="P556" s="12"/>
      <c r="Q556" s="12"/>
      <c r="R556" s="12"/>
      <c r="S556" s="12"/>
      <c r="T556" s="12"/>
      <c r="U556" s="12"/>
      <c r="W556" s="67"/>
      <c r="X556" s="12"/>
      <c r="Y556" s="12"/>
      <c r="Z556" s="12"/>
      <c r="AA556" s="12"/>
    </row>
    <row r="557" spans="1:27" ht="15.75" customHeight="1">
      <c r="A557" s="12"/>
      <c r="B557" s="12"/>
      <c r="C557" s="12"/>
      <c r="D557" s="12"/>
      <c r="E557" s="12"/>
      <c r="F557" s="12"/>
      <c r="G557" s="12"/>
      <c r="H557" s="12"/>
      <c r="I557" s="12"/>
      <c r="J557" s="12"/>
      <c r="K557" s="12"/>
      <c r="L557" s="12"/>
      <c r="M557" s="12"/>
      <c r="N557" s="12"/>
      <c r="O557" s="12"/>
      <c r="P557" s="12"/>
      <c r="Q557" s="12"/>
      <c r="R557" s="12"/>
      <c r="S557" s="12"/>
      <c r="T557" s="12"/>
      <c r="U557" s="12"/>
      <c r="W557" s="67"/>
      <c r="X557" s="12"/>
      <c r="Y557" s="12"/>
      <c r="Z557" s="12"/>
      <c r="AA557" s="12"/>
    </row>
    <row r="558" spans="1:27" ht="15.75" customHeight="1">
      <c r="A558" s="12"/>
      <c r="B558" s="12"/>
      <c r="C558" s="12"/>
      <c r="D558" s="12"/>
      <c r="E558" s="12"/>
      <c r="F558" s="12"/>
      <c r="G558" s="12"/>
      <c r="H558" s="12"/>
      <c r="I558" s="12"/>
      <c r="J558" s="12"/>
      <c r="K558" s="12"/>
      <c r="L558" s="12"/>
      <c r="M558" s="12"/>
      <c r="N558" s="12"/>
      <c r="O558" s="12"/>
      <c r="P558" s="12"/>
      <c r="Q558" s="12"/>
      <c r="R558" s="12"/>
      <c r="S558" s="12"/>
      <c r="T558" s="12"/>
      <c r="U558" s="12"/>
      <c r="W558" s="67"/>
      <c r="X558" s="12"/>
      <c r="Y558" s="12"/>
      <c r="Z558" s="12"/>
      <c r="AA558" s="12"/>
    </row>
    <row r="559" spans="1:27" ht="15.75" customHeight="1">
      <c r="A559" s="12"/>
      <c r="B559" s="12"/>
      <c r="C559" s="12"/>
      <c r="D559" s="12"/>
      <c r="E559" s="12"/>
      <c r="F559" s="12"/>
      <c r="G559" s="12"/>
      <c r="H559" s="12"/>
      <c r="I559" s="12"/>
      <c r="J559" s="12"/>
      <c r="K559" s="12"/>
      <c r="L559" s="12"/>
      <c r="M559" s="12"/>
      <c r="N559" s="12"/>
      <c r="O559" s="12"/>
      <c r="P559" s="12"/>
      <c r="Q559" s="12"/>
      <c r="R559" s="12"/>
      <c r="S559" s="12"/>
      <c r="T559" s="12"/>
      <c r="U559" s="12"/>
      <c r="W559" s="67"/>
      <c r="X559" s="12"/>
      <c r="Y559" s="12"/>
      <c r="Z559" s="12"/>
      <c r="AA559" s="12"/>
    </row>
    <row r="560" spans="1:27" ht="15.75" customHeight="1">
      <c r="A560" s="12"/>
      <c r="B560" s="12"/>
      <c r="C560" s="12"/>
      <c r="D560" s="12"/>
      <c r="E560" s="12"/>
      <c r="F560" s="12"/>
      <c r="G560" s="12"/>
      <c r="H560" s="12"/>
      <c r="I560" s="12"/>
      <c r="J560" s="12"/>
      <c r="K560" s="12"/>
      <c r="L560" s="12"/>
      <c r="M560" s="12"/>
      <c r="N560" s="12"/>
      <c r="O560" s="12"/>
      <c r="P560" s="12"/>
      <c r="Q560" s="12"/>
      <c r="R560" s="12"/>
      <c r="S560" s="12"/>
      <c r="T560" s="12"/>
      <c r="U560" s="12"/>
      <c r="W560" s="67"/>
      <c r="X560" s="12"/>
      <c r="Y560" s="12"/>
      <c r="Z560" s="12"/>
      <c r="AA560" s="12"/>
    </row>
    <row r="561" spans="1:27" ht="15.75" customHeight="1">
      <c r="A561" s="12"/>
      <c r="B561" s="12"/>
      <c r="C561" s="12"/>
      <c r="D561" s="12"/>
      <c r="E561" s="12"/>
      <c r="F561" s="12"/>
      <c r="G561" s="12"/>
      <c r="H561" s="12"/>
      <c r="I561" s="12"/>
      <c r="J561" s="12"/>
      <c r="K561" s="12"/>
      <c r="L561" s="12"/>
      <c r="M561" s="12"/>
      <c r="N561" s="12"/>
      <c r="O561" s="12"/>
      <c r="P561" s="12"/>
      <c r="Q561" s="12"/>
      <c r="R561" s="12"/>
      <c r="S561" s="12"/>
      <c r="T561" s="12"/>
      <c r="U561" s="12"/>
      <c r="W561" s="67"/>
      <c r="X561" s="12"/>
      <c r="Y561" s="12"/>
      <c r="Z561" s="12"/>
      <c r="AA561" s="12"/>
    </row>
    <row r="562" spans="1:27" ht="15.75" customHeight="1">
      <c r="A562" s="12"/>
      <c r="B562" s="12"/>
      <c r="C562" s="12"/>
      <c r="D562" s="12"/>
      <c r="E562" s="12"/>
      <c r="F562" s="12"/>
      <c r="G562" s="12"/>
      <c r="H562" s="12"/>
      <c r="I562" s="12"/>
      <c r="J562" s="12"/>
      <c r="K562" s="12"/>
      <c r="L562" s="12"/>
      <c r="M562" s="12"/>
      <c r="N562" s="12"/>
      <c r="O562" s="12"/>
      <c r="P562" s="12"/>
      <c r="Q562" s="12"/>
      <c r="R562" s="12"/>
      <c r="S562" s="12"/>
      <c r="T562" s="12"/>
      <c r="U562" s="12"/>
      <c r="W562" s="67"/>
      <c r="X562" s="12"/>
      <c r="Y562" s="12"/>
      <c r="Z562" s="12"/>
      <c r="AA562" s="12"/>
    </row>
    <row r="563" spans="1:27" ht="15.75" customHeight="1">
      <c r="A563" s="12"/>
      <c r="B563" s="12"/>
      <c r="C563" s="12"/>
      <c r="D563" s="12"/>
      <c r="E563" s="12"/>
      <c r="F563" s="12"/>
      <c r="G563" s="12"/>
      <c r="H563" s="12"/>
      <c r="I563" s="12"/>
      <c r="J563" s="12"/>
      <c r="K563" s="12"/>
      <c r="L563" s="12"/>
      <c r="M563" s="12"/>
      <c r="N563" s="12"/>
      <c r="O563" s="12"/>
      <c r="P563" s="12"/>
      <c r="Q563" s="12"/>
      <c r="R563" s="12"/>
      <c r="S563" s="12"/>
      <c r="T563" s="12"/>
      <c r="U563" s="12"/>
      <c r="W563" s="67"/>
      <c r="X563" s="12"/>
      <c r="Y563" s="12"/>
      <c r="Z563" s="12"/>
      <c r="AA563" s="12"/>
    </row>
    <row r="564" spans="1:27" ht="15.75" customHeight="1">
      <c r="A564" s="12"/>
      <c r="B564" s="12"/>
      <c r="C564" s="12"/>
      <c r="D564" s="12"/>
      <c r="E564" s="12"/>
      <c r="F564" s="12"/>
      <c r="G564" s="12"/>
      <c r="H564" s="12"/>
      <c r="I564" s="12"/>
      <c r="J564" s="12"/>
      <c r="K564" s="12"/>
      <c r="L564" s="12"/>
      <c r="M564" s="12"/>
      <c r="N564" s="12"/>
      <c r="O564" s="12"/>
      <c r="P564" s="12"/>
      <c r="Q564" s="12"/>
      <c r="R564" s="12"/>
      <c r="S564" s="12"/>
      <c r="T564" s="12"/>
      <c r="U564" s="12"/>
      <c r="W564" s="67"/>
      <c r="X564" s="12"/>
      <c r="Y564" s="12"/>
      <c r="Z564" s="12"/>
      <c r="AA564" s="12"/>
    </row>
    <row r="565" spans="1:27" ht="15.75" customHeight="1">
      <c r="A565" s="12"/>
      <c r="B565" s="12"/>
      <c r="C565" s="12"/>
      <c r="D565" s="12"/>
      <c r="E565" s="12"/>
      <c r="F565" s="12"/>
      <c r="G565" s="12"/>
      <c r="H565" s="12"/>
      <c r="I565" s="12"/>
      <c r="J565" s="12"/>
      <c r="K565" s="12"/>
      <c r="L565" s="12"/>
      <c r="M565" s="12"/>
      <c r="N565" s="12"/>
      <c r="O565" s="12"/>
      <c r="P565" s="12"/>
      <c r="Q565" s="12"/>
      <c r="R565" s="12"/>
      <c r="S565" s="12"/>
      <c r="T565" s="12"/>
      <c r="U565" s="12"/>
      <c r="W565" s="67"/>
      <c r="X565" s="12"/>
      <c r="Y565" s="12"/>
      <c r="Z565" s="12"/>
      <c r="AA565" s="12"/>
    </row>
    <row r="566" spans="1:27" ht="15.75" customHeight="1">
      <c r="A566" s="12"/>
      <c r="B566" s="12"/>
      <c r="C566" s="12"/>
      <c r="D566" s="12"/>
      <c r="E566" s="12"/>
      <c r="F566" s="12"/>
      <c r="G566" s="12"/>
      <c r="H566" s="12"/>
      <c r="I566" s="12"/>
      <c r="J566" s="12"/>
      <c r="K566" s="12"/>
      <c r="L566" s="12"/>
      <c r="M566" s="12"/>
      <c r="N566" s="12"/>
      <c r="O566" s="12"/>
      <c r="P566" s="12"/>
      <c r="Q566" s="12"/>
      <c r="R566" s="12"/>
      <c r="S566" s="12"/>
      <c r="T566" s="12"/>
      <c r="U566" s="12"/>
      <c r="W566" s="67"/>
      <c r="X566" s="12"/>
      <c r="Y566" s="12"/>
      <c r="Z566" s="12"/>
      <c r="AA566" s="12"/>
    </row>
    <row r="567" spans="1:27" ht="15.75" customHeight="1">
      <c r="A567" s="12"/>
      <c r="B567" s="12"/>
      <c r="C567" s="12"/>
      <c r="D567" s="12"/>
      <c r="E567" s="12"/>
      <c r="F567" s="12"/>
      <c r="G567" s="12"/>
      <c r="H567" s="12"/>
      <c r="I567" s="12"/>
      <c r="J567" s="12"/>
      <c r="K567" s="12"/>
      <c r="L567" s="12"/>
      <c r="M567" s="12"/>
      <c r="N567" s="12"/>
      <c r="O567" s="12"/>
      <c r="P567" s="12"/>
      <c r="Q567" s="12"/>
      <c r="R567" s="12"/>
      <c r="S567" s="12"/>
      <c r="T567" s="12"/>
      <c r="U567" s="12"/>
      <c r="W567" s="67"/>
      <c r="X567" s="12"/>
      <c r="Y567" s="12"/>
      <c r="Z567" s="12"/>
      <c r="AA567" s="12"/>
    </row>
    <row r="568" spans="1:27" ht="15.75" customHeight="1">
      <c r="A568" s="12"/>
      <c r="B568" s="12"/>
      <c r="C568" s="12"/>
      <c r="D568" s="12"/>
      <c r="E568" s="12"/>
      <c r="F568" s="12"/>
      <c r="G568" s="12"/>
      <c r="H568" s="12"/>
      <c r="I568" s="12"/>
      <c r="J568" s="12"/>
      <c r="K568" s="12"/>
      <c r="L568" s="12"/>
      <c r="M568" s="12"/>
      <c r="N568" s="12"/>
      <c r="O568" s="12"/>
      <c r="P568" s="12"/>
      <c r="Q568" s="12"/>
      <c r="R568" s="12"/>
      <c r="S568" s="12"/>
      <c r="T568" s="12"/>
      <c r="U568" s="12"/>
      <c r="W568" s="67"/>
      <c r="X568" s="12"/>
      <c r="Y568" s="12"/>
      <c r="Z568" s="12"/>
      <c r="AA568" s="12"/>
    </row>
    <row r="569" spans="1:27" ht="15.75" customHeight="1">
      <c r="A569" s="12"/>
      <c r="B569" s="12"/>
      <c r="C569" s="12"/>
      <c r="D569" s="12"/>
      <c r="E569" s="12"/>
      <c r="F569" s="12"/>
      <c r="G569" s="12"/>
      <c r="H569" s="12"/>
      <c r="I569" s="12"/>
      <c r="J569" s="12"/>
      <c r="K569" s="12"/>
      <c r="L569" s="12"/>
      <c r="M569" s="12"/>
      <c r="N569" s="12"/>
      <c r="O569" s="12"/>
      <c r="P569" s="12"/>
      <c r="Q569" s="12"/>
      <c r="R569" s="12"/>
      <c r="S569" s="12"/>
      <c r="T569" s="12"/>
      <c r="U569" s="12"/>
      <c r="W569" s="67"/>
      <c r="X569" s="12"/>
      <c r="Y569" s="12"/>
      <c r="Z569" s="12"/>
      <c r="AA569" s="12"/>
    </row>
    <row r="570" spans="1:27" ht="15.75" customHeight="1">
      <c r="A570" s="12"/>
      <c r="B570" s="12"/>
      <c r="C570" s="12"/>
      <c r="D570" s="12"/>
      <c r="E570" s="12"/>
      <c r="F570" s="12"/>
      <c r="G570" s="12"/>
      <c r="H570" s="12"/>
      <c r="I570" s="12"/>
      <c r="J570" s="12"/>
      <c r="K570" s="12"/>
      <c r="L570" s="12"/>
      <c r="M570" s="12"/>
      <c r="N570" s="12"/>
      <c r="O570" s="12"/>
      <c r="P570" s="12"/>
      <c r="Q570" s="12"/>
      <c r="R570" s="12"/>
      <c r="S570" s="12"/>
      <c r="T570" s="12"/>
      <c r="U570" s="12"/>
      <c r="W570" s="67"/>
      <c r="X570" s="12"/>
      <c r="Y570" s="12"/>
      <c r="Z570" s="12"/>
      <c r="AA570" s="12"/>
    </row>
    <row r="571" spans="1:27" ht="15.75" customHeight="1">
      <c r="A571" s="12"/>
      <c r="B571" s="12"/>
      <c r="C571" s="12"/>
      <c r="D571" s="12"/>
      <c r="E571" s="12"/>
      <c r="F571" s="12"/>
      <c r="G571" s="12"/>
      <c r="H571" s="12"/>
      <c r="I571" s="12"/>
      <c r="J571" s="12"/>
      <c r="K571" s="12"/>
      <c r="L571" s="12"/>
      <c r="M571" s="12"/>
      <c r="N571" s="12"/>
      <c r="O571" s="12"/>
      <c r="P571" s="12"/>
      <c r="Q571" s="12"/>
      <c r="R571" s="12"/>
      <c r="S571" s="12"/>
      <c r="T571" s="12"/>
      <c r="U571" s="12"/>
      <c r="W571" s="67"/>
      <c r="X571" s="12"/>
      <c r="Y571" s="12"/>
      <c r="Z571" s="12"/>
      <c r="AA571" s="12"/>
    </row>
    <row r="572" spans="1:27" ht="15.75" customHeight="1">
      <c r="A572" s="12"/>
      <c r="B572" s="12"/>
      <c r="C572" s="12"/>
      <c r="D572" s="12"/>
      <c r="E572" s="12"/>
      <c r="F572" s="12"/>
      <c r="G572" s="12"/>
      <c r="H572" s="12"/>
      <c r="I572" s="12"/>
      <c r="J572" s="12"/>
      <c r="K572" s="12"/>
      <c r="L572" s="12"/>
      <c r="M572" s="12"/>
      <c r="N572" s="12"/>
      <c r="O572" s="12"/>
      <c r="P572" s="12"/>
      <c r="Q572" s="12"/>
      <c r="R572" s="12"/>
      <c r="S572" s="12"/>
      <c r="T572" s="12"/>
      <c r="U572" s="12"/>
      <c r="W572" s="67"/>
      <c r="X572" s="12"/>
      <c r="Y572" s="12"/>
      <c r="Z572" s="12"/>
      <c r="AA572" s="12"/>
    </row>
    <row r="573" spans="1:27" ht="15.75" customHeight="1">
      <c r="A573" s="12"/>
      <c r="B573" s="12"/>
      <c r="C573" s="12"/>
      <c r="D573" s="12"/>
      <c r="E573" s="12"/>
      <c r="F573" s="12"/>
      <c r="G573" s="12"/>
      <c r="H573" s="12"/>
      <c r="I573" s="12"/>
      <c r="J573" s="12"/>
      <c r="K573" s="12"/>
      <c r="L573" s="12"/>
      <c r="M573" s="12"/>
      <c r="N573" s="12"/>
      <c r="O573" s="12"/>
      <c r="P573" s="12"/>
      <c r="Q573" s="12"/>
      <c r="R573" s="12"/>
      <c r="S573" s="12"/>
      <c r="T573" s="12"/>
      <c r="U573" s="12"/>
      <c r="W573" s="67"/>
      <c r="X573" s="12"/>
      <c r="Y573" s="12"/>
      <c r="Z573" s="12"/>
      <c r="AA573" s="12"/>
    </row>
    <row r="574" spans="1:27" ht="15.75" customHeight="1">
      <c r="A574" s="12"/>
      <c r="B574" s="12"/>
      <c r="C574" s="12"/>
      <c r="D574" s="12"/>
      <c r="E574" s="12"/>
      <c r="F574" s="12"/>
      <c r="G574" s="12"/>
      <c r="H574" s="12"/>
      <c r="I574" s="12"/>
      <c r="J574" s="12"/>
      <c r="K574" s="12"/>
      <c r="L574" s="12"/>
      <c r="M574" s="12"/>
      <c r="N574" s="12"/>
      <c r="O574" s="12"/>
      <c r="P574" s="12"/>
      <c r="Q574" s="12"/>
      <c r="R574" s="12"/>
      <c r="S574" s="12"/>
      <c r="T574" s="12"/>
      <c r="U574" s="12"/>
      <c r="W574" s="67"/>
      <c r="X574" s="12"/>
      <c r="Y574" s="12"/>
      <c r="Z574" s="12"/>
      <c r="AA574" s="12"/>
    </row>
    <row r="575" spans="1:27" ht="15.75" customHeight="1">
      <c r="A575" s="12"/>
      <c r="B575" s="12"/>
      <c r="C575" s="12"/>
      <c r="D575" s="12"/>
      <c r="E575" s="12"/>
      <c r="F575" s="12"/>
      <c r="G575" s="12"/>
      <c r="H575" s="12"/>
      <c r="I575" s="12"/>
      <c r="J575" s="12"/>
      <c r="K575" s="12"/>
      <c r="L575" s="12"/>
      <c r="M575" s="12"/>
      <c r="N575" s="12"/>
      <c r="O575" s="12"/>
      <c r="P575" s="12"/>
      <c r="Q575" s="12"/>
      <c r="R575" s="12"/>
      <c r="S575" s="12"/>
      <c r="T575" s="12"/>
      <c r="U575" s="12"/>
      <c r="W575" s="67"/>
      <c r="X575" s="12"/>
      <c r="Y575" s="12"/>
      <c r="Z575" s="12"/>
      <c r="AA575" s="12"/>
    </row>
    <row r="576" spans="1:27" ht="15.75" customHeight="1">
      <c r="A576" s="12"/>
      <c r="B576" s="12"/>
      <c r="C576" s="12"/>
      <c r="D576" s="12"/>
      <c r="E576" s="12"/>
      <c r="F576" s="12"/>
      <c r="G576" s="12"/>
      <c r="H576" s="12"/>
      <c r="I576" s="12"/>
      <c r="J576" s="12"/>
      <c r="K576" s="12"/>
      <c r="L576" s="12"/>
      <c r="M576" s="12"/>
      <c r="N576" s="12"/>
      <c r="O576" s="12"/>
      <c r="P576" s="12"/>
      <c r="Q576" s="12"/>
      <c r="R576" s="12"/>
      <c r="S576" s="12"/>
      <c r="T576" s="12"/>
      <c r="U576" s="12"/>
      <c r="W576" s="67"/>
      <c r="X576" s="12"/>
      <c r="Y576" s="12"/>
      <c r="Z576" s="12"/>
      <c r="AA576" s="12"/>
    </row>
    <row r="577" spans="1:27" ht="15.75" customHeight="1">
      <c r="A577" s="12"/>
      <c r="B577" s="12"/>
      <c r="C577" s="12"/>
      <c r="D577" s="12"/>
      <c r="E577" s="12"/>
      <c r="F577" s="12"/>
      <c r="G577" s="12"/>
      <c r="H577" s="12"/>
      <c r="I577" s="12"/>
      <c r="J577" s="12"/>
      <c r="K577" s="12"/>
      <c r="L577" s="12"/>
      <c r="M577" s="12"/>
      <c r="N577" s="12"/>
      <c r="O577" s="12"/>
      <c r="P577" s="12"/>
      <c r="Q577" s="12"/>
      <c r="R577" s="12"/>
      <c r="S577" s="12"/>
      <c r="T577" s="12"/>
      <c r="U577" s="12"/>
      <c r="W577" s="67"/>
      <c r="X577" s="12"/>
      <c r="Y577" s="12"/>
      <c r="Z577" s="12"/>
      <c r="AA577" s="12"/>
    </row>
    <row r="578" spans="1:27" ht="15.75" customHeight="1">
      <c r="A578" s="12"/>
      <c r="B578" s="12"/>
      <c r="C578" s="12"/>
      <c r="D578" s="12"/>
      <c r="E578" s="12"/>
      <c r="F578" s="12"/>
      <c r="G578" s="12"/>
      <c r="H578" s="12"/>
      <c r="I578" s="12"/>
      <c r="J578" s="12"/>
      <c r="K578" s="12"/>
      <c r="L578" s="12"/>
      <c r="M578" s="12"/>
      <c r="N578" s="12"/>
      <c r="O578" s="12"/>
      <c r="P578" s="12"/>
      <c r="Q578" s="12"/>
      <c r="R578" s="12"/>
      <c r="S578" s="12"/>
      <c r="T578" s="12"/>
      <c r="U578" s="12"/>
      <c r="W578" s="67"/>
      <c r="X578" s="12"/>
      <c r="Y578" s="12"/>
      <c r="Z578" s="12"/>
      <c r="AA578" s="12"/>
    </row>
    <row r="579" spans="1:27" ht="15.75" customHeight="1">
      <c r="A579" s="12"/>
      <c r="B579" s="12"/>
      <c r="C579" s="12"/>
      <c r="D579" s="12"/>
      <c r="E579" s="12"/>
      <c r="F579" s="12"/>
      <c r="G579" s="12"/>
      <c r="H579" s="12"/>
      <c r="I579" s="12"/>
      <c r="J579" s="12"/>
      <c r="K579" s="12"/>
      <c r="L579" s="12"/>
      <c r="M579" s="12"/>
      <c r="N579" s="12"/>
      <c r="O579" s="12"/>
      <c r="P579" s="12"/>
      <c r="Q579" s="12"/>
      <c r="R579" s="12"/>
      <c r="S579" s="12"/>
      <c r="T579" s="12"/>
      <c r="U579" s="12"/>
      <c r="W579" s="67"/>
      <c r="X579" s="12"/>
      <c r="Y579" s="12"/>
      <c r="Z579" s="12"/>
      <c r="AA579" s="12"/>
    </row>
    <row r="580" spans="1:27" ht="15.75" customHeight="1">
      <c r="A580" s="12"/>
      <c r="B580" s="12"/>
      <c r="C580" s="12"/>
      <c r="D580" s="12"/>
      <c r="E580" s="12"/>
      <c r="F580" s="12"/>
      <c r="G580" s="12"/>
      <c r="H580" s="12"/>
      <c r="I580" s="12"/>
      <c r="J580" s="12"/>
      <c r="K580" s="12"/>
      <c r="L580" s="12"/>
      <c r="M580" s="12"/>
      <c r="N580" s="12"/>
      <c r="O580" s="12"/>
      <c r="P580" s="12"/>
      <c r="Q580" s="12"/>
      <c r="R580" s="12"/>
      <c r="S580" s="12"/>
      <c r="T580" s="12"/>
      <c r="U580" s="12"/>
      <c r="W580" s="67"/>
      <c r="X580" s="12"/>
      <c r="Y580" s="12"/>
      <c r="Z580" s="12"/>
      <c r="AA580" s="12"/>
    </row>
    <row r="581" spans="1:27" ht="15.75" customHeight="1">
      <c r="A581" s="12"/>
      <c r="B581" s="12"/>
      <c r="C581" s="12"/>
      <c r="D581" s="12"/>
      <c r="E581" s="12"/>
      <c r="F581" s="12"/>
      <c r="G581" s="12"/>
      <c r="H581" s="12"/>
      <c r="I581" s="12"/>
      <c r="J581" s="12"/>
      <c r="K581" s="12"/>
      <c r="L581" s="12"/>
      <c r="M581" s="12"/>
      <c r="N581" s="12"/>
      <c r="O581" s="12"/>
      <c r="P581" s="12"/>
      <c r="Q581" s="12"/>
      <c r="R581" s="12"/>
      <c r="S581" s="12"/>
      <c r="T581" s="12"/>
      <c r="U581" s="12"/>
      <c r="W581" s="67"/>
      <c r="X581" s="12"/>
      <c r="Y581" s="12"/>
      <c r="Z581" s="12"/>
      <c r="AA581" s="12"/>
    </row>
    <row r="582" spans="1:27" ht="15.75" customHeight="1">
      <c r="A582" s="12"/>
      <c r="B582" s="12"/>
      <c r="C582" s="12"/>
      <c r="D582" s="12"/>
      <c r="E582" s="12"/>
      <c r="F582" s="12"/>
      <c r="G582" s="12"/>
      <c r="H582" s="12"/>
      <c r="I582" s="12"/>
      <c r="J582" s="12"/>
      <c r="K582" s="12"/>
      <c r="L582" s="12"/>
      <c r="M582" s="12"/>
      <c r="N582" s="12"/>
      <c r="O582" s="12"/>
      <c r="P582" s="12"/>
      <c r="Q582" s="12"/>
      <c r="R582" s="12"/>
      <c r="S582" s="12"/>
      <c r="T582" s="12"/>
      <c r="U582" s="12"/>
      <c r="W582" s="67"/>
      <c r="X582" s="12"/>
      <c r="Y582" s="12"/>
      <c r="Z582" s="12"/>
      <c r="AA582" s="12"/>
    </row>
    <row r="583" spans="1:27" ht="15.75" customHeight="1">
      <c r="A583" s="12"/>
      <c r="B583" s="12"/>
      <c r="C583" s="12"/>
      <c r="D583" s="12"/>
      <c r="E583" s="12"/>
      <c r="F583" s="12"/>
      <c r="G583" s="12"/>
      <c r="H583" s="12"/>
      <c r="I583" s="12"/>
      <c r="J583" s="12"/>
      <c r="K583" s="12"/>
      <c r="L583" s="12"/>
      <c r="M583" s="12"/>
      <c r="N583" s="12"/>
      <c r="O583" s="12"/>
      <c r="P583" s="12"/>
      <c r="Q583" s="12"/>
      <c r="R583" s="12"/>
      <c r="S583" s="12"/>
      <c r="T583" s="12"/>
      <c r="U583" s="12"/>
      <c r="W583" s="67"/>
      <c r="X583" s="12"/>
      <c r="Y583" s="12"/>
      <c r="Z583" s="12"/>
      <c r="AA583" s="12"/>
    </row>
    <row r="584" spans="1:27" ht="15.75" customHeight="1">
      <c r="A584" s="12"/>
      <c r="B584" s="12"/>
      <c r="C584" s="12"/>
      <c r="D584" s="12"/>
      <c r="E584" s="12"/>
      <c r="F584" s="12"/>
      <c r="G584" s="12"/>
      <c r="H584" s="12"/>
      <c r="I584" s="12"/>
      <c r="J584" s="12"/>
      <c r="K584" s="12"/>
      <c r="L584" s="12"/>
      <c r="M584" s="12"/>
      <c r="N584" s="12"/>
      <c r="O584" s="12"/>
      <c r="P584" s="12"/>
      <c r="Q584" s="12"/>
      <c r="R584" s="12"/>
      <c r="S584" s="12"/>
      <c r="T584" s="12"/>
      <c r="U584" s="12"/>
      <c r="W584" s="67"/>
      <c r="X584" s="12"/>
      <c r="Y584" s="12"/>
      <c r="Z584" s="12"/>
      <c r="AA584" s="12"/>
    </row>
    <row r="585" spans="1:27" ht="15.75" customHeight="1">
      <c r="A585" s="12"/>
      <c r="B585" s="12"/>
      <c r="C585" s="12"/>
      <c r="D585" s="12"/>
      <c r="E585" s="12"/>
      <c r="F585" s="12"/>
      <c r="G585" s="12"/>
      <c r="H585" s="12"/>
      <c r="I585" s="12"/>
      <c r="J585" s="12"/>
      <c r="K585" s="12"/>
      <c r="L585" s="12"/>
      <c r="M585" s="12"/>
      <c r="N585" s="12"/>
      <c r="O585" s="12"/>
      <c r="P585" s="12"/>
      <c r="Q585" s="12"/>
      <c r="R585" s="12"/>
      <c r="S585" s="12"/>
      <c r="T585" s="12"/>
      <c r="U585" s="12"/>
      <c r="W585" s="67"/>
      <c r="X585" s="12"/>
      <c r="Y585" s="12"/>
      <c r="Z585" s="12"/>
      <c r="AA585" s="12"/>
    </row>
    <row r="586" spans="1:27" ht="15.75" customHeight="1">
      <c r="A586" s="12"/>
      <c r="B586" s="12"/>
      <c r="C586" s="12"/>
      <c r="D586" s="12"/>
      <c r="E586" s="12"/>
      <c r="F586" s="12"/>
      <c r="G586" s="12"/>
      <c r="H586" s="12"/>
      <c r="I586" s="12"/>
      <c r="J586" s="12"/>
      <c r="K586" s="12"/>
      <c r="L586" s="12"/>
      <c r="M586" s="12"/>
      <c r="N586" s="12"/>
      <c r="O586" s="12"/>
      <c r="P586" s="12"/>
      <c r="Q586" s="12"/>
      <c r="R586" s="12"/>
      <c r="S586" s="12"/>
      <c r="T586" s="12"/>
      <c r="U586" s="12"/>
      <c r="W586" s="67"/>
      <c r="X586" s="12"/>
      <c r="Y586" s="12"/>
      <c r="Z586" s="12"/>
      <c r="AA586" s="12"/>
    </row>
    <row r="587" spans="1:27" ht="15.75" customHeight="1">
      <c r="A587" s="12"/>
      <c r="B587" s="12"/>
      <c r="C587" s="12"/>
      <c r="D587" s="12"/>
      <c r="E587" s="12"/>
      <c r="F587" s="12"/>
      <c r="G587" s="12"/>
      <c r="H587" s="12"/>
      <c r="I587" s="12"/>
      <c r="J587" s="12"/>
      <c r="K587" s="12"/>
      <c r="L587" s="12"/>
      <c r="M587" s="12"/>
      <c r="N587" s="12"/>
      <c r="O587" s="12"/>
      <c r="P587" s="12"/>
      <c r="Q587" s="12"/>
      <c r="R587" s="12"/>
      <c r="S587" s="12"/>
      <c r="T587" s="12"/>
      <c r="U587" s="12"/>
      <c r="W587" s="67"/>
      <c r="X587" s="12"/>
      <c r="Y587" s="12"/>
      <c r="Z587" s="12"/>
      <c r="AA587" s="12"/>
    </row>
    <row r="588" spans="1:27" ht="15.75" customHeight="1">
      <c r="A588" s="12"/>
      <c r="B588" s="12"/>
      <c r="C588" s="12"/>
      <c r="D588" s="12"/>
      <c r="E588" s="12"/>
      <c r="F588" s="12"/>
      <c r="G588" s="12"/>
      <c r="H588" s="12"/>
      <c r="I588" s="12"/>
      <c r="J588" s="12"/>
      <c r="K588" s="12"/>
      <c r="L588" s="12"/>
      <c r="M588" s="12"/>
      <c r="N588" s="12"/>
      <c r="O588" s="12"/>
      <c r="P588" s="12"/>
      <c r="Q588" s="12"/>
      <c r="R588" s="12"/>
      <c r="S588" s="12"/>
      <c r="T588" s="12"/>
      <c r="U588" s="12"/>
      <c r="W588" s="67"/>
      <c r="X588" s="12"/>
      <c r="Y588" s="12"/>
      <c r="Z588" s="12"/>
      <c r="AA588" s="12"/>
    </row>
    <row r="589" spans="1:27" ht="15.75" customHeight="1">
      <c r="A589" s="12"/>
      <c r="B589" s="12"/>
      <c r="C589" s="12"/>
      <c r="D589" s="12"/>
      <c r="E589" s="12"/>
      <c r="F589" s="12"/>
      <c r="G589" s="12"/>
      <c r="H589" s="12"/>
      <c r="I589" s="12"/>
      <c r="J589" s="12"/>
      <c r="K589" s="12"/>
      <c r="L589" s="12"/>
      <c r="M589" s="12"/>
      <c r="N589" s="12"/>
      <c r="O589" s="12"/>
      <c r="P589" s="12"/>
      <c r="Q589" s="12"/>
      <c r="R589" s="12"/>
      <c r="S589" s="12"/>
      <c r="T589" s="12"/>
      <c r="U589" s="12"/>
      <c r="W589" s="67"/>
      <c r="X589" s="12"/>
      <c r="Y589" s="12"/>
      <c r="Z589" s="12"/>
      <c r="AA589" s="12"/>
    </row>
    <row r="590" spans="1:27" ht="15.75" customHeight="1">
      <c r="A590" s="12"/>
      <c r="B590" s="12"/>
      <c r="C590" s="12"/>
      <c r="D590" s="12"/>
      <c r="E590" s="12"/>
      <c r="F590" s="12"/>
      <c r="G590" s="12"/>
      <c r="H590" s="12"/>
      <c r="I590" s="12"/>
      <c r="J590" s="12"/>
      <c r="K590" s="12"/>
      <c r="L590" s="12"/>
      <c r="M590" s="12"/>
      <c r="N590" s="12"/>
      <c r="O590" s="12"/>
      <c r="P590" s="12"/>
      <c r="Q590" s="12"/>
      <c r="R590" s="12"/>
      <c r="S590" s="12"/>
      <c r="T590" s="12"/>
      <c r="U590" s="12"/>
      <c r="W590" s="67"/>
      <c r="X590" s="12"/>
      <c r="Y590" s="12"/>
      <c r="Z590" s="12"/>
      <c r="AA590" s="12"/>
    </row>
    <row r="591" spans="1:27" ht="15.75" customHeight="1">
      <c r="A591" s="12"/>
      <c r="B591" s="12"/>
      <c r="C591" s="12"/>
      <c r="D591" s="12"/>
      <c r="E591" s="12"/>
      <c r="F591" s="12"/>
      <c r="G591" s="12"/>
      <c r="H591" s="12"/>
      <c r="I591" s="12"/>
      <c r="J591" s="12"/>
      <c r="K591" s="12"/>
      <c r="L591" s="12"/>
      <c r="M591" s="12"/>
      <c r="N591" s="12"/>
      <c r="O591" s="12"/>
      <c r="P591" s="12"/>
      <c r="Q591" s="12"/>
      <c r="R591" s="12"/>
      <c r="S591" s="12"/>
      <c r="T591" s="12"/>
      <c r="U591" s="12"/>
      <c r="W591" s="67"/>
      <c r="X591" s="12"/>
      <c r="Y591" s="12"/>
      <c r="Z591" s="12"/>
      <c r="AA591" s="12"/>
    </row>
    <row r="592" spans="1:27" ht="15.75" customHeight="1">
      <c r="A592" s="12"/>
      <c r="B592" s="12"/>
      <c r="C592" s="12"/>
      <c r="D592" s="12"/>
      <c r="E592" s="12"/>
      <c r="F592" s="12"/>
      <c r="G592" s="12"/>
      <c r="H592" s="12"/>
      <c r="I592" s="12"/>
      <c r="J592" s="12"/>
      <c r="K592" s="12"/>
      <c r="L592" s="12"/>
      <c r="M592" s="12"/>
      <c r="N592" s="12"/>
      <c r="O592" s="12"/>
      <c r="P592" s="12"/>
      <c r="Q592" s="12"/>
      <c r="R592" s="12"/>
      <c r="S592" s="12"/>
      <c r="T592" s="12"/>
      <c r="U592" s="12"/>
      <c r="W592" s="67"/>
      <c r="X592" s="12"/>
      <c r="Y592" s="12"/>
      <c r="Z592" s="12"/>
      <c r="AA592" s="12"/>
    </row>
    <row r="593" spans="1:27" ht="15.75" customHeight="1">
      <c r="A593" s="12"/>
      <c r="B593" s="12"/>
      <c r="C593" s="12"/>
      <c r="D593" s="12"/>
      <c r="E593" s="12"/>
      <c r="F593" s="12"/>
      <c r="G593" s="12"/>
      <c r="H593" s="12"/>
      <c r="I593" s="12"/>
      <c r="J593" s="12"/>
      <c r="K593" s="12"/>
      <c r="L593" s="12"/>
      <c r="M593" s="12"/>
      <c r="N593" s="12"/>
      <c r="O593" s="12"/>
      <c r="P593" s="12"/>
      <c r="Q593" s="12"/>
      <c r="R593" s="12"/>
      <c r="S593" s="12"/>
      <c r="T593" s="12"/>
      <c r="U593" s="12"/>
      <c r="W593" s="67"/>
      <c r="X593" s="12"/>
      <c r="Y593" s="12"/>
      <c r="Z593" s="12"/>
      <c r="AA593" s="12"/>
    </row>
    <row r="594" spans="1:27" ht="15.75" customHeight="1">
      <c r="A594" s="12"/>
      <c r="B594" s="12"/>
      <c r="C594" s="12"/>
      <c r="D594" s="12"/>
      <c r="E594" s="12"/>
      <c r="F594" s="12"/>
      <c r="G594" s="12"/>
      <c r="H594" s="12"/>
      <c r="I594" s="12"/>
      <c r="J594" s="12"/>
      <c r="K594" s="12"/>
      <c r="L594" s="12"/>
      <c r="M594" s="12"/>
      <c r="N594" s="12"/>
      <c r="O594" s="12"/>
      <c r="P594" s="12"/>
      <c r="Q594" s="12"/>
      <c r="R594" s="12"/>
      <c r="S594" s="12"/>
      <c r="T594" s="12"/>
      <c r="U594" s="12"/>
      <c r="W594" s="67"/>
      <c r="X594" s="12"/>
      <c r="Y594" s="12"/>
      <c r="Z594" s="12"/>
      <c r="AA594" s="12"/>
    </row>
    <row r="595" spans="1:27" ht="15.75" customHeight="1">
      <c r="A595" s="12"/>
      <c r="B595" s="12"/>
      <c r="C595" s="12"/>
      <c r="D595" s="12"/>
      <c r="E595" s="12"/>
      <c r="F595" s="12"/>
      <c r="G595" s="12"/>
      <c r="H595" s="12"/>
      <c r="I595" s="12"/>
      <c r="J595" s="12"/>
      <c r="K595" s="12"/>
      <c r="L595" s="12"/>
      <c r="M595" s="12"/>
      <c r="N595" s="12"/>
      <c r="O595" s="12"/>
      <c r="P595" s="12"/>
      <c r="Q595" s="12"/>
      <c r="R595" s="12"/>
      <c r="S595" s="12"/>
      <c r="T595" s="12"/>
      <c r="U595" s="12"/>
      <c r="W595" s="67"/>
      <c r="X595" s="12"/>
      <c r="Y595" s="12"/>
      <c r="Z595" s="12"/>
      <c r="AA595" s="12"/>
    </row>
    <row r="596" spans="1:27" ht="15.75" customHeight="1">
      <c r="A596" s="12"/>
      <c r="B596" s="12"/>
      <c r="C596" s="12"/>
      <c r="D596" s="12"/>
      <c r="E596" s="12"/>
      <c r="F596" s="12"/>
      <c r="G596" s="12"/>
      <c r="H596" s="12"/>
      <c r="I596" s="12"/>
      <c r="J596" s="12"/>
      <c r="K596" s="12"/>
      <c r="L596" s="12"/>
      <c r="M596" s="12"/>
      <c r="N596" s="12"/>
      <c r="O596" s="12"/>
      <c r="P596" s="12"/>
      <c r="Q596" s="12"/>
      <c r="R596" s="12"/>
      <c r="S596" s="12"/>
      <c r="T596" s="12"/>
      <c r="U596" s="12"/>
      <c r="W596" s="67"/>
      <c r="X596" s="12"/>
      <c r="Y596" s="12"/>
      <c r="Z596" s="12"/>
      <c r="AA596" s="12"/>
    </row>
    <row r="597" spans="1:27" ht="15.75" customHeight="1">
      <c r="A597" s="12"/>
      <c r="B597" s="12"/>
      <c r="C597" s="12"/>
      <c r="D597" s="12"/>
      <c r="E597" s="12"/>
      <c r="F597" s="12"/>
      <c r="G597" s="12"/>
      <c r="H597" s="12"/>
      <c r="I597" s="12"/>
      <c r="J597" s="12"/>
      <c r="K597" s="12"/>
      <c r="L597" s="12"/>
      <c r="M597" s="12"/>
      <c r="N597" s="12"/>
      <c r="O597" s="12"/>
      <c r="P597" s="12"/>
      <c r="Q597" s="12"/>
      <c r="R597" s="12"/>
      <c r="S597" s="12"/>
      <c r="T597" s="12"/>
      <c r="U597" s="12"/>
      <c r="W597" s="67"/>
      <c r="X597" s="12"/>
      <c r="Y597" s="12"/>
      <c r="Z597" s="12"/>
      <c r="AA597" s="12"/>
    </row>
    <row r="598" spans="1:27" ht="15.75" customHeight="1">
      <c r="A598" s="12"/>
      <c r="B598" s="12"/>
      <c r="C598" s="12"/>
      <c r="D598" s="12"/>
      <c r="E598" s="12"/>
      <c r="F598" s="12"/>
      <c r="G598" s="12"/>
      <c r="H598" s="12"/>
      <c r="I598" s="12"/>
      <c r="J598" s="12"/>
      <c r="K598" s="12"/>
      <c r="L598" s="12"/>
      <c r="M598" s="12"/>
      <c r="N598" s="12"/>
      <c r="O598" s="12"/>
      <c r="P598" s="12"/>
      <c r="Q598" s="12"/>
      <c r="R598" s="12"/>
      <c r="S598" s="12"/>
      <c r="T598" s="12"/>
      <c r="U598" s="12"/>
      <c r="W598" s="67"/>
      <c r="X598" s="12"/>
      <c r="Y598" s="12"/>
      <c r="Z598" s="12"/>
      <c r="AA598" s="12"/>
    </row>
    <row r="599" spans="1:27" ht="15.75" customHeight="1">
      <c r="A599" s="12"/>
      <c r="B599" s="12"/>
      <c r="C599" s="12"/>
      <c r="D599" s="12"/>
      <c r="E599" s="12"/>
      <c r="F599" s="12"/>
      <c r="G599" s="12"/>
      <c r="H599" s="12"/>
      <c r="I599" s="12"/>
      <c r="J599" s="12"/>
      <c r="K599" s="12"/>
      <c r="L599" s="12"/>
      <c r="M599" s="12"/>
      <c r="N599" s="12"/>
      <c r="O599" s="12"/>
      <c r="P599" s="12"/>
      <c r="Q599" s="12"/>
      <c r="R599" s="12"/>
      <c r="S599" s="12"/>
      <c r="T599" s="12"/>
      <c r="U599" s="12"/>
      <c r="W599" s="67"/>
      <c r="X599" s="12"/>
      <c r="Y599" s="12"/>
      <c r="Z599" s="12"/>
      <c r="AA599" s="12"/>
    </row>
    <row r="600" spans="1:27" ht="15.75" customHeight="1">
      <c r="A600" s="12"/>
      <c r="B600" s="12"/>
      <c r="C600" s="12"/>
      <c r="D600" s="12"/>
      <c r="E600" s="12"/>
      <c r="F600" s="12"/>
      <c r="G600" s="12"/>
      <c r="H600" s="12"/>
      <c r="I600" s="12"/>
      <c r="J600" s="12"/>
      <c r="K600" s="12"/>
      <c r="L600" s="12"/>
      <c r="M600" s="12"/>
      <c r="N600" s="12"/>
      <c r="O600" s="12"/>
      <c r="P600" s="12"/>
      <c r="Q600" s="12"/>
      <c r="R600" s="12"/>
      <c r="S600" s="12"/>
      <c r="T600" s="12"/>
      <c r="U600" s="12"/>
      <c r="W600" s="67"/>
      <c r="X600" s="12"/>
      <c r="Y600" s="12"/>
      <c r="Z600" s="12"/>
      <c r="AA600" s="12"/>
    </row>
    <row r="601" spans="1:27" ht="15.75" customHeight="1">
      <c r="A601" s="12"/>
      <c r="B601" s="12"/>
      <c r="C601" s="12"/>
      <c r="D601" s="12"/>
      <c r="E601" s="12"/>
      <c r="F601" s="12"/>
      <c r="G601" s="12"/>
      <c r="H601" s="12"/>
      <c r="I601" s="12"/>
      <c r="J601" s="12"/>
      <c r="K601" s="12"/>
      <c r="L601" s="12"/>
      <c r="M601" s="12"/>
      <c r="N601" s="12"/>
      <c r="O601" s="12"/>
      <c r="P601" s="12"/>
      <c r="Q601" s="12"/>
      <c r="R601" s="12"/>
      <c r="S601" s="12"/>
      <c r="T601" s="12"/>
      <c r="U601" s="12"/>
      <c r="W601" s="67"/>
      <c r="X601" s="12"/>
      <c r="Y601" s="12"/>
      <c r="Z601" s="12"/>
      <c r="AA601" s="12"/>
    </row>
    <row r="602" spans="1:27" ht="15.75" customHeight="1">
      <c r="A602" s="12"/>
      <c r="B602" s="12"/>
      <c r="C602" s="12"/>
      <c r="D602" s="12"/>
      <c r="E602" s="12"/>
      <c r="F602" s="12"/>
      <c r="G602" s="12"/>
      <c r="H602" s="12"/>
      <c r="I602" s="12"/>
      <c r="J602" s="12"/>
      <c r="K602" s="12"/>
      <c r="L602" s="12"/>
      <c r="M602" s="12"/>
      <c r="N602" s="12"/>
      <c r="O602" s="12"/>
      <c r="P602" s="12"/>
      <c r="Q602" s="12"/>
      <c r="R602" s="12"/>
      <c r="S602" s="12"/>
      <c r="T602" s="12"/>
      <c r="U602" s="12"/>
      <c r="W602" s="67"/>
      <c r="X602" s="12"/>
      <c r="Y602" s="12"/>
      <c r="Z602" s="12"/>
      <c r="AA602" s="12"/>
    </row>
    <row r="603" spans="1:27" ht="15.75" customHeight="1">
      <c r="A603" s="12"/>
      <c r="B603" s="12"/>
      <c r="C603" s="12"/>
      <c r="D603" s="12"/>
      <c r="E603" s="12"/>
      <c r="F603" s="12"/>
      <c r="G603" s="12"/>
      <c r="H603" s="12"/>
      <c r="I603" s="12"/>
      <c r="J603" s="12"/>
      <c r="K603" s="12"/>
      <c r="L603" s="12"/>
      <c r="M603" s="12"/>
      <c r="N603" s="12"/>
      <c r="O603" s="12"/>
      <c r="P603" s="12"/>
      <c r="Q603" s="12"/>
      <c r="R603" s="12"/>
      <c r="S603" s="12"/>
      <c r="T603" s="12"/>
      <c r="U603" s="12"/>
      <c r="W603" s="67"/>
      <c r="X603" s="12"/>
      <c r="Y603" s="12"/>
      <c r="Z603" s="12"/>
      <c r="AA603" s="12"/>
    </row>
    <row r="604" spans="1:27" ht="15.75" customHeight="1">
      <c r="A604" s="12"/>
      <c r="B604" s="12"/>
      <c r="C604" s="12"/>
      <c r="D604" s="12"/>
      <c r="E604" s="12"/>
      <c r="F604" s="12"/>
      <c r="G604" s="12"/>
      <c r="H604" s="12"/>
      <c r="I604" s="12"/>
      <c r="J604" s="12"/>
      <c r="K604" s="12"/>
      <c r="L604" s="12"/>
      <c r="M604" s="12"/>
      <c r="N604" s="12"/>
      <c r="O604" s="12"/>
      <c r="P604" s="12"/>
      <c r="Q604" s="12"/>
      <c r="R604" s="12"/>
      <c r="S604" s="12"/>
      <c r="T604" s="12"/>
      <c r="U604" s="12"/>
      <c r="W604" s="67"/>
      <c r="X604" s="12"/>
      <c r="Y604" s="12"/>
      <c r="Z604" s="12"/>
      <c r="AA604" s="12"/>
    </row>
    <row r="605" spans="1:27" ht="15.75" customHeight="1">
      <c r="A605" s="12"/>
      <c r="B605" s="12"/>
      <c r="C605" s="12"/>
      <c r="D605" s="12"/>
      <c r="E605" s="12"/>
      <c r="F605" s="12"/>
      <c r="G605" s="12"/>
      <c r="H605" s="12"/>
      <c r="I605" s="12"/>
      <c r="J605" s="12"/>
      <c r="K605" s="12"/>
      <c r="L605" s="12"/>
      <c r="M605" s="12"/>
      <c r="N605" s="12"/>
      <c r="O605" s="12"/>
      <c r="P605" s="12"/>
      <c r="Q605" s="12"/>
      <c r="R605" s="12"/>
      <c r="S605" s="12"/>
      <c r="T605" s="12"/>
      <c r="U605" s="12"/>
      <c r="W605" s="67"/>
      <c r="X605" s="12"/>
      <c r="Y605" s="12"/>
      <c r="Z605" s="12"/>
      <c r="AA605" s="12"/>
    </row>
    <row r="606" spans="1:27" ht="15.75" customHeight="1">
      <c r="A606" s="12"/>
      <c r="B606" s="12"/>
      <c r="C606" s="12"/>
      <c r="D606" s="12"/>
      <c r="E606" s="12"/>
      <c r="F606" s="12"/>
      <c r="G606" s="12"/>
      <c r="H606" s="12"/>
      <c r="I606" s="12"/>
      <c r="J606" s="12"/>
      <c r="K606" s="12"/>
      <c r="L606" s="12"/>
      <c r="M606" s="12"/>
      <c r="N606" s="12"/>
      <c r="O606" s="12"/>
      <c r="P606" s="12"/>
      <c r="Q606" s="12"/>
      <c r="R606" s="12"/>
      <c r="S606" s="12"/>
      <c r="T606" s="12"/>
      <c r="U606" s="12"/>
      <c r="W606" s="67"/>
      <c r="X606" s="12"/>
      <c r="Y606" s="12"/>
      <c r="Z606" s="12"/>
      <c r="AA606" s="12"/>
    </row>
    <row r="607" spans="1:27" ht="15.75" customHeight="1">
      <c r="A607" s="12"/>
      <c r="B607" s="12"/>
      <c r="C607" s="12"/>
      <c r="D607" s="12"/>
      <c r="E607" s="12"/>
      <c r="F607" s="12"/>
      <c r="G607" s="12"/>
      <c r="H607" s="12"/>
      <c r="I607" s="12"/>
      <c r="J607" s="12"/>
      <c r="K607" s="12"/>
      <c r="L607" s="12"/>
      <c r="M607" s="12"/>
      <c r="N607" s="12"/>
      <c r="O607" s="12"/>
      <c r="P607" s="12"/>
      <c r="Q607" s="12"/>
      <c r="R607" s="12"/>
      <c r="S607" s="12"/>
      <c r="T607" s="12"/>
      <c r="U607" s="12"/>
      <c r="W607" s="67"/>
      <c r="X607" s="12"/>
      <c r="Y607" s="12"/>
      <c r="Z607" s="12"/>
      <c r="AA607" s="12"/>
    </row>
    <row r="608" spans="1:27" ht="15.75" customHeight="1">
      <c r="A608" s="12"/>
      <c r="B608" s="12"/>
      <c r="C608" s="12"/>
      <c r="D608" s="12"/>
      <c r="E608" s="12"/>
      <c r="F608" s="12"/>
      <c r="G608" s="12"/>
      <c r="H608" s="12"/>
      <c r="I608" s="12"/>
      <c r="J608" s="12"/>
      <c r="K608" s="12"/>
      <c r="L608" s="12"/>
      <c r="M608" s="12"/>
      <c r="N608" s="12"/>
      <c r="O608" s="12"/>
      <c r="P608" s="12"/>
      <c r="Q608" s="12"/>
      <c r="R608" s="12"/>
      <c r="S608" s="12"/>
      <c r="T608" s="12"/>
      <c r="U608" s="12"/>
      <c r="W608" s="67"/>
      <c r="X608" s="12"/>
      <c r="Y608" s="12"/>
      <c r="Z608" s="12"/>
      <c r="AA608" s="12"/>
    </row>
    <row r="609" spans="1:27" ht="15.75" customHeight="1">
      <c r="A609" s="12"/>
      <c r="B609" s="12"/>
      <c r="C609" s="12"/>
      <c r="D609" s="12"/>
      <c r="E609" s="12"/>
      <c r="F609" s="12"/>
      <c r="G609" s="12"/>
      <c r="H609" s="12"/>
      <c r="I609" s="12"/>
      <c r="J609" s="12"/>
      <c r="K609" s="12"/>
      <c r="L609" s="12"/>
      <c r="M609" s="12"/>
      <c r="N609" s="12"/>
      <c r="O609" s="12"/>
      <c r="P609" s="12"/>
      <c r="Q609" s="12"/>
      <c r="R609" s="12"/>
      <c r="S609" s="12"/>
      <c r="T609" s="12"/>
      <c r="U609" s="12"/>
      <c r="W609" s="67"/>
      <c r="X609" s="12"/>
      <c r="Y609" s="12"/>
      <c r="Z609" s="12"/>
      <c r="AA609" s="12"/>
    </row>
    <row r="610" spans="1:27" ht="15.75" customHeight="1">
      <c r="A610" s="12"/>
      <c r="B610" s="12"/>
      <c r="C610" s="12"/>
      <c r="D610" s="12"/>
      <c r="E610" s="12"/>
      <c r="F610" s="12"/>
      <c r="G610" s="12"/>
      <c r="H610" s="12"/>
      <c r="I610" s="12"/>
      <c r="J610" s="12"/>
      <c r="K610" s="12"/>
      <c r="L610" s="12"/>
      <c r="M610" s="12"/>
      <c r="N610" s="12"/>
      <c r="O610" s="12"/>
      <c r="P610" s="12"/>
      <c r="Q610" s="12"/>
      <c r="R610" s="12"/>
      <c r="S610" s="12"/>
      <c r="T610" s="12"/>
      <c r="U610" s="12"/>
      <c r="W610" s="67"/>
      <c r="X610" s="12"/>
      <c r="Y610" s="12"/>
      <c r="Z610" s="12"/>
      <c r="AA610" s="12"/>
    </row>
    <row r="611" spans="1:27" ht="15.75" customHeight="1">
      <c r="A611" s="12"/>
      <c r="B611" s="12"/>
      <c r="C611" s="12"/>
      <c r="D611" s="12"/>
      <c r="E611" s="12"/>
      <c r="F611" s="12"/>
      <c r="G611" s="12"/>
      <c r="H611" s="12"/>
      <c r="I611" s="12"/>
      <c r="J611" s="12"/>
      <c r="K611" s="12"/>
      <c r="L611" s="12"/>
      <c r="M611" s="12"/>
      <c r="N611" s="12"/>
      <c r="O611" s="12"/>
      <c r="P611" s="12"/>
      <c r="Q611" s="12"/>
      <c r="R611" s="12"/>
      <c r="S611" s="12"/>
      <c r="T611" s="12"/>
      <c r="U611" s="12"/>
      <c r="W611" s="67"/>
      <c r="X611" s="12"/>
      <c r="Y611" s="12"/>
      <c r="Z611" s="12"/>
      <c r="AA611" s="12"/>
    </row>
    <row r="612" spans="1:27" ht="15.75" customHeight="1">
      <c r="A612" s="12"/>
      <c r="B612" s="12"/>
      <c r="C612" s="12"/>
      <c r="D612" s="12"/>
      <c r="E612" s="12"/>
      <c r="F612" s="12"/>
      <c r="G612" s="12"/>
      <c r="H612" s="12"/>
      <c r="I612" s="12"/>
      <c r="J612" s="12"/>
      <c r="K612" s="12"/>
      <c r="L612" s="12"/>
      <c r="M612" s="12"/>
      <c r="N612" s="12"/>
      <c r="O612" s="12"/>
      <c r="P612" s="12"/>
      <c r="Q612" s="12"/>
      <c r="R612" s="12"/>
      <c r="S612" s="12"/>
      <c r="T612" s="12"/>
      <c r="U612" s="12"/>
      <c r="W612" s="67"/>
      <c r="X612" s="12"/>
      <c r="Y612" s="12"/>
      <c r="Z612" s="12"/>
      <c r="AA612" s="12"/>
    </row>
    <row r="613" spans="1:27" ht="15.75" customHeight="1">
      <c r="A613" s="12"/>
      <c r="B613" s="12"/>
      <c r="C613" s="12"/>
      <c r="D613" s="12"/>
      <c r="E613" s="12"/>
      <c r="F613" s="12"/>
      <c r="G613" s="12"/>
      <c r="H613" s="12"/>
      <c r="I613" s="12"/>
      <c r="J613" s="12"/>
      <c r="K613" s="12"/>
      <c r="L613" s="12"/>
      <c r="M613" s="12"/>
      <c r="N613" s="12"/>
      <c r="O613" s="12"/>
      <c r="P613" s="12"/>
      <c r="Q613" s="12"/>
      <c r="R613" s="12"/>
      <c r="S613" s="12"/>
      <c r="T613" s="12"/>
      <c r="U613" s="12"/>
      <c r="W613" s="67"/>
      <c r="X613" s="12"/>
      <c r="Y613" s="12"/>
      <c r="Z613" s="12"/>
      <c r="AA613" s="12"/>
    </row>
    <row r="614" spans="1:27" ht="15.75" customHeight="1">
      <c r="A614" s="12"/>
      <c r="B614" s="12"/>
      <c r="C614" s="12"/>
      <c r="D614" s="12"/>
      <c r="E614" s="12"/>
      <c r="F614" s="12"/>
      <c r="G614" s="12"/>
      <c r="H614" s="12"/>
      <c r="I614" s="12"/>
      <c r="J614" s="12"/>
      <c r="K614" s="12"/>
      <c r="L614" s="12"/>
      <c r="M614" s="12"/>
      <c r="N614" s="12"/>
      <c r="O614" s="12"/>
      <c r="P614" s="12"/>
      <c r="Q614" s="12"/>
      <c r="R614" s="12"/>
      <c r="S614" s="12"/>
      <c r="T614" s="12"/>
      <c r="U614" s="12"/>
      <c r="W614" s="67"/>
      <c r="X614" s="12"/>
      <c r="Y614" s="12"/>
      <c r="Z614" s="12"/>
      <c r="AA614" s="12"/>
    </row>
    <row r="615" spans="1:27" ht="15.75" customHeight="1">
      <c r="A615" s="12"/>
      <c r="B615" s="12"/>
      <c r="C615" s="12"/>
      <c r="D615" s="12"/>
      <c r="E615" s="12"/>
      <c r="F615" s="12"/>
      <c r="G615" s="12"/>
      <c r="H615" s="12"/>
      <c r="I615" s="12"/>
      <c r="J615" s="12"/>
      <c r="K615" s="12"/>
      <c r="L615" s="12"/>
      <c r="M615" s="12"/>
      <c r="N615" s="12"/>
      <c r="O615" s="12"/>
      <c r="P615" s="12"/>
      <c r="Q615" s="12"/>
      <c r="R615" s="12"/>
      <c r="S615" s="12"/>
      <c r="T615" s="12"/>
      <c r="U615" s="12"/>
      <c r="W615" s="67"/>
      <c r="X615" s="12"/>
      <c r="Y615" s="12"/>
      <c r="Z615" s="12"/>
      <c r="AA615" s="12"/>
    </row>
    <row r="616" spans="1:27" ht="15.75" customHeight="1">
      <c r="A616" s="12"/>
      <c r="B616" s="12"/>
      <c r="C616" s="12"/>
      <c r="D616" s="12"/>
      <c r="E616" s="12"/>
      <c r="F616" s="12"/>
      <c r="G616" s="12"/>
      <c r="H616" s="12"/>
      <c r="I616" s="12"/>
      <c r="J616" s="12"/>
      <c r="K616" s="12"/>
      <c r="L616" s="12"/>
      <c r="M616" s="12"/>
      <c r="N616" s="12"/>
      <c r="O616" s="12"/>
      <c r="P616" s="12"/>
      <c r="Q616" s="12"/>
      <c r="R616" s="12"/>
      <c r="S616" s="12"/>
      <c r="T616" s="12"/>
      <c r="U616" s="12"/>
      <c r="W616" s="67"/>
      <c r="X616" s="12"/>
      <c r="Y616" s="12"/>
      <c r="Z616" s="12"/>
      <c r="AA616" s="12"/>
    </row>
    <row r="617" spans="1:27" ht="15.75" customHeight="1">
      <c r="A617" s="12"/>
      <c r="B617" s="12"/>
      <c r="C617" s="12"/>
      <c r="D617" s="12"/>
      <c r="E617" s="12"/>
      <c r="F617" s="12"/>
      <c r="G617" s="12"/>
      <c r="H617" s="12"/>
      <c r="I617" s="12"/>
      <c r="J617" s="12"/>
      <c r="K617" s="12"/>
      <c r="L617" s="12"/>
      <c r="M617" s="12"/>
      <c r="N617" s="12"/>
      <c r="O617" s="12"/>
      <c r="P617" s="12"/>
      <c r="Q617" s="12"/>
      <c r="R617" s="12"/>
      <c r="S617" s="12"/>
      <c r="T617" s="12"/>
      <c r="U617" s="12"/>
      <c r="W617" s="67"/>
      <c r="X617" s="12"/>
      <c r="Y617" s="12"/>
      <c r="Z617" s="12"/>
      <c r="AA617" s="12"/>
    </row>
    <row r="618" spans="1:27" ht="15.75" customHeight="1">
      <c r="A618" s="12"/>
      <c r="B618" s="12"/>
      <c r="C618" s="12"/>
      <c r="D618" s="12"/>
      <c r="E618" s="12"/>
      <c r="F618" s="12"/>
      <c r="G618" s="12"/>
      <c r="H618" s="12"/>
      <c r="I618" s="12"/>
      <c r="J618" s="12"/>
      <c r="K618" s="12"/>
      <c r="L618" s="12"/>
      <c r="M618" s="12"/>
      <c r="N618" s="12"/>
      <c r="O618" s="12"/>
      <c r="P618" s="12"/>
      <c r="Q618" s="12"/>
      <c r="R618" s="12"/>
      <c r="S618" s="12"/>
      <c r="T618" s="12"/>
      <c r="U618" s="12"/>
      <c r="W618" s="67"/>
      <c r="X618" s="12"/>
      <c r="Y618" s="12"/>
      <c r="Z618" s="12"/>
      <c r="AA618" s="12"/>
    </row>
    <row r="619" spans="1:27" ht="15.75" customHeight="1">
      <c r="A619" s="12"/>
      <c r="B619" s="12"/>
      <c r="C619" s="12"/>
      <c r="D619" s="12"/>
      <c r="E619" s="12"/>
      <c r="F619" s="12"/>
      <c r="G619" s="12"/>
      <c r="H619" s="12"/>
      <c r="I619" s="12"/>
      <c r="J619" s="12"/>
      <c r="K619" s="12"/>
      <c r="L619" s="12"/>
      <c r="M619" s="12"/>
      <c r="N619" s="12"/>
      <c r="O619" s="12"/>
      <c r="P619" s="12"/>
      <c r="Q619" s="12"/>
      <c r="R619" s="12"/>
      <c r="S619" s="12"/>
      <c r="T619" s="12"/>
      <c r="U619" s="12"/>
      <c r="W619" s="67"/>
      <c r="X619" s="12"/>
      <c r="Y619" s="12"/>
      <c r="Z619" s="12"/>
      <c r="AA619" s="12"/>
    </row>
    <row r="620" spans="1:27" ht="15.75" customHeight="1">
      <c r="A620" s="12"/>
      <c r="B620" s="12"/>
      <c r="C620" s="12"/>
      <c r="D620" s="12"/>
      <c r="E620" s="12"/>
      <c r="F620" s="12"/>
      <c r="G620" s="12"/>
      <c r="H620" s="12"/>
      <c r="I620" s="12"/>
      <c r="J620" s="12"/>
      <c r="K620" s="12"/>
      <c r="L620" s="12"/>
      <c r="M620" s="12"/>
      <c r="N620" s="12"/>
      <c r="O620" s="12"/>
      <c r="P620" s="12"/>
      <c r="Q620" s="12"/>
      <c r="R620" s="12"/>
      <c r="S620" s="12"/>
      <c r="T620" s="12"/>
      <c r="U620" s="12"/>
      <c r="W620" s="67"/>
      <c r="X620" s="12"/>
      <c r="Y620" s="12"/>
      <c r="Z620" s="12"/>
      <c r="AA620" s="12"/>
    </row>
    <row r="621" spans="1:27" ht="15.75" customHeight="1">
      <c r="A621" s="12"/>
      <c r="B621" s="12"/>
      <c r="C621" s="12"/>
      <c r="D621" s="12"/>
      <c r="E621" s="12"/>
      <c r="F621" s="12"/>
      <c r="G621" s="12"/>
      <c r="H621" s="12"/>
      <c r="I621" s="12"/>
      <c r="J621" s="12"/>
      <c r="K621" s="12"/>
      <c r="L621" s="12"/>
      <c r="M621" s="12"/>
      <c r="N621" s="12"/>
      <c r="O621" s="12"/>
      <c r="P621" s="12"/>
      <c r="Q621" s="12"/>
      <c r="R621" s="12"/>
      <c r="S621" s="12"/>
      <c r="T621" s="12"/>
      <c r="U621" s="12"/>
      <c r="W621" s="67"/>
      <c r="X621" s="12"/>
      <c r="Y621" s="12"/>
      <c r="Z621" s="12"/>
      <c r="AA621" s="12"/>
    </row>
    <row r="622" spans="1:27" ht="15.75" customHeight="1">
      <c r="A622" s="12"/>
      <c r="B622" s="12"/>
      <c r="C622" s="12"/>
      <c r="D622" s="12"/>
      <c r="E622" s="12"/>
      <c r="F622" s="12"/>
      <c r="G622" s="12"/>
      <c r="H622" s="12"/>
      <c r="I622" s="12"/>
      <c r="J622" s="12"/>
      <c r="K622" s="12"/>
      <c r="L622" s="12"/>
      <c r="M622" s="12"/>
      <c r="N622" s="12"/>
      <c r="O622" s="12"/>
      <c r="P622" s="12"/>
      <c r="Q622" s="12"/>
      <c r="R622" s="12"/>
      <c r="S622" s="12"/>
      <c r="T622" s="12"/>
      <c r="U622" s="12"/>
      <c r="W622" s="67"/>
      <c r="X622" s="12"/>
      <c r="Y622" s="12"/>
      <c r="Z622" s="12"/>
      <c r="AA622" s="12"/>
    </row>
    <row r="623" spans="1:27" ht="15.75" customHeight="1">
      <c r="A623" s="12"/>
      <c r="B623" s="12"/>
      <c r="C623" s="12"/>
      <c r="D623" s="12"/>
      <c r="E623" s="12"/>
      <c r="F623" s="12"/>
      <c r="G623" s="12"/>
      <c r="H623" s="12"/>
      <c r="I623" s="12"/>
      <c r="J623" s="12"/>
      <c r="K623" s="12"/>
      <c r="L623" s="12"/>
      <c r="M623" s="12"/>
      <c r="N623" s="12"/>
      <c r="O623" s="12"/>
      <c r="P623" s="12"/>
      <c r="Q623" s="12"/>
      <c r="R623" s="12"/>
      <c r="S623" s="12"/>
      <c r="T623" s="12"/>
      <c r="U623" s="12"/>
      <c r="W623" s="67"/>
      <c r="X623" s="12"/>
      <c r="Y623" s="12"/>
      <c r="Z623" s="12"/>
      <c r="AA623" s="12"/>
    </row>
    <row r="624" spans="1:27" ht="15.75" customHeight="1">
      <c r="A624" s="12"/>
      <c r="B624" s="12"/>
      <c r="C624" s="12"/>
      <c r="D624" s="12"/>
      <c r="E624" s="12"/>
      <c r="F624" s="12"/>
      <c r="G624" s="12"/>
      <c r="H624" s="12"/>
      <c r="I624" s="12"/>
      <c r="J624" s="12"/>
      <c r="K624" s="12"/>
      <c r="L624" s="12"/>
      <c r="M624" s="12"/>
      <c r="N624" s="12"/>
      <c r="O624" s="12"/>
      <c r="P624" s="12"/>
      <c r="Q624" s="12"/>
      <c r="R624" s="12"/>
      <c r="S624" s="12"/>
      <c r="T624" s="12"/>
      <c r="U624" s="12"/>
      <c r="W624" s="67"/>
      <c r="X624" s="12"/>
      <c r="Y624" s="12"/>
      <c r="Z624" s="12"/>
      <c r="AA624" s="12"/>
    </row>
    <row r="625" spans="1:27" ht="15.75" customHeight="1">
      <c r="A625" s="12"/>
      <c r="B625" s="12"/>
      <c r="C625" s="12"/>
      <c r="D625" s="12"/>
      <c r="E625" s="12"/>
      <c r="F625" s="12"/>
      <c r="G625" s="12"/>
      <c r="H625" s="12"/>
      <c r="I625" s="12"/>
      <c r="J625" s="12"/>
      <c r="K625" s="12"/>
      <c r="L625" s="12"/>
      <c r="M625" s="12"/>
      <c r="N625" s="12"/>
      <c r="O625" s="12"/>
      <c r="P625" s="12"/>
      <c r="Q625" s="12"/>
      <c r="R625" s="12"/>
      <c r="S625" s="12"/>
      <c r="T625" s="12"/>
      <c r="U625" s="12"/>
      <c r="W625" s="67"/>
      <c r="X625" s="12"/>
      <c r="Y625" s="12"/>
      <c r="Z625" s="12"/>
      <c r="AA625" s="12"/>
    </row>
    <row r="626" spans="1:27" ht="15.75" customHeight="1">
      <c r="A626" s="12"/>
      <c r="B626" s="12"/>
      <c r="C626" s="12"/>
      <c r="D626" s="12"/>
      <c r="E626" s="12"/>
      <c r="F626" s="12"/>
      <c r="G626" s="12"/>
      <c r="H626" s="12"/>
      <c r="I626" s="12"/>
      <c r="J626" s="12"/>
      <c r="K626" s="12"/>
      <c r="L626" s="12"/>
      <c r="M626" s="12"/>
      <c r="N626" s="12"/>
      <c r="O626" s="12"/>
      <c r="P626" s="12"/>
      <c r="Q626" s="12"/>
      <c r="R626" s="12"/>
      <c r="S626" s="12"/>
      <c r="T626" s="12"/>
      <c r="U626" s="12"/>
      <c r="W626" s="67"/>
      <c r="X626" s="12"/>
      <c r="Y626" s="12"/>
      <c r="Z626" s="12"/>
      <c r="AA626" s="12"/>
    </row>
    <row r="627" spans="1:27" ht="15.75" customHeight="1">
      <c r="A627" s="12"/>
      <c r="B627" s="12"/>
      <c r="C627" s="12"/>
      <c r="D627" s="12"/>
      <c r="E627" s="12"/>
      <c r="F627" s="12"/>
      <c r="G627" s="12"/>
      <c r="H627" s="12"/>
      <c r="I627" s="12"/>
      <c r="J627" s="12"/>
      <c r="K627" s="12"/>
      <c r="L627" s="12"/>
      <c r="M627" s="12"/>
      <c r="N627" s="12"/>
      <c r="O627" s="12"/>
      <c r="P627" s="12"/>
      <c r="Q627" s="12"/>
      <c r="R627" s="12"/>
      <c r="S627" s="12"/>
      <c r="T627" s="12"/>
      <c r="U627" s="12"/>
      <c r="W627" s="67"/>
      <c r="X627" s="12"/>
      <c r="Y627" s="12"/>
      <c r="Z627" s="12"/>
      <c r="AA627" s="12"/>
    </row>
    <row r="628" spans="1:27" ht="15.75" customHeight="1">
      <c r="A628" s="12"/>
      <c r="B628" s="12"/>
      <c r="C628" s="12"/>
      <c r="D628" s="12"/>
      <c r="E628" s="12"/>
      <c r="F628" s="12"/>
      <c r="G628" s="12"/>
      <c r="H628" s="12"/>
      <c r="I628" s="12"/>
      <c r="J628" s="12"/>
      <c r="K628" s="12"/>
      <c r="L628" s="12"/>
      <c r="M628" s="12"/>
      <c r="N628" s="12"/>
      <c r="O628" s="12"/>
      <c r="P628" s="12"/>
      <c r="Q628" s="12"/>
      <c r="R628" s="12"/>
      <c r="S628" s="12"/>
      <c r="T628" s="12"/>
      <c r="U628" s="12"/>
      <c r="W628" s="67"/>
      <c r="X628" s="12"/>
      <c r="Y628" s="12"/>
      <c r="Z628" s="12"/>
      <c r="AA628" s="12"/>
    </row>
    <row r="629" spans="1:27" ht="15.75" customHeight="1">
      <c r="A629" s="12"/>
      <c r="B629" s="12"/>
      <c r="C629" s="12"/>
      <c r="D629" s="12"/>
      <c r="E629" s="12"/>
      <c r="F629" s="12"/>
      <c r="G629" s="12"/>
      <c r="H629" s="12"/>
      <c r="I629" s="12"/>
      <c r="J629" s="12"/>
      <c r="K629" s="12"/>
      <c r="L629" s="12"/>
      <c r="M629" s="12"/>
      <c r="N629" s="12"/>
      <c r="O629" s="12"/>
      <c r="P629" s="12"/>
      <c r="Q629" s="12"/>
      <c r="R629" s="12"/>
      <c r="S629" s="12"/>
      <c r="T629" s="12"/>
      <c r="U629" s="12"/>
      <c r="W629" s="67"/>
      <c r="X629" s="12"/>
      <c r="Y629" s="12"/>
      <c r="Z629" s="12"/>
      <c r="AA629" s="12"/>
    </row>
    <row r="630" spans="1:27" ht="15.75" customHeight="1">
      <c r="A630" s="12"/>
      <c r="B630" s="12"/>
      <c r="C630" s="12"/>
      <c r="D630" s="12"/>
      <c r="E630" s="12"/>
      <c r="F630" s="12"/>
      <c r="G630" s="12"/>
      <c r="H630" s="12"/>
      <c r="I630" s="12"/>
      <c r="J630" s="12"/>
      <c r="K630" s="12"/>
      <c r="L630" s="12"/>
      <c r="M630" s="12"/>
      <c r="N630" s="12"/>
      <c r="O630" s="12"/>
      <c r="P630" s="12"/>
      <c r="Q630" s="12"/>
      <c r="R630" s="12"/>
      <c r="S630" s="12"/>
      <c r="T630" s="12"/>
      <c r="U630" s="12"/>
      <c r="W630" s="67"/>
      <c r="X630" s="12"/>
      <c r="Y630" s="12"/>
      <c r="Z630" s="12"/>
      <c r="AA630" s="12"/>
    </row>
    <row r="631" spans="1:27" ht="15.75" customHeight="1">
      <c r="A631" s="12"/>
      <c r="B631" s="12"/>
      <c r="C631" s="12"/>
      <c r="D631" s="12"/>
      <c r="E631" s="12"/>
      <c r="F631" s="12"/>
      <c r="G631" s="12"/>
      <c r="H631" s="12"/>
      <c r="I631" s="12"/>
      <c r="J631" s="12"/>
      <c r="K631" s="12"/>
      <c r="L631" s="12"/>
      <c r="M631" s="12"/>
      <c r="N631" s="12"/>
      <c r="O631" s="12"/>
      <c r="P631" s="12"/>
      <c r="Q631" s="12"/>
      <c r="R631" s="12"/>
      <c r="S631" s="12"/>
      <c r="T631" s="12"/>
      <c r="U631" s="12"/>
      <c r="W631" s="67"/>
      <c r="X631" s="12"/>
      <c r="Y631" s="12"/>
      <c r="Z631" s="12"/>
      <c r="AA631" s="12"/>
    </row>
    <row r="632" spans="1:27" ht="15.75" customHeight="1">
      <c r="A632" s="12"/>
      <c r="B632" s="12"/>
      <c r="C632" s="12"/>
      <c r="D632" s="12"/>
      <c r="E632" s="12"/>
      <c r="F632" s="12"/>
      <c r="G632" s="12"/>
      <c r="H632" s="12"/>
      <c r="I632" s="12"/>
      <c r="J632" s="12"/>
      <c r="K632" s="12"/>
      <c r="L632" s="12"/>
      <c r="M632" s="12"/>
      <c r="N632" s="12"/>
      <c r="O632" s="12"/>
      <c r="P632" s="12"/>
      <c r="Q632" s="12"/>
      <c r="R632" s="12"/>
      <c r="S632" s="12"/>
      <c r="T632" s="12"/>
      <c r="U632" s="12"/>
      <c r="W632" s="67"/>
      <c r="X632" s="12"/>
      <c r="Y632" s="12"/>
      <c r="Z632" s="12"/>
      <c r="AA632" s="12"/>
    </row>
    <row r="633" spans="1:27" ht="15.75" customHeight="1">
      <c r="A633" s="12"/>
      <c r="B633" s="12"/>
      <c r="C633" s="12"/>
      <c r="D633" s="12"/>
      <c r="E633" s="12"/>
      <c r="F633" s="12"/>
      <c r="G633" s="12"/>
      <c r="H633" s="12"/>
      <c r="I633" s="12"/>
      <c r="J633" s="12"/>
      <c r="K633" s="12"/>
      <c r="L633" s="12"/>
      <c r="M633" s="12"/>
      <c r="N633" s="12"/>
      <c r="O633" s="12"/>
      <c r="P633" s="12"/>
      <c r="Q633" s="12"/>
      <c r="R633" s="12"/>
      <c r="S633" s="12"/>
      <c r="T633" s="12"/>
      <c r="U633" s="12"/>
      <c r="W633" s="67"/>
      <c r="X633" s="12"/>
      <c r="Y633" s="12"/>
      <c r="Z633" s="12"/>
      <c r="AA633" s="12"/>
    </row>
    <row r="634" spans="1:27" ht="15.75" customHeight="1">
      <c r="A634" s="12"/>
      <c r="B634" s="12"/>
      <c r="C634" s="12"/>
      <c r="D634" s="12"/>
      <c r="E634" s="12"/>
      <c r="F634" s="12"/>
      <c r="G634" s="12"/>
      <c r="H634" s="12"/>
      <c r="I634" s="12"/>
      <c r="J634" s="12"/>
      <c r="K634" s="12"/>
      <c r="L634" s="12"/>
      <c r="M634" s="12"/>
      <c r="N634" s="12"/>
      <c r="O634" s="12"/>
      <c r="P634" s="12"/>
      <c r="Q634" s="12"/>
      <c r="R634" s="12"/>
      <c r="S634" s="12"/>
      <c r="T634" s="12"/>
      <c r="U634" s="12"/>
      <c r="W634" s="67"/>
      <c r="X634" s="12"/>
      <c r="Y634" s="12"/>
      <c r="Z634" s="12"/>
      <c r="AA634" s="12"/>
    </row>
    <row r="635" spans="1:27" ht="15.75" customHeight="1">
      <c r="A635" s="12"/>
      <c r="B635" s="12"/>
      <c r="C635" s="12"/>
      <c r="D635" s="12"/>
      <c r="E635" s="12"/>
      <c r="F635" s="12"/>
      <c r="G635" s="12"/>
      <c r="H635" s="12"/>
      <c r="I635" s="12"/>
      <c r="J635" s="12"/>
      <c r="K635" s="12"/>
      <c r="L635" s="12"/>
      <c r="M635" s="12"/>
      <c r="N635" s="12"/>
      <c r="O635" s="12"/>
      <c r="P635" s="12"/>
      <c r="Q635" s="12"/>
      <c r="R635" s="12"/>
      <c r="S635" s="12"/>
      <c r="T635" s="12"/>
      <c r="U635" s="12"/>
      <c r="W635" s="67"/>
      <c r="X635" s="12"/>
      <c r="Y635" s="12"/>
      <c r="Z635" s="12"/>
      <c r="AA635" s="12"/>
    </row>
    <row r="636" spans="1:27" ht="15.75" customHeight="1">
      <c r="A636" s="12"/>
      <c r="B636" s="12"/>
      <c r="C636" s="12"/>
      <c r="D636" s="12"/>
      <c r="E636" s="12"/>
      <c r="F636" s="12"/>
      <c r="G636" s="12"/>
      <c r="H636" s="12"/>
      <c r="I636" s="12"/>
      <c r="J636" s="12"/>
      <c r="K636" s="12"/>
      <c r="L636" s="12"/>
      <c r="M636" s="12"/>
      <c r="N636" s="12"/>
      <c r="O636" s="12"/>
      <c r="P636" s="12"/>
      <c r="Q636" s="12"/>
      <c r="R636" s="12"/>
      <c r="S636" s="12"/>
      <c r="T636" s="12"/>
      <c r="U636" s="12"/>
      <c r="W636" s="67"/>
      <c r="X636" s="12"/>
      <c r="Y636" s="12"/>
      <c r="Z636" s="12"/>
      <c r="AA636" s="12"/>
    </row>
    <row r="637" spans="1:27" ht="15.75" customHeight="1">
      <c r="A637" s="12"/>
      <c r="B637" s="12"/>
      <c r="C637" s="12"/>
      <c r="D637" s="12"/>
      <c r="E637" s="12"/>
      <c r="F637" s="12"/>
      <c r="G637" s="12"/>
      <c r="H637" s="12"/>
      <c r="I637" s="12"/>
      <c r="J637" s="12"/>
      <c r="K637" s="12"/>
      <c r="L637" s="12"/>
      <c r="M637" s="12"/>
      <c r="N637" s="12"/>
      <c r="O637" s="12"/>
      <c r="P637" s="12"/>
      <c r="Q637" s="12"/>
      <c r="R637" s="12"/>
      <c r="S637" s="12"/>
      <c r="T637" s="12"/>
      <c r="U637" s="12"/>
      <c r="W637" s="67"/>
      <c r="X637" s="12"/>
      <c r="Y637" s="12"/>
      <c r="Z637" s="12"/>
      <c r="AA637" s="12"/>
    </row>
    <row r="638" spans="1:27" ht="15.75" customHeight="1">
      <c r="A638" s="12"/>
      <c r="B638" s="12"/>
      <c r="C638" s="12"/>
      <c r="D638" s="12"/>
      <c r="E638" s="12"/>
      <c r="F638" s="12"/>
      <c r="G638" s="12"/>
      <c r="H638" s="12"/>
      <c r="I638" s="12"/>
      <c r="J638" s="12"/>
      <c r="K638" s="12"/>
      <c r="L638" s="12"/>
      <c r="M638" s="12"/>
      <c r="N638" s="12"/>
      <c r="O638" s="12"/>
      <c r="P638" s="12"/>
      <c r="Q638" s="12"/>
      <c r="R638" s="12"/>
      <c r="S638" s="12"/>
      <c r="T638" s="12"/>
      <c r="U638" s="12"/>
      <c r="W638" s="67"/>
      <c r="X638" s="12"/>
      <c r="Y638" s="12"/>
      <c r="Z638" s="12"/>
      <c r="AA638" s="12"/>
    </row>
    <row r="639" spans="1:27" ht="15.75" customHeight="1">
      <c r="A639" s="12"/>
      <c r="B639" s="12"/>
      <c r="C639" s="12"/>
      <c r="D639" s="12"/>
      <c r="E639" s="12"/>
      <c r="F639" s="12"/>
      <c r="G639" s="12"/>
      <c r="H639" s="12"/>
      <c r="I639" s="12"/>
      <c r="J639" s="12"/>
      <c r="K639" s="12"/>
      <c r="L639" s="12"/>
      <c r="M639" s="12"/>
      <c r="N639" s="12"/>
      <c r="O639" s="12"/>
      <c r="P639" s="12"/>
      <c r="Q639" s="12"/>
      <c r="R639" s="12"/>
      <c r="S639" s="12"/>
      <c r="T639" s="12"/>
      <c r="U639" s="12"/>
      <c r="W639" s="67"/>
      <c r="X639" s="12"/>
      <c r="Y639" s="12"/>
      <c r="Z639" s="12"/>
      <c r="AA639" s="12"/>
    </row>
    <row r="640" spans="1:27" ht="15.75" customHeight="1">
      <c r="A640" s="12"/>
      <c r="B640" s="12"/>
      <c r="C640" s="12"/>
      <c r="D640" s="12"/>
      <c r="E640" s="12"/>
      <c r="F640" s="12"/>
      <c r="G640" s="12"/>
      <c r="H640" s="12"/>
      <c r="I640" s="12"/>
      <c r="J640" s="12"/>
      <c r="K640" s="12"/>
      <c r="L640" s="12"/>
      <c r="M640" s="12"/>
      <c r="N640" s="12"/>
      <c r="O640" s="12"/>
      <c r="P640" s="12"/>
      <c r="Q640" s="12"/>
      <c r="R640" s="12"/>
      <c r="S640" s="12"/>
      <c r="T640" s="12"/>
      <c r="U640" s="12"/>
      <c r="W640" s="67"/>
      <c r="X640" s="12"/>
      <c r="Y640" s="12"/>
      <c r="Z640" s="12"/>
      <c r="AA640" s="12"/>
    </row>
    <row r="641" spans="1:27" ht="15.75" customHeight="1">
      <c r="A641" s="12"/>
      <c r="B641" s="12"/>
      <c r="C641" s="12"/>
      <c r="D641" s="12"/>
      <c r="E641" s="12"/>
      <c r="F641" s="12"/>
      <c r="G641" s="12"/>
      <c r="H641" s="12"/>
      <c r="I641" s="12"/>
      <c r="J641" s="12"/>
      <c r="K641" s="12"/>
      <c r="L641" s="12"/>
      <c r="M641" s="12"/>
      <c r="N641" s="12"/>
      <c r="O641" s="12"/>
      <c r="P641" s="12"/>
      <c r="Q641" s="12"/>
      <c r="R641" s="12"/>
      <c r="S641" s="12"/>
      <c r="T641" s="12"/>
      <c r="U641" s="12"/>
      <c r="W641" s="67"/>
      <c r="X641" s="12"/>
      <c r="Y641" s="12"/>
      <c r="Z641" s="12"/>
      <c r="AA641" s="12"/>
    </row>
    <row r="642" spans="1:27" ht="15.75" customHeight="1">
      <c r="A642" s="12"/>
      <c r="B642" s="12"/>
      <c r="C642" s="12"/>
      <c r="D642" s="12"/>
      <c r="E642" s="12"/>
      <c r="F642" s="12"/>
      <c r="G642" s="12"/>
      <c r="H642" s="12"/>
      <c r="I642" s="12"/>
      <c r="J642" s="12"/>
      <c r="K642" s="12"/>
      <c r="L642" s="12"/>
      <c r="M642" s="12"/>
      <c r="N642" s="12"/>
      <c r="O642" s="12"/>
      <c r="P642" s="12"/>
      <c r="Q642" s="12"/>
      <c r="R642" s="12"/>
      <c r="S642" s="12"/>
      <c r="T642" s="12"/>
      <c r="U642" s="12"/>
      <c r="W642" s="67"/>
      <c r="X642" s="12"/>
      <c r="Y642" s="12"/>
      <c r="Z642" s="12"/>
      <c r="AA642" s="12"/>
    </row>
    <row r="643" spans="1:27" ht="15.75" customHeight="1">
      <c r="A643" s="12"/>
      <c r="B643" s="12"/>
      <c r="C643" s="12"/>
      <c r="D643" s="12"/>
      <c r="E643" s="12"/>
      <c r="F643" s="12"/>
      <c r="G643" s="12"/>
      <c r="H643" s="12"/>
      <c r="I643" s="12"/>
      <c r="J643" s="12"/>
      <c r="K643" s="12"/>
      <c r="L643" s="12"/>
      <c r="M643" s="12"/>
      <c r="N643" s="12"/>
      <c r="O643" s="12"/>
      <c r="P643" s="12"/>
      <c r="Q643" s="12"/>
      <c r="R643" s="12"/>
      <c r="S643" s="12"/>
      <c r="T643" s="12"/>
      <c r="U643" s="12"/>
      <c r="W643" s="67"/>
      <c r="X643" s="12"/>
      <c r="Y643" s="12"/>
      <c r="Z643" s="12"/>
      <c r="AA643" s="12"/>
    </row>
    <row r="644" spans="1:27" ht="15.75" customHeight="1">
      <c r="A644" s="12"/>
      <c r="B644" s="12"/>
      <c r="C644" s="12"/>
      <c r="D644" s="12"/>
      <c r="E644" s="12"/>
      <c r="F644" s="12"/>
      <c r="G644" s="12"/>
      <c r="H644" s="12"/>
      <c r="I644" s="12"/>
      <c r="J644" s="12"/>
      <c r="K644" s="12"/>
      <c r="L644" s="12"/>
      <c r="M644" s="12"/>
      <c r="N644" s="12"/>
      <c r="O644" s="12"/>
      <c r="P644" s="12"/>
      <c r="Q644" s="12"/>
      <c r="R644" s="12"/>
      <c r="S644" s="12"/>
      <c r="T644" s="12"/>
      <c r="U644" s="12"/>
      <c r="W644" s="67"/>
      <c r="X644" s="12"/>
      <c r="Y644" s="12"/>
      <c r="Z644" s="12"/>
      <c r="AA644" s="12"/>
    </row>
    <row r="645" spans="1:27" ht="15.75" customHeight="1">
      <c r="A645" s="12"/>
      <c r="B645" s="12"/>
      <c r="C645" s="12"/>
      <c r="D645" s="12"/>
      <c r="E645" s="12"/>
      <c r="F645" s="12"/>
      <c r="G645" s="12"/>
      <c r="H645" s="12"/>
      <c r="I645" s="12"/>
      <c r="J645" s="12"/>
      <c r="K645" s="12"/>
      <c r="L645" s="12"/>
      <c r="M645" s="12"/>
      <c r="N645" s="12"/>
      <c r="O645" s="12"/>
      <c r="P645" s="12"/>
      <c r="Q645" s="12"/>
      <c r="R645" s="12"/>
      <c r="S645" s="12"/>
      <c r="T645" s="12"/>
      <c r="U645" s="12"/>
      <c r="W645" s="67"/>
      <c r="X645" s="12"/>
      <c r="Y645" s="12"/>
      <c r="Z645" s="12"/>
      <c r="AA645" s="12"/>
    </row>
    <row r="646" spans="1:27" ht="15.75" customHeight="1">
      <c r="A646" s="12"/>
      <c r="B646" s="12"/>
      <c r="C646" s="12"/>
      <c r="D646" s="12"/>
      <c r="E646" s="12"/>
      <c r="F646" s="12"/>
      <c r="G646" s="12"/>
      <c r="H646" s="12"/>
      <c r="I646" s="12"/>
      <c r="J646" s="12"/>
      <c r="K646" s="12"/>
      <c r="L646" s="12"/>
      <c r="M646" s="12"/>
      <c r="N646" s="12"/>
      <c r="O646" s="12"/>
      <c r="P646" s="12"/>
      <c r="Q646" s="12"/>
      <c r="R646" s="12"/>
      <c r="S646" s="12"/>
      <c r="T646" s="12"/>
      <c r="U646" s="12"/>
      <c r="W646" s="67"/>
      <c r="X646" s="12"/>
      <c r="Y646" s="12"/>
      <c r="Z646" s="12"/>
      <c r="AA646" s="12"/>
    </row>
    <row r="647" spans="1:27" ht="15.75" customHeight="1">
      <c r="A647" s="12"/>
      <c r="B647" s="12"/>
      <c r="C647" s="12"/>
      <c r="D647" s="12"/>
      <c r="E647" s="12"/>
      <c r="F647" s="12"/>
      <c r="G647" s="12"/>
      <c r="H647" s="12"/>
      <c r="I647" s="12"/>
      <c r="J647" s="12"/>
      <c r="K647" s="12"/>
      <c r="L647" s="12"/>
      <c r="M647" s="12"/>
      <c r="N647" s="12"/>
      <c r="O647" s="12"/>
      <c r="P647" s="12"/>
      <c r="Q647" s="12"/>
      <c r="R647" s="12"/>
      <c r="S647" s="12"/>
      <c r="T647" s="12"/>
      <c r="U647" s="12"/>
      <c r="W647" s="67"/>
      <c r="X647" s="12"/>
      <c r="Y647" s="12"/>
      <c r="Z647" s="12"/>
      <c r="AA647" s="12"/>
    </row>
    <row r="648" spans="1:27" ht="15.75" customHeight="1">
      <c r="A648" s="12"/>
      <c r="B648" s="12"/>
      <c r="C648" s="12"/>
      <c r="D648" s="12"/>
      <c r="E648" s="12"/>
      <c r="F648" s="12"/>
      <c r="G648" s="12"/>
      <c r="H648" s="12"/>
      <c r="I648" s="12"/>
      <c r="J648" s="12"/>
      <c r="K648" s="12"/>
      <c r="L648" s="12"/>
      <c r="M648" s="12"/>
      <c r="N648" s="12"/>
      <c r="O648" s="12"/>
      <c r="P648" s="12"/>
      <c r="Q648" s="12"/>
      <c r="R648" s="12"/>
      <c r="S648" s="12"/>
      <c r="T648" s="12"/>
      <c r="U648" s="12"/>
      <c r="W648" s="67"/>
      <c r="X648" s="12"/>
      <c r="Y648" s="12"/>
      <c r="Z648" s="12"/>
      <c r="AA648" s="12"/>
    </row>
    <row r="649" spans="1:27" ht="15.75" customHeight="1">
      <c r="A649" s="12"/>
      <c r="B649" s="12"/>
      <c r="C649" s="12"/>
      <c r="D649" s="12"/>
      <c r="E649" s="12"/>
      <c r="F649" s="12"/>
      <c r="G649" s="12"/>
      <c r="H649" s="12"/>
      <c r="I649" s="12"/>
      <c r="J649" s="12"/>
      <c r="K649" s="12"/>
      <c r="L649" s="12"/>
      <c r="M649" s="12"/>
      <c r="N649" s="12"/>
      <c r="O649" s="12"/>
      <c r="P649" s="12"/>
      <c r="Q649" s="12"/>
      <c r="R649" s="12"/>
      <c r="S649" s="12"/>
      <c r="T649" s="12"/>
      <c r="U649" s="12"/>
      <c r="W649" s="67"/>
      <c r="X649" s="12"/>
      <c r="Y649" s="12"/>
      <c r="Z649" s="12"/>
      <c r="AA649" s="12"/>
    </row>
    <row r="650" spans="1:27" ht="15.75" customHeight="1">
      <c r="A650" s="12"/>
      <c r="B650" s="12"/>
      <c r="C650" s="12"/>
      <c r="D650" s="12"/>
      <c r="E650" s="12"/>
      <c r="F650" s="12"/>
      <c r="G650" s="12"/>
      <c r="H650" s="12"/>
      <c r="I650" s="12"/>
      <c r="J650" s="12"/>
      <c r="K650" s="12"/>
      <c r="L650" s="12"/>
      <c r="M650" s="12"/>
      <c r="N650" s="12"/>
      <c r="O650" s="12"/>
      <c r="P650" s="12"/>
      <c r="Q650" s="12"/>
      <c r="R650" s="12"/>
      <c r="S650" s="12"/>
      <c r="T650" s="12"/>
      <c r="U650" s="12"/>
      <c r="W650" s="67"/>
      <c r="X650" s="12"/>
      <c r="Y650" s="12"/>
      <c r="Z650" s="12"/>
      <c r="AA650" s="12"/>
    </row>
    <row r="651" spans="1:27" ht="15.75" customHeight="1">
      <c r="A651" s="12"/>
      <c r="B651" s="12"/>
      <c r="C651" s="12"/>
      <c r="D651" s="12"/>
      <c r="E651" s="12"/>
      <c r="F651" s="12"/>
      <c r="G651" s="12"/>
      <c r="H651" s="12"/>
      <c r="I651" s="12"/>
      <c r="J651" s="12"/>
      <c r="K651" s="12"/>
      <c r="L651" s="12"/>
      <c r="M651" s="12"/>
      <c r="N651" s="12"/>
      <c r="O651" s="12"/>
      <c r="P651" s="12"/>
      <c r="Q651" s="12"/>
      <c r="R651" s="12"/>
      <c r="S651" s="12"/>
      <c r="T651" s="12"/>
      <c r="U651" s="12"/>
      <c r="W651" s="67"/>
      <c r="X651" s="12"/>
      <c r="Y651" s="12"/>
      <c r="Z651" s="12"/>
      <c r="AA651" s="12"/>
    </row>
    <row r="652" spans="1:27" ht="15.75" customHeight="1">
      <c r="A652" s="12"/>
      <c r="B652" s="12"/>
      <c r="C652" s="12"/>
      <c r="D652" s="12"/>
      <c r="E652" s="12"/>
      <c r="F652" s="12"/>
      <c r="G652" s="12"/>
      <c r="H652" s="12"/>
      <c r="I652" s="12"/>
      <c r="J652" s="12"/>
      <c r="K652" s="12"/>
      <c r="L652" s="12"/>
      <c r="M652" s="12"/>
      <c r="N652" s="12"/>
      <c r="O652" s="12"/>
      <c r="P652" s="12"/>
      <c r="Q652" s="12"/>
      <c r="R652" s="12"/>
      <c r="S652" s="12"/>
      <c r="T652" s="12"/>
      <c r="U652" s="12"/>
      <c r="W652" s="67"/>
      <c r="X652" s="12"/>
      <c r="Y652" s="12"/>
      <c r="Z652" s="12"/>
      <c r="AA652" s="12"/>
    </row>
    <row r="653" spans="1:27" ht="15.75" customHeight="1">
      <c r="A653" s="12"/>
      <c r="B653" s="12"/>
      <c r="C653" s="12"/>
      <c r="D653" s="12"/>
      <c r="E653" s="12"/>
      <c r="F653" s="12"/>
      <c r="G653" s="12"/>
      <c r="H653" s="12"/>
      <c r="I653" s="12"/>
      <c r="J653" s="12"/>
      <c r="K653" s="12"/>
      <c r="L653" s="12"/>
      <c r="M653" s="12"/>
      <c r="N653" s="12"/>
      <c r="O653" s="12"/>
      <c r="P653" s="12"/>
      <c r="Q653" s="12"/>
      <c r="R653" s="12"/>
      <c r="S653" s="12"/>
      <c r="T653" s="12"/>
      <c r="U653" s="12"/>
      <c r="W653" s="67"/>
      <c r="X653" s="12"/>
      <c r="Y653" s="12"/>
      <c r="Z653" s="12"/>
      <c r="AA653" s="12"/>
    </row>
    <row r="654" spans="1:27" ht="15.75" customHeight="1">
      <c r="A654" s="12"/>
      <c r="B654" s="12"/>
      <c r="C654" s="12"/>
      <c r="D654" s="12"/>
      <c r="E654" s="12"/>
      <c r="F654" s="12"/>
      <c r="G654" s="12"/>
      <c r="H654" s="12"/>
      <c r="I654" s="12"/>
      <c r="J654" s="12"/>
      <c r="K654" s="12"/>
      <c r="L654" s="12"/>
      <c r="M654" s="12"/>
      <c r="N654" s="12"/>
      <c r="O654" s="12"/>
      <c r="P654" s="12"/>
      <c r="Q654" s="12"/>
      <c r="R654" s="12"/>
      <c r="S654" s="12"/>
      <c r="T654" s="12"/>
      <c r="U654" s="12"/>
      <c r="W654" s="67"/>
      <c r="X654" s="12"/>
      <c r="Y654" s="12"/>
      <c r="Z654" s="12"/>
      <c r="AA654" s="12"/>
    </row>
    <row r="655" spans="1:27" ht="15.75" customHeight="1">
      <c r="A655" s="12"/>
      <c r="B655" s="12"/>
      <c r="C655" s="12"/>
      <c r="D655" s="12"/>
      <c r="E655" s="12"/>
      <c r="F655" s="12"/>
      <c r="G655" s="12"/>
      <c r="H655" s="12"/>
      <c r="I655" s="12"/>
      <c r="J655" s="12"/>
      <c r="K655" s="12"/>
      <c r="L655" s="12"/>
      <c r="M655" s="12"/>
      <c r="N655" s="12"/>
      <c r="O655" s="12"/>
      <c r="P655" s="12"/>
      <c r="Q655" s="12"/>
      <c r="R655" s="12"/>
      <c r="S655" s="12"/>
      <c r="T655" s="12"/>
      <c r="U655" s="12"/>
      <c r="W655" s="67"/>
      <c r="X655" s="12"/>
      <c r="Y655" s="12"/>
      <c r="Z655" s="12"/>
      <c r="AA655" s="12"/>
    </row>
    <row r="656" spans="1:27" ht="15.75" customHeight="1">
      <c r="A656" s="12"/>
      <c r="B656" s="12"/>
      <c r="C656" s="12"/>
      <c r="D656" s="12"/>
      <c r="E656" s="12"/>
      <c r="F656" s="12"/>
      <c r="G656" s="12"/>
      <c r="H656" s="12"/>
      <c r="I656" s="12"/>
      <c r="J656" s="12"/>
      <c r="K656" s="12"/>
      <c r="L656" s="12"/>
      <c r="M656" s="12"/>
      <c r="N656" s="12"/>
      <c r="O656" s="12"/>
      <c r="P656" s="12"/>
      <c r="Q656" s="12"/>
      <c r="R656" s="12"/>
      <c r="S656" s="12"/>
      <c r="T656" s="12"/>
      <c r="U656" s="12"/>
      <c r="W656" s="67"/>
      <c r="X656" s="12"/>
      <c r="Y656" s="12"/>
      <c r="Z656" s="12"/>
      <c r="AA656" s="12"/>
    </row>
    <row r="657" spans="1:27" ht="15.75" customHeight="1">
      <c r="A657" s="12"/>
      <c r="B657" s="12"/>
      <c r="C657" s="12"/>
      <c r="D657" s="12"/>
      <c r="E657" s="12"/>
      <c r="F657" s="12"/>
      <c r="G657" s="12"/>
      <c r="H657" s="12"/>
      <c r="I657" s="12"/>
      <c r="J657" s="12"/>
      <c r="K657" s="12"/>
      <c r="L657" s="12"/>
      <c r="M657" s="12"/>
      <c r="N657" s="12"/>
      <c r="O657" s="12"/>
      <c r="P657" s="12"/>
      <c r="Q657" s="12"/>
      <c r="R657" s="12"/>
      <c r="S657" s="12"/>
      <c r="T657" s="12"/>
      <c r="U657" s="12"/>
      <c r="W657" s="67"/>
      <c r="X657" s="12"/>
      <c r="Y657" s="12"/>
      <c r="Z657" s="12"/>
      <c r="AA657" s="12"/>
    </row>
    <row r="658" spans="1:27" ht="15.75" customHeight="1">
      <c r="A658" s="12"/>
      <c r="B658" s="12"/>
      <c r="C658" s="12"/>
      <c r="D658" s="12"/>
      <c r="E658" s="12"/>
      <c r="F658" s="12"/>
      <c r="G658" s="12"/>
      <c r="H658" s="12"/>
      <c r="I658" s="12"/>
      <c r="J658" s="12"/>
      <c r="K658" s="12"/>
      <c r="L658" s="12"/>
      <c r="M658" s="12"/>
      <c r="N658" s="12"/>
      <c r="O658" s="12"/>
      <c r="P658" s="12"/>
      <c r="Q658" s="12"/>
      <c r="R658" s="12"/>
      <c r="S658" s="12"/>
      <c r="T658" s="12"/>
      <c r="U658" s="12"/>
      <c r="W658" s="67"/>
      <c r="X658" s="12"/>
      <c r="Y658" s="12"/>
      <c r="Z658" s="12"/>
      <c r="AA658" s="12"/>
    </row>
    <row r="659" spans="1:27" ht="15.75" customHeight="1">
      <c r="A659" s="12"/>
      <c r="B659" s="12"/>
      <c r="C659" s="12"/>
      <c r="D659" s="12"/>
      <c r="E659" s="12"/>
      <c r="F659" s="12"/>
      <c r="G659" s="12"/>
      <c r="H659" s="12"/>
      <c r="I659" s="12"/>
      <c r="J659" s="12"/>
      <c r="K659" s="12"/>
      <c r="L659" s="12"/>
      <c r="M659" s="12"/>
      <c r="N659" s="12"/>
      <c r="O659" s="12"/>
      <c r="P659" s="12"/>
      <c r="Q659" s="12"/>
      <c r="R659" s="12"/>
      <c r="S659" s="12"/>
      <c r="T659" s="12"/>
      <c r="U659" s="12"/>
      <c r="W659" s="67"/>
      <c r="X659" s="12"/>
      <c r="Y659" s="12"/>
      <c r="Z659" s="12"/>
      <c r="AA659" s="12"/>
    </row>
    <row r="660" spans="1:27" ht="15.75" customHeight="1">
      <c r="A660" s="12"/>
      <c r="B660" s="12"/>
      <c r="C660" s="12"/>
      <c r="D660" s="12"/>
      <c r="E660" s="12"/>
      <c r="F660" s="12"/>
      <c r="G660" s="12"/>
      <c r="H660" s="12"/>
      <c r="I660" s="12"/>
      <c r="J660" s="12"/>
      <c r="K660" s="12"/>
      <c r="L660" s="12"/>
      <c r="M660" s="12"/>
      <c r="N660" s="12"/>
      <c r="O660" s="12"/>
      <c r="P660" s="12"/>
      <c r="Q660" s="12"/>
      <c r="R660" s="12"/>
      <c r="S660" s="12"/>
      <c r="T660" s="12"/>
      <c r="U660" s="12"/>
      <c r="W660" s="67"/>
      <c r="X660" s="12"/>
      <c r="Y660" s="12"/>
      <c r="Z660" s="12"/>
      <c r="AA660" s="12"/>
    </row>
    <row r="661" spans="1:27" ht="15.75" customHeight="1">
      <c r="A661" s="12"/>
      <c r="B661" s="12"/>
      <c r="C661" s="12"/>
      <c r="D661" s="12"/>
      <c r="E661" s="12"/>
      <c r="F661" s="12"/>
      <c r="G661" s="12"/>
      <c r="H661" s="12"/>
      <c r="I661" s="12"/>
      <c r="J661" s="12"/>
      <c r="K661" s="12"/>
      <c r="L661" s="12"/>
      <c r="M661" s="12"/>
      <c r="N661" s="12"/>
      <c r="O661" s="12"/>
      <c r="P661" s="12"/>
      <c r="Q661" s="12"/>
      <c r="R661" s="12"/>
      <c r="S661" s="12"/>
      <c r="T661" s="12"/>
      <c r="U661" s="12"/>
      <c r="W661" s="67"/>
      <c r="X661" s="12"/>
      <c r="Y661" s="12"/>
      <c r="Z661" s="12"/>
      <c r="AA661" s="12"/>
    </row>
    <row r="662" spans="1:27" ht="15.75" customHeight="1">
      <c r="A662" s="12"/>
      <c r="B662" s="12"/>
      <c r="C662" s="12"/>
      <c r="D662" s="12"/>
      <c r="E662" s="12"/>
      <c r="F662" s="12"/>
      <c r="G662" s="12"/>
      <c r="H662" s="12"/>
      <c r="I662" s="12"/>
      <c r="J662" s="12"/>
      <c r="K662" s="12"/>
      <c r="L662" s="12"/>
      <c r="M662" s="12"/>
      <c r="N662" s="12"/>
      <c r="O662" s="12"/>
      <c r="P662" s="12"/>
      <c r="Q662" s="12"/>
      <c r="R662" s="12"/>
      <c r="S662" s="12"/>
      <c r="T662" s="12"/>
      <c r="U662" s="12"/>
      <c r="W662" s="67"/>
      <c r="X662" s="12"/>
      <c r="Y662" s="12"/>
      <c r="Z662" s="12"/>
      <c r="AA662" s="12"/>
    </row>
    <row r="663" spans="1:27" ht="15.75" customHeight="1">
      <c r="A663" s="12"/>
      <c r="B663" s="12"/>
      <c r="C663" s="12"/>
      <c r="D663" s="12"/>
      <c r="E663" s="12"/>
      <c r="F663" s="12"/>
      <c r="G663" s="12"/>
      <c r="H663" s="12"/>
      <c r="I663" s="12"/>
      <c r="J663" s="12"/>
      <c r="K663" s="12"/>
      <c r="L663" s="12"/>
      <c r="M663" s="12"/>
      <c r="N663" s="12"/>
      <c r="O663" s="12"/>
      <c r="P663" s="12"/>
      <c r="Q663" s="12"/>
      <c r="R663" s="12"/>
      <c r="S663" s="12"/>
      <c r="T663" s="12"/>
      <c r="U663" s="12"/>
      <c r="W663" s="67"/>
      <c r="X663" s="12"/>
      <c r="Y663" s="12"/>
      <c r="Z663" s="12"/>
      <c r="AA663" s="12"/>
    </row>
    <row r="664" spans="1:27" ht="15.75" customHeight="1">
      <c r="A664" s="12"/>
      <c r="B664" s="12"/>
      <c r="C664" s="12"/>
      <c r="D664" s="12"/>
      <c r="E664" s="12"/>
      <c r="F664" s="12"/>
      <c r="G664" s="12"/>
      <c r="H664" s="12"/>
      <c r="I664" s="12"/>
      <c r="J664" s="12"/>
      <c r="K664" s="12"/>
      <c r="L664" s="12"/>
      <c r="M664" s="12"/>
      <c r="N664" s="12"/>
      <c r="O664" s="12"/>
      <c r="P664" s="12"/>
      <c r="Q664" s="12"/>
      <c r="R664" s="12"/>
      <c r="S664" s="12"/>
      <c r="T664" s="12"/>
      <c r="U664" s="12"/>
      <c r="W664" s="67"/>
      <c r="X664" s="12"/>
      <c r="Y664" s="12"/>
      <c r="Z664" s="12"/>
      <c r="AA664" s="12"/>
    </row>
    <row r="665" spans="1:27" ht="15.75" customHeight="1">
      <c r="A665" s="12"/>
      <c r="B665" s="12"/>
      <c r="C665" s="12"/>
      <c r="D665" s="12"/>
      <c r="E665" s="12"/>
      <c r="F665" s="12"/>
      <c r="G665" s="12"/>
      <c r="H665" s="12"/>
      <c r="I665" s="12"/>
      <c r="J665" s="12"/>
      <c r="K665" s="12"/>
      <c r="L665" s="12"/>
      <c r="M665" s="12"/>
      <c r="N665" s="12"/>
      <c r="O665" s="12"/>
      <c r="P665" s="12"/>
      <c r="Q665" s="12"/>
      <c r="R665" s="12"/>
      <c r="S665" s="12"/>
      <c r="T665" s="12"/>
      <c r="U665" s="12"/>
      <c r="W665" s="67"/>
      <c r="X665" s="12"/>
      <c r="Y665" s="12"/>
      <c r="Z665" s="12"/>
      <c r="AA665" s="12"/>
    </row>
    <row r="666" spans="1:27" ht="15.75" customHeight="1">
      <c r="A666" s="12"/>
      <c r="B666" s="12"/>
      <c r="C666" s="12"/>
      <c r="D666" s="12"/>
      <c r="E666" s="12"/>
      <c r="F666" s="12"/>
      <c r="G666" s="12"/>
      <c r="H666" s="12"/>
      <c r="I666" s="12"/>
      <c r="J666" s="12"/>
      <c r="K666" s="12"/>
      <c r="L666" s="12"/>
      <c r="M666" s="12"/>
      <c r="N666" s="12"/>
      <c r="O666" s="12"/>
      <c r="P666" s="12"/>
      <c r="Q666" s="12"/>
      <c r="R666" s="12"/>
      <c r="S666" s="12"/>
      <c r="T666" s="12"/>
      <c r="U666" s="12"/>
      <c r="W666" s="67"/>
      <c r="X666" s="12"/>
      <c r="Y666" s="12"/>
      <c r="Z666" s="12"/>
      <c r="AA666" s="12"/>
    </row>
    <row r="667" spans="1:27" ht="15.75" customHeight="1">
      <c r="A667" s="12"/>
      <c r="B667" s="12"/>
      <c r="C667" s="12"/>
      <c r="D667" s="12"/>
      <c r="E667" s="12"/>
      <c r="F667" s="12"/>
      <c r="G667" s="12"/>
      <c r="H667" s="12"/>
      <c r="I667" s="12"/>
      <c r="J667" s="12"/>
      <c r="K667" s="12"/>
      <c r="L667" s="12"/>
      <c r="M667" s="12"/>
      <c r="N667" s="12"/>
      <c r="O667" s="12"/>
      <c r="P667" s="12"/>
      <c r="Q667" s="12"/>
      <c r="R667" s="12"/>
      <c r="S667" s="12"/>
      <c r="T667" s="12"/>
      <c r="U667" s="12"/>
      <c r="W667" s="67"/>
      <c r="X667" s="12"/>
      <c r="Y667" s="12"/>
      <c r="Z667" s="12"/>
      <c r="AA667" s="12"/>
    </row>
    <row r="668" spans="1:27" ht="15.75" customHeight="1">
      <c r="A668" s="12"/>
      <c r="B668" s="12"/>
      <c r="C668" s="12"/>
      <c r="D668" s="12"/>
      <c r="E668" s="12"/>
      <c r="F668" s="12"/>
      <c r="G668" s="12"/>
      <c r="H668" s="12"/>
      <c r="I668" s="12"/>
      <c r="J668" s="12"/>
      <c r="K668" s="12"/>
      <c r="L668" s="12"/>
      <c r="M668" s="12"/>
      <c r="N668" s="12"/>
      <c r="O668" s="12"/>
      <c r="P668" s="12"/>
      <c r="Q668" s="12"/>
      <c r="R668" s="12"/>
      <c r="S668" s="12"/>
      <c r="T668" s="12"/>
      <c r="U668" s="12"/>
      <c r="W668" s="67"/>
      <c r="X668" s="12"/>
      <c r="Y668" s="12"/>
      <c r="Z668" s="12"/>
      <c r="AA668" s="12"/>
    </row>
    <row r="669" spans="1:27" ht="15.75" customHeight="1">
      <c r="A669" s="12"/>
      <c r="B669" s="12"/>
      <c r="C669" s="12"/>
      <c r="D669" s="12"/>
      <c r="E669" s="12"/>
      <c r="F669" s="12"/>
      <c r="G669" s="12"/>
      <c r="H669" s="12"/>
      <c r="I669" s="12"/>
      <c r="J669" s="12"/>
      <c r="K669" s="12"/>
      <c r="L669" s="12"/>
      <c r="M669" s="12"/>
      <c r="N669" s="12"/>
      <c r="O669" s="12"/>
      <c r="P669" s="12"/>
      <c r="Q669" s="12"/>
      <c r="R669" s="12"/>
      <c r="S669" s="12"/>
      <c r="T669" s="12"/>
      <c r="U669" s="12"/>
      <c r="W669" s="67"/>
      <c r="X669" s="12"/>
      <c r="Y669" s="12"/>
      <c r="Z669" s="12"/>
      <c r="AA669" s="12"/>
    </row>
    <row r="670" spans="1:27" ht="15.75" customHeight="1">
      <c r="A670" s="12"/>
      <c r="B670" s="12"/>
      <c r="C670" s="12"/>
      <c r="D670" s="12"/>
      <c r="E670" s="12"/>
      <c r="F670" s="12"/>
      <c r="G670" s="12"/>
      <c r="H670" s="12"/>
      <c r="I670" s="12"/>
      <c r="J670" s="12"/>
      <c r="K670" s="12"/>
      <c r="L670" s="12"/>
      <c r="M670" s="12"/>
      <c r="N670" s="12"/>
      <c r="O670" s="12"/>
      <c r="P670" s="12"/>
      <c r="Q670" s="12"/>
      <c r="R670" s="12"/>
      <c r="S670" s="12"/>
      <c r="T670" s="12"/>
      <c r="U670" s="12"/>
      <c r="W670" s="67"/>
      <c r="X670" s="12"/>
      <c r="Y670" s="12"/>
      <c r="Z670" s="12"/>
      <c r="AA670" s="12"/>
    </row>
    <row r="671" spans="1:27" ht="15.75" customHeight="1">
      <c r="A671" s="12"/>
      <c r="B671" s="12"/>
      <c r="C671" s="12"/>
      <c r="D671" s="12"/>
      <c r="E671" s="12"/>
      <c r="F671" s="12"/>
      <c r="G671" s="12"/>
      <c r="H671" s="12"/>
      <c r="I671" s="12"/>
      <c r="J671" s="12"/>
      <c r="K671" s="12"/>
      <c r="L671" s="12"/>
      <c r="M671" s="12"/>
      <c r="N671" s="12"/>
      <c r="O671" s="12"/>
      <c r="P671" s="12"/>
      <c r="Q671" s="12"/>
      <c r="R671" s="12"/>
      <c r="S671" s="12"/>
      <c r="T671" s="12"/>
      <c r="U671" s="12"/>
      <c r="W671" s="67"/>
      <c r="X671" s="12"/>
      <c r="Y671" s="12"/>
      <c r="Z671" s="12"/>
      <c r="AA671" s="12"/>
    </row>
    <row r="672" spans="1:27" ht="15.75" customHeight="1">
      <c r="A672" s="12"/>
      <c r="B672" s="12"/>
      <c r="C672" s="12"/>
      <c r="D672" s="12"/>
      <c r="E672" s="12"/>
      <c r="F672" s="12"/>
      <c r="G672" s="12"/>
      <c r="H672" s="12"/>
      <c r="I672" s="12"/>
      <c r="J672" s="12"/>
      <c r="K672" s="12"/>
      <c r="L672" s="12"/>
      <c r="M672" s="12"/>
      <c r="N672" s="12"/>
      <c r="O672" s="12"/>
      <c r="P672" s="12"/>
      <c r="Q672" s="12"/>
      <c r="R672" s="12"/>
      <c r="S672" s="12"/>
      <c r="T672" s="12"/>
      <c r="U672" s="12"/>
      <c r="W672" s="67"/>
      <c r="X672" s="12"/>
      <c r="Y672" s="12"/>
      <c r="Z672" s="12"/>
      <c r="AA672" s="12"/>
    </row>
    <row r="673" spans="1:27" ht="15.75" customHeight="1">
      <c r="A673" s="12"/>
      <c r="B673" s="12"/>
      <c r="C673" s="12"/>
      <c r="D673" s="12"/>
      <c r="E673" s="12"/>
      <c r="F673" s="12"/>
      <c r="G673" s="12"/>
      <c r="H673" s="12"/>
      <c r="I673" s="12"/>
      <c r="J673" s="12"/>
      <c r="K673" s="12"/>
      <c r="L673" s="12"/>
      <c r="M673" s="12"/>
      <c r="N673" s="12"/>
      <c r="O673" s="12"/>
      <c r="P673" s="12"/>
      <c r="Q673" s="12"/>
      <c r="R673" s="12"/>
      <c r="S673" s="12"/>
      <c r="T673" s="12"/>
      <c r="U673" s="12"/>
      <c r="W673" s="67"/>
      <c r="X673" s="12"/>
      <c r="Y673" s="12"/>
      <c r="Z673" s="12"/>
      <c r="AA673" s="12"/>
    </row>
    <row r="674" spans="1:27" ht="15.75" customHeight="1">
      <c r="A674" s="12"/>
      <c r="B674" s="12"/>
      <c r="C674" s="12"/>
      <c r="D674" s="12"/>
      <c r="E674" s="12"/>
      <c r="F674" s="12"/>
      <c r="G674" s="12"/>
      <c r="H674" s="12"/>
      <c r="I674" s="12"/>
      <c r="J674" s="12"/>
      <c r="K674" s="12"/>
      <c r="L674" s="12"/>
      <c r="M674" s="12"/>
      <c r="N674" s="12"/>
      <c r="O674" s="12"/>
      <c r="P674" s="12"/>
      <c r="Q674" s="12"/>
      <c r="R674" s="12"/>
      <c r="S674" s="12"/>
      <c r="T674" s="12"/>
      <c r="U674" s="12"/>
      <c r="W674" s="67"/>
      <c r="X674" s="12"/>
      <c r="Y674" s="12"/>
      <c r="Z674" s="12"/>
      <c r="AA674" s="12"/>
    </row>
    <row r="675" spans="1:27" ht="15.75" customHeight="1">
      <c r="A675" s="12"/>
      <c r="B675" s="12"/>
      <c r="C675" s="12"/>
      <c r="D675" s="12"/>
      <c r="E675" s="12"/>
      <c r="F675" s="12"/>
      <c r="G675" s="12"/>
      <c r="H675" s="12"/>
      <c r="I675" s="12"/>
      <c r="J675" s="12"/>
      <c r="K675" s="12"/>
      <c r="L675" s="12"/>
      <c r="M675" s="12"/>
      <c r="N675" s="12"/>
      <c r="O675" s="12"/>
      <c r="P675" s="12"/>
      <c r="Q675" s="12"/>
      <c r="R675" s="12"/>
      <c r="S675" s="12"/>
      <c r="T675" s="12"/>
      <c r="U675" s="12"/>
      <c r="W675" s="67"/>
      <c r="X675" s="12"/>
      <c r="Y675" s="12"/>
      <c r="Z675" s="12"/>
      <c r="AA675" s="12"/>
    </row>
    <row r="676" spans="1:27" ht="15.75" customHeight="1">
      <c r="A676" s="12"/>
      <c r="B676" s="12"/>
      <c r="C676" s="12"/>
      <c r="D676" s="12"/>
      <c r="E676" s="12"/>
      <c r="F676" s="12"/>
      <c r="G676" s="12"/>
      <c r="H676" s="12"/>
      <c r="I676" s="12"/>
      <c r="J676" s="12"/>
      <c r="K676" s="12"/>
      <c r="L676" s="12"/>
      <c r="M676" s="12"/>
      <c r="N676" s="12"/>
      <c r="O676" s="12"/>
      <c r="P676" s="12"/>
      <c r="Q676" s="12"/>
      <c r="R676" s="12"/>
      <c r="S676" s="12"/>
      <c r="T676" s="12"/>
      <c r="U676" s="12"/>
      <c r="W676" s="67"/>
      <c r="X676" s="12"/>
      <c r="Y676" s="12"/>
      <c r="Z676" s="12"/>
      <c r="AA676" s="12"/>
    </row>
    <row r="677" spans="1:27" ht="15.75" customHeight="1">
      <c r="A677" s="12"/>
      <c r="B677" s="12"/>
      <c r="C677" s="12"/>
      <c r="D677" s="12"/>
      <c r="E677" s="12"/>
      <c r="F677" s="12"/>
      <c r="G677" s="12"/>
      <c r="H677" s="12"/>
      <c r="I677" s="12"/>
      <c r="J677" s="12"/>
      <c r="K677" s="12"/>
      <c r="L677" s="12"/>
      <c r="M677" s="12"/>
      <c r="N677" s="12"/>
      <c r="O677" s="12"/>
      <c r="P677" s="12"/>
      <c r="Q677" s="12"/>
      <c r="R677" s="12"/>
      <c r="S677" s="12"/>
      <c r="T677" s="12"/>
      <c r="U677" s="12"/>
      <c r="W677" s="67"/>
      <c r="X677" s="12"/>
      <c r="Y677" s="12"/>
      <c r="Z677" s="12"/>
      <c r="AA677" s="12"/>
    </row>
    <row r="678" spans="1:27" ht="15.75" customHeight="1">
      <c r="A678" s="12"/>
      <c r="B678" s="12"/>
      <c r="C678" s="12"/>
      <c r="D678" s="12"/>
      <c r="E678" s="12"/>
      <c r="F678" s="12"/>
      <c r="G678" s="12"/>
      <c r="H678" s="12"/>
      <c r="I678" s="12"/>
      <c r="J678" s="12"/>
      <c r="K678" s="12"/>
      <c r="L678" s="12"/>
      <c r="M678" s="12"/>
      <c r="N678" s="12"/>
      <c r="O678" s="12"/>
      <c r="P678" s="12"/>
      <c r="Q678" s="12"/>
      <c r="R678" s="12"/>
      <c r="S678" s="12"/>
      <c r="T678" s="12"/>
      <c r="U678" s="12"/>
      <c r="W678" s="67"/>
      <c r="X678" s="12"/>
      <c r="Y678" s="12"/>
      <c r="Z678" s="12"/>
      <c r="AA678" s="12"/>
    </row>
    <row r="679" spans="1:27" ht="15.75" customHeight="1">
      <c r="A679" s="12"/>
      <c r="B679" s="12"/>
      <c r="C679" s="12"/>
      <c r="D679" s="12"/>
      <c r="E679" s="12"/>
      <c r="F679" s="12"/>
      <c r="G679" s="12"/>
      <c r="H679" s="12"/>
      <c r="I679" s="12"/>
      <c r="J679" s="12"/>
      <c r="K679" s="12"/>
      <c r="L679" s="12"/>
      <c r="M679" s="12"/>
      <c r="N679" s="12"/>
      <c r="O679" s="12"/>
      <c r="P679" s="12"/>
      <c r="Q679" s="12"/>
      <c r="R679" s="12"/>
      <c r="S679" s="12"/>
      <c r="T679" s="12"/>
      <c r="U679" s="12"/>
      <c r="W679" s="67"/>
      <c r="X679" s="12"/>
      <c r="Y679" s="12"/>
      <c r="Z679" s="12"/>
      <c r="AA679" s="12"/>
    </row>
    <row r="680" spans="1:27" ht="15.75" customHeight="1">
      <c r="A680" s="12"/>
      <c r="B680" s="12"/>
      <c r="C680" s="12"/>
      <c r="D680" s="12"/>
      <c r="E680" s="12"/>
      <c r="F680" s="12"/>
      <c r="G680" s="12"/>
      <c r="H680" s="12"/>
      <c r="I680" s="12"/>
      <c r="J680" s="12"/>
      <c r="K680" s="12"/>
      <c r="L680" s="12"/>
      <c r="M680" s="12"/>
      <c r="N680" s="12"/>
      <c r="O680" s="12"/>
      <c r="P680" s="12"/>
      <c r="Q680" s="12"/>
      <c r="R680" s="12"/>
      <c r="S680" s="12"/>
      <c r="T680" s="12"/>
      <c r="U680" s="12"/>
      <c r="W680" s="67"/>
      <c r="X680" s="12"/>
      <c r="Y680" s="12"/>
      <c r="Z680" s="12"/>
      <c r="AA680" s="12"/>
    </row>
    <row r="681" spans="1:27" ht="15.75" customHeight="1">
      <c r="A681" s="12"/>
      <c r="B681" s="12"/>
      <c r="C681" s="12"/>
      <c r="D681" s="12"/>
      <c r="E681" s="12"/>
      <c r="F681" s="12"/>
      <c r="G681" s="12"/>
      <c r="H681" s="12"/>
      <c r="I681" s="12"/>
      <c r="J681" s="12"/>
      <c r="K681" s="12"/>
      <c r="L681" s="12"/>
      <c r="M681" s="12"/>
      <c r="N681" s="12"/>
      <c r="O681" s="12"/>
      <c r="P681" s="12"/>
      <c r="Q681" s="12"/>
      <c r="R681" s="12"/>
      <c r="S681" s="12"/>
      <c r="T681" s="12"/>
      <c r="U681" s="12"/>
      <c r="W681" s="67"/>
      <c r="X681" s="12"/>
      <c r="Y681" s="12"/>
      <c r="Z681" s="12"/>
      <c r="AA681" s="12"/>
    </row>
    <row r="682" spans="1:27" ht="15.75" customHeight="1">
      <c r="A682" s="12"/>
      <c r="B682" s="12"/>
      <c r="C682" s="12"/>
      <c r="D682" s="12"/>
      <c r="E682" s="12"/>
      <c r="F682" s="12"/>
      <c r="G682" s="12"/>
      <c r="H682" s="12"/>
      <c r="I682" s="12"/>
      <c r="J682" s="12"/>
      <c r="K682" s="12"/>
      <c r="L682" s="12"/>
      <c r="M682" s="12"/>
      <c r="N682" s="12"/>
      <c r="O682" s="12"/>
      <c r="P682" s="12"/>
      <c r="Q682" s="12"/>
      <c r="R682" s="12"/>
      <c r="S682" s="12"/>
      <c r="T682" s="12"/>
      <c r="U682" s="12"/>
      <c r="W682" s="67"/>
      <c r="X682" s="12"/>
      <c r="Y682" s="12"/>
      <c r="Z682" s="12"/>
      <c r="AA682" s="12"/>
    </row>
    <row r="683" spans="1:27" ht="15.75" customHeight="1">
      <c r="A683" s="12"/>
      <c r="B683" s="12"/>
      <c r="C683" s="12"/>
      <c r="D683" s="12"/>
      <c r="E683" s="12"/>
      <c r="F683" s="12"/>
      <c r="G683" s="12"/>
      <c r="H683" s="12"/>
      <c r="I683" s="12"/>
      <c r="J683" s="12"/>
      <c r="K683" s="12"/>
      <c r="L683" s="12"/>
      <c r="M683" s="12"/>
      <c r="N683" s="12"/>
      <c r="O683" s="12"/>
      <c r="P683" s="12"/>
      <c r="Q683" s="12"/>
      <c r="R683" s="12"/>
      <c r="S683" s="12"/>
      <c r="T683" s="12"/>
      <c r="U683" s="12"/>
      <c r="W683" s="67"/>
      <c r="X683" s="12"/>
      <c r="Y683" s="12"/>
      <c r="Z683" s="12"/>
      <c r="AA683" s="12"/>
    </row>
    <row r="684" spans="1:27" ht="15.75" customHeight="1">
      <c r="A684" s="12"/>
      <c r="B684" s="12"/>
      <c r="C684" s="12"/>
      <c r="D684" s="12"/>
      <c r="E684" s="12"/>
      <c r="F684" s="12"/>
      <c r="G684" s="12"/>
      <c r="H684" s="12"/>
      <c r="I684" s="12"/>
      <c r="J684" s="12"/>
      <c r="K684" s="12"/>
      <c r="L684" s="12"/>
      <c r="M684" s="12"/>
      <c r="N684" s="12"/>
      <c r="O684" s="12"/>
      <c r="P684" s="12"/>
      <c r="Q684" s="12"/>
      <c r="R684" s="12"/>
      <c r="S684" s="12"/>
      <c r="T684" s="12"/>
      <c r="U684" s="12"/>
      <c r="W684" s="67"/>
      <c r="X684" s="12"/>
      <c r="Y684" s="12"/>
      <c r="Z684" s="12"/>
      <c r="AA684" s="12"/>
    </row>
    <row r="685" spans="1:27" ht="15.75" customHeight="1">
      <c r="A685" s="12"/>
      <c r="B685" s="12"/>
      <c r="C685" s="12"/>
      <c r="D685" s="12"/>
      <c r="E685" s="12"/>
      <c r="F685" s="12"/>
      <c r="G685" s="12"/>
      <c r="H685" s="12"/>
      <c r="I685" s="12"/>
      <c r="J685" s="12"/>
      <c r="K685" s="12"/>
      <c r="L685" s="12"/>
      <c r="M685" s="12"/>
      <c r="N685" s="12"/>
      <c r="O685" s="12"/>
      <c r="P685" s="12"/>
      <c r="Q685" s="12"/>
      <c r="R685" s="12"/>
      <c r="S685" s="12"/>
      <c r="T685" s="12"/>
      <c r="U685" s="12"/>
      <c r="W685" s="67"/>
      <c r="X685" s="12"/>
      <c r="Y685" s="12"/>
      <c r="Z685" s="12"/>
      <c r="AA685" s="12"/>
    </row>
    <row r="686" spans="1:27" ht="15.75" customHeight="1">
      <c r="A686" s="12"/>
      <c r="B686" s="12"/>
      <c r="C686" s="12"/>
      <c r="D686" s="12"/>
      <c r="E686" s="12"/>
      <c r="F686" s="12"/>
      <c r="G686" s="12"/>
      <c r="H686" s="12"/>
      <c r="I686" s="12"/>
      <c r="J686" s="12"/>
      <c r="K686" s="12"/>
      <c r="L686" s="12"/>
      <c r="M686" s="12"/>
      <c r="N686" s="12"/>
      <c r="O686" s="12"/>
      <c r="P686" s="12"/>
      <c r="Q686" s="12"/>
      <c r="R686" s="12"/>
      <c r="S686" s="12"/>
      <c r="T686" s="12"/>
      <c r="U686" s="12"/>
      <c r="W686" s="67"/>
      <c r="X686" s="12"/>
      <c r="Y686" s="12"/>
      <c r="Z686" s="12"/>
      <c r="AA686" s="12"/>
    </row>
    <row r="687" spans="1:27" ht="15.75" customHeight="1">
      <c r="A687" s="12"/>
      <c r="B687" s="12"/>
      <c r="C687" s="12"/>
      <c r="D687" s="12"/>
      <c r="E687" s="12"/>
      <c r="F687" s="12"/>
      <c r="G687" s="12"/>
      <c r="H687" s="12"/>
      <c r="I687" s="12"/>
      <c r="J687" s="12"/>
      <c r="K687" s="12"/>
      <c r="L687" s="12"/>
      <c r="M687" s="12"/>
      <c r="N687" s="12"/>
      <c r="O687" s="12"/>
      <c r="P687" s="12"/>
      <c r="Q687" s="12"/>
      <c r="R687" s="12"/>
      <c r="S687" s="12"/>
      <c r="T687" s="12"/>
      <c r="U687" s="12"/>
      <c r="W687" s="67"/>
      <c r="X687" s="12"/>
      <c r="Y687" s="12"/>
      <c r="Z687" s="12"/>
      <c r="AA687" s="12"/>
    </row>
    <row r="688" spans="1:27" ht="15.75" customHeight="1">
      <c r="A688" s="12"/>
      <c r="B688" s="12"/>
      <c r="C688" s="12"/>
      <c r="D688" s="12"/>
      <c r="E688" s="12"/>
      <c r="F688" s="12"/>
      <c r="G688" s="12"/>
      <c r="H688" s="12"/>
      <c r="I688" s="12"/>
      <c r="J688" s="12"/>
      <c r="K688" s="12"/>
      <c r="L688" s="12"/>
      <c r="M688" s="12"/>
      <c r="N688" s="12"/>
      <c r="O688" s="12"/>
      <c r="P688" s="12"/>
      <c r="Q688" s="12"/>
      <c r="R688" s="12"/>
      <c r="S688" s="12"/>
      <c r="T688" s="12"/>
      <c r="U688" s="12"/>
      <c r="W688" s="67"/>
      <c r="X688" s="12"/>
      <c r="Y688" s="12"/>
      <c r="Z688" s="12"/>
      <c r="AA688" s="12"/>
    </row>
    <row r="689" spans="1:27" ht="15.75" customHeight="1">
      <c r="A689" s="12"/>
      <c r="B689" s="12"/>
      <c r="C689" s="12"/>
      <c r="D689" s="12"/>
      <c r="E689" s="12"/>
      <c r="F689" s="12"/>
      <c r="G689" s="12"/>
      <c r="H689" s="12"/>
      <c r="I689" s="12"/>
      <c r="J689" s="12"/>
      <c r="K689" s="12"/>
      <c r="L689" s="12"/>
      <c r="M689" s="12"/>
      <c r="N689" s="12"/>
      <c r="O689" s="12"/>
      <c r="P689" s="12"/>
      <c r="Q689" s="12"/>
      <c r="R689" s="12"/>
      <c r="S689" s="12"/>
      <c r="T689" s="12"/>
      <c r="U689" s="12"/>
      <c r="W689" s="67"/>
      <c r="X689" s="12"/>
      <c r="Y689" s="12"/>
      <c r="Z689" s="12"/>
      <c r="AA689" s="12"/>
    </row>
    <row r="690" spans="1:27" ht="15.75" customHeight="1">
      <c r="A690" s="12"/>
      <c r="B690" s="12"/>
      <c r="C690" s="12"/>
      <c r="D690" s="12"/>
      <c r="E690" s="12"/>
      <c r="F690" s="12"/>
      <c r="G690" s="12"/>
      <c r="H690" s="12"/>
      <c r="I690" s="12"/>
      <c r="J690" s="12"/>
      <c r="K690" s="12"/>
      <c r="L690" s="12"/>
      <c r="M690" s="12"/>
      <c r="N690" s="12"/>
      <c r="O690" s="12"/>
      <c r="P690" s="12"/>
      <c r="Q690" s="12"/>
      <c r="R690" s="12"/>
      <c r="S690" s="12"/>
      <c r="T690" s="12"/>
      <c r="U690" s="12"/>
      <c r="W690" s="67"/>
      <c r="X690" s="12"/>
      <c r="Y690" s="12"/>
      <c r="Z690" s="12"/>
      <c r="AA690" s="12"/>
    </row>
    <row r="691" spans="1:27" ht="15.75" customHeight="1">
      <c r="A691" s="12"/>
      <c r="B691" s="12"/>
      <c r="C691" s="12"/>
      <c r="D691" s="12"/>
      <c r="E691" s="12"/>
      <c r="F691" s="12"/>
      <c r="G691" s="12"/>
      <c r="H691" s="12"/>
      <c r="I691" s="12"/>
      <c r="J691" s="12"/>
      <c r="K691" s="12"/>
      <c r="L691" s="12"/>
      <c r="M691" s="12"/>
      <c r="N691" s="12"/>
      <c r="O691" s="12"/>
      <c r="P691" s="12"/>
      <c r="Q691" s="12"/>
      <c r="R691" s="12"/>
      <c r="S691" s="12"/>
      <c r="T691" s="12"/>
      <c r="U691" s="12"/>
      <c r="W691" s="67"/>
      <c r="X691" s="12"/>
      <c r="Y691" s="12"/>
      <c r="Z691" s="12"/>
      <c r="AA691" s="12"/>
    </row>
    <row r="692" spans="1:27" ht="15.75" customHeight="1">
      <c r="A692" s="12"/>
      <c r="B692" s="12"/>
      <c r="C692" s="12"/>
      <c r="D692" s="12"/>
      <c r="E692" s="12"/>
      <c r="F692" s="12"/>
      <c r="G692" s="12"/>
      <c r="H692" s="12"/>
      <c r="I692" s="12"/>
      <c r="J692" s="12"/>
      <c r="K692" s="12"/>
      <c r="L692" s="12"/>
      <c r="M692" s="12"/>
      <c r="N692" s="12"/>
      <c r="O692" s="12"/>
      <c r="P692" s="12"/>
      <c r="Q692" s="12"/>
      <c r="R692" s="12"/>
      <c r="S692" s="12"/>
      <c r="T692" s="12"/>
      <c r="U692" s="12"/>
      <c r="W692" s="67"/>
      <c r="X692" s="12"/>
      <c r="Y692" s="12"/>
      <c r="Z692" s="12"/>
      <c r="AA692" s="12"/>
    </row>
    <row r="693" spans="1:27" ht="15.75" customHeight="1">
      <c r="A693" s="12"/>
      <c r="B693" s="12"/>
      <c r="C693" s="12"/>
      <c r="D693" s="12"/>
      <c r="E693" s="12"/>
      <c r="F693" s="12"/>
      <c r="G693" s="12"/>
      <c r="H693" s="12"/>
      <c r="I693" s="12"/>
      <c r="J693" s="12"/>
      <c r="K693" s="12"/>
      <c r="L693" s="12"/>
      <c r="M693" s="12"/>
      <c r="N693" s="12"/>
      <c r="O693" s="12"/>
      <c r="P693" s="12"/>
      <c r="Q693" s="12"/>
      <c r="R693" s="12"/>
      <c r="S693" s="12"/>
      <c r="T693" s="12"/>
      <c r="U693" s="12"/>
      <c r="W693" s="67"/>
      <c r="X693" s="12"/>
      <c r="Y693" s="12"/>
      <c r="Z693" s="12"/>
      <c r="AA693" s="12"/>
    </row>
    <row r="694" spans="1:27" ht="15.75" customHeight="1">
      <c r="A694" s="12"/>
      <c r="B694" s="12"/>
      <c r="C694" s="12"/>
      <c r="D694" s="12"/>
      <c r="E694" s="12"/>
      <c r="F694" s="12"/>
      <c r="G694" s="12"/>
      <c r="H694" s="12"/>
      <c r="I694" s="12"/>
      <c r="J694" s="12"/>
      <c r="K694" s="12"/>
      <c r="L694" s="12"/>
      <c r="M694" s="12"/>
      <c r="N694" s="12"/>
      <c r="O694" s="12"/>
      <c r="P694" s="12"/>
      <c r="Q694" s="12"/>
      <c r="R694" s="12"/>
      <c r="S694" s="12"/>
      <c r="T694" s="12"/>
      <c r="U694" s="12"/>
      <c r="W694" s="67"/>
      <c r="X694" s="12"/>
      <c r="Y694" s="12"/>
      <c r="Z694" s="12"/>
      <c r="AA694" s="12"/>
    </row>
    <row r="695" spans="1:27" ht="15.75" customHeight="1">
      <c r="A695" s="12"/>
      <c r="B695" s="12"/>
      <c r="C695" s="12"/>
      <c r="D695" s="12"/>
      <c r="E695" s="12"/>
      <c r="F695" s="12"/>
      <c r="G695" s="12"/>
      <c r="H695" s="12"/>
      <c r="I695" s="12"/>
      <c r="J695" s="12"/>
      <c r="K695" s="12"/>
      <c r="L695" s="12"/>
      <c r="M695" s="12"/>
      <c r="N695" s="12"/>
      <c r="O695" s="12"/>
      <c r="P695" s="12"/>
      <c r="Q695" s="12"/>
      <c r="R695" s="12"/>
      <c r="S695" s="12"/>
      <c r="T695" s="12"/>
      <c r="U695" s="12"/>
      <c r="W695" s="67"/>
      <c r="X695" s="12"/>
      <c r="Y695" s="12"/>
      <c r="Z695" s="12"/>
      <c r="AA695" s="12"/>
    </row>
    <row r="696" spans="1:27" ht="15.75" customHeight="1">
      <c r="A696" s="12"/>
      <c r="B696" s="12"/>
      <c r="C696" s="12"/>
      <c r="D696" s="12"/>
      <c r="E696" s="12"/>
      <c r="F696" s="12"/>
      <c r="G696" s="12"/>
      <c r="H696" s="12"/>
      <c r="I696" s="12"/>
      <c r="J696" s="12"/>
      <c r="K696" s="12"/>
      <c r="L696" s="12"/>
      <c r="M696" s="12"/>
      <c r="N696" s="12"/>
      <c r="O696" s="12"/>
      <c r="P696" s="12"/>
      <c r="Q696" s="12"/>
      <c r="R696" s="12"/>
      <c r="S696" s="12"/>
      <c r="T696" s="12"/>
      <c r="U696" s="12"/>
      <c r="W696" s="67"/>
      <c r="X696" s="12"/>
      <c r="Y696" s="12"/>
      <c r="Z696" s="12"/>
      <c r="AA696" s="12"/>
    </row>
    <row r="697" spans="1:27" ht="15.75" customHeight="1">
      <c r="A697" s="12"/>
      <c r="B697" s="12"/>
      <c r="C697" s="12"/>
      <c r="D697" s="12"/>
      <c r="E697" s="12"/>
      <c r="F697" s="12"/>
      <c r="G697" s="12"/>
      <c r="H697" s="12"/>
      <c r="I697" s="12"/>
      <c r="J697" s="12"/>
      <c r="K697" s="12"/>
      <c r="L697" s="12"/>
      <c r="M697" s="12"/>
      <c r="N697" s="12"/>
      <c r="O697" s="12"/>
      <c r="P697" s="12"/>
      <c r="Q697" s="12"/>
      <c r="R697" s="12"/>
      <c r="S697" s="12"/>
      <c r="T697" s="12"/>
      <c r="U697" s="12"/>
      <c r="W697" s="67"/>
      <c r="X697" s="12"/>
      <c r="Y697" s="12"/>
      <c r="Z697" s="12"/>
      <c r="AA697" s="12"/>
    </row>
    <row r="698" spans="1:27" ht="15.75" customHeight="1">
      <c r="A698" s="12"/>
      <c r="B698" s="12"/>
      <c r="C698" s="12"/>
      <c r="D698" s="12"/>
      <c r="E698" s="12"/>
      <c r="F698" s="12"/>
      <c r="G698" s="12"/>
      <c r="H698" s="12"/>
      <c r="I698" s="12"/>
      <c r="J698" s="12"/>
      <c r="K698" s="12"/>
      <c r="L698" s="12"/>
      <c r="M698" s="12"/>
      <c r="N698" s="12"/>
      <c r="O698" s="12"/>
      <c r="P698" s="12"/>
      <c r="Q698" s="12"/>
      <c r="R698" s="12"/>
      <c r="S698" s="12"/>
      <c r="T698" s="12"/>
      <c r="U698" s="12"/>
      <c r="W698" s="67"/>
      <c r="X698" s="12"/>
      <c r="Y698" s="12"/>
      <c r="Z698" s="12"/>
      <c r="AA698" s="12"/>
    </row>
    <row r="699" spans="1:27" ht="15.75" customHeight="1">
      <c r="A699" s="12"/>
      <c r="B699" s="12"/>
      <c r="C699" s="12"/>
      <c r="D699" s="12"/>
      <c r="E699" s="12"/>
      <c r="F699" s="12"/>
      <c r="G699" s="12"/>
      <c r="H699" s="12"/>
      <c r="I699" s="12"/>
      <c r="J699" s="12"/>
      <c r="K699" s="12"/>
      <c r="L699" s="12"/>
      <c r="M699" s="12"/>
      <c r="N699" s="12"/>
      <c r="O699" s="12"/>
      <c r="P699" s="12"/>
      <c r="Q699" s="12"/>
      <c r="R699" s="12"/>
      <c r="S699" s="12"/>
      <c r="T699" s="12"/>
      <c r="U699" s="12"/>
      <c r="W699" s="67"/>
      <c r="X699" s="12"/>
      <c r="Y699" s="12"/>
      <c r="Z699" s="12"/>
      <c r="AA699" s="12"/>
    </row>
    <row r="700" spans="1:27" ht="15.75" customHeight="1">
      <c r="A700" s="12"/>
      <c r="B700" s="12"/>
      <c r="C700" s="12"/>
      <c r="D700" s="12"/>
      <c r="E700" s="12"/>
      <c r="F700" s="12"/>
      <c r="G700" s="12"/>
      <c r="H700" s="12"/>
      <c r="I700" s="12"/>
      <c r="J700" s="12"/>
      <c r="K700" s="12"/>
      <c r="L700" s="12"/>
      <c r="M700" s="12"/>
      <c r="N700" s="12"/>
      <c r="O700" s="12"/>
      <c r="P700" s="12"/>
      <c r="Q700" s="12"/>
      <c r="R700" s="12"/>
      <c r="S700" s="12"/>
      <c r="T700" s="12"/>
      <c r="U700" s="12"/>
      <c r="W700" s="67"/>
      <c r="X700" s="12"/>
      <c r="Y700" s="12"/>
      <c r="Z700" s="12"/>
      <c r="AA700" s="12"/>
    </row>
    <row r="701" spans="1:27" ht="15.75" customHeight="1">
      <c r="A701" s="12"/>
      <c r="B701" s="12"/>
      <c r="C701" s="12"/>
      <c r="D701" s="12"/>
      <c r="E701" s="12"/>
      <c r="F701" s="12"/>
      <c r="G701" s="12"/>
      <c r="H701" s="12"/>
      <c r="I701" s="12"/>
      <c r="J701" s="12"/>
      <c r="K701" s="12"/>
      <c r="L701" s="12"/>
      <c r="M701" s="12"/>
      <c r="N701" s="12"/>
      <c r="O701" s="12"/>
      <c r="P701" s="12"/>
      <c r="Q701" s="12"/>
      <c r="R701" s="12"/>
      <c r="S701" s="12"/>
      <c r="T701" s="12"/>
      <c r="U701" s="12"/>
      <c r="W701" s="67"/>
      <c r="X701" s="12"/>
      <c r="Y701" s="12"/>
      <c r="Z701" s="12"/>
      <c r="AA701" s="12"/>
    </row>
    <row r="702" spans="1:27" ht="15.75" customHeight="1">
      <c r="A702" s="12"/>
      <c r="B702" s="12"/>
      <c r="C702" s="12"/>
      <c r="D702" s="12"/>
      <c r="E702" s="12"/>
      <c r="F702" s="12"/>
      <c r="G702" s="12"/>
      <c r="H702" s="12"/>
      <c r="I702" s="12"/>
      <c r="J702" s="12"/>
      <c r="K702" s="12"/>
      <c r="L702" s="12"/>
      <c r="M702" s="12"/>
      <c r="N702" s="12"/>
      <c r="O702" s="12"/>
      <c r="P702" s="12"/>
      <c r="Q702" s="12"/>
      <c r="R702" s="12"/>
      <c r="S702" s="12"/>
      <c r="T702" s="12"/>
      <c r="U702" s="12"/>
      <c r="W702" s="67"/>
      <c r="X702" s="12"/>
      <c r="Y702" s="12"/>
      <c r="Z702" s="12"/>
      <c r="AA702" s="12"/>
    </row>
    <row r="703" spans="1:27" ht="15.75" customHeight="1">
      <c r="A703" s="12"/>
      <c r="B703" s="12"/>
      <c r="C703" s="12"/>
      <c r="D703" s="12"/>
      <c r="E703" s="12"/>
      <c r="F703" s="12"/>
      <c r="G703" s="12"/>
      <c r="H703" s="12"/>
      <c r="I703" s="12"/>
      <c r="J703" s="12"/>
      <c r="K703" s="12"/>
      <c r="L703" s="12"/>
      <c r="M703" s="12"/>
      <c r="N703" s="12"/>
      <c r="O703" s="12"/>
      <c r="P703" s="12"/>
      <c r="Q703" s="12"/>
      <c r="R703" s="12"/>
      <c r="S703" s="12"/>
      <c r="T703" s="12"/>
      <c r="U703" s="12"/>
      <c r="W703" s="67"/>
      <c r="X703" s="12"/>
      <c r="Y703" s="12"/>
      <c r="Z703" s="12"/>
      <c r="AA703" s="12"/>
    </row>
    <row r="704" spans="1:27" ht="15.75" customHeight="1">
      <c r="A704" s="12"/>
      <c r="B704" s="12"/>
      <c r="C704" s="12"/>
      <c r="D704" s="12"/>
      <c r="E704" s="12"/>
      <c r="F704" s="12"/>
      <c r="G704" s="12"/>
      <c r="H704" s="12"/>
      <c r="I704" s="12"/>
      <c r="J704" s="12"/>
      <c r="K704" s="12"/>
      <c r="L704" s="12"/>
      <c r="M704" s="12"/>
      <c r="N704" s="12"/>
      <c r="O704" s="12"/>
      <c r="P704" s="12"/>
      <c r="Q704" s="12"/>
      <c r="R704" s="12"/>
      <c r="S704" s="12"/>
      <c r="T704" s="12"/>
      <c r="U704" s="12"/>
      <c r="W704" s="67"/>
      <c r="X704" s="12"/>
      <c r="Y704" s="12"/>
      <c r="Z704" s="12"/>
      <c r="AA704" s="12"/>
    </row>
    <row r="705" spans="1:27" ht="15.75" customHeight="1">
      <c r="A705" s="12"/>
      <c r="B705" s="12"/>
      <c r="C705" s="12"/>
      <c r="D705" s="12"/>
      <c r="E705" s="12"/>
      <c r="F705" s="12"/>
      <c r="G705" s="12"/>
      <c r="H705" s="12"/>
      <c r="I705" s="12"/>
      <c r="J705" s="12"/>
      <c r="K705" s="12"/>
      <c r="L705" s="12"/>
      <c r="M705" s="12"/>
      <c r="N705" s="12"/>
      <c r="O705" s="12"/>
      <c r="P705" s="12"/>
      <c r="Q705" s="12"/>
      <c r="R705" s="12"/>
      <c r="S705" s="12"/>
      <c r="T705" s="12"/>
      <c r="U705" s="12"/>
      <c r="W705" s="67"/>
      <c r="X705" s="12"/>
      <c r="Y705" s="12"/>
      <c r="Z705" s="12"/>
      <c r="AA705" s="12"/>
    </row>
    <row r="706" spans="1:27" ht="15.75" customHeight="1">
      <c r="A706" s="12"/>
      <c r="B706" s="12"/>
      <c r="C706" s="12"/>
      <c r="D706" s="12"/>
      <c r="E706" s="12"/>
      <c r="F706" s="12"/>
      <c r="G706" s="12"/>
      <c r="H706" s="12"/>
      <c r="I706" s="12"/>
      <c r="J706" s="12"/>
      <c r="K706" s="12"/>
      <c r="L706" s="12"/>
      <c r="M706" s="12"/>
      <c r="N706" s="12"/>
      <c r="O706" s="12"/>
      <c r="P706" s="12"/>
      <c r="Q706" s="12"/>
      <c r="R706" s="12"/>
      <c r="S706" s="12"/>
      <c r="T706" s="12"/>
      <c r="U706" s="12"/>
      <c r="W706" s="67"/>
      <c r="X706" s="12"/>
      <c r="Y706" s="12"/>
      <c r="Z706" s="12"/>
      <c r="AA706" s="12"/>
    </row>
    <row r="707" spans="1:27" ht="15.75" customHeight="1">
      <c r="A707" s="12"/>
      <c r="B707" s="12"/>
      <c r="C707" s="12"/>
      <c r="D707" s="12"/>
      <c r="E707" s="12"/>
      <c r="F707" s="12"/>
      <c r="G707" s="12"/>
      <c r="H707" s="12"/>
      <c r="I707" s="12"/>
      <c r="J707" s="12"/>
      <c r="K707" s="12"/>
      <c r="L707" s="12"/>
      <c r="M707" s="12"/>
      <c r="N707" s="12"/>
      <c r="O707" s="12"/>
      <c r="P707" s="12"/>
      <c r="Q707" s="12"/>
      <c r="R707" s="12"/>
      <c r="S707" s="12"/>
      <c r="T707" s="12"/>
      <c r="U707" s="12"/>
      <c r="W707" s="67"/>
      <c r="X707" s="12"/>
      <c r="Y707" s="12"/>
      <c r="Z707" s="12"/>
      <c r="AA707" s="12"/>
    </row>
    <row r="708" spans="1:27" ht="15.75" customHeight="1">
      <c r="A708" s="12"/>
      <c r="B708" s="12"/>
      <c r="C708" s="12"/>
      <c r="D708" s="12"/>
      <c r="E708" s="12"/>
      <c r="F708" s="12"/>
      <c r="G708" s="12"/>
      <c r="H708" s="12"/>
      <c r="I708" s="12"/>
      <c r="J708" s="12"/>
      <c r="K708" s="12"/>
      <c r="L708" s="12"/>
      <c r="M708" s="12"/>
      <c r="N708" s="12"/>
      <c r="O708" s="12"/>
      <c r="P708" s="12"/>
      <c r="Q708" s="12"/>
      <c r="R708" s="12"/>
      <c r="S708" s="12"/>
      <c r="T708" s="12"/>
      <c r="U708" s="12"/>
      <c r="W708" s="67"/>
      <c r="X708" s="12"/>
      <c r="Y708" s="12"/>
      <c r="Z708" s="12"/>
      <c r="AA708" s="12"/>
    </row>
    <row r="709" spans="1:27" ht="15.75" customHeight="1">
      <c r="A709" s="12"/>
      <c r="B709" s="12"/>
      <c r="C709" s="12"/>
      <c r="D709" s="12"/>
      <c r="E709" s="12"/>
      <c r="F709" s="12"/>
      <c r="G709" s="12"/>
      <c r="H709" s="12"/>
      <c r="I709" s="12"/>
      <c r="J709" s="12"/>
      <c r="K709" s="12"/>
      <c r="L709" s="12"/>
      <c r="M709" s="12"/>
      <c r="N709" s="12"/>
      <c r="O709" s="12"/>
      <c r="P709" s="12"/>
      <c r="Q709" s="12"/>
      <c r="R709" s="12"/>
      <c r="S709" s="12"/>
      <c r="T709" s="12"/>
      <c r="U709" s="12"/>
      <c r="W709" s="67"/>
      <c r="X709" s="12"/>
      <c r="Y709" s="12"/>
      <c r="Z709" s="12"/>
      <c r="AA709" s="12"/>
    </row>
    <row r="710" spans="1:27" ht="15.75" customHeight="1">
      <c r="A710" s="12"/>
      <c r="B710" s="12"/>
      <c r="C710" s="12"/>
      <c r="D710" s="12"/>
      <c r="E710" s="12"/>
      <c r="F710" s="12"/>
      <c r="G710" s="12"/>
      <c r="H710" s="12"/>
      <c r="I710" s="12"/>
      <c r="J710" s="12"/>
      <c r="K710" s="12"/>
      <c r="L710" s="12"/>
      <c r="M710" s="12"/>
      <c r="N710" s="12"/>
      <c r="O710" s="12"/>
      <c r="P710" s="12"/>
      <c r="Q710" s="12"/>
      <c r="R710" s="12"/>
      <c r="S710" s="12"/>
      <c r="T710" s="12"/>
      <c r="U710" s="12"/>
      <c r="W710" s="67"/>
      <c r="X710" s="12"/>
      <c r="Y710" s="12"/>
      <c r="Z710" s="12"/>
      <c r="AA710" s="12"/>
    </row>
    <row r="711" spans="1:27" ht="15.75" customHeight="1">
      <c r="A711" s="12"/>
      <c r="B711" s="12"/>
      <c r="C711" s="12"/>
      <c r="D711" s="12"/>
      <c r="E711" s="12"/>
      <c r="F711" s="12"/>
      <c r="G711" s="12"/>
      <c r="H711" s="12"/>
      <c r="I711" s="12"/>
      <c r="J711" s="12"/>
      <c r="K711" s="12"/>
      <c r="L711" s="12"/>
      <c r="M711" s="12"/>
      <c r="N711" s="12"/>
      <c r="O711" s="12"/>
      <c r="P711" s="12"/>
      <c r="Q711" s="12"/>
      <c r="R711" s="12"/>
      <c r="S711" s="12"/>
      <c r="T711" s="12"/>
      <c r="U711" s="12"/>
      <c r="W711" s="67"/>
      <c r="X711" s="12"/>
      <c r="Y711" s="12"/>
      <c r="Z711" s="12"/>
      <c r="AA711" s="12"/>
    </row>
    <row r="712" spans="1:27" ht="15.75" customHeight="1">
      <c r="A712" s="12"/>
      <c r="B712" s="12"/>
      <c r="C712" s="12"/>
      <c r="D712" s="12"/>
      <c r="E712" s="12"/>
      <c r="F712" s="12"/>
      <c r="G712" s="12"/>
      <c r="H712" s="12"/>
      <c r="I712" s="12"/>
      <c r="J712" s="12"/>
      <c r="K712" s="12"/>
      <c r="L712" s="12"/>
      <c r="M712" s="12"/>
      <c r="N712" s="12"/>
      <c r="O712" s="12"/>
      <c r="P712" s="12"/>
      <c r="Q712" s="12"/>
      <c r="R712" s="12"/>
      <c r="S712" s="12"/>
      <c r="T712" s="12"/>
      <c r="U712" s="12"/>
      <c r="W712" s="67"/>
      <c r="X712" s="12"/>
      <c r="Y712" s="12"/>
      <c r="Z712" s="12"/>
      <c r="AA712" s="12"/>
    </row>
    <row r="713" spans="1:27" ht="15.75" customHeight="1">
      <c r="A713" s="12"/>
      <c r="B713" s="12"/>
      <c r="C713" s="12"/>
      <c r="D713" s="12"/>
      <c r="E713" s="12"/>
      <c r="F713" s="12"/>
      <c r="G713" s="12"/>
      <c r="H713" s="12"/>
      <c r="I713" s="12"/>
      <c r="J713" s="12"/>
      <c r="K713" s="12"/>
      <c r="L713" s="12"/>
      <c r="M713" s="12"/>
      <c r="N713" s="12"/>
      <c r="O713" s="12"/>
      <c r="P713" s="12"/>
      <c r="Q713" s="12"/>
      <c r="R713" s="12"/>
      <c r="S713" s="12"/>
      <c r="T713" s="12"/>
      <c r="U713" s="12"/>
      <c r="W713" s="67"/>
      <c r="X713" s="12"/>
      <c r="Y713" s="12"/>
      <c r="Z713" s="12"/>
      <c r="AA713" s="12"/>
    </row>
    <row r="714" spans="1:27" ht="15.75" customHeight="1">
      <c r="A714" s="12"/>
      <c r="B714" s="12"/>
      <c r="C714" s="12"/>
      <c r="D714" s="12"/>
      <c r="E714" s="12"/>
      <c r="F714" s="12"/>
      <c r="G714" s="12"/>
      <c r="H714" s="12"/>
      <c r="I714" s="12"/>
      <c r="J714" s="12"/>
      <c r="K714" s="12"/>
      <c r="L714" s="12"/>
      <c r="M714" s="12"/>
      <c r="N714" s="12"/>
      <c r="O714" s="12"/>
      <c r="P714" s="12"/>
      <c r="Q714" s="12"/>
      <c r="R714" s="12"/>
      <c r="S714" s="12"/>
      <c r="T714" s="12"/>
      <c r="U714" s="12"/>
      <c r="W714" s="67"/>
      <c r="X714" s="12"/>
      <c r="Y714" s="12"/>
      <c r="Z714" s="12"/>
      <c r="AA714" s="12"/>
    </row>
    <row r="715" spans="1:27" ht="15.75" customHeight="1">
      <c r="A715" s="12"/>
      <c r="B715" s="12"/>
      <c r="C715" s="12"/>
      <c r="D715" s="12"/>
      <c r="E715" s="12"/>
      <c r="F715" s="12"/>
      <c r="G715" s="12"/>
      <c r="H715" s="12"/>
      <c r="I715" s="12"/>
      <c r="J715" s="12"/>
      <c r="K715" s="12"/>
      <c r="L715" s="12"/>
      <c r="M715" s="12"/>
      <c r="N715" s="12"/>
      <c r="O715" s="12"/>
      <c r="P715" s="12"/>
      <c r="Q715" s="12"/>
      <c r="R715" s="12"/>
      <c r="S715" s="12"/>
      <c r="T715" s="12"/>
      <c r="U715" s="12"/>
      <c r="W715" s="67"/>
      <c r="X715" s="12"/>
      <c r="Y715" s="12"/>
      <c r="Z715" s="12"/>
      <c r="AA715" s="12"/>
    </row>
    <row r="716" spans="1:27" ht="15.75" customHeight="1">
      <c r="A716" s="12"/>
      <c r="B716" s="12"/>
      <c r="C716" s="12"/>
      <c r="D716" s="12"/>
      <c r="E716" s="12"/>
      <c r="F716" s="12"/>
      <c r="G716" s="12"/>
      <c r="H716" s="12"/>
      <c r="I716" s="12"/>
      <c r="J716" s="12"/>
      <c r="K716" s="12"/>
      <c r="L716" s="12"/>
      <c r="M716" s="12"/>
      <c r="N716" s="12"/>
      <c r="O716" s="12"/>
      <c r="P716" s="12"/>
      <c r="Q716" s="12"/>
      <c r="R716" s="12"/>
      <c r="S716" s="12"/>
      <c r="T716" s="12"/>
      <c r="U716" s="12"/>
      <c r="W716" s="67"/>
      <c r="X716" s="12"/>
      <c r="Y716" s="12"/>
      <c r="Z716" s="12"/>
      <c r="AA716" s="12"/>
    </row>
    <row r="717" spans="1:27" ht="15.75" customHeight="1">
      <c r="A717" s="12"/>
      <c r="B717" s="12"/>
      <c r="C717" s="12"/>
      <c r="D717" s="12"/>
      <c r="E717" s="12"/>
      <c r="F717" s="12"/>
      <c r="G717" s="12"/>
      <c r="H717" s="12"/>
      <c r="I717" s="12"/>
      <c r="J717" s="12"/>
      <c r="K717" s="12"/>
      <c r="L717" s="12"/>
      <c r="M717" s="12"/>
      <c r="N717" s="12"/>
      <c r="O717" s="12"/>
      <c r="P717" s="12"/>
      <c r="Q717" s="12"/>
      <c r="R717" s="12"/>
      <c r="S717" s="12"/>
      <c r="T717" s="12"/>
      <c r="U717" s="12"/>
      <c r="W717" s="67"/>
      <c r="X717" s="12"/>
      <c r="Y717" s="12"/>
      <c r="Z717" s="12"/>
      <c r="AA717" s="12"/>
    </row>
    <row r="718" spans="1:27" ht="15.75" customHeight="1">
      <c r="A718" s="12"/>
      <c r="B718" s="12"/>
      <c r="C718" s="12"/>
      <c r="D718" s="12"/>
      <c r="E718" s="12"/>
      <c r="F718" s="12"/>
      <c r="G718" s="12"/>
      <c r="H718" s="12"/>
      <c r="I718" s="12"/>
      <c r="J718" s="12"/>
      <c r="K718" s="12"/>
      <c r="L718" s="12"/>
      <c r="M718" s="12"/>
      <c r="N718" s="12"/>
      <c r="O718" s="12"/>
      <c r="P718" s="12"/>
      <c r="Q718" s="12"/>
      <c r="R718" s="12"/>
      <c r="S718" s="12"/>
      <c r="T718" s="12"/>
      <c r="U718" s="12"/>
      <c r="W718" s="67"/>
      <c r="X718" s="12"/>
      <c r="Y718" s="12"/>
      <c r="Z718" s="12"/>
      <c r="AA718" s="12"/>
    </row>
    <row r="719" spans="1:27" ht="15.75" customHeight="1">
      <c r="A719" s="12"/>
      <c r="B719" s="12"/>
      <c r="C719" s="12"/>
      <c r="D719" s="12"/>
      <c r="E719" s="12"/>
      <c r="F719" s="12"/>
      <c r="G719" s="12"/>
      <c r="H719" s="12"/>
      <c r="I719" s="12"/>
      <c r="J719" s="12"/>
      <c r="K719" s="12"/>
      <c r="L719" s="12"/>
      <c r="M719" s="12"/>
      <c r="N719" s="12"/>
      <c r="O719" s="12"/>
      <c r="P719" s="12"/>
      <c r="Q719" s="12"/>
      <c r="R719" s="12"/>
      <c r="S719" s="12"/>
      <c r="T719" s="12"/>
      <c r="U719" s="12"/>
      <c r="W719" s="67"/>
      <c r="X719" s="12"/>
      <c r="Y719" s="12"/>
      <c r="Z719" s="12"/>
      <c r="AA719" s="12"/>
    </row>
    <row r="720" spans="1:27" ht="15.75" customHeight="1">
      <c r="A720" s="12"/>
      <c r="B720" s="12"/>
      <c r="C720" s="12"/>
      <c r="D720" s="12"/>
      <c r="E720" s="12"/>
      <c r="F720" s="12"/>
      <c r="G720" s="12"/>
      <c r="H720" s="12"/>
      <c r="I720" s="12"/>
      <c r="J720" s="12"/>
      <c r="K720" s="12"/>
      <c r="L720" s="12"/>
      <c r="M720" s="12"/>
      <c r="N720" s="12"/>
      <c r="O720" s="12"/>
      <c r="P720" s="12"/>
      <c r="Q720" s="12"/>
      <c r="R720" s="12"/>
      <c r="S720" s="12"/>
      <c r="T720" s="12"/>
      <c r="U720" s="12"/>
      <c r="W720" s="67"/>
      <c r="X720" s="12"/>
      <c r="Y720" s="12"/>
      <c r="Z720" s="12"/>
      <c r="AA720" s="12"/>
    </row>
    <row r="721" spans="1:27" ht="15.75" customHeight="1">
      <c r="A721" s="12"/>
      <c r="B721" s="12"/>
      <c r="C721" s="12"/>
      <c r="D721" s="12"/>
      <c r="E721" s="12"/>
      <c r="F721" s="12"/>
      <c r="G721" s="12"/>
      <c r="H721" s="12"/>
      <c r="I721" s="12"/>
      <c r="J721" s="12"/>
      <c r="K721" s="12"/>
      <c r="L721" s="12"/>
      <c r="M721" s="12"/>
      <c r="N721" s="12"/>
      <c r="O721" s="12"/>
      <c r="P721" s="12"/>
      <c r="Q721" s="12"/>
      <c r="R721" s="12"/>
      <c r="S721" s="12"/>
      <c r="T721" s="12"/>
      <c r="U721" s="12"/>
      <c r="W721" s="67"/>
      <c r="X721" s="12"/>
      <c r="Y721" s="12"/>
      <c r="Z721" s="12"/>
      <c r="AA721" s="12"/>
    </row>
    <row r="722" spans="1:27" ht="15.75" customHeight="1">
      <c r="A722" s="12"/>
      <c r="B722" s="12"/>
      <c r="C722" s="12"/>
      <c r="D722" s="12"/>
      <c r="E722" s="12"/>
      <c r="F722" s="12"/>
      <c r="G722" s="12"/>
      <c r="H722" s="12"/>
      <c r="I722" s="12"/>
      <c r="J722" s="12"/>
      <c r="K722" s="12"/>
      <c r="L722" s="12"/>
      <c r="M722" s="12"/>
      <c r="N722" s="12"/>
      <c r="O722" s="12"/>
      <c r="P722" s="12"/>
      <c r="Q722" s="12"/>
      <c r="R722" s="12"/>
      <c r="S722" s="12"/>
      <c r="T722" s="12"/>
      <c r="U722" s="12"/>
      <c r="W722" s="67"/>
      <c r="X722" s="12"/>
      <c r="Y722" s="12"/>
      <c r="Z722" s="12"/>
      <c r="AA722" s="12"/>
    </row>
    <row r="723" spans="1:27" ht="15.75" customHeight="1">
      <c r="A723" s="12"/>
      <c r="B723" s="12"/>
      <c r="C723" s="12"/>
      <c r="D723" s="12"/>
      <c r="E723" s="12"/>
      <c r="F723" s="12"/>
      <c r="G723" s="12"/>
      <c r="H723" s="12"/>
      <c r="I723" s="12"/>
      <c r="J723" s="12"/>
      <c r="K723" s="12"/>
      <c r="L723" s="12"/>
      <c r="M723" s="12"/>
      <c r="N723" s="12"/>
      <c r="O723" s="12"/>
      <c r="P723" s="12"/>
      <c r="Q723" s="12"/>
      <c r="R723" s="12"/>
      <c r="S723" s="12"/>
      <c r="T723" s="12"/>
      <c r="U723" s="12"/>
      <c r="W723" s="67"/>
      <c r="X723" s="12"/>
      <c r="Y723" s="12"/>
      <c r="Z723" s="12"/>
      <c r="AA723" s="12"/>
    </row>
    <row r="724" spans="1:27" ht="15.75" customHeight="1">
      <c r="A724" s="12"/>
      <c r="B724" s="12"/>
      <c r="C724" s="12"/>
      <c r="D724" s="12"/>
      <c r="E724" s="12"/>
      <c r="F724" s="12"/>
      <c r="G724" s="12"/>
      <c r="H724" s="12"/>
      <c r="I724" s="12"/>
      <c r="J724" s="12"/>
      <c r="K724" s="12"/>
      <c r="L724" s="12"/>
      <c r="M724" s="12"/>
      <c r="N724" s="12"/>
      <c r="O724" s="12"/>
      <c r="P724" s="12"/>
      <c r="Q724" s="12"/>
      <c r="R724" s="12"/>
      <c r="S724" s="12"/>
      <c r="T724" s="12"/>
      <c r="U724" s="12"/>
      <c r="W724" s="67"/>
      <c r="X724" s="12"/>
      <c r="Y724" s="12"/>
      <c r="Z724" s="12"/>
      <c r="AA724" s="12"/>
    </row>
    <row r="725" spans="1:27" ht="15.75" customHeight="1">
      <c r="A725" s="12"/>
      <c r="B725" s="12"/>
      <c r="C725" s="12"/>
      <c r="D725" s="12"/>
      <c r="E725" s="12"/>
      <c r="F725" s="12"/>
      <c r="G725" s="12"/>
      <c r="H725" s="12"/>
      <c r="I725" s="12"/>
      <c r="J725" s="12"/>
      <c r="K725" s="12"/>
      <c r="L725" s="12"/>
      <c r="M725" s="12"/>
      <c r="N725" s="12"/>
      <c r="O725" s="12"/>
      <c r="P725" s="12"/>
      <c r="Q725" s="12"/>
      <c r="R725" s="12"/>
      <c r="S725" s="12"/>
      <c r="T725" s="12"/>
      <c r="U725" s="12"/>
      <c r="W725" s="67"/>
      <c r="X725" s="12"/>
      <c r="Y725" s="12"/>
      <c r="Z725" s="12"/>
      <c r="AA725" s="12"/>
    </row>
    <row r="726" spans="1:27" ht="15.75" customHeight="1">
      <c r="A726" s="12"/>
      <c r="B726" s="12"/>
      <c r="C726" s="12"/>
      <c r="D726" s="12"/>
      <c r="E726" s="12"/>
      <c r="F726" s="12"/>
      <c r="G726" s="12"/>
      <c r="H726" s="12"/>
      <c r="I726" s="12"/>
      <c r="J726" s="12"/>
      <c r="K726" s="12"/>
      <c r="L726" s="12"/>
      <c r="M726" s="12"/>
      <c r="N726" s="12"/>
      <c r="O726" s="12"/>
      <c r="P726" s="12"/>
      <c r="Q726" s="12"/>
      <c r="R726" s="12"/>
      <c r="S726" s="12"/>
      <c r="T726" s="12"/>
      <c r="U726" s="12"/>
      <c r="W726" s="67"/>
      <c r="X726" s="12"/>
      <c r="Y726" s="12"/>
      <c r="Z726" s="12"/>
      <c r="AA726" s="12"/>
    </row>
    <row r="727" spans="1:27" ht="15.75" customHeight="1">
      <c r="A727" s="12"/>
      <c r="B727" s="12"/>
      <c r="C727" s="12"/>
      <c r="D727" s="12"/>
      <c r="E727" s="12"/>
      <c r="F727" s="12"/>
      <c r="G727" s="12"/>
      <c r="H727" s="12"/>
      <c r="I727" s="12"/>
      <c r="J727" s="12"/>
      <c r="K727" s="12"/>
      <c r="L727" s="12"/>
      <c r="M727" s="12"/>
      <c r="N727" s="12"/>
      <c r="O727" s="12"/>
      <c r="P727" s="12"/>
      <c r="Q727" s="12"/>
      <c r="R727" s="12"/>
      <c r="S727" s="12"/>
      <c r="T727" s="12"/>
      <c r="U727" s="12"/>
      <c r="W727" s="67"/>
      <c r="X727" s="12"/>
      <c r="Y727" s="12"/>
      <c r="Z727" s="12"/>
      <c r="AA727" s="12"/>
    </row>
    <row r="728" spans="1:27" ht="15.75" customHeight="1">
      <c r="A728" s="12"/>
      <c r="B728" s="12"/>
      <c r="C728" s="12"/>
      <c r="D728" s="12"/>
      <c r="E728" s="12"/>
      <c r="F728" s="12"/>
      <c r="G728" s="12"/>
      <c r="H728" s="12"/>
      <c r="I728" s="12"/>
      <c r="J728" s="12"/>
      <c r="K728" s="12"/>
      <c r="L728" s="12"/>
      <c r="M728" s="12"/>
      <c r="N728" s="12"/>
      <c r="O728" s="12"/>
      <c r="P728" s="12"/>
      <c r="Q728" s="12"/>
      <c r="R728" s="12"/>
      <c r="S728" s="12"/>
      <c r="T728" s="12"/>
      <c r="U728" s="12"/>
      <c r="W728" s="67"/>
      <c r="X728" s="12"/>
      <c r="Y728" s="12"/>
      <c r="Z728" s="12"/>
      <c r="AA728" s="12"/>
    </row>
    <row r="729" spans="1:27" ht="15.75" customHeight="1">
      <c r="A729" s="12"/>
      <c r="B729" s="12"/>
      <c r="C729" s="12"/>
      <c r="D729" s="12"/>
      <c r="E729" s="12"/>
      <c r="F729" s="12"/>
      <c r="G729" s="12"/>
      <c r="H729" s="12"/>
      <c r="I729" s="12"/>
      <c r="J729" s="12"/>
      <c r="K729" s="12"/>
      <c r="L729" s="12"/>
      <c r="M729" s="12"/>
      <c r="N729" s="12"/>
      <c r="O729" s="12"/>
      <c r="P729" s="12"/>
      <c r="Q729" s="12"/>
      <c r="R729" s="12"/>
      <c r="S729" s="12"/>
      <c r="T729" s="12"/>
      <c r="U729" s="12"/>
      <c r="W729" s="67"/>
      <c r="X729" s="12"/>
      <c r="Y729" s="12"/>
      <c r="Z729" s="12"/>
      <c r="AA729" s="12"/>
    </row>
    <row r="730" spans="1:27" ht="15.75" customHeight="1">
      <c r="A730" s="12"/>
      <c r="B730" s="12"/>
      <c r="C730" s="12"/>
      <c r="D730" s="12"/>
      <c r="E730" s="12"/>
      <c r="F730" s="12"/>
      <c r="G730" s="12"/>
      <c r="H730" s="12"/>
      <c r="I730" s="12"/>
      <c r="J730" s="12"/>
      <c r="K730" s="12"/>
      <c r="L730" s="12"/>
      <c r="M730" s="12"/>
      <c r="N730" s="12"/>
      <c r="O730" s="12"/>
      <c r="P730" s="12"/>
      <c r="Q730" s="12"/>
      <c r="R730" s="12"/>
      <c r="S730" s="12"/>
      <c r="T730" s="12"/>
      <c r="U730" s="12"/>
      <c r="W730" s="67"/>
      <c r="X730" s="12"/>
      <c r="Y730" s="12"/>
      <c r="Z730" s="12"/>
      <c r="AA730" s="12"/>
    </row>
    <row r="731" spans="1:27" ht="15.75" customHeight="1">
      <c r="A731" s="12"/>
      <c r="B731" s="12"/>
      <c r="C731" s="12"/>
      <c r="D731" s="12"/>
      <c r="E731" s="12"/>
      <c r="F731" s="12"/>
      <c r="G731" s="12"/>
      <c r="H731" s="12"/>
      <c r="I731" s="12"/>
      <c r="J731" s="12"/>
      <c r="K731" s="12"/>
      <c r="L731" s="12"/>
      <c r="M731" s="12"/>
      <c r="N731" s="12"/>
      <c r="O731" s="12"/>
      <c r="P731" s="12"/>
      <c r="Q731" s="12"/>
      <c r="R731" s="12"/>
      <c r="S731" s="12"/>
      <c r="T731" s="12"/>
      <c r="U731" s="12"/>
      <c r="W731" s="67"/>
      <c r="X731" s="12"/>
      <c r="Y731" s="12"/>
      <c r="Z731" s="12"/>
      <c r="AA731" s="12"/>
    </row>
    <row r="732" spans="1:27" ht="15.75" customHeight="1">
      <c r="A732" s="12"/>
      <c r="B732" s="12"/>
      <c r="C732" s="12"/>
      <c r="D732" s="12"/>
      <c r="E732" s="12"/>
      <c r="F732" s="12"/>
      <c r="G732" s="12"/>
      <c r="H732" s="12"/>
      <c r="I732" s="12"/>
      <c r="J732" s="12"/>
      <c r="K732" s="12"/>
      <c r="L732" s="12"/>
      <c r="M732" s="12"/>
      <c r="N732" s="12"/>
      <c r="O732" s="12"/>
      <c r="P732" s="12"/>
      <c r="Q732" s="12"/>
      <c r="R732" s="12"/>
      <c r="S732" s="12"/>
      <c r="T732" s="12"/>
      <c r="U732" s="12"/>
      <c r="W732" s="67"/>
      <c r="X732" s="12"/>
      <c r="Y732" s="12"/>
      <c r="Z732" s="12"/>
      <c r="AA732" s="12"/>
    </row>
    <row r="733" spans="1:27" ht="15.75" customHeight="1">
      <c r="A733" s="12"/>
      <c r="B733" s="12"/>
      <c r="C733" s="12"/>
      <c r="D733" s="12"/>
      <c r="E733" s="12"/>
      <c r="F733" s="12"/>
      <c r="G733" s="12"/>
      <c r="H733" s="12"/>
      <c r="I733" s="12"/>
      <c r="J733" s="12"/>
      <c r="K733" s="12"/>
      <c r="L733" s="12"/>
      <c r="M733" s="12"/>
      <c r="N733" s="12"/>
      <c r="O733" s="12"/>
      <c r="P733" s="12"/>
      <c r="Q733" s="12"/>
      <c r="R733" s="12"/>
      <c r="S733" s="12"/>
      <c r="T733" s="12"/>
      <c r="U733" s="12"/>
      <c r="W733" s="67"/>
      <c r="X733" s="12"/>
      <c r="Y733" s="12"/>
      <c r="Z733" s="12"/>
      <c r="AA733" s="12"/>
    </row>
    <row r="734" spans="1:27" ht="15.75" customHeight="1">
      <c r="A734" s="12"/>
      <c r="B734" s="12"/>
      <c r="C734" s="12"/>
      <c r="D734" s="12"/>
      <c r="E734" s="12"/>
      <c r="F734" s="12"/>
      <c r="G734" s="12"/>
      <c r="H734" s="12"/>
      <c r="I734" s="12"/>
      <c r="J734" s="12"/>
      <c r="K734" s="12"/>
      <c r="L734" s="12"/>
      <c r="M734" s="12"/>
      <c r="N734" s="12"/>
      <c r="O734" s="12"/>
      <c r="P734" s="12"/>
      <c r="Q734" s="12"/>
      <c r="R734" s="12"/>
      <c r="S734" s="12"/>
      <c r="T734" s="12"/>
      <c r="U734" s="12"/>
      <c r="W734" s="67"/>
      <c r="X734" s="12"/>
      <c r="Y734" s="12"/>
      <c r="Z734" s="12"/>
      <c r="AA734" s="12"/>
    </row>
    <row r="735" spans="1:27" ht="15.75" customHeight="1">
      <c r="A735" s="12"/>
      <c r="B735" s="12"/>
      <c r="C735" s="12"/>
      <c r="D735" s="12"/>
      <c r="E735" s="12"/>
      <c r="F735" s="12"/>
      <c r="G735" s="12"/>
      <c r="H735" s="12"/>
      <c r="I735" s="12"/>
      <c r="J735" s="12"/>
      <c r="K735" s="12"/>
      <c r="L735" s="12"/>
      <c r="M735" s="12"/>
      <c r="N735" s="12"/>
      <c r="O735" s="12"/>
      <c r="P735" s="12"/>
      <c r="Q735" s="12"/>
      <c r="R735" s="12"/>
      <c r="S735" s="12"/>
      <c r="T735" s="12"/>
      <c r="U735" s="12"/>
      <c r="W735" s="67"/>
      <c r="X735" s="12"/>
      <c r="Y735" s="12"/>
      <c r="Z735" s="12"/>
      <c r="AA735" s="12"/>
    </row>
    <row r="736" spans="1:27" ht="15.75" customHeight="1">
      <c r="A736" s="12"/>
      <c r="B736" s="12"/>
      <c r="C736" s="12"/>
      <c r="D736" s="12"/>
      <c r="E736" s="12"/>
      <c r="F736" s="12"/>
      <c r="G736" s="12"/>
      <c r="H736" s="12"/>
      <c r="I736" s="12"/>
      <c r="J736" s="12"/>
      <c r="K736" s="12"/>
      <c r="L736" s="12"/>
      <c r="M736" s="12"/>
      <c r="N736" s="12"/>
      <c r="O736" s="12"/>
      <c r="P736" s="12"/>
      <c r="Q736" s="12"/>
      <c r="R736" s="12"/>
      <c r="S736" s="12"/>
      <c r="T736" s="12"/>
      <c r="U736" s="12"/>
      <c r="W736" s="67"/>
      <c r="X736" s="12"/>
      <c r="Y736" s="12"/>
      <c r="Z736" s="12"/>
      <c r="AA736" s="12"/>
    </row>
    <row r="737" spans="1:27" ht="15.75" customHeight="1">
      <c r="A737" s="12"/>
      <c r="B737" s="12"/>
      <c r="C737" s="12"/>
      <c r="D737" s="12"/>
      <c r="E737" s="12"/>
      <c r="F737" s="12"/>
      <c r="G737" s="12"/>
      <c r="H737" s="12"/>
      <c r="I737" s="12"/>
      <c r="J737" s="12"/>
      <c r="K737" s="12"/>
      <c r="L737" s="12"/>
      <c r="M737" s="12"/>
      <c r="N737" s="12"/>
      <c r="O737" s="12"/>
      <c r="P737" s="12"/>
      <c r="Q737" s="12"/>
      <c r="R737" s="12"/>
      <c r="S737" s="12"/>
      <c r="T737" s="12"/>
      <c r="U737" s="12"/>
      <c r="W737" s="67"/>
      <c r="X737" s="12"/>
      <c r="Y737" s="12"/>
      <c r="Z737" s="12"/>
      <c r="AA737" s="12"/>
    </row>
    <row r="738" spans="1:27" ht="15.75" customHeight="1">
      <c r="A738" s="12"/>
      <c r="B738" s="12"/>
      <c r="C738" s="12"/>
      <c r="D738" s="12"/>
      <c r="E738" s="12"/>
      <c r="F738" s="12"/>
      <c r="G738" s="12"/>
      <c r="H738" s="12"/>
      <c r="I738" s="12"/>
      <c r="J738" s="12"/>
      <c r="K738" s="12"/>
      <c r="L738" s="12"/>
      <c r="M738" s="12"/>
      <c r="N738" s="12"/>
      <c r="O738" s="12"/>
      <c r="P738" s="12"/>
      <c r="Q738" s="12"/>
      <c r="R738" s="12"/>
      <c r="S738" s="12"/>
      <c r="T738" s="12"/>
      <c r="U738" s="12"/>
      <c r="W738" s="67"/>
      <c r="X738" s="12"/>
      <c r="Y738" s="12"/>
      <c r="Z738" s="12"/>
      <c r="AA738" s="12"/>
    </row>
    <row r="739" spans="1:27" ht="15.75" customHeight="1">
      <c r="A739" s="12"/>
      <c r="B739" s="12"/>
      <c r="C739" s="12"/>
      <c r="D739" s="12"/>
      <c r="E739" s="12"/>
      <c r="F739" s="12"/>
      <c r="G739" s="12"/>
      <c r="H739" s="12"/>
      <c r="I739" s="12"/>
      <c r="J739" s="12"/>
      <c r="K739" s="12"/>
      <c r="L739" s="12"/>
      <c r="M739" s="12"/>
      <c r="N739" s="12"/>
      <c r="O739" s="12"/>
      <c r="P739" s="12"/>
      <c r="Q739" s="12"/>
      <c r="R739" s="12"/>
      <c r="S739" s="12"/>
      <c r="T739" s="12"/>
      <c r="U739" s="12"/>
      <c r="W739" s="67"/>
      <c r="X739" s="12"/>
      <c r="Y739" s="12"/>
      <c r="Z739" s="12"/>
      <c r="AA739" s="12"/>
    </row>
    <row r="740" spans="1:27" ht="15.75" customHeight="1">
      <c r="A740" s="12"/>
      <c r="B740" s="12"/>
      <c r="C740" s="12"/>
      <c r="D740" s="12"/>
      <c r="E740" s="12"/>
      <c r="F740" s="12"/>
      <c r="G740" s="12"/>
      <c r="H740" s="12"/>
      <c r="I740" s="12"/>
      <c r="J740" s="12"/>
      <c r="K740" s="12"/>
      <c r="L740" s="12"/>
      <c r="M740" s="12"/>
      <c r="N740" s="12"/>
      <c r="O740" s="12"/>
      <c r="P740" s="12"/>
      <c r="Q740" s="12"/>
      <c r="R740" s="12"/>
      <c r="S740" s="12"/>
      <c r="T740" s="12"/>
      <c r="U740" s="12"/>
      <c r="W740" s="67"/>
      <c r="X740" s="12"/>
      <c r="Y740" s="12"/>
      <c r="Z740" s="12"/>
      <c r="AA740" s="12"/>
    </row>
    <row r="741" spans="1:27" ht="15.75" customHeight="1">
      <c r="A741" s="12"/>
      <c r="B741" s="12"/>
      <c r="C741" s="12"/>
      <c r="D741" s="12"/>
      <c r="E741" s="12"/>
      <c r="F741" s="12"/>
      <c r="G741" s="12"/>
      <c r="H741" s="12"/>
      <c r="I741" s="12"/>
      <c r="J741" s="12"/>
      <c r="K741" s="12"/>
      <c r="L741" s="12"/>
      <c r="M741" s="12"/>
      <c r="N741" s="12"/>
      <c r="O741" s="12"/>
      <c r="P741" s="12"/>
      <c r="Q741" s="12"/>
      <c r="R741" s="12"/>
      <c r="S741" s="12"/>
      <c r="T741" s="12"/>
      <c r="U741" s="12"/>
      <c r="W741" s="67"/>
      <c r="X741" s="12"/>
      <c r="Y741" s="12"/>
      <c r="Z741" s="12"/>
      <c r="AA741" s="12"/>
    </row>
    <row r="742" spans="1:27" ht="15.75" customHeight="1">
      <c r="A742" s="12"/>
      <c r="B742" s="12"/>
      <c r="C742" s="12"/>
      <c r="D742" s="12"/>
      <c r="E742" s="12"/>
      <c r="F742" s="12"/>
      <c r="G742" s="12"/>
      <c r="H742" s="12"/>
      <c r="I742" s="12"/>
      <c r="J742" s="12"/>
      <c r="K742" s="12"/>
      <c r="L742" s="12"/>
      <c r="M742" s="12"/>
      <c r="N742" s="12"/>
      <c r="O742" s="12"/>
      <c r="P742" s="12"/>
      <c r="Q742" s="12"/>
      <c r="R742" s="12"/>
      <c r="S742" s="12"/>
      <c r="T742" s="12"/>
      <c r="U742" s="12"/>
      <c r="W742" s="67"/>
      <c r="X742" s="12"/>
      <c r="Y742" s="12"/>
      <c r="Z742" s="12"/>
      <c r="AA742" s="12"/>
    </row>
    <row r="743" spans="1:27" ht="15.75" customHeight="1">
      <c r="A743" s="12"/>
      <c r="B743" s="12"/>
      <c r="C743" s="12"/>
      <c r="D743" s="12"/>
      <c r="E743" s="12"/>
      <c r="F743" s="12"/>
      <c r="G743" s="12"/>
      <c r="H743" s="12"/>
      <c r="I743" s="12"/>
      <c r="J743" s="12"/>
      <c r="K743" s="12"/>
      <c r="L743" s="12"/>
      <c r="M743" s="12"/>
      <c r="N743" s="12"/>
      <c r="O743" s="12"/>
      <c r="P743" s="12"/>
      <c r="Q743" s="12"/>
      <c r="R743" s="12"/>
      <c r="S743" s="12"/>
      <c r="T743" s="12"/>
      <c r="U743" s="12"/>
      <c r="W743" s="67"/>
      <c r="X743" s="12"/>
      <c r="Y743" s="12"/>
      <c r="Z743" s="12"/>
      <c r="AA743" s="12"/>
    </row>
    <row r="744" spans="1:27" ht="15.75" customHeight="1">
      <c r="A744" s="12"/>
      <c r="B744" s="12"/>
      <c r="C744" s="12"/>
      <c r="D744" s="12"/>
      <c r="E744" s="12"/>
      <c r="F744" s="12"/>
      <c r="G744" s="12"/>
      <c r="H744" s="12"/>
      <c r="I744" s="12"/>
      <c r="J744" s="12"/>
      <c r="K744" s="12"/>
      <c r="L744" s="12"/>
      <c r="M744" s="12"/>
      <c r="N744" s="12"/>
      <c r="O744" s="12"/>
      <c r="P744" s="12"/>
      <c r="Q744" s="12"/>
      <c r="R744" s="12"/>
      <c r="S744" s="12"/>
      <c r="T744" s="12"/>
      <c r="U744" s="12"/>
      <c r="W744" s="67"/>
      <c r="X744" s="12"/>
      <c r="Y744" s="12"/>
      <c r="Z744" s="12"/>
      <c r="AA744" s="12"/>
    </row>
    <row r="745" spans="1:27" ht="15.75" customHeight="1">
      <c r="A745" s="12"/>
      <c r="B745" s="12"/>
      <c r="C745" s="12"/>
      <c r="D745" s="12"/>
      <c r="E745" s="12"/>
      <c r="F745" s="12"/>
      <c r="G745" s="12"/>
      <c r="H745" s="12"/>
      <c r="I745" s="12"/>
      <c r="J745" s="12"/>
      <c r="K745" s="12"/>
      <c r="L745" s="12"/>
      <c r="M745" s="12"/>
      <c r="N745" s="12"/>
      <c r="O745" s="12"/>
      <c r="P745" s="12"/>
      <c r="Q745" s="12"/>
      <c r="R745" s="12"/>
      <c r="S745" s="12"/>
      <c r="T745" s="12"/>
      <c r="U745" s="12"/>
      <c r="W745" s="67"/>
      <c r="X745" s="12"/>
      <c r="Y745" s="12"/>
      <c r="Z745" s="12"/>
      <c r="AA745" s="12"/>
    </row>
    <row r="746" spans="1:27" ht="15.75" customHeight="1">
      <c r="A746" s="12"/>
      <c r="B746" s="12"/>
      <c r="C746" s="12"/>
      <c r="D746" s="12"/>
      <c r="E746" s="12"/>
      <c r="F746" s="12"/>
      <c r="G746" s="12"/>
      <c r="H746" s="12"/>
      <c r="I746" s="12"/>
      <c r="J746" s="12"/>
      <c r="K746" s="12"/>
      <c r="L746" s="12"/>
      <c r="M746" s="12"/>
      <c r="N746" s="12"/>
      <c r="O746" s="12"/>
      <c r="P746" s="12"/>
      <c r="Q746" s="12"/>
      <c r="R746" s="12"/>
      <c r="S746" s="12"/>
      <c r="T746" s="12"/>
      <c r="U746" s="12"/>
      <c r="W746" s="67"/>
      <c r="X746" s="12"/>
      <c r="Y746" s="12"/>
      <c r="Z746" s="12"/>
      <c r="AA746" s="12"/>
    </row>
    <row r="747" spans="1:27" ht="15.75" customHeight="1">
      <c r="A747" s="12"/>
      <c r="B747" s="12"/>
      <c r="C747" s="12"/>
      <c r="D747" s="12"/>
      <c r="E747" s="12"/>
      <c r="F747" s="12"/>
      <c r="G747" s="12"/>
      <c r="H747" s="12"/>
      <c r="I747" s="12"/>
      <c r="J747" s="12"/>
      <c r="K747" s="12"/>
      <c r="L747" s="12"/>
      <c r="M747" s="12"/>
      <c r="N747" s="12"/>
      <c r="O747" s="12"/>
      <c r="P747" s="12"/>
      <c r="Q747" s="12"/>
      <c r="R747" s="12"/>
      <c r="S747" s="12"/>
      <c r="T747" s="12"/>
      <c r="U747" s="12"/>
      <c r="W747" s="67"/>
      <c r="X747" s="12"/>
      <c r="Y747" s="12"/>
      <c r="Z747" s="12"/>
      <c r="AA747" s="12"/>
    </row>
    <row r="748" spans="1:27" ht="15.75" customHeight="1">
      <c r="A748" s="12"/>
      <c r="B748" s="12"/>
      <c r="C748" s="12"/>
      <c r="D748" s="12"/>
      <c r="E748" s="12"/>
      <c r="F748" s="12"/>
      <c r="G748" s="12"/>
      <c r="H748" s="12"/>
      <c r="I748" s="12"/>
      <c r="J748" s="12"/>
      <c r="K748" s="12"/>
      <c r="L748" s="12"/>
      <c r="M748" s="12"/>
      <c r="N748" s="12"/>
      <c r="O748" s="12"/>
      <c r="P748" s="12"/>
      <c r="Q748" s="12"/>
      <c r="R748" s="12"/>
      <c r="S748" s="12"/>
      <c r="T748" s="12"/>
      <c r="U748" s="12"/>
      <c r="W748" s="67"/>
      <c r="X748" s="12"/>
      <c r="Y748" s="12"/>
      <c r="Z748" s="12"/>
      <c r="AA748" s="12"/>
    </row>
    <row r="749" spans="1:27" ht="15.75" customHeight="1">
      <c r="A749" s="12"/>
      <c r="B749" s="12"/>
      <c r="C749" s="12"/>
      <c r="D749" s="12"/>
      <c r="E749" s="12"/>
      <c r="F749" s="12"/>
      <c r="G749" s="12"/>
      <c r="H749" s="12"/>
      <c r="I749" s="12"/>
      <c r="J749" s="12"/>
      <c r="K749" s="12"/>
      <c r="L749" s="12"/>
      <c r="M749" s="12"/>
      <c r="N749" s="12"/>
      <c r="O749" s="12"/>
      <c r="P749" s="12"/>
      <c r="Q749" s="12"/>
      <c r="R749" s="12"/>
      <c r="S749" s="12"/>
      <c r="T749" s="12"/>
      <c r="U749" s="12"/>
      <c r="W749" s="67"/>
      <c r="X749" s="12"/>
      <c r="Y749" s="12"/>
      <c r="Z749" s="12"/>
      <c r="AA749" s="12"/>
    </row>
    <row r="750" spans="1:27" ht="15.75" customHeight="1">
      <c r="A750" s="12"/>
      <c r="B750" s="12"/>
      <c r="C750" s="12"/>
      <c r="D750" s="12"/>
      <c r="E750" s="12"/>
      <c r="F750" s="12"/>
      <c r="G750" s="12"/>
      <c r="H750" s="12"/>
      <c r="I750" s="12"/>
      <c r="J750" s="12"/>
      <c r="K750" s="12"/>
      <c r="L750" s="12"/>
      <c r="M750" s="12"/>
      <c r="N750" s="12"/>
      <c r="O750" s="12"/>
      <c r="P750" s="12"/>
      <c r="Q750" s="12"/>
      <c r="R750" s="12"/>
      <c r="S750" s="12"/>
      <c r="T750" s="12"/>
      <c r="U750" s="12"/>
      <c r="W750" s="67"/>
      <c r="X750" s="12"/>
      <c r="Y750" s="12"/>
      <c r="Z750" s="12"/>
      <c r="AA750" s="12"/>
    </row>
    <row r="751" spans="1:27" ht="15.75" customHeight="1">
      <c r="A751" s="12"/>
      <c r="B751" s="12"/>
      <c r="C751" s="12"/>
      <c r="D751" s="12"/>
      <c r="E751" s="12"/>
      <c r="F751" s="12"/>
      <c r="G751" s="12"/>
      <c r="H751" s="12"/>
      <c r="I751" s="12"/>
      <c r="J751" s="12"/>
      <c r="K751" s="12"/>
      <c r="L751" s="12"/>
      <c r="M751" s="12"/>
      <c r="N751" s="12"/>
      <c r="O751" s="12"/>
      <c r="P751" s="12"/>
      <c r="Q751" s="12"/>
      <c r="R751" s="12"/>
      <c r="S751" s="12"/>
      <c r="T751" s="12"/>
      <c r="U751" s="12"/>
      <c r="W751" s="67"/>
      <c r="X751" s="12"/>
      <c r="Y751" s="12"/>
      <c r="Z751" s="12"/>
      <c r="AA751" s="12"/>
    </row>
    <row r="752" spans="1:27" ht="15.75" customHeight="1">
      <c r="A752" s="12"/>
      <c r="B752" s="12"/>
      <c r="C752" s="12"/>
      <c r="D752" s="12"/>
      <c r="E752" s="12"/>
      <c r="F752" s="12"/>
      <c r="G752" s="12"/>
      <c r="H752" s="12"/>
      <c r="I752" s="12"/>
      <c r="J752" s="12"/>
      <c r="K752" s="12"/>
      <c r="L752" s="12"/>
      <c r="M752" s="12"/>
      <c r="N752" s="12"/>
      <c r="O752" s="12"/>
      <c r="P752" s="12"/>
      <c r="Q752" s="12"/>
      <c r="R752" s="12"/>
      <c r="S752" s="12"/>
      <c r="T752" s="12"/>
      <c r="U752" s="12"/>
      <c r="W752" s="67"/>
      <c r="X752" s="12"/>
      <c r="Y752" s="12"/>
      <c r="Z752" s="12"/>
      <c r="AA752" s="12"/>
    </row>
    <row r="753" spans="1:27" ht="15.75" customHeight="1">
      <c r="A753" s="12"/>
      <c r="B753" s="12"/>
      <c r="C753" s="12"/>
      <c r="D753" s="12"/>
      <c r="E753" s="12"/>
      <c r="F753" s="12"/>
      <c r="G753" s="12"/>
      <c r="H753" s="12"/>
      <c r="I753" s="12"/>
      <c r="J753" s="12"/>
      <c r="K753" s="12"/>
      <c r="L753" s="12"/>
      <c r="M753" s="12"/>
      <c r="N753" s="12"/>
      <c r="O753" s="12"/>
      <c r="P753" s="12"/>
      <c r="Q753" s="12"/>
      <c r="R753" s="12"/>
      <c r="S753" s="12"/>
      <c r="T753" s="12"/>
      <c r="U753" s="12"/>
      <c r="W753" s="67"/>
      <c r="X753" s="12"/>
      <c r="Y753" s="12"/>
      <c r="Z753" s="12"/>
      <c r="AA753" s="12"/>
    </row>
    <row r="754" spans="1:27" ht="15.75" customHeight="1">
      <c r="A754" s="12"/>
      <c r="B754" s="12"/>
      <c r="C754" s="12"/>
      <c r="D754" s="12"/>
      <c r="E754" s="12"/>
      <c r="F754" s="12"/>
      <c r="G754" s="12"/>
      <c r="H754" s="12"/>
      <c r="I754" s="12"/>
      <c r="J754" s="12"/>
      <c r="K754" s="12"/>
      <c r="L754" s="12"/>
      <c r="M754" s="12"/>
      <c r="N754" s="12"/>
      <c r="O754" s="12"/>
      <c r="P754" s="12"/>
      <c r="Q754" s="12"/>
      <c r="R754" s="12"/>
      <c r="S754" s="12"/>
      <c r="T754" s="12"/>
      <c r="U754" s="12"/>
      <c r="W754" s="67"/>
      <c r="X754" s="12"/>
      <c r="Y754" s="12"/>
      <c r="Z754" s="12"/>
      <c r="AA754" s="12"/>
    </row>
    <row r="755" spans="1:27" ht="15.75" customHeight="1">
      <c r="A755" s="12"/>
      <c r="B755" s="12"/>
      <c r="C755" s="12"/>
      <c r="D755" s="12"/>
      <c r="E755" s="12"/>
      <c r="F755" s="12"/>
      <c r="G755" s="12"/>
      <c r="H755" s="12"/>
      <c r="I755" s="12"/>
      <c r="J755" s="12"/>
      <c r="K755" s="12"/>
      <c r="L755" s="12"/>
      <c r="M755" s="12"/>
      <c r="N755" s="12"/>
      <c r="O755" s="12"/>
      <c r="P755" s="12"/>
      <c r="Q755" s="12"/>
      <c r="R755" s="12"/>
      <c r="S755" s="12"/>
      <c r="T755" s="12"/>
      <c r="U755" s="12"/>
      <c r="W755" s="67"/>
      <c r="X755" s="12"/>
      <c r="Y755" s="12"/>
      <c r="Z755" s="12"/>
      <c r="AA755" s="12"/>
    </row>
    <row r="756" spans="1:27" ht="15.75" customHeight="1">
      <c r="A756" s="12"/>
      <c r="B756" s="12"/>
      <c r="C756" s="12"/>
      <c r="D756" s="12"/>
      <c r="E756" s="12"/>
      <c r="F756" s="12"/>
      <c r="G756" s="12"/>
      <c r="H756" s="12"/>
      <c r="I756" s="12"/>
      <c r="J756" s="12"/>
      <c r="K756" s="12"/>
      <c r="L756" s="12"/>
      <c r="M756" s="12"/>
      <c r="N756" s="12"/>
      <c r="O756" s="12"/>
      <c r="P756" s="12"/>
      <c r="Q756" s="12"/>
      <c r="R756" s="12"/>
      <c r="S756" s="12"/>
      <c r="T756" s="12"/>
      <c r="U756" s="12"/>
      <c r="W756" s="67"/>
      <c r="X756" s="12"/>
      <c r="Y756" s="12"/>
      <c r="Z756" s="12"/>
      <c r="AA756" s="12"/>
    </row>
    <row r="757" spans="1:27" ht="15.75" customHeight="1">
      <c r="A757" s="12"/>
      <c r="B757" s="12"/>
      <c r="C757" s="12"/>
      <c r="D757" s="12"/>
      <c r="E757" s="12"/>
      <c r="F757" s="12"/>
      <c r="G757" s="12"/>
      <c r="H757" s="12"/>
      <c r="I757" s="12"/>
      <c r="J757" s="12"/>
      <c r="K757" s="12"/>
      <c r="L757" s="12"/>
      <c r="M757" s="12"/>
      <c r="N757" s="12"/>
      <c r="O757" s="12"/>
      <c r="P757" s="12"/>
      <c r="Q757" s="12"/>
      <c r="R757" s="12"/>
      <c r="S757" s="12"/>
      <c r="T757" s="12"/>
      <c r="U757" s="12"/>
      <c r="W757" s="67"/>
      <c r="X757" s="12"/>
      <c r="Y757" s="12"/>
      <c r="Z757" s="12"/>
      <c r="AA757" s="12"/>
    </row>
    <row r="758" spans="1:27" ht="15.75" customHeight="1">
      <c r="A758" s="12"/>
      <c r="B758" s="12"/>
      <c r="C758" s="12"/>
      <c r="D758" s="12"/>
      <c r="E758" s="12"/>
      <c r="F758" s="12"/>
      <c r="G758" s="12"/>
      <c r="H758" s="12"/>
      <c r="I758" s="12"/>
      <c r="J758" s="12"/>
      <c r="K758" s="12"/>
      <c r="L758" s="12"/>
      <c r="M758" s="12"/>
      <c r="N758" s="12"/>
      <c r="O758" s="12"/>
      <c r="P758" s="12"/>
      <c r="Q758" s="12"/>
      <c r="R758" s="12"/>
      <c r="S758" s="12"/>
      <c r="T758" s="12"/>
      <c r="U758" s="12"/>
      <c r="W758" s="67"/>
      <c r="X758" s="12"/>
      <c r="Y758" s="12"/>
      <c r="Z758" s="12"/>
      <c r="AA758" s="12"/>
    </row>
    <row r="759" spans="1:27" ht="15.75" customHeight="1">
      <c r="A759" s="12"/>
      <c r="B759" s="12"/>
      <c r="C759" s="12"/>
      <c r="D759" s="12"/>
      <c r="E759" s="12"/>
      <c r="F759" s="12"/>
      <c r="G759" s="12"/>
      <c r="H759" s="12"/>
      <c r="I759" s="12"/>
      <c r="J759" s="12"/>
      <c r="K759" s="12"/>
      <c r="L759" s="12"/>
      <c r="M759" s="12"/>
      <c r="N759" s="12"/>
      <c r="O759" s="12"/>
      <c r="P759" s="12"/>
      <c r="Q759" s="12"/>
      <c r="R759" s="12"/>
      <c r="S759" s="12"/>
      <c r="T759" s="12"/>
      <c r="U759" s="12"/>
      <c r="W759" s="67"/>
      <c r="X759" s="12"/>
      <c r="Y759" s="12"/>
      <c r="Z759" s="12"/>
      <c r="AA759" s="12"/>
    </row>
    <row r="760" spans="1:27" ht="15.75" customHeight="1">
      <c r="A760" s="12"/>
      <c r="B760" s="12"/>
      <c r="C760" s="12"/>
      <c r="D760" s="12"/>
      <c r="E760" s="12"/>
      <c r="F760" s="12"/>
      <c r="G760" s="12"/>
      <c r="H760" s="12"/>
      <c r="I760" s="12"/>
      <c r="J760" s="12"/>
      <c r="K760" s="12"/>
      <c r="L760" s="12"/>
      <c r="M760" s="12"/>
      <c r="N760" s="12"/>
      <c r="O760" s="12"/>
      <c r="P760" s="12"/>
      <c r="Q760" s="12"/>
      <c r="R760" s="12"/>
      <c r="S760" s="12"/>
      <c r="T760" s="12"/>
      <c r="U760" s="12"/>
      <c r="W760" s="67"/>
      <c r="X760" s="12"/>
      <c r="Y760" s="12"/>
      <c r="Z760" s="12"/>
      <c r="AA760" s="12"/>
    </row>
    <row r="761" spans="1:27" ht="15.75" customHeight="1">
      <c r="A761" s="12"/>
      <c r="B761" s="12"/>
      <c r="C761" s="12"/>
      <c r="D761" s="12"/>
      <c r="E761" s="12"/>
      <c r="F761" s="12"/>
      <c r="G761" s="12"/>
      <c r="H761" s="12"/>
      <c r="I761" s="12"/>
      <c r="J761" s="12"/>
      <c r="K761" s="12"/>
      <c r="L761" s="12"/>
      <c r="M761" s="12"/>
      <c r="N761" s="12"/>
      <c r="O761" s="12"/>
      <c r="P761" s="12"/>
      <c r="Q761" s="12"/>
      <c r="R761" s="12"/>
      <c r="S761" s="12"/>
      <c r="T761" s="12"/>
      <c r="U761" s="12"/>
      <c r="W761" s="67"/>
      <c r="X761" s="12"/>
      <c r="Y761" s="12"/>
      <c r="Z761" s="12"/>
      <c r="AA761" s="12"/>
    </row>
    <row r="762" spans="1:27" ht="15.75" customHeight="1">
      <c r="A762" s="12"/>
      <c r="B762" s="12"/>
      <c r="C762" s="12"/>
      <c r="D762" s="12"/>
      <c r="E762" s="12"/>
      <c r="F762" s="12"/>
      <c r="G762" s="12"/>
      <c r="H762" s="12"/>
      <c r="I762" s="12"/>
      <c r="J762" s="12"/>
      <c r="K762" s="12"/>
      <c r="L762" s="12"/>
      <c r="M762" s="12"/>
      <c r="N762" s="12"/>
      <c r="O762" s="12"/>
      <c r="P762" s="12"/>
      <c r="Q762" s="12"/>
      <c r="R762" s="12"/>
      <c r="S762" s="12"/>
      <c r="T762" s="12"/>
      <c r="U762" s="12"/>
      <c r="W762" s="67"/>
      <c r="X762" s="12"/>
      <c r="Y762" s="12"/>
      <c r="Z762" s="12"/>
      <c r="AA762" s="12"/>
    </row>
    <row r="763" spans="1:27" ht="15.75" customHeight="1">
      <c r="A763" s="12"/>
      <c r="B763" s="12"/>
      <c r="C763" s="12"/>
      <c r="D763" s="12"/>
      <c r="E763" s="12"/>
      <c r="F763" s="12"/>
      <c r="G763" s="12"/>
      <c r="H763" s="12"/>
      <c r="I763" s="12"/>
      <c r="J763" s="12"/>
      <c r="K763" s="12"/>
      <c r="L763" s="12"/>
      <c r="M763" s="12"/>
      <c r="N763" s="12"/>
      <c r="O763" s="12"/>
      <c r="P763" s="12"/>
      <c r="Q763" s="12"/>
      <c r="R763" s="12"/>
      <c r="S763" s="12"/>
      <c r="T763" s="12"/>
      <c r="U763" s="12"/>
      <c r="W763" s="67"/>
      <c r="X763" s="12"/>
      <c r="Y763" s="12"/>
      <c r="Z763" s="12"/>
      <c r="AA763" s="12"/>
    </row>
    <row r="764" spans="1:27" ht="15.75" customHeight="1">
      <c r="A764" s="12"/>
      <c r="B764" s="12"/>
      <c r="C764" s="12"/>
      <c r="D764" s="12"/>
      <c r="E764" s="12"/>
      <c r="F764" s="12"/>
      <c r="G764" s="12"/>
      <c r="H764" s="12"/>
      <c r="I764" s="12"/>
      <c r="J764" s="12"/>
      <c r="K764" s="12"/>
      <c r="L764" s="12"/>
      <c r="M764" s="12"/>
      <c r="N764" s="12"/>
      <c r="O764" s="12"/>
      <c r="P764" s="12"/>
      <c r="Q764" s="12"/>
      <c r="R764" s="12"/>
      <c r="S764" s="12"/>
      <c r="T764" s="12"/>
      <c r="U764" s="12"/>
      <c r="W764" s="67"/>
      <c r="X764" s="12"/>
      <c r="Y764" s="12"/>
      <c r="Z764" s="12"/>
      <c r="AA764" s="12"/>
    </row>
    <row r="765" spans="1:27" ht="15.75" customHeight="1">
      <c r="A765" s="12"/>
      <c r="B765" s="12"/>
      <c r="C765" s="12"/>
      <c r="D765" s="12"/>
      <c r="E765" s="12"/>
      <c r="F765" s="12"/>
      <c r="G765" s="12"/>
      <c r="H765" s="12"/>
      <c r="I765" s="12"/>
      <c r="J765" s="12"/>
      <c r="K765" s="12"/>
      <c r="L765" s="12"/>
      <c r="M765" s="12"/>
      <c r="N765" s="12"/>
      <c r="O765" s="12"/>
      <c r="P765" s="12"/>
      <c r="Q765" s="12"/>
      <c r="R765" s="12"/>
      <c r="S765" s="12"/>
      <c r="T765" s="12"/>
      <c r="U765" s="12"/>
      <c r="W765" s="67"/>
      <c r="X765" s="12"/>
      <c r="Y765" s="12"/>
      <c r="Z765" s="12"/>
      <c r="AA765" s="12"/>
    </row>
    <row r="766" spans="1:27" ht="15.75" customHeight="1">
      <c r="A766" s="12"/>
      <c r="B766" s="12"/>
      <c r="C766" s="12"/>
      <c r="D766" s="12"/>
      <c r="E766" s="12"/>
      <c r="F766" s="12"/>
      <c r="G766" s="12"/>
      <c r="H766" s="12"/>
      <c r="I766" s="12"/>
      <c r="J766" s="12"/>
      <c r="K766" s="12"/>
      <c r="L766" s="12"/>
      <c r="M766" s="12"/>
      <c r="N766" s="12"/>
      <c r="O766" s="12"/>
      <c r="P766" s="12"/>
      <c r="Q766" s="12"/>
      <c r="R766" s="12"/>
      <c r="S766" s="12"/>
      <c r="T766" s="12"/>
      <c r="U766" s="12"/>
      <c r="W766" s="67"/>
      <c r="X766" s="12"/>
      <c r="Y766" s="12"/>
      <c r="Z766" s="12"/>
      <c r="AA766" s="12"/>
    </row>
    <row r="767" spans="1:27" ht="15.75" customHeight="1">
      <c r="A767" s="12"/>
      <c r="B767" s="12"/>
      <c r="C767" s="12"/>
      <c r="D767" s="12"/>
      <c r="E767" s="12"/>
      <c r="F767" s="12"/>
      <c r="G767" s="12"/>
      <c r="H767" s="12"/>
      <c r="I767" s="12"/>
      <c r="J767" s="12"/>
      <c r="K767" s="12"/>
      <c r="L767" s="12"/>
      <c r="M767" s="12"/>
      <c r="N767" s="12"/>
      <c r="O767" s="12"/>
      <c r="P767" s="12"/>
      <c r="Q767" s="12"/>
      <c r="R767" s="12"/>
      <c r="S767" s="12"/>
      <c r="T767" s="12"/>
      <c r="U767" s="12"/>
      <c r="W767" s="67"/>
      <c r="X767" s="12"/>
      <c r="Y767" s="12"/>
      <c r="Z767" s="12"/>
      <c r="AA767" s="12"/>
    </row>
    <row r="768" spans="1:27" ht="15.75" customHeight="1">
      <c r="A768" s="12"/>
      <c r="B768" s="12"/>
      <c r="C768" s="12"/>
      <c r="D768" s="12"/>
      <c r="E768" s="12"/>
      <c r="F768" s="12"/>
      <c r="G768" s="12"/>
      <c r="H768" s="12"/>
      <c r="I768" s="12"/>
      <c r="J768" s="12"/>
      <c r="K768" s="12"/>
      <c r="L768" s="12"/>
      <c r="M768" s="12"/>
      <c r="N768" s="12"/>
      <c r="O768" s="12"/>
      <c r="P768" s="12"/>
      <c r="Q768" s="12"/>
      <c r="R768" s="12"/>
      <c r="S768" s="12"/>
      <c r="T768" s="12"/>
      <c r="U768" s="12"/>
      <c r="W768" s="67"/>
      <c r="X768" s="12"/>
      <c r="Y768" s="12"/>
      <c r="Z768" s="12"/>
      <c r="AA768" s="12"/>
    </row>
    <row r="769" spans="1:27" ht="15.75" customHeight="1">
      <c r="A769" s="12"/>
      <c r="B769" s="12"/>
      <c r="C769" s="12"/>
      <c r="D769" s="12"/>
      <c r="E769" s="12"/>
      <c r="F769" s="12"/>
      <c r="G769" s="12"/>
      <c r="H769" s="12"/>
      <c r="I769" s="12"/>
      <c r="J769" s="12"/>
      <c r="K769" s="12"/>
      <c r="L769" s="12"/>
      <c r="M769" s="12"/>
      <c r="N769" s="12"/>
      <c r="O769" s="12"/>
      <c r="P769" s="12"/>
      <c r="Q769" s="12"/>
      <c r="R769" s="12"/>
      <c r="S769" s="12"/>
      <c r="T769" s="12"/>
      <c r="U769" s="12"/>
      <c r="W769" s="67"/>
      <c r="X769" s="12"/>
      <c r="Y769" s="12"/>
      <c r="Z769" s="12"/>
      <c r="AA769" s="12"/>
    </row>
    <row r="770" spans="1:27" ht="15.75" customHeight="1">
      <c r="A770" s="12"/>
      <c r="B770" s="12"/>
      <c r="C770" s="12"/>
      <c r="D770" s="12"/>
      <c r="E770" s="12"/>
      <c r="F770" s="12"/>
      <c r="G770" s="12"/>
      <c r="H770" s="12"/>
      <c r="I770" s="12"/>
      <c r="J770" s="12"/>
      <c r="K770" s="12"/>
      <c r="L770" s="12"/>
      <c r="M770" s="12"/>
      <c r="N770" s="12"/>
      <c r="O770" s="12"/>
      <c r="P770" s="12"/>
      <c r="Q770" s="12"/>
      <c r="R770" s="12"/>
      <c r="S770" s="12"/>
      <c r="T770" s="12"/>
      <c r="U770" s="12"/>
      <c r="W770" s="67"/>
      <c r="X770" s="12"/>
      <c r="Y770" s="12"/>
      <c r="Z770" s="12"/>
      <c r="AA770" s="12"/>
    </row>
    <row r="771" spans="1:27" ht="15.75" customHeight="1">
      <c r="A771" s="12"/>
      <c r="B771" s="12"/>
      <c r="C771" s="12"/>
      <c r="D771" s="12"/>
      <c r="E771" s="12"/>
      <c r="F771" s="12"/>
      <c r="G771" s="12"/>
      <c r="H771" s="12"/>
      <c r="I771" s="12"/>
      <c r="J771" s="12"/>
      <c r="K771" s="12"/>
      <c r="L771" s="12"/>
      <c r="M771" s="12"/>
      <c r="N771" s="12"/>
      <c r="O771" s="12"/>
      <c r="P771" s="12"/>
      <c r="Q771" s="12"/>
      <c r="R771" s="12"/>
      <c r="S771" s="12"/>
      <c r="T771" s="12"/>
      <c r="U771" s="12"/>
      <c r="W771" s="67"/>
      <c r="X771" s="12"/>
      <c r="Y771" s="12"/>
      <c r="Z771" s="12"/>
      <c r="AA771" s="12"/>
    </row>
    <row r="772" spans="1:27" ht="15.75" customHeight="1">
      <c r="A772" s="12"/>
      <c r="B772" s="12"/>
      <c r="C772" s="12"/>
      <c r="D772" s="12"/>
      <c r="E772" s="12"/>
      <c r="F772" s="12"/>
      <c r="G772" s="12"/>
      <c r="H772" s="12"/>
      <c r="I772" s="12"/>
      <c r="J772" s="12"/>
      <c r="K772" s="12"/>
      <c r="L772" s="12"/>
      <c r="M772" s="12"/>
      <c r="N772" s="12"/>
      <c r="O772" s="12"/>
      <c r="P772" s="12"/>
      <c r="Q772" s="12"/>
      <c r="R772" s="12"/>
      <c r="S772" s="12"/>
      <c r="T772" s="12"/>
      <c r="U772" s="12"/>
      <c r="W772" s="67"/>
      <c r="X772" s="12"/>
      <c r="Y772" s="12"/>
      <c r="Z772" s="12"/>
      <c r="AA772" s="12"/>
    </row>
    <row r="773" spans="1:27" ht="15.75" customHeight="1">
      <c r="A773" s="12"/>
      <c r="B773" s="12"/>
      <c r="C773" s="12"/>
      <c r="D773" s="12"/>
      <c r="E773" s="12"/>
      <c r="F773" s="12"/>
      <c r="G773" s="12"/>
      <c r="H773" s="12"/>
      <c r="I773" s="12"/>
      <c r="J773" s="12"/>
      <c r="K773" s="12"/>
      <c r="L773" s="12"/>
      <c r="M773" s="12"/>
      <c r="N773" s="12"/>
      <c r="O773" s="12"/>
      <c r="P773" s="12"/>
      <c r="Q773" s="12"/>
      <c r="R773" s="12"/>
      <c r="S773" s="12"/>
      <c r="T773" s="12"/>
      <c r="U773" s="12"/>
      <c r="W773" s="67"/>
      <c r="X773" s="12"/>
      <c r="Y773" s="12"/>
      <c r="Z773" s="12"/>
      <c r="AA773" s="12"/>
    </row>
    <row r="774" spans="1:27" ht="15.75" customHeight="1">
      <c r="A774" s="12"/>
      <c r="B774" s="12"/>
      <c r="C774" s="12"/>
      <c r="D774" s="12"/>
      <c r="E774" s="12"/>
      <c r="F774" s="12"/>
      <c r="G774" s="12"/>
      <c r="H774" s="12"/>
      <c r="I774" s="12"/>
      <c r="J774" s="12"/>
      <c r="K774" s="12"/>
      <c r="L774" s="12"/>
      <c r="M774" s="12"/>
      <c r="N774" s="12"/>
      <c r="O774" s="12"/>
      <c r="P774" s="12"/>
      <c r="Q774" s="12"/>
      <c r="R774" s="12"/>
      <c r="S774" s="12"/>
      <c r="T774" s="12"/>
      <c r="U774" s="12"/>
      <c r="W774" s="67"/>
      <c r="X774" s="12"/>
      <c r="Y774" s="12"/>
      <c r="Z774" s="12"/>
      <c r="AA774" s="12"/>
    </row>
    <row r="775" spans="1:27" ht="15.75" customHeight="1">
      <c r="A775" s="12"/>
      <c r="B775" s="12"/>
      <c r="C775" s="12"/>
      <c r="D775" s="12"/>
      <c r="E775" s="12"/>
      <c r="F775" s="12"/>
      <c r="G775" s="12"/>
      <c r="H775" s="12"/>
      <c r="I775" s="12"/>
      <c r="J775" s="12"/>
      <c r="K775" s="12"/>
      <c r="L775" s="12"/>
      <c r="M775" s="12"/>
      <c r="N775" s="12"/>
      <c r="O775" s="12"/>
      <c r="P775" s="12"/>
      <c r="Q775" s="12"/>
      <c r="R775" s="12"/>
      <c r="S775" s="12"/>
      <c r="T775" s="12"/>
      <c r="U775" s="12"/>
      <c r="W775" s="67"/>
      <c r="X775" s="12"/>
      <c r="Y775" s="12"/>
      <c r="Z775" s="12"/>
      <c r="AA775" s="12"/>
    </row>
    <row r="776" spans="1:27" ht="15.75" customHeight="1">
      <c r="A776" s="12"/>
      <c r="B776" s="12"/>
      <c r="C776" s="12"/>
      <c r="D776" s="12"/>
      <c r="E776" s="12"/>
      <c r="F776" s="12"/>
      <c r="G776" s="12"/>
      <c r="H776" s="12"/>
      <c r="I776" s="12"/>
      <c r="J776" s="12"/>
      <c r="K776" s="12"/>
      <c r="L776" s="12"/>
      <c r="M776" s="12"/>
      <c r="N776" s="12"/>
      <c r="O776" s="12"/>
      <c r="P776" s="12"/>
      <c r="Q776" s="12"/>
      <c r="R776" s="12"/>
      <c r="S776" s="12"/>
      <c r="T776" s="12"/>
      <c r="U776" s="12"/>
      <c r="W776" s="67"/>
      <c r="X776" s="12"/>
      <c r="Y776" s="12"/>
      <c r="Z776" s="12"/>
      <c r="AA776" s="12"/>
    </row>
    <row r="777" spans="1:27" ht="15.75" customHeight="1">
      <c r="A777" s="12"/>
      <c r="B777" s="12"/>
      <c r="C777" s="12"/>
      <c r="D777" s="12"/>
      <c r="E777" s="12"/>
      <c r="F777" s="12"/>
      <c r="G777" s="12"/>
      <c r="H777" s="12"/>
      <c r="I777" s="12"/>
      <c r="J777" s="12"/>
      <c r="K777" s="12"/>
      <c r="L777" s="12"/>
      <c r="M777" s="12"/>
      <c r="N777" s="12"/>
      <c r="O777" s="12"/>
      <c r="P777" s="12"/>
      <c r="Q777" s="12"/>
      <c r="R777" s="12"/>
      <c r="S777" s="12"/>
      <c r="T777" s="12"/>
      <c r="U777" s="12"/>
      <c r="W777" s="67"/>
      <c r="X777" s="12"/>
      <c r="Y777" s="12"/>
      <c r="Z777" s="12"/>
      <c r="AA777" s="12"/>
    </row>
    <row r="778" spans="1:27" ht="15.75" customHeight="1">
      <c r="A778" s="12"/>
      <c r="B778" s="12"/>
      <c r="C778" s="12"/>
      <c r="D778" s="12"/>
      <c r="E778" s="12"/>
      <c r="F778" s="12"/>
      <c r="G778" s="12"/>
      <c r="H778" s="12"/>
      <c r="I778" s="12"/>
      <c r="J778" s="12"/>
      <c r="K778" s="12"/>
      <c r="L778" s="12"/>
      <c r="M778" s="12"/>
      <c r="N778" s="12"/>
      <c r="O778" s="12"/>
      <c r="P778" s="12"/>
      <c r="Q778" s="12"/>
      <c r="R778" s="12"/>
      <c r="S778" s="12"/>
      <c r="T778" s="12"/>
      <c r="U778" s="12"/>
      <c r="W778" s="67"/>
      <c r="X778" s="12"/>
      <c r="Y778" s="12"/>
      <c r="Z778" s="12"/>
      <c r="AA778" s="12"/>
    </row>
    <row r="779" spans="1:27" ht="15.75" customHeight="1">
      <c r="A779" s="12"/>
      <c r="B779" s="12"/>
      <c r="C779" s="12"/>
      <c r="D779" s="12"/>
      <c r="E779" s="12"/>
      <c r="F779" s="12"/>
      <c r="G779" s="12"/>
      <c r="H779" s="12"/>
      <c r="I779" s="12"/>
      <c r="J779" s="12"/>
      <c r="K779" s="12"/>
      <c r="L779" s="12"/>
      <c r="M779" s="12"/>
      <c r="N779" s="12"/>
      <c r="O779" s="12"/>
      <c r="P779" s="12"/>
      <c r="Q779" s="12"/>
      <c r="R779" s="12"/>
      <c r="S779" s="12"/>
      <c r="T779" s="12"/>
      <c r="U779" s="12"/>
      <c r="W779" s="67"/>
      <c r="X779" s="12"/>
      <c r="Y779" s="12"/>
      <c r="Z779" s="12"/>
      <c r="AA779" s="12"/>
    </row>
    <row r="780" spans="1:27" ht="15.75" customHeight="1">
      <c r="A780" s="12"/>
      <c r="B780" s="12"/>
      <c r="C780" s="12"/>
      <c r="D780" s="12"/>
      <c r="E780" s="12"/>
      <c r="F780" s="12"/>
      <c r="G780" s="12"/>
      <c r="H780" s="12"/>
      <c r="I780" s="12"/>
      <c r="J780" s="12"/>
      <c r="K780" s="12"/>
      <c r="L780" s="12"/>
      <c r="M780" s="12"/>
      <c r="N780" s="12"/>
      <c r="O780" s="12"/>
      <c r="P780" s="12"/>
      <c r="Q780" s="12"/>
      <c r="R780" s="12"/>
      <c r="S780" s="12"/>
      <c r="T780" s="12"/>
      <c r="U780" s="12"/>
      <c r="W780" s="67"/>
      <c r="X780" s="12"/>
      <c r="Y780" s="12"/>
      <c r="Z780" s="12"/>
      <c r="AA780" s="12"/>
    </row>
    <row r="781" spans="1:27" ht="15.75" customHeight="1">
      <c r="A781" s="12"/>
      <c r="B781" s="12"/>
      <c r="C781" s="12"/>
      <c r="D781" s="12"/>
      <c r="E781" s="12"/>
      <c r="F781" s="12"/>
      <c r="G781" s="12"/>
      <c r="H781" s="12"/>
      <c r="I781" s="12"/>
      <c r="J781" s="12"/>
      <c r="K781" s="12"/>
      <c r="L781" s="12"/>
      <c r="M781" s="12"/>
      <c r="N781" s="12"/>
      <c r="O781" s="12"/>
      <c r="P781" s="12"/>
      <c r="Q781" s="12"/>
      <c r="R781" s="12"/>
      <c r="S781" s="12"/>
      <c r="T781" s="12"/>
      <c r="U781" s="12"/>
      <c r="W781" s="67"/>
      <c r="X781" s="12"/>
      <c r="Y781" s="12"/>
      <c r="Z781" s="12"/>
      <c r="AA781" s="12"/>
    </row>
    <row r="782" spans="1:27" ht="15.75" customHeight="1">
      <c r="A782" s="12"/>
      <c r="B782" s="12"/>
      <c r="C782" s="12"/>
      <c r="D782" s="12"/>
      <c r="E782" s="12"/>
      <c r="F782" s="12"/>
      <c r="G782" s="12"/>
      <c r="H782" s="12"/>
      <c r="I782" s="12"/>
      <c r="J782" s="12"/>
      <c r="K782" s="12"/>
      <c r="L782" s="12"/>
      <c r="M782" s="12"/>
      <c r="N782" s="12"/>
      <c r="O782" s="12"/>
      <c r="P782" s="12"/>
      <c r="Q782" s="12"/>
      <c r="R782" s="12"/>
      <c r="S782" s="12"/>
      <c r="T782" s="12"/>
      <c r="U782" s="12"/>
      <c r="W782" s="67"/>
      <c r="X782" s="12"/>
      <c r="Y782" s="12"/>
      <c r="Z782" s="12"/>
      <c r="AA782" s="12"/>
    </row>
    <row r="783" spans="1:27" ht="15.75" customHeight="1">
      <c r="A783" s="12"/>
      <c r="B783" s="12"/>
      <c r="C783" s="12"/>
      <c r="D783" s="12"/>
      <c r="E783" s="12"/>
      <c r="F783" s="12"/>
      <c r="G783" s="12"/>
      <c r="H783" s="12"/>
      <c r="I783" s="12"/>
      <c r="J783" s="12"/>
      <c r="K783" s="12"/>
      <c r="L783" s="12"/>
      <c r="M783" s="12"/>
      <c r="N783" s="12"/>
      <c r="O783" s="12"/>
      <c r="P783" s="12"/>
      <c r="Q783" s="12"/>
      <c r="R783" s="12"/>
      <c r="S783" s="12"/>
      <c r="T783" s="12"/>
      <c r="U783" s="12"/>
      <c r="W783" s="67"/>
      <c r="X783" s="12"/>
      <c r="Y783" s="12"/>
      <c r="Z783" s="12"/>
      <c r="AA783" s="12"/>
    </row>
    <row r="784" spans="1:27" ht="15.75" customHeight="1">
      <c r="A784" s="12"/>
      <c r="B784" s="12"/>
      <c r="C784" s="12"/>
      <c r="D784" s="12"/>
      <c r="E784" s="12"/>
      <c r="F784" s="12"/>
      <c r="G784" s="12"/>
      <c r="H784" s="12"/>
      <c r="I784" s="12"/>
      <c r="J784" s="12"/>
      <c r="K784" s="12"/>
      <c r="L784" s="12"/>
      <c r="M784" s="12"/>
      <c r="N784" s="12"/>
      <c r="O784" s="12"/>
      <c r="P784" s="12"/>
      <c r="Q784" s="12"/>
      <c r="R784" s="12"/>
      <c r="S784" s="12"/>
      <c r="T784" s="12"/>
      <c r="U784" s="12"/>
      <c r="W784" s="67"/>
      <c r="X784" s="12"/>
      <c r="Y784" s="12"/>
      <c r="Z784" s="12"/>
      <c r="AA784" s="12"/>
    </row>
    <row r="785" spans="1:27" ht="15.75" customHeight="1">
      <c r="A785" s="12"/>
      <c r="B785" s="12"/>
      <c r="C785" s="12"/>
      <c r="D785" s="12"/>
      <c r="E785" s="12"/>
      <c r="F785" s="12"/>
      <c r="G785" s="12"/>
      <c r="H785" s="12"/>
      <c r="I785" s="12"/>
      <c r="J785" s="12"/>
      <c r="K785" s="12"/>
      <c r="L785" s="12"/>
      <c r="M785" s="12"/>
      <c r="N785" s="12"/>
      <c r="O785" s="12"/>
      <c r="P785" s="12"/>
      <c r="Q785" s="12"/>
      <c r="R785" s="12"/>
      <c r="S785" s="12"/>
      <c r="T785" s="12"/>
      <c r="U785" s="12"/>
      <c r="W785" s="67"/>
      <c r="X785" s="12"/>
      <c r="Y785" s="12"/>
      <c r="Z785" s="12"/>
      <c r="AA785" s="12"/>
    </row>
    <row r="786" spans="1:27" ht="15.75" customHeight="1">
      <c r="A786" s="12"/>
      <c r="B786" s="12"/>
      <c r="C786" s="12"/>
      <c r="D786" s="12"/>
      <c r="E786" s="12"/>
      <c r="F786" s="12"/>
      <c r="G786" s="12"/>
      <c r="H786" s="12"/>
      <c r="I786" s="12"/>
      <c r="J786" s="12"/>
      <c r="K786" s="12"/>
      <c r="L786" s="12"/>
      <c r="M786" s="12"/>
      <c r="N786" s="12"/>
      <c r="O786" s="12"/>
      <c r="P786" s="12"/>
      <c r="Q786" s="12"/>
      <c r="R786" s="12"/>
      <c r="S786" s="12"/>
      <c r="T786" s="12"/>
      <c r="U786" s="12"/>
      <c r="W786" s="67"/>
      <c r="X786" s="12"/>
      <c r="Y786" s="12"/>
      <c r="Z786" s="12"/>
      <c r="AA786" s="12"/>
    </row>
    <row r="787" spans="1:27" ht="15.75" customHeight="1">
      <c r="A787" s="12"/>
      <c r="B787" s="12"/>
      <c r="C787" s="12"/>
      <c r="D787" s="12"/>
      <c r="E787" s="12"/>
      <c r="F787" s="12"/>
      <c r="G787" s="12"/>
      <c r="H787" s="12"/>
      <c r="I787" s="12"/>
      <c r="J787" s="12"/>
      <c r="K787" s="12"/>
      <c r="L787" s="12"/>
      <c r="M787" s="12"/>
      <c r="N787" s="12"/>
      <c r="O787" s="12"/>
      <c r="P787" s="12"/>
      <c r="Q787" s="12"/>
      <c r="R787" s="12"/>
      <c r="S787" s="12"/>
      <c r="T787" s="12"/>
      <c r="U787" s="12"/>
      <c r="W787" s="67"/>
      <c r="X787" s="12"/>
      <c r="Y787" s="12"/>
      <c r="Z787" s="12"/>
      <c r="AA787" s="12"/>
    </row>
    <row r="788" spans="1:27" ht="15.75" customHeight="1">
      <c r="A788" s="12"/>
      <c r="B788" s="12"/>
      <c r="C788" s="12"/>
      <c r="D788" s="12"/>
      <c r="E788" s="12"/>
      <c r="F788" s="12"/>
      <c r="G788" s="12"/>
      <c r="H788" s="12"/>
      <c r="I788" s="12"/>
      <c r="J788" s="12"/>
      <c r="K788" s="12"/>
      <c r="L788" s="12"/>
      <c r="M788" s="12"/>
      <c r="N788" s="12"/>
      <c r="O788" s="12"/>
      <c r="P788" s="12"/>
      <c r="Q788" s="12"/>
      <c r="R788" s="12"/>
      <c r="S788" s="12"/>
      <c r="T788" s="12"/>
      <c r="U788" s="12"/>
      <c r="W788" s="67"/>
      <c r="X788" s="12"/>
      <c r="Y788" s="12"/>
      <c r="Z788" s="12"/>
      <c r="AA788" s="12"/>
    </row>
    <row r="789" spans="1:27" ht="15.75" customHeight="1">
      <c r="A789" s="12"/>
      <c r="B789" s="12"/>
      <c r="C789" s="12"/>
      <c r="D789" s="12"/>
      <c r="E789" s="12"/>
      <c r="F789" s="12"/>
      <c r="G789" s="12"/>
      <c r="H789" s="12"/>
      <c r="I789" s="12"/>
      <c r="J789" s="12"/>
      <c r="K789" s="12"/>
      <c r="L789" s="12"/>
      <c r="M789" s="12"/>
      <c r="N789" s="12"/>
      <c r="O789" s="12"/>
      <c r="P789" s="12"/>
      <c r="Q789" s="12"/>
      <c r="R789" s="12"/>
      <c r="S789" s="12"/>
      <c r="T789" s="12"/>
      <c r="U789" s="12"/>
      <c r="W789" s="67"/>
      <c r="X789" s="12"/>
      <c r="Y789" s="12"/>
      <c r="Z789" s="12"/>
      <c r="AA789" s="12"/>
    </row>
    <row r="790" spans="1:27" ht="15.75" customHeight="1">
      <c r="A790" s="12"/>
      <c r="B790" s="12"/>
      <c r="C790" s="12"/>
      <c r="D790" s="12"/>
      <c r="E790" s="12"/>
      <c r="F790" s="12"/>
      <c r="G790" s="12"/>
      <c r="H790" s="12"/>
      <c r="I790" s="12"/>
      <c r="J790" s="12"/>
      <c r="K790" s="12"/>
      <c r="L790" s="12"/>
      <c r="M790" s="12"/>
      <c r="N790" s="12"/>
      <c r="O790" s="12"/>
      <c r="P790" s="12"/>
      <c r="Q790" s="12"/>
      <c r="R790" s="12"/>
      <c r="S790" s="12"/>
      <c r="T790" s="12"/>
      <c r="U790" s="12"/>
      <c r="W790" s="67"/>
      <c r="X790" s="12"/>
      <c r="Y790" s="12"/>
      <c r="Z790" s="12"/>
      <c r="AA790" s="12"/>
    </row>
    <row r="791" spans="1:27" ht="15.75" customHeight="1">
      <c r="A791" s="12"/>
      <c r="B791" s="12"/>
      <c r="C791" s="12"/>
      <c r="D791" s="12"/>
      <c r="E791" s="12"/>
      <c r="F791" s="12"/>
      <c r="G791" s="12"/>
      <c r="H791" s="12"/>
      <c r="I791" s="12"/>
      <c r="J791" s="12"/>
      <c r="K791" s="12"/>
      <c r="L791" s="12"/>
      <c r="M791" s="12"/>
      <c r="N791" s="12"/>
      <c r="O791" s="12"/>
      <c r="P791" s="12"/>
      <c r="Q791" s="12"/>
      <c r="R791" s="12"/>
      <c r="S791" s="12"/>
      <c r="T791" s="12"/>
      <c r="U791" s="12"/>
      <c r="W791" s="67"/>
      <c r="X791" s="12"/>
      <c r="Y791" s="12"/>
      <c r="Z791" s="12"/>
      <c r="AA791" s="12"/>
    </row>
    <row r="792" spans="1:27" ht="15.75" customHeight="1">
      <c r="A792" s="12"/>
      <c r="B792" s="12"/>
      <c r="C792" s="12"/>
      <c r="D792" s="12"/>
      <c r="E792" s="12"/>
      <c r="F792" s="12"/>
      <c r="G792" s="12"/>
      <c r="H792" s="12"/>
      <c r="I792" s="12"/>
      <c r="J792" s="12"/>
      <c r="K792" s="12"/>
      <c r="L792" s="12"/>
      <c r="M792" s="12"/>
      <c r="N792" s="12"/>
      <c r="O792" s="12"/>
      <c r="P792" s="12"/>
      <c r="Q792" s="12"/>
      <c r="R792" s="12"/>
      <c r="S792" s="12"/>
      <c r="T792" s="12"/>
      <c r="U792" s="12"/>
      <c r="W792" s="67"/>
      <c r="X792" s="12"/>
      <c r="Y792" s="12"/>
      <c r="Z792" s="12"/>
      <c r="AA792" s="12"/>
    </row>
    <row r="793" spans="1:27" ht="15.75" customHeight="1">
      <c r="A793" s="12"/>
      <c r="B793" s="12"/>
      <c r="C793" s="12"/>
      <c r="D793" s="12"/>
      <c r="E793" s="12"/>
      <c r="F793" s="12"/>
      <c r="G793" s="12"/>
      <c r="H793" s="12"/>
      <c r="I793" s="12"/>
      <c r="J793" s="12"/>
      <c r="K793" s="12"/>
      <c r="L793" s="12"/>
      <c r="M793" s="12"/>
      <c r="N793" s="12"/>
      <c r="O793" s="12"/>
      <c r="P793" s="12"/>
      <c r="Q793" s="12"/>
      <c r="R793" s="12"/>
      <c r="S793" s="12"/>
      <c r="T793" s="12"/>
      <c r="U793" s="12"/>
      <c r="W793" s="67"/>
      <c r="X793" s="12"/>
      <c r="Y793" s="12"/>
      <c r="Z793" s="12"/>
      <c r="AA793" s="12"/>
    </row>
    <row r="794" spans="1:27" ht="15.75" customHeight="1">
      <c r="A794" s="12"/>
      <c r="B794" s="12"/>
      <c r="C794" s="12"/>
      <c r="D794" s="12"/>
      <c r="E794" s="12"/>
      <c r="F794" s="12"/>
      <c r="G794" s="12"/>
      <c r="H794" s="12"/>
      <c r="I794" s="12"/>
      <c r="J794" s="12"/>
      <c r="K794" s="12"/>
      <c r="L794" s="12"/>
      <c r="M794" s="12"/>
      <c r="N794" s="12"/>
      <c r="O794" s="12"/>
      <c r="P794" s="12"/>
      <c r="Q794" s="12"/>
      <c r="R794" s="12"/>
      <c r="S794" s="12"/>
      <c r="T794" s="12"/>
      <c r="U794" s="12"/>
      <c r="W794" s="67"/>
      <c r="X794" s="12"/>
      <c r="Y794" s="12"/>
      <c r="Z794" s="12"/>
      <c r="AA794" s="12"/>
    </row>
    <row r="795" spans="1:27" ht="15.75" customHeight="1">
      <c r="A795" s="12"/>
      <c r="B795" s="12"/>
      <c r="C795" s="12"/>
      <c r="D795" s="12"/>
      <c r="E795" s="12"/>
      <c r="F795" s="12"/>
      <c r="G795" s="12"/>
      <c r="H795" s="12"/>
      <c r="I795" s="12"/>
      <c r="J795" s="12"/>
      <c r="K795" s="12"/>
      <c r="L795" s="12"/>
      <c r="M795" s="12"/>
      <c r="N795" s="12"/>
      <c r="O795" s="12"/>
      <c r="P795" s="12"/>
      <c r="Q795" s="12"/>
      <c r="R795" s="12"/>
      <c r="S795" s="12"/>
      <c r="T795" s="12"/>
      <c r="U795" s="12"/>
      <c r="W795" s="67"/>
      <c r="X795" s="12"/>
      <c r="Y795" s="12"/>
      <c r="Z795" s="12"/>
      <c r="AA795" s="12"/>
    </row>
    <row r="796" spans="1:27" ht="15.75" customHeight="1">
      <c r="A796" s="12"/>
      <c r="B796" s="12"/>
      <c r="C796" s="12"/>
      <c r="D796" s="12"/>
      <c r="E796" s="12"/>
      <c r="F796" s="12"/>
      <c r="G796" s="12"/>
      <c r="H796" s="12"/>
      <c r="I796" s="12"/>
      <c r="J796" s="12"/>
      <c r="K796" s="12"/>
      <c r="L796" s="12"/>
      <c r="M796" s="12"/>
      <c r="N796" s="12"/>
      <c r="O796" s="12"/>
      <c r="P796" s="12"/>
      <c r="Q796" s="12"/>
      <c r="R796" s="12"/>
      <c r="S796" s="12"/>
      <c r="T796" s="12"/>
      <c r="U796" s="12"/>
      <c r="W796" s="67"/>
      <c r="X796" s="12"/>
      <c r="Y796" s="12"/>
      <c r="Z796" s="12"/>
      <c r="AA796" s="12"/>
    </row>
    <row r="797" spans="1:27" ht="15.75" customHeight="1">
      <c r="A797" s="12"/>
      <c r="B797" s="12"/>
      <c r="C797" s="12"/>
      <c r="D797" s="12"/>
      <c r="E797" s="12"/>
      <c r="F797" s="12"/>
      <c r="G797" s="12"/>
      <c r="H797" s="12"/>
      <c r="I797" s="12"/>
      <c r="J797" s="12"/>
      <c r="K797" s="12"/>
      <c r="L797" s="12"/>
      <c r="M797" s="12"/>
      <c r="N797" s="12"/>
      <c r="O797" s="12"/>
      <c r="P797" s="12"/>
      <c r="Q797" s="12"/>
      <c r="R797" s="12"/>
      <c r="S797" s="12"/>
      <c r="T797" s="12"/>
      <c r="U797" s="12"/>
      <c r="W797" s="67"/>
      <c r="X797" s="12"/>
      <c r="Y797" s="12"/>
      <c r="Z797" s="12"/>
      <c r="AA797" s="12"/>
    </row>
    <row r="798" spans="1:27" ht="15.75" customHeight="1">
      <c r="A798" s="12"/>
      <c r="B798" s="12"/>
      <c r="C798" s="12"/>
      <c r="D798" s="12"/>
      <c r="E798" s="12"/>
      <c r="F798" s="12"/>
      <c r="G798" s="12"/>
      <c r="H798" s="12"/>
      <c r="I798" s="12"/>
      <c r="J798" s="12"/>
      <c r="K798" s="12"/>
      <c r="L798" s="12"/>
      <c r="M798" s="12"/>
      <c r="N798" s="12"/>
      <c r="O798" s="12"/>
      <c r="P798" s="12"/>
      <c r="Q798" s="12"/>
      <c r="R798" s="12"/>
      <c r="S798" s="12"/>
      <c r="T798" s="12"/>
      <c r="U798" s="12"/>
      <c r="W798" s="67"/>
      <c r="X798" s="12"/>
      <c r="Y798" s="12"/>
      <c r="Z798" s="12"/>
      <c r="AA798" s="12"/>
    </row>
    <row r="799" spans="1:27" ht="15.75" customHeight="1">
      <c r="A799" s="12"/>
      <c r="B799" s="12"/>
      <c r="C799" s="12"/>
      <c r="D799" s="12"/>
      <c r="E799" s="12"/>
      <c r="F799" s="12"/>
      <c r="G799" s="12"/>
      <c r="H799" s="12"/>
      <c r="I799" s="12"/>
      <c r="J799" s="12"/>
      <c r="K799" s="12"/>
      <c r="L799" s="12"/>
      <c r="M799" s="12"/>
      <c r="N799" s="12"/>
      <c r="O799" s="12"/>
      <c r="P799" s="12"/>
      <c r="Q799" s="12"/>
      <c r="R799" s="12"/>
      <c r="S799" s="12"/>
      <c r="T799" s="12"/>
      <c r="U799" s="12"/>
      <c r="W799" s="67"/>
      <c r="X799" s="12"/>
      <c r="Y799" s="12"/>
      <c r="Z799" s="12"/>
      <c r="AA799" s="12"/>
    </row>
    <row r="800" spans="1:27" ht="15.75" customHeight="1">
      <c r="A800" s="12"/>
      <c r="B800" s="12"/>
      <c r="C800" s="12"/>
      <c r="D800" s="12"/>
      <c r="E800" s="12"/>
      <c r="F800" s="12"/>
      <c r="G800" s="12"/>
      <c r="H800" s="12"/>
      <c r="I800" s="12"/>
      <c r="J800" s="12"/>
      <c r="K800" s="12"/>
      <c r="L800" s="12"/>
      <c r="M800" s="12"/>
      <c r="N800" s="12"/>
      <c r="O800" s="12"/>
      <c r="P800" s="12"/>
      <c r="Q800" s="12"/>
      <c r="R800" s="12"/>
      <c r="S800" s="12"/>
      <c r="T800" s="12"/>
      <c r="U800" s="12"/>
      <c r="W800" s="67"/>
      <c r="X800" s="12"/>
      <c r="Y800" s="12"/>
      <c r="Z800" s="12"/>
      <c r="AA800" s="12"/>
    </row>
    <row r="801" spans="1:27" ht="15.75" customHeight="1">
      <c r="A801" s="12"/>
      <c r="B801" s="12"/>
      <c r="C801" s="12"/>
      <c r="D801" s="12"/>
      <c r="E801" s="12"/>
      <c r="F801" s="12"/>
      <c r="G801" s="12"/>
      <c r="H801" s="12"/>
      <c r="I801" s="12"/>
      <c r="J801" s="12"/>
      <c r="K801" s="12"/>
      <c r="L801" s="12"/>
      <c r="M801" s="12"/>
      <c r="N801" s="12"/>
      <c r="O801" s="12"/>
      <c r="P801" s="12"/>
      <c r="Q801" s="12"/>
      <c r="R801" s="12"/>
      <c r="S801" s="12"/>
      <c r="T801" s="12"/>
      <c r="U801" s="12"/>
      <c r="W801" s="67"/>
      <c r="X801" s="12"/>
      <c r="Y801" s="12"/>
      <c r="Z801" s="12"/>
      <c r="AA801" s="12"/>
    </row>
    <row r="802" spans="1:27" ht="15.75" customHeight="1">
      <c r="A802" s="12"/>
      <c r="B802" s="12"/>
      <c r="C802" s="12"/>
      <c r="D802" s="12"/>
      <c r="E802" s="12"/>
      <c r="F802" s="12"/>
      <c r="G802" s="12"/>
      <c r="H802" s="12"/>
      <c r="I802" s="12"/>
      <c r="J802" s="12"/>
      <c r="K802" s="12"/>
      <c r="L802" s="12"/>
      <c r="M802" s="12"/>
      <c r="N802" s="12"/>
      <c r="O802" s="12"/>
      <c r="P802" s="12"/>
      <c r="Q802" s="12"/>
      <c r="R802" s="12"/>
      <c r="S802" s="12"/>
      <c r="T802" s="12"/>
      <c r="U802" s="12"/>
      <c r="W802" s="67"/>
      <c r="X802" s="12"/>
      <c r="Y802" s="12"/>
      <c r="Z802" s="12"/>
      <c r="AA802" s="12"/>
    </row>
    <row r="803" spans="1:27" ht="15.75" customHeight="1">
      <c r="A803" s="12"/>
      <c r="B803" s="12"/>
      <c r="C803" s="12"/>
      <c r="D803" s="12"/>
      <c r="E803" s="12"/>
      <c r="F803" s="12"/>
      <c r="G803" s="12"/>
      <c r="H803" s="12"/>
      <c r="I803" s="12"/>
      <c r="J803" s="12"/>
      <c r="K803" s="12"/>
      <c r="L803" s="12"/>
      <c r="M803" s="12"/>
      <c r="N803" s="12"/>
      <c r="O803" s="12"/>
      <c r="P803" s="12"/>
      <c r="Q803" s="12"/>
      <c r="R803" s="12"/>
      <c r="S803" s="12"/>
      <c r="T803" s="12"/>
      <c r="U803" s="12"/>
      <c r="W803" s="67"/>
      <c r="X803" s="12"/>
      <c r="Y803" s="12"/>
      <c r="Z803" s="12"/>
      <c r="AA803" s="12"/>
    </row>
    <row r="804" spans="1:27" ht="15.75" customHeight="1">
      <c r="A804" s="12"/>
      <c r="B804" s="12"/>
      <c r="C804" s="12"/>
      <c r="D804" s="12"/>
      <c r="E804" s="12"/>
      <c r="F804" s="12"/>
      <c r="G804" s="12"/>
      <c r="H804" s="12"/>
      <c r="I804" s="12"/>
      <c r="J804" s="12"/>
      <c r="K804" s="12"/>
      <c r="L804" s="12"/>
      <c r="M804" s="12"/>
      <c r="N804" s="12"/>
      <c r="O804" s="12"/>
      <c r="P804" s="12"/>
      <c r="Q804" s="12"/>
      <c r="R804" s="12"/>
      <c r="S804" s="12"/>
      <c r="T804" s="12"/>
      <c r="U804" s="12"/>
      <c r="W804" s="67"/>
      <c r="X804" s="12"/>
      <c r="Y804" s="12"/>
      <c r="Z804" s="12"/>
      <c r="AA804" s="12"/>
    </row>
    <row r="805" spans="1:27" ht="15.75" customHeight="1">
      <c r="A805" s="12"/>
      <c r="B805" s="12"/>
      <c r="C805" s="12"/>
      <c r="D805" s="12"/>
      <c r="E805" s="12"/>
      <c r="F805" s="12"/>
      <c r="G805" s="12"/>
      <c r="H805" s="12"/>
      <c r="I805" s="12"/>
      <c r="J805" s="12"/>
      <c r="K805" s="12"/>
      <c r="L805" s="12"/>
      <c r="M805" s="12"/>
      <c r="N805" s="12"/>
      <c r="O805" s="12"/>
      <c r="P805" s="12"/>
      <c r="Q805" s="12"/>
      <c r="R805" s="12"/>
      <c r="S805" s="12"/>
      <c r="T805" s="12"/>
      <c r="U805" s="12"/>
      <c r="W805" s="67"/>
      <c r="X805" s="12"/>
      <c r="Y805" s="12"/>
      <c r="Z805" s="12"/>
      <c r="AA805" s="12"/>
    </row>
    <row r="806" spans="1:27" ht="15.75" customHeight="1">
      <c r="A806" s="12"/>
      <c r="B806" s="12"/>
      <c r="C806" s="12"/>
      <c r="D806" s="12"/>
      <c r="E806" s="12"/>
      <c r="F806" s="12"/>
      <c r="G806" s="12"/>
      <c r="H806" s="12"/>
      <c r="I806" s="12"/>
      <c r="J806" s="12"/>
      <c r="K806" s="12"/>
      <c r="L806" s="12"/>
      <c r="M806" s="12"/>
      <c r="N806" s="12"/>
      <c r="O806" s="12"/>
      <c r="P806" s="12"/>
      <c r="Q806" s="12"/>
      <c r="R806" s="12"/>
      <c r="S806" s="12"/>
      <c r="T806" s="12"/>
      <c r="U806" s="12"/>
      <c r="W806" s="67"/>
      <c r="X806" s="12"/>
      <c r="Y806" s="12"/>
      <c r="Z806" s="12"/>
      <c r="AA806" s="12"/>
    </row>
    <row r="807" spans="1:27" ht="15.75" customHeight="1">
      <c r="A807" s="12"/>
      <c r="B807" s="12"/>
      <c r="C807" s="12"/>
      <c r="D807" s="12"/>
      <c r="E807" s="12"/>
      <c r="F807" s="12"/>
      <c r="G807" s="12"/>
      <c r="H807" s="12"/>
      <c r="I807" s="12"/>
      <c r="J807" s="12"/>
      <c r="K807" s="12"/>
      <c r="L807" s="12"/>
      <c r="M807" s="12"/>
      <c r="N807" s="12"/>
      <c r="O807" s="12"/>
      <c r="P807" s="12"/>
      <c r="Q807" s="12"/>
      <c r="R807" s="12"/>
      <c r="S807" s="12"/>
      <c r="T807" s="12"/>
      <c r="U807" s="12"/>
      <c r="W807" s="67"/>
      <c r="X807" s="12"/>
      <c r="Y807" s="12"/>
      <c r="Z807" s="12"/>
      <c r="AA807" s="12"/>
    </row>
    <row r="808" spans="1:27" ht="15.75" customHeight="1">
      <c r="A808" s="12"/>
      <c r="B808" s="12"/>
      <c r="C808" s="12"/>
      <c r="D808" s="12"/>
      <c r="E808" s="12"/>
      <c r="F808" s="12"/>
      <c r="G808" s="12"/>
      <c r="H808" s="12"/>
      <c r="I808" s="12"/>
      <c r="J808" s="12"/>
      <c r="K808" s="12"/>
      <c r="L808" s="12"/>
      <c r="M808" s="12"/>
      <c r="N808" s="12"/>
      <c r="O808" s="12"/>
      <c r="P808" s="12"/>
      <c r="Q808" s="12"/>
      <c r="R808" s="12"/>
      <c r="S808" s="12"/>
      <c r="T808" s="12"/>
      <c r="U808" s="12"/>
      <c r="W808" s="67"/>
      <c r="X808" s="12"/>
      <c r="Y808" s="12"/>
      <c r="Z808" s="12"/>
      <c r="AA808" s="12"/>
    </row>
    <row r="809" spans="1:27" ht="15.75" customHeight="1">
      <c r="A809" s="12"/>
      <c r="B809" s="12"/>
      <c r="C809" s="12"/>
      <c r="D809" s="12"/>
      <c r="E809" s="12"/>
      <c r="F809" s="12"/>
      <c r="G809" s="12"/>
      <c r="H809" s="12"/>
      <c r="I809" s="12"/>
      <c r="J809" s="12"/>
      <c r="K809" s="12"/>
      <c r="L809" s="12"/>
      <c r="M809" s="12"/>
      <c r="N809" s="12"/>
      <c r="O809" s="12"/>
      <c r="P809" s="12"/>
      <c r="Q809" s="12"/>
      <c r="R809" s="12"/>
      <c r="S809" s="12"/>
      <c r="T809" s="12"/>
      <c r="U809" s="12"/>
      <c r="W809" s="67"/>
      <c r="X809" s="12"/>
      <c r="Y809" s="12"/>
      <c r="Z809" s="12"/>
      <c r="AA809" s="12"/>
    </row>
    <row r="810" spans="1:27" ht="15.75" customHeight="1">
      <c r="A810" s="12"/>
      <c r="B810" s="12"/>
      <c r="C810" s="12"/>
      <c r="D810" s="12"/>
      <c r="E810" s="12"/>
      <c r="F810" s="12"/>
      <c r="G810" s="12"/>
      <c r="H810" s="12"/>
      <c r="I810" s="12"/>
      <c r="J810" s="12"/>
      <c r="K810" s="12"/>
      <c r="L810" s="12"/>
      <c r="M810" s="12"/>
      <c r="N810" s="12"/>
      <c r="O810" s="12"/>
      <c r="P810" s="12"/>
      <c r="Q810" s="12"/>
      <c r="R810" s="12"/>
      <c r="S810" s="12"/>
      <c r="T810" s="12"/>
      <c r="U810" s="12"/>
      <c r="W810" s="67"/>
      <c r="X810" s="12"/>
      <c r="Y810" s="12"/>
      <c r="Z810" s="12"/>
      <c r="AA810" s="12"/>
    </row>
    <row r="811" spans="1:27" ht="15.75" customHeight="1">
      <c r="A811" s="12"/>
      <c r="B811" s="12"/>
      <c r="C811" s="12"/>
      <c r="D811" s="12"/>
      <c r="E811" s="12"/>
      <c r="F811" s="12"/>
      <c r="G811" s="12"/>
      <c r="H811" s="12"/>
      <c r="I811" s="12"/>
      <c r="J811" s="12"/>
      <c r="K811" s="12"/>
      <c r="L811" s="12"/>
      <c r="M811" s="12"/>
      <c r="N811" s="12"/>
      <c r="O811" s="12"/>
      <c r="P811" s="12"/>
      <c r="Q811" s="12"/>
      <c r="R811" s="12"/>
      <c r="S811" s="12"/>
      <c r="T811" s="12"/>
      <c r="U811" s="12"/>
      <c r="W811" s="67"/>
      <c r="X811" s="12"/>
      <c r="Y811" s="12"/>
      <c r="Z811" s="12"/>
      <c r="AA811" s="12"/>
    </row>
    <row r="812" spans="1:27" ht="15.75" customHeight="1">
      <c r="A812" s="12"/>
      <c r="B812" s="12"/>
      <c r="C812" s="12"/>
      <c r="D812" s="12"/>
      <c r="E812" s="12"/>
      <c r="F812" s="12"/>
      <c r="G812" s="12"/>
      <c r="H812" s="12"/>
      <c r="I812" s="12"/>
      <c r="J812" s="12"/>
      <c r="K812" s="12"/>
      <c r="L812" s="12"/>
      <c r="M812" s="12"/>
      <c r="N812" s="12"/>
      <c r="O812" s="12"/>
      <c r="P812" s="12"/>
      <c r="Q812" s="12"/>
      <c r="R812" s="12"/>
      <c r="S812" s="12"/>
      <c r="T812" s="12"/>
      <c r="U812" s="12"/>
      <c r="W812" s="67"/>
      <c r="X812" s="12"/>
      <c r="Y812" s="12"/>
      <c r="Z812" s="12"/>
      <c r="AA812" s="12"/>
    </row>
    <row r="813" spans="1:27" ht="15.75" customHeight="1">
      <c r="A813" s="12"/>
      <c r="B813" s="12"/>
      <c r="C813" s="12"/>
      <c r="D813" s="12"/>
      <c r="E813" s="12"/>
      <c r="F813" s="12"/>
      <c r="G813" s="12"/>
      <c r="H813" s="12"/>
      <c r="I813" s="12"/>
      <c r="J813" s="12"/>
      <c r="K813" s="12"/>
      <c r="L813" s="12"/>
      <c r="M813" s="12"/>
      <c r="N813" s="12"/>
      <c r="O813" s="12"/>
      <c r="P813" s="12"/>
      <c r="Q813" s="12"/>
      <c r="R813" s="12"/>
      <c r="S813" s="12"/>
      <c r="T813" s="12"/>
      <c r="U813" s="12"/>
      <c r="W813" s="67"/>
      <c r="X813" s="12"/>
      <c r="Y813" s="12"/>
      <c r="Z813" s="12"/>
      <c r="AA813" s="12"/>
    </row>
    <row r="814" spans="1:27" ht="15.75" customHeight="1">
      <c r="A814" s="12"/>
      <c r="B814" s="12"/>
      <c r="C814" s="12"/>
      <c r="D814" s="12"/>
      <c r="E814" s="12"/>
      <c r="F814" s="12"/>
      <c r="G814" s="12"/>
      <c r="H814" s="12"/>
      <c r="I814" s="12"/>
      <c r="J814" s="12"/>
      <c r="K814" s="12"/>
      <c r="L814" s="12"/>
      <c r="M814" s="12"/>
      <c r="N814" s="12"/>
      <c r="O814" s="12"/>
      <c r="P814" s="12"/>
      <c r="Q814" s="12"/>
      <c r="R814" s="12"/>
      <c r="S814" s="12"/>
      <c r="T814" s="12"/>
      <c r="U814" s="12"/>
      <c r="W814" s="67"/>
      <c r="X814" s="12"/>
      <c r="Y814" s="12"/>
      <c r="Z814" s="12"/>
      <c r="AA814" s="12"/>
    </row>
    <row r="815" spans="1:27" ht="15.75" customHeight="1">
      <c r="A815" s="12"/>
      <c r="B815" s="12"/>
      <c r="C815" s="12"/>
      <c r="D815" s="12"/>
      <c r="E815" s="12"/>
      <c r="F815" s="12"/>
      <c r="G815" s="12"/>
      <c r="H815" s="12"/>
      <c r="I815" s="12"/>
      <c r="J815" s="12"/>
      <c r="K815" s="12"/>
      <c r="L815" s="12"/>
      <c r="M815" s="12"/>
      <c r="N815" s="12"/>
      <c r="O815" s="12"/>
      <c r="P815" s="12"/>
      <c r="Q815" s="12"/>
      <c r="R815" s="12"/>
      <c r="S815" s="12"/>
      <c r="T815" s="12"/>
      <c r="U815" s="12"/>
      <c r="W815" s="67"/>
      <c r="X815" s="12"/>
      <c r="Y815" s="12"/>
      <c r="Z815" s="12"/>
      <c r="AA815" s="12"/>
    </row>
    <row r="816" spans="1:27" ht="15.75" customHeight="1">
      <c r="A816" s="12"/>
      <c r="B816" s="12"/>
      <c r="C816" s="12"/>
      <c r="D816" s="12"/>
      <c r="E816" s="12"/>
      <c r="F816" s="12"/>
      <c r="G816" s="12"/>
      <c r="H816" s="12"/>
      <c r="I816" s="12"/>
      <c r="J816" s="12"/>
      <c r="K816" s="12"/>
      <c r="L816" s="12"/>
      <c r="M816" s="12"/>
      <c r="N816" s="12"/>
      <c r="O816" s="12"/>
      <c r="P816" s="12"/>
      <c r="Q816" s="12"/>
      <c r="R816" s="12"/>
      <c r="S816" s="12"/>
      <c r="T816" s="12"/>
      <c r="U816" s="12"/>
      <c r="W816" s="67"/>
      <c r="X816" s="12"/>
      <c r="Y816" s="12"/>
      <c r="Z816" s="12"/>
      <c r="AA816" s="12"/>
    </row>
    <row r="817" spans="1:27" ht="15.75" customHeight="1">
      <c r="A817" s="12"/>
      <c r="B817" s="12"/>
      <c r="C817" s="12"/>
      <c r="D817" s="12"/>
      <c r="E817" s="12"/>
      <c r="F817" s="12"/>
      <c r="G817" s="12"/>
      <c r="H817" s="12"/>
      <c r="I817" s="12"/>
      <c r="J817" s="12"/>
      <c r="K817" s="12"/>
      <c r="L817" s="12"/>
      <c r="M817" s="12"/>
      <c r="N817" s="12"/>
      <c r="O817" s="12"/>
      <c r="P817" s="12"/>
      <c r="Q817" s="12"/>
      <c r="R817" s="12"/>
      <c r="S817" s="12"/>
      <c r="T817" s="12"/>
      <c r="U817" s="12"/>
      <c r="W817" s="67"/>
      <c r="X817" s="12"/>
      <c r="Y817" s="12"/>
      <c r="Z817" s="12"/>
      <c r="AA817" s="12"/>
    </row>
    <row r="818" spans="1:27" ht="15.75" customHeight="1">
      <c r="A818" s="12"/>
      <c r="B818" s="12"/>
      <c r="C818" s="12"/>
      <c r="D818" s="12"/>
      <c r="E818" s="12"/>
      <c r="F818" s="12"/>
      <c r="G818" s="12"/>
      <c r="H818" s="12"/>
      <c r="I818" s="12"/>
      <c r="J818" s="12"/>
      <c r="K818" s="12"/>
      <c r="L818" s="12"/>
      <c r="M818" s="12"/>
      <c r="N818" s="12"/>
      <c r="O818" s="12"/>
      <c r="P818" s="12"/>
      <c r="Q818" s="12"/>
      <c r="R818" s="12"/>
      <c r="S818" s="12"/>
      <c r="T818" s="12"/>
      <c r="U818" s="12"/>
      <c r="W818" s="67"/>
      <c r="X818" s="12"/>
      <c r="Y818" s="12"/>
      <c r="Z818" s="12"/>
      <c r="AA818" s="12"/>
    </row>
    <row r="819" spans="1:27" ht="15.75" customHeight="1">
      <c r="A819" s="12"/>
      <c r="B819" s="12"/>
      <c r="C819" s="12"/>
      <c r="D819" s="12"/>
      <c r="E819" s="12"/>
      <c r="F819" s="12"/>
      <c r="G819" s="12"/>
      <c r="H819" s="12"/>
      <c r="I819" s="12"/>
      <c r="J819" s="12"/>
      <c r="K819" s="12"/>
      <c r="L819" s="12"/>
      <c r="M819" s="12"/>
      <c r="N819" s="12"/>
      <c r="O819" s="12"/>
      <c r="P819" s="12"/>
      <c r="Q819" s="12"/>
      <c r="R819" s="12"/>
      <c r="S819" s="12"/>
      <c r="T819" s="12"/>
      <c r="U819" s="12"/>
      <c r="W819" s="67"/>
      <c r="X819" s="12"/>
      <c r="Y819" s="12"/>
      <c r="Z819" s="12"/>
      <c r="AA819" s="12"/>
    </row>
    <row r="820" spans="1:27" ht="15.75" customHeight="1">
      <c r="A820" s="12"/>
      <c r="B820" s="12"/>
      <c r="C820" s="12"/>
      <c r="D820" s="12"/>
      <c r="E820" s="12"/>
      <c r="F820" s="12"/>
      <c r="G820" s="12"/>
      <c r="H820" s="12"/>
      <c r="I820" s="12"/>
      <c r="J820" s="12"/>
      <c r="K820" s="12"/>
      <c r="L820" s="12"/>
      <c r="M820" s="12"/>
      <c r="N820" s="12"/>
      <c r="O820" s="12"/>
      <c r="P820" s="12"/>
      <c r="Q820" s="12"/>
      <c r="R820" s="12"/>
      <c r="S820" s="12"/>
      <c r="T820" s="12"/>
      <c r="U820" s="12"/>
      <c r="W820" s="67"/>
      <c r="X820" s="12"/>
      <c r="Y820" s="12"/>
      <c r="Z820" s="12"/>
      <c r="AA820" s="12"/>
    </row>
    <row r="821" spans="1:27" ht="15.75" customHeight="1">
      <c r="A821" s="12"/>
      <c r="B821" s="12"/>
      <c r="C821" s="12"/>
      <c r="D821" s="12"/>
      <c r="E821" s="12"/>
      <c r="F821" s="12"/>
      <c r="G821" s="12"/>
      <c r="H821" s="12"/>
      <c r="I821" s="12"/>
      <c r="J821" s="12"/>
      <c r="K821" s="12"/>
      <c r="L821" s="12"/>
      <c r="M821" s="12"/>
      <c r="N821" s="12"/>
      <c r="O821" s="12"/>
      <c r="P821" s="12"/>
      <c r="Q821" s="12"/>
      <c r="R821" s="12"/>
      <c r="S821" s="12"/>
      <c r="T821" s="12"/>
      <c r="U821" s="12"/>
      <c r="W821" s="67"/>
      <c r="X821" s="12"/>
      <c r="Y821" s="12"/>
      <c r="Z821" s="12"/>
      <c r="AA821" s="12"/>
    </row>
    <row r="822" spans="1:27" ht="15.75" customHeight="1">
      <c r="A822" s="12"/>
      <c r="B822" s="12"/>
      <c r="C822" s="12"/>
      <c r="D822" s="12"/>
      <c r="E822" s="12"/>
      <c r="F822" s="12"/>
      <c r="G822" s="12"/>
      <c r="H822" s="12"/>
      <c r="I822" s="12"/>
      <c r="J822" s="12"/>
      <c r="K822" s="12"/>
      <c r="L822" s="12"/>
      <c r="M822" s="12"/>
      <c r="N822" s="12"/>
      <c r="O822" s="12"/>
      <c r="P822" s="12"/>
      <c r="Q822" s="12"/>
      <c r="R822" s="12"/>
      <c r="S822" s="12"/>
      <c r="T822" s="12"/>
      <c r="U822" s="12"/>
      <c r="W822" s="67"/>
      <c r="X822" s="12"/>
      <c r="Y822" s="12"/>
      <c r="Z822" s="12"/>
      <c r="AA822" s="12"/>
    </row>
    <row r="823" spans="1:27" ht="15.75" customHeight="1">
      <c r="A823" s="12"/>
      <c r="B823" s="12"/>
      <c r="C823" s="12"/>
      <c r="D823" s="12"/>
      <c r="E823" s="12"/>
      <c r="F823" s="12"/>
      <c r="G823" s="12"/>
      <c r="H823" s="12"/>
      <c r="I823" s="12"/>
      <c r="J823" s="12"/>
      <c r="K823" s="12"/>
      <c r="L823" s="12"/>
      <c r="M823" s="12"/>
      <c r="N823" s="12"/>
      <c r="O823" s="12"/>
      <c r="P823" s="12"/>
      <c r="Q823" s="12"/>
      <c r="R823" s="12"/>
      <c r="S823" s="12"/>
      <c r="T823" s="12"/>
      <c r="U823" s="12"/>
      <c r="W823" s="67"/>
      <c r="X823" s="12"/>
      <c r="Y823" s="12"/>
      <c r="Z823" s="12"/>
      <c r="AA823" s="12"/>
    </row>
    <row r="824" spans="1:27" ht="15.75" customHeight="1">
      <c r="A824" s="12"/>
      <c r="B824" s="12"/>
      <c r="C824" s="12"/>
      <c r="D824" s="12"/>
      <c r="E824" s="12"/>
      <c r="F824" s="12"/>
      <c r="G824" s="12"/>
      <c r="H824" s="12"/>
      <c r="I824" s="12"/>
      <c r="J824" s="12"/>
      <c r="K824" s="12"/>
      <c r="L824" s="12"/>
      <c r="M824" s="12"/>
      <c r="N824" s="12"/>
      <c r="O824" s="12"/>
      <c r="P824" s="12"/>
      <c r="Q824" s="12"/>
      <c r="R824" s="12"/>
      <c r="S824" s="12"/>
      <c r="T824" s="12"/>
      <c r="U824" s="12"/>
      <c r="W824" s="67"/>
      <c r="X824" s="12"/>
      <c r="Y824" s="12"/>
      <c r="Z824" s="12"/>
      <c r="AA824" s="12"/>
    </row>
    <row r="825" spans="1:27" ht="15.75" customHeight="1">
      <c r="A825" s="12"/>
      <c r="B825" s="12"/>
      <c r="C825" s="12"/>
      <c r="D825" s="12"/>
      <c r="E825" s="12"/>
      <c r="F825" s="12"/>
      <c r="G825" s="12"/>
      <c r="H825" s="12"/>
      <c r="I825" s="12"/>
      <c r="J825" s="12"/>
      <c r="K825" s="12"/>
      <c r="L825" s="12"/>
      <c r="M825" s="12"/>
      <c r="N825" s="12"/>
      <c r="O825" s="12"/>
      <c r="P825" s="12"/>
      <c r="Q825" s="12"/>
      <c r="R825" s="12"/>
      <c r="S825" s="12"/>
      <c r="T825" s="12"/>
      <c r="U825" s="12"/>
      <c r="W825" s="67"/>
      <c r="X825" s="12"/>
      <c r="Y825" s="12"/>
      <c r="Z825" s="12"/>
      <c r="AA825" s="12"/>
    </row>
    <row r="826" spans="1:27" ht="15.75" customHeight="1">
      <c r="A826" s="12"/>
      <c r="B826" s="12"/>
      <c r="C826" s="12"/>
      <c r="D826" s="12"/>
      <c r="E826" s="12"/>
      <c r="F826" s="12"/>
      <c r="G826" s="12"/>
      <c r="H826" s="12"/>
      <c r="I826" s="12"/>
      <c r="J826" s="12"/>
      <c r="K826" s="12"/>
      <c r="L826" s="12"/>
      <c r="M826" s="12"/>
      <c r="N826" s="12"/>
      <c r="O826" s="12"/>
      <c r="P826" s="12"/>
      <c r="Q826" s="12"/>
      <c r="R826" s="12"/>
      <c r="S826" s="12"/>
      <c r="T826" s="12"/>
      <c r="U826" s="12"/>
      <c r="W826" s="67"/>
      <c r="X826" s="12"/>
      <c r="Y826" s="12"/>
      <c r="Z826" s="12"/>
      <c r="AA826" s="12"/>
    </row>
    <row r="827" spans="1:27" ht="15.75" customHeight="1">
      <c r="A827" s="12"/>
      <c r="B827" s="12"/>
      <c r="C827" s="12"/>
      <c r="D827" s="12"/>
      <c r="E827" s="12"/>
      <c r="F827" s="12"/>
      <c r="G827" s="12"/>
      <c r="H827" s="12"/>
      <c r="I827" s="12"/>
      <c r="J827" s="12"/>
      <c r="K827" s="12"/>
      <c r="L827" s="12"/>
      <c r="M827" s="12"/>
      <c r="N827" s="12"/>
      <c r="O827" s="12"/>
      <c r="P827" s="12"/>
      <c r="Q827" s="12"/>
      <c r="R827" s="12"/>
      <c r="S827" s="12"/>
      <c r="T827" s="12"/>
      <c r="U827" s="12"/>
      <c r="W827" s="67"/>
      <c r="X827" s="12"/>
      <c r="Y827" s="12"/>
      <c r="Z827" s="12"/>
      <c r="AA827" s="12"/>
    </row>
    <row r="828" spans="1:27" ht="15.75" customHeight="1">
      <c r="A828" s="12"/>
      <c r="B828" s="12"/>
      <c r="C828" s="12"/>
      <c r="D828" s="12"/>
      <c r="E828" s="12"/>
      <c r="F828" s="12"/>
      <c r="G828" s="12"/>
      <c r="H828" s="12"/>
      <c r="I828" s="12"/>
      <c r="J828" s="12"/>
      <c r="K828" s="12"/>
      <c r="L828" s="12"/>
      <c r="M828" s="12"/>
      <c r="N828" s="12"/>
      <c r="O828" s="12"/>
      <c r="P828" s="12"/>
      <c r="Q828" s="12"/>
      <c r="R828" s="12"/>
      <c r="S828" s="12"/>
      <c r="T828" s="12"/>
      <c r="U828" s="12"/>
      <c r="W828" s="67"/>
      <c r="X828" s="12"/>
      <c r="Y828" s="12"/>
      <c r="Z828" s="12"/>
      <c r="AA828" s="12"/>
    </row>
    <row r="829" spans="1:27" ht="15.75" customHeight="1">
      <c r="A829" s="12"/>
      <c r="B829" s="12"/>
      <c r="C829" s="12"/>
      <c r="D829" s="12"/>
      <c r="E829" s="12"/>
      <c r="F829" s="12"/>
      <c r="G829" s="12"/>
      <c r="H829" s="12"/>
      <c r="I829" s="12"/>
      <c r="J829" s="12"/>
      <c r="K829" s="12"/>
      <c r="L829" s="12"/>
      <c r="M829" s="12"/>
      <c r="N829" s="12"/>
      <c r="O829" s="12"/>
      <c r="P829" s="12"/>
      <c r="Q829" s="12"/>
      <c r="R829" s="12"/>
      <c r="S829" s="12"/>
      <c r="T829" s="12"/>
      <c r="U829" s="12"/>
      <c r="W829" s="67"/>
      <c r="X829" s="12"/>
      <c r="Y829" s="12"/>
      <c r="Z829" s="12"/>
      <c r="AA829" s="12"/>
    </row>
    <row r="830" spans="1:27" ht="15.75" customHeight="1">
      <c r="A830" s="12"/>
      <c r="B830" s="12"/>
      <c r="C830" s="12"/>
      <c r="D830" s="12"/>
      <c r="E830" s="12"/>
      <c r="F830" s="12"/>
      <c r="G830" s="12"/>
      <c r="H830" s="12"/>
      <c r="I830" s="12"/>
      <c r="J830" s="12"/>
      <c r="K830" s="12"/>
      <c r="L830" s="12"/>
      <c r="M830" s="12"/>
      <c r="N830" s="12"/>
      <c r="O830" s="12"/>
      <c r="P830" s="12"/>
      <c r="Q830" s="12"/>
      <c r="R830" s="12"/>
      <c r="S830" s="12"/>
      <c r="T830" s="12"/>
      <c r="U830" s="12"/>
      <c r="W830" s="67"/>
      <c r="X830" s="12"/>
      <c r="Y830" s="12"/>
      <c r="Z830" s="12"/>
      <c r="AA830" s="12"/>
    </row>
    <row r="831" spans="1:27" ht="15.75" customHeight="1">
      <c r="A831" s="12"/>
      <c r="B831" s="12"/>
      <c r="C831" s="12"/>
      <c r="D831" s="12"/>
      <c r="E831" s="12"/>
      <c r="F831" s="12"/>
      <c r="G831" s="12"/>
      <c r="H831" s="12"/>
      <c r="I831" s="12"/>
      <c r="J831" s="12"/>
      <c r="K831" s="12"/>
      <c r="L831" s="12"/>
      <c r="M831" s="12"/>
      <c r="N831" s="12"/>
      <c r="O831" s="12"/>
      <c r="P831" s="12"/>
      <c r="Q831" s="12"/>
      <c r="R831" s="12"/>
      <c r="S831" s="12"/>
      <c r="T831" s="12"/>
      <c r="U831" s="12"/>
      <c r="W831" s="67"/>
      <c r="X831" s="12"/>
      <c r="Y831" s="12"/>
      <c r="Z831" s="12"/>
      <c r="AA831" s="12"/>
    </row>
    <row r="832" spans="1:27" ht="15.75" customHeight="1">
      <c r="A832" s="12"/>
      <c r="B832" s="12"/>
      <c r="C832" s="12"/>
      <c r="D832" s="12"/>
      <c r="E832" s="12"/>
      <c r="F832" s="12"/>
      <c r="G832" s="12"/>
      <c r="H832" s="12"/>
      <c r="I832" s="12"/>
      <c r="J832" s="12"/>
      <c r="K832" s="12"/>
      <c r="L832" s="12"/>
      <c r="M832" s="12"/>
      <c r="N832" s="12"/>
      <c r="O832" s="12"/>
      <c r="P832" s="12"/>
      <c r="Q832" s="12"/>
      <c r="R832" s="12"/>
      <c r="S832" s="12"/>
      <c r="T832" s="12"/>
      <c r="U832" s="12"/>
      <c r="W832" s="67"/>
      <c r="X832" s="12"/>
      <c r="Y832" s="12"/>
      <c r="Z832" s="12"/>
      <c r="AA832" s="12"/>
    </row>
    <row r="833" spans="1:27" ht="15.75" customHeight="1">
      <c r="A833" s="12"/>
      <c r="B833" s="12"/>
      <c r="C833" s="12"/>
      <c r="D833" s="12"/>
      <c r="E833" s="12"/>
      <c r="F833" s="12"/>
      <c r="G833" s="12"/>
      <c r="H833" s="12"/>
      <c r="I833" s="12"/>
      <c r="J833" s="12"/>
      <c r="K833" s="12"/>
      <c r="L833" s="12"/>
      <c r="M833" s="12"/>
      <c r="N833" s="12"/>
      <c r="O833" s="12"/>
      <c r="P833" s="12"/>
      <c r="Q833" s="12"/>
      <c r="R833" s="12"/>
      <c r="S833" s="12"/>
      <c r="T833" s="12"/>
      <c r="U833" s="12"/>
      <c r="W833" s="67"/>
      <c r="X833" s="12"/>
      <c r="Y833" s="12"/>
      <c r="Z833" s="12"/>
      <c r="AA833" s="12"/>
    </row>
    <row r="834" spans="1:27" ht="15.75" customHeight="1">
      <c r="A834" s="12"/>
      <c r="B834" s="12"/>
      <c r="C834" s="12"/>
      <c r="D834" s="12"/>
      <c r="E834" s="12"/>
      <c r="F834" s="12"/>
      <c r="G834" s="12"/>
      <c r="H834" s="12"/>
      <c r="I834" s="12"/>
      <c r="J834" s="12"/>
      <c r="K834" s="12"/>
      <c r="L834" s="12"/>
      <c r="M834" s="12"/>
      <c r="N834" s="12"/>
      <c r="O834" s="12"/>
      <c r="P834" s="12"/>
      <c r="Q834" s="12"/>
      <c r="R834" s="12"/>
      <c r="S834" s="12"/>
      <c r="T834" s="12"/>
      <c r="U834" s="12"/>
      <c r="W834" s="67"/>
      <c r="X834" s="12"/>
      <c r="Y834" s="12"/>
      <c r="Z834" s="12"/>
      <c r="AA834" s="12"/>
    </row>
    <row r="835" spans="1:27" ht="15.75" customHeight="1">
      <c r="A835" s="12"/>
      <c r="B835" s="12"/>
      <c r="C835" s="12"/>
      <c r="D835" s="12"/>
      <c r="E835" s="12"/>
      <c r="F835" s="12"/>
      <c r="G835" s="12"/>
      <c r="H835" s="12"/>
      <c r="I835" s="12"/>
      <c r="J835" s="12"/>
      <c r="K835" s="12"/>
      <c r="L835" s="12"/>
      <c r="M835" s="12"/>
      <c r="N835" s="12"/>
      <c r="O835" s="12"/>
      <c r="P835" s="12"/>
      <c r="Q835" s="12"/>
      <c r="R835" s="12"/>
      <c r="S835" s="12"/>
      <c r="T835" s="12"/>
      <c r="U835" s="12"/>
      <c r="W835" s="67"/>
      <c r="X835" s="12"/>
      <c r="Y835" s="12"/>
      <c r="Z835" s="12"/>
      <c r="AA835" s="12"/>
    </row>
    <row r="836" spans="1:27" ht="15.75" customHeight="1">
      <c r="A836" s="12"/>
      <c r="B836" s="12"/>
      <c r="C836" s="12"/>
      <c r="D836" s="12"/>
      <c r="E836" s="12"/>
      <c r="F836" s="12"/>
      <c r="G836" s="12"/>
      <c r="H836" s="12"/>
      <c r="I836" s="12"/>
      <c r="J836" s="12"/>
      <c r="K836" s="12"/>
      <c r="L836" s="12"/>
      <c r="M836" s="12"/>
      <c r="N836" s="12"/>
      <c r="O836" s="12"/>
      <c r="P836" s="12"/>
      <c r="Q836" s="12"/>
      <c r="R836" s="12"/>
      <c r="S836" s="12"/>
      <c r="T836" s="12"/>
      <c r="U836" s="12"/>
      <c r="W836" s="67"/>
      <c r="X836" s="12"/>
      <c r="Y836" s="12"/>
      <c r="Z836" s="12"/>
      <c r="AA836" s="12"/>
    </row>
    <row r="837" spans="1:27" ht="15.75" customHeight="1">
      <c r="A837" s="12"/>
      <c r="B837" s="12"/>
      <c r="C837" s="12"/>
      <c r="D837" s="12"/>
      <c r="E837" s="12"/>
      <c r="F837" s="12"/>
      <c r="G837" s="12"/>
      <c r="H837" s="12"/>
      <c r="I837" s="12"/>
      <c r="J837" s="12"/>
      <c r="K837" s="12"/>
      <c r="L837" s="12"/>
      <c r="M837" s="12"/>
      <c r="N837" s="12"/>
      <c r="O837" s="12"/>
      <c r="P837" s="12"/>
      <c r="Q837" s="12"/>
      <c r="R837" s="12"/>
      <c r="S837" s="12"/>
      <c r="T837" s="12"/>
      <c r="U837" s="12"/>
      <c r="W837" s="67"/>
      <c r="X837" s="12"/>
      <c r="Y837" s="12"/>
      <c r="Z837" s="12"/>
      <c r="AA837" s="12"/>
    </row>
    <row r="838" spans="1:27" ht="15.75" customHeight="1">
      <c r="A838" s="12"/>
      <c r="B838" s="12"/>
      <c r="C838" s="12"/>
      <c r="D838" s="12"/>
      <c r="E838" s="12"/>
      <c r="F838" s="12"/>
      <c r="G838" s="12"/>
      <c r="H838" s="12"/>
      <c r="I838" s="12"/>
      <c r="J838" s="12"/>
      <c r="K838" s="12"/>
      <c r="L838" s="12"/>
      <c r="M838" s="12"/>
      <c r="N838" s="12"/>
      <c r="O838" s="12"/>
      <c r="P838" s="12"/>
      <c r="Q838" s="12"/>
      <c r="R838" s="12"/>
      <c r="S838" s="12"/>
      <c r="T838" s="12"/>
      <c r="U838" s="12"/>
      <c r="W838" s="67"/>
      <c r="X838" s="12"/>
      <c r="Y838" s="12"/>
      <c r="Z838" s="12"/>
      <c r="AA838" s="12"/>
    </row>
    <row r="839" spans="1:27" ht="15.75" customHeight="1">
      <c r="A839" s="12"/>
      <c r="B839" s="12"/>
      <c r="C839" s="12"/>
      <c r="D839" s="12"/>
      <c r="E839" s="12"/>
      <c r="F839" s="12"/>
      <c r="G839" s="12"/>
      <c r="H839" s="12"/>
      <c r="I839" s="12"/>
      <c r="J839" s="12"/>
      <c r="K839" s="12"/>
      <c r="L839" s="12"/>
      <c r="M839" s="12"/>
      <c r="N839" s="12"/>
      <c r="O839" s="12"/>
      <c r="P839" s="12"/>
      <c r="Q839" s="12"/>
      <c r="R839" s="12"/>
      <c r="S839" s="12"/>
      <c r="T839" s="12"/>
      <c r="U839" s="12"/>
      <c r="W839" s="67"/>
      <c r="X839" s="12"/>
      <c r="Y839" s="12"/>
      <c r="Z839" s="12"/>
      <c r="AA839" s="12"/>
    </row>
    <row r="840" spans="1:27" ht="15.75" customHeight="1">
      <c r="A840" s="12"/>
      <c r="B840" s="12"/>
      <c r="C840" s="12"/>
      <c r="D840" s="12"/>
      <c r="E840" s="12"/>
      <c r="F840" s="12"/>
      <c r="G840" s="12"/>
      <c r="H840" s="12"/>
      <c r="I840" s="12"/>
      <c r="J840" s="12"/>
      <c r="K840" s="12"/>
      <c r="L840" s="12"/>
      <c r="M840" s="12"/>
      <c r="N840" s="12"/>
      <c r="O840" s="12"/>
      <c r="P840" s="12"/>
      <c r="Q840" s="12"/>
      <c r="R840" s="12"/>
      <c r="S840" s="12"/>
      <c r="T840" s="12"/>
      <c r="U840" s="12"/>
      <c r="W840" s="67"/>
      <c r="X840" s="12"/>
      <c r="Y840" s="12"/>
      <c r="Z840" s="12"/>
      <c r="AA840" s="12"/>
    </row>
    <row r="841" spans="1:27" ht="15.75" customHeight="1">
      <c r="A841" s="12"/>
      <c r="B841" s="12"/>
      <c r="C841" s="12"/>
      <c r="D841" s="12"/>
      <c r="E841" s="12"/>
      <c r="F841" s="12"/>
      <c r="G841" s="12"/>
      <c r="H841" s="12"/>
      <c r="I841" s="12"/>
      <c r="J841" s="12"/>
      <c r="K841" s="12"/>
      <c r="L841" s="12"/>
      <c r="M841" s="12"/>
      <c r="N841" s="12"/>
      <c r="O841" s="12"/>
      <c r="P841" s="12"/>
      <c r="Q841" s="12"/>
      <c r="R841" s="12"/>
      <c r="S841" s="12"/>
      <c r="T841" s="12"/>
      <c r="U841" s="12"/>
      <c r="W841" s="67"/>
      <c r="X841" s="12"/>
      <c r="Y841" s="12"/>
      <c r="Z841" s="12"/>
      <c r="AA841" s="12"/>
    </row>
    <row r="842" spans="1:27" ht="15.75" customHeight="1">
      <c r="A842" s="12"/>
      <c r="B842" s="12"/>
      <c r="C842" s="12"/>
      <c r="D842" s="12"/>
      <c r="E842" s="12"/>
      <c r="F842" s="12"/>
      <c r="G842" s="12"/>
      <c r="H842" s="12"/>
      <c r="I842" s="12"/>
      <c r="J842" s="12"/>
      <c r="K842" s="12"/>
      <c r="L842" s="12"/>
      <c r="M842" s="12"/>
      <c r="N842" s="12"/>
      <c r="O842" s="12"/>
      <c r="P842" s="12"/>
      <c r="Q842" s="12"/>
      <c r="R842" s="12"/>
      <c r="S842" s="12"/>
      <c r="T842" s="12"/>
      <c r="U842" s="12"/>
      <c r="W842" s="67"/>
      <c r="X842" s="12"/>
      <c r="Y842" s="12"/>
      <c r="Z842" s="12"/>
      <c r="AA842" s="12"/>
    </row>
    <row r="843" spans="1:27" ht="15.75" customHeight="1">
      <c r="A843" s="12"/>
      <c r="B843" s="12"/>
      <c r="C843" s="12"/>
      <c r="D843" s="12"/>
      <c r="E843" s="12"/>
      <c r="F843" s="12"/>
      <c r="G843" s="12"/>
      <c r="H843" s="12"/>
      <c r="I843" s="12"/>
      <c r="J843" s="12"/>
      <c r="K843" s="12"/>
      <c r="L843" s="12"/>
      <c r="M843" s="12"/>
      <c r="N843" s="12"/>
      <c r="O843" s="12"/>
      <c r="P843" s="12"/>
      <c r="Q843" s="12"/>
      <c r="R843" s="12"/>
      <c r="S843" s="12"/>
      <c r="T843" s="12"/>
      <c r="U843" s="12"/>
      <c r="W843" s="67"/>
      <c r="X843" s="12"/>
      <c r="Y843" s="12"/>
      <c r="Z843" s="12"/>
      <c r="AA843" s="12"/>
    </row>
    <row r="844" spans="1:27" ht="15.75" customHeight="1">
      <c r="A844" s="12"/>
      <c r="B844" s="12"/>
      <c r="C844" s="12"/>
      <c r="D844" s="12"/>
      <c r="E844" s="12"/>
      <c r="F844" s="12"/>
      <c r="G844" s="12"/>
      <c r="H844" s="12"/>
      <c r="I844" s="12"/>
      <c r="J844" s="12"/>
      <c r="K844" s="12"/>
      <c r="L844" s="12"/>
      <c r="M844" s="12"/>
      <c r="N844" s="12"/>
      <c r="O844" s="12"/>
      <c r="P844" s="12"/>
      <c r="Q844" s="12"/>
      <c r="R844" s="12"/>
      <c r="S844" s="12"/>
      <c r="T844" s="12"/>
      <c r="U844" s="12"/>
      <c r="W844" s="67"/>
      <c r="X844" s="12"/>
      <c r="Y844" s="12"/>
      <c r="Z844" s="12"/>
      <c r="AA844" s="12"/>
    </row>
    <row r="845" spans="1:27" ht="15.75" customHeight="1">
      <c r="A845" s="12"/>
      <c r="B845" s="12"/>
      <c r="C845" s="12"/>
      <c r="D845" s="12"/>
      <c r="E845" s="12"/>
      <c r="F845" s="12"/>
      <c r="G845" s="12"/>
      <c r="H845" s="12"/>
      <c r="I845" s="12"/>
      <c r="J845" s="12"/>
      <c r="K845" s="12"/>
      <c r="L845" s="12"/>
      <c r="M845" s="12"/>
      <c r="N845" s="12"/>
      <c r="O845" s="12"/>
      <c r="P845" s="12"/>
      <c r="Q845" s="12"/>
      <c r="R845" s="12"/>
      <c r="S845" s="12"/>
      <c r="T845" s="12"/>
      <c r="U845" s="12"/>
      <c r="W845" s="67"/>
      <c r="X845" s="12"/>
      <c r="Y845" s="12"/>
      <c r="Z845" s="12"/>
      <c r="AA845" s="12"/>
    </row>
    <row r="846" spans="1:27" ht="15.75" customHeight="1">
      <c r="A846" s="12"/>
      <c r="B846" s="12"/>
      <c r="C846" s="12"/>
      <c r="D846" s="12"/>
      <c r="E846" s="12"/>
      <c r="F846" s="12"/>
      <c r="G846" s="12"/>
      <c r="H846" s="12"/>
      <c r="I846" s="12"/>
      <c r="J846" s="12"/>
      <c r="K846" s="12"/>
      <c r="L846" s="12"/>
      <c r="M846" s="12"/>
      <c r="N846" s="12"/>
      <c r="O846" s="12"/>
      <c r="P846" s="12"/>
      <c r="Q846" s="12"/>
      <c r="R846" s="12"/>
      <c r="S846" s="12"/>
      <c r="T846" s="12"/>
      <c r="U846" s="12"/>
      <c r="W846" s="67"/>
      <c r="X846" s="12"/>
      <c r="Y846" s="12"/>
      <c r="Z846" s="12"/>
      <c r="AA846" s="12"/>
    </row>
    <row r="847" spans="1:27" ht="15.75" customHeight="1">
      <c r="A847" s="12"/>
      <c r="B847" s="12"/>
      <c r="C847" s="12"/>
      <c r="D847" s="12"/>
      <c r="E847" s="12"/>
      <c r="F847" s="12"/>
      <c r="G847" s="12"/>
      <c r="H847" s="12"/>
      <c r="I847" s="12"/>
      <c r="J847" s="12"/>
      <c r="K847" s="12"/>
      <c r="L847" s="12"/>
      <c r="M847" s="12"/>
      <c r="N847" s="12"/>
      <c r="O847" s="12"/>
      <c r="P847" s="12"/>
      <c r="Q847" s="12"/>
      <c r="R847" s="12"/>
      <c r="S847" s="12"/>
      <c r="T847" s="12"/>
      <c r="U847" s="12"/>
      <c r="W847" s="67"/>
      <c r="X847" s="12"/>
      <c r="Y847" s="12"/>
      <c r="Z847" s="12"/>
      <c r="AA847" s="12"/>
    </row>
    <row r="848" spans="1:27" ht="15.75" customHeight="1">
      <c r="A848" s="12"/>
      <c r="B848" s="12"/>
      <c r="C848" s="12"/>
      <c r="D848" s="12"/>
      <c r="E848" s="12"/>
      <c r="F848" s="12"/>
      <c r="G848" s="12"/>
      <c r="H848" s="12"/>
      <c r="I848" s="12"/>
      <c r="J848" s="12"/>
      <c r="K848" s="12"/>
      <c r="L848" s="12"/>
      <c r="M848" s="12"/>
      <c r="N848" s="12"/>
      <c r="O848" s="12"/>
      <c r="P848" s="12"/>
      <c r="Q848" s="12"/>
      <c r="R848" s="12"/>
      <c r="S848" s="12"/>
      <c r="T848" s="12"/>
      <c r="U848" s="12"/>
      <c r="W848" s="67"/>
      <c r="X848" s="12"/>
      <c r="Y848" s="12"/>
      <c r="Z848" s="12"/>
      <c r="AA848" s="12"/>
    </row>
    <row r="849" spans="1:27" ht="15.75" customHeight="1">
      <c r="A849" s="12"/>
      <c r="B849" s="12"/>
      <c r="C849" s="12"/>
      <c r="D849" s="12"/>
      <c r="E849" s="12"/>
      <c r="F849" s="12"/>
      <c r="G849" s="12"/>
      <c r="H849" s="12"/>
      <c r="I849" s="12"/>
      <c r="J849" s="12"/>
      <c r="K849" s="12"/>
      <c r="L849" s="12"/>
      <c r="M849" s="12"/>
      <c r="N849" s="12"/>
      <c r="O849" s="12"/>
      <c r="P849" s="12"/>
      <c r="Q849" s="12"/>
      <c r="R849" s="12"/>
      <c r="S849" s="12"/>
      <c r="T849" s="12"/>
      <c r="U849" s="12"/>
      <c r="W849" s="67"/>
      <c r="X849" s="12"/>
      <c r="Y849" s="12"/>
      <c r="Z849" s="12"/>
      <c r="AA849" s="12"/>
    </row>
    <row r="850" spans="1:27" ht="15.75" customHeight="1">
      <c r="A850" s="12"/>
      <c r="B850" s="12"/>
      <c r="C850" s="12"/>
      <c r="D850" s="12"/>
      <c r="E850" s="12"/>
      <c r="F850" s="12"/>
      <c r="G850" s="12"/>
      <c r="H850" s="12"/>
      <c r="I850" s="12"/>
      <c r="J850" s="12"/>
      <c r="K850" s="12"/>
      <c r="L850" s="12"/>
      <c r="M850" s="12"/>
      <c r="N850" s="12"/>
      <c r="O850" s="12"/>
      <c r="P850" s="12"/>
      <c r="Q850" s="12"/>
      <c r="R850" s="12"/>
      <c r="S850" s="12"/>
      <c r="T850" s="12"/>
      <c r="U850" s="12"/>
      <c r="W850" s="67"/>
      <c r="X850" s="12"/>
      <c r="Y850" s="12"/>
      <c r="Z850" s="12"/>
      <c r="AA850" s="12"/>
    </row>
    <row r="851" spans="1:27" ht="15.75" customHeight="1">
      <c r="A851" s="12"/>
      <c r="B851" s="12"/>
      <c r="C851" s="12"/>
      <c r="D851" s="12"/>
      <c r="E851" s="12"/>
      <c r="F851" s="12"/>
      <c r="G851" s="12"/>
      <c r="H851" s="12"/>
      <c r="I851" s="12"/>
      <c r="J851" s="12"/>
      <c r="K851" s="12"/>
      <c r="L851" s="12"/>
      <c r="M851" s="12"/>
      <c r="N851" s="12"/>
      <c r="O851" s="12"/>
      <c r="P851" s="12"/>
      <c r="Q851" s="12"/>
      <c r="R851" s="12"/>
      <c r="S851" s="12"/>
      <c r="T851" s="12"/>
      <c r="U851" s="12"/>
      <c r="W851" s="67"/>
      <c r="X851" s="12"/>
      <c r="Y851" s="12"/>
      <c r="Z851" s="12"/>
      <c r="AA851" s="12"/>
    </row>
    <row r="852" spans="1:27" ht="15.75" customHeight="1">
      <c r="A852" s="12"/>
      <c r="B852" s="12"/>
      <c r="C852" s="12"/>
      <c r="D852" s="12"/>
      <c r="E852" s="12"/>
      <c r="F852" s="12"/>
      <c r="G852" s="12"/>
      <c r="H852" s="12"/>
      <c r="I852" s="12"/>
      <c r="J852" s="12"/>
      <c r="K852" s="12"/>
      <c r="L852" s="12"/>
      <c r="M852" s="12"/>
      <c r="N852" s="12"/>
      <c r="O852" s="12"/>
      <c r="P852" s="12"/>
      <c r="Q852" s="12"/>
      <c r="R852" s="12"/>
      <c r="S852" s="12"/>
      <c r="T852" s="12"/>
      <c r="U852" s="12"/>
      <c r="W852" s="67"/>
      <c r="X852" s="12"/>
      <c r="Y852" s="12"/>
      <c r="Z852" s="12"/>
      <c r="AA852" s="12"/>
    </row>
    <row r="853" spans="1:27" ht="15.75" customHeight="1">
      <c r="A853" s="12"/>
      <c r="B853" s="12"/>
      <c r="C853" s="12"/>
      <c r="D853" s="12"/>
      <c r="E853" s="12"/>
      <c r="F853" s="12"/>
      <c r="G853" s="12"/>
      <c r="H853" s="12"/>
      <c r="I853" s="12"/>
      <c r="J853" s="12"/>
      <c r="K853" s="12"/>
      <c r="L853" s="12"/>
      <c r="M853" s="12"/>
      <c r="N853" s="12"/>
      <c r="O853" s="12"/>
      <c r="P853" s="12"/>
      <c r="Q853" s="12"/>
      <c r="R853" s="12"/>
      <c r="S853" s="12"/>
      <c r="T853" s="12"/>
      <c r="U853" s="12"/>
      <c r="W853" s="67"/>
      <c r="X853" s="12"/>
      <c r="Y853" s="12"/>
      <c r="Z853" s="12"/>
      <c r="AA853" s="12"/>
    </row>
    <row r="854" spans="1:27" ht="15.75" customHeight="1">
      <c r="A854" s="12"/>
      <c r="B854" s="12"/>
      <c r="C854" s="12"/>
      <c r="D854" s="12"/>
      <c r="E854" s="12"/>
      <c r="F854" s="12"/>
      <c r="G854" s="12"/>
      <c r="H854" s="12"/>
      <c r="I854" s="12"/>
      <c r="J854" s="12"/>
      <c r="K854" s="12"/>
      <c r="L854" s="12"/>
      <c r="M854" s="12"/>
      <c r="N854" s="12"/>
      <c r="O854" s="12"/>
      <c r="P854" s="12"/>
      <c r="Q854" s="12"/>
      <c r="R854" s="12"/>
      <c r="S854" s="12"/>
      <c r="T854" s="12"/>
      <c r="U854" s="12"/>
      <c r="W854" s="67"/>
      <c r="X854" s="12"/>
      <c r="Y854" s="12"/>
      <c r="Z854" s="12"/>
      <c r="AA854" s="12"/>
    </row>
    <row r="855" spans="1:27" ht="15.75" customHeight="1">
      <c r="A855" s="12"/>
      <c r="B855" s="12"/>
      <c r="C855" s="12"/>
      <c r="D855" s="12"/>
      <c r="E855" s="12"/>
      <c r="F855" s="12"/>
      <c r="G855" s="12"/>
      <c r="H855" s="12"/>
      <c r="I855" s="12"/>
      <c r="J855" s="12"/>
      <c r="K855" s="12"/>
      <c r="L855" s="12"/>
      <c r="M855" s="12"/>
      <c r="N855" s="12"/>
      <c r="O855" s="12"/>
      <c r="P855" s="12"/>
      <c r="Q855" s="12"/>
      <c r="R855" s="12"/>
      <c r="S855" s="12"/>
      <c r="T855" s="12"/>
      <c r="U855" s="12"/>
      <c r="W855" s="67"/>
      <c r="X855" s="12"/>
      <c r="Y855" s="12"/>
      <c r="Z855" s="12"/>
      <c r="AA855" s="12"/>
    </row>
    <row r="856" spans="1:27" ht="15.75" customHeight="1">
      <c r="A856" s="12"/>
      <c r="B856" s="12"/>
      <c r="C856" s="12"/>
      <c r="D856" s="12"/>
      <c r="E856" s="12"/>
      <c r="F856" s="12"/>
      <c r="G856" s="12"/>
      <c r="H856" s="12"/>
      <c r="I856" s="12"/>
      <c r="J856" s="12"/>
      <c r="K856" s="12"/>
      <c r="L856" s="12"/>
      <c r="M856" s="12"/>
      <c r="N856" s="12"/>
      <c r="O856" s="12"/>
      <c r="P856" s="12"/>
      <c r="Q856" s="12"/>
      <c r="R856" s="12"/>
      <c r="S856" s="12"/>
      <c r="T856" s="12"/>
      <c r="U856" s="12"/>
      <c r="W856" s="67"/>
      <c r="X856" s="12"/>
      <c r="Y856" s="12"/>
      <c r="Z856" s="12"/>
      <c r="AA856" s="12"/>
    </row>
    <row r="857" spans="1:27" ht="15.75" customHeight="1">
      <c r="A857" s="12"/>
      <c r="B857" s="12"/>
      <c r="C857" s="12"/>
      <c r="D857" s="12"/>
      <c r="E857" s="12"/>
      <c r="F857" s="12"/>
      <c r="G857" s="12"/>
      <c r="H857" s="12"/>
      <c r="I857" s="12"/>
      <c r="J857" s="12"/>
      <c r="K857" s="12"/>
      <c r="L857" s="12"/>
      <c r="M857" s="12"/>
      <c r="N857" s="12"/>
      <c r="O857" s="12"/>
      <c r="P857" s="12"/>
      <c r="Q857" s="12"/>
      <c r="R857" s="12"/>
      <c r="S857" s="12"/>
      <c r="T857" s="12"/>
      <c r="U857" s="12"/>
      <c r="W857" s="67"/>
      <c r="X857" s="12"/>
      <c r="Y857" s="12"/>
      <c r="Z857" s="12"/>
      <c r="AA857" s="12"/>
    </row>
    <row r="858" spans="1:27" ht="15.75" customHeight="1">
      <c r="A858" s="12"/>
      <c r="B858" s="12"/>
      <c r="C858" s="12"/>
      <c r="D858" s="12"/>
      <c r="E858" s="12"/>
      <c r="F858" s="12"/>
      <c r="G858" s="12"/>
      <c r="H858" s="12"/>
      <c r="I858" s="12"/>
      <c r="J858" s="12"/>
      <c r="K858" s="12"/>
      <c r="L858" s="12"/>
      <c r="M858" s="12"/>
      <c r="N858" s="12"/>
      <c r="O858" s="12"/>
      <c r="P858" s="12"/>
      <c r="Q858" s="12"/>
      <c r="R858" s="12"/>
      <c r="S858" s="12"/>
      <c r="T858" s="12"/>
      <c r="U858" s="12"/>
      <c r="W858" s="67"/>
      <c r="X858" s="12"/>
      <c r="Y858" s="12"/>
      <c r="Z858" s="12"/>
      <c r="AA858" s="12"/>
    </row>
    <row r="859" spans="1:27" ht="15.75" customHeight="1">
      <c r="A859" s="12"/>
      <c r="B859" s="12"/>
      <c r="C859" s="12"/>
      <c r="D859" s="12"/>
      <c r="E859" s="12"/>
      <c r="F859" s="12"/>
      <c r="G859" s="12"/>
      <c r="H859" s="12"/>
      <c r="I859" s="12"/>
      <c r="J859" s="12"/>
      <c r="K859" s="12"/>
      <c r="L859" s="12"/>
      <c r="M859" s="12"/>
      <c r="N859" s="12"/>
      <c r="O859" s="12"/>
      <c r="P859" s="12"/>
      <c r="Q859" s="12"/>
      <c r="R859" s="12"/>
      <c r="S859" s="12"/>
      <c r="T859" s="12"/>
      <c r="U859" s="12"/>
      <c r="W859" s="67"/>
      <c r="X859" s="12"/>
      <c r="Y859" s="12"/>
      <c r="Z859" s="12"/>
      <c r="AA859" s="12"/>
    </row>
    <row r="860" spans="1:27" ht="15.75" customHeight="1">
      <c r="A860" s="12"/>
      <c r="B860" s="12"/>
      <c r="C860" s="12"/>
      <c r="D860" s="12"/>
      <c r="E860" s="12"/>
      <c r="F860" s="12"/>
      <c r="G860" s="12"/>
      <c r="H860" s="12"/>
      <c r="I860" s="12"/>
      <c r="J860" s="12"/>
      <c r="K860" s="12"/>
      <c r="L860" s="12"/>
      <c r="M860" s="12"/>
      <c r="N860" s="12"/>
      <c r="O860" s="12"/>
      <c r="P860" s="12"/>
      <c r="Q860" s="12"/>
      <c r="R860" s="12"/>
      <c r="S860" s="12"/>
      <c r="T860" s="12"/>
      <c r="U860" s="12"/>
      <c r="W860" s="67"/>
      <c r="X860" s="12"/>
      <c r="Y860" s="12"/>
      <c r="Z860" s="12"/>
      <c r="AA860" s="12"/>
    </row>
    <row r="861" spans="1:27" ht="15.75" customHeight="1">
      <c r="A861" s="12"/>
      <c r="B861" s="12"/>
      <c r="C861" s="12"/>
      <c r="D861" s="12"/>
      <c r="E861" s="12"/>
      <c r="F861" s="12"/>
      <c r="G861" s="12"/>
      <c r="H861" s="12"/>
      <c r="I861" s="12"/>
      <c r="J861" s="12"/>
      <c r="K861" s="12"/>
      <c r="L861" s="12"/>
      <c r="M861" s="12"/>
      <c r="N861" s="12"/>
      <c r="O861" s="12"/>
      <c r="P861" s="12"/>
      <c r="Q861" s="12"/>
      <c r="R861" s="12"/>
      <c r="S861" s="12"/>
      <c r="T861" s="12"/>
      <c r="U861" s="12"/>
      <c r="W861" s="67"/>
      <c r="X861" s="12"/>
      <c r="Y861" s="12"/>
      <c r="Z861" s="12"/>
      <c r="AA861" s="12"/>
    </row>
    <row r="862" spans="1:27" ht="15.75" customHeight="1">
      <c r="A862" s="12"/>
      <c r="B862" s="12"/>
      <c r="C862" s="12"/>
      <c r="D862" s="12"/>
      <c r="E862" s="12"/>
      <c r="F862" s="12"/>
      <c r="G862" s="12"/>
      <c r="H862" s="12"/>
      <c r="I862" s="12"/>
      <c r="J862" s="12"/>
      <c r="K862" s="12"/>
      <c r="L862" s="12"/>
      <c r="M862" s="12"/>
      <c r="N862" s="12"/>
      <c r="O862" s="12"/>
      <c r="P862" s="12"/>
      <c r="Q862" s="12"/>
      <c r="R862" s="12"/>
      <c r="S862" s="12"/>
      <c r="T862" s="12"/>
      <c r="U862" s="12"/>
      <c r="W862" s="67"/>
      <c r="X862" s="12"/>
      <c r="Y862" s="12"/>
      <c r="Z862" s="12"/>
      <c r="AA862" s="12"/>
    </row>
    <row r="863" spans="1:27" ht="15.75" customHeight="1">
      <c r="A863" s="12"/>
      <c r="B863" s="12"/>
      <c r="C863" s="12"/>
      <c r="D863" s="12"/>
      <c r="E863" s="12"/>
      <c r="F863" s="12"/>
      <c r="G863" s="12"/>
      <c r="H863" s="12"/>
      <c r="I863" s="12"/>
      <c r="J863" s="12"/>
      <c r="K863" s="12"/>
      <c r="L863" s="12"/>
      <c r="M863" s="12"/>
      <c r="N863" s="12"/>
      <c r="O863" s="12"/>
      <c r="P863" s="12"/>
      <c r="Q863" s="12"/>
      <c r="R863" s="12"/>
      <c r="S863" s="12"/>
      <c r="T863" s="12"/>
      <c r="U863" s="12"/>
      <c r="W863" s="67"/>
      <c r="X863" s="12"/>
      <c r="Y863" s="12"/>
      <c r="Z863" s="12"/>
      <c r="AA863" s="12"/>
    </row>
    <row r="864" spans="1:27" ht="15.75" customHeight="1">
      <c r="A864" s="12"/>
      <c r="B864" s="12"/>
      <c r="C864" s="12"/>
      <c r="D864" s="12"/>
      <c r="E864" s="12"/>
      <c r="F864" s="12"/>
      <c r="G864" s="12"/>
      <c r="H864" s="12"/>
      <c r="I864" s="12"/>
      <c r="J864" s="12"/>
      <c r="K864" s="12"/>
      <c r="L864" s="12"/>
      <c r="M864" s="12"/>
      <c r="N864" s="12"/>
      <c r="O864" s="12"/>
      <c r="P864" s="12"/>
      <c r="Q864" s="12"/>
      <c r="R864" s="12"/>
      <c r="S864" s="12"/>
      <c r="T864" s="12"/>
      <c r="U864" s="12"/>
      <c r="W864" s="67"/>
      <c r="X864" s="12"/>
      <c r="Y864" s="12"/>
      <c r="Z864" s="12"/>
      <c r="AA864" s="12"/>
    </row>
    <row r="865" spans="1:27" ht="15.75" customHeight="1">
      <c r="A865" s="12"/>
      <c r="B865" s="12"/>
      <c r="C865" s="12"/>
      <c r="D865" s="12"/>
      <c r="E865" s="12"/>
      <c r="F865" s="12"/>
      <c r="G865" s="12"/>
      <c r="H865" s="12"/>
      <c r="I865" s="12"/>
      <c r="J865" s="12"/>
      <c r="K865" s="12"/>
      <c r="L865" s="12"/>
      <c r="M865" s="12"/>
      <c r="N865" s="12"/>
      <c r="O865" s="12"/>
      <c r="P865" s="12"/>
      <c r="Q865" s="12"/>
      <c r="R865" s="12"/>
      <c r="S865" s="12"/>
      <c r="T865" s="12"/>
      <c r="U865" s="12"/>
      <c r="W865" s="67"/>
      <c r="X865" s="12"/>
      <c r="Y865" s="12"/>
      <c r="Z865" s="12"/>
      <c r="AA865" s="12"/>
    </row>
    <row r="866" spans="1:27" ht="15.75" customHeight="1">
      <c r="A866" s="12"/>
      <c r="B866" s="12"/>
      <c r="C866" s="12"/>
      <c r="D866" s="12"/>
      <c r="E866" s="12"/>
      <c r="F866" s="12"/>
      <c r="G866" s="12"/>
      <c r="H866" s="12"/>
      <c r="I866" s="12"/>
      <c r="J866" s="12"/>
      <c r="K866" s="12"/>
      <c r="L866" s="12"/>
      <c r="M866" s="12"/>
      <c r="N866" s="12"/>
      <c r="O866" s="12"/>
      <c r="P866" s="12"/>
      <c r="Q866" s="12"/>
      <c r="R866" s="12"/>
      <c r="S866" s="12"/>
      <c r="T866" s="12"/>
      <c r="U866" s="12"/>
      <c r="W866" s="67"/>
      <c r="X866" s="12"/>
      <c r="Y866" s="12"/>
      <c r="Z866" s="12"/>
      <c r="AA866" s="12"/>
    </row>
    <row r="867" spans="1:27" ht="15.75" customHeight="1">
      <c r="A867" s="12"/>
      <c r="B867" s="12"/>
      <c r="C867" s="12"/>
      <c r="D867" s="12"/>
      <c r="E867" s="12"/>
      <c r="F867" s="12"/>
      <c r="G867" s="12"/>
      <c r="H867" s="12"/>
      <c r="I867" s="12"/>
      <c r="J867" s="12"/>
      <c r="K867" s="12"/>
      <c r="L867" s="12"/>
      <c r="M867" s="12"/>
      <c r="N867" s="12"/>
      <c r="O867" s="12"/>
      <c r="P867" s="12"/>
      <c r="Q867" s="12"/>
      <c r="R867" s="12"/>
      <c r="S867" s="12"/>
      <c r="T867" s="12"/>
      <c r="U867" s="12"/>
      <c r="W867" s="67"/>
      <c r="X867" s="12"/>
      <c r="Y867" s="12"/>
      <c r="Z867" s="12"/>
      <c r="AA867" s="12"/>
    </row>
    <row r="868" spans="1:27" ht="15.75" customHeight="1">
      <c r="A868" s="12"/>
      <c r="B868" s="12"/>
      <c r="C868" s="12"/>
      <c r="D868" s="12"/>
      <c r="E868" s="12"/>
      <c r="F868" s="12"/>
      <c r="G868" s="12"/>
      <c r="H868" s="12"/>
      <c r="I868" s="12"/>
      <c r="J868" s="12"/>
      <c r="K868" s="12"/>
      <c r="L868" s="12"/>
      <c r="M868" s="12"/>
      <c r="N868" s="12"/>
      <c r="O868" s="12"/>
      <c r="P868" s="12"/>
      <c r="Q868" s="12"/>
      <c r="R868" s="12"/>
      <c r="S868" s="12"/>
      <c r="T868" s="12"/>
      <c r="U868" s="12"/>
      <c r="W868" s="67"/>
      <c r="X868" s="12"/>
      <c r="Y868" s="12"/>
      <c r="Z868" s="12"/>
      <c r="AA868" s="12"/>
    </row>
    <row r="869" spans="1:27" ht="15.75" customHeight="1">
      <c r="A869" s="12"/>
      <c r="B869" s="12"/>
      <c r="C869" s="12"/>
      <c r="D869" s="12"/>
      <c r="E869" s="12"/>
      <c r="F869" s="12"/>
      <c r="G869" s="12"/>
      <c r="H869" s="12"/>
      <c r="I869" s="12"/>
      <c r="J869" s="12"/>
      <c r="K869" s="12"/>
      <c r="L869" s="12"/>
      <c r="M869" s="12"/>
      <c r="N869" s="12"/>
      <c r="O869" s="12"/>
      <c r="P869" s="12"/>
      <c r="Q869" s="12"/>
      <c r="R869" s="12"/>
      <c r="S869" s="12"/>
      <c r="T869" s="12"/>
      <c r="U869" s="12"/>
      <c r="W869" s="67"/>
      <c r="X869" s="12"/>
      <c r="Y869" s="12"/>
      <c r="Z869" s="12"/>
      <c r="AA869" s="12"/>
    </row>
    <row r="870" spans="1:27" ht="15.75" customHeight="1">
      <c r="A870" s="12"/>
      <c r="B870" s="12"/>
      <c r="C870" s="12"/>
      <c r="D870" s="12"/>
      <c r="E870" s="12"/>
      <c r="F870" s="12"/>
      <c r="G870" s="12"/>
      <c r="H870" s="12"/>
      <c r="I870" s="12"/>
      <c r="J870" s="12"/>
      <c r="K870" s="12"/>
      <c r="L870" s="12"/>
      <c r="M870" s="12"/>
      <c r="N870" s="12"/>
      <c r="O870" s="12"/>
      <c r="P870" s="12"/>
      <c r="Q870" s="12"/>
      <c r="R870" s="12"/>
      <c r="S870" s="12"/>
      <c r="T870" s="12"/>
      <c r="U870" s="12"/>
      <c r="W870" s="67"/>
      <c r="X870" s="12"/>
      <c r="Y870" s="12"/>
      <c r="Z870" s="12"/>
      <c r="AA870" s="12"/>
    </row>
    <row r="871" spans="1:27" ht="15.75" customHeight="1">
      <c r="A871" s="12"/>
      <c r="B871" s="12"/>
      <c r="C871" s="12"/>
      <c r="D871" s="12"/>
      <c r="E871" s="12"/>
      <c r="F871" s="12"/>
      <c r="G871" s="12"/>
      <c r="H871" s="12"/>
      <c r="I871" s="12"/>
      <c r="J871" s="12"/>
      <c r="K871" s="12"/>
      <c r="L871" s="12"/>
      <c r="M871" s="12"/>
      <c r="N871" s="12"/>
      <c r="O871" s="12"/>
      <c r="P871" s="12"/>
      <c r="Q871" s="12"/>
      <c r="R871" s="12"/>
      <c r="S871" s="12"/>
      <c r="T871" s="12"/>
      <c r="U871" s="12"/>
      <c r="W871" s="67"/>
      <c r="X871" s="12"/>
      <c r="Y871" s="12"/>
      <c r="Z871" s="12"/>
      <c r="AA871" s="12"/>
    </row>
    <row r="872" spans="1:27" ht="15.75" customHeight="1">
      <c r="A872" s="12"/>
      <c r="B872" s="12"/>
      <c r="C872" s="12"/>
      <c r="D872" s="12"/>
      <c r="E872" s="12"/>
      <c r="F872" s="12"/>
      <c r="G872" s="12"/>
      <c r="H872" s="12"/>
      <c r="I872" s="12"/>
      <c r="J872" s="12"/>
      <c r="K872" s="12"/>
      <c r="L872" s="12"/>
      <c r="M872" s="12"/>
      <c r="N872" s="12"/>
      <c r="O872" s="12"/>
      <c r="P872" s="12"/>
      <c r="Q872" s="12"/>
      <c r="R872" s="12"/>
      <c r="S872" s="12"/>
      <c r="T872" s="12"/>
      <c r="U872" s="12"/>
      <c r="W872" s="67"/>
      <c r="X872" s="12"/>
      <c r="Y872" s="12"/>
      <c r="Z872" s="12"/>
      <c r="AA872" s="12"/>
    </row>
    <row r="873" spans="1:27" ht="15.75" customHeight="1">
      <c r="A873" s="12"/>
      <c r="B873" s="12"/>
      <c r="C873" s="12"/>
      <c r="D873" s="12"/>
      <c r="E873" s="12"/>
      <c r="F873" s="12"/>
      <c r="G873" s="12"/>
      <c r="H873" s="12"/>
      <c r="I873" s="12"/>
      <c r="J873" s="12"/>
      <c r="K873" s="12"/>
      <c r="L873" s="12"/>
      <c r="M873" s="12"/>
      <c r="N873" s="12"/>
      <c r="O873" s="12"/>
      <c r="P873" s="12"/>
      <c r="Q873" s="12"/>
      <c r="R873" s="12"/>
      <c r="S873" s="12"/>
      <c r="T873" s="12"/>
      <c r="U873" s="12"/>
      <c r="W873" s="67"/>
      <c r="X873" s="12"/>
      <c r="Y873" s="12"/>
      <c r="Z873" s="12"/>
      <c r="AA873" s="12"/>
    </row>
    <row r="874" spans="1:27" ht="15.75" customHeight="1">
      <c r="A874" s="12"/>
      <c r="B874" s="12"/>
      <c r="C874" s="12"/>
      <c r="D874" s="12"/>
      <c r="E874" s="12"/>
      <c r="F874" s="12"/>
      <c r="G874" s="12"/>
      <c r="H874" s="12"/>
      <c r="I874" s="12"/>
      <c r="J874" s="12"/>
      <c r="K874" s="12"/>
      <c r="L874" s="12"/>
      <c r="M874" s="12"/>
      <c r="N874" s="12"/>
      <c r="O874" s="12"/>
      <c r="P874" s="12"/>
      <c r="Q874" s="12"/>
      <c r="R874" s="12"/>
      <c r="S874" s="12"/>
      <c r="T874" s="12"/>
      <c r="U874" s="12"/>
      <c r="W874" s="67"/>
      <c r="X874" s="12"/>
      <c r="Y874" s="12"/>
      <c r="Z874" s="12"/>
      <c r="AA874" s="12"/>
    </row>
    <row r="875" spans="1:27" ht="15.75" customHeight="1">
      <c r="A875" s="12"/>
      <c r="B875" s="12"/>
      <c r="C875" s="12"/>
      <c r="D875" s="12"/>
      <c r="E875" s="12"/>
      <c r="F875" s="12"/>
      <c r="G875" s="12"/>
      <c r="H875" s="12"/>
      <c r="I875" s="12"/>
      <c r="J875" s="12"/>
      <c r="K875" s="12"/>
      <c r="L875" s="12"/>
      <c r="M875" s="12"/>
      <c r="N875" s="12"/>
      <c r="O875" s="12"/>
      <c r="P875" s="12"/>
      <c r="Q875" s="12"/>
      <c r="R875" s="12"/>
      <c r="S875" s="12"/>
      <c r="T875" s="12"/>
      <c r="U875" s="12"/>
      <c r="W875" s="67"/>
      <c r="X875" s="12"/>
      <c r="Y875" s="12"/>
      <c r="Z875" s="12"/>
      <c r="AA875" s="12"/>
    </row>
    <row r="876" spans="1:27" ht="15.75" customHeight="1">
      <c r="A876" s="12"/>
      <c r="B876" s="12"/>
      <c r="C876" s="12"/>
      <c r="D876" s="12"/>
      <c r="E876" s="12"/>
      <c r="F876" s="12"/>
      <c r="G876" s="12"/>
      <c r="H876" s="12"/>
      <c r="I876" s="12"/>
      <c r="J876" s="12"/>
      <c r="K876" s="12"/>
      <c r="L876" s="12"/>
      <c r="M876" s="12"/>
      <c r="N876" s="12"/>
      <c r="O876" s="12"/>
      <c r="P876" s="12"/>
      <c r="Q876" s="12"/>
      <c r="R876" s="12"/>
      <c r="S876" s="12"/>
      <c r="T876" s="12"/>
      <c r="U876" s="12"/>
      <c r="W876" s="67"/>
      <c r="X876" s="12"/>
      <c r="Y876" s="12"/>
      <c r="Z876" s="12"/>
      <c r="AA876" s="12"/>
    </row>
    <row r="877" spans="1:27" ht="15.75" customHeight="1">
      <c r="A877" s="12"/>
      <c r="B877" s="12"/>
      <c r="C877" s="12"/>
      <c r="D877" s="12"/>
      <c r="E877" s="12"/>
      <c r="F877" s="12"/>
      <c r="G877" s="12"/>
      <c r="H877" s="12"/>
      <c r="I877" s="12"/>
      <c r="J877" s="12"/>
      <c r="K877" s="12"/>
      <c r="L877" s="12"/>
      <c r="M877" s="12"/>
      <c r="N877" s="12"/>
      <c r="O877" s="12"/>
      <c r="P877" s="12"/>
      <c r="Q877" s="12"/>
      <c r="R877" s="12"/>
      <c r="S877" s="12"/>
      <c r="T877" s="12"/>
      <c r="U877" s="12"/>
      <c r="W877" s="67"/>
      <c r="X877" s="12"/>
      <c r="Y877" s="12"/>
      <c r="Z877" s="12"/>
      <c r="AA877" s="12"/>
    </row>
    <row r="878" spans="1:27" ht="15.75" customHeight="1">
      <c r="A878" s="12"/>
      <c r="B878" s="12"/>
      <c r="C878" s="12"/>
      <c r="D878" s="12"/>
      <c r="E878" s="12"/>
      <c r="F878" s="12"/>
      <c r="G878" s="12"/>
      <c r="H878" s="12"/>
      <c r="I878" s="12"/>
      <c r="J878" s="12"/>
      <c r="K878" s="12"/>
      <c r="L878" s="12"/>
      <c r="M878" s="12"/>
      <c r="N878" s="12"/>
      <c r="O878" s="12"/>
      <c r="P878" s="12"/>
      <c r="Q878" s="12"/>
      <c r="R878" s="12"/>
      <c r="S878" s="12"/>
      <c r="T878" s="12"/>
      <c r="U878" s="12"/>
      <c r="W878" s="67"/>
      <c r="X878" s="12"/>
      <c r="Y878" s="12"/>
      <c r="Z878" s="12"/>
      <c r="AA878" s="12"/>
    </row>
    <row r="879" spans="1:27" ht="15.75" customHeight="1">
      <c r="A879" s="12"/>
      <c r="B879" s="12"/>
      <c r="C879" s="12"/>
      <c r="D879" s="12"/>
      <c r="E879" s="12"/>
      <c r="F879" s="12"/>
      <c r="G879" s="12"/>
      <c r="H879" s="12"/>
      <c r="I879" s="12"/>
      <c r="J879" s="12"/>
      <c r="K879" s="12"/>
      <c r="L879" s="12"/>
      <c r="M879" s="12"/>
      <c r="N879" s="12"/>
      <c r="O879" s="12"/>
      <c r="P879" s="12"/>
      <c r="Q879" s="12"/>
      <c r="R879" s="12"/>
      <c r="S879" s="12"/>
      <c r="T879" s="12"/>
      <c r="U879" s="12"/>
      <c r="W879" s="67"/>
      <c r="X879" s="12"/>
      <c r="Y879" s="12"/>
      <c r="Z879" s="12"/>
      <c r="AA879" s="12"/>
    </row>
    <row r="880" spans="1:27" ht="15.75" customHeight="1">
      <c r="A880" s="12"/>
      <c r="B880" s="12"/>
      <c r="C880" s="12"/>
      <c r="D880" s="12"/>
      <c r="E880" s="12"/>
      <c r="F880" s="12"/>
      <c r="G880" s="12"/>
      <c r="H880" s="12"/>
      <c r="I880" s="12"/>
      <c r="J880" s="12"/>
      <c r="K880" s="12"/>
      <c r="L880" s="12"/>
      <c r="M880" s="12"/>
      <c r="N880" s="12"/>
      <c r="O880" s="12"/>
      <c r="P880" s="12"/>
      <c r="Q880" s="12"/>
      <c r="R880" s="12"/>
      <c r="S880" s="12"/>
      <c r="T880" s="12"/>
      <c r="U880" s="12"/>
      <c r="W880" s="67"/>
      <c r="X880" s="12"/>
      <c r="Y880" s="12"/>
      <c r="Z880" s="12"/>
      <c r="AA880" s="12"/>
    </row>
    <row r="881" spans="1:27" ht="15.75" customHeight="1">
      <c r="A881" s="12"/>
      <c r="B881" s="12"/>
      <c r="C881" s="12"/>
      <c r="D881" s="12"/>
      <c r="E881" s="12"/>
      <c r="F881" s="12"/>
      <c r="G881" s="12"/>
      <c r="H881" s="12"/>
      <c r="I881" s="12"/>
      <c r="J881" s="12"/>
      <c r="K881" s="12"/>
      <c r="L881" s="12"/>
      <c r="M881" s="12"/>
      <c r="N881" s="12"/>
      <c r="O881" s="12"/>
      <c r="P881" s="12"/>
      <c r="Q881" s="12"/>
      <c r="R881" s="12"/>
      <c r="S881" s="12"/>
      <c r="T881" s="12"/>
      <c r="U881" s="12"/>
      <c r="W881" s="67"/>
      <c r="X881" s="12"/>
      <c r="Y881" s="12"/>
      <c r="Z881" s="12"/>
      <c r="AA881" s="12"/>
    </row>
    <row r="882" spans="1:27" ht="15.75" customHeight="1">
      <c r="A882" s="12"/>
      <c r="B882" s="12"/>
      <c r="C882" s="12"/>
      <c r="D882" s="12"/>
      <c r="E882" s="12"/>
      <c r="F882" s="12"/>
      <c r="G882" s="12"/>
      <c r="H882" s="12"/>
      <c r="I882" s="12"/>
      <c r="J882" s="12"/>
      <c r="K882" s="12"/>
      <c r="L882" s="12"/>
      <c r="M882" s="12"/>
      <c r="N882" s="12"/>
      <c r="O882" s="12"/>
      <c r="P882" s="12"/>
      <c r="Q882" s="12"/>
      <c r="R882" s="12"/>
      <c r="S882" s="12"/>
      <c r="T882" s="12"/>
      <c r="U882" s="12"/>
      <c r="W882" s="67"/>
      <c r="X882" s="12"/>
      <c r="Y882" s="12"/>
      <c r="Z882" s="12"/>
      <c r="AA882" s="12"/>
    </row>
    <row r="883" spans="1:27" ht="15.75" customHeight="1">
      <c r="A883" s="12"/>
      <c r="B883" s="12"/>
      <c r="C883" s="12"/>
      <c r="D883" s="12"/>
      <c r="E883" s="12"/>
      <c r="F883" s="12"/>
      <c r="G883" s="12"/>
      <c r="H883" s="12"/>
      <c r="I883" s="12"/>
      <c r="J883" s="12"/>
      <c r="K883" s="12"/>
      <c r="L883" s="12"/>
      <c r="M883" s="12"/>
      <c r="N883" s="12"/>
      <c r="O883" s="12"/>
      <c r="P883" s="12"/>
      <c r="Q883" s="12"/>
      <c r="R883" s="12"/>
      <c r="S883" s="12"/>
      <c r="T883" s="12"/>
      <c r="U883" s="12"/>
      <c r="W883" s="67"/>
      <c r="X883" s="12"/>
      <c r="Y883" s="12"/>
      <c r="Z883" s="12"/>
      <c r="AA883" s="12"/>
    </row>
    <row r="884" spans="1:27" ht="15.75" customHeight="1">
      <c r="A884" s="12"/>
      <c r="B884" s="12"/>
      <c r="C884" s="12"/>
      <c r="D884" s="12"/>
      <c r="E884" s="12"/>
      <c r="F884" s="12"/>
      <c r="G884" s="12"/>
      <c r="H884" s="12"/>
      <c r="I884" s="12"/>
      <c r="J884" s="12"/>
      <c r="K884" s="12"/>
      <c r="L884" s="12"/>
      <c r="M884" s="12"/>
      <c r="N884" s="12"/>
      <c r="O884" s="12"/>
      <c r="P884" s="12"/>
      <c r="Q884" s="12"/>
      <c r="R884" s="12"/>
      <c r="S884" s="12"/>
      <c r="T884" s="12"/>
      <c r="U884" s="12"/>
      <c r="W884" s="67"/>
      <c r="X884" s="12"/>
      <c r="Y884" s="12"/>
      <c r="Z884" s="12"/>
      <c r="AA884" s="12"/>
    </row>
    <row r="885" spans="1:27" ht="15.75" customHeight="1">
      <c r="A885" s="12"/>
      <c r="B885" s="12"/>
      <c r="C885" s="12"/>
      <c r="D885" s="12"/>
      <c r="E885" s="12"/>
      <c r="F885" s="12"/>
      <c r="G885" s="12"/>
      <c r="H885" s="12"/>
      <c r="I885" s="12"/>
      <c r="J885" s="12"/>
      <c r="K885" s="12"/>
      <c r="L885" s="12"/>
      <c r="M885" s="12"/>
      <c r="N885" s="12"/>
      <c r="O885" s="12"/>
      <c r="P885" s="12"/>
      <c r="Q885" s="12"/>
      <c r="R885" s="12"/>
      <c r="S885" s="12"/>
      <c r="T885" s="12"/>
      <c r="U885" s="12"/>
      <c r="W885" s="67"/>
      <c r="X885" s="12"/>
      <c r="Y885" s="12"/>
      <c r="Z885" s="12"/>
      <c r="AA885" s="12"/>
    </row>
    <row r="886" spans="1:27" ht="15.75" customHeight="1">
      <c r="A886" s="12"/>
      <c r="B886" s="12"/>
      <c r="C886" s="12"/>
      <c r="D886" s="12"/>
      <c r="E886" s="12"/>
      <c r="F886" s="12"/>
      <c r="G886" s="12"/>
      <c r="H886" s="12"/>
      <c r="I886" s="12"/>
      <c r="J886" s="12"/>
      <c r="K886" s="12"/>
      <c r="L886" s="12"/>
      <c r="M886" s="12"/>
      <c r="N886" s="12"/>
      <c r="O886" s="12"/>
      <c r="P886" s="12"/>
      <c r="Q886" s="12"/>
      <c r="R886" s="12"/>
      <c r="S886" s="12"/>
      <c r="T886" s="12"/>
      <c r="U886" s="12"/>
      <c r="W886" s="67"/>
      <c r="X886" s="12"/>
      <c r="Y886" s="12"/>
      <c r="Z886" s="12"/>
      <c r="AA886" s="12"/>
    </row>
    <row r="887" spans="1:27" ht="15.75" customHeight="1">
      <c r="A887" s="12"/>
      <c r="B887" s="12"/>
      <c r="C887" s="12"/>
      <c r="D887" s="12"/>
      <c r="E887" s="12"/>
      <c r="F887" s="12"/>
      <c r="G887" s="12"/>
      <c r="H887" s="12"/>
      <c r="I887" s="12"/>
      <c r="J887" s="12"/>
      <c r="K887" s="12"/>
      <c r="L887" s="12"/>
      <c r="M887" s="12"/>
      <c r="N887" s="12"/>
      <c r="O887" s="12"/>
      <c r="P887" s="12"/>
      <c r="Q887" s="12"/>
      <c r="R887" s="12"/>
      <c r="S887" s="12"/>
      <c r="T887" s="12"/>
      <c r="U887" s="12"/>
      <c r="W887" s="67"/>
      <c r="X887" s="12"/>
      <c r="Y887" s="12"/>
      <c r="Z887" s="12"/>
      <c r="AA887" s="12"/>
    </row>
    <row r="888" spans="1:27" ht="15.75" customHeight="1">
      <c r="A888" s="12"/>
      <c r="B888" s="12"/>
      <c r="C888" s="12"/>
      <c r="D888" s="12"/>
      <c r="E888" s="12"/>
      <c r="F888" s="12"/>
      <c r="G888" s="12"/>
      <c r="H888" s="12"/>
      <c r="I888" s="12"/>
      <c r="J888" s="12"/>
      <c r="K888" s="12"/>
      <c r="L888" s="12"/>
      <c r="M888" s="12"/>
      <c r="N888" s="12"/>
      <c r="O888" s="12"/>
      <c r="P888" s="12"/>
      <c r="Q888" s="12"/>
      <c r="R888" s="12"/>
      <c r="S888" s="12"/>
      <c r="T888" s="12"/>
      <c r="U888" s="12"/>
      <c r="W888" s="67"/>
      <c r="X888" s="12"/>
      <c r="Y888" s="12"/>
      <c r="Z888" s="12"/>
      <c r="AA888" s="12"/>
    </row>
    <row r="889" spans="1:27" ht="15.75" customHeight="1">
      <c r="A889" s="12"/>
      <c r="B889" s="12"/>
      <c r="C889" s="12"/>
      <c r="D889" s="12"/>
      <c r="E889" s="12"/>
      <c r="F889" s="12"/>
      <c r="G889" s="12"/>
      <c r="H889" s="12"/>
      <c r="I889" s="12"/>
      <c r="J889" s="12"/>
      <c r="K889" s="12"/>
      <c r="L889" s="12"/>
      <c r="M889" s="12"/>
      <c r="N889" s="12"/>
      <c r="O889" s="12"/>
      <c r="P889" s="12"/>
      <c r="Q889" s="12"/>
      <c r="R889" s="12"/>
      <c r="S889" s="12"/>
      <c r="T889" s="12"/>
      <c r="U889" s="12"/>
      <c r="W889" s="67"/>
      <c r="X889" s="12"/>
      <c r="Y889" s="12"/>
      <c r="Z889" s="12"/>
      <c r="AA889" s="12"/>
    </row>
    <row r="890" spans="1:27" ht="15.75" customHeight="1">
      <c r="A890" s="12"/>
      <c r="B890" s="12"/>
      <c r="C890" s="12"/>
      <c r="D890" s="12"/>
      <c r="E890" s="12"/>
      <c r="F890" s="12"/>
      <c r="G890" s="12"/>
      <c r="H890" s="12"/>
      <c r="I890" s="12"/>
      <c r="J890" s="12"/>
      <c r="K890" s="12"/>
      <c r="L890" s="12"/>
      <c r="M890" s="12"/>
      <c r="N890" s="12"/>
      <c r="O890" s="12"/>
      <c r="P890" s="12"/>
      <c r="Q890" s="12"/>
      <c r="R890" s="12"/>
      <c r="S890" s="12"/>
      <c r="T890" s="12"/>
      <c r="U890" s="12"/>
      <c r="W890" s="67"/>
      <c r="X890" s="12"/>
      <c r="Y890" s="12"/>
      <c r="Z890" s="12"/>
      <c r="AA890" s="12"/>
    </row>
    <row r="891" spans="1:27" ht="15.75" customHeight="1">
      <c r="A891" s="12"/>
      <c r="B891" s="12"/>
      <c r="C891" s="12"/>
      <c r="D891" s="12"/>
      <c r="E891" s="12"/>
      <c r="F891" s="12"/>
      <c r="G891" s="12"/>
      <c r="H891" s="12"/>
      <c r="I891" s="12"/>
      <c r="J891" s="12"/>
      <c r="K891" s="12"/>
      <c r="L891" s="12"/>
      <c r="M891" s="12"/>
      <c r="N891" s="12"/>
      <c r="O891" s="12"/>
      <c r="P891" s="12"/>
      <c r="Q891" s="12"/>
      <c r="R891" s="12"/>
      <c r="S891" s="12"/>
      <c r="T891" s="12"/>
      <c r="U891" s="12"/>
      <c r="W891" s="67"/>
      <c r="X891" s="12"/>
      <c r="Y891" s="12"/>
      <c r="Z891" s="12"/>
      <c r="AA891" s="12"/>
    </row>
    <row r="892" spans="1:27" ht="15.75" customHeight="1">
      <c r="A892" s="12"/>
      <c r="B892" s="12"/>
      <c r="C892" s="12"/>
      <c r="D892" s="12"/>
      <c r="E892" s="12"/>
      <c r="F892" s="12"/>
      <c r="G892" s="12"/>
      <c r="H892" s="12"/>
      <c r="I892" s="12"/>
      <c r="J892" s="12"/>
      <c r="K892" s="12"/>
      <c r="L892" s="12"/>
      <c r="M892" s="12"/>
      <c r="N892" s="12"/>
      <c r="O892" s="12"/>
      <c r="P892" s="12"/>
      <c r="Q892" s="12"/>
      <c r="R892" s="12"/>
      <c r="S892" s="12"/>
      <c r="T892" s="12"/>
      <c r="U892" s="12"/>
      <c r="W892" s="67"/>
      <c r="X892" s="12"/>
      <c r="Y892" s="12"/>
      <c r="Z892" s="12"/>
      <c r="AA892" s="12"/>
    </row>
    <row r="893" spans="1:27" ht="15.75" customHeight="1">
      <c r="A893" s="12"/>
      <c r="B893" s="12"/>
      <c r="C893" s="12"/>
      <c r="D893" s="12"/>
      <c r="E893" s="12"/>
      <c r="F893" s="12"/>
      <c r="G893" s="12"/>
      <c r="H893" s="12"/>
      <c r="I893" s="12"/>
      <c r="J893" s="12"/>
      <c r="K893" s="12"/>
      <c r="L893" s="12"/>
      <c r="M893" s="12"/>
      <c r="N893" s="12"/>
      <c r="O893" s="12"/>
      <c r="P893" s="12"/>
      <c r="Q893" s="12"/>
      <c r="R893" s="12"/>
      <c r="S893" s="12"/>
      <c r="T893" s="12"/>
      <c r="U893" s="12"/>
      <c r="W893" s="67"/>
      <c r="X893" s="12"/>
      <c r="Y893" s="12"/>
      <c r="Z893" s="12"/>
      <c r="AA893" s="12"/>
    </row>
    <row r="894" spans="1:27" ht="15.75" customHeight="1">
      <c r="A894" s="12"/>
      <c r="B894" s="12"/>
      <c r="C894" s="12"/>
      <c r="D894" s="12"/>
      <c r="E894" s="12"/>
      <c r="F894" s="12"/>
      <c r="G894" s="12"/>
      <c r="H894" s="12"/>
      <c r="I894" s="12"/>
      <c r="J894" s="12"/>
      <c r="K894" s="12"/>
      <c r="L894" s="12"/>
      <c r="M894" s="12"/>
      <c r="N894" s="12"/>
      <c r="O894" s="12"/>
      <c r="P894" s="12"/>
      <c r="Q894" s="12"/>
      <c r="R894" s="12"/>
      <c r="S894" s="12"/>
      <c r="T894" s="12"/>
      <c r="U894" s="12"/>
      <c r="W894" s="67"/>
      <c r="X894" s="12"/>
      <c r="Y894" s="12"/>
      <c r="Z894" s="12"/>
      <c r="AA894" s="12"/>
    </row>
    <row r="895" spans="1:27" ht="15.75" customHeight="1">
      <c r="A895" s="12"/>
      <c r="B895" s="12"/>
      <c r="C895" s="12"/>
      <c r="D895" s="12"/>
      <c r="E895" s="12"/>
      <c r="F895" s="12"/>
      <c r="G895" s="12"/>
      <c r="H895" s="12"/>
      <c r="I895" s="12"/>
      <c r="J895" s="12"/>
      <c r="K895" s="12"/>
      <c r="L895" s="12"/>
      <c r="M895" s="12"/>
      <c r="N895" s="12"/>
      <c r="O895" s="12"/>
      <c r="P895" s="12"/>
      <c r="Q895" s="12"/>
      <c r="R895" s="12"/>
      <c r="S895" s="12"/>
      <c r="T895" s="12"/>
      <c r="U895" s="12"/>
      <c r="W895" s="67"/>
      <c r="X895" s="12"/>
      <c r="Y895" s="12"/>
      <c r="Z895" s="12"/>
      <c r="AA895" s="12"/>
    </row>
    <row r="896" spans="1:27" ht="15.75" customHeight="1">
      <c r="A896" s="12"/>
      <c r="B896" s="12"/>
      <c r="C896" s="12"/>
      <c r="D896" s="12"/>
      <c r="E896" s="12"/>
      <c r="F896" s="12"/>
      <c r="G896" s="12"/>
      <c r="H896" s="12"/>
      <c r="I896" s="12"/>
      <c r="J896" s="12"/>
      <c r="K896" s="12"/>
      <c r="L896" s="12"/>
      <c r="M896" s="12"/>
      <c r="N896" s="12"/>
      <c r="O896" s="12"/>
      <c r="P896" s="12"/>
      <c r="Q896" s="12"/>
      <c r="R896" s="12"/>
      <c r="S896" s="12"/>
      <c r="T896" s="12"/>
      <c r="U896" s="12"/>
      <c r="W896" s="67"/>
      <c r="X896" s="12"/>
      <c r="Y896" s="12"/>
      <c r="Z896" s="12"/>
      <c r="AA896" s="12"/>
    </row>
    <row r="897" spans="1:27" ht="15.75" customHeight="1">
      <c r="A897" s="12"/>
      <c r="B897" s="12"/>
      <c r="C897" s="12"/>
      <c r="D897" s="12"/>
      <c r="E897" s="12"/>
      <c r="F897" s="12"/>
      <c r="G897" s="12"/>
      <c r="H897" s="12"/>
      <c r="I897" s="12"/>
      <c r="J897" s="12"/>
      <c r="K897" s="12"/>
      <c r="L897" s="12"/>
      <c r="M897" s="12"/>
      <c r="N897" s="12"/>
      <c r="O897" s="12"/>
      <c r="P897" s="12"/>
      <c r="Q897" s="12"/>
      <c r="R897" s="12"/>
      <c r="S897" s="12"/>
      <c r="T897" s="12"/>
      <c r="U897" s="12"/>
      <c r="W897" s="67"/>
      <c r="X897" s="12"/>
      <c r="Y897" s="12"/>
      <c r="Z897" s="12"/>
      <c r="AA897" s="12"/>
    </row>
    <row r="898" spans="1:27" ht="15.75" customHeight="1">
      <c r="A898" s="12"/>
      <c r="B898" s="12"/>
      <c r="C898" s="12"/>
      <c r="D898" s="12"/>
      <c r="E898" s="12"/>
      <c r="F898" s="12"/>
      <c r="G898" s="12"/>
      <c r="H898" s="12"/>
      <c r="I898" s="12"/>
      <c r="J898" s="12"/>
      <c r="K898" s="12"/>
      <c r="L898" s="12"/>
      <c r="M898" s="12"/>
      <c r="N898" s="12"/>
      <c r="O898" s="12"/>
      <c r="P898" s="12"/>
      <c r="Q898" s="12"/>
      <c r="R898" s="12"/>
      <c r="S898" s="12"/>
      <c r="T898" s="12"/>
      <c r="U898" s="12"/>
      <c r="W898" s="67"/>
      <c r="X898" s="12"/>
      <c r="Y898" s="12"/>
      <c r="Z898" s="12"/>
      <c r="AA898" s="12"/>
    </row>
    <row r="899" spans="1:27" ht="15.75" customHeight="1">
      <c r="A899" s="12"/>
      <c r="B899" s="12"/>
      <c r="C899" s="12"/>
      <c r="D899" s="12"/>
      <c r="E899" s="12"/>
      <c r="F899" s="12"/>
      <c r="G899" s="12"/>
      <c r="H899" s="12"/>
      <c r="I899" s="12"/>
      <c r="J899" s="12"/>
      <c r="K899" s="12"/>
      <c r="L899" s="12"/>
      <c r="M899" s="12"/>
      <c r="N899" s="12"/>
      <c r="O899" s="12"/>
      <c r="P899" s="12"/>
      <c r="Q899" s="12"/>
      <c r="R899" s="12"/>
      <c r="S899" s="12"/>
      <c r="T899" s="12"/>
      <c r="U899" s="12"/>
      <c r="W899" s="67"/>
      <c r="X899" s="12"/>
      <c r="Y899" s="12"/>
      <c r="Z899" s="12"/>
      <c r="AA899" s="12"/>
    </row>
    <row r="900" spans="1:27" ht="15.75" customHeight="1">
      <c r="A900" s="12"/>
      <c r="B900" s="12"/>
      <c r="C900" s="12"/>
      <c r="D900" s="12"/>
      <c r="E900" s="12"/>
      <c r="F900" s="12"/>
      <c r="G900" s="12"/>
      <c r="H900" s="12"/>
      <c r="I900" s="12"/>
      <c r="J900" s="12"/>
      <c r="K900" s="12"/>
      <c r="L900" s="12"/>
      <c r="M900" s="12"/>
      <c r="N900" s="12"/>
      <c r="O900" s="12"/>
      <c r="P900" s="12"/>
      <c r="Q900" s="12"/>
      <c r="R900" s="12"/>
      <c r="S900" s="12"/>
      <c r="T900" s="12"/>
      <c r="U900" s="12"/>
      <c r="W900" s="67"/>
      <c r="X900" s="12"/>
      <c r="Y900" s="12"/>
      <c r="Z900" s="12"/>
      <c r="AA900" s="12"/>
    </row>
    <row r="901" spans="1:27" ht="15.75" customHeight="1">
      <c r="A901" s="12"/>
      <c r="B901" s="12"/>
      <c r="C901" s="12"/>
      <c r="D901" s="12"/>
      <c r="E901" s="12"/>
      <c r="F901" s="12"/>
      <c r="G901" s="12"/>
      <c r="H901" s="12"/>
      <c r="I901" s="12"/>
      <c r="J901" s="12"/>
      <c r="K901" s="12"/>
      <c r="L901" s="12"/>
      <c r="M901" s="12"/>
      <c r="N901" s="12"/>
      <c r="O901" s="12"/>
      <c r="P901" s="12"/>
      <c r="Q901" s="12"/>
      <c r="R901" s="12"/>
      <c r="S901" s="12"/>
      <c r="T901" s="12"/>
      <c r="U901" s="12"/>
      <c r="W901" s="67"/>
      <c r="X901" s="12"/>
      <c r="Y901" s="12"/>
      <c r="Z901" s="12"/>
      <c r="AA901" s="12"/>
    </row>
    <row r="902" spans="1:27" ht="15.75" customHeight="1">
      <c r="A902" s="12"/>
      <c r="B902" s="12"/>
      <c r="C902" s="12"/>
      <c r="D902" s="12"/>
      <c r="E902" s="12"/>
      <c r="F902" s="12"/>
      <c r="G902" s="12"/>
      <c r="H902" s="12"/>
      <c r="I902" s="12"/>
      <c r="J902" s="12"/>
      <c r="K902" s="12"/>
      <c r="L902" s="12"/>
      <c r="M902" s="12"/>
      <c r="N902" s="12"/>
      <c r="O902" s="12"/>
      <c r="P902" s="12"/>
      <c r="Q902" s="12"/>
      <c r="R902" s="12"/>
      <c r="S902" s="12"/>
      <c r="T902" s="12"/>
      <c r="U902" s="12"/>
      <c r="W902" s="67"/>
      <c r="X902" s="12"/>
      <c r="Y902" s="12"/>
      <c r="Z902" s="12"/>
      <c r="AA902" s="12"/>
    </row>
    <row r="903" spans="1:27" ht="15.75" customHeight="1">
      <c r="A903" s="12"/>
      <c r="B903" s="12"/>
      <c r="C903" s="12"/>
      <c r="D903" s="12"/>
      <c r="E903" s="12"/>
      <c r="F903" s="12"/>
      <c r="G903" s="12"/>
      <c r="H903" s="12"/>
      <c r="I903" s="12"/>
      <c r="J903" s="12"/>
      <c r="K903" s="12"/>
      <c r="L903" s="12"/>
      <c r="M903" s="12"/>
      <c r="N903" s="12"/>
      <c r="O903" s="12"/>
      <c r="P903" s="12"/>
      <c r="Q903" s="12"/>
      <c r="R903" s="12"/>
      <c r="S903" s="12"/>
      <c r="T903" s="12"/>
      <c r="U903" s="12"/>
      <c r="W903" s="67"/>
      <c r="X903" s="12"/>
      <c r="Y903" s="12"/>
      <c r="Z903" s="12"/>
      <c r="AA903" s="12"/>
    </row>
    <row r="904" spans="1:27" ht="15.75" customHeight="1">
      <c r="A904" s="12"/>
      <c r="B904" s="12"/>
      <c r="C904" s="12"/>
      <c r="D904" s="12"/>
      <c r="E904" s="12"/>
      <c r="F904" s="12"/>
      <c r="G904" s="12"/>
      <c r="H904" s="12"/>
      <c r="I904" s="12"/>
      <c r="J904" s="12"/>
      <c r="K904" s="12"/>
      <c r="L904" s="12"/>
      <c r="M904" s="12"/>
      <c r="N904" s="12"/>
      <c r="O904" s="12"/>
      <c r="P904" s="12"/>
      <c r="Q904" s="12"/>
      <c r="R904" s="12"/>
      <c r="S904" s="12"/>
      <c r="T904" s="12"/>
      <c r="U904" s="12"/>
      <c r="W904" s="67"/>
      <c r="X904" s="12"/>
      <c r="Y904" s="12"/>
      <c r="Z904" s="12"/>
      <c r="AA904" s="12"/>
    </row>
    <row r="905" spans="1:27" ht="15.75" customHeight="1">
      <c r="A905" s="12"/>
      <c r="B905" s="12"/>
      <c r="C905" s="12"/>
      <c r="D905" s="12"/>
      <c r="E905" s="12"/>
      <c r="F905" s="12"/>
      <c r="G905" s="12"/>
      <c r="H905" s="12"/>
      <c r="I905" s="12"/>
      <c r="J905" s="12"/>
      <c r="K905" s="12"/>
      <c r="L905" s="12"/>
      <c r="M905" s="12"/>
      <c r="N905" s="12"/>
      <c r="O905" s="12"/>
      <c r="P905" s="12"/>
      <c r="Q905" s="12"/>
      <c r="R905" s="12"/>
      <c r="S905" s="12"/>
      <c r="T905" s="12"/>
      <c r="U905" s="12"/>
      <c r="W905" s="67"/>
      <c r="X905" s="12"/>
      <c r="Y905" s="12"/>
      <c r="Z905" s="12"/>
      <c r="AA905" s="12"/>
    </row>
    <row r="906" spans="1:27" ht="15.75" customHeight="1">
      <c r="A906" s="12"/>
      <c r="B906" s="12"/>
      <c r="C906" s="12"/>
      <c r="D906" s="12"/>
      <c r="E906" s="12"/>
      <c r="F906" s="12"/>
      <c r="G906" s="12"/>
      <c r="H906" s="12"/>
      <c r="I906" s="12"/>
      <c r="J906" s="12"/>
      <c r="K906" s="12"/>
      <c r="L906" s="12"/>
      <c r="M906" s="12"/>
      <c r="N906" s="12"/>
      <c r="O906" s="12"/>
      <c r="P906" s="12"/>
      <c r="Q906" s="12"/>
      <c r="R906" s="12"/>
      <c r="S906" s="12"/>
      <c r="T906" s="12"/>
      <c r="U906" s="12"/>
      <c r="W906" s="67"/>
      <c r="X906" s="12"/>
      <c r="Y906" s="12"/>
      <c r="Z906" s="12"/>
      <c r="AA906" s="12"/>
    </row>
    <row r="907" spans="1:27" ht="15.75" customHeight="1">
      <c r="A907" s="12"/>
      <c r="B907" s="12"/>
      <c r="C907" s="12"/>
      <c r="D907" s="12"/>
      <c r="E907" s="12"/>
      <c r="F907" s="12"/>
      <c r="G907" s="12"/>
      <c r="H907" s="12"/>
      <c r="I907" s="12"/>
      <c r="J907" s="12"/>
      <c r="K907" s="12"/>
      <c r="L907" s="12"/>
      <c r="M907" s="12"/>
      <c r="N907" s="12"/>
      <c r="O907" s="12"/>
      <c r="P907" s="12"/>
      <c r="Q907" s="12"/>
      <c r="R907" s="12"/>
      <c r="S907" s="12"/>
      <c r="T907" s="12"/>
      <c r="U907" s="12"/>
      <c r="W907" s="67"/>
      <c r="X907" s="12"/>
      <c r="Y907" s="12"/>
      <c r="Z907" s="12"/>
      <c r="AA907" s="12"/>
    </row>
    <row r="908" spans="1:27" ht="15.75" customHeight="1">
      <c r="A908" s="12"/>
      <c r="B908" s="12"/>
      <c r="C908" s="12"/>
      <c r="D908" s="12"/>
      <c r="E908" s="12"/>
      <c r="F908" s="12"/>
      <c r="G908" s="12"/>
      <c r="H908" s="12"/>
      <c r="I908" s="12"/>
      <c r="J908" s="12"/>
      <c r="K908" s="12"/>
      <c r="L908" s="12"/>
      <c r="M908" s="12"/>
      <c r="N908" s="12"/>
      <c r="O908" s="12"/>
      <c r="P908" s="12"/>
      <c r="Q908" s="12"/>
      <c r="R908" s="12"/>
      <c r="S908" s="12"/>
      <c r="T908" s="12"/>
      <c r="U908" s="12"/>
      <c r="W908" s="67"/>
      <c r="X908" s="12"/>
      <c r="Y908" s="12"/>
      <c r="Z908" s="12"/>
      <c r="AA908" s="12"/>
    </row>
    <row r="909" spans="1:27" ht="15.75" customHeight="1">
      <c r="A909" s="12"/>
      <c r="B909" s="12"/>
      <c r="C909" s="12"/>
      <c r="D909" s="12"/>
      <c r="E909" s="12"/>
      <c r="F909" s="12"/>
      <c r="G909" s="12"/>
      <c r="H909" s="12"/>
      <c r="I909" s="12"/>
      <c r="J909" s="12"/>
      <c r="K909" s="12"/>
      <c r="L909" s="12"/>
      <c r="M909" s="12"/>
      <c r="N909" s="12"/>
      <c r="O909" s="12"/>
      <c r="P909" s="12"/>
      <c r="Q909" s="12"/>
      <c r="R909" s="12"/>
      <c r="S909" s="12"/>
      <c r="T909" s="12"/>
      <c r="U909" s="12"/>
      <c r="W909" s="67"/>
      <c r="X909" s="12"/>
      <c r="Y909" s="12"/>
      <c r="Z909" s="12"/>
      <c r="AA909" s="12"/>
    </row>
    <row r="910" spans="1:27" ht="15.75" customHeight="1">
      <c r="A910" s="12"/>
      <c r="B910" s="12"/>
      <c r="C910" s="12"/>
      <c r="D910" s="12"/>
      <c r="E910" s="12"/>
      <c r="F910" s="12"/>
      <c r="G910" s="12"/>
      <c r="H910" s="12"/>
      <c r="I910" s="12"/>
      <c r="J910" s="12"/>
      <c r="K910" s="12"/>
      <c r="L910" s="12"/>
      <c r="M910" s="12"/>
      <c r="N910" s="12"/>
      <c r="O910" s="12"/>
      <c r="P910" s="12"/>
      <c r="Q910" s="12"/>
      <c r="R910" s="12"/>
      <c r="S910" s="12"/>
      <c r="T910" s="12"/>
      <c r="U910" s="12"/>
      <c r="W910" s="67"/>
      <c r="X910" s="12"/>
      <c r="Y910" s="12"/>
      <c r="Z910" s="12"/>
      <c r="AA910" s="12"/>
    </row>
    <row r="911" spans="1:27" ht="15.75" customHeight="1">
      <c r="A911" s="12"/>
      <c r="B911" s="12"/>
      <c r="C911" s="12"/>
      <c r="D911" s="12"/>
      <c r="E911" s="12"/>
      <c r="F911" s="12"/>
      <c r="G911" s="12"/>
      <c r="H911" s="12"/>
      <c r="I911" s="12"/>
      <c r="J911" s="12"/>
      <c r="K911" s="12"/>
      <c r="L911" s="12"/>
      <c r="M911" s="12"/>
      <c r="N911" s="12"/>
      <c r="O911" s="12"/>
      <c r="P911" s="12"/>
      <c r="Q911" s="12"/>
      <c r="R911" s="12"/>
      <c r="S911" s="12"/>
      <c r="T911" s="12"/>
      <c r="U911" s="12"/>
      <c r="W911" s="67"/>
      <c r="X911" s="12"/>
      <c r="Y911" s="12"/>
      <c r="Z911" s="12"/>
      <c r="AA911" s="12"/>
    </row>
    <row r="912" spans="1:27" ht="15.75" customHeight="1">
      <c r="A912" s="12"/>
      <c r="B912" s="12"/>
      <c r="C912" s="12"/>
      <c r="D912" s="12"/>
      <c r="E912" s="12"/>
      <c r="F912" s="12"/>
      <c r="G912" s="12"/>
      <c r="H912" s="12"/>
      <c r="I912" s="12"/>
      <c r="J912" s="12"/>
      <c r="K912" s="12"/>
      <c r="L912" s="12"/>
      <c r="M912" s="12"/>
      <c r="N912" s="12"/>
      <c r="O912" s="12"/>
      <c r="P912" s="12"/>
      <c r="Q912" s="12"/>
      <c r="R912" s="12"/>
      <c r="S912" s="12"/>
      <c r="T912" s="12"/>
      <c r="U912" s="12"/>
      <c r="W912" s="67"/>
      <c r="X912" s="12"/>
      <c r="Y912" s="12"/>
      <c r="Z912" s="12"/>
      <c r="AA912" s="12"/>
    </row>
    <row r="913" spans="1:27" ht="15.75" customHeight="1">
      <c r="A913" s="12"/>
      <c r="B913" s="12"/>
      <c r="C913" s="12"/>
      <c r="D913" s="12"/>
      <c r="E913" s="12"/>
      <c r="F913" s="12"/>
      <c r="G913" s="12"/>
      <c r="H913" s="12"/>
      <c r="I913" s="12"/>
      <c r="J913" s="12"/>
      <c r="K913" s="12"/>
      <c r="L913" s="12"/>
      <c r="M913" s="12"/>
      <c r="N913" s="12"/>
      <c r="O913" s="12"/>
      <c r="P913" s="12"/>
      <c r="Q913" s="12"/>
      <c r="R913" s="12"/>
      <c r="S913" s="12"/>
      <c r="T913" s="12"/>
      <c r="U913" s="12"/>
      <c r="W913" s="67"/>
      <c r="X913" s="12"/>
      <c r="Y913" s="12"/>
      <c r="Z913" s="12"/>
      <c r="AA913" s="12"/>
    </row>
    <row r="914" spans="1:27" ht="15.75" customHeight="1">
      <c r="A914" s="12"/>
      <c r="B914" s="12"/>
      <c r="C914" s="12"/>
      <c r="D914" s="12"/>
      <c r="E914" s="12"/>
      <c r="F914" s="12"/>
      <c r="G914" s="12"/>
      <c r="H914" s="12"/>
      <c r="I914" s="12"/>
      <c r="J914" s="12"/>
      <c r="K914" s="12"/>
      <c r="L914" s="12"/>
      <c r="M914" s="12"/>
      <c r="N914" s="12"/>
      <c r="O914" s="12"/>
      <c r="P914" s="12"/>
      <c r="Q914" s="12"/>
      <c r="R914" s="12"/>
      <c r="S914" s="12"/>
      <c r="T914" s="12"/>
      <c r="U914" s="12"/>
      <c r="W914" s="67"/>
      <c r="X914" s="12"/>
      <c r="Y914" s="12"/>
      <c r="Z914" s="12"/>
      <c r="AA914" s="12"/>
    </row>
    <row r="915" spans="1:27" ht="15.75" customHeight="1">
      <c r="A915" s="12"/>
      <c r="B915" s="12"/>
      <c r="C915" s="12"/>
      <c r="D915" s="12"/>
      <c r="E915" s="12"/>
      <c r="F915" s="12"/>
      <c r="G915" s="12"/>
      <c r="H915" s="12"/>
      <c r="I915" s="12"/>
      <c r="J915" s="12"/>
      <c r="K915" s="12"/>
      <c r="L915" s="12"/>
      <c r="M915" s="12"/>
      <c r="N915" s="12"/>
      <c r="O915" s="12"/>
      <c r="P915" s="12"/>
      <c r="Q915" s="12"/>
      <c r="R915" s="12"/>
      <c r="S915" s="12"/>
      <c r="T915" s="12"/>
      <c r="U915" s="12"/>
      <c r="W915" s="67"/>
      <c r="X915" s="12"/>
      <c r="Y915" s="12"/>
      <c r="Z915" s="12"/>
      <c r="AA915" s="12"/>
    </row>
    <row r="916" spans="1:27" ht="15.75" customHeight="1">
      <c r="A916" s="12"/>
      <c r="B916" s="12"/>
      <c r="C916" s="12"/>
      <c r="D916" s="12"/>
      <c r="E916" s="12"/>
      <c r="F916" s="12"/>
      <c r="G916" s="12"/>
      <c r="H916" s="12"/>
      <c r="I916" s="12"/>
      <c r="J916" s="12"/>
      <c r="K916" s="12"/>
      <c r="L916" s="12"/>
      <c r="M916" s="12"/>
      <c r="N916" s="12"/>
      <c r="O916" s="12"/>
      <c r="P916" s="12"/>
      <c r="Q916" s="12"/>
      <c r="R916" s="12"/>
      <c r="S916" s="12"/>
      <c r="T916" s="12"/>
      <c r="U916" s="12"/>
      <c r="W916" s="67"/>
      <c r="X916" s="12"/>
      <c r="Y916" s="12"/>
      <c r="Z916" s="12"/>
      <c r="AA916" s="12"/>
    </row>
    <row r="917" spans="1:27" ht="15.75" customHeight="1">
      <c r="A917" s="12"/>
      <c r="B917" s="12"/>
      <c r="C917" s="12"/>
      <c r="D917" s="12"/>
      <c r="E917" s="12"/>
      <c r="F917" s="12"/>
      <c r="G917" s="12"/>
      <c r="H917" s="12"/>
      <c r="I917" s="12"/>
      <c r="J917" s="12"/>
      <c r="K917" s="12"/>
      <c r="L917" s="12"/>
      <c r="M917" s="12"/>
      <c r="N917" s="12"/>
      <c r="O917" s="12"/>
      <c r="P917" s="12"/>
      <c r="Q917" s="12"/>
      <c r="R917" s="12"/>
      <c r="S917" s="12"/>
      <c r="T917" s="12"/>
      <c r="U917" s="12"/>
      <c r="W917" s="67"/>
      <c r="X917" s="12"/>
      <c r="Y917" s="12"/>
      <c r="Z917" s="12"/>
      <c r="AA917" s="12"/>
    </row>
    <row r="918" spans="1:27" ht="15.75" customHeight="1">
      <c r="A918" s="12"/>
      <c r="B918" s="12"/>
      <c r="C918" s="12"/>
      <c r="D918" s="12"/>
      <c r="E918" s="12"/>
      <c r="F918" s="12"/>
      <c r="G918" s="12"/>
      <c r="H918" s="12"/>
      <c r="I918" s="12"/>
      <c r="J918" s="12"/>
      <c r="K918" s="12"/>
      <c r="L918" s="12"/>
      <c r="M918" s="12"/>
      <c r="N918" s="12"/>
      <c r="O918" s="12"/>
      <c r="P918" s="12"/>
      <c r="Q918" s="12"/>
      <c r="R918" s="12"/>
      <c r="S918" s="12"/>
      <c r="T918" s="12"/>
      <c r="U918" s="12"/>
      <c r="W918" s="67"/>
      <c r="X918" s="12"/>
      <c r="Y918" s="12"/>
      <c r="Z918" s="12"/>
      <c r="AA918" s="12"/>
    </row>
    <row r="919" spans="1:27" ht="15.75" customHeight="1">
      <c r="A919" s="12"/>
      <c r="B919" s="12"/>
      <c r="C919" s="12"/>
      <c r="D919" s="12"/>
      <c r="E919" s="12"/>
      <c r="F919" s="12"/>
      <c r="G919" s="12"/>
      <c r="H919" s="12"/>
      <c r="I919" s="12"/>
      <c r="J919" s="12"/>
      <c r="K919" s="12"/>
      <c r="L919" s="12"/>
      <c r="M919" s="12"/>
      <c r="N919" s="12"/>
      <c r="O919" s="12"/>
      <c r="P919" s="12"/>
      <c r="Q919" s="12"/>
      <c r="R919" s="12"/>
      <c r="S919" s="12"/>
      <c r="T919" s="12"/>
      <c r="U919" s="12"/>
      <c r="W919" s="67"/>
      <c r="X919" s="12"/>
      <c r="Y919" s="12"/>
      <c r="Z919" s="12"/>
      <c r="AA919" s="12"/>
    </row>
    <row r="920" spans="1:27" ht="15.75" customHeight="1">
      <c r="A920" s="12"/>
      <c r="B920" s="12"/>
      <c r="C920" s="12"/>
      <c r="D920" s="12"/>
      <c r="E920" s="12"/>
      <c r="F920" s="12"/>
      <c r="G920" s="12"/>
      <c r="H920" s="12"/>
      <c r="I920" s="12"/>
      <c r="J920" s="12"/>
      <c r="K920" s="12"/>
      <c r="L920" s="12"/>
      <c r="M920" s="12"/>
      <c r="N920" s="12"/>
      <c r="O920" s="12"/>
      <c r="P920" s="12"/>
      <c r="Q920" s="12"/>
      <c r="R920" s="12"/>
      <c r="S920" s="12"/>
      <c r="T920" s="12"/>
      <c r="U920" s="12"/>
      <c r="W920" s="67"/>
      <c r="X920" s="12"/>
      <c r="Y920" s="12"/>
      <c r="Z920" s="12"/>
      <c r="AA920" s="12"/>
    </row>
    <row r="921" spans="1:27" ht="15.75" customHeight="1">
      <c r="A921" s="12"/>
      <c r="B921" s="12"/>
      <c r="C921" s="12"/>
      <c r="D921" s="12"/>
      <c r="E921" s="12"/>
      <c r="F921" s="12"/>
      <c r="G921" s="12"/>
      <c r="H921" s="12"/>
      <c r="I921" s="12"/>
      <c r="J921" s="12"/>
      <c r="K921" s="12"/>
      <c r="L921" s="12"/>
      <c r="M921" s="12"/>
      <c r="N921" s="12"/>
      <c r="O921" s="12"/>
      <c r="P921" s="12"/>
      <c r="Q921" s="12"/>
      <c r="R921" s="12"/>
      <c r="S921" s="12"/>
      <c r="T921" s="12"/>
      <c r="U921" s="12"/>
      <c r="W921" s="67"/>
      <c r="X921" s="12"/>
      <c r="Y921" s="12"/>
      <c r="Z921" s="12"/>
      <c r="AA921" s="12"/>
    </row>
    <row r="922" spans="1:27" ht="15.75" customHeight="1">
      <c r="A922" s="12"/>
      <c r="B922" s="12"/>
      <c r="C922" s="12"/>
      <c r="D922" s="12"/>
      <c r="E922" s="12"/>
      <c r="F922" s="12"/>
      <c r="G922" s="12"/>
      <c r="H922" s="12"/>
      <c r="I922" s="12"/>
      <c r="J922" s="12"/>
      <c r="K922" s="12"/>
      <c r="L922" s="12"/>
      <c r="M922" s="12"/>
      <c r="N922" s="12"/>
      <c r="O922" s="12"/>
      <c r="P922" s="12"/>
      <c r="Q922" s="12"/>
      <c r="R922" s="12"/>
      <c r="S922" s="12"/>
      <c r="T922" s="12"/>
      <c r="U922" s="12"/>
      <c r="W922" s="67"/>
      <c r="X922" s="12"/>
      <c r="Y922" s="12"/>
      <c r="Z922" s="12"/>
      <c r="AA922" s="12"/>
    </row>
    <row r="923" spans="1:27" ht="15.75" customHeight="1">
      <c r="A923" s="12"/>
      <c r="B923" s="12"/>
      <c r="C923" s="12"/>
      <c r="D923" s="12"/>
      <c r="E923" s="12"/>
      <c r="F923" s="12"/>
      <c r="G923" s="12"/>
      <c r="H923" s="12"/>
      <c r="I923" s="12"/>
      <c r="J923" s="12"/>
      <c r="K923" s="12"/>
      <c r="L923" s="12"/>
      <c r="M923" s="12"/>
      <c r="N923" s="12"/>
      <c r="O923" s="12"/>
      <c r="P923" s="12"/>
      <c r="Q923" s="12"/>
      <c r="R923" s="12"/>
      <c r="S923" s="12"/>
      <c r="T923" s="12"/>
      <c r="U923" s="12"/>
      <c r="W923" s="67"/>
      <c r="X923" s="12"/>
      <c r="Y923" s="12"/>
      <c r="Z923" s="12"/>
      <c r="AA923" s="12"/>
    </row>
    <row r="924" spans="1:27" ht="15.75" customHeight="1">
      <c r="A924" s="12"/>
      <c r="B924" s="12"/>
      <c r="C924" s="12"/>
      <c r="D924" s="12"/>
      <c r="E924" s="12"/>
      <c r="F924" s="12"/>
      <c r="G924" s="12"/>
      <c r="H924" s="12"/>
      <c r="I924" s="12"/>
      <c r="J924" s="12"/>
      <c r="K924" s="12"/>
      <c r="L924" s="12"/>
      <c r="M924" s="12"/>
      <c r="N924" s="12"/>
      <c r="O924" s="12"/>
      <c r="P924" s="12"/>
      <c r="Q924" s="12"/>
      <c r="R924" s="12"/>
      <c r="S924" s="12"/>
      <c r="T924" s="12"/>
      <c r="U924" s="12"/>
      <c r="W924" s="67"/>
      <c r="X924" s="12"/>
      <c r="Y924" s="12"/>
      <c r="Z924" s="12"/>
      <c r="AA924" s="12"/>
    </row>
    <row r="925" spans="1:27" ht="15.75" customHeight="1">
      <c r="A925" s="12"/>
      <c r="B925" s="12"/>
      <c r="C925" s="12"/>
      <c r="D925" s="12"/>
      <c r="E925" s="12"/>
      <c r="F925" s="12"/>
      <c r="G925" s="12"/>
      <c r="H925" s="12"/>
      <c r="I925" s="12"/>
      <c r="J925" s="12"/>
      <c r="K925" s="12"/>
      <c r="L925" s="12"/>
      <c r="M925" s="12"/>
      <c r="N925" s="12"/>
      <c r="O925" s="12"/>
      <c r="P925" s="12"/>
      <c r="Q925" s="12"/>
      <c r="R925" s="12"/>
      <c r="S925" s="12"/>
      <c r="T925" s="12"/>
      <c r="U925" s="12"/>
      <c r="W925" s="67"/>
      <c r="X925" s="12"/>
      <c r="Y925" s="12"/>
      <c r="Z925" s="12"/>
      <c r="AA925" s="12"/>
    </row>
    <row r="926" spans="1:27" ht="15.75" customHeight="1">
      <c r="A926" s="12"/>
      <c r="B926" s="12"/>
      <c r="C926" s="12"/>
      <c r="D926" s="12"/>
      <c r="E926" s="12"/>
      <c r="F926" s="12"/>
      <c r="G926" s="12"/>
      <c r="H926" s="12"/>
      <c r="I926" s="12"/>
      <c r="J926" s="12"/>
      <c r="K926" s="12"/>
      <c r="L926" s="12"/>
      <c r="M926" s="12"/>
      <c r="N926" s="12"/>
      <c r="O926" s="12"/>
      <c r="P926" s="12"/>
      <c r="Q926" s="12"/>
      <c r="R926" s="12"/>
      <c r="S926" s="12"/>
      <c r="T926" s="12"/>
      <c r="U926" s="12"/>
      <c r="W926" s="67"/>
      <c r="X926" s="12"/>
      <c r="Y926" s="12"/>
      <c r="Z926" s="12"/>
      <c r="AA926" s="12"/>
    </row>
    <row r="927" spans="1:27" ht="15.75" customHeight="1">
      <c r="A927" s="12"/>
      <c r="B927" s="12"/>
      <c r="C927" s="12"/>
      <c r="D927" s="12"/>
      <c r="E927" s="12"/>
      <c r="F927" s="12"/>
      <c r="G927" s="12"/>
      <c r="H927" s="12"/>
      <c r="I927" s="12"/>
      <c r="J927" s="12"/>
      <c r="K927" s="12"/>
      <c r="L927" s="12"/>
      <c r="M927" s="12"/>
      <c r="N927" s="12"/>
      <c r="O927" s="12"/>
      <c r="P927" s="12"/>
      <c r="Q927" s="12"/>
      <c r="R927" s="12"/>
      <c r="S927" s="12"/>
      <c r="T927" s="12"/>
      <c r="U927" s="12"/>
      <c r="W927" s="67"/>
      <c r="X927" s="12"/>
      <c r="Y927" s="12"/>
      <c r="Z927" s="12"/>
      <c r="AA927" s="12"/>
    </row>
    <row r="928" spans="1:27" ht="15.75" customHeight="1">
      <c r="A928" s="12"/>
      <c r="B928" s="12"/>
      <c r="C928" s="12"/>
      <c r="D928" s="12"/>
      <c r="E928" s="12"/>
      <c r="F928" s="12"/>
      <c r="G928" s="12"/>
      <c r="H928" s="12"/>
      <c r="I928" s="12"/>
      <c r="J928" s="12"/>
      <c r="K928" s="12"/>
      <c r="L928" s="12"/>
      <c r="M928" s="12"/>
      <c r="N928" s="12"/>
      <c r="O928" s="12"/>
      <c r="P928" s="12"/>
      <c r="Q928" s="12"/>
      <c r="R928" s="12"/>
      <c r="S928" s="12"/>
      <c r="T928" s="12"/>
      <c r="U928" s="12"/>
      <c r="W928" s="67"/>
      <c r="X928" s="12"/>
      <c r="Y928" s="12"/>
      <c r="Z928" s="12"/>
      <c r="AA928" s="12"/>
    </row>
    <row r="929" spans="1:27" ht="15.75" customHeight="1">
      <c r="A929" s="12"/>
      <c r="B929" s="12"/>
      <c r="C929" s="12"/>
      <c r="D929" s="12"/>
      <c r="E929" s="12"/>
      <c r="F929" s="12"/>
      <c r="G929" s="12"/>
      <c r="H929" s="12"/>
      <c r="I929" s="12"/>
      <c r="J929" s="12"/>
      <c r="K929" s="12"/>
      <c r="L929" s="12"/>
      <c r="M929" s="12"/>
      <c r="N929" s="12"/>
      <c r="O929" s="12"/>
      <c r="P929" s="12"/>
      <c r="Q929" s="12"/>
      <c r="R929" s="12"/>
      <c r="S929" s="12"/>
      <c r="T929" s="12"/>
      <c r="U929" s="12"/>
      <c r="W929" s="67"/>
      <c r="X929" s="12"/>
      <c r="Y929" s="12"/>
      <c r="Z929" s="12"/>
      <c r="AA929" s="12"/>
    </row>
    <row r="930" spans="1:27" ht="15.75" customHeight="1">
      <c r="A930" s="12"/>
      <c r="B930" s="12"/>
      <c r="C930" s="12"/>
      <c r="D930" s="12"/>
      <c r="E930" s="12"/>
      <c r="F930" s="12"/>
      <c r="G930" s="12"/>
      <c r="H930" s="12"/>
      <c r="I930" s="12"/>
      <c r="J930" s="12"/>
      <c r="K930" s="12"/>
      <c r="L930" s="12"/>
      <c r="M930" s="12"/>
      <c r="N930" s="12"/>
      <c r="O930" s="12"/>
      <c r="P930" s="12"/>
      <c r="Q930" s="12"/>
      <c r="R930" s="12"/>
      <c r="S930" s="12"/>
      <c r="T930" s="12"/>
      <c r="U930" s="12"/>
      <c r="W930" s="67"/>
      <c r="X930" s="12"/>
      <c r="Y930" s="12"/>
      <c r="Z930" s="12"/>
      <c r="AA930" s="12"/>
    </row>
    <row r="931" spans="1:27" ht="15.75" customHeight="1">
      <c r="A931" s="12"/>
      <c r="B931" s="12"/>
      <c r="C931" s="12"/>
      <c r="D931" s="12"/>
      <c r="E931" s="12"/>
      <c r="F931" s="12"/>
      <c r="G931" s="12"/>
      <c r="H931" s="12"/>
      <c r="I931" s="12"/>
      <c r="J931" s="12"/>
      <c r="K931" s="12"/>
      <c r="L931" s="12"/>
      <c r="M931" s="12"/>
      <c r="N931" s="12"/>
      <c r="O931" s="12"/>
      <c r="P931" s="12"/>
      <c r="Q931" s="12"/>
      <c r="R931" s="12"/>
      <c r="S931" s="12"/>
      <c r="T931" s="12"/>
      <c r="U931" s="12"/>
      <c r="W931" s="67"/>
      <c r="X931" s="12"/>
      <c r="Y931" s="12"/>
      <c r="Z931" s="12"/>
      <c r="AA931" s="12"/>
    </row>
    <row r="932" spans="1:27" ht="15.75" customHeight="1">
      <c r="A932" s="12"/>
      <c r="B932" s="12"/>
      <c r="C932" s="12"/>
      <c r="D932" s="12"/>
      <c r="E932" s="12"/>
      <c r="F932" s="12"/>
      <c r="G932" s="12"/>
      <c r="H932" s="12"/>
      <c r="I932" s="12"/>
      <c r="J932" s="12"/>
      <c r="K932" s="12"/>
      <c r="L932" s="12"/>
      <c r="M932" s="12"/>
      <c r="N932" s="12"/>
      <c r="O932" s="12"/>
      <c r="P932" s="12"/>
      <c r="Q932" s="12"/>
      <c r="R932" s="12"/>
      <c r="S932" s="12"/>
      <c r="T932" s="12"/>
      <c r="U932" s="12"/>
      <c r="W932" s="67"/>
      <c r="X932" s="12"/>
      <c r="Y932" s="12"/>
      <c r="Z932" s="12"/>
      <c r="AA932" s="12"/>
    </row>
    <row r="933" spans="1:27" ht="15.75" customHeight="1">
      <c r="A933" s="12"/>
      <c r="B933" s="12"/>
      <c r="C933" s="12"/>
      <c r="D933" s="12"/>
      <c r="E933" s="12"/>
      <c r="F933" s="12"/>
      <c r="G933" s="12"/>
      <c r="H933" s="12"/>
      <c r="I933" s="12"/>
      <c r="J933" s="12"/>
      <c r="K933" s="12"/>
      <c r="L933" s="12"/>
      <c r="M933" s="12"/>
      <c r="N933" s="12"/>
      <c r="O933" s="12"/>
      <c r="P933" s="12"/>
      <c r="Q933" s="12"/>
      <c r="R933" s="12"/>
      <c r="S933" s="12"/>
      <c r="T933" s="12"/>
      <c r="U933" s="12"/>
      <c r="W933" s="67"/>
      <c r="X933" s="12"/>
      <c r="Y933" s="12"/>
      <c r="Z933" s="12"/>
      <c r="AA933" s="12"/>
    </row>
    <row r="934" spans="1:27" ht="15.75" customHeight="1">
      <c r="A934" s="12"/>
      <c r="B934" s="12"/>
      <c r="C934" s="12"/>
      <c r="D934" s="12"/>
      <c r="E934" s="12"/>
      <c r="F934" s="12"/>
      <c r="G934" s="12"/>
      <c r="H934" s="12"/>
      <c r="I934" s="12"/>
      <c r="J934" s="12"/>
      <c r="K934" s="12"/>
      <c r="L934" s="12"/>
      <c r="M934" s="12"/>
      <c r="N934" s="12"/>
      <c r="O934" s="12"/>
      <c r="P934" s="12"/>
      <c r="Q934" s="12"/>
      <c r="R934" s="12"/>
      <c r="S934" s="12"/>
      <c r="T934" s="12"/>
      <c r="U934" s="12"/>
      <c r="W934" s="67"/>
      <c r="X934" s="12"/>
      <c r="Y934" s="12"/>
      <c r="Z934" s="12"/>
      <c r="AA934" s="12"/>
    </row>
    <row r="935" spans="1:27" ht="15.75" customHeight="1">
      <c r="A935" s="12"/>
      <c r="B935" s="12"/>
      <c r="C935" s="12"/>
      <c r="D935" s="12"/>
      <c r="E935" s="12"/>
      <c r="F935" s="12"/>
      <c r="G935" s="12"/>
      <c r="H935" s="12"/>
      <c r="I935" s="12"/>
      <c r="J935" s="12"/>
      <c r="K935" s="12"/>
      <c r="L935" s="12"/>
      <c r="M935" s="12"/>
      <c r="N935" s="12"/>
      <c r="O935" s="12"/>
      <c r="P935" s="12"/>
      <c r="Q935" s="12"/>
      <c r="R935" s="12"/>
      <c r="S935" s="12"/>
      <c r="T935" s="12"/>
      <c r="U935" s="12"/>
      <c r="W935" s="67"/>
      <c r="X935" s="12"/>
      <c r="Y935" s="12"/>
      <c r="Z935" s="12"/>
      <c r="AA935" s="12"/>
    </row>
    <row r="936" spans="1:27" ht="15.75" customHeight="1">
      <c r="A936" s="12"/>
      <c r="B936" s="12"/>
      <c r="C936" s="12"/>
      <c r="D936" s="12"/>
      <c r="E936" s="12"/>
      <c r="F936" s="12"/>
      <c r="G936" s="12"/>
      <c r="H936" s="12"/>
      <c r="I936" s="12"/>
      <c r="J936" s="12"/>
      <c r="K936" s="12"/>
      <c r="L936" s="12"/>
      <c r="M936" s="12"/>
      <c r="N936" s="12"/>
      <c r="O936" s="12"/>
      <c r="P936" s="12"/>
      <c r="Q936" s="12"/>
      <c r="R936" s="12"/>
      <c r="S936" s="12"/>
      <c r="T936" s="12"/>
      <c r="U936" s="12"/>
      <c r="W936" s="67"/>
      <c r="X936" s="12"/>
      <c r="Y936" s="12"/>
      <c r="Z936" s="12"/>
      <c r="AA936" s="12"/>
    </row>
    <row r="937" spans="1:27" ht="15.75" customHeight="1">
      <c r="A937" s="12"/>
      <c r="B937" s="12"/>
      <c r="C937" s="12"/>
      <c r="D937" s="12"/>
      <c r="E937" s="12"/>
      <c r="F937" s="12"/>
      <c r="G937" s="12"/>
      <c r="H937" s="12"/>
      <c r="I937" s="12"/>
      <c r="J937" s="12"/>
      <c r="K937" s="12"/>
      <c r="L937" s="12"/>
      <c r="M937" s="12"/>
      <c r="N937" s="12"/>
      <c r="O937" s="12"/>
      <c r="P937" s="12"/>
      <c r="Q937" s="12"/>
      <c r="R937" s="12"/>
      <c r="S937" s="12"/>
      <c r="T937" s="12"/>
      <c r="U937" s="12"/>
      <c r="W937" s="67"/>
      <c r="X937" s="12"/>
      <c r="Y937" s="12"/>
      <c r="Z937" s="12"/>
      <c r="AA937" s="12"/>
    </row>
    <row r="938" spans="1:27" ht="15.75" customHeight="1">
      <c r="A938" s="12"/>
      <c r="B938" s="12"/>
      <c r="C938" s="12"/>
      <c r="D938" s="12"/>
      <c r="E938" s="12"/>
      <c r="F938" s="12"/>
      <c r="G938" s="12"/>
      <c r="H938" s="12"/>
      <c r="I938" s="12"/>
      <c r="J938" s="12"/>
      <c r="K938" s="12"/>
      <c r="L938" s="12"/>
      <c r="M938" s="12"/>
      <c r="N938" s="12"/>
      <c r="O938" s="12"/>
      <c r="P938" s="12"/>
      <c r="Q938" s="12"/>
      <c r="R938" s="12"/>
      <c r="S938" s="12"/>
      <c r="T938" s="12"/>
      <c r="U938" s="12"/>
      <c r="W938" s="67"/>
      <c r="X938" s="12"/>
      <c r="Y938" s="12"/>
      <c r="Z938" s="12"/>
      <c r="AA938" s="12"/>
    </row>
    <row r="939" spans="1:27" ht="15.75" customHeight="1">
      <c r="A939" s="12"/>
      <c r="B939" s="12"/>
      <c r="C939" s="12"/>
      <c r="D939" s="12"/>
      <c r="E939" s="12"/>
      <c r="F939" s="12"/>
      <c r="G939" s="12"/>
      <c r="H939" s="12"/>
      <c r="I939" s="12"/>
      <c r="J939" s="12"/>
      <c r="K939" s="12"/>
      <c r="L939" s="12"/>
      <c r="M939" s="12"/>
      <c r="N939" s="12"/>
      <c r="O939" s="12"/>
      <c r="P939" s="12"/>
      <c r="Q939" s="12"/>
      <c r="R939" s="12"/>
      <c r="S939" s="12"/>
      <c r="T939" s="12"/>
      <c r="U939" s="12"/>
      <c r="W939" s="67"/>
      <c r="X939" s="12"/>
      <c r="Y939" s="12"/>
      <c r="Z939" s="12"/>
      <c r="AA939" s="12"/>
    </row>
    <row r="940" spans="1:27" ht="15.75" customHeight="1">
      <c r="A940" s="12"/>
      <c r="B940" s="12"/>
      <c r="C940" s="12"/>
      <c r="D940" s="12"/>
      <c r="E940" s="12"/>
      <c r="F940" s="12"/>
      <c r="G940" s="12"/>
      <c r="H940" s="12"/>
      <c r="I940" s="12"/>
      <c r="J940" s="12"/>
      <c r="K940" s="12"/>
      <c r="L940" s="12"/>
      <c r="M940" s="12"/>
      <c r="N940" s="12"/>
      <c r="O940" s="12"/>
      <c r="P940" s="12"/>
      <c r="Q940" s="12"/>
      <c r="R940" s="12"/>
      <c r="S940" s="12"/>
      <c r="T940" s="12"/>
      <c r="U940" s="12"/>
      <c r="W940" s="67"/>
      <c r="X940" s="12"/>
      <c r="Y940" s="12"/>
      <c r="Z940" s="12"/>
      <c r="AA940" s="12"/>
    </row>
    <row r="941" spans="1:27" ht="15.75" customHeight="1">
      <c r="A941" s="12"/>
      <c r="B941" s="12"/>
      <c r="C941" s="12"/>
      <c r="D941" s="12"/>
      <c r="E941" s="12"/>
      <c r="F941" s="12"/>
      <c r="G941" s="12"/>
      <c r="H941" s="12"/>
      <c r="I941" s="12"/>
      <c r="J941" s="12"/>
      <c r="K941" s="12"/>
      <c r="L941" s="12"/>
      <c r="M941" s="12"/>
      <c r="N941" s="12"/>
      <c r="O941" s="12"/>
      <c r="P941" s="12"/>
      <c r="Q941" s="12"/>
      <c r="R941" s="12"/>
      <c r="S941" s="12"/>
      <c r="T941" s="12"/>
      <c r="U941" s="12"/>
      <c r="W941" s="67"/>
      <c r="X941" s="12"/>
      <c r="Y941" s="12"/>
      <c r="Z941" s="12"/>
      <c r="AA941" s="12"/>
    </row>
    <row r="942" spans="1:27" ht="15.75" customHeight="1">
      <c r="A942" s="12"/>
      <c r="B942" s="12"/>
      <c r="C942" s="12"/>
      <c r="D942" s="12"/>
      <c r="E942" s="12"/>
      <c r="F942" s="12"/>
      <c r="G942" s="12"/>
      <c r="H942" s="12"/>
      <c r="I942" s="12"/>
      <c r="J942" s="12"/>
      <c r="K942" s="12"/>
      <c r="L942" s="12"/>
      <c r="M942" s="12"/>
      <c r="N942" s="12"/>
      <c r="O942" s="12"/>
      <c r="P942" s="12"/>
      <c r="Q942" s="12"/>
      <c r="R942" s="12"/>
      <c r="S942" s="12"/>
      <c r="T942" s="12"/>
      <c r="U942" s="12"/>
      <c r="W942" s="67"/>
      <c r="X942" s="12"/>
      <c r="Y942" s="12"/>
      <c r="Z942" s="12"/>
      <c r="AA942" s="12"/>
    </row>
    <row r="943" spans="1:27" ht="15.75" customHeight="1">
      <c r="A943" s="12"/>
      <c r="B943" s="12"/>
      <c r="C943" s="12"/>
      <c r="D943" s="12"/>
      <c r="E943" s="12"/>
      <c r="F943" s="12"/>
      <c r="G943" s="12"/>
      <c r="H943" s="12"/>
      <c r="I943" s="12"/>
      <c r="J943" s="12"/>
      <c r="K943" s="12"/>
      <c r="L943" s="12"/>
      <c r="M943" s="12"/>
      <c r="N943" s="12"/>
      <c r="O943" s="12"/>
      <c r="P943" s="12"/>
      <c r="Q943" s="12"/>
      <c r="R943" s="12"/>
      <c r="S943" s="12"/>
      <c r="T943" s="12"/>
      <c r="U943" s="12"/>
      <c r="W943" s="67"/>
      <c r="X943" s="12"/>
      <c r="Y943" s="12"/>
      <c r="Z943" s="12"/>
      <c r="AA943" s="12"/>
    </row>
    <row r="944" spans="1:27" ht="15.75" customHeight="1">
      <c r="A944" s="12"/>
      <c r="B944" s="12"/>
      <c r="C944" s="12"/>
      <c r="D944" s="12"/>
      <c r="E944" s="12"/>
      <c r="F944" s="12"/>
      <c r="G944" s="12"/>
      <c r="H944" s="12"/>
      <c r="I944" s="12"/>
      <c r="J944" s="12"/>
      <c r="K944" s="12"/>
      <c r="L944" s="12"/>
      <c r="M944" s="12"/>
      <c r="N944" s="12"/>
      <c r="O944" s="12"/>
      <c r="P944" s="12"/>
      <c r="Q944" s="12"/>
      <c r="R944" s="12"/>
      <c r="S944" s="12"/>
      <c r="T944" s="12"/>
      <c r="U944" s="12"/>
      <c r="W944" s="67"/>
      <c r="X944" s="12"/>
      <c r="Y944" s="12"/>
      <c r="Z944" s="12"/>
      <c r="AA944" s="12"/>
    </row>
    <row r="945" spans="1:27" ht="15.75" customHeight="1">
      <c r="A945" s="12"/>
      <c r="B945" s="12"/>
      <c r="C945" s="12"/>
      <c r="D945" s="12"/>
      <c r="E945" s="12"/>
      <c r="F945" s="12"/>
      <c r="G945" s="12"/>
      <c r="H945" s="12"/>
      <c r="I945" s="12"/>
      <c r="J945" s="12"/>
      <c r="K945" s="12"/>
      <c r="L945" s="12"/>
      <c r="M945" s="12"/>
      <c r="N945" s="12"/>
      <c r="O945" s="12"/>
      <c r="P945" s="12"/>
      <c r="Q945" s="12"/>
      <c r="R945" s="12"/>
      <c r="S945" s="12"/>
      <c r="T945" s="12"/>
      <c r="U945" s="12"/>
      <c r="W945" s="67"/>
      <c r="X945" s="12"/>
      <c r="Y945" s="12"/>
      <c r="Z945" s="12"/>
      <c r="AA945" s="12"/>
    </row>
    <row r="946" spans="1:27" ht="15.75" customHeight="1">
      <c r="A946" s="12"/>
      <c r="B946" s="12"/>
      <c r="C946" s="12"/>
      <c r="D946" s="12"/>
      <c r="E946" s="12"/>
      <c r="F946" s="12"/>
      <c r="G946" s="12"/>
      <c r="H946" s="12"/>
      <c r="I946" s="12"/>
      <c r="J946" s="12"/>
      <c r="K946" s="12"/>
      <c r="L946" s="12"/>
      <c r="M946" s="12"/>
      <c r="N946" s="12"/>
      <c r="O946" s="12"/>
      <c r="P946" s="12"/>
      <c r="Q946" s="12"/>
      <c r="R946" s="12"/>
      <c r="S946" s="12"/>
      <c r="T946" s="12"/>
      <c r="U946" s="12"/>
      <c r="W946" s="67"/>
      <c r="X946" s="12"/>
      <c r="Y946" s="12"/>
      <c r="Z946" s="12"/>
      <c r="AA946" s="12"/>
    </row>
    <row r="947" spans="1:27" ht="15.75" customHeight="1">
      <c r="A947" s="12"/>
      <c r="B947" s="12"/>
      <c r="C947" s="12"/>
      <c r="D947" s="12"/>
      <c r="E947" s="12"/>
      <c r="F947" s="12"/>
      <c r="G947" s="12"/>
      <c r="H947" s="12"/>
      <c r="I947" s="12"/>
      <c r="J947" s="12"/>
      <c r="K947" s="12"/>
      <c r="L947" s="12"/>
      <c r="M947" s="12"/>
      <c r="N947" s="12"/>
      <c r="O947" s="12"/>
      <c r="P947" s="12"/>
      <c r="Q947" s="12"/>
      <c r="R947" s="12"/>
      <c r="S947" s="12"/>
      <c r="T947" s="12"/>
      <c r="U947" s="12"/>
      <c r="W947" s="67"/>
      <c r="X947" s="12"/>
      <c r="Y947" s="12"/>
      <c r="Z947" s="12"/>
      <c r="AA947" s="12"/>
    </row>
    <row r="948" spans="1:27" ht="15.75" customHeight="1">
      <c r="A948" s="12"/>
      <c r="B948" s="12"/>
      <c r="C948" s="12"/>
      <c r="D948" s="12"/>
      <c r="E948" s="12"/>
      <c r="F948" s="12"/>
      <c r="G948" s="12"/>
      <c r="H948" s="12"/>
      <c r="I948" s="12"/>
      <c r="J948" s="12"/>
      <c r="K948" s="12"/>
      <c r="L948" s="12"/>
      <c r="M948" s="12"/>
      <c r="N948" s="12"/>
      <c r="O948" s="12"/>
      <c r="P948" s="12"/>
      <c r="Q948" s="12"/>
      <c r="R948" s="12"/>
      <c r="S948" s="12"/>
      <c r="T948" s="12"/>
      <c r="U948" s="12"/>
      <c r="W948" s="67"/>
      <c r="X948" s="12"/>
      <c r="Y948" s="12"/>
      <c r="Z948" s="12"/>
      <c r="AA948" s="12"/>
    </row>
    <row r="949" spans="1:27" ht="15.75" customHeight="1">
      <c r="A949" s="12"/>
      <c r="B949" s="12"/>
      <c r="C949" s="12"/>
      <c r="D949" s="12"/>
      <c r="E949" s="12"/>
      <c r="F949" s="12"/>
      <c r="G949" s="12"/>
      <c r="H949" s="12"/>
      <c r="I949" s="12"/>
      <c r="J949" s="12"/>
      <c r="K949" s="12"/>
      <c r="L949" s="12"/>
      <c r="M949" s="12"/>
      <c r="N949" s="12"/>
      <c r="O949" s="12"/>
      <c r="P949" s="12"/>
      <c r="Q949" s="12"/>
      <c r="R949" s="12"/>
      <c r="S949" s="12"/>
      <c r="T949" s="12"/>
      <c r="U949" s="12"/>
      <c r="W949" s="67"/>
      <c r="X949" s="12"/>
      <c r="Y949" s="12"/>
      <c r="Z949" s="12"/>
      <c r="AA949" s="12"/>
    </row>
    <row r="950" spans="1:27" ht="15.75" customHeight="1">
      <c r="A950" s="12"/>
      <c r="B950" s="12"/>
      <c r="C950" s="12"/>
      <c r="D950" s="12"/>
      <c r="E950" s="12"/>
      <c r="F950" s="12"/>
      <c r="G950" s="12"/>
      <c r="H950" s="12"/>
      <c r="I950" s="12"/>
      <c r="J950" s="12"/>
      <c r="K950" s="12"/>
      <c r="L950" s="12"/>
      <c r="M950" s="12"/>
      <c r="N950" s="12"/>
      <c r="O950" s="12"/>
      <c r="P950" s="12"/>
      <c r="Q950" s="12"/>
      <c r="R950" s="12"/>
      <c r="S950" s="12"/>
      <c r="T950" s="12"/>
      <c r="U950" s="12"/>
      <c r="W950" s="67"/>
      <c r="X950" s="12"/>
      <c r="Y950" s="12"/>
      <c r="Z950" s="12"/>
      <c r="AA950" s="12"/>
    </row>
    <row r="951" spans="1:27" ht="15.75" customHeight="1">
      <c r="A951" s="12"/>
      <c r="B951" s="12"/>
      <c r="C951" s="12"/>
      <c r="D951" s="12"/>
      <c r="E951" s="12"/>
      <c r="F951" s="12"/>
      <c r="G951" s="12"/>
      <c r="H951" s="12"/>
      <c r="I951" s="12"/>
      <c r="J951" s="12"/>
      <c r="K951" s="12"/>
      <c r="L951" s="12"/>
      <c r="M951" s="12"/>
      <c r="N951" s="12"/>
      <c r="O951" s="12"/>
      <c r="P951" s="12"/>
      <c r="Q951" s="12"/>
      <c r="R951" s="12"/>
      <c r="S951" s="12"/>
      <c r="T951" s="12"/>
      <c r="U951" s="12"/>
      <c r="W951" s="67"/>
      <c r="X951" s="12"/>
      <c r="Y951" s="12"/>
      <c r="Z951" s="12"/>
      <c r="AA951" s="12"/>
    </row>
    <row r="952" spans="1:27" ht="15.75" customHeight="1">
      <c r="A952" s="12"/>
      <c r="B952" s="12"/>
      <c r="C952" s="12"/>
      <c r="D952" s="12"/>
      <c r="E952" s="12"/>
      <c r="F952" s="12"/>
      <c r="G952" s="12"/>
      <c r="H952" s="12"/>
      <c r="I952" s="12"/>
      <c r="J952" s="12"/>
      <c r="K952" s="12"/>
      <c r="L952" s="12"/>
      <c r="M952" s="12"/>
      <c r="N952" s="12"/>
      <c r="O952" s="12"/>
      <c r="P952" s="12"/>
      <c r="Q952" s="12"/>
      <c r="R952" s="12"/>
      <c r="S952" s="12"/>
      <c r="T952" s="12"/>
      <c r="U952" s="12"/>
      <c r="W952" s="67"/>
      <c r="X952" s="12"/>
      <c r="Y952" s="12"/>
      <c r="Z952" s="12"/>
      <c r="AA952" s="12"/>
    </row>
    <row r="953" spans="1:27" ht="15.75" customHeight="1">
      <c r="A953" s="12"/>
      <c r="B953" s="12"/>
      <c r="C953" s="12"/>
      <c r="D953" s="12"/>
      <c r="E953" s="12"/>
      <c r="F953" s="12"/>
      <c r="G953" s="12"/>
      <c r="H953" s="12"/>
      <c r="I953" s="12"/>
      <c r="J953" s="12"/>
      <c r="K953" s="12"/>
      <c r="L953" s="12"/>
      <c r="M953" s="12"/>
      <c r="N953" s="12"/>
      <c r="O953" s="12"/>
      <c r="P953" s="12"/>
      <c r="Q953" s="12"/>
      <c r="R953" s="12"/>
      <c r="S953" s="12"/>
      <c r="T953" s="12"/>
      <c r="U953" s="12"/>
      <c r="W953" s="67"/>
      <c r="X953" s="12"/>
      <c r="Y953" s="12"/>
      <c r="Z953" s="12"/>
      <c r="AA953" s="12"/>
    </row>
    <row r="954" spans="1:27" ht="15.75" customHeight="1">
      <c r="A954" s="12"/>
      <c r="B954" s="12"/>
      <c r="C954" s="12"/>
      <c r="D954" s="12"/>
      <c r="E954" s="12"/>
      <c r="F954" s="12"/>
      <c r="G954" s="12"/>
      <c r="H954" s="12"/>
      <c r="I954" s="12"/>
      <c r="J954" s="12"/>
      <c r="K954" s="12"/>
      <c r="L954" s="12"/>
      <c r="M954" s="12"/>
      <c r="N954" s="12"/>
      <c r="O954" s="12"/>
      <c r="P954" s="12"/>
      <c r="Q954" s="12"/>
      <c r="R954" s="12"/>
      <c r="S954" s="12"/>
      <c r="T954" s="12"/>
      <c r="U954" s="12"/>
      <c r="W954" s="67"/>
      <c r="X954" s="12"/>
      <c r="Y954" s="12"/>
      <c r="Z954" s="12"/>
      <c r="AA954" s="12"/>
    </row>
    <row r="955" spans="1:27" ht="15.75" customHeight="1">
      <c r="A955" s="12"/>
      <c r="B955" s="12"/>
      <c r="C955" s="12"/>
      <c r="D955" s="12"/>
      <c r="E955" s="12"/>
      <c r="F955" s="12"/>
      <c r="G955" s="12"/>
      <c r="H955" s="12"/>
      <c r="I955" s="12"/>
      <c r="J955" s="12"/>
      <c r="K955" s="12"/>
      <c r="L955" s="12"/>
      <c r="M955" s="12"/>
      <c r="N955" s="12"/>
      <c r="O955" s="12"/>
      <c r="P955" s="12"/>
      <c r="Q955" s="12"/>
      <c r="R955" s="12"/>
      <c r="S955" s="12"/>
      <c r="T955" s="12"/>
      <c r="U955" s="12"/>
      <c r="W955" s="67"/>
      <c r="X955" s="12"/>
      <c r="Y955" s="12"/>
      <c r="Z955" s="12"/>
      <c r="AA955" s="12"/>
    </row>
    <row r="956" spans="1:27" ht="15.75" customHeight="1">
      <c r="A956" s="12"/>
      <c r="B956" s="12"/>
      <c r="C956" s="12"/>
      <c r="D956" s="12"/>
      <c r="E956" s="12"/>
      <c r="F956" s="12"/>
      <c r="G956" s="12"/>
      <c r="H956" s="12"/>
      <c r="I956" s="12"/>
      <c r="J956" s="12"/>
      <c r="K956" s="12"/>
      <c r="L956" s="12"/>
      <c r="M956" s="12"/>
      <c r="N956" s="12"/>
      <c r="O956" s="12"/>
      <c r="P956" s="12"/>
      <c r="Q956" s="12"/>
      <c r="R956" s="12"/>
      <c r="S956" s="12"/>
      <c r="T956" s="12"/>
      <c r="U956" s="12"/>
      <c r="W956" s="67"/>
      <c r="X956" s="12"/>
      <c r="Y956" s="12"/>
      <c r="Z956" s="12"/>
      <c r="AA956" s="12"/>
    </row>
    <row r="957" spans="1:27" ht="15.75" customHeight="1">
      <c r="A957" s="12"/>
      <c r="B957" s="12"/>
      <c r="C957" s="12"/>
      <c r="D957" s="12"/>
      <c r="E957" s="12"/>
      <c r="F957" s="12"/>
      <c r="G957" s="12"/>
      <c r="H957" s="12"/>
      <c r="I957" s="12"/>
      <c r="J957" s="12"/>
      <c r="K957" s="12"/>
      <c r="L957" s="12"/>
      <c r="M957" s="12"/>
      <c r="N957" s="12"/>
      <c r="O957" s="12"/>
      <c r="P957" s="12"/>
      <c r="Q957" s="12"/>
      <c r="R957" s="12"/>
      <c r="S957" s="12"/>
      <c r="T957" s="12"/>
      <c r="U957" s="12"/>
      <c r="W957" s="67"/>
      <c r="X957" s="12"/>
      <c r="Y957" s="12"/>
      <c r="Z957" s="12"/>
      <c r="AA957" s="12"/>
    </row>
    <row r="958" spans="1:27" ht="15.75" customHeight="1">
      <c r="A958" s="12"/>
      <c r="B958" s="12"/>
      <c r="C958" s="12"/>
      <c r="D958" s="12"/>
      <c r="E958" s="12"/>
      <c r="F958" s="12"/>
      <c r="G958" s="12"/>
      <c r="H958" s="12"/>
      <c r="I958" s="12"/>
      <c r="J958" s="12"/>
      <c r="K958" s="12"/>
      <c r="L958" s="12"/>
      <c r="M958" s="12"/>
      <c r="N958" s="12"/>
      <c r="O958" s="12"/>
      <c r="P958" s="12"/>
      <c r="Q958" s="12"/>
      <c r="R958" s="12"/>
      <c r="S958" s="12"/>
      <c r="T958" s="12"/>
      <c r="U958" s="12"/>
      <c r="W958" s="67"/>
      <c r="X958" s="12"/>
      <c r="Y958" s="12"/>
      <c r="Z958" s="12"/>
      <c r="AA958" s="12"/>
    </row>
    <row r="959" spans="1:27" ht="15.75" customHeight="1">
      <c r="A959" s="12"/>
      <c r="B959" s="12"/>
      <c r="C959" s="12"/>
      <c r="D959" s="12"/>
      <c r="E959" s="12"/>
      <c r="F959" s="12"/>
      <c r="G959" s="12"/>
      <c r="H959" s="12"/>
      <c r="I959" s="12"/>
      <c r="J959" s="12"/>
      <c r="K959" s="12"/>
      <c r="L959" s="12"/>
      <c r="M959" s="12"/>
      <c r="N959" s="12"/>
      <c r="O959" s="12"/>
      <c r="P959" s="12"/>
      <c r="Q959" s="12"/>
      <c r="R959" s="12"/>
      <c r="S959" s="12"/>
      <c r="T959" s="12"/>
      <c r="U959" s="12"/>
      <c r="W959" s="67"/>
      <c r="X959" s="12"/>
      <c r="Y959" s="12"/>
      <c r="Z959" s="12"/>
      <c r="AA959" s="12"/>
    </row>
    <row r="960" spans="1:27" ht="15.75" customHeight="1">
      <c r="A960" s="12"/>
      <c r="B960" s="12"/>
      <c r="C960" s="12"/>
      <c r="D960" s="12"/>
      <c r="E960" s="12"/>
      <c r="F960" s="12"/>
      <c r="G960" s="12"/>
      <c r="H960" s="12"/>
      <c r="I960" s="12"/>
      <c r="J960" s="12"/>
      <c r="K960" s="12"/>
      <c r="L960" s="12"/>
      <c r="M960" s="12"/>
      <c r="N960" s="12"/>
      <c r="O960" s="12"/>
      <c r="P960" s="12"/>
      <c r="Q960" s="12"/>
      <c r="R960" s="12"/>
      <c r="S960" s="12"/>
      <c r="T960" s="12"/>
      <c r="U960" s="12"/>
      <c r="W960" s="67"/>
      <c r="X960" s="12"/>
      <c r="Y960" s="12"/>
      <c r="Z960" s="12"/>
      <c r="AA960" s="12"/>
    </row>
    <row r="961" spans="1:27" ht="15.75" customHeight="1">
      <c r="A961" s="12"/>
      <c r="B961" s="12"/>
      <c r="C961" s="12"/>
      <c r="D961" s="12"/>
      <c r="E961" s="12"/>
      <c r="F961" s="12"/>
      <c r="G961" s="12"/>
      <c r="H961" s="12"/>
      <c r="I961" s="12"/>
      <c r="J961" s="12"/>
      <c r="K961" s="12"/>
      <c r="L961" s="12"/>
      <c r="M961" s="12"/>
      <c r="N961" s="12"/>
      <c r="O961" s="12"/>
      <c r="P961" s="12"/>
      <c r="Q961" s="12"/>
      <c r="R961" s="12"/>
      <c r="S961" s="12"/>
      <c r="T961" s="12"/>
      <c r="U961" s="12"/>
      <c r="W961" s="67"/>
      <c r="X961" s="12"/>
      <c r="Y961" s="12"/>
      <c r="Z961" s="12"/>
      <c r="AA961" s="12"/>
    </row>
    <row r="962" spans="1:27" ht="15.75" customHeight="1">
      <c r="A962" s="12"/>
      <c r="B962" s="12"/>
      <c r="C962" s="12"/>
      <c r="D962" s="12"/>
      <c r="E962" s="12"/>
      <c r="F962" s="12"/>
      <c r="G962" s="12"/>
      <c r="H962" s="12"/>
      <c r="I962" s="12"/>
      <c r="J962" s="12"/>
      <c r="K962" s="12"/>
      <c r="L962" s="12"/>
      <c r="M962" s="12"/>
      <c r="N962" s="12"/>
      <c r="O962" s="12"/>
      <c r="P962" s="12"/>
      <c r="Q962" s="12"/>
      <c r="R962" s="12"/>
      <c r="S962" s="12"/>
      <c r="T962" s="12"/>
      <c r="U962" s="12"/>
      <c r="W962" s="67"/>
      <c r="X962" s="12"/>
      <c r="Y962" s="12"/>
      <c r="Z962" s="12"/>
      <c r="AA962" s="12"/>
    </row>
    <row r="963" spans="1:27" ht="15.75" customHeight="1">
      <c r="A963" s="12"/>
      <c r="B963" s="12"/>
      <c r="C963" s="12"/>
      <c r="D963" s="12"/>
      <c r="E963" s="12"/>
      <c r="F963" s="12"/>
      <c r="G963" s="12"/>
      <c r="H963" s="12"/>
      <c r="I963" s="12"/>
      <c r="J963" s="12"/>
      <c r="K963" s="12"/>
      <c r="L963" s="12"/>
      <c r="M963" s="12"/>
      <c r="N963" s="12"/>
      <c r="O963" s="12"/>
      <c r="P963" s="12"/>
      <c r="Q963" s="12"/>
      <c r="R963" s="12"/>
      <c r="S963" s="12"/>
      <c r="T963" s="12"/>
      <c r="U963" s="12"/>
      <c r="W963" s="67"/>
      <c r="X963" s="12"/>
      <c r="Y963" s="12"/>
      <c r="Z963" s="12"/>
      <c r="AA963" s="12"/>
    </row>
    <row r="964" spans="1:27" ht="15.75" customHeight="1">
      <c r="A964" s="12"/>
      <c r="B964" s="12"/>
      <c r="C964" s="12"/>
      <c r="D964" s="12"/>
      <c r="E964" s="12"/>
      <c r="F964" s="12"/>
      <c r="G964" s="12"/>
      <c r="H964" s="12"/>
      <c r="I964" s="12"/>
      <c r="J964" s="12"/>
      <c r="K964" s="12"/>
      <c r="L964" s="12"/>
      <c r="M964" s="12"/>
      <c r="N964" s="12"/>
      <c r="O964" s="12"/>
      <c r="P964" s="12"/>
      <c r="Q964" s="12"/>
      <c r="R964" s="12"/>
      <c r="S964" s="12"/>
      <c r="T964" s="12"/>
      <c r="U964" s="12"/>
      <c r="W964" s="67"/>
      <c r="X964" s="12"/>
      <c r="Y964" s="12"/>
      <c r="Z964" s="12"/>
      <c r="AA964" s="12"/>
    </row>
    <row r="965" spans="1:27" ht="15.75" customHeight="1">
      <c r="A965" s="12"/>
      <c r="B965" s="12"/>
      <c r="C965" s="12"/>
      <c r="D965" s="12"/>
      <c r="E965" s="12"/>
      <c r="F965" s="12"/>
      <c r="G965" s="12"/>
      <c r="H965" s="12"/>
      <c r="I965" s="12"/>
      <c r="J965" s="12"/>
      <c r="K965" s="12"/>
      <c r="L965" s="12"/>
      <c r="M965" s="12"/>
      <c r="N965" s="12"/>
      <c r="O965" s="12"/>
      <c r="P965" s="12"/>
      <c r="Q965" s="12"/>
      <c r="R965" s="12"/>
      <c r="S965" s="12"/>
      <c r="T965" s="12"/>
      <c r="U965" s="12"/>
      <c r="W965" s="67"/>
      <c r="X965" s="12"/>
      <c r="Y965" s="12"/>
      <c r="Z965" s="12"/>
      <c r="AA965" s="12"/>
    </row>
    <row r="966" spans="1:27" ht="15.75" customHeight="1">
      <c r="A966" s="12"/>
      <c r="B966" s="12"/>
      <c r="C966" s="12"/>
      <c r="D966" s="12"/>
      <c r="E966" s="12"/>
      <c r="F966" s="12"/>
      <c r="G966" s="12"/>
      <c r="H966" s="12"/>
      <c r="I966" s="12"/>
      <c r="J966" s="12"/>
      <c r="K966" s="12"/>
      <c r="L966" s="12"/>
      <c r="M966" s="12"/>
      <c r="N966" s="12"/>
      <c r="O966" s="12"/>
      <c r="P966" s="12"/>
      <c r="Q966" s="12"/>
      <c r="R966" s="12"/>
      <c r="S966" s="12"/>
      <c r="T966" s="12"/>
      <c r="U966" s="12"/>
      <c r="W966" s="67"/>
      <c r="X966" s="12"/>
      <c r="Y966" s="12"/>
      <c r="Z966" s="12"/>
      <c r="AA966" s="12"/>
    </row>
    <row r="967" spans="1:27" ht="15.75" customHeight="1">
      <c r="A967" s="12"/>
      <c r="B967" s="12"/>
      <c r="C967" s="12"/>
      <c r="D967" s="12"/>
      <c r="E967" s="12"/>
      <c r="F967" s="12"/>
      <c r="G967" s="12"/>
      <c r="H967" s="12"/>
      <c r="I967" s="12"/>
      <c r="J967" s="12"/>
      <c r="K967" s="12"/>
      <c r="L967" s="12"/>
      <c r="M967" s="12"/>
      <c r="N967" s="12"/>
      <c r="O967" s="12"/>
      <c r="P967" s="12"/>
      <c r="Q967" s="12"/>
      <c r="R967" s="12"/>
      <c r="S967" s="12"/>
      <c r="T967" s="12"/>
      <c r="U967" s="12"/>
      <c r="W967" s="67"/>
      <c r="X967" s="12"/>
      <c r="Y967" s="12"/>
      <c r="Z967" s="12"/>
      <c r="AA967" s="12"/>
    </row>
    <row r="968" spans="1:27" ht="15.75" customHeight="1">
      <c r="A968" s="12"/>
      <c r="B968" s="12"/>
      <c r="C968" s="12"/>
      <c r="D968" s="12"/>
      <c r="E968" s="12"/>
      <c r="F968" s="12"/>
      <c r="G968" s="12"/>
      <c r="H968" s="12"/>
      <c r="I968" s="12"/>
      <c r="J968" s="12"/>
      <c r="K968" s="12"/>
      <c r="L968" s="12"/>
      <c r="M968" s="12"/>
      <c r="N968" s="12"/>
      <c r="O968" s="12"/>
      <c r="P968" s="12"/>
      <c r="Q968" s="12"/>
      <c r="R968" s="12"/>
      <c r="S968" s="12"/>
      <c r="T968" s="12"/>
      <c r="U968" s="12"/>
      <c r="W968" s="67"/>
      <c r="X968" s="12"/>
      <c r="Y968" s="12"/>
      <c r="Z968" s="12"/>
      <c r="AA968" s="12"/>
    </row>
    <row r="969" spans="1:27" ht="15.75" customHeight="1">
      <c r="A969" s="12"/>
      <c r="B969" s="12"/>
      <c r="C969" s="12"/>
      <c r="D969" s="12"/>
      <c r="E969" s="12"/>
      <c r="F969" s="12"/>
      <c r="G969" s="12"/>
      <c r="H969" s="12"/>
      <c r="I969" s="12"/>
      <c r="J969" s="12"/>
      <c r="K969" s="12"/>
      <c r="L969" s="12"/>
      <c r="M969" s="12"/>
      <c r="N969" s="12"/>
      <c r="O969" s="12"/>
      <c r="P969" s="12"/>
      <c r="Q969" s="12"/>
      <c r="R969" s="12"/>
      <c r="S969" s="12"/>
      <c r="T969" s="12"/>
      <c r="U969" s="12"/>
      <c r="W969" s="67"/>
      <c r="X969" s="12"/>
      <c r="Y969" s="12"/>
      <c r="Z969" s="12"/>
      <c r="AA969" s="12"/>
    </row>
    <row r="970" spans="1:27" ht="15.75" customHeight="1">
      <c r="A970" s="12"/>
      <c r="B970" s="12"/>
      <c r="C970" s="12"/>
      <c r="D970" s="12"/>
      <c r="E970" s="12"/>
      <c r="F970" s="12"/>
      <c r="G970" s="12"/>
      <c r="H970" s="12"/>
      <c r="I970" s="12"/>
      <c r="J970" s="12"/>
      <c r="K970" s="12"/>
      <c r="L970" s="12"/>
      <c r="M970" s="12"/>
      <c r="N970" s="12"/>
      <c r="O970" s="12"/>
      <c r="P970" s="12"/>
      <c r="Q970" s="12"/>
      <c r="R970" s="12"/>
      <c r="S970" s="12"/>
      <c r="T970" s="12"/>
      <c r="U970" s="12"/>
      <c r="W970" s="67"/>
      <c r="X970" s="12"/>
      <c r="Y970" s="12"/>
      <c r="Z970" s="12"/>
      <c r="AA970" s="12"/>
    </row>
    <row r="971" spans="1:27" ht="15.75" customHeight="1">
      <c r="A971" s="12"/>
      <c r="B971" s="12"/>
      <c r="C971" s="12"/>
      <c r="D971" s="12"/>
      <c r="E971" s="12"/>
      <c r="F971" s="12"/>
      <c r="G971" s="12"/>
      <c r="H971" s="12"/>
      <c r="I971" s="12"/>
      <c r="J971" s="12"/>
      <c r="K971" s="12"/>
      <c r="L971" s="12"/>
      <c r="M971" s="12"/>
      <c r="N971" s="12"/>
      <c r="O971" s="12"/>
      <c r="P971" s="12"/>
      <c r="Q971" s="12"/>
      <c r="R971" s="12"/>
      <c r="S971" s="12"/>
      <c r="T971" s="12"/>
      <c r="U971" s="12"/>
      <c r="W971" s="67"/>
      <c r="X971" s="12"/>
      <c r="Y971" s="12"/>
      <c r="Z971" s="12"/>
      <c r="AA971" s="12"/>
    </row>
    <row r="972" spans="1:27" ht="15.75" customHeight="1">
      <c r="A972" s="12"/>
      <c r="B972" s="12"/>
      <c r="C972" s="12"/>
      <c r="D972" s="12"/>
      <c r="E972" s="12"/>
      <c r="F972" s="12"/>
      <c r="G972" s="12"/>
      <c r="H972" s="12"/>
      <c r="I972" s="12"/>
      <c r="J972" s="12"/>
      <c r="K972" s="12"/>
      <c r="L972" s="12"/>
      <c r="M972" s="12"/>
      <c r="N972" s="12"/>
      <c r="O972" s="12"/>
      <c r="P972" s="12"/>
      <c r="Q972" s="12"/>
      <c r="R972" s="12"/>
      <c r="S972" s="12"/>
      <c r="T972" s="12"/>
      <c r="U972" s="12"/>
      <c r="W972" s="67"/>
      <c r="X972" s="12"/>
      <c r="Y972" s="12"/>
      <c r="Z972" s="12"/>
      <c r="AA972" s="12"/>
    </row>
    <row r="973" spans="1:27" ht="15.75" customHeight="1">
      <c r="A973" s="12"/>
      <c r="B973" s="12"/>
      <c r="C973" s="12"/>
      <c r="D973" s="12"/>
      <c r="E973" s="12"/>
      <c r="F973" s="12"/>
      <c r="G973" s="12"/>
      <c r="H973" s="12"/>
      <c r="I973" s="12"/>
      <c r="J973" s="12"/>
      <c r="K973" s="12"/>
      <c r="L973" s="12"/>
      <c r="M973" s="12"/>
      <c r="N973" s="12"/>
      <c r="O973" s="12"/>
      <c r="P973" s="12"/>
      <c r="Q973" s="12"/>
      <c r="R973" s="12"/>
      <c r="S973" s="12"/>
      <c r="T973" s="12"/>
      <c r="U973" s="12"/>
      <c r="W973" s="67"/>
      <c r="X973" s="12"/>
      <c r="Y973" s="12"/>
      <c r="Z973" s="12"/>
      <c r="AA973" s="12"/>
    </row>
    <row r="974" spans="1:27" ht="15.75" customHeight="1">
      <c r="A974" s="12"/>
      <c r="B974" s="12"/>
      <c r="C974" s="12"/>
      <c r="D974" s="12"/>
      <c r="E974" s="12"/>
      <c r="F974" s="12"/>
      <c r="G974" s="12"/>
      <c r="H974" s="12"/>
      <c r="I974" s="12"/>
      <c r="J974" s="12"/>
      <c r="K974" s="12"/>
      <c r="L974" s="12"/>
      <c r="M974" s="12"/>
      <c r="N974" s="12"/>
      <c r="O974" s="12"/>
      <c r="P974" s="12"/>
      <c r="Q974" s="12"/>
      <c r="R974" s="12"/>
      <c r="S974" s="12"/>
      <c r="T974" s="12"/>
      <c r="U974" s="12"/>
      <c r="W974" s="67"/>
      <c r="X974" s="12"/>
      <c r="Y974" s="12"/>
      <c r="Z974" s="12"/>
      <c r="AA974" s="12"/>
    </row>
    <row r="975" spans="1:27" ht="15.75" customHeight="1">
      <c r="A975" s="12"/>
      <c r="B975" s="12"/>
      <c r="C975" s="12"/>
      <c r="D975" s="12"/>
      <c r="E975" s="12"/>
      <c r="F975" s="12"/>
      <c r="G975" s="12"/>
      <c r="H975" s="12"/>
      <c r="I975" s="12"/>
      <c r="J975" s="12"/>
      <c r="K975" s="12"/>
      <c r="L975" s="12"/>
      <c r="M975" s="12"/>
      <c r="N975" s="12"/>
      <c r="O975" s="12"/>
      <c r="P975" s="12"/>
      <c r="Q975" s="12"/>
      <c r="R975" s="12"/>
      <c r="S975" s="12"/>
      <c r="T975" s="12"/>
      <c r="U975" s="12"/>
      <c r="W975" s="67"/>
      <c r="X975" s="12"/>
      <c r="Y975" s="12"/>
      <c r="Z975" s="12"/>
      <c r="AA975" s="12"/>
    </row>
    <row r="976" spans="1:27" ht="15.75" customHeight="1">
      <c r="A976" s="12"/>
      <c r="B976" s="12"/>
      <c r="C976" s="12"/>
      <c r="D976" s="12"/>
      <c r="E976" s="12"/>
      <c r="F976" s="12"/>
      <c r="G976" s="12"/>
      <c r="H976" s="12"/>
      <c r="I976" s="12"/>
      <c r="J976" s="12"/>
      <c r="K976" s="12"/>
      <c r="L976" s="12"/>
      <c r="M976" s="12"/>
      <c r="N976" s="12"/>
      <c r="O976" s="12"/>
      <c r="P976" s="12"/>
      <c r="Q976" s="12"/>
      <c r="R976" s="12"/>
      <c r="S976" s="12"/>
      <c r="T976" s="12"/>
      <c r="U976" s="12"/>
      <c r="W976" s="67"/>
      <c r="X976" s="12"/>
      <c r="Y976" s="12"/>
      <c r="Z976" s="12"/>
      <c r="AA976" s="12"/>
    </row>
    <row r="977" spans="1:27" ht="15.75" customHeight="1">
      <c r="A977" s="12"/>
      <c r="B977" s="12"/>
      <c r="C977" s="12"/>
      <c r="D977" s="12"/>
      <c r="E977" s="12"/>
      <c r="F977" s="12"/>
      <c r="G977" s="12"/>
      <c r="H977" s="12"/>
      <c r="I977" s="12"/>
      <c r="J977" s="12"/>
      <c r="K977" s="12"/>
      <c r="L977" s="12"/>
      <c r="M977" s="12"/>
      <c r="N977" s="12"/>
      <c r="O977" s="12"/>
      <c r="P977" s="12"/>
      <c r="Q977" s="12"/>
      <c r="R977" s="12"/>
      <c r="S977" s="12"/>
      <c r="T977" s="12"/>
      <c r="U977" s="12"/>
      <c r="W977" s="67"/>
      <c r="X977" s="12"/>
      <c r="Y977" s="12"/>
      <c r="Z977" s="12"/>
      <c r="AA977" s="12"/>
    </row>
    <row r="978" spans="1:27" ht="15.75" customHeight="1">
      <c r="A978" s="12"/>
      <c r="B978" s="12"/>
      <c r="C978" s="12"/>
      <c r="D978" s="12"/>
      <c r="E978" s="12"/>
      <c r="F978" s="12"/>
      <c r="G978" s="12"/>
      <c r="H978" s="12"/>
      <c r="I978" s="12"/>
      <c r="J978" s="12"/>
      <c r="K978" s="12"/>
      <c r="L978" s="12"/>
      <c r="M978" s="12"/>
      <c r="N978" s="12"/>
      <c r="O978" s="12"/>
      <c r="P978" s="12"/>
      <c r="Q978" s="12"/>
      <c r="R978" s="12"/>
      <c r="S978" s="12"/>
      <c r="T978" s="12"/>
      <c r="U978" s="12"/>
      <c r="W978" s="67"/>
      <c r="X978" s="12"/>
      <c r="Y978" s="12"/>
      <c r="Z978" s="12"/>
      <c r="AA978" s="12"/>
    </row>
    <row r="979" spans="1:27" ht="15.75" customHeight="1">
      <c r="A979" s="12"/>
      <c r="B979" s="12"/>
      <c r="C979" s="12"/>
      <c r="D979" s="12"/>
      <c r="E979" s="12"/>
      <c r="F979" s="12"/>
      <c r="G979" s="12"/>
      <c r="H979" s="12"/>
      <c r="I979" s="12"/>
      <c r="J979" s="12"/>
      <c r="K979" s="12"/>
      <c r="L979" s="12"/>
      <c r="M979" s="12"/>
      <c r="N979" s="12"/>
      <c r="O979" s="12"/>
      <c r="P979" s="12"/>
      <c r="Q979" s="12"/>
      <c r="R979" s="12"/>
      <c r="S979" s="12"/>
      <c r="T979" s="12"/>
      <c r="U979" s="12"/>
      <c r="W979" s="67"/>
      <c r="X979" s="12"/>
      <c r="Y979" s="12"/>
      <c r="Z979" s="12"/>
      <c r="AA979" s="12"/>
    </row>
    <row r="980" spans="1:27" ht="15.75" customHeight="1">
      <c r="A980" s="12"/>
      <c r="B980" s="12"/>
      <c r="C980" s="12"/>
      <c r="D980" s="12"/>
      <c r="E980" s="12"/>
      <c r="F980" s="12"/>
      <c r="G980" s="12"/>
      <c r="H980" s="12"/>
      <c r="I980" s="12"/>
      <c r="J980" s="12"/>
      <c r="K980" s="12"/>
      <c r="L980" s="12"/>
      <c r="M980" s="12"/>
      <c r="N980" s="12"/>
      <c r="O980" s="12"/>
      <c r="P980" s="12"/>
      <c r="Q980" s="12"/>
      <c r="R980" s="12"/>
      <c r="S980" s="12"/>
      <c r="T980" s="12"/>
      <c r="U980" s="12"/>
      <c r="W980" s="67"/>
      <c r="X980" s="12"/>
      <c r="Y980" s="12"/>
      <c r="Z980" s="12"/>
      <c r="AA980" s="12"/>
    </row>
    <row r="981" spans="1:27" ht="15.75" customHeight="1">
      <c r="A981" s="12"/>
      <c r="B981" s="12"/>
      <c r="C981" s="12"/>
      <c r="D981" s="12"/>
      <c r="E981" s="12"/>
      <c r="F981" s="12"/>
      <c r="G981" s="12"/>
      <c r="H981" s="12"/>
      <c r="I981" s="12"/>
      <c r="J981" s="12"/>
      <c r="K981" s="12"/>
      <c r="L981" s="12"/>
      <c r="M981" s="12"/>
      <c r="N981" s="12"/>
      <c r="O981" s="12"/>
      <c r="P981" s="12"/>
      <c r="Q981" s="12"/>
      <c r="R981" s="12"/>
      <c r="S981" s="12"/>
      <c r="T981" s="12"/>
      <c r="U981" s="12"/>
      <c r="W981" s="67"/>
      <c r="X981" s="12"/>
      <c r="Y981" s="12"/>
      <c r="Z981" s="12"/>
      <c r="AA981" s="12"/>
    </row>
    <row r="982" spans="1:27" ht="15.75" customHeight="1">
      <c r="A982" s="12"/>
      <c r="B982" s="12"/>
      <c r="C982" s="12"/>
      <c r="D982" s="12"/>
      <c r="E982" s="12"/>
      <c r="F982" s="12"/>
      <c r="G982" s="12"/>
      <c r="H982" s="12"/>
      <c r="I982" s="12"/>
      <c r="J982" s="12"/>
      <c r="K982" s="12"/>
      <c r="L982" s="12"/>
      <c r="M982" s="12"/>
      <c r="N982" s="12"/>
      <c r="O982" s="12"/>
      <c r="P982" s="12"/>
      <c r="Q982" s="12"/>
      <c r="R982" s="12"/>
      <c r="S982" s="12"/>
      <c r="T982" s="12"/>
      <c r="U982" s="12"/>
      <c r="W982" s="67"/>
      <c r="X982" s="12"/>
      <c r="Y982" s="12"/>
      <c r="Z982" s="12"/>
      <c r="AA982" s="12"/>
    </row>
    <row r="983" spans="1:27" ht="15.75" customHeight="1">
      <c r="A983" s="12"/>
      <c r="B983" s="12"/>
      <c r="C983" s="12"/>
      <c r="D983" s="12"/>
      <c r="E983" s="12"/>
      <c r="F983" s="12"/>
      <c r="G983" s="12"/>
      <c r="H983" s="12"/>
      <c r="I983" s="12"/>
      <c r="J983" s="12"/>
      <c r="K983" s="12"/>
      <c r="L983" s="12"/>
      <c r="M983" s="12"/>
      <c r="N983" s="12"/>
      <c r="O983" s="12"/>
      <c r="P983" s="12"/>
      <c r="Q983" s="12"/>
      <c r="R983" s="12"/>
      <c r="S983" s="12"/>
      <c r="T983" s="12"/>
      <c r="U983" s="12"/>
      <c r="W983" s="67"/>
      <c r="X983" s="12"/>
      <c r="Y983" s="12"/>
      <c r="Z983" s="12"/>
      <c r="AA983" s="12"/>
    </row>
    <row r="984" spans="1:27" ht="15.75" customHeight="1">
      <c r="A984" s="12"/>
      <c r="B984" s="12"/>
      <c r="C984" s="12"/>
      <c r="D984" s="12"/>
      <c r="E984" s="12"/>
      <c r="F984" s="12"/>
      <c r="G984" s="12"/>
      <c r="H984" s="12"/>
      <c r="I984" s="12"/>
      <c r="J984" s="12"/>
      <c r="K984" s="12"/>
      <c r="L984" s="12"/>
      <c r="M984" s="12"/>
      <c r="N984" s="12"/>
      <c r="O984" s="12"/>
      <c r="P984" s="12"/>
      <c r="Q984" s="12"/>
      <c r="R984" s="12"/>
      <c r="S984" s="12"/>
      <c r="T984" s="12"/>
      <c r="U984" s="12"/>
      <c r="W984" s="67"/>
      <c r="X984" s="12"/>
      <c r="Y984" s="12"/>
      <c r="Z984" s="12"/>
      <c r="AA984" s="12"/>
    </row>
    <row r="985" spans="1:27" ht="15.75" customHeight="1">
      <c r="A985" s="12"/>
      <c r="B985" s="12"/>
      <c r="C985" s="12"/>
      <c r="D985" s="12"/>
      <c r="E985" s="12"/>
      <c r="F985" s="12"/>
      <c r="G985" s="12"/>
      <c r="H985" s="12"/>
      <c r="I985" s="12"/>
      <c r="J985" s="12"/>
      <c r="K985" s="12"/>
      <c r="L985" s="12"/>
      <c r="M985" s="12"/>
      <c r="N985" s="12"/>
      <c r="O985" s="12"/>
      <c r="P985" s="12"/>
      <c r="Q985" s="12"/>
      <c r="R985" s="12"/>
      <c r="S985" s="12"/>
      <c r="T985" s="12"/>
      <c r="U985" s="12"/>
      <c r="W985" s="67"/>
      <c r="X985" s="12"/>
      <c r="Y985" s="12"/>
      <c r="Z985" s="12"/>
      <c r="AA985" s="12"/>
    </row>
    <row r="986" spans="1:27" ht="15.75" customHeight="1">
      <c r="A986" s="12"/>
      <c r="B986" s="12"/>
      <c r="C986" s="12"/>
      <c r="D986" s="12"/>
      <c r="E986" s="12"/>
      <c r="F986" s="12"/>
      <c r="G986" s="12"/>
      <c r="H986" s="12"/>
      <c r="I986" s="12"/>
      <c r="J986" s="12"/>
      <c r="K986" s="12"/>
      <c r="L986" s="12"/>
      <c r="M986" s="12"/>
      <c r="N986" s="12"/>
      <c r="O986" s="12"/>
      <c r="P986" s="12"/>
      <c r="Q986" s="12"/>
      <c r="R986" s="12"/>
      <c r="S986" s="12"/>
      <c r="T986" s="12"/>
      <c r="U986" s="12"/>
      <c r="W986" s="67"/>
      <c r="X986" s="12"/>
      <c r="Y986" s="12"/>
      <c r="Z986" s="12"/>
      <c r="AA986" s="12"/>
    </row>
    <row r="987" spans="1:27" ht="15.75" customHeight="1">
      <c r="A987" s="12"/>
      <c r="B987" s="12"/>
      <c r="C987" s="12"/>
      <c r="D987" s="12"/>
      <c r="E987" s="12"/>
      <c r="F987" s="12"/>
      <c r="G987" s="12"/>
      <c r="H987" s="12"/>
      <c r="I987" s="12"/>
      <c r="J987" s="12"/>
      <c r="K987" s="12"/>
      <c r="L987" s="12"/>
      <c r="M987" s="12"/>
      <c r="N987" s="12"/>
      <c r="O987" s="12"/>
      <c r="P987" s="12"/>
      <c r="Q987" s="12"/>
      <c r="R987" s="12"/>
      <c r="S987" s="12"/>
      <c r="T987" s="12"/>
      <c r="U987" s="12"/>
      <c r="W987" s="67"/>
      <c r="X987" s="12"/>
      <c r="Y987" s="12"/>
      <c r="Z987" s="12"/>
      <c r="AA987" s="12"/>
    </row>
    <row r="988" spans="1:27" ht="15.75" customHeight="1">
      <c r="A988" s="12"/>
      <c r="B988" s="12"/>
      <c r="C988" s="12"/>
      <c r="D988" s="12"/>
      <c r="E988" s="12"/>
      <c r="F988" s="12"/>
      <c r="G988" s="12"/>
      <c r="H988" s="12"/>
      <c r="I988" s="12"/>
      <c r="J988" s="12"/>
      <c r="K988" s="12"/>
      <c r="L988" s="12"/>
      <c r="M988" s="12"/>
      <c r="N988" s="12"/>
      <c r="O988" s="12"/>
      <c r="P988" s="12"/>
      <c r="Q988" s="12"/>
      <c r="R988" s="12"/>
      <c r="S988" s="12"/>
      <c r="T988" s="12"/>
      <c r="U988" s="12"/>
      <c r="W988" s="67"/>
      <c r="X988" s="12"/>
      <c r="Y988" s="12"/>
      <c r="Z988" s="12"/>
      <c r="AA988" s="12"/>
    </row>
    <row r="989" spans="1:27" ht="15.75" customHeight="1">
      <c r="A989" s="12"/>
      <c r="B989" s="12"/>
      <c r="C989" s="12"/>
      <c r="D989" s="12"/>
      <c r="E989" s="12"/>
      <c r="F989" s="12"/>
      <c r="G989" s="12"/>
      <c r="H989" s="12"/>
      <c r="I989" s="12"/>
      <c r="J989" s="12"/>
      <c r="K989" s="12"/>
      <c r="L989" s="12"/>
      <c r="M989" s="12"/>
      <c r="N989" s="12"/>
      <c r="O989" s="12"/>
      <c r="P989" s="12"/>
      <c r="Q989" s="12"/>
      <c r="R989" s="12"/>
      <c r="S989" s="12"/>
      <c r="T989" s="12"/>
      <c r="U989" s="12"/>
      <c r="W989" s="67"/>
      <c r="X989" s="12"/>
      <c r="Y989" s="12"/>
      <c r="Z989" s="12"/>
      <c r="AA989" s="12"/>
    </row>
    <row r="990" spans="1:27" ht="15.75" customHeight="1">
      <c r="A990" s="12"/>
      <c r="B990" s="12"/>
      <c r="C990" s="12"/>
      <c r="D990" s="12"/>
      <c r="E990" s="12"/>
      <c r="F990" s="12"/>
      <c r="G990" s="12"/>
      <c r="H990" s="12"/>
      <c r="I990" s="12"/>
      <c r="J990" s="12"/>
      <c r="K990" s="12"/>
      <c r="L990" s="12"/>
      <c r="M990" s="12"/>
      <c r="N990" s="12"/>
      <c r="O990" s="12"/>
      <c r="P990" s="12"/>
      <c r="Q990" s="12"/>
      <c r="R990" s="12"/>
      <c r="S990" s="12"/>
      <c r="T990" s="12"/>
      <c r="U990" s="12"/>
      <c r="W990" s="67"/>
      <c r="X990" s="12"/>
      <c r="Y990" s="12"/>
      <c r="Z990" s="12"/>
      <c r="AA990" s="12"/>
    </row>
    <row r="991" spans="1:27" ht="15.75" customHeight="1">
      <c r="A991" s="12"/>
      <c r="B991" s="12"/>
      <c r="C991" s="12"/>
      <c r="D991" s="12"/>
      <c r="E991" s="12"/>
      <c r="F991" s="12"/>
      <c r="G991" s="12"/>
      <c r="H991" s="12"/>
      <c r="I991" s="12"/>
      <c r="J991" s="12"/>
      <c r="K991" s="12"/>
      <c r="L991" s="12"/>
      <c r="M991" s="12"/>
      <c r="N991" s="12"/>
      <c r="O991" s="12"/>
      <c r="P991" s="12"/>
      <c r="Q991" s="12"/>
      <c r="R991" s="12"/>
      <c r="S991" s="12"/>
      <c r="T991" s="12"/>
      <c r="U991" s="12"/>
      <c r="W991" s="67"/>
      <c r="X991" s="12"/>
      <c r="Y991" s="12"/>
      <c r="Z991" s="12"/>
      <c r="AA991" s="12"/>
    </row>
    <row r="992" spans="1:27" ht="15.75" customHeight="1">
      <c r="A992" s="12"/>
      <c r="B992" s="12"/>
      <c r="C992" s="12"/>
      <c r="D992" s="12"/>
      <c r="E992" s="12"/>
      <c r="F992" s="12"/>
      <c r="G992" s="12"/>
      <c r="H992" s="12"/>
      <c r="I992" s="12"/>
      <c r="J992" s="12"/>
      <c r="K992" s="12"/>
      <c r="L992" s="12"/>
      <c r="M992" s="12"/>
      <c r="N992" s="12"/>
      <c r="O992" s="12"/>
      <c r="P992" s="12"/>
      <c r="Q992" s="12"/>
      <c r="R992" s="12"/>
      <c r="S992" s="12"/>
      <c r="T992" s="12"/>
      <c r="U992" s="12"/>
      <c r="W992" s="67"/>
      <c r="X992" s="12"/>
      <c r="Y992" s="12"/>
      <c r="Z992" s="12"/>
      <c r="AA992" s="12"/>
    </row>
    <row r="993" spans="1:27" ht="15.75" customHeight="1">
      <c r="A993" s="12"/>
      <c r="B993" s="12"/>
      <c r="C993" s="12"/>
      <c r="D993" s="12"/>
      <c r="E993" s="12"/>
      <c r="F993" s="12"/>
      <c r="G993" s="12"/>
      <c r="H993" s="12"/>
      <c r="I993" s="12"/>
      <c r="J993" s="12"/>
      <c r="K993" s="12"/>
      <c r="L993" s="12"/>
      <c r="M993" s="12"/>
      <c r="N993" s="12"/>
      <c r="O993" s="12"/>
      <c r="P993" s="12"/>
      <c r="Q993" s="12"/>
      <c r="R993" s="12"/>
      <c r="S993" s="12"/>
      <c r="T993" s="12"/>
      <c r="U993" s="12"/>
      <c r="W993" s="67"/>
      <c r="X993" s="12"/>
      <c r="Y993" s="12"/>
      <c r="Z993" s="12"/>
      <c r="AA993" s="12"/>
    </row>
    <row r="994" spans="1:27" ht="15.75" customHeight="1">
      <c r="A994" s="12"/>
      <c r="B994" s="12"/>
      <c r="C994" s="12"/>
      <c r="D994" s="12"/>
      <c r="E994" s="12"/>
      <c r="F994" s="12"/>
      <c r="G994" s="12"/>
      <c r="H994" s="12"/>
      <c r="I994" s="12"/>
      <c r="J994" s="12"/>
      <c r="K994" s="12"/>
      <c r="L994" s="12"/>
      <c r="M994" s="12"/>
      <c r="N994" s="12"/>
      <c r="O994" s="12"/>
      <c r="P994" s="12"/>
      <c r="Q994" s="12"/>
      <c r="R994" s="12"/>
      <c r="S994" s="12"/>
      <c r="T994" s="12"/>
      <c r="U994" s="12"/>
      <c r="W994" s="67"/>
      <c r="X994" s="12"/>
      <c r="Y994" s="12"/>
      <c r="Z994" s="12"/>
      <c r="AA994" s="12"/>
    </row>
    <row r="995" spans="1:27" ht="15.75" customHeight="1">
      <c r="A995" s="12"/>
      <c r="B995" s="12"/>
      <c r="C995" s="12"/>
      <c r="D995" s="12"/>
      <c r="E995" s="12"/>
      <c r="F995" s="12"/>
      <c r="G995" s="12"/>
      <c r="H995" s="12"/>
      <c r="I995" s="12"/>
      <c r="J995" s="12"/>
      <c r="K995" s="12"/>
      <c r="L995" s="12"/>
      <c r="M995" s="12"/>
      <c r="N995" s="12"/>
      <c r="O995" s="12"/>
      <c r="P995" s="12"/>
      <c r="Q995" s="12"/>
      <c r="R995" s="12"/>
      <c r="S995" s="12"/>
      <c r="T995" s="12"/>
      <c r="U995" s="12"/>
      <c r="W995" s="67"/>
      <c r="X995" s="12"/>
      <c r="Y995" s="12"/>
      <c r="Z995" s="12"/>
      <c r="AA995" s="12"/>
    </row>
    <row r="996" spans="1:27" ht="15.75" customHeight="1">
      <c r="A996" s="12"/>
      <c r="B996" s="12"/>
      <c r="C996" s="12"/>
      <c r="D996" s="12"/>
      <c r="E996" s="12"/>
      <c r="F996" s="12"/>
      <c r="G996" s="12"/>
      <c r="H996" s="12"/>
      <c r="I996" s="12"/>
      <c r="J996" s="12"/>
      <c r="K996" s="12"/>
      <c r="L996" s="12"/>
      <c r="M996" s="12"/>
      <c r="N996" s="12"/>
      <c r="O996" s="12"/>
      <c r="P996" s="12"/>
      <c r="Q996" s="12"/>
      <c r="R996" s="12"/>
      <c r="S996" s="12"/>
      <c r="T996" s="12"/>
      <c r="U996" s="12"/>
      <c r="W996" s="67"/>
      <c r="X996" s="12"/>
      <c r="Y996" s="12"/>
      <c r="Z996" s="12"/>
      <c r="AA996" s="12"/>
    </row>
    <row r="997" spans="1:27" ht="15.75" customHeight="1">
      <c r="A997" s="12"/>
      <c r="B997" s="12"/>
      <c r="C997" s="12"/>
      <c r="D997" s="12"/>
      <c r="E997" s="12"/>
      <c r="F997" s="12"/>
      <c r="G997" s="12"/>
      <c r="H997" s="12"/>
      <c r="I997" s="12"/>
      <c r="J997" s="12"/>
      <c r="K997" s="12"/>
      <c r="L997" s="12"/>
      <c r="M997" s="12"/>
      <c r="N997" s="12"/>
      <c r="O997" s="12"/>
      <c r="P997" s="12"/>
      <c r="Q997" s="12"/>
      <c r="R997" s="12"/>
      <c r="S997" s="12"/>
      <c r="T997" s="12"/>
      <c r="U997" s="12"/>
      <c r="W997" s="67"/>
      <c r="X997" s="12"/>
      <c r="Y997" s="12"/>
      <c r="Z997" s="12"/>
      <c r="AA997" s="12"/>
    </row>
    <row r="998" spans="1:27" ht="15.75" customHeight="1">
      <c r="A998" s="12"/>
      <c r="B998" s="12"/>
      <c r="C998" s="12"/>
      <c r="D998" s="12"/>
      <c r="E998" s="12"/>
      <c r="F998" s="12"/>
      <c r="G998" s="12"/>
      <c r="H998" s="12"/>
      <c r="I998" s="12"/>
      <c r="J998" s="12"/>
      <c r="K998" s="12"/>
      <c r="L998" s="12"/>
      <c r="M998" s="12"/>
      <c r="N998" s="12"/>
      <c r="O998" s="12"/>
      <c r="P998" s="12"/>
      <c r="Q998" s="12"/>
      <c r="R998" s="12"/>
      <c r="S998" s="12"/>
      <c r="T998" s="12"/>
      <c r="U998" s="12"/>
      <c r="W998" s="67"/>
      <c r="X998" s="12"/>
      <c r="Y998" s="12"/>
      <c r="Z998" s="12"/>
      <c r="AA998" s="12"/>
    </row>
    <row r="999" spans="1:27" ht="15.75" customHeight="1">
      <c r="A999" s="12"/>
      <c r="B999" s="12"/>
      <c r="C999" s="12"/>
      <c r="D999" s="12"/>
      <c r="E999" s="12"/>
      <c r="F999" s="12"/>
      <c r="G999" s="12"/>
      <c r="H999" s="12"/>
      <c r="I999" s="12"/>
      <c r="J999" s="12"/>
      <c r="K999" s="12"/>
      <c r="L999" s="12"/>
      <c r="M999" s="12"/>
      <c r="N999" s="12"/>
      <c r="O999" s="12"/>
      <c r="P999" s="12"/>
      <c r="Q999" s="12"/>
      <c r="R999" s="12"/>
      <c r="S999" s="12"/>
      <c r="T999" s="12"/>
      <c r="U999" s="12"/>
      <c r="W999" s="67"/>
      <c r="X999" s="12"/>
      <c r="Y999" s="12"/>
      <c r="Z999" s="12"/>
      <c r="AA999" s="12"/>
    </row>
    <row r="1000" spans="1:27"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W1000" s="67"/>
      <c r="X1000" s="12"/>
      <c r="Y1000" s="12"/>
      <c r="Z1000" s="12"/>
      <c r="AA1000" s="12"/>
    </row>
  </sheetData>
  <mergeCells count="101">
    <mergeCell ref="B210:D210"/>
    <mergeCell ref="A211:D211"/>
    <mergeCell ref="A135:A158"/>
    <mergeCell ref="B135:B136"/>
    <mergeCell ref="B138:B144"/>
    <mergeCell ref="B145:B146"/>
    <mergeCell ref="B147:B149"/>
    <mergeCell ref="B158:D158"/>
    <mergeCell ref="A159:A210"/>
    <mergeCell ref="C135:C136"/>
    <mergeCell ref="C138:C144"/>
    <mergeCell ref="C145:C146"/>
    <mergeCell ref="C147:C149"/>
    <mergeCell ref="C150:C153"/>
    <mergeCell ref="B173:B179"/>
    <mergeCell ref="C173:C179"/>
    <mergeCell ref="B204:B206"/>
    <mergeCell ref="C204:C206"/>
    <mergeCell ref="B180:B183"/>
    <mergeCell ref="C180:C183"/>
    <mergeCell ref="B184:B186"/>
    <mergeCell ref="C184:C186"/>
    <mergeCell ref="B187:B192"/>
    <mergeCell ref="C187:C192"/>
    <mergeCell ref="B200:B201"/>
    <mergeCell ref="C200:C201"/>
    <mergeCell ref="B150:B153"/>
    <mergeCell ref="B159:B162"/>
    <mergeCell ref="C159:C162"/>
    <mergeCell ref="B163:B167"/>
    <mergeCell ref="C163:C167"/>
    <mergeCell ref="B168:B172"/>
    <mergeCell ref="C168:C172"/>
    <mergeCell ref="B202:B203"/>
    <mergeCell ref="C202:C203"/>
    <mergeCell ref="C94:C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111:B113"/>
    <mergeCell ref="C111:C113"/>
    <mergeCell ref="B104:B105"/>
    <mergeCell ref="C104:C105"/>
    <mergeCell ref="B106:B110"/>
    <mergeCell ref="C106:C110"/>
    <mergeCell ref="B94:B103"/>
    <mergeCell ref="B194:B199"/>
    <mergeCell ref="C194:C199"/>
    <mergeCell ref="B79:B85"/>
    <mergeCell ref="C79:C85"/>
    <mergeCell ref="B86:B89"/>
    <mergeCell ref="C86:C89"/>
    <mergeCell ref="A69:A93"/>
    <mergeCell ref="B40:B46"/>
    <mergeCell ref="C40:C46"/>
    <mergeCell ref="B47:B56"/>
    <mergeCell ref="C47:C56"/>
    <mergeCell ref="B75:B78"/>
    <mergeCell ref="B57:B66"/>
    <mergeCell ref="C57:C66"/>
    <mergeCell ref="B70:B74"/>
    <mergeCell ref="C70:C74"/>
    <mergeCell ref="C75:C78"/>
    <mergeCell ref="B93:D93"/>
    <mergeCell ref="R4:R5"/>
    <mergeCell ref="S4:S5"/>
    <mergeCell ref="V4:V5"/>
    <mergeCell ref="B6:B23"/>
    <mergeCell ref="B26:B36"/>
    <mergeCell ref="C26:C36"/>
    <mergeCell ref="B37:B39"/>
    <mergeCell ref="C37:C39"/>
    <mergeCell ref="A4:A5"/>
    <mergeCell ref="C4:C5"/>
    <mergeCell ref="D4:D5"/>
    <mergeCell ref="E4:E5"/>
    <mergeCell ref="F4:F5"/>
    <mergeCell ref="B4:B5"/>
    <mergeCell ref="A6:A68"/>
    <mergeCell ref="B68:D68"/>
    <mergeCell ref="C6:C23"/>
    <mergeCell ref="B24:B25"/>
    <mergeCell ref="C24:C25"/>
    <mergeCell ref="A3:E3"/>
    <mergeCell ref="G4:H4"/>
    <mergeCell ref="J4:L4"/>
    <mergeCell ref="M4:M5"/>
    <mergeCell ref="N4:N5"/>
    <mergeCell ref="O4:O5"/>
    <mergeCell ref="I4:I5"/>
    <mergeCell ref="P4:P5"/>
    <mergeCell ref="Q4:Q5"/>
  </mergeCells>
  <pageMargins left="0.22" right="0.24" top="0.18" bottom="0.19" header="0" footer="0"/>
  <pageSetup scale="85" orientation="portrait" r:id="rId1"/>
</worksheet>
</file>

<file path=xl/worksheets/sheet4.xml><?xml version="1.0" encoding="utf-8"?>
<worksheet xmlns="http://schemas.openxmlformats.org/spreadsheetml/2006/main" xmlns:r="http://schemas.openxmlformats.org/officeDocument/2006/relationships">
  <dimension ref="A1:AA1000"/>
  <sheetViews>
    <sheetView workbookViewId="0">
      <pane xSplit="3" ySplit="5" topLeftCell="D186" activePane="bottomRight" state="frozen"/>
      <selection pane="topRight" activeCell="D1" sqref="D1"/>
      <selection pane="bottomLeft" activeCell="A6" sqref="A6"/>
      <selection pane="bottomRight" activeCell="P187" sqref="P187:V187"/>
    </sheetView>
  </sheetViews>
  <sheetFormatPr defaultColWidth="14.42578125" defaultRowHeight="15" customHeight="1"/>
  <cols>
    <col min="1" max="1" width="6.7109375" style="784" customWidth="1"/>
    <col min="2" max="2" width="7.28515625" style="784" customWidth="1"/>
    <col min="3" max="3" width="8.140625" style="784" customWidth="1"/>
    <col min="4" max="4" width="5.85546875" style="784" customWidth="1"/>
    <col min="5" max="5" width="17.5703125" style="784" customWidth="1"/>
    <col min="6" max="6" width="7.42578125" style="784" customWidth="1"/>
    <col min="7" max="7" width="10.7109375" style="784" customWidth="1"/>
    <col min="8" max="8" width="8.28515625" style="784" customWidth="1"/>
    <col min="9" max="9" width="10.5703125" style="784" customWidth="1"/>
    <col min="10" max="10" width="11.85546875" style="784" customWidth="1"/>
    <col min="11" max="11" width="9.28515625" style="784" customWidth="1"/>
    <col min="12" max="12" width="6.7109375" style="784" customWidth="1"/>
    <col min="13" max="13" width="9" style="784" customWidth="1"/>
    <col min="14" max="14" width="6.42578125" style="784" customWidth="1"/>
    <col min="15" max="15" width="7.28515625" style="784" customWidth="1"/>
    <col min="16" max="17" width="7.7109375" style="784" customWidth="1"/>
    <col min="18" max="18" width="8.140625" style="784" customWidth="1"/>
    <col min="19" max="19" width="7.42578125" style="784" customWidth="1"/>
    <col min="20" max="20" width="10.7109375" style="784" customWidth="1"/>
    <col min="21" max="21" width="8.42578125" style="784" customWidth="1"/>
    <col min="22" max="22" width="54.28515625" style="731" customWidth="1"/>
    <col min="23" max="23" width="51" style="784" hidden="1" customWidth="1"/>
    <col min="24" max="25" width="14.42578125" style="784" hidden="1" customWidth="1"/>
    <col min="26" max="27" width="14.42578125" style="784" customWidth="1"/>
    <col min="28" max="16384" width="14.42578125" style="784"/>
  </cols>
  <sheetData>
    <row r="1" spans="1:27" ht="20.25" customHeight="1">
      <c r="A1" s="1"/>
      <c r="B1" s="2"/>
      <c r="C1" s="2"/>
      <c r="D1" s="2"/>
      <c r="E1" s="469" t="s">
        <v>0</v>
      </c>
      <c r="J1" s="3"/>
      <c r="K1" s="3"/>
      <c r="L1" s="3"/>
      <c r="M1" s="3"/>
      <c r="N1" s="3"/>
      <c r="O1" s="3"/>
      <c r="P1" s="3"/>
      <c r="Q1" s="3"/>
      <c r="R1" s="3"/>
      <c r="S1" s="3"/>
      <c r="T1" s="3"/>
      <c r="U1" s="3"/>
      <c r="V1" s="733"/>
    </row>
    <row r="2" spans="1:27" ht="23.25" customHeight="1">
      <c r="A2" s="3"/>
      <c r="B2" s="3"/>
      <c r="C2" s="3"/>
      <c r="D2" s="3"/>
      <c r="E2" s="3"/>
      <c r="F2" s="3"/>
      <c r="G2" s="3"/>
      <c r="H2" s="3"/>
      <c r="I2" s="3"/>
      <c r="J2" s="3"/>
      <c r="K2" s="3"/>
      <c r="L2" s="3"/>
      <c r="M2" s="3"/>
      <c r="N2" s="3"/>
      <c r="O2" s="3"/>
      <c r="P2" s="3"/>
      <c r="Q2" s="3"/>
      <c r="R2" s="3"/>
      <c r="S2" s="3"/>
      <c r="T2" s="3"/>
      <c r="U2" s="3"/>
      <c r="V2" s="733"/>
    </row>
    <row r="3" spans="1:27" ht="22.5" customHeight="1">
      <c r="A3" s="827" t="s">
        <v>1627</v>
      </c>
      <c r="B3" s="827"/>
      <c r="C3" s="827"/>
      <c r="D3" s="827"/>
      <c r="E3" s="827"/>
      <c r="F3" s="470"/>
      <c r="G3" s="470"/>
      <c r="H3" s="470"/>
      <c r="I3" s="470"/>
      <c r="J3" s="470"/>
      <c r="K3" s="470"/>
      <c r="L3" s="470"/>
      <c r="M3" s="470"/>
      <c r="N3" s="470"/>
      <c r="O3" s="470"/>
      <c r="P3" s="470"/>
      <c r="Q3" s="470"/>
      <c r="R3" s="470"/>
      <c r="S3" s="470"/>
      <c r="T3" s="471"/>
      <c r="U3" s="470"/>
      <c r="V3" s="519" t="s">
        <v>2</v>
      </c>
    </row>
    <row r="4" spans="1:27" ht="52.5" customHeight="1">
      <c r="A4" s="828" t="s">
        <v>3</v>
      </c>
      <c r="B4" s="828" t="s">
        <v>4</v>
      </c>
      <c r="C4" s="828" t="s">
        <v>5</v>
      </c>
      <c r="D4" s="828"/>
      <c r="E4" s="828" t="s">
        <v>388</v>
      </c>
      <c r="F4" s="828" t="s">
        <v>8</v>
      </c>
      <c r="G4" s="828" t="s">
        <v>9</v>
      </c>
      <c r="H4" s="736"/>
      <c r="I4" s="828" t="s">
        <v>10</v>
      </c>
      <c r="J4" s="828" t="s">
        <v>11</v>
      </c>
      <c r="K4" s="736"/>
      <c r="L4" s="736"/>
      <c r="M4" s="828" t="s">
        <v>12</v>
      </c>
      <c r="N4" s="828" t="s">
        <v>13</v>
      </c>
      <c r="O4" s="828" t="s">
        <v>14</v>
      </c>
      <c r="P4" s="828" t="s">
        <v>445</v>
      </c>
      <c r="Q4" s="828" t="s">
        <v>16</v>
      </c>
      <c r="R4" s="828" t="s">
        <v>17</v>
      </c>
      <c r="S4" s="828" t="s">
        <v>18</v>
      </c>
      <c r="T4" s="829" t="s">
        <v>19</v>
      </c>
      <c r="U4" s="829" t="s">
        <v>19</v>
      </c>
      <c r="V4" s="737" t="s">
        <v>389</v>
      </c>
      <c r="W4" s="471"/>
      <c r="X4" s="3"/>
      <c r="Y4" s="3"/>
      <c r="Z4" s="3"/>
      <c r="AA4" s="3"/>
    </row>
    <row r="5" spans="1:27" ht="81.75" customHeight="1">
      <c r="A5" s="736"/>
      <c r="B5" s="736"/>
      <c r="C5" s="736"/>
      <c r="D5" s="736"/>
      <c r="E5" s="736"/>
      <c r="F5" s="736"/>
      <c r="G5" s="829" t="s">
        <v>21</v>
      </c>
      <c r="H5" s="829" t="s">
        <v>22</v>
      </c>
      <c r="I5" s="736"/>
      <c r="J5" s="829" t="s">
        <v>1564</v>
      </c>
      <c r="K5" s="829" t="s">
        <v>23</v>
      </c>
      <c r="L5" s="829" t="s">
        <v>24</v>
      </c>
      <c r="M5" s="736"/>
      <c r="N5" s="736"/>
      <c r="O5" s="736"/>
      <c r="P5" s="736"/>
      <c r="Q5" s="736"/>
      <c r="R5" s="736"/>
      <c r="S5" s="736"/>
      <c r="T5" s="829" t="s">
        <v>25</v>
      </c>
      <c r="U5" s="829" t="s">
        <v>26</v>
      </c>
      <c r="V5" s="736"/>
      <c r="W5" s="471"/>
      <c r="X5" s="3"/>
      <c r="Y5" s="3"/>
      <c r="Z5" s="3"/>
      <c r="AA5" s="3"/>
    </row>
    <row r="6" spans="1:27" ht="45">
      <c r="A6" s="831" t="s">
        <v>27</v>
      </c>
      <c r="B6" s="828" t="s">
        <v>28</v>
      </c>
      <c r="C6" s="828" t="s">
        <v>29</v>
      </c>
      <c r="D6" s="829">
        <v>1</v>
      </c>
      <c r="E6" s="829" t="s">
        <v>30</v>
      </c>
      <c r="F6" s="955"/>
      <c r="G6" s="955"/>
      <c r="H6" s="955"/>
      <c r="I6" s="955"/>
      <c r="J6" s="955"/>
      <c r="K6" s="955"/>
      <c r="L6" s="955"/>
      <c r="M6" s="955"/>
      <c r="N6" s="955"/>
      <c r="O6" s="955"/>
      <c r="P6" s="955"/>
      <c r="Q6" s="955"/>
      <c r="R6" s="955"/>
      <c r="S6" s="955"/>
      <c r="T6" s="847">
        <f t="shared" ref="T6:T103" si="0">SUM(F6:S6)</f>
        <v>0</v>
      </c>
      <c r="U6" s="956"/>
      <c r="V6" s="744"/>
      <c r="W6" s="471"/>
      <c r="X6" s="3"/>
      <c r="Y6" s="3"/>
      <c r="Z6" s="3"/>
      <c r="AA6" s="3"/>
    </row>
    <row r="7" spans="1:27" ht="60">
      <c r="A7" s="736"/>
      <c r="B7" s="736"/>
      <c r="C7" s="736"/>
      <c r="D7" s="829">
        <v>2</v>
      </c>
      <c r="E7" s="829" t="s">
        <v>31</v>
      </c>
      <c r="F7" s="1021"/>
      <c r="G7" s="1021"/>
      <c r="H7" s="1021"/>
      <c r="I7" s="1021"/>
      <c r="J7" s="1021"/>
      <c r="K7" s="883"/>
      <c r="L7" s="1021"/>
      <c r="M7" s="1021"/>
      <c r="N7" s="1021"/>
      <c r="O7" s="1021"/>
      <c r="P7" s="1022"/>
      <c r="Q7" s="1021"/>
      <c r="R7" s="1021"/>
      <c r="S7" s="1021"/>
      <c r="T7" s="847">
        <f t="shared" si="0"/>
        <v>0</v>
      </c>
      <c r="U7" s="1023">
        <f>T7*110/100</f>
        <v>0</v>
      </c>
      <c r="V7" s="744"/>
      <c r="W7" s="471"/>
      <c r="X7" s="3"/>
      <c r="Y7" s="3"/>
      <c r="Z7" s="3"/>
      <c r="AA7" s="3"/>
    </row>
    <row r="8" spans="1:27" ht="105">
      <c r="A8" s="736"/>
      <c r="B8" s="736"/>
      <c r="C8" s="736"/>
      <c r="D8" s="829">
        <v>3</v>
      </c>
      <c r="E8" s="829" t="s">
        <v>32</v>
      </c>
      <c r="F8" s="1022">
        <v>49.15</v>
      </c>
      <c r="G8" s="1021"/>
      <c r="H8" s="1021"/>
      <c r="I8" s="1021"/>
      <c r="J8" s="1021"/>
      <c r="K8" s="1021"/>
      <c r="L8" s="1021"/>
      <c r="M8" s="1021"/>
      <c r="N8" s="1021"/>
      <c r="O8" s="1022">
        <v>40.17</v>
      </c>
      <c r="P8" s="1021"/>
      <c r="Q8" s="1021"/>
      <c r="R8" s="1022">
        <v>1.97</v>
      </c>
      <c r="S8" s="1021"/>
      <c r="T8" s="847">
        <f t="shared" si="0"/>
        <v>91.289999999999992</v>
      </c>
      <c r="U8" s="956">
        <f t="shared" ref="U8:U12" si="1">T8</f>
        <v>91.289999999999992</v>
      </c>
      <c r="V8" s="729" t="s">
        <v>517</v>
      </c>
      <c r="W8" s="471"/>
      <c r="X8" s="3"/>
      <c r="Y8" s="3"/>
      <c r="Z8" s="3"/>
      <c r="AA8" s="3"/>
    </row>
    <row r="9" spans="1:27" ht="171.75" customHeight="1">
      <c r="A9" s="736"/>
      <c r="B9" s="736"/>
      <c r="C9" s="736"/>
      <c r="D9" s="829">
        <v>4</v>
      </c>
      <c r="E9" s="829" t="s">
        <v>34</v>
      </c>
      <c r="F9" s="1021"/>
      <c r="G9" s="1021"/>
      <c r="H9" s="1021"/>
      <c r="I9" s="1021"/>
      <c r="J9" s="1021"/>
      <c r="K9" s="1021">
        <v>73.36</v>
      </c>
      <c r="L9" s="1021"/>
      <c r="M9" s="883">
        <v>14.5</v>
      </c>
      <c r="N9" s="1021"/>
      <c r="O9" s="1021">
        <v>0</v>
      </c>
      <c r="P9" s="1022">
        <v>39.28</v>
      </c>
      <c r="Q9" s="1021"/>
      <c r="R9" s="1021"/>
      <c r="S9" s="1021"/>
      <c r="T9" s="847">
        <f t="shared" si="0"/>
        <v>127.14</v>
      </c>
      <c r="U9" s="956">
        <f t="shared" si="1"/>
        <v>127.14</v>
      </c>
      <c r="V9" s="744" t="s">
        <v>518</v>
      </c>
      <c r="W9" s="471"/>
      <c r="X9" s="3"/>
      <c r="Y9" s="3"/>
      <c r="Z9" s="3"/>
      <c r="AA9" s="3"/>
    </row>
    <row r="10" spans="1:27" ht="61.5" customHeight="1">
      <c r="A10" s="736"/>
      <c r="B10" s="736"/>
      <c r="C10" s="736"/>
      <c r="D10" s="829">
        <v>5</v>
      </c>
      <c r="E10" s="829" t="s">
        <v>36</v>
      </c>
      <c r="F10" s="1021"/>
      <c r="G10" s="1021"/>
      <c r="H10" s="1021"/>
      <c r="I10" s="1021"/>
      <c r="J10" s="1021"/>
      <c r="K10" s="1021"/>
      <c r="L10" s="1021"/>
      <c r="M10" s="1021"/>
      <c r="N10" s="1021"/>
      <c r="O10" s="1021">
        <v>0</v>
      </c>
      <c r="P10" s="883">
        <v>36.25</v>
      </c>
      <c r="Q10" s="1021"/>
      <c r="R10" s="1021"/>
      <c r="S10" s="1021"/>
      <c r="T10" s="847">
        <f t="shared" si="0"/>
        <v>36.25</v>
      </c>
      <c r="U10" s="956">
        <f t="shared" si="1"/>
        <v>36.25</v>
      </c>
      <c r="V10" s="744" t="s">
        <v>519</v>
      </c>
      <c r="W10" s="471"/>
      <c r="X10" s="3"/>
      <c r="Y10" s="3"/>
      <c r="Z10" s="3"/>
      <c r="AA10" s="3"/>
    </row>
    <row r="11" spans="1:27" ht="152.25" customHeight="1">
      <c r="A11" s="736"/>
      <c r="B11" s="736"/>
      <c r="C11" s="736"/>
      <c r="D11" s="829">
        <v>6</v>
      </c>
      <c r="E11" s="829" t="s">
        <v>38</v>
      </c>
      <c r="F11" s="1021">
        <v>0.44</v>
      </c>
      <c r="G11" s="1021"/>
      <c r="H11" s="1021"/>
      <c r="I11" s="1021"/>
      <c r="J11" s="1021"/>
      <c r="K11" s="1021"/>
      <c r="L11" s="1021"/>
      <c r="M11" s="1021"/>
      <c r="N11" s="1022"/>
      <c r="O11" s="1021">
        <v>1.35</v>
      </c>
      <c r="P11" s="1022">
        <v>1.04</v>
      </c>
      <c r="Q11" s="1021"/>
      <c r="R11" s="1021"/>
      <c r="S11" s="1021"/>
      <c r="T11" s="847">
        <f t="shared" si="0"/>
        <v>2.83</v>
      </c>
      <c r="U11" s="956">
        <f t="shared" si="1"/>
        <v>2.83</v>
      </c>
      <c r="V11" s="744" t="s">
        <v>520</v>
      </c>
      <c r="W11" s="471"/>
      <c r="X11" s="3"/>
      <c r="Y11" s="3"/>
      <c r="Z11" s="3"/>
      <c r="AA11" s="3"/>
    </row>
    <row r="12" spans="1:27" ht="105">
      <c r="A12" s="736"/>
      <c r="B12" s="736"/>
      <c r="C12" s="736"/>
      <c r="D12" s="829">
        <v>7</v>
      </c>
      <c r="E12" s="829" t="s">
        <v>40</v>
      </c>
      <c r="F12" s="1021"/>
      <c r="G12" s="1021"/>
      <c r="H12" s="1021"/>
      <c r="I12" s="1021"/>
      <c r="J12" s="1021"/>
      <c r="K12" s="1021"/>
      <c r="L12" s="1021"/>
      <c r="M12" s="1021"/>
      <c r="N12" s="1021"/>
      <c r="O12" s="1021"/>
      <c r="P12" s="1022">
        <v>0</v>
      </c>
      <c r="Q12" s="1022">
        <v>1.75</v>
      </c>
      <c r="R12" s="1021">
        <v>0.1</v>
      </c>
      <c r="S12" s="1021"/>
      <c r="T12" s="847">
        <f t="shared" si="0"/>
        <v>1.85</v>
      </c>
      <c r="U12" s="956">
        <f t="shared" si="1"/>
        <v>1.85</v>
      </c>
      <c r="V12" s="729" t="s">
        <v>521</v>
      </c>
      <c r="W12" s="471"/>
      <c r="X12" s="3"/>
      <c r="Y12" s="3"/>
      <c r="Z12" s="3"/>
      <c r="AA12" s="3"/>
    </row>
    <row r="13" spans="1:27" ht="24.75" customHeight="1">
      <c r="A13" s="736"/>
      <c r="B13" s="736"/>
      <c r="C13" s="736"/>
      <c r="D13" s="829">
        <v>8</v>
      </c>
      <c r="E13" s="829" t="s">
        <v>42</v>
      </c>
      <c r="F13" s="955"/>
      <c r="G13" s="955"/>
      <c r="H13" s="955"/>
      <c r="I13" s="955"/>
      <c r="J13" s="955"/>
      <c r="K13" s="955"/>
      <c r="L13" s="955"/>
      <c r="M13" s="955"/>
      <c r="N13" s="956"/>
      <c r="O13" s="955"/>
      <c r="P13" s="955"/>
      <c r="Q13" s="955"/>
      <c r="R13" s="955"/>
      <c r="S13" s="955"/>
      <c r="T13" s="847">
        <f t="shared" si="0"/>
        <v>0</v>
      </c>
      <c r="U13" s="956">
        <f>T13*1.05</f>
        <v>0</v>
      </c>
      <c r="V13" s="744"/>
      <c r="W13" s="471"/>
      <c r="X13" s="3"/>
      <c r="Y13" s="3"/>
      <c r="Z13" s="3"/>
      <c r="AA13" s="3"/>
    </row>
    <row r="14" spans="1:27" ht="75">
      <c r="A14" s="736"/>
      <c r="B14" s="736"/>
      <c r="C14" s="736"/>
      <c r="D14" s="829">
        <v>9</v>
      </c>
      <c r="E14" s="829" t="s">
        <v>43</v>
      </c>
      <c r="F14" s="1021"/>
      <c r="G14" s="1021"/>
      <c r="H14" s="1021"/>
      <c r="I14" s="1021"/>
      <c r="J14" s="1021"/>
      <c r="K14" s="1021"/>
      <c r="L14" s="1021"/>
      <c r="M14" s="1021"/>
      <c r="N14" s="883"/>
      <c r="O14" s="1021"/>
      <c r="P14" s="836">
        <v>0.15851999999999999</v>
      </c>
      <c r="Q14" s="837"/>
      <c r="R14" s="837">
        <v>0.24</v>
      </c>
      <c r="S14" s="837"/>
      <c r="T14" s="847">
        <f t="shared" si="0"/>
        <v>0.39851999999999999</v>
      </c>
      <c r="U14" s="956">
        <f>T14</f>
        <v>0.39851999999999999</v>
      </c>
      <c r="V14" s="744" t="s">
        <v>522</v>
      </c>
      <c r="W14" s="471"/>
      <c r="X14" s="3"/>
      <c r="Y14" s="3"/>
      <c r="Z14" s="3"/>
      <c r="AA14" s="3"/>
    </row>
    <row r="15" spans="1:27" ht="90">
      <c r="A15" s="736"/>
      <c r="B15" s="736"/>
      <c r="C15" s="736"/>
      <c r="D15" s="829">
        <v>10</v>
      </c>
      <c r="E15" s="829" t="s">
        <v>44</v>
      </c>
      <c r="F15" s="1021"/>
      <c r="G15" s="1021"/>
      <c r="H15" s="1021"/>
      <c r="I15" s="883">
        <v>0.03</v>
      </c>
      <c r="J15" s="1021"/>
      <c r="K15" s="1021"/>
      <c r="L15" s="1021"/>
      <c r="M15" s="1021"/>
      <c r="N15" s="883">
        <v>0.82</v>
      </c>
      <c r="O15" s="1021"/>
      <c r="P15" s="1021"/>
      <c r="Q15" s="1021"/>
      <c r="R15" s="1021"/>
      <c r="S15" s="1021"/>
      <c r="T15" s="847">
        <f t="shared" si="0"/>
        <v>0.85</v>
      </c>
      <c r="U15" s="956">
        <v>0.82</v>
      </c>
      <c r="V15" s="729" t="s">
        <v>1598</v>
      </c>
      <c r="W15" s="471"/>
      <c r="X15" s="3"/>
      <c r="Y15" s="3"/>
      <c r="Z15" s="3"/>
      <c r="AA15" s="3"/>
    </row>
    <row r="16" spans="1:27" ht="24.75" customHeight="1">
      <c r="A16" s="736"/>
      <c r="B16" s="736"/>
      <c r="C16" s="736"/>
      <c r="D16" s="829">
        <v>11</v>
      </c>
      <c r="E16" s="829" t="s">
        <v>45</v>
      </c>
      <c r="F16" s="955"/>
      <c r="G16" s="957"/>
      <c r="H16" s="957"/>
      <c r="I16" s="955"/>
      <c r="J16" s="955"/>
      <c r="K16" s="955"/>
      <c r="L16" s="955"/>
      <c r="M16" s="955"/>
      <c r="N16" s="955"/>
      <c r="O16" s="955"/>
      <c r="P16" s="955"/>
      <c r="Q16" s="955"/>
      <c r="R16" s="955"/>
      <c r="S16" s="955"/>
      <c r="T16" s="847">
        <f t="shared" si="0"/>
        <v>0</v>
      </c>
      <c r="U16" s="956">
        <f>T16*1.05</f>
        <v>0</v>
      </c>
      <c r="V16" s="744"/>
      <c r="W16" s="471"/>
      <c r="X16" s="3"/>
      <c r="Y16" s="3"/>
      <c r="Z16" s="3"/>
      <c r="AA16" s="3"/>
    </row>
    <row r="17" spans="1:27" ht="45">
      <c r="A17" s="736"/>
      <c r="B17" s="736"/>
      <c r="C17" s="736"/>
      <c r="D17" s="829">
        <v>12</v>
      </c>
      <c r="E17" s="829" t="s">
        <v>46</v>
      </c>
      <c r="F17" s="1021"/>
      <c r="G17" s="1021"/>
      <c r="H17" s="1021"/>
      <c r="I17" s="1021"/>
      <c r="J17" s="1021"/>
      <c r="K17" s="1021"/>
      <c r="L17" s="1021"/>
      <c r="M17" s="1021"/>
      <c r="N17" s="883">
        <v>1</v>
      </c>
      <c r="O17" s="1021"/>
      <c r="P17" s="1021"/>
      <c r="Q17" s="1021"/>
      <c r="R17" s="1021"/>
      <c r="S17" s="1021"/>
      <c r="T17" s="847">
        <f t="shared" si="0"/>
        <v>1</v>
      </c>
      <c r="U17" s="956">
        <v>1</v>
      </c>
      <c r="V17" s="729" t="s">
        <v>452</v>
      </c>
      <c r="W17" s="471"/>
      <c r="X17" s="3"/>
      <c r="Y17" s="3"/>
      <c r="Z17" s="3"/>
      <c r="AA17" s="3"/>
    </row>
    <row r="18" spans="1:27" ht="24.75" customHeight="1">
      <c r="A18" s="736"/>
      <c r="B18" s="736"/>
      <c r="C18" s="736"/>
      <c r="D18" s="829">
        <v>13</v>
      </c>
      <c r="E18" s="829" t="s">
        <v>48</v>
      </c>
      <c r="F18" s="955"/>
      <c r="G18" s="955"/>
      <c r="H18" s="955"/>
      <c r="I18" s="955"/>
      <c r="J18" s="955"/>
      <c r="K18" s="955"/>
      <c r="L18" s="955"/>
      <c r="M18" s="955"/>
      <c r="N18" s="955"/>
      <c r="O18" s="955"/>
      <c r="P18" s="957"/>
      <c r="Q18" s="955"/>
      <c r="R18" s="955"/>
      <c r="S18" s="955"/>
      <c r="T18" s="847">
        <f t="shared" si="0"/>
        <v>0</v>
      </c>
      <c r="U18" s="956">
        <f t="shared" ref="U18:U19" si="2">T18*1.05</f>
        <v>0</v>
      </c>
      <c r="V18" s="744"/>
      <c r="W18" s="471"/>
      <c r="X18" s="3"/>
      <c r="Y18" s="3"/>
      <c r="Z18" s="3"/>
      <c r="AA18" s="3"/>
    </row>
    <row r="19" spans="1:27" ht="24.75" customHeight="1">
      <c r="A19" s="736"/>
      <c r="B19" s="736"/>
      <c r="C19" s="736"/>
      <c r="D19" s="829">
        <v>14</v>
      </c>
      <c r="E19" s="829" t="s">
        <v>49</v>
      </c>
      <c r="F19" s="955"/>
      <c r="G19" s="955"/>
      <c r="H19" s="955"/>
      <c r="I19" s="955"/>
      <c r="J19" s="955"/>
      <c r="K19" s="955"/>
      <c r="L19" s="955"/>
      <c r="M19" s="955"/>
      <c r="N19" s="955"/>
      <c r="O19" s="955"/>
      <c r="P19" s="955"/>
      <c r="Q19" s="955"/>
      <c r="R19" s="955"/>
      <c r="S19" s="955"/>
      <c r="T19" s="847">
        <f t="shared" si="0"/>
        <v>0</v>
      </c>
      <c r="U19" s="956">
        <f t="shared" si="2"/>
        <v>0</v>
      </c>
      <c r="V19" s="744"/>
      <c r="W19" s="471"/>
      <c r="X19" s="3"/>
      <c r="Y19" s="3"/>
      <c r="Z19" s="3"/>
      <c r="AA19" s="3"/>
    </row>
    <row r="20" spans="1:27" ht="345">
      <c r="A20" s="736"/>
      <c r="B20" s="736"/>
      <c r="C20" s="736"/>
      <c r="D20" s="829">
        <v>15</v>
      </c>
      <c r="E20" s="829" t="s">
        <v>50</v>
      </c>
      <c r="F20" s="1021"/>
      <c r="G20" s="1021"/>
      <c r="H20" s="1021"/>
      <c r="I20" s="1022">
        <v>1.1100000000000001</v>
      </c>
      <c r="J20" s="1021"/>
      <c r="K20" s="1021"/>
      <c r="L20" s="1021"/>
      <c r="M20" s="1021"/>
      <c r="N20" s="883">
        <v>0.75</v>
      </c>
      <c r="O20" s="1021"/>
      <c r="P20" s="1022">
        <v>3</v>
      </c>
      <c r="Q20" s="1022"/>
      <c r="R20" s="1021">
        <v>0</v>
      </c>
      <c r="S20" s="1021"/>
      <c r="T20" s="847">
        <f t="shared" si="0"/>
        <v>4.8600000000000003</v>
      </c>
      <c r="U20" s="956">
        <f>1.21+1+1+2</f>
        <v>5.21</v>
      </c>
      <c r="V20" s="729" t="s">
        <v>523</v>
      </c>
      <c r="W20" s="471"/>
      <c r="X20" s="3"/>
      <c r="Y20" s="3"/>
      <c r="Z20" s="3"/>
      <c r="AA20" s="3"/>
    </row>
    <row r="21" spans="1:27" ht="24.75" customHeight="1">
      <c r="A21" s="736"/>
      <c r="B21" s="736"/>
      <c r="C21" s="736"/>
      <c r="D21" s="829">
        <v>16</v>
      </c>
      <c r="E21" s="829" t="s">
        <v>51</v>
      </c>
      <c r="F21" s="955"/>
      <c r="G21" s="955"/>
      <c r="H21" s="955"/>
      <c r="I21" s="955"/>
      <c r="J21" s="955"/>
      <c r="K21" s="955"/>
      <c r="L21" s="955"/>
      <c r="M21" s="955"/>
      <c r="N21" s="955"/>
      <c r="O21" s="955"/>
      <c r="P21" s="955"/>
      <c r="Q21" s="955"/>
      <c r="R21" s="955"/>
      <c r="S21" s="955"/>
      <c r="T21" s="847">
        <f t="shared" si="0"/>
        <v>0</v>
      </c>
      <c r="U21" s="956">
        <f>T21*1.05</f>
        <v>0</v>
      </c>
      <c r="V21" s="744"/>
      <c r="W21" s="471"/>
      <c r="X21" s="3"/>
      <c r="Y21" s="3"/>
      <c r="Z21" s="3"/>
      <c r="AA21" s="3"/>
    </row>
    <row r="22" spans="1:27" ht="75">
      <c r="A22" s="736"/>
      <c r="B22" s="736"/>
      <c r="C22" s="736"/>
      <c r="D22" s="829">
        <v>17</v>
      </c>
      <c r="E22" s="829" t="s">
        <v>52</v>
      </c>
      <c r="F22" s="1021"/>
      <c r="G22" s="1021"/>
      <c r="H22" s="1021"/>
      <c r="I22" s="883"/>
      <c r="J22" s="1021"/>
      <c r="K22" s="1021"/>
      <c r="L22" s="1021"/>
      <c r="M22" s="1021">
        <v>0</v>
      </c>
      <c r="N22" s="883"/>
      <c r="O22" s="1021"/>
      <c r="P22" s="1022">
        <v>1.95</v>
      </c>
      <c r="Q22" s="1021">
        <v>2.37</v>
      </c>
      <c r="R22" s="1021"/>
      <c r="S22" s="1022"/>
      <c r="T22" s="847">
        <f t="shared" si="0"/>
        <v>4.32</v>
      </c>
      <c r="U22" s="728">
        <f>T22+0.5</f>
        <v>4.82</v>
      </c>
      <c r="V22" s="738" t="s">
        <v>524</v>
      </c>
      <c r="W22" s="471"/>
      <c r="X22" s="3"/>
      <c r="Y22" s="3"/>
      <c r="Z22" s="3"/>
      <c r="AA22" s="3"/>
    </row>
    <row r="23" spans="1:27" ht="45">
      <c r="A23" s="736"/>
      <c r="B23" s="736"/>
      <c r="C23" s="736"/>
      <c r="D23" s="829">
        <v>18</v>
      </c>
      <c r="E23" s="829" t="s">
        <v>53</v>
      </c>
      <c r="F23" s="829"/>
      <c r="G23" s="829"/>
      <c r="H23" s="829"/>
      <c r="I23" s="829"/>
      <c r="J23" s="829"/>
      <c r="K23" s="829"/>
      <c r="L23" s="829"/>
      <c r="M23" s="829"/>
      <c r="N23" s="829"/>
      <c r="O23" s="829"/>
      <c r="P23" s="845">
        <v>0.48</v>
      </c>
      <c r="Q23" s="845"/>
      <c r="R23" s="829"/>
      <c r="S23" s="845"/>
      <c r="T23" s="847">
        <f t="shared" si="0"/>
        <v>0.48</v>
      </c>
      <c r="U23" s="847">
        <f>T23</f>
        <v>0.48</v>
      </c>
      <c r="V23" s="729" t="s">
        <v>1629</v>
      </c>
      <c r="W23" s="471"/>
      <c r="X23" s="3"/>
      <c r="Y23" s="3"/>
      <c r="Z23" s="3"/>
      <c r="AA23" s="3"/>
    </row>
    <row r="24" spans="1:27" ht="24.75" customHeight="1">
      <c r="A24" s="736"/>
      <c r="B24" s="828" t="s">
        <v>54</v>
      </c>
      <c r="C24" s="828" t="s">
        <v>55</v>
      </c>
      <c r="D24" s="829">
        <v>19</v>
      </c>
      <c r="E24" s="829" t="s">
        <v>55</v>
      </c>
      <c r="F24" s="829"/>
      <c r="G24" s="829"/>
      <c r="H24" s="829"/>
      <c r="I24" s="829">
        <v>0</v>
      </c>
      <c r="J24" s="829"/>
      <c r="K24" s="829"/>
      <c r="L24" s="829"/>
      <c r="M24" s="829"/>
      <c r="N24" s="829">
        <v>0</v>
      </c>
      <c r="O24" s="829"/>
      <c r="P24" s="829"/>
      <c r="Q24" s="829"/>
      <c r="R24" s="829"/>
      <c r="S24" s="829"/>
      <c r="T24" s="847">
        <f t="shared" si="0"/>
        <v>0</v>
      </c>
      <c r="U24" s="847"/>
      <c r="V24" s="729"/>
      <c r="W24" s="471"/>
      <c r="X24" s="3"/>
      <c r="Y24" s="3"/>
      <c r="Z24" s="3"/>
      <c r="AA24" s="3"/>
    </row>
    <row r="25" spans="1:27" ht="120">
      <c r="A25" s="736"/>
      <c r="B25" s="736"/>
      <c r="C25" s="736"/>
      <c r="D25" s="829">
        <v>20</v>
      </c>
      <c r="E25" s="829" t="s">
        <v>56</v>
      </c>
      <c r="F25" s="829"/>
      <c r="G25" s="829"/>
      <c r="H25" s="829"/>
      <c r="I25" s="829"/>
      <c r="J25" s="829"/>
      <c r="K25" s="829"/>
      <c r="L25" s="829"/>
      <c r="M25" s="829"/>
      <c r="N25" s="829"/>
      <c r="O25" s="829"/>
      <c r="P25" s="829"/>
      <c r="Q25" s="983"/>
      <c r="R25" s="979"/>
      <c r="S25" s="979"/>
      <c r="T25" s="847">
        <f t="shared" si="0"/>
        <v>0</v>
      </c>
      <c r="U25" s="1024">
        <f>1.5</f>
        <v>1.5</v>
      </c>
      <c r="V25" s="729" t="s">
        <v>525</v>
      </c>
      <c r="W25" s="471"/>
      <c r="X25" s="3"/>
      <c r="Y25" s="3"/>
      <c r="Z25" s="3"/>
      <c r="AA25" s="3"/>
    </row>
    <row r="26" spans="1:27" ht="267.75" customHeight="1">
      <c r="A26" s="736"/>
      <c r="B26" s="828" t="s">
        <v>58</v>
      </c>
      <c r="C26" s="828" t="s">
        <v>59</v>
      </c>
      <c r="D26" s="829">
        <v>21</v>
      </c>
      <c r="E26" s="829" t="s">
        <v>60</v>
      </c>
      <c r="F26" s="913"/>
      <c r="G26" s="913"/>
      <c r="H26" s="914"/>
      <c r="I26" s="915">
        <v>1.56</v>
      </c>
      <c r="J26" s="913"/>
      <c r="K26" s="915"/>
      <c r="L26" s="913"/>
      <c r="M26" s="913"/>
      <c r="N26" s="915">
        <f>1+0.42+0.3</f>
        <v>1.72</v>
      </c>
      <c r="O26" s="913"/>
      <c r="P26" s="914">
        <f>15.12+2.988</f>
        <v>18.108000000000001</v>
      </c>
      <c r="Q26" s="914">
        <v>0.19500000000000001</v>
      </c>
      <c r="R26" s="915">
        <v>0.5</v>
      </c>
      <c r="S26" s="913"/>
      <c r="T26" s="847">
        <f t="shared" si="0"/>
        <v>22.083000000000002</v>
      </c>
      <c r="U26" s="728">
        <f>I26+N26+P26+Q26+R26</f>
        <v>22.083000000000002</v>
      </c>
      <c r="V26" s="744" t="s">
        <v>1650</v>
      </c>
      <c r="W26" s="471"/>
      <c r="X26" s="3"/>
      <c r="Y26" s="3"/>
      <c r="Z26" s="3"/>
      <c r="AA26" s="3"/>
    </row>
    <row r="27" spans="1:27" ht="159.75" customHeight="1">
      <c r="A27" s="736"/>
      <c r="B27" s="736"/>
      <c r="C27" s="736"/>
      <c r="D27" s="829">
        <v>22</v>
      </c>
      <c r="E27" s="829" t="s">
        <v>62</v>
      </c>
      <c r="F27" s="914"/>
      <c r="G27" s="913"/>
      <c r="H27" s="914"/>
      <c r="I27" s="841">
        <f>425840/100000</f>
        <v>4.2584</v>
      </c>
      <c r="J27" s="913"/>
      <c r="K27" s="913"/>
      <c r="L27" s="913"/>
      <c r="M27" s="914">
        <v>1</v>
      </c>
      <c r="N27" s="913"/>
      <c r="O27" s="913"/>
      <c r="P27" s="914">
        <f>140.423+2.4</f>
        <v>142.82300000000001</v>
      </c>
      <c r="Q27" s="914">
        <v>1</v>
      </c>
      <c r="R27" s="915"/>
      <c r="S27" s="913"/>
      <c r="T27" s="847">
        <f t="shared" si="0"/>
        <v>149.0814</v>
      </c>
      <c r="U27" s="728">
        <f>M27+P27+Q27</f>
        <v>144.82300000000001</v>
      </c>
      <c r="V27" s="738" t="s">
        <v>1649</v>
      </c>
      <c r="W27" s="471"/>
      <c r="X27" s="3"/>
      <c r="Y27" s="3"/>
      <c r="Z27" s="3"/>
      <c r="AA27" s="3"/>
    </row>
    <row r="28" spans="1:27" ht="103.5" customHeight="1">
      <c r="A28" s="736"/>
      <c r="B28" s="736"/>
      <c r="C28" s="736"/>
      <c r="D28" s="829">
        <v>23</v>
      </c>
      <c r="E28" s="829" t="s">
        <v>64</v>
      </c>
      <c r="F28" s="913"/>
      <c r="G28" s="913"/>
      <c r="H28" s="913"/>
      <c r="I28" s="913"/>
      <c r="J28" s="913"/>
      <c r="K28" s="915"/>
      <c r="L28" s="913"/>
      <c r="M28" s="913"/>
      <c r="N28" s="913">
        <v>0.11</v>
      </c>
      <c r="O28" s="914">
        <v>58.71</v>
      </c>
      <c r="P28" s="913"/>
      <c r="Q28" s="914"/>
      <c r="R28" s="913"/>
      <c r="S28" s="913"/>
      <c r="T28" s="847">
        <f t="shared" si="0"/>
        <v>58.82</v>
      </c>
      <c r="U28" s="728">
        <f>T28</f>
        <v>58.82</v>
      </c>
      <c r="V28" s="740" t="s">
        <v>1647</v>
      </c>
      <c r="W28" s="471"/>
      <c r="X28" s="3"/>
      <c r="Y28" s="3"/>
      <c r="Z28" s="3"/>
      <c r="AA28" s="3"/>
    </row>
    <row r="29" spans="1:27" ht="156" customHeight="1">
      <c r="A29" s="736"/>
      <c r="B29" s="736"/>
      <c r="C29" s="736"/>
      <c r="D29" s="829">
        <v>24</v>
      </c>
      <c r="E29" s="829" t="s">
        <v>66</v>
      </c>
      <c r="F29" s="913"/>
      <c r="G29" s="913"/>
      <c r="H29" s="914"/>
      <c r="I29" s="913"/>
      <c r="J29" s="913"/>
      <c r="K29" s="913"/>
      <c r="L29" s="913"/>
      <c r="M29" s="913"/>
      <c r="N29" s="919">
        <f>1+0.688+0.688+0.5+4</f>
        <v>6.8759999999999994</v>
      </c>
      <c r="O29" s="914"/>
      <c r="P29" s="913">
        <v>14.9</v>
      </c>
      <c r="Q29" s="915">
        <v>2</v>
      </c>
      <c r="R29" s="913"/>
      <c r="S29" s="913"/>
      <c r="T29" s="847">
        <f t="shared" si="0"/>
        <v>23.776</v>
      </c>
      <c r="U29" s="920">
        <v>25.775999999999996</v>
      </c>
      <c r="V29" s="744" t="s">
        <v>1646</v>
      </c>
      <c r="W29" s="471"/>
      <c r="X29" s="3"/>
      <c r="Y29" s="3"/>
      <c r="Z29" s="3"/>
      <c r="AA29" s="3"/>
    </row>
    <row r="30" spans="1:27" ht="251.25" customHeight="1">
      <c r="A30" s="736"/>
      <c r="B30" s="736"/>
      <c r="C30" s="736"/>
      <c r="D30" s="829">
        <v>25</v>
      </c>
      <c r="E30" s="829" t="s">
        <v>68</v>
      </c>
      <c r="F30" s="913"/>
      <c r="G30" s="913"/>
      <c r="H30" s="913"/>
      <c r="I30" s="913"/>
      <c r="J30" s="913"/>
      <c r="K30" s="913"/>
      <c r="L30" s="913"/>
      <c r="M30" s="913"/>
      <c r="N30" s="915">
        <v>0.5</v>
      </c>
      <c r="O30" s="921">
        <v>6.4500000000000002E-2</v>
      </c>
      <c r="P30" s="913">
        <v>0.89600000000000002</v>
      </c>
      <c r="Q30" s="995"/>
      <c r="R30" s="913"/>
      <c r="S30" s="913"/>
      <c r="T30" s="847">
        <f t="shared" si="0"/>
        <v>1.4605000000000001</v>
      </c>
      <c r="U30" s="728">
        <f>T30</f>
        <v>1.4605000000000001</v>
      </c>
      <c r="V30" s="744" t="s">
        <v>1648</v>
      </c>
      <c r="W30" s="471"/>
      <c r="X30" s="3"/>
      <c r="Y30" s="3"/>
      <c r="Z30" s="3"/>
      <c r="AA30" s="3"/>
    </row>
    <row r="31" spans="1:27" ht="231" customHeight="1">
      <c r="A31" s="736"/>
      <c r="B31" s="736"/>
      <c r="C31" s="736"/>
      <c r="D31" s="829">
        <v>26</v>
      </c>
      <c r="E31" s="829" t="s">
        <v>70</v>
      </c>
      <c r="F31" s="913"/>
      <c r="G31" s="913"/>
      <c r="H31" s="913"/>
      <c r="I31" s="915"/>
      <c r="J31" s="913"/>
      <c r="K31" s="913"/>
      <c r="L31" s="913"/>
      <c r="M31" s="913"/>
      <c r="N31" s="915">
        <v>3.6</v>
      </c>
      <c r="O31" s="913"/>
      <c r="P31" s="913"/>
      <c r="Q31" s="919">
        <v>3.2</v>
      </c>
      <c r="R31" s="922">
        <v>0.2</v>
      </c>
      <c r="S31" s="913"/>
      <c r="T31" s="847">
        <f t="shared" si="0"/>
        <v>7.0000000000000009</v>
      </c>
      <c r="U31" s="728">
        <f>T31-0.2</f>
        <v>6.8000000000000007</v>
      </c>
      <c r="V31" s="744" t="s">
        <v>1645</v>
      </c>
      <c r="W31" s="471"/>
      <c r="X31" s="3"/>
      <c r="Y31" s="3"/>
      <c r="Z31" s="3"/>
      <c r="AA31" s="3"/>
    </row>
    <row r="32" spans="1:27" ht="143.25" customHeight="1">
      <c r="A32" s="736"/>
      <c r="B32" s="736"/>
      <c r="C32" s="736"/>
      <c r="D32" s="829">
        <v>27</v>
      </c>
      <c r="E32" s="829" t="s">
        <v>72</v>
      </c>
      <c r="F32" s="913"/>
      <c r="G32" s="913"/>
      <c r="H32" s="914"/>
      <c r="I32" s="915"/>
      <c r="J32" s="913"/>
      <c r="K32" s="913"/>
      <c r="L32" s="913"/>
      <c r="M32" s="913"/>
      <c r="N32" s="915">
        <v>1</v>
      </c>
      <c r="O32" s="914"/>
      <c r="P32" s="914">
        <v>3</v>
      </c>
      <c r="Q32" s="913"/>
      <c r="R32" s="913"/>
      <c r="S32" s="913"/>
      <c r="T32" s="847">
        <f t="shared" si="0"/>
        <v>4</v>
      </c>
      <c r="U32" s="847">
        <f>T32</f>
        <v>4</v>
      </c>
      <c r="V32" s="740" t="s">
        <v>1644</v>
      </c>
      <c r="W32" s="471"/>
      <c r="X32" s="3"/>
      <c r="Y32" s="3"/>
      <c r="Z32" s="3"/>
      <c r="AA32" s="3"/>
    </row>
    <row r="33" spans="1:27" ht="59.25" customHeight="1">
      <c r="A33" s="736"/>
      <c r="B33" s="736"/>
      <c r="C33" s="736"/>
      <c r="D33" s="829">
        <v>28</v>
      </c>
      <c r="E33" s="829" t="s">
        <v>34</v>
      </c>
      <c r="F33" s="913"/>
      <c r="G33" s="913"/>
      <c r="H33" s="913"/>
      <c r="I33" s="913"/>
      <c r="J33" s="913"/>
      <c r="K33" s="915">
        <v>2.1760000000000002</v>
      </c>
      <c r="L33" s="913"/>
      <c r="M33" s="915">
        <v>2.1760000000000002</v>
      </c>
      <c r="N33" s="913"/>
      <c r="O33" s="913"/>
      <c r="P33" s="913"/>
      <c r="Q33" s="913"/>
      <c r="R33" s="913"/>
      <c r="S33" s="913"/>
      <c r="T33" s="847">
        <f t="shared" si="0"/>
        <v>4.3520000000000003</v>
      </c>
      <c r="U33" s="847">
        <f>4.35</f>
        <v>4.3499999999999996</v>
      </c>
      <c r="V33" s="729" t="s">
        <v>1630</v>
      </c>
      <c r="W33" s="471"/>
      <c r="X33" s="3"/>
      <c r="Y33" s="3"/>
      <c r="Z33" s="3"/>
      <c r="AA33" s="3"/>
    </row>
    <row r="34" spans="1:27" ht="24.75" customHeight="1">
      <c r="A34" s="736"/>
      <c r="B34" s="736"/>
      <c r="C34" s="736"/>
      <c r="D34" s="829">
        <v>29</v>
      </c>
      <c r="E34" s="829" t="s">
        <v>36</v>
      </c>
      <c r="F34" s="913"/>
      <c r="G34" s="913"/>
      <c r="H34" s="913"/>
      <c r="I34" s="913"/>
      <c r="J34" s="913"/>
      <c r="K34" s="913"/>
      <c r="L34" s="913"/>
      <c r="M34" s="913"/>
      <c r="N34" s="913"/>
      <c r="O34" s="913"/>
      <c r="P34" s="915">
        <v>5.44</v>
      </c>
      <c r="Q34" s="913"/>
      <c r="R34" s="913"/>
      <c r="S34" s="913"/>
      <c r="T34" s="847">
        <f t="shared" si="0"/>
        <v>5.44</v>
      </c>
      <c r="U34" s="847">
        <f t="shared" ref="U34:U35" si="3">T34</f>
        <v>5.44</v>
      </c>
      <c r="V34" s="729" t="s">
        <v>1631</v>
      </c>
      <c r="W34" s="471"/>
      <c r="X34" s="3"/>
      <c r="Y34" s="3"/>
      <c r="Z34" s="3"/>
      <c r="AA34" s="3"/>
    </row>
    <row r="35" spans="1:27" ht="60">
      <c r="A35" s="736"/>
      <c r="B35" s="736"/>
      <c r="C35" s="736"/>
      <c r="D35" s="829">
        <v>30</v>
      </c>
      <c r="E35" s="829" t="s">
        <v>74</v>
      </c>
      <c r="F35" s="913"/>
      <c r="G35" s="913"/>
      <c r="H35" s="913"/>
      <c r="I35" s="915"/>
      <c r="J35" s="913"/>
      <c r="K35" s="913"/>
      <c r="L35" s="913"/>
      <c r="M35" s="913"/>
      <c r="N35" s="913"/>
      <c r="O35" s="913"/>
      <c r="P35" s="913"/>
      <c r="Q35" s="915">
        <v>3.35</v>
      </c>
      <c r="R35" s="922">
        <v>1.75</v>
      </c>
      <c r="S35" s="913"/>
      <c r="T35" s="847">
        <f t="shared" si="0"/>
        <v>5.0999999999999996</v>
      </c>
      <c r="U35" s="847">
        <f t="shared" si="3"/>
        <v>5.0999999999999996</v>
      </c>
      <c r="V35" s="746" t="s">
        <v>527</v>
      </c>
      <c r="W35" s="471"/>
      <c r="X35" s="3"/>
      <c r="Y35" s="3"/>
      <c r="Z35" s="3"/>
      <c r="AA35" s="3"/>
    </row>
    <row r="36" spans="1:27" ht="24.75" customHeight="1">
      <c r="A36" s="736"/>
      <c r="B36" s="736"/>
      <c r="C36" s="736"/>
      <c r="D36" s="829">
        <v>31</v>
      </c>
      <c r="E36" s="829" t="s">
        <v>53</v>
      </c>
      <c r="F36" s="913"/>
      <c r="G36" s="913"/>
      <c r="H36" s="913"/>
      <c r="I36" s="913"/>
      <c r="J36" s="913"/>
      <c r="K36" s="913"/>
      <c r="L36" s="913"/>
      <c r="M36" s="913"/>
      <c r="N36" s="913"/>
      <c r="O36" s="913"/>
      <c r="P36" s="913"/>
      <c r="Q36" s="913"/>
      <c r="R36" s="913"/>
      <c r="S36" s="913"/>
      <c r="T36" s="847">
        <f t="shared" si="0"/>
        <v>0</v>
      </c>
      <c r="U36" s="847">
        <f>T36*110/100</f>
        <v>0</v>
      </c>
      <c r="V36" s="729"/>
      <c r="W36" s="471"/>
      <c r="X36" s="3"/>
      <c r="Y36" s="3"/>
      <c r="Z36" s="3"/>
      <c r="AA36" s="3"/>
    </row>
    <row r="37" spans="1:27" ht="120">
      <c r="A37" s="736"/>
      <c r="B37" s="828" t="s">
        <v>76</v>
      </c>
      <c r="C37" s="828" t="s">
        <v>77</v>
      </c>
      <c r="D37" s="829">
        <v>32</v>
      </c>
      <c r="E37" s="829" t="s">
        <v>78</v>
      </c>
      <c r="F37" s="979"/>
      <c r="G37" s="979"/>
      <c r="H37" s="979"/>
      <c r="I37" s="783"/>
      <c r="J37" s="979"/>
      <c r="K37" s="979"/>
      <c r="L37" s="979"/>
      <c r="M37" s="783"/>
      <c r="N37" s="981">
        <v>5.476</v>
      </c>
      <c r="O37" s="982">
        <v>49.075049999999997</v>
      </c>
      <c r="P37" s="982">
        <v>14.29124</v>
      </c>
      <c r="Q37" s="1025">
        <v>11.3</v>
      </c>
      <c r="R37" s="845">
        <v>4.5039999999999996</v>
      </c>
      <c r="S37" s="1001">
        <v>3.62</v>
      </c>
      <c r="T37" s="847">
        <f t="shared" si="0"/>
        <v>88.266289999999998</v>
      </c>
      <c r="U37" s="847">
        <f>T37-0.831</f>
        <v>87.435289999999995</v>
      </c>
      <c r="V37" s="746" t="s">
        <v>528</v>
      </c>
      <c r="W37" s="471"/>
      <c r="X37" s="3"/>
      <c r="Y37" s="3"/>
      <c r="Z37" s="3"/>
      <c r="AA37" s="3"/>
    </row>
    <row r="38" spans="1:27" ht="24.75" customHeight="1">
      <c r="A38" s="736"/>
      <c r="B38" s="736"/>
      <c r="C38" s="736"/>
      <c r="D38" s="829">
        <v>33</v>
      </c>
      <c r="E38" s="829" t="s">
        <v>80</v>
      </c>
      <c r="F38" s="829"/>
      <c r="G38" s="829"/>
      <c r="H38" s="829"/>
      <c r="I38" s="829"/>
      <c r="J38" s="829"/>
      <c r="K38" s="829"/>
      <c r="L38" s="829"/>
      <c r="M38" s="829"/>
      <c r="N38" s="829"/>
      <c r="O38" s="829"/>
      <c r="P38" s="829"/>
      <c r="Q38" s="829"/>
      <c r="R38" s="829"/>
      <c r="S38" s="829"/>
      <c r="T38" s="847">
        <f t="shared" si="0"/>
        <v>0</v>
      </c>
      <c r="U38" s="847">
        <f t="shared" ref="U38:U39" si="4">T38*110/100</f>
        <v>0</v>
      </c>
      <c r="V38" s="729"/>
      <c r="W38" s="471"/>
      <c r="X38" s="3"/>
      <c r="Y38" s="3"/>
      <c r="Z38" s="3"/>
      <c r="AA38" s="3"/>
    </row>
    <row r="39" spans="1:27" ht="24.75" customHeight="1">
      <c r="A39" s="736"/>
      <c r="B39" s="736"/>
      <c r="C39" s="736"/>
      <c r="D39" s="829">
        <v>34</v>
      </c>
      <c r="E39" s="829" t="s">
        <v>81</v>
      </c>
      <c r="F39" s="829"/>
      <c r="G39" s="829"/>
      <c r="H39" s="829"/>
      <c r="I39" s="829"/>
      <c r="J39" s="829"/>
      <c r="K39" s="829"/>
      <c r="L39" s="829"/>
      <c r="M39" s="829"/>
      <c r="N39" s="847"/>
      <c r="O39" s="829"/>
      <c r="P39" s="845"/>
      <c r="Q39" s="829"/>
      <c r="R39" s="829"/>
      <c r="S39" s="829"/>
      <c r="T39" s="847">
        <f t="shared" si="0"/>
        <v>0</v>
      </c>
      <c r="U39" s="847">
        <f t="shared" si="4"/>
        <v>0</v>
      </c>
      <c r="V39" s="729"/>
      <c r="W39" s="471"/>
      <c r="X39" s="3"/>
      <c r="Y39" s="3"/>
      <c r="Z39" s="3"/>
      <c r="AA39" s="3"/>
    </row>
    <row r="40" spans="1:27" ht="285">
      <c r="A40" s="736"/>
      <c r="B40" s="828" t="s">
        <v>82</v>
      </c>
      <c r="C40" s="828" t="s">
        <v>83</v>
      </c>
      <c r="D40" s="829">
        <v>35</v>
      </c>
      <c r="E40" s="829" t="s">
        <v>84</v>
      </c>
      <c r="F40" s="924"/>
      <c r="G40" s="924"/>
      <c r="H40" s="924"/>
      <c r="I40" s="925"/>
      <c r="J40" s="924"/>
      <c r="K40" s="924"/>
      <c r="L40" s="924"/>
      <c r="M40" s="924"/>
      <c r="N40" s="925">
        <v>1.2</v>
      </c>
      <c r="O40" s="924"/>
      <c r="P40" s="926">
        <f>0.84+2.688+0.5+0.15+0.1</f>
        <v>4.2780000000000005</v>
      </c>
      <c r="Q40" s="926">
        <v>0.25</v>
      </c>
      <c r="R40" s="924"/>
      <c r="S40" s="924"/>
      <c r="T40" s="847">
        <f t="shared" si="0"/>
        <v>5.7280000000000006</v>
      </c>
      <c r="U40" s="847">
        <f>T40</f>
        <v>5.7280000000000006</v>
      </c>
      <c r="V40" s="746" t="s">
        <v>1632</v>
      </c>
      <c r="W40" s="471"/>
      <c r="X40" s="3"/>
      <c r="Y40" s="3"/>
      <c r="Z40" s="3"/>
      <c r="AA40" s="3"/>
    </row>
    <row r="41" spans="1:27" ht="24.75" customHeight="1">
      <c r="A41" s="736"/>
      <c r="B41" s="736"/>
      <c r="C41" s="736"/>
      <c r="D41" s="829">
        <v>36</v>
      </c>
      <c r="E41" s="829" t="s">
        <v>85</v>
      </c>
      <c r="F41" s="924"/>
      <c r="G41" s="924"/>
      <c r="H41" s="924"/>
      <c r="I41" s="924"/>
      <c r="J41" s="924"/>
      <c r="K41" s="925"/>
      <c r="L41" s="924"/>
      <c r="M41" s="924"/>
      <c r="N41" s="925">
        <v>0.6</v>
      </c>
      <c r="O41" s="924"/>
      <c r="P41" s="924"/>
      <c r="Q41" s="924"/>
      <c r="R41" s="924"/>
      <c r="S41" s="924"/>
      <c r="T41" s="847">
        <f t="shared" si="0"/>
        <v>0.6</v>
      </c>
      <c r="U41" s="847">
        <v>0.6</v>
      </c>
      <c r="V41" s="746" t="s">
        <v>529</v>
      </c>
      <c r="W41" s="471"/>
      <c r="X41" s="3"/>
      <c r="Y41" s="3"/>
      <c r="Z41" s="3"/>
      <c r="AA41" s="3"/>
    </row>
    <row r="42" spans="1:27" ht="24.75" customHeight="1">
      <c r="A42" s="736"/>
      <c r="B42" s="736"/>
      <c r="C42" s="736"/>
      <c r="D42" s="829">
        <v>37</v>
      </c>
      <c r="E42" s="829" t="s">
        <v>86</v>
      </c>
      <c r="F42" s="924"/>
      <c r="G42" s="924"/>
      <c r="H42" s="924"/>
      <c r="I42" s="924"/>
      <c r="J42" s="924"/>
      <c r="K42" s="925"/>
      <c r="L42" s="924"/>
      <c r="M42" s="924"/>
      <c r="N42" s="924"/>
      <c r="O42" s="924"/>
      <c r="P42" s="924"/>
      <c r="Q42" s="924"/>
      <c r="R42" s="924"/>
      <c r="S42" s="924"/>
      <c r="T42" s="847">
        <f t="shared" si="0"/>
        <v>0</v>
      </c>
      <c r="U42" s="847">
        <f>T42*110/100</f>
        <v>0</v>
      </c>
      <c r="V42" s="746"/>
      <c r="W42" s="471"/>
      <c r="X42" s="3"/>
      <c r="Y42" s="3"/>
      <c r="Z42" s="3"/>
      <c r="AA42" s="3"/>
    </row>
    <row r="43" spans="1:27" ht="206.25" customHeight="1">
      <c r="A43" s="736"/>
      <c r="B43" s="736"/>
      <c r="C43" s="736"/>
      <c r="D43" s="829">
        <v>38</v>
      </c>
      <c r="E43" s="829" t="s">
        <v>87</v>
      </c>
      <c r="F43" s="924"/>
      <c r="G43" s="924"/>
      <c r="H43" s="924"/>
      <c r="I43" s="924"/>
      <c r="J43" s="924"/>
      <c r="K43" s="924"/>
      <c r="L43" s="924"/>
      <c r="M43" s="924"/>
      <c r="N43" s="925">
        <v>7</v>
      </c>
      <c r="O43" s="926">
        <v>0.22</v>
      </c>
      <c r="P43" s="926">
        <v>13.6</v>
      </c>
      <c r="Q43" s="926">
        <v>1.4</v>
      </c>
      <c r="R43" s="924"/>
      <c r="S43" s="924"/>
      <c r="T43" s="847">
        <f t="shared" si="0"/>
        <v>22.22</v>
      </c>
      <c r="U43" s="847">
        <v>22.22</v>
      </c>
      <c r="V43" s="746" t="s">
        <v>1633</v>
      </c>
      <c r="W43" s="471"/>
      <c r="X43" s="3"/>
      <c r="Y43" s="3"/>
      <c r="Z43" s="3"/>
      <c r="AA43" s="3"/>
    </row>
    <row r="44" spans="1:27" ht="66" customHeight="1">
      <c r="A44" s="736"/>
      <c r="B44" s="736"/>
      <c r="C44" s="736"/>
      <c r="D44" s="829">
        <v>39</v>
      </c>
      <c r="E44" s="829" t="s">
        <v>88</v>
      </c>
      <c r="F44" s="924"/>
      <c r="G44" s="924"/>
      <c r="H44" s="924"/>
      <c r="I44" s="924"/>
      <c r="J44" s="924"/>
      <c r="K44" s="924"/>
      <c r="L44" s="924"/>
      <c r="M44" s="924"/>
      <c r="N44" s="924">
        <v>1</v>
      </c>
      <c r="O44" s="924"/>
      <c r="P44" s="926">
        <v>0.4</v>
      </c>
      <c r="Q44" s="926"/>
      <c r="R44" s="924"/>
      <c r="S44" s="924"/>
      <c r="T44" s="847">
        <f t="shared" si="0"/>
        <v>1.4</v>
      </c>
      <c r="U44" s="847">
        <v>1.4</v>
      </c>
      <c r="V44" s="746" t="s">
        <v>401</v>
      </c>
      <c r="W44" s="471"/>
      <c r="X44" s="3"/>
      <c r="Y44" s="3"/>
      <c r="Z44" s="3"/>
      <c r="AA44" s="3"/>
    </row>
    <row r="45" spans="1:27" ht="165">
      <c r="A45" s="736"/>
      <c r="B45" s="736"/>
      <c r="C45" s="736"/>
      <c r="D45" s="829">
        <v>40</v>
      </c>
      <c r="E45" s="829" t="s">
        <v>89</v>
      </c>
      <c r="F45" s="924"/>
      <c r="G45" s="924"/>
      <c r="H45" s="924"/>
      <c r="I45" s="924"/>
      <c r="J45" s="924"/>
      <c r="K45" s="924"/>
      <c r="L45" s="924"/>
      <c r="M45" s="924"/>
      <c r="N45" s="925">
        <v>0.10920000000000001</v>
      </c>
      <c r="O45" s="924"/>
      <c r="P45" s="926"/>
      <c r="Q45" s="925">
        <f>0.46+1.5</f>
        <v>1.96</v>
      </c>
      <c r="R45" s="926"/>
      <c r="S45" s="924"/>
      <c r="T45" s="847">
        <f t="shared" si="0"/>
        <v>2.0691999999999999</v>
      </c>
      <c r="U45" s="847">
        <v>2.0699999999999998</v>
      </c>
      <c r="V45" s="746" t="s">
        <v>1634</v>
      </c>
      <c r="W45" s="471"/>
      <c r="X45" s="3"/>
      <c r="Y45" s="3"/>
      <c r="Z45" s="3"/>
      <c r="AA45" s="3"/>
    </row>
    <row r="46" spans="1:27" ht="24.75" customHeight="1">
      <c r="A46" s="736"/>
      <c r="B46" s="736"/>
      <c r="C46" s="736"/>
      <c r="D46" s="829">
        <v>41</v>
      </c>
      <c r="E46" s="829" t="s">
        <v>53</v>
      </c>
      <c r="F46" s="924"/>
      <c r="G46" s="924"/>
      <c r="H46" s="924"/>
      <c r="I46" s="924"/>
      <c r="J46" s="924"/>
      <c r="K46" s="924"/>
      <c r="L46" s="924"/>
      <c r="M46" s="924"/>
      <c r="N46" s="924"/>
      <c r="O46" s="924"/>
      <c r="P46" s="924"/>
      <c r="Q46" s="924"/>
      <c r="R46" s="924"/>
      <c r="S46" s="924"/>
      <c r="T46" s="847">
        <f t="shared" si="0"/>
        <v>0</v>
      </c>
      <c r="U46" s="847">
        <f>T46*110/100</f>
        <v>0</v>
      </c>
      <c r="V46" s="746"/>
      <c r="W46" s="471"/>
      <c r="X46" s="3"/>
      <c r="Y46" s="3"/>
      <c r="Z46" s="3"/>
      <c r="AA46" s="3"/>
    </row>
    <row r="47" spans="1:27" ht="75">
      <c r="A47" s="736"/>
      <c r="B47" s="828" t="s">
        <v>90</v>
      </c>
      <c r="C47" s="828" t="s">
        <v>91</v>
      </c>
      <c r="D47" s="829">
        <v>42</v>
      </c>
      <c r="E47" s="829" t="s">
        <v>92</v>
      </c>
      <c r="F47" s="982">
        <v>4.992</v>
      </c>
      <c r="G47" s="979"/>
      <c r="H47" s="979"/>
      <c r="I47" s="783"/>
      <c r="J47" s="979"/>
      <c r="K47" s="979"/>
      <c r="L47" s="979"/>
      <c r="M47" s="979"/>
      <c r="N47" s="835">
        <v>1.1000000000000001</v>
      </c>
      <c r="O47" s="881"/>
      <c r="P47" s="982"/>
      <c r="Q47" s="881"/>
      <c r="R47" s="979"/>
      <c r="S47" s="979"/>
      <c r="T47" s="847">
        <f t="shared" si="0"/>
        <v>6.0920000000000005</v>
      </c>
      <c r="U47" s="847">
        <f t="shared" ref="U47:U50" si="5">T47</f>
        <v>6.0920000000000005</v>
      </c>
      <c r="V47" s="729" t="s">
        <v>1635</v>
      </c>
      <c r="W47" s="471"/>
      <c r="X47" s="3"/>
      <c r="Y47" s="3"/>
      <c r="Z47" s="3"/>
      <c r="AA47" s="3"/>
    </row>
    <row r="48" spans="1:27" ht="60">
      <c r="A48" s="736"/>
      <c r="B48" s="736"/>
      <c r="C48" s="736"/>
      <c r="D48" s="829">
        <v>43</v>
      </c>
      <c r="E48" s="829" t="s">
        <v>93</v>
      </c>
      <c r="F48" s="982">
        <v>3.4155000000000002</v>
      </c>
      <c r="G48" s="979"/>
      <c r="H48" s="979"/>
      <c r="I48" s="783"/>
      <c r="J48" s="979"/>
      <c r="K48" s="979"/>
      <c r="L48" s="979"/>
      <c r="M48" s="979"/>
      <c r="N48" s="835">
        <v>0.34499999999999997</v>
      </c>
      <c r="O48" s="881"/>
      <c r="P48" s="982"/>
      <c r="Q48" s="881"/>
      <c r="R48" s="979"/>
      <c r="S48" s="979"/>
      <c r="T48" s="847">
        <f t="shared" si="0"/>
        <v>3.7605000000000004</v>
      </c>
      <c r="U48" s="847">
        <f t="shared" si="5"/>
        <v>3.7605000000000004</v>
      </c>
      <c r="V48" s="729" t="s">
        <v>530</v>
      </c>
      <c r="W48" s="471"/>
      <c r="X48" s="3"/>
      <c r="Y48" s="3"/>
      <c r="Z48" s="3"/>
      <c r="AA48" s="3"/>
    </row>
    <row r="49" spans="1:27" ht="180">
      <c r="A49" s="736"/>
      <c r="B49" s="736"/>
      <c r="C49" s="736"/>
      <c r="D49" s="829">
        <v>44</v>
      </c>
      <c r="E49" s="829" t="s">
        <v>95</v>
      </c>
      <c r="F49" s="982">
        <v>0.95979999999999999</v>
      </c>
      <c r="G49" s="979"/>
      <c r="H49" s="979"/>
      <c r="I49" s="783"/>
      <c r="J49" s="979"/>
      <c r="K49" s="979"/>
      <c r="L49" s="979"/>
      <c r="M49" s="979"/>
      <c r="N49" s="929">
        <v>0.75</v>
      </c>
      <c r="O49" s="982">
        <v>0.35849999999999999</v>
      </c>
      <c r="P49" s="982"/>
      <c r="Q49" s="979"/>
      <c r="R49" s="979"/>
      <c r="S49" s="979"/>
      <c r="T49" s="847">
        <f t="shared" si="0"/>
        <v>2.0682999999999998</v>
      </c>
      <c r="U49" s="847">
        <f t="shared" si="5"/>
        <v>2.0682999999999998</v>
      </c>
      <c r="V49" s="729" t="s">
        <v>1636</v>
      </c>
      <c r="W49" s="471"/>
      <c r="X49" s="3"/>
      <c r="Y49" s="3"/>
      <c r="Z49" s="3"/>
      <c r="AA49" s="3"/>
    </row>
    <row r="50" spans="1:27" ht="50.25" customHeight="1">
      <c r="A50" s="736"/>
      <c r="B50" s="736"/>
      <c r="C50" s="736"/>
      <c r="D50" s="829">
        <v>45</v>
      </c>
      <c r="E50" s="829" t="s">
        <v>96</v>
      </c>
      <c r="F50" s="982">
        <v>7.3999999999999996E-2</v>
      </c>
      <c r="G50" s="979"/>
      <c r="H50" s="979"/>
      <c r="I50" s="979"/>
      <c r="J50" s="979"/>
      <c r="K50" s="979"/>
      <c r="L50" s="979"/>
      <c r="M50" s="979"/>
      <c r="N50" s="783"/>
      <c r="O50" s="982">
        <v>7.3999999999999996E-2</v>
      </c>
      <c r="P50" s="979"/>
      <c r="Q50" s="881"/>
      <c r="R50" s="979"/>
      <c r="S50" s="979"/>
      <c r="T50" s="847">
        <f t="shared" si="0"/>
        <v>0.14799999999999999</v>
      </c>
      <c r="U50" s="847">
        <f t="shared" si="5"/>
        <v>0.14799999999999999</v>
      </c>
      <c r="V50" s="729" t="s">
        <v>531</v>
      </c>
      <c r="W50" s="471"/>
      <c r="X50" s="3"/>
      <c r="Y50" s="3"/>
      <c r="Z50" s="3"/>
      <c r="AA50" s="3"/>
    </row>
    <row r="51" spans="1:27" ht="24.75" customHeight="1">
      <c r="A51" s="736"/>
      <c r="B51" s="736"/>
      <c r="C51" s="736"/>
      <c r="D51" s="829">
        <v>46</v>
      </c>
      <c r="E51" s="829" t="s">
        <v>98</v>
      </c>
      <c r="F51" s="881"/>
      <c r="G51" s="979"/>
      <c r="H51" s="979"/>
      <c r="I51" s="979"/>
      <c r="J51" s="979"/>
      <c r="K51" s="979"/>
      <c r="L51" s="979"/>
      <c r="M51" s="979"/>
      <c r="N51" s="979"/>
      <c r="O51" s="881"/>
      <c r="P51" s="979"/>
      <c r="Q51" s="979"/>
      <c r="R51" s="979"/>
      <c r="S51" s="979"/>
      <c r="T51" s="847">
        <f t="shared" si="0"/>
        <v>0</v>
      </c>
      <c r="U51" s="847">
        <f>T51*110/100</f>
        <v>0</v>
      </c>
      <c r="V51" s="729"/>
      <c r="W51" s="471"/>
      <c r="X51" s="3"/>
      <c r="Y51" s="3"/>
      <c r="Z51" s="3"/>
      <c r="AA51" s="3"/>
    </row>
    <row r="52" spans="1:27" ht="45">
      <c r="A52" s="736"/>
      <c r="B52" s="736"/>
      <c r="C52" s="736"/>
      <c r="D52" s="829">
        <v>47</v>
      </c>
      <c r="E52" s="829" t="s">
        <v>99</v>
      </c>
      <c r="F52" s="982">
        <v>3.9</v>
      </c>
      <c r="G52" s="979"/>
      <c r="H52" s="881">
        <v>0</v>
      </c>
      <c r="I52" s="979"/>
      <c r="J52" s="979"/>
      <c r="K52" s="979"/>
      <c r="L52" s="979"/>
      <c r="M52" s="979"/>
      <c r="N52" s="979"/>
      <c r="O52" s="979"/>
      <c r="P52" s="979"/>
      <c r="Q52" s="979"/>
      <c r="R52" s="979"/>
      <c r="S52" s="979"/>
      <c r="T52" s="847">
        <f t="shared" si="0"/>
        <v>3.9</v>
      </c>
      <c r="U52" s="847">
        <f t="shared" ref="U52:U55" si="6">T52</f>
        <v>3.9</v>
      </c>
      <c r="V52" s="729" t="s">
        <v>532</v>
      </c>
      <c r="W52" s="471"/>
      <c r="X52" s="3"/>
      <c r="Y52" s="3"/>
      <c r="Z52" s="3"/>
      <c r="AA52" s="3"/>
    </row>
    <row r="53" spans="1:27" ht="30">
      <c r="A53" s="736"/>
      <c r="B53" s="736"/>
      <c r="C53" s="736"/>
      <c r="D53" s="829">
        <v>48</v>
      </c>
      <c r="E53" s="829" t="s">
        <v>101</v>
      </c>
      <c r="F53" s="979"/>
      <c r="G53" s="979"/>
      <c r="H53" s="979"/>
      <c r="I53" s="979"/>
      <c r="J53" s="979"/>
      <c r="K53" s="979"/>
      <c r="L53" s="979"/>
      <c r="M53" s="979"/>
      <c r="N53" s="847">
        <v>0.28899999999999998</v>
      </c>
      <c r="O53" s="979"/>
      <c r="P53" s="982"/>
      <c r="Q53" s="979"/>
      <c r="R53" s="979"/>
      <c r="S53" s="979"/>
      <c r="T53" s="847">
        <f t="shared" si="0"/>
        <v>0.28899999999999998</v>
      </c>
      <c r="U53" s="847">
        <f t="shared" si="6"/>
        <v>0.28899999999999998</v>
      </c>
      <c r="V53" s="729" t="s">
        <v>102</v>
      </c>
      <c r="W53" s="471"/>
      <c r="X53" s="3"/>
      <c r="Y53" s="3"/>
      <c r="Z53" s="3"/>
      <c r="AA53" s="3"/>
    </row>
    <row r="54" spans="1:27" ht="60">
      <c r="A54" s="736"/>
      <c r="B54" s="736"/>
      <c r="C54" s="736"/>
      <c r="D54" s="829">
        <v>49</v>
      </c>
      <c r="E54" s="829" t="s">
        <v>103</v>
      </c>
      <c r="F54" s="979"/>
      <c r="G54" s="979"/>
      <c r="H54" s="979"/>
      <c r="I54" s="979"/>
      <c r="J54" s="979"/>
      <c r="K54" s="979"/>
      <c r="L54" s="979"/>
      <c r="M54" s="979"/>
      <c r="N54" s="979"/>
      <c r="O54" s="979"/>
      <c r="P54" s="979"/>
      <c r="Q54" s="981">
        <v>2.1</v>
      </c>
      <c r="R54" s="982">
        <v>1</v>
      </c>
      <c r="S54" s="979"/>
      <c r="T54" s="847">
        <f t="shared" si="0"/>
        <v>3.1</v>
      </c>
      <c r="U54" s="847">
        <f t="shared" si="6"/>
        <v>3.1</v>
      </c>
      <c r="V54" s="744" t="s">
        <v>533</v>
      </c>
      <c r="W54" s="471"/>
      <c r="X54" s="3"/>
      <c r="Y54" s="3"/>
      <c r="Z54" s="3"/>
      <c r="AA54" s="3"/>
    </row>
    <row r="55" spans="1:27" ht="90">
      <c r="A55" s="736"/>
      <c r="B55" s="736"/>
      <c r="C55" s="736"/>
      <c r="D55" s="829">
        <v>50</v>
      </c>
      <c r="E55" s="829" t="s">
        <v>105</v>
      </c>
      <c r="F55" s="979"/>
      <c r="G55" s="979"/>
      <c r="H55" s="979"/>
      <c r="I55" s="783"/>
      <c r="J55" s="979"/>
      <c r="K55" s="881">
        <v>0.36</v>
      </c>
      <c r="L55" s="979"/>
      <c r="M55" s="979"/>
      <c r="N55" s="783"/>
      <c r="O55" s="979"/>
      <c r="P55" s="982"/>
      <c r="Q55" s="981">
        <v>2.4</v>
      </c>
      <c r="R55" s="982">
        <v>0.04</v>
      </c>
      <c r="S55" s="979"/>
      <c r="T55" s="847">
        <f t="shared" si="0"/>
        <v>2.8</v>
      </c>
      <c r="U55" s="847">
        <f t="shared" si="6"/>
        <v>2.8</v>
      </c>
      <c r="V55" s="738" t="s">
        <v>534</v>
      </c>
      <c r="W55" s="471"/>
      <c r="X55" s="3"/>
      <c r="Y55" s="3"/>
      <c r="Z55" s="3"/>
      <c r="AA55" s="3"/>
    </row>
    <row r="56" spans="1:27" ht="24.75" customHeight="1">
      <c r="A56" s="736"/>
      <c r="B56" s="736"/>
      <c r="C56" s="736"/>
      <c r="D56" s="829">
        <v>51</v>
      </c>
      <c r="E56" s="829" t="s">
        <v>53</v>
      </c>
      <c r="F56" s="979"/>
      <c r="G56" s="979"/>
      <c r="H56" s="979"/>
      <c r="I56" s="979"/>
      <c r="J56" s="979"/>
      <c r="K56" s="979"/>
      <c r="L56" s="979"/>
      <c r="M56" s="979"/>
      <c r="N56" s="982"/>
      <c r="O56" s="979"/>
      <c r="P56" s="881">
        <v>0</v>
      </c>
      <c r="Q56" s="979"/>
      <c r="R56" s="979"/>
      <c r="S56" s="979"/>
      <c r="T56" s="847">
        <f t="shared" si="0"/>
        <v>0</v>
      </c>
      <c r="U56" s="847">
        <f>T56*110/100</f>
        <v>0</v>
      </c>
      <c r="V56" s="729"/>
      <c r="W56" s="471"/>
      <c r="X56" s="3"/>
      <c r="Y56" s="3"/>
      <c r="Z56" s="3"/>
      <c r="AA56" s="3"/>
    </row>
    <row r="57" spans="1:27" ht="207.75" customHeight="1">
      <c r="A57" s="736"/>
      <c r="B57" s="828" t="s">
        <v>107</v>
      </c>
      <c r="C57" s="828" t="s">
        <v>108</v>
      </c>
      <c r="D57" s="829">
        <v>52</v>
      </c>
      <c r="E57" s="829" t="s">
        <v>109</v>
      </c>
      <c r="F57" s="992"/>
      <c r="G57" s="992"/>
      <c r="H57" s="992"/>
      <c r="I57" s="996"/>
      <c r="J57" s="992"/>
      <c r="K57" s="996"/>
      <c r="L57" s="992"/>
      <c r="M57" s="992"/>
      <c r="N57" s="996">
        <v>2</v>
      </c>
      <c r="O57" s="993">
        <v>35.225999999999999</v>
      </c>
      <c r="P57" s="992"/>
      <c r="Q57" s="995"/>
      <c r="R57" s="992"/>
      <c r="S57" s="992"/>
      <c r="T57" s="847">
        <f t="shared" si="0"/>
        <v>37.225999999999999</v>
      </c>
      <c r="U57" s="728">
        <f>N57+O57</f>
        <v>37.225999999999999</v>
      </c>
      <c r="V57" s="746" t="s">
        <v>535</v>
      </c>
      <c r="W57" s="471"/>
      <c r="X57" s="3"/>
      <c r="Y57" s="3"/>
      <c r="Z57" s="3"/>
      <c r="AA57" s="3"/>
    </row>
    <row r="58" spans="1:27" ht="150">
      <c r="A58" s="736"/>
      <c r="B58" s="736"/>
      <c r="C58" s="736"/>
      <c r="D58" s="829">
        <v>53</v>
      </c>
      <c r="E58" s="829" t="s">
        <v>111</v>
      </c>
      <c r="F58" s="913"/>
      <c r="G58" s="913"/>
      <c r="H58" s="913"/>
      <c r="I58" s="913"/>
      <c r="J58" s="913"/>
      <c r="K58" s="915"/>
      <c r="L58" s="913"/>
      <c r="M58" s="913"/>
      <c r="N58" s="915">
        <v>5.67</v>
      </c>
      <c r="O58" s="914">
        <v>3.9140000000000001</v>
      </c>
      <c r="P58" s="913"/>
      <c r="Q58" s="914">
        <v>3</v>
      </c>
      <c r="R58" s="913"/>
      <c r="S58" s="913"/>
      <c r="T58" s="847">
        <f t="shared" si="0"/>
        <v>12.584</v>
      </c>
      <c r="U58" s="728">
        <f>T58</f>
        <v>12.584</v>
      </c>
      <c r="V58" s="740" t="s">
        <v>536</v>
      </c>
      <c r="W58" s="471"/>
      <c r="X58" s="3"/>
      <c r="Y58" s="3"/>
      <c r="Z58" s="3"/>
      <c r="AA58" s="3"/>
    </row>
    <row r="59" spans="1:27" ht="24.75" customHeight="1">
      <c r="A59" s="736"/>
      <c r="B59" s="736"/>
      <c r="C59" s="736"/>
      <c r="D59" s="829">
        <v>54</v>
      </c>
      <c r="E59" s="829" t="s">
        <v>113</v>
      </c>
      <c r="F59" s="913"/>
      <c r="G59" s="913"/>
      <c r="H59" s="914"/>
      <c r="I59" s="913"/>
      <c r="J59" s="913"/>
      <c r="K59" s="913"/>
      <c r="L59" s="913"/>
      <c r="M59" s="913"/>
      <c r="N59" s="913"/>
      <c r="O59" s="914"/>
      <c r="P59" s="914"/>
      <c r="Q59" s="913"/>
      <c r="R59" s="913"/>
      <c r="S59" s="913"/>
      <c r="T59" s="847">
        <f t="shared" si="0"/>
        <v>0</v>
      </c>
      <c r="U59" s="847">
        <f t="shared" ref="U59:U60" si="7">T59*110/100</f>
        <v>0</v>
      </c>
      <c r="V59" s="729"/>
      <c r="W59" s="471"/>
      <c r="X59" s="3"/>
      <c r="Y59" s="3"/>
      <c r="Z59" s="3"/>
      <c r="AA59" s="3"/>
    </row>
    <row r="60" spans="1:27" ht="24.75" customHeight="1">
      <c r="A60" s="736"/>
      <c r="B60" s="736"/>
      <c r="C60" s="736"/>
      <c r="D60" s="829">
        <v>55</v>
      </c>
      <c r="E60" s="829" t="s">
        <v>114</v>
      </c>
      <c r="F60" s="913"/>
      <c r="G60" s="913"/>
      <c r="H60" s="913"/>
      <c r="I60" s="913"/>
      <c r="J60" s="913"/>
      <c r="K60" s="915"/>
      <c r="L60" s="913"/>
      <c r="M60" s="913"/>
      <c r="N60" s="913"/>
      <c r="O60" s="913"/>
      <c r="P60" s="913"/>
      <c r="Q60" s="913"/>
      <c r="R60" s="913"/>
      <c r="S60" s="913"/>
      <c r="T60" s="847">
        <f t="shared" si="0"/>
        <v>0</v>
      </c>
      <c r="U60" s="847">
        <f t="shared" si="7"/>
        <v>0</v>
      </c>
      <c r="V60" s="729"/>
      <c r="W60" s="471"/>
      <c r="X60" s="3"/>
      <c r="Y60" s="3"/>
      <c r="Z60" s="3"/>
      <c r="AA60" s="3"/>
    </row>
    <row r="61" spans="1:27" ht="60">
      <c r="A61" s="736"/>
      <c r="B61" s="736"/>
      <c r="C61" s="736"/>
      <c r="D61" s="829">
        <v>56</v>
      </c>
      <c r="E61" s="829" t="s">
        <v>115</v>
      </c>
      <c r="F61" s="913"/>
      <c r="G61" s="913"/>
      <c r="H61" s="913"/>
      <c r="I61" s="913"/>
      <c r="J61" s="913"/>
      <c r="K61" s="913"/>
      <c r="L61" s="913"/>
      <c r="M61" s="913"/>
      <c r="N61" s="913"/>
      <c r="O61" s="914">
        <v>7.83</v>
      </c>
      <c r="P61" s="913"/>
      <c r="Q61" s="913">
        <v>0.5</v>
      </c>
      <c r="R61" s="913"/>
      <c r="S61" s="913"/>
      <c r="T61" s="847">
        <f t="shared" si="0"/>
        <v>8.33</v>
      </c>
      <c r="U61" s="847">
        <f>T61</f>
        <v>8.33</v>
      </c>
      <c r="V61" s="729" t="s">
        <v>537</v>
      </c>
      <c r="W61" s="471"/>
      <c r="X61" s="3"/>
      <c r="Y61" s="3"/>
      <c r="Z61" s="3"/>
      <c r="AA61" s="3"/>
    </row>
    <row r="62" spans="1:27" ht="45">
      <c r="A62" s="736"/>
      <c r="B62" s="736"/>
      <c r="C62" s="736"/>
      <c r="D62" s="829">
        <v>57</v>
      </c>
      <c r="E62" s="829" t="s">
        <v>116</v>
      </c>
      <c r="F62" s="913"/>
      <c r="G62" s="913"/>
      <c r="H62" s="914"/>
      <c r="I62" s="913"/>
      <c r="J62" s="913"/>
      <c r="K62" s="913"/>
      <c r="L62" s="913"/>
      <c r="M62" s="914">
        <v>2.1</v>
      </c>
      <c r="N62" s="913"/>
      <c r="O62" s="913"/>
      <c r="P62" s="913"/>
      <c r="Q62" s="913"/>
      <c r="R62" s="913"/>
      <c r="S62" s="913"/>
      <c r="T62" s="847">
        <f t="shared" si="0"/>
        <v>2.1</v>
      </c>
      <c r="U62" s="847">
        <f>M62</f>
        <v>2.1</v>
      </c>
      <c r="V62" s="740" t="s">
        <v>538</v>
      </c>
      <c r="W62" s="471"/>
      <c r="X62" s="3"/>
      <c r="Y62" s="3"/>
      <c r="Z62" s="3"/>
      <c r="AA62" s="3"/>
    </row>
    <row r="63" spans="1:27" ht="75">
      <c r="A63" s="736"/>
      <c r="B63" s="736"/>
      <c r="C63" s="736"/>
      <c r="D63" s="829">
        <v>58</v>
      </c>
      <c r="E63" s="829" t="s">
        <v>117</v>
      </c>
      <c r="F63" s="913"/>
      <c r="G63" s="913"/>
      <c r="H63" s="913"/>
      <c r="I63" s="913"/>
      <c r="J63" s="913"/>
      <c r="K63" s="915"/>
      <c r="L63" s="913"/>
      <c r="M63" s="913"/>
      <c r="N63" s="913"/>
      <c r="O63" s="931">
        <v>1.9570000000000001</v>
      </c>
      <c r="P63" s="913"/>
      <c r="Q63" s="914">
        <v>0.75</v>
      </c>
      <c r="R63" s="913"/>
      <c r="S63" s="913"/>
      <c r="T63" s="847">
        <f t="shared" si="0"/>
        <v>2.7069999999999999</v>
      </c>
      <c r="U63" s="847">
        <f>T63</f>
        <v>2.7069999999999999</v>
      </c>
      <c r="V63" s="729" t="s">
        <v>539</v>
      </c>
      <c r="W63" s="471"/>
      <c r="X63" s="3"/>
      <c r="Y63" s="3"/>
      <c r="Z63" s="3"/>
      <c r="AA63" s="3"/>
    </row>
    <row r="64" spans="1:27" ht="24.75" customHeight="1">
      <c r="A64" s="736"/>
      <c r="B64" s="736"/>
      <c r="C64" s="736"/>
      <c r="D64" s="829">
        <v>59</v>
      </c>
      <c r="E64" s="829" t="s">
        <v>119</v>
      </c>
      <c r="F64" s="913"/>
      <c r="G64" s="913"/>
      <c r="H64" s="913"/>
      <c r="I64" s="913"/>
      <c r="J64" s="913"/>
      <c r="K64" s="913"/>
      <c r="L64" s="913"/>
      <c r="M64" s="913"/>
      <c r="N64" s="913"/>
      <c r="O64" s="913"/>
      <c r="P64" s="913"/>
      <c r="Q64" s="913"/>
      <c r="R64" s="913"/>
      <c r="S64" s="913"/>
      <c r="T64" s="847">
        <f t="shared" si="0"/>
        <v>0</v>
      </c>
      <c r="U64" s="847">
        <f t="shared" ref="U64:U66" si="8">T64*110/100</f>
        <v>0</v>
      </c>
      <c r="V64" s="729"/>
      <c r="W64" s="471"/>
      <c r="X64" s="3"/>
      <c r="Y64" s="3"/>
      <c r="Z64" s="3"/>
      <c r="AA64" s="3"/>
    </row>
    <row r="65" spans="1:27" ht="24.75" customHeight="1">
      <c r="A65" s="736"/>
      <c r="B65" s="736"/>
      <c r="C65" s="736"/>
      <c r="D65" s="829">
        <v>60</v>
      </c>
      <c r="E65" s="829" t="s">
        <v>120</v>
      </c>
      <c r="F65" s="913"/>
      <c r="G65" s="913"/>
      <c r="H65" s="913"/>
      <c r="I65" s="913"/>
      <c r="J65" s="913"/>
      <c r="K65" s="913"/>
      <c r="L65" s="913"/>
      <c r="M65" s="913"/>
      <c r="N65" s="913"/>
      <c r="O65" s="913"/>
      <c r="P65" s="913"/>
      <c r="Q65" s="913"/>
      <c r="R65" s="913"/>
      <c r="S65" s="913"/>
      <c r="T65" s="847">
        <f t="shared" si="0"/>
        <v>0</v>
      </c>
      <c r="U65" s="847">
        <f t="shared" si="8"/>
        <v>0</v>
      </c>
      <c r="V65" s="729"/>
      <c r="W65" s="471"/>
      <c r="X65" s="3"/>
      <c r="Y65" s="3"/>
      <c r="Z65" s="3"/>
      <c r="AA65" s="3"/>
    </row>
    <row r="66" spans="1:27" ht="24.75" customHeight="1">
      <c r="A66" s="736"/>
      <c r="B66" s="736"/>
      <c r="C66" s="736"/>
      <c r="D66" s="829">
        <v>61</v>
      </c>
      <c r="E66" s="829" t="s">
        <v>53</v>
      </c>
      <c r="F66" s="913"/>
      <c r="G66" s="913"/>
      <c r="H66" s="913"/>
      <c r="I66" s="913"/>
      <c r="J66" s="913"/>
      <c r="K66" s="913"/>
      <c r="L66" s="913"/>
      <c r="M66" s="913"/>
      <c r="N66" s="913"/>
      <c r="O66" s="913"/>
      <c r="P66" s="913"/>
      <c r="Q66" s="913"/>
      <c r="R66" s="913"/>
      <c r="S66" s="913"/>
      <c r="T66" s="847">
        <f t="shared" si="0"/>
        <v>0</v>
      </c>
      <c r="U66" s="847">
        <f t="shared" si="8"/>
        <v>0</v>
      </c>
      <c r="V66" s="729"/>
      <c r="W66" s="471"/>
      <c r="X66" s="3"/>
      <c r="Y66" s="3"/>
      <c r="Z66" s="3"/>
      <c r="AA66" s="3"/>
    </row>
    <row r="67" spans="1:27" ht="56.25" customHeight="1">
      <c r="A67" s="736"/>
      <c r="B67" s="829" t="s">
        <v>121</v>
      </c>
      <c r="C67" s="829" t="s">
        <v>122</v>
      </c>
      <c r="D67" s="829">
        <v>62</v>
      </c>
      <c r="E67" s="829" t="s">
        <v>123</v>
      </c>
      <c r="F67" s="829"/>
      <c r="G67" s="829"/>
      <c r="H67" s="829"/>
      <c r="I67" s="829"/>
      <c r="J67" s="829"/>
      <c r="K67" s="829"/>
      <c r="L67" s="829"/>
      <c r="M67" s="847"/>
      <c r="N67" s="829"/>
      <c r="O67" s="845">
        <v>0.5</v>
      </c>
      <c r="P67" s="845"/>
      <c r="Q67" s="847"/>
      <c r="R67" s="829"/>
      <c r="S67" s="845"/>
      <c r="T67" s="847">
        <f t="shared" si="0"/>
        <v>0.5</v>
      </c>
      <c r="U67" s="847">
        <f>T67</f>
        <v>0.5</v>
      </c>
      <c r="V67" s="749" t="s">
        <v>540</v>
      </c>
      <c r="W67" s="471"/>
      <c r="X67" s="3"/>
      <c r="Y67" s="3"/>
      <c r="Z67" s="3"/>
      <c r="AA67" s="3"/>
    </row>
    <row r="68" spans="1:27" ht="24.75" customHeight="1">
      <c r="A68" s="736"/>
      <c r="B68" s="948" t="s">
        <v>125</v>
      </c>
      <c r="C68" s="736"/>
      <c r="D68" s="736"/>
      <c r="E68" s="949"/>
      <c r="F68" s="949">
        <f t="shared" ref="F68:S68" si="9">SUM(F6:F67)</f>
        <v>62.931299999999993</v>
      </c>
      <c r="G68" s="949">
        <f t="shared" si="9"/>
        <v>0</v>
      </c>
      <c r="H68" s="949">
        <f t="shared" si="9"/>
        <v>0</v>
      </c>
      <c r="I68" s="949">
        <f t="shared" si="9"/>
        <v>6.9584000000000001</v>
      </c>
      <c r="J68" s="949">
        <f t="shared" si="9"/>
        <v>0</v>
      </c>
      <c r="K68" s="949">
        <f t="shared" si="9"/>
        <v>75.896000000000001</v>
      </c>
      <c r="L68" s="949">
        <f t="shared" si="9"/>
        <v>0</v>
      </c>
      <c r="M68" s="949">
        <f t="shared" si="9"/>
        <v>19.776000000000003</v>
      </c>
      <c r="N68" s="949">
        <f t="shared" si="9"/>
        <v>41.915199999999999</v>
      </c>
      <c r="O68" s="949">
        <f t="shared" si="9"/>
        <v>199.44905</v>
      </c>
      <c r="P68" s="949">
        <f t="shared" si="9"/>
        <v>299.89476000000008</v>
      </c>
      <c r="Q68" s="949">
        <f t="shared" si="9"/>
        <v>37.524999999999999</v>
      </c>
      <c r="R68" s="949">
        <f t="shared" si="9"/>
        <v>10.303999999999998</v>
      </c>
      <c r="S68" s="949">
        <f t="shared" si="9"/>
        <v>3.62</v>
      </c>
      <c r="T68" s="1006">
        <f t="shared" si="0"/>
        <v>758.26971000000003</v>
      </c>
      <c r="U68" s="852">
        <f>SUM(U6:U67)</f>
        <v>757.29911000000016</v>
      </c>
      <c r="V68" s="729"/>
      <c r="W68" s="471"/>
      <c r="X68" s="3"/>
      <c r="Y68" s="3"/>
      <c r="Z68" s="3"/>
      <c r="AA68" s="3"/>
    </row>
    <row r="69" spans="1:27" ht="66" customHeight="1">
      <c r="A69" s="831" t="s">
        <v>126</v>
      </c>
      <c r="B69" s="829" t="s">
        <v>127</v>
      </c>
      <c r="C69" s="829" t="s">
        <v>128</v>
      </c>
      <c r="D69" s="829">
        <v>63</v>
      </c>
      <c r="E69" s="829" t="s">
        <v>129</v>
      </c>
      <c r="F69" s="979"/>
      <c r="G69" s="979"/>
      <c r="H69" s="979"/>
      <c r="I69" s="881"/>
      <c r="J69" s="979"/>
      <c r="K69" s="979"/>
      <c r="L69" s="979"/>
      <c r="M69" s="984"/>
      <c r="N69" s="983">
        <v>7.3</v>
      </c>
      <c r="O69" s="979"/>
      <c r="P69" s="983"/>
      <c r="Q69" s="881">
        <v>1.25</v>
      </c>
      <c r="R69" s="985">
        <v>3.75</v>
      </c>
      <c r="S69" s="985">
        <v>2</v>
      </c>
      <c r="T69" s="847">
        <f t="shared" si="0"/>
        <v>14.3</v>
      </c>
      <c r="U69" s="847">
        <f>T69</f>
        <v>14.3</v>
      </c>
      <c r="V69" s="749" t="s">
        <v>541</v>
      </c>
      <c r="W69" s="472" t="s">
        <v>541</v>
      </c>
      <c r="X69" s="3"/>
      <c r="Y69" s="3"/>
      <c r="Z69" s="3"/>
      <c r="AA69" s="3"/>
    </row>
    <row r="70" spans="1:27" ht="105">
      <c r="A70" s="736"/>
      <c r="B70" s="828" t="s">
        <v>131</v>
      </c>
      <c r="C70" s="828" t="s">
        <v>132</v>
      </c>
      <c r="D70" s="829">
        <v>64</v>
      </c>
      <c r="E70" s="829" t="s">
        <v>133</v>
      </c>
      <c r="F70" s="979"/>
      <c r="G70" s="979"/>
      <c r="H70" s="979"/>
      <c r="I70" s="981">
        <v>0.84</v>
      </c>
      <c r="J70" s="979"/>
      <c r="K70" s="783"/>
      <c r="L70" s="979"/>
      <c r="M70" s="979"/>
      <c r="N70" s="1007">
        <v>1.5</v>
      </c>
      <c r="O70" s="1008"/>
      <c r="P70" s="1007">
        <v>1.34</v>
      </c>
      <c r="Q70" s="1007">
        <v>0.84</v>
      </c>
      <c r="R70" s="1008">
        <v>2.1</v>
      </c>
      <c r="S70" s="985">
        <v>5</v>
      </c>
      <c r="T70" s="847">
        <f t="shared" si="0"/>
        <v>11.62</v>
      </c>
      <c r="U70" s="847">
        <v>6.62</v>
      </c>
      <c r="V70" s="729" t="s">
        <v>542</v>
      </c>
      <c r="W70" s="472" t="s">
        <v>543</v>
      </c>
      <c r="X70" s="3"/>
      <c r="Y70" s="3"/>
      <c r="Z70" s="3"/>
      <c r="AA70" s="3"/>
    </row>
    <row r="71" spans="1:27" ht="45">
      <c r="A71" s="736"/>
      <c r="B71" s="736"/>
      <c r="C71" s="736"/>
      <c r="D71" s="829">
        <v>65</v>
      </c>
      <c r="E71" s="829" t="s">
        <v>135</v>
      </c>
      <c r="F71" s="979"/>
      <c r="G71" s="979"/>
      <c r="H71" s="979"/>
      <c r="I71" s="979"/>
      <c r="J71" s="979"/>
      <c r="K71" s="979"/>
      <c r="L71" s="979"/>
      <c r="M71" s="979"/>
      <c r="N71" s="783"/>
      <c r="O71" s="979"/>
      <c r="P71" s="1008">
        <v>0.45</v>
      </c>
      <c r="Q71" s="881"/>
      <c r="R71" s="979"/>
      <c r="S71" s="984"/>
      <c r="T71" s="847">
        <f t="shared" si="0"/>
        <v>0.45</v>
      </c>
      <c r="U71" s="847">
        <f t="shared" ref="U71:U74" si="10">T71</f>
        <v>0.45</v>
      </c>
      <c r="V71" s="729" t="s">
        <v>544</v>
      </c>
      <c r="W71" s="472" t="s">
        <v>136</v>
      </c>
      <c r="X71" s="3"/>
      <c r="Y71" s="3"/>
      <c r="Z71" s="3"/>
      <c r="AA71" s="3"/>
    </row>
    <row r="72" spans="1:27" ht="75">
      <c r="A72" s="736"/>
      <c r="B72" s="736"/>
      <c r="C72" s="736"/>
      <c r="D72" s="829">
        <v>66</v>
      </c>
      <c r="E72" s="829" t="s">
        <v>137</v>
      </c>
      <c r="F72" s="979"/>
      <c r="G72" s="979"/>
      <c r="H72" s="979"/>
      <c r="I72" s="979"/>
      <c r="J72" s="979"/>
      <c r="K72" s="783"/>
      <c r="L72" s="979"/>
      <c r="M72" s="979"/>
      <c r="N72" s="1007">
        <v>0.2</v>
      </c>
      <c r="O72" s="979"/>
      <c r="P72" s="985">
        <v>0.09</v>
      </c>
      <c r="Q72" s="1007">
        <v>0.05</v>
      </c>
      <c r="R72" s="985">
        <v>0.15</v>
      </c>
      <c r="S72" s="979"/>
      <c r="T72" s="847">
        <f t="shared" si="0"/>
        <v>0.49</v>
      </c>
      <c r="U72" s="847">
        <f t="shared" si="10"/>
        <v>0.49</v>
      </c>
      <c r="V72" s="729" t="s">
        <v>545</v>
      </c>
      <c r="W72" s="472" t="s">
        <v>138</v>
      </c>
      <c r="X72" s="3"/>
      <c r="Y72" s="3"/>
      <c r="Z72" s="3"/>
      <c r="AA72" s="3"/>
    </row>
    <row r="73" spans="1:27" ht="90">
      <c r="A73" s="736"/>
      <c r="B73" s="736"/>
      <c r="C73" s="736"/>
      <c r="D73" s="829">
        <v>67</v>
      </c>
      <c r="E73" s="829" t="s">
        <v>139</v>
      </c>
      <c r="F73" s="979"/>
      <c r="G73" s="979"/>
      <c r="H73" s="979"/>
      <c r="I73" s="1010"/>
      <c r="J73" s="979"/>
      <c r="K73" s="783"/>
      <c r="L73" s="979"/>
      <c r="M73" s="979"/>
      <c r="N73" s="1007">
        <v>0.4</v>
      </c>
      <c r="O73" s="1010">
        <v>1.25</v>
      </c>
      <c r="P73" s="1008">
        <v>33.450000000000003</v>
      </c>
      <c r="Q73" s="1007">
        <v>0.85</v>
      </c>
      <c r="R73" s="1008">
        <v>2.5</v>
      </c>
      <c r="S73" s="985">
        <v>3</v>
      </c>
      <c r="T73" s="847">
        <f t="shared" si="0"/>
        <v>41.45</v>
      </c>
      <c r="U73" s="847">
        <f t="shared" si="10"/>
        <v>41.45</v>
      </c>
      <c r="V73" s="729" t="s">
        <v>546</v>
      </c>
      <c r="W73" s="472" t="s">
        <v>546</v>
      </c>
      <c r="X73" s="3"/>
      <c r="Y73" s="3"/>
      <c r="Z73" s="3"/>
      <c r="AA73" s="3"/>
    </row>
    <row r="74" spans="1:27" ht="90">
      <c r="A74" s="736"/>
      <c r="B74" s="736"/>
      <c r="C74" s="736"/>
      <c r="D74" s="829">
        <v>68</v>
      </c>
      <c r="E74" s="829" t="s">
        <v>141</v>
      </c>
      <c r="F74" s="984"/>
      <c r="G74" s="979"/>
      <c r="H74" s="979"/>
      <c r="I74" s="783"/>
      <c r="J74" s="979"/>
      <c r="K74" s="783"/>
      <c r="L74" s="979"/>
      <c r="M74" s="979"/>
      <c r="N74" s="1026">
        <v>0.4</v>
      </c>
      <c r="O74" s="984"/>
      <c r="P74" s="1027">
        <v>19.48</v>
      </c>
      <c r="Q74" s="1026">
        <v>3.1</v>
      </c>
      <c r="R74" s="1027">
        <v>2</v>
      </c>
      <c r="S74" s="1027">
        <v>2.9</v>
      </c>
      <c r="T74" s="847">
        <f t="shared" si="0"/>
        <v>27.88</v>
      </c>
      <c r="U74" s="847">
        <f t="shared" si="10"/>
        <v>27.88</v>
      </c>
      <c r="V74" s="729" t="s">
        <v>547</v>
      </c>
      <c r="W74" s="472" t="s">
        <v>548</v>
      </c>
      <c r="X74" s="3"/>
      <c r="Y74" s="3"/>
      <c r="Z74" s="3"/>
      <c r="AA74" s="3"/>
    </row>
    <row r="75" spans="1:27" ht="330">
      <c r="A75" s="736"/>
      <c r="B75" s="828" t="s">
        <v>143</v>
      </c>
      <c r="C75" s="828" t="s">
        <v>144</v>
      </c>
      <c r="D75" s="829">
        <v>69</v>
      </c>
      <c r="E75" s="829" t="s">
        <v>145</v>
      </c>
      <c r="F75" s="939"/>
      <c r="G75" s="939"/>
      <c r="H75" s="939"/>
      <c r="I75" s="939"/>
      <c r="J75" s="939"/>
      <c r="K75" s="939"/>
      <c r="L75" s="939"/>
      <c r="M75" s="940">
        <v>0.68</v>
      </c>
      <c r="N75" s="939"/>
      <c r="O75" s="940">
        <v>60.462000000000003</v>
      </c>
      <c r="P75" s="940">
        <v>1.2</v>
      </c>
      <c r="Q75" s="939"/>
      <c r="R75" s="939"/>
      <c r="S75" s="939"/>
      <c r="T75" s="847">
        <f t="shared" si="0"/>
        <v>62.342000000000006</v>
      </c>
      <c r="U75" s="941">
        <v>62.342000000000006</v>
      </c>
      <c r="V75" s="749" t="s">
        <v>549</v>
      </c>
      <c r="W75" s="132" t="s">
        <v>549</v>
      </c>
      <c r="X75" s="3"/>
      <c r="Y75" s="3"/>
      <c r="Z75" s="3"/>
      <c r="AA75" s="3"/>
    </row>
    <row r="76" spans="1:27" ht="136.5" customHeight="1">
      <c r="A76" s="736"/>
      <c r="B76" s="736"/>
      <c r="C76" s="736"/>
      <c r="D76" s="829">
        <v>70</v>
      </c>
      <c r="E76" s="829" t="s">
        <v>147</v>
      </c>
      <c r="F76" s="939"/>
      <c r="G76" s="939"/>
      <c r="H76" s="939"/>
      <c r="I76" s="942">
        <v>0.36399999999999999</v>
      </c>
      <c r="J76" s="939"/>
      <c r="K76" s="939"/>
      <c r="L76" s="939"/>
      <c r="M76" s="939"/>
      <c r="N76" s="939"/>
      <c r="O76" s="939"/>
      <c r="P76" s="940">
        <v>1.1000000000000001</v>
      </c>
      <c r="Q76" s="939"/>
      <c r="R76" s="939"/>
      <c r="S76" s="939"/>
      <c r="T76" s="847">
        <f t="shared" si="0"/>
        <v>1.464</v>
      </c>
      <c r="U76" s="941">
        <v>1.464</v>
      </c>
      <c r="V76" s="749" t="s">
        <v>550</v>
      </c>
      <c r="W76" s="132" t="s">
        <v>550</v>
      </c>
      <c r="X76" s="3"/>
      <c r="Y76" s="3"/>
      <c r="Z76" s="3"/>
      <c r="AA76" s="3"/>
    </row>
    <row r="77" spans="1:27" ht="39.75" customHeight="1">
      <c r="A77" s="736"/>
      <c r="B77" s="736"/>
      <c r="C77" s="736"/>
      <c r="D77" s="829">
        <v>71</v>
      </c>
      <c r="E77" s="829" t="s">
        <v>149</v>
      </c>
      <c r="F77" s="939"/>
      <c r="G77" s="939"/>
      <c r="H77" s="939"/>
      <c r="I77" s="939"/>
      <c r="J77" s="939"/>
      <c r="K77" s="939"/>
      <c r="L77" s="939"/>
      <c r="M77" s="939"/>
      <c r="N77" s="939"/>
      <c r="O77" s="939"/>
      <c r="P77" s="939"/>
      <c r="Q77" s="939"/>
      <c r="R77" s="939"/>
      <c r="S77" s="939"/>
      <c r="T77" s="847">
        <f t="shared" si="0"/>
        <v>0</v>
      </c>
      <c r="U77" s="941">
        <v>0</v>
      </c>
      <c r="V77" s="482"/>
      <c r="W77" s="132"/>
      <c r="X77" s="3"/>
      <c r="Y77" s="3"/>
      <c r="Z77" s="3"/>
      <c r="AA77" s="3"/>
    </row>
    <row r="78" spans="1:27" ht="295.5" customHeight="1">
      <c r="A78" s="736"/>
      <c r="B78" s="736"/>
      <c r="C78" s="736"/>
      <c r="D78" s="829">
        <v>72</v>
      </c>
      <c r="E78" s="829" t="s">
        <v>150</v>
      </c>
      <c r="F78" s="939"/>
      <c r="G78" s="939"/>
      <c r="H78" s="939"/>
      <c r="I78" s="939"/>
      <c r="J78" s="939"/>
      <c r="K78" s="939"/>
      <c r="L78" s="939"/>
      <c r="M78" s="939"/>
      <c r="N78" s="940">
        <v>4.008</v>
      </c>
      <c r="O78" s="939"/>
      <c r="P78" s="939"/>
      <c r="Q78" s="940">
        <v>2.3624000000000001</v>
      </c>
      <c r="R78" s="940">
        <v>3.0668000000000002</v>
      </c>
      <c r="S78" s="939"/>
      <c r="T78" s="847">
        <f t="shared" si="0"/>
        <v>9.4372000000000007</v>
      </c>
      <c r="U78" s="941">
        <v>9.4372000000000007</v>
      </c>
      <c r="V78" s="729" t="s">
        <v>551</v>
      </c>
      <c r="W78" s="132" t="s">
        <v>552</v>
      </c>
      <c r="X78" s="3"/>
      <c r="Y78" s="3"/>
      <c r="Z78" s="3"/>
      <c r="AA78" s="3"/>
    </row>
    <row r="79" spans="1:27" ht="409.5">
      <c r="A79" s="736"/>
      <c r="B79" s="828" t="s">
        <v>152</v>
      </c>
      <c r="C79" s="828" t="s">
        <v>153</v>
      </c>
      <c r="D79" s="829">
        <v>73</v>
      </c>
      <c r="E79" s="829" t="s">
        <v>154</v>
      </c>
      <c r="F79" s="944">
        <v>2.61</v>
      </c>
      <c r="G79" s="944">
        <v>2.5</v>
      </c>
      <c r="H79" s="944">
        <v>3.5</v>
      </c>
      <c r="I79" s="944">
        <v>8.4</v>
      </c>
      <c r="J79" s="841"/>
      <c r="K79" s="944"/>
      <c r="L79" s="841">
        <v>3.5</v>
      </c>
      <c r="M79" s="944">
        <v>14</v>
      </c>
      <c r="N79" s="944">
        <v>11</v>
      </c>
      <c r="O79" s="944"/>
      <c r="P79" s="944">
        <v>3</v>
      </c>
      <c r="Q79" s="841"/>
      <c r="R79" s="944">
        <v>15</v>
      </c>
      <c r="S79" s="944">
        <v>0.85</v>
      </c>
      <c r="T79" s="847">
        <f t="shared" si="0"/>
        <v>64.36</v>
      </c>
      <c r="U79" s="847">
        <v>74.099999999999994</v>
      </c>
      <c r="V79" s="744" t="s">
        <v>553</v>
      </c>
      <c r="W79" s="471"/>
      <c r="X79" s="3"/>
      <c r="Y79" s="3"/>
      <c r="Z79" s="3"/>
      <c r="AA79" s="3"/>
    </row>
    <row r="80" spans="1:27" ht="105">
      <c r="A80" s="736"/>
      <c r="B80" s="736"/>
      <c r="C80" s="736"/>
      <c r="D80" s="829">
        <v>74</v>
      </c>
      <c r="E80" s="829" t="s">
        <v>155</v>
      </c>
      <c r="F80" s="944">
        <v>53</v>
      </c>
      <c r="G80" s="944"/>
      <c r="H80" s="841"/>
      <c r="I80" s="841"/>
      <c r="J80" s="841"/>
      <c r="K80" s="841"/>
      <c r="L80" s="841"/>
      <c r="M80" s="841"/>
      <c r="N80" s="841"/>
      <c r="O80" s="841"/>
      <c r="P80" s="841"/>
      <c r="Q80" s="841"/>
      <c r="R80" s="841"/>
      <c r="S80" s="841"/>
      <c r="T80" s="847">
        <f t="shared" si="0"/>
        <v>53</v>
      </c>
      <c r="U80" s="847">
        <v>51.7</v>
      </c>
      <c r="V80" s="729" t="s">
        <v>554</v>
      </c>
      <c r="W80" s="471"/>
      <c r="X80" s="3"/>
      <c r="Y80" s="3"/>
      <c r="Z80" s="3"/>
      <c r="AA80" s="3"/>
    </row>
    <row r="81" spans="1:27" ht="165">
      <c r="A81" s="736"/>
      <c r="B81" s="736"/>
      <c r="C81" s="736"/>
      <c r="D81" s="829">
        <v>75</v>
      </c>
      <c r="E81" s="829" t="s">
        <v>157</v>
      </c>
      <c r="F81" s="944">
        <v>2.82</v>
      </c>
      <c r="G81" s="944"/>
      <c r="H81" s="841"/>
      <c r="I81" s="841"/>
      <c r="J81" s="841"/>
      <c r="K81" s="841"/>
      <c r="L81" s="841"/>
      <c r="M81" s="841"/>
      <c r="N81" s="841"/>
      <c r="O81" s="841"/>
      <c r="P81" s="944">
        <v>5.5</v>
      </c>
      <c r="Q81" s="841"/>
      <c r="R81" s="841"/>
      <c r="S81" s="841"/>
      <c r="T81" s="847">
        <f t="shared" si="0"/>
        <v>8.32</v>
      </c>
      <c r="U81" s="847">
        <v>10.199999999999999</v>
      </c>
      <c r="V81" s="729" t="s">
        <v>555</v>
      </c>
      <c r="W81" s="471"/>
      <c r="X81" s="3"/>
      <c r="Y81" s="3"/>
      <c r="Z81" s="3"/>
      <c r="AA81" s="3"/>
    </row>
    <row r="82" spans="1:27" ht="105" customHeight="1">
      <c r="A82" s="736"/>
      <c r="B82" s="736"/>
      <c r="C82" s="736"/>
      <c r="D82" s="829">
        <v>76</v>
      </c>
      <c r="E82" s="829" t="s">
        <v>159</v>
      </c>
      <c r="F82" s="841"/>
      <c r="G82" s="841"/>
      <c r="H82" s="841"/>
      <c r="I82" s="841"/>
      <c r="J82" s="841"/>
      <c r="K82" s="944"/>
      <c r="L82" s="841"/>
      <c r="M82" s="944">
        <v>7</v>
      </c>
      <c r="N82" s="841"/>
      <c r="O82" s="841"/>
      <c r="P82" s="841"/>
      <c r="Q82" s="841"/>
      <c r="R82" s="841"/>
      <c r="S82" s="841"/>
      <c r="T82" s="847">
        <f t="shared" si="0"/>
        <v>7</v>
      </c>
      <c r="U82" s="847">
        <v>2.9</v>
      </c>
      <c r="V82" s="729" t="s">
        <v>556</v>
      </c>
      <c r="W82" s="471"/>
      <c r="X82" s="3"/>
      <c r="Y82" s="3"/>
      <c r="Z82" s="3"/>
      <c r="AA82" s="3"/>
    </row>
    <row r="83" spans="1:27" ht="390">
      <c r="A83" s="736"/>
      <c r="B83" s="736"/>
      <c r="C83" s="736"/>
      <c r="D83" s="829">
        <v>77</v>
      </c>
      <c r="E83" s="829" t="s">
        <v>161</v>
      </c>
      <c r="F83" s="944">
        <v>1.8</v>
      </c>
      <c r="G83" s="944">
        <v>5</v>
      </c>
      <c r="H83" s="944"/>
      <c r="I83" s="944">
        <v>2</v>
      </c>
      <c r="J83" s="841"/>
      <c r="K83" s="944"/>
      <c r="L83" s="841">
        <v>2</v>
      </c>
      <c r="M83" s="944"/>
      <c r="N83" s="944">
        <v>1</v>
      </c>
      <c r="O83" s="841"/>
      <c r="P83" s="841"/>
      <c r="Q83" s="841"/>
      <c r="R83" s="841"/>
      <c r="S83" s="944">
        <v>1</v>
      </c>
      <c r="T83" s="847">
        <f t="shared" si="0"/>
        <v>12.8</v>
      </c>
      <c r="U83" s="847">
        <v>11</v>
      </c>
      <c r="V83" s="744" t="s">
        <v>557</v>
      </c>
      <c r="W83" s="471"/>
      <c r="X83" s="3"/>
      <c r="Y83" s="3"/>
      <c r="Z83" s="3"/>
      <c r="AA83" s="3"/>
    </row>
    <row r="84" spans="1:27" ht="158.25" customHeight="1">
      <c r="A84" s="736"/>
      <c r="B84" s="736"/>
      <c r="C84" s="736"/>
      <c r="D84" s="829">
        <v>78</v>
      </c>
      <c r="E84" s="829" t="s">
        <v>163</v>
      </c>
      <c r="F84" s="841"/>
      <c r="G84" s="841"/>
      <c r="H84" s="841"/>
      <c r="I84" s="841"/>
      <c r="J84" s="841"/>
      <c r="K84" s="841"/>
      <c r="L84" s="841"/>
      <c r="M84" s="841"/>
      <c r="N84" s="841"/>
      <c r="O84" s="841"/>
      <c r="P84" s="841"/>
      <c r="Q84" s="944">
        <v>10.5</v>
      </c>
      <c r="R84" s="841"/>
      <c r="S84" s="841"/>
      <c r="T84" s="847">
        <f t="shared" si="0"/>
        <v>10.5</v>
      </c>
      <c r="U84" s="847">
        <v>10.5</v>
      </c>
      <c r="V84" s="729" t="s">
        <v>558</v>
      </c>
      <c r="W84" s="471"/>
      <c r="X84" s="3"/>
      <c r="Y84" s="3"/>
      <c r="Z84" s="3"/>
      <c r="AA84" s="3"/>
    </row>
    <row r="85" spans="1:27" ht="15" customHeight="1">
      <c r="A85" s="736"/>
      <c r="B85" s="736"/>
      <c r="C85" s="736"/>
      <c r="D85" s="829">
        <v>79</v>
      </c>
      <c r="E85" s="829" t="s">
        <v>53</v>
      </c>
      <c r="F85" s="841"/>
      <c r="G85" s="841"/>
      <c r="H85" s="841"/>
      <c r="I85" s="841"/>
      <c r="J85" s="841"/>
      <c r="K85" s="841"/>
      <c r="L85" s="841"/>
      <c r="M85" s="841"/>
      <c r="N85" s="841"/>
      <c r="O85" s="841"/>
      <c r="P85" s="841"/>
      <c r="Q85" s="841"/>
      <c r="R85" s="841"/>
      <c r="S85" s="841"/>
      <c r="T85" s="847">
        <f t="shared" si="0"/>
        <v>0</v>
      </c>
      <c r="U85" s="847">
        <f>T85*110/100</f>
        <v>0</v>
      </c>
      <c r="V85" s="768"/>
      <c r="W85" s="471"/>
      <c r="X85" s="3"/>
      <c r="Y85" s="3"/>
      <c r="Z85" s="3"/>
      <c r="AA85" s="3"/>
    </row>
    <row r="86" spans="1:27" ht="90">
      <c r="A86" s="736"/>
      <c r="B86" s="828" t="s">
        <v>165</v>
      </c>
      <c r="C86" s="828" t="s">
        <v>166</v>
      </c>
      <c r="D86" s="829">
        <v>80</v>
      </c>
      <c r="E86" s="829" t="s">
        <v>167</v>
      </c>
      <c r="F86" s="979"/>
      <c r="G86" s="979"/>
      <c r="H86" s="979"/>
      <c r="I86" s="979"/>
      <c r="J86" s="979"/>
      <c r="K86" s="1013"/>
      <c r="L86" s="979"/>
      <c r="M86" s="783"/>
      <c r="N86" s="979"/>
      <c r="O86" s="979"/>
      <c r="P86" s="845">
        <v>2.4</v>
      </c>
      <c r="Q86" s="1028">
        <v>1</v>
      </c>
      <c r="R86" s="845">
        <v>0</v>
      </c>
      <c r="S86" s="979"/>
      <c r="T86" s="847">
        <f t="shared" si="0"/>
        <v>3.4</v>
      </c>
      <c r="U86" s="847">
        <v>3.4</v>
      </c>
      <c r="V86" s="744" t="s">
        <v>1637</v>
      </c>
      <c r="W86" s="471"/>
      <c r="X86" s="3"/>
      <c r="Y86" s="3"/>
      <c r="Z86" s="3"/>
      <c r="AA86" s="3"/>
    </row>
    <row r="87" spans="1:27" ht="45">
      <c r="A87" s="736"/>
      <c r="B87" s="736"/>
      <c r="C87" s="736"/>
      <c r="D87" s="829">
        <v>81</v>
      </c>
      <c r="E87" s="829" t="s">
        <v>168</v>
      </c>
      <c r="F87" s="979"/>
      <c r="G87" s="979"/>
      <c r="H87" s="979"/>
      <c r="I87" s="979"/>
      <c r="J87" s="979"/>
      <c r="K87" s="979"/>
      <c r="L87" s="979"/>
      <c r="M87" s="1028"/>
      <c r="N87" s="1028"/>
      <c r="O87" s="879"/>
      <c r="P87" s="982">
        <v>0.1</v>
      </c>
      <c r="Q87" s="982"/>
      <c r="R87" s="979"/>
      <c r="S87" s="979"/>
      <c r="T87" s="847">
        <f t="shared" si="0"/>
        <v>0.1</v>
      </c>
      <c r="U87" s="847">
        <v>0.1</v>
      </c>
      <c r="V87" s="483" t="s">
        <v>169</v>
      </c>
      <c r="W87" s="471"/>
      <c r="X87" s="3"/>
      <c r="Y87" s="3"/>
      <c r="Z87" s="3"/>
      <c r="AA87" s="3"/>
    </row>
    <row r="88" spans="1:27" ht="39.75" customHeight="1">
      <c r="A88" s="736"/>
      <c r="B88" s="736"/>
      <c r="C88" s="736"/>
      <c r="D88" s="829">
        <v>82</v>
      </c>
      <c r="E88" s="829" t="s">
        <v>170</v>
      </c>
      <c r="F88" s="979"/>
      <c r="G88" s="979"/>
      <c r="H88" s="979"/>
      <c r="I88" s="979"/>
      <c r="J88" s="979"/>
      <c r="K88" s="979"/>
      <c r="L88" s="979"/>
      <c r="M88" s="979"/>
      <c r="N88" s="979"/>
      <c r="O88" s="979"/>
      <c r="P88" s="982"/>
      <c r="Q88" s="979"/>
      <c r="R88" s="979"/>
      <c r="S88" s="979"/>
      <c r="T88" s="847">
        <f t="shared" si="0"/>
        <v>0</v>
      </c>
      <c r="U88" s="847"/>
      <c r="V88" s="483"/>
      <c r="W88" s="471"/>
      <c r="X88" s="3"/>
      <c r="Y88" s="3"/>
      <c r="Z88" s="3"/>
      <c r="AA88" s="3"/>
    </row>
    <row r="89" spans="1:27" ht="150">
      <c r="A89" s="736"/>
      <c r="B89" s="736"/>
      <c r="C89" s="736"/>
      <c r="D89" s="829">
        <v>83</v>
      </c>
      <c r="E89" s="829" t="s">
        <v>172</v>
      </c>
      <c r="F89" s="979"/>
      <c r="G89" s="979"/>
      <c r="H89" s="979"/>
      <c r="I89" s="979"/>
      <c r="J89" s="979"/>
      <c r="K89" s="886">
        <v>0.5</v>
      </c>
      <c r="L89" s="979"/>
      <c r="M89" s="982"/>
      <c r="N89" s="783"/>
      <c r="O89" s="979"/>
      <c r="P89" s="845">
        <v>1</v>
      </c>
      <c r="Q89" s="1028"/>
      <c r="R89" s="982"/>
      <c r="S89" s="979"/>
      <c r="T89" s="847">
        <f t="shared" si="0"/>
        <v>1.5</v>
      </c>
      <c r="U89" s="847">
        <v>1.5</v>
      </c>
      <c r="V89" s="738" t="s">
        <v>1643</v>
      </c>
      <c r="W89" s="471"/>
      <c r="X89" s="3"/>
      <c r="Y89" s="3"/>
      <c r="Z89" s="3"/>
      <c r="AA89" s="3"/>
    </row>
    <row r="90" spans="1:27" ht="90">
      <c r="A90" s="736"/>
      <c r="B90" s="829" t="s">
        <v>173</v>
      </c>
      <c r="C90" s="829" t="s">
        <v>174</v>
      </c>
      <c r="D90" s="829">
        <v>84</v>
      </c>
      <c r="E90" s="829" t="s">
        <v>175</v>
      </c>
      <c r="F90" s="829"/>
      <c r="G90" s="829"/>
      <c r="H90" s="829"/>
      <c r="I90" s="847"/>
      <c r="J90" s="829"/>
      <c r="K90" s="847"/>
      <c r="L90" s="829"/>
      <c r="M90" s="829"/>
      <c r="N90" s="477">
        <v>1</v>
      </c>
      <c r="O90" s="829"/>
      <c r="P90" s="829"/>
      <c r="Q90" s="478">
        <v>1.5</v>
      </c>
      <c r="R90" s="479">
        <v>0.5</v>
      </c>
      <c r="S90" s="829"/>
      <c r="T90" s="847">
        <f t="shared" si="0"/>
        <v>3</v>
      </c>
      <c r="U90" s="847">
        <v>3</v>
      </c>
      <c r="V90" s="729" t="s">
        <v>1638</v>
      </c>
      <c r="W90" s="471"/>
      <c r="X90" s="3"/>
      <c r="Y90" s="3"/>
      <c r="Z90" s="3"/>
      <c r="AA90" s="3"/>
    </row>
    <row r="91" spans="1:27" ht="48.75" customHeight="1">
      <c r="A91" s="736"/>
      <c r="B91" s="829" t="s">
        <v>176</v>
      </c>
      <c r="C91" s="829" t="s">
        <v>177</v>
      </c>
      <c r="D91" s="829">
        <v>85</v>
      </c>
      <c r="E91" s="829" t="s">
        <v>178</v>
      </c>
      <c r="F91" s="829"/>
      <c r="G91" s="829"/>
      <c r="H91" s="829"/>
      <c r="I91" s="829"/>
      <c r="J91" s="829"/>
      <c r="K91" s="847"/>
      <c r="L91" s="829"/>
      <c r="M91" s="829"/>
      <c r="N91" s="847">
        <v>0.5</v>
      </c>
      <c r="O91" s="829"/>
      <c r="P91" s="829"/>
      <c r="Q91" s="847">
        <v>1</v>
      </c>
      <c r="R91" s="845"/>
      <c r="S91" s="829"/>
      <c r="T91" s="847">
        <f t="shared" si="0"/>
        <v>1.5</v>
      </c>
      <c r="U91" s="847">
        <v>1.5</v>
      </c>
      <c r="V91" s="729" t="s">
        <v>424</v>
      </c>
      <c r="W91" s="471"/>
      <c r="X91" s="3"/>
      <c r="Y91" s="3"/>
      <c r="Z91" s="3"/>
      <c r="AA91" s="3"/>
    </row>
    <row r="92" spans="1:27" ht="90">
      <c r="A92" s="736"/>
      <c r="B92" s="829" t="s">
        <v>180</v>
      </c>
      <c r="C92" s="829" t="s">
        <v>53</v>
      </c>
      <c r="D92" s="829">
        <v>86</v>
      </c>
      <c r="E92" s="829" t="s">
        <v>181</v>
      </c>
      <c r="F92" s="829"/>
      <c r="G92" s="829"/>
      <c r="H92" s="829"/>
      <c r="I92" s="829"/>
      <c r="J92" s="829"/>
      <c r="K92" s="829"/>
      <c r="L92" s="829"/>
      <c r="M92" s="829"/>
      <c r="N92" s="829"/>
      <c r="O92" s="829"/>
      <c r="P92" s="829"/>
      <c r="Q92" s="829"/>
      <c r="R92" s="829"/>
      <c r="S92" s="829"/>
      <c r="T92" s="847">
        <f t="shared" si="0"/>
        <v>0</v>
      </c>
      <c r="U92" s="847"/>
      <c r="V92" s="729"/>
      <c r="W92" s="471"/>
      <c r="X92" s="3"/>
      <c r="Y92" s="3"/>
      <c r="Z92" s="3"/>
      <c r="AA92" s="3"/>
    </row>
    <row r="93" spans="1:27" ht="39.75" customHeight="1">
      <c r="A93" s="736"/>
      <c r="B93" s="948" t="s">
        <v>182</v>
      </c>
      <c r="C93" s="736"/>
      <c r="D93" s="736"/>
      <c r="E93" s="949"/>
      <c r="F93" s="949">
        <f t="shared" ref="F93:S93" si="11">SUM(F69:F92)</f>
        <v>60.23</v>
      </c>
      <c r="G93" s="949">
        <f t="shared" si="11"/>
        <v>7.5</v>
      </c>
      <c r="H93" s="949">
        <f t="shared" si="11"/>
        <v>3.5</v>
      </c>
      <c r="I93" s="949">
        <f t="shared" si="11"/>
        <v>11.604000000000001</v>
      </c>
      <c r="J93" s="949">
        <f t="shared" si="11"/>
        <v>0</v>
      </c>
      <c r="K93" s="949">
        <f t="shared" si="11"/>
        <v>0.5</v>
      </c>
      <c r="L93" s="949">
        <f t="shared" si="11"/>
        <v>5.5</v>
      </c>
      <c r="M93" s="950">
        <f t="shared" si="11"/>
        <v>21.68</v>
      </c>
      <c r="N93" s="951">
        <f t="shared" si="11"/>
        <v>27.308</v>
      </c>
      <c r="O93" s="949">
        <f t="shared" si="11"/>
        <v>61.712000000000003</v>
      </c>
      <c r="P93" s="951">
        <f t="shared" si="11"/>
        <v>69.110000000000014</v>
      </c>
      <c r="Q93" s="949">
        <f t="shared" si="11"/>
        <v>22.452400000000001</v>
      </c>
      <c r="R93" s="950">
        <f t="shared" si="11"/>
        <v>29.066800000000001</v>
      </c>
      <c r="S93" s="950">
        <f t="shared" si="11"/>
        <v>14.75</v>
      </c>
      <c r="T93" s="1006">
        <f t="shared" si="0"/>
        <v>334.91320000000002</v>
      </c>
      <c r="U93" s="951">
        <f t="shared" ref="U93:V93" si="12">SUM(U69:U92)</f>
        <v>334.33319999999998</v>
      </c>
      <c r="V93" s="660">
        <f t="shared" si="12"/>
        <v>0</v>
      </c>
      <c r="W93" s="471"/>
      <c r="X93" s="3"/>
      <c r="Y93" s="3"/>
      <c r="Z93" s="3"/>
      <c r="AA93" s="3"/>
    </row>
    <row r="94" spans="1:27" ht="39.75" customHeight="1">
      <c r="A94" s="831" t="s">
        <v>183</v>
      </c>
      <c r="B94" s="828" t="s">
        <v>184</v>
      </c>
      <c r="C94" s="828" t="s">
        <v>185</v>
      </c>
      <c r="D94" s="829">
        <v>87</v>
      </c>
      <c r="E94" s="829" t="s">
        <v>186</v>
      </c>
      <c r="F94" s="855"/>
      <c r="G94" s="855"/>
      <c r="H94" s="855"/>
      <c r="I94" s="855"/>
      <c r="J94" s="855"/>
      <c r="K94" s="857">
        <v>8</v>
      </c>
      <c r="L94" s="855"/>
      <c r="M94" s="855"/>
      <c r="N94" s="855"/>
      <c r="O94" s="855"/>
      <c r="P94" s="855"/>
      <c r="Q94" s="855"/>
      <c r="R94" s="855"/>
      <c r="S94" s="939"/>
      <c r="T94" s="847">
        <f t="shared" si="0"/>
        <v>8</v>
      </c>
      <c r="U94" s="952">
        <v>0</v>
      </c>
      <c r="V94" s="738" t="s">
        <v>425</v>
      </c>
      <c r="W94" s="473"/>
      <c r="X94" s="3"/>
      <c r="Y94" s="3"/>
      <c r="Z94" s="3"/>
      <c r="AA94" s="3"/>
    </row>
    <row r="95" spans="1:27" ht="39.75" customHeight="1">
      <c r="A95" s="736"/>
      <c r="B95" s="736"/>
      <c r="C95" s="736"/>
      <c r="D95" s="829">
        <v>88</v>
      </c>
      <c r="E95" s="829" t="s">
        <v>188</v>
      </c>
      <c r="F95" s="855"/>
      <c r="G95" s="855"/>
      <c r="H95" s="855"/>
      <c r="I95" s="855"/>
      <c r="J95" s="855"/>
      <c r="K95" s="855"/>
      <c r="L95" s="855"/>
      <c r="M95" s="855"/>
      <c r="N95" s="855"/>
      <c r="O95" s="855"/>
      <c r="P95" s="953">
        <v>16</v>
      </c>
      <c r="Q95" s="855"/>
      <c r="R95" s="855"/>
      <c r="S95" s="939"/>
      <c r="T95" s="847">
        <f t="shared" si="0"/>
        <v>16</v>
      </c>
      <c r="U95" s="952">
        <v>16</v>
      </c>
      <c r="V95" s="738" t="s">
        <v>559</v>
      </c>
      <c r="W95" s="474" t="s">
        <v>559</v>
      </c>
      <c r="X95" s="3"/>
      <c r="Y95" s="3"/>
      <c r="Z95" s="3"/>
      <c r="AA95" s="3"/>
    </row>
    <row r="96" spans="1:27" ht="45">
      <c r="A96" s="736"/>
      <c r="B96" s="736"/>
      <c r="C96" s="736"/>
      <c r="D96" s="829">
        <v>89</v>
      </c>
      <c r="E96" s="829" t="s">
        <v>190</v>
      </c>
      <c r="F96" s="855"/>
      <c r="G96" s="855"/>
      <c r="H96" s="855"/>
      <c r="I96" s="855"/>
      <c r="J96" s="855"/>
      <c r="K96" s="855"/>
      <c r="L96" s="855"/>
      <c r="M96" s="855"/>
      <c r="N96" s="855"/>
      <c r="O96" s="855"/>
      <c r="P96" s="855"/>
      <c r="Q96" s="855"/>
      <c r="R96" s="855"/>
      <c r="S96" s="939"/>
      <c r="T96" s="847">
        <f t="shared" si="0"/>
        <v>0</v>
      </c>
      <c r="U96" s="952">
        <v>0</v>
      </c>
      <c r="V96" s="483"/>
      <c r="W96" s="474"/>
      <c r="X96" s="3"/>
      <c r="Y96" s="3"/>
      <c r="Z96" s="3"/>
      <c r="AA96" s="3"/>
    </row>
    <row r="97" spans="1:27" ht="45">
      <c r="A97" s="736"/>
      <c r="B97" s="736"/>
      <c r="C97" s="736"/>
      <c r="D97" s="829">
        <v>90</v>
      </c>
      <c r="E97" s="829" t="s">
        <v>191</v>
      </c>
      <c r="F97" s="855"/>
      <c r="G97" s="855"/>
      <c r="H97" s="855"/>
      <c r="I97" s="855"/>
      <c r="J97" s="855"/>
      <c r="K97" s="855"/>
      <c r="L97" s="855"/>
      <c r="M97" s="855"/>
      <c r="N97" s="855"/>
      <c r="O97" s="855"/>
      <c r="P97" s="954"/>
      <c r="Q97" s="855"/>
      <c r="R97" s="855"/>
      <c r="S97" s="939"/>
      <c r="T97" s="847">
        <f t="shared" si="0"/>
        <v>0</v>
      </c>
      <c r="U97" s="952">
        <v>0</v>
      </c>
      <c r="V97" s="483"/>
      <c r="W97" s="474"/>
      <c r="X97" s="3"/>
      <c r="Y97" s="3"/>
      <c r="Z97" s="3"/>
      <c r="AA97" s="3"/>
    </row>
    <row r="98" spans="1:27" ht="39.75" customHeight="1">
      <c r="A98" s="736"/>
      <c r="B98" s="736"/>
      <c r="C98" s="736"/>
      <c r="D98" s="829">
        <v>91</v>
      </c>
      <c r="E98" s="829" t="s">
        <v>192</v>
      </c>
      <c r="F98" s="855"/>
      <c r="G98" s="855"/>
      <c r="H98" s="855"/>
      <c r="I98" s="855"/>
      <c r="J98" s="855"/>
      <c r="K98" s="857">
        <v>0</v>
      </c>
      <c r="L98" s="855"/>
      <c r="M98" s="855"/>
      <c r="N98" s="855"/>
      <c r="O98" s="855"/>
      <c r="P98" s="953">
        <v>0</v>
      </c>
      <c r="Q98" s="855"/>
      <c r="R98" s="855"/>
      <c r="S98" s="939"/>
      <c r="T98" s="847">
        <f t="shared" si="0"/>
        <v>0</v>
      </c>
      <c r="U98" s="952">
        <v>0</v>
      </c>
      <c r="V98" s="484"/>
      <c r="W98" s="475"/>
      <c r="X98" s="3"/>
      <c r="Y98" s="3"/>
      <c r="Z98" s="3"/>
      <c r="AA98" s="3"/>
    </row>
    <row r="99" spans="1:27" ht="60">
      <c r="A99" s="736"/>
      <c r="B99" s="736"/>
      <c r="C99" s="736"/>
      <c r="D99" s="829">
        <v>92</v>
      </c>
      <c r="E99" s="829" t="s">
        <v>193</v>
      </c>
      <c r="F99" s="855"/>
      <c r="G99" s="855"/>
      <c r="H99" s="855"/>
      <c r="I99" s="855"/>
      <c r="J99" s="855"/>
      <c r="K99" s="855"/>
      <c r="L99" s="855"/>
      <c r="M99" s="855"/>
      <c r="N99" s="855"/>
      <c r="O99" s="855"/>
      <c r="P99" s="953">
        <v>2</v>
      </c>
      <c r="Q99" s="855"/>
      <c r="R99" s="855"/>
      <c r="S99" s="939"/>
      <c r="T99" s="847">
        <f t="shared" si="0"/>
        <v>2</v>
      </c>
      <c r="U99" s="952">
        <v>2</v>
      </c>
      <c r="V99" s="1029" t="s">
        <v>560</v>
      </c>
      <c r="W99" s="476" t="s">
        <v>560</v>
      </c>
      <c r="X99" s="3"/>
      <c r="Y99" s="3"/>
      <c r="Z99" s="3"/>
      <c r="AA99" s="3"/>
    </row>
    <row r="100" spans="1:27" ht="30">
      <c r="A100" s="736"/>
      <c r="B100" s="736"/>
      <c r="C100" s="736"/>
      <c r="D100" s="829">
        <v>93</v>
      </c>
      <c r="E100" s="829" t="s">
        <v>195</v>
      </c>
      <c r="F100" s="855"/>
      <c r="G100" s="855"/>
      <c r="H100" s="855"/>
      <c r="I100" s="954"/>
      <c r="J100" s="855"/>
      <c r="K100" s="855"/>
      <c r="L100" s="855"/>
      <c r="M100" s="855"/>
      <c r="N100" s="855"/>
      <c r="O100" s="855"/>
      <c r="P100" s="855"/>
      <c r="Q100" s="855"/>
      <c r="R100" s="855"/>
      <c r="S100" s="939"/>
      <c r="T100" s="847">
        <f t="shared" si="0"/>
        <v>0</v>
      </c>
      <c r="U100" s="952">
        <v>0</v>
      </c>
      <c r="V100" s="1029"/>
      <c r="W100" s="475"/>
      <c r="X100" s="3"/>
      <c r="Y100" s="3"/>
      <c r="Z100" s="3"/>
      <c r="AA100" s="3"/>
    </row>
    <row r="101" spans="1:27" ht="30">
      <c r="A101" s="736"/>
      <c r="B101" s="736"/>
      <c r="C101" s="736"/>
      <c r="D101" s="829">
        <v>94</v>
      </c>
      <c r="E101" s="829" t="s">
        <v>196</v>
      </c>
      <c r="F101" s="855"/>
      <c r="G101" s="855"/>
      <c r="H101" s="855"/>
      <c r="I101" s="954"/>
      <c r="J101" s="855"/>
      <c r="K101" s="855"/>
      <c r="L101" s="855"/>
      <c r="M101" s="855"/>
      <c r="N101" s="855"/>
      <c r="O101" s="855"/>
      <c r="P101" s="855"/>
      <c r="Q101" s="855"/>
      <c r="R101" s="855"/>
      <c r="S101" s="939"/>
      <c r="T101" s="847">
        <f t="shared" si="0"/>
        <v>0</v>
      </c>
      <c r="U101" s="952">
        <v>0</v>
      </c>
      <c r="V101" s="1029"/>
      <c r="W101" s="476"/>
      <c r="X101" s="3"/>
      <c r="Y101" s="3"/>
      <c r="Z101" s="3"/>
      <c r="AA101" s="3"/>
    </row>
    <row r="102" spans="1:27" ht="49.5" customHeight="1">
      <c r="A102" s="736"/>
      <c r="B102" s="736"/>
      <c r="C102" s="736"/>
      <c r="D102" s="829">
        <v>95</v>
      </c>
      <c r="E102" s="829" t="s">
        <v>197</v>
      </c>
      <c r="F102" s="855"/>
      <c r="G102" s="855"/>
      <c r="H102" s="954"/>
      <c r="I102" s="857">
        <v>4</v>
      </c>
      <c r="J102" s="855"/>
      <c r="K102" s="855"/>
      <c r="L102" s="855"/>
      <c r="M102" s="855"/>
      <c r="N102" s="855"/>
      <c r="O102" s="855"/>
      <c r="P102" s="855"/>
      <c r="Q102" s="855"/>
      <c r="R102" s="855"/>
      <c r="S102" s="939"/>
      <c r="T102" s="847">
        <f t="shared" si="0"/>
        <v>4</v>
      </c>
      <c r="U102" s="952">
        <v>5</v>
      </c>
      <c r="V102" s="738" t="s">
        <v>561</v>
      </c>
      <c r="W102" s="474" t="s">
        <v>562</v>
      </c>
      <c r="X102" s="3"/>
      <c r="Y102" s="3"/>
      <c r="Z102" s="3"/>
      <c r="AA102" s="3"/>
    </row>
    <row r="103" spans="1:27" ht="47.25" customHeight="1">
      <c r="A103" s="736"/>
      <c r="B103" s="736"/>
      <c r="C103" s="736"/>
      <c r="D103" s="829">
        <v>96</v>
      </c>
      <c r="E103" s="829" t="s">
        <v>199</v>
      </c>
      <c r="F103" s="855"/>
      <c r="G103" s="855"/>
      <c r="H103" s="855"/>
      <c r="I103" s="855"/>
      <c r="J103" s="855"/>
      <c r="K103" s="855"/>
      <c r="L103" s="855"/>
      <c r="M103" s="855"/>
      <c r="N103" s="887"/>
      <c r="O103" s="855"/>
      <c r="P103" s="856">
        <v>2</v>
      </c>
      <c r="Q103" s="857">
        <v>1</v>
      </c>
      <c r="R103" s="953">
        <v>1</v>
      </c>
      <c r="S103" s="939"/>
      <c r="T103" s="847">
        <f t="shared" si="0"/>
        <v>4</v>
      </c>
      <c r="U103" s="952">
        <v>4</v>
      </c>
      <c r="V103" s="738" t="s">
        <v>200</v>
      </c>
      <c r="W103" s="474" t="s">
        <v>200</v>
      </c>
      <c r="X103" s="3"/>
      <c r="Y103" s="3"/>
      <c r="Z103" s="3"/>
      <c r="AA103" s="3"/>
    </row>
    <row r="104" spans="1:27" ht="192.75" customHeight="1">
      <c r="A104" s="736"/>
      <c r="B104" s="828" t="s">
        <v>201</v>
      </c>
      <c r="C104" s="828" t="s">
        <v>202</v>
      </c>
      <c r="D104" s="829">
        <v>97</v>
      </c>
      <c r="E104" s="829" t="s">
        <v>203</v>
      </c>
      <c r="F104" s="940"/>
      <c r="G104" s="940"/>
      <c r="H104" s="940"/>
      <c r="I104" s="952">
        <v>1</v>
      </c>
      <c r="J104" s="940"/>
      <c r="K104" s="952"/>
      <c r="L104" s="940"/>
      <c r="M104" s="952"/>
      <c r="N104" s="952">
        <v>3.75</v>
      </c>
      <c r="O104" s="940">
        <v>2</v>
      </c>
      <c r="P104" s="959">
        <v>9.85</v>
      </c>
      <c r="Q104" s="952">
        <v>2.5</v>
      </c>
      <c r="R104" s="959">
        <v>18</v>
      </c>
      <c r="S104" s="940"/>
      <c r="T104" s="956">
        <v>37.1</v>
      </c>
      <c r="U104" s="956">
        <v>37.1</v>
      </c>
      <c r="V104" s="749" t="s">
        <v>204</v>
      </c>
      <c r="W104" s="809"/>
      <c r="X104" s="3"/>
      <c r="Y104" s="3"/>
      <c r="Z104" s="3"/>
      <c r="AA104" s="3"/>
    </row>
    <row r="105" spans="1:27" ht="39.75" customHeight="1">
      <c r="A105" s="736"/>
      <c r="B105" s="736"/>
      <c r="C105" s="736"/>
      <c r="D105" s="829">
        <v>98</v>
      </c>
      <c r="E105" s="829" t="s">
        <v>53</v>
      </c>
      <c r="F105" s="955"/>
      <c r="G105" s="955"/>
      <c r="H105" s="955"/>
      <c r="I105" s="955"/>
      <c r="J105" s="955"/>
      <c r="K105" s="955"/>
      <c r="L105" s="955"/>
      <c r="M105" s="955"/>
      <c r="N105" s="955"/>
      <c r="O105" s="955"/>
      <c r="P105" s="955"/>
      <c r="Q105" s="955"/>
      <c r="R105" s="955"/>
      <c r="S105" s="955"/>
      <c r="T105" s="956">
        <v>0</v>
      </c>
      <c r="U105" s="956"/>
      <c r="V105" s="744"/>
      <c r="W105" s="810"/>
      <c r="X105" s="3"/>
      <c r="Y105" s="3"/>
      <c r="Z105" s="3"/>
      <c r="AA105" s="3"/>
    </row>
    <row r="106" spans="1:27" ht="39.75" customHeight="1">
      <c r="A106" s="736"/>
      <c r="B106" s="828" t="s">
        <v>205</v>
      </c>
      <c r="C106" s="828" t="s">
        <v>206</v>
      </c>
      <c r="D106" s="829">
        <v>99</v>
      </c>
      <c r="E106" s="829" t="s">
        <v>207</v>
      </c>
      <c r="F106" s="955"/>
      <c r="G106" s="955"/>
      <c r="H106" s="957"/>
      <c r="I106" s="956">
        <v>2</v>
      </c>
      <c r="J106" s="955"/>
      <c r="K106" s="956"/>
      <c r="L106" s="955"/>
      <c r="M106" s="955"/>
      <c r="N106" s="956">
        <v>1</v>
      </c>
      <c r="O106" s="955"/>
      <c r="P106" s="955"/>
      <c r="Q106" s="956">
        <v>1</v>
      </c>
      <c r="R106" s="967"/>
      <c r="S106" s="955"/>
      <c r="T106" s="956">
        <v>4</v>
      </c>
      <c r="U106" s="956">
        <v>3</v>
      </c>
      <c r="V106" s="749" t="s">
        <v>493</v>
      </c>
      <c r="W106" s="518" t="s">
        <v>429</v>
      </c>
      <c r="X106" s="3"/>
      <c r="Y106" s="3"/>
      <c r="Z106" s="3"/>
      <c r="AA106" s="3"/>
    </row>
    <row r="107" spans="1:27" ht="39.75" customHeight="1">
      <c r="A107" s="736"/>
      <c r="B107" s="736"/>
      <c r="C107" s="736"/>
      <c r="D107" s="829">
        <v>100</v>
      </c>
      <c r="E107" s="829" t="s">
        <v>209</v>
      </c>
      <c r="F107" s="955"/>
      <c r="G107" s="955"/>
      <c r="H107" s="955"/>
      <c r="I107" s="956"/>
      <c r="J107" s="955"/>
      <c r="K107" s="956"/>
      <c r="L107" s="955"/>
      <c r="M107" s="955"/>
      <c r="N107" s="955"/>
      <c r="O107" s="955"/>
      <c r="P107" s="955"/>
      <c r="Q107" s="955"/>
      <c r="R107" s="955"/>
      <c r="S107" s="955"/>
      <c r="T107" s="956">
        <v>0</v>
      </c>
      <c r="U107" s="956">
        <v>0</v>
      </c>
      <c r="V107" s="749"/>
      <c r="W107" s="810"/>
      <c r="X107" s="3"/>
      <c r="Y107" s="3"/>
      <c r="Z107" s="3"/>
      <c r="AA107" s="3"/>
    </row>
    <row r="108" spans="1:27" ht="39.75" customHeight="1">
      <c r="A108" s="736"/>
      <c r="B108" s="736"/>
      <c r="C108" s="736"/>
      <c r="D108" s="829">
        <v>101</v>
      </c>
      <c r="E108" s="829" t="s">
        <v>210</v>
      </c>
      <c r="F108" s="955"/>
      <c r="G108" s="955"/>
      <c r="H108" s="955"/>
      <c r="I108" s="955"/>
      <c r="J108" s="955"/>
      <c r="K108" s="955"/>
      <c r="L108" s="955"/>
      <c r="M108" s="955"/>
      <c r="N108" s="955"/>
      <c r="O108" s="955"/>
      <c r="P108" s="955"/>
      <c r="Q108" s="955"/>
      <c r="R108" s="955"/>
      <c r="S108" s="955"/>
      <c r="T108" s="956">
        <v>0</v>
      </c>
      <c r="U108" s="956"/>
      <c r="V108" s="744"/>
      <c r="W108" s="810"/>
      <c r="X108" s="3"/>
      <c r="Y108" s="3"/>
      <c r="Z108" s="3"/>
      <c r="AA108" s="3"/>
    </row>
    <row r="109" spans="1:27" ht="39.75" customHeight="1">
      <c r="A109" s="736"/>
      <c r="B109" s="736"/>
      <c r="C109" s="736"/>
      <c r="D109" s="829">
        <v>102</v>
      </c>
      <c r="E109" s="829" t="s">
        <v>211</v>
      </c>
      <c r="F109" s="955"/>
      <c r="G109" s="955"/>
      <c r="H109" s="955"/>
      <c r="I109" s="955"/>
      <c r="J109" s="955"/>
      <c r="K109" s="955"/>
      <c r="L109" s="955"/>
      <c r="M109" s="955"/>
      <c r="N109" s="955"/>
      <c r="O109" s="955"/>
      <c r="P109" s="955"/>
      <c r="Q109" s="956"/>
      <c r="R109" s="955"/>
      <c r="S109" s="955"/>
      <c r="T109" s="956">
        <v>0</v>
      </c>
      <c r="U109" s="956"/>
      <c r="V109" s="744"/>
      <c r="W109" s="810"/>
      <c r="X109" s="3"/>
      <c r="Y109" s="3"/>
      <c r="Z109" s="3"/>
      <c r="AA109" s="3"/>
    </row>
    <row r="110" spans="1:27" ht="69" customHeight="1">
      <c r="A110" s="736"/>
      <c r="B110" s="736"/>
      <c r="C110" s="736"/>
      <c r="D110" s="829">
        <v>103</v>
      </c>
      <c r="E110" s="829" t="s">
        <v>53</v>
      </c>
      <c r="F110" s="955"/>
      <c r="G110" s="955"/>
      <c r="H110" s="955"/>
      <c r="I110" s="955"/>
      <c r="J110" s="955"/>
      <c r="K110" s="955"/>
      <c r="L110" s="955"/>
      <c r="M110" s="955"/>
      <c r="N110" s="955"/>
      <c r="O110" s="955"/>
      <c r="P110" s="957">
        <v>4.0999999999999996</v>
      </c>
      <c r="Q110" s="955"/>
      <c r="R110" s="957">
        <v>0</v>
      </c>
      <c r="S110" s="957"/>
      <c r="T110" s="956">
        <v>4.0999999999999996</v>
      </c>
      <c r="U110" s="956">
        <v>4.0999999999999996</v>
      </c>
      <c r="V110" s="779" t="s">
        <v>212</v>
      </c>
      <c r="W110" s="810"/>
      <c r="X110" s="3"/>
      <c r="Y110" s="3"/>
      <c r="Z110" s="3"/>
      <c r="AA110" s="3"/>
    </row>
    <row r="111" spans="1:27" ht="291" customHeight="1">
      <c r="A111" s="736"/>
      <c r="B111" s="828" t="s">
        <v>213</v>
      </c>
      <c r="C111" s="828" t="s">
        <v>214</v>
      </c>
      <c r="D111" s="829">
        <v>104</v>
      </c>
      <c r="E111" s="829" t="s">
        <v>215</v>
      </c>
      <c r="F111" s="940"/>
      <c r="G111" s="940"/>
      <c r="H111" s="940"/>
      <c r="I111" s="940"/>
      <c r="J111" s="940"/>
      <c r="K111" s="940"/>
      <c r="L111" s="940"/>
      <c r="M111" s="940"/>
      <c r="N111" s="959">
        <v>0.8</v>
      </c>
      <c r="O111" s="940"/>
      <c r="P111" s="959"/>
      <c r="Q111" s="959">
        <v>1.5</v>
      </c>
      <c r="R111" s="959">
        <v>1.5</v>
      </c>
      <c r="S111" s="959"/>
      <c r="T111" s="956">
        <v>3.8</v>
      </c>
      <c r="U111" s="956">
        <v>3.8</v>
      </c>
      <c r="V111" s="749" t="s">
        <v>1639</v>
      </c>
      <c r="W111" s="810"/>
      <c r="X111" s="3"/>
      <c r="Y111" s="3"/>
      <c r="Z111" s="3"/>
      <c r="AA111" s="3"/>
    </row>
    <row r="112" spans="1:27" ht="75">
      <c r="A112" s="736"/>
      <c r="B112" s="736"/>
      <c r="C112" s="736"/>
      <c r="D112" s="829">
        <v>105</v>
      </c>
      <c r="E112" s="829" t="s">
        <v>216</v>
      </c>
      <c r="F112" s="940"/>
      <c r="G112" s="940"/>
      <c r="H112" s="940"/>
      <c r="I112" s="940"/>
      <c r="J112" s="940"/>
      <c r="K112" s="940"/>
      <c r="L112" s="940"/>
      <c r="M112" s="940"/>
      <c r="N112" s="940"/>
      <c r="O112" s="940"/>
      <c r="P112" s="940">
        <v>2</v>
      </c>
      <c r="Q112" s="940"/>
      <c r="R112" s="940"/>
      <c r="S112" s="940"/>
      <c r="T112" s="956">
        <v>2</v>
      </c>
      <c r="U112" s="956">
        <v>2</v>
      </c>
      <c r="V112" s="744" t="s">
        <v>217</v>
      </c>
      <c r="W112" s="810"/>
      <c r="X112" s="3"/>
      <c r="Y112" s="3"/>
      <c r="Z112" s="3"/>
      <c r="AA112" s="3"/>
    </row>
    <row r="113" spans="1:27" ht="45">
      <c r="A113" s="736"/>
      <c r="B113" s="736"/>
      <c r="C113" s="736"/>
      <c r="D113" s="829">
        <v>106</v>
      </c>
      <c r="E113" s="829" t="s">
        <v>218</v>
      </c>
      <c r="F113" s="940"/>
      <c r="G113" s="940"/>
      <c r="H113" s="940"/>
      <c r="I113" s="952"/>
      <c r="J113" s="940"/>
      <c r="K113" s="952"/>
      <c r="L113" s="940"/>
      <c r="M113" s="940"/>
      <c r="N113" s="952">
        <v>0.2</v>
      </c>
      <c r="O113" s="940"/>
      <c r="P113" s="959"/>
      <c r="Q113" s="1004"/>
      <c r="R113" s="1004"/>
      <c r="S113" s="1004"/>
      <c r="T113" s="956">
        <v>0.2</v>
      </c>
      <c r="U113" s="956">
        <v>0.2</v>
      </c>
      <c r="V113" s="749" t="s">
        <v>219</v>
      </c>
      <c r="W113" s="810"/>
      <c r="X113" s="3"/>
      <c r="Y113" s="3"/>
      <c r="Z113" s="3"/>
      <c r="AA113" s="3"/>
    </row>
    <row r="114" spans="1:27" ht="75">
      <c r="A114" s="736"/>
      <c r="B114" s="828" t="s">
        <v>220</v>
      </c>
      <c r="C114" s="828" t="s">
        <v>221</v>
      </c>
      <c r="D114" s="829">
        <v>107</v>
      </c>
      <c r="E114" s="829" t="s">
        <v>222</v>
      </c>
      <c r="F114" s="955"/>
      <c r="G114" s="955"/>
      <c r="H114" s="955"/>
      <c r="I114" s="956"/>
      <c r="J114" s="955"/>
      <c r="K114" s="956"/>
      <c r="L114" s="955"/>
      <c r="M114" s="955"/>
      <c r="N114" s="956"/>
      <c r="O114" s="955"/>
      <c r="P114" s="959">
        <v>2.5</v>
      </c>
      <c r="Q114" s="940"/>
      <c r="R114" s="959">
        <v>1</v>
      </c>
      <c r="S114" s="955"/>
      <c r="T114" s="956">
        <v>3.5</v>
      </c>
      <c r="U114" s="956">
        <v>3.5</v>
      </c>
      <c r="V114" s="749" t="s">
        <v>223</v>
      </c>
      <c r="W114" s="810"/>
      <c r="X114" s="3"/>
      <c r="Y114" s="3"/>
      <c r="Z114" s="3"/>
      <c r="AA114" s="3"/>
    </row>
    <row r="115" spans="1:27" ht="30">
      <c r="A115" s="736"/>
      <c r="B115" s="736"/>
      <c r="C115" s="736"/>
      <c r="D115" s="829">
        <v>108</v>
      </c>
      <c r="E115" s="829" t="s">
        <v>224</v>
      </c>
      <c r="F115" s="955"/>
      <c r="G115" s="955"/>
      <c r="H115" s="955"/>
      <c r="I115" s="956"/>
      <c r="J115" s="955"/>
      <c r="K115" s="956"/>
      <c r="L115" s="955"/>
      <c r="M115" s="955"/>
      <c r="N115" s="955"/>
      <c r="O115" s="955"/>
      <c r="P115" s="957">
        <v>4</v>
      </c>
      <c r="Q115" s="955"/>
      <c r="R115" s="955"/>
      <c r="S115" s="955"/>
      <c r="T115" s="956">
        <v>4</v>
      </c>
      <c r="U115" s="956">
        <v>4</v>
      </c>
      <c r="V115" s="749" t="s">
        <v>225</v>
      </c>
      <c r="W115" s="810"/>
      <c r="X115" s="3"/>
      <c r="Y115" s="3"/>
      <c r="Z115" s="3"/>
      <c r="AA115" s="3"/>
    </row>
    <row r="116" spans="1:27" ht="39.75" customHeight="1">
      <c r="A116" s="736"/>
      <c r="B116" s="736"/>
      <c r="C116" s="736"/>
      <c r="D116" s="829">
        <v>109</v>
      </c>
      <c r="E116" s="829" t="s">
        <v>226</v>
      </c>
      <c r="F116" s="955"/>
      <c r="G116" s="955"/>
      <c r="H116" s="957"/>
      <c r="I116" s="956"/>
      <c r="J116" s="955"/>
      <c r="K116" s="956"/>
      <c r="L116" s="955"/>
      <c r="M116" s="955"/>
      <c r="N116" s="955"/>
      <c r="O116" s="955"/>
      <c r="P116" s="955"/>
      <c r="Q116" s="955"/>
      <c r="R116" s="955"/>
      <c r="S116" s="955"/>
      <c r="T116" s="956">
        <v>0</v>
      </c>
      <c r="U116" s="956"/>
      <c r="V116" s="744"/>
      <c r="W116" s="810"/>
      <c r="X116" s="3"/>
      <c r="Y116" s="3"/>
      <c r="Z116" s="3"/>
      <c r="AA116" s="3"/>
    </row>
    <row r="117" spans="1:27" ht="150">
      <c r="A117" s="736"/>
      <c r="B117" s="736"/>
      <c r="C117" s="736"/>
      <c r="D117" s="829">
        <v>110</v>
      </c>
      <c r="E117" s="829" t="s">
        <v>227</v>
      </c>
      <c r="F117" s="955"/>
      <c r="G117" s="955"/>
      <c r="H117" s="955"/>
      <c r="I117" s="956"/>
      <c r="J117" s="955"/>
      <c r="K117" s="956"/>
      <c r="L117" s="955"/>
      <c r="M117" s="957"/>
      <c r="N117" s="956">
        <v>3</v>
      </c>
      <c r="O117" s="957">
        <v>44.33</v>
      </c>
      <c r="P117" s="956"/>
      <c r="Q117" s="957">
        <v>5.47</v>
      </c>
      <c r="R117" s="957">
        <v>3</v>
      </c>
      <c r="S117" s="955"/>
      <c r="T117" s="847">
        <f>SUM(F117:S117)</f>
        <v>55.8</v>
      </c>
      <c r="U117" s="956">
        <f>T117</f>
        <v>55.8</v>
      </c>
      <c r="V117" s="744" t="s">
        <v>563</v>
      </c>
      <c r="W117" s="810"/>
      <c r="X117" s="3"/>
      <c r="Y117" s="3"/>
      <c r="Z117" s="3"/>
      <c r="AA117" s="3"/>
    </row>
    <row r="118" spans="1:27" ht="39.75" customHeight="1">
      <c r="A118" s="736"/>
      <c r="B118" s="736"/>
      <c r="C118" s="736"/>
      <c r="D118" s="829">
        <v>111</v>
      </c>
      <c r="E118" s="829" t="s">
        <v>53</v>
      </c>
      <c r="F118" s="955"/>
      <c r="G118" s="955"/>
      <c r="H118" s="955"/>
      <c r="I118" s="957"/>
      <c r="J118" s="955"/>
      <c r="K118" s="957"/>
      <c r="L118" s="955"/>
      <c r="M118" s="955"/>
      <c r="N118" s="955"/>
      <c r="O118" s="955"/>
      <c r="P118" s="957"/>
      <c r="Q118" s="956"/>
      <c r="R118" s="955"/>
      <c r="S118" s="957"/>
      <c r="T118" s="956">
        <v>0</v>
      </c>
      <c r="U118" s="956"/>
      <c r="V118" s="749"/>
      <c r="W118" s="810"/>
      <c r="X118" s="3"/>
      <c r="Y118" s="3"/>
      <c r="Z118" s="3"/>
      <c r="AA118" s="3"/>
    </row>
    <row r="119" spans="1:27" ht="39.75" customHeight="1">
      <c r="A119" s="736"/>
      <c r="B119" s="828" t="s">
        <v>229</v>
      </c>
      <c r="C119" s="828" t="s">
        <v>230</v>
      </c>
      <c r="D119" s="829">
        <v>112</v>
      </c>
      <c r="E119" s="829" t="s">
        <v>231</v>
      </c>
      <c r="F119" s="955"/>
      <c r="G119" s="955"/>
      <c r="H119" s="955"/>
      <c r="I119" s="956"/>
      <c r="J119" s="955"/>
      <c r="K119" s="956"/>
      <c r="L119" s="955"/>
      <c r="M119" s="955"/>
      <c r="N119" s="955"/>
      <c r="O119" s="955"/>
      <c r="P119" s="955"/>
      <c r="Q119" s="956"/>
      <c r="R119" s="955"/>
      <c r="S119" s="955"/>
      <c r="T119" s="956">
        <v>0</v>
      </c>
      <c r="U119" s="956"/>
      <c r="V119" s="744"/>
      <c r="W119" s="810"/>
      <c r="X119" s="3"/>
      <c r="Y119" s="3"/>
      <c r="Z119" s="3"/>
      <c r="AA119" s="3"/>
    </row>
    <row r="120" spans="1:27" ht="39.75" customHeight="1">
      <c r="A120" s="736"/>
      <c r="B120" s="736"/>
      <c r="C120" s="736"/>
      <c r="D120" s="829">
        <v>113</v>
      </c>
      <c r="E120" s="829" t="s">
        <v>232</v>
      </c>
      <c r="F120" s="940"/>
      <c r="G120" s="940"/>
      <c r="H120" s="940"/>
      <c r="I120" s="952"/>
      <c r="J120" s="940"/>
      <c r="K120" s="952"/>
      <c r="L120" s="940"/>
      <c r="M120" s="952"/>
      <c r="N120" s="952">
        <v>0.5</v>
      </c>
      <c r="O120" s="940"/>
      <c r="P120" s="940"/>
      <c r="Q120" s="952">
        <v>0.3</v>
      </c>
      <c r="R120" s="940"/>
      <c r="S120" s="940"/>
      <c r="T120" s="956">
        <v>0.8</v>
      </c>
      <c r="U120" s="956">
        <v>0.8</v>
      </c>
      <c r="V120" s="749" t="s">
        <v>564</v>
      </c>
      <c r="W120" s="810"/>
      <c r="X120" s="3"/>
      <c r="Y120" s="3"/>
      <c r="Z120" s="3"/>
      <c r="AA120" s="3"/>
    </row>
    <row r="121" spans="1:27" ht="98.25" customHeight="1">
      <c r="A121" s="736"/>
      <c r="B121" s="829" t="s">
        <v>234</v>
      </c>
      <c r="C121" s="829" t="s">
        <v>235</v>
      </c>
      <c r="D121" s="829">
        <v>114</v>
      </c>
      <c r="E121" s="829" t="s">
        <v>236</v>
      </c>
      <c r="F121" s="955"/>
      <c r="G121" s="955"/>
      <c r="H121" s="957"/>
      <c r="I121" s="955">
        <v>0.14000000000000001</v>
      </c>
      <c r="J121" s="955"/>
      <c r="K121" s="955"/>
      <c r="L121" s="955"/>
      <c r="M121" s="955"/>
      <c r="N121" s="957">
        <v>0.5</v>
      </c>
      <c r="O121" s="955"/>
      <c r="P121" s="957">
        <v>14.9</v>
      </c>
      <c r="Q121" s="956">
        <v>0.5</v>
      </c>
      <c r="R121" s="957">
        <v>0.5</v>
      </c>
      <c r="S121" s="957">
        <v>0</v>
      </c>
      <c r="T121" s="956">
        <v>16.54</v>
      </c>
      <c r="U121" s="956">
        <v>21.54</v>
      </c>
      <c r="V121" s="779" t="s">
        <v>565</v>
      </c>
      <c r="W121" s="810" t="s">
        <v>566</v>
      </c>
      <c r="X121" s="3"/>
      <c r="Y121" s="3"/>
      <c r="Z121" s="3"/>
      <c r="AA121" s="3"/>
    </row>
    <row r="122" spans="1:27" ht="39.75" customHeight="1">
      <c r="A122" s="736"/>
      <c r="B122" s="828" t="s">
        <v>238</v>
      </c>
      <c r="C122" s="828" t="s">
        <v>239</v>
      </c>
      <c r="D122" s="829">
        <v>115</v>
      </c>
      <c r="E122" s="829" t="s">
        <v>240</v>
      </c>
      <c r="F122" s="955"/>
      <c r="G122" s="955"/>
      <c r="H122" s="955"/>
      <c r="I122" s="955"/>
      <c r="J122" s="955"/>
      <c r="K122" s="955"/>
      <c r="L122" s="955"/>
      <c r="M122" s="956">
        <v>4</v>
      </c>
      <c r="N122" s="955"/>
      <c r="O122" s="955"/>
      <c r="P122" s="955"/>
      <c r="Q122" s="955">
        <v>6.55</v>
      </c>
      <c r="R122" s="955"/>
      <c r="S122" s="955"/>
      <c r="T122" s="956">
        <v>10.55</v>
      </c>
      <c r="U122" s="956">
        <v>10.55</v>
      </c>
      <c r="V122" s="749" t="s">
        <v>567</v>
      </c>
      <c r="W122" s="810"/>
      <c r="X122" s="3"/>
      <c r="Y122" s="3"/>
      <c r="Z122" s="3"/>
      <c r="AA122" s="3"/>
    </row>
    <row r="123" spans="1:27" ht="60.75" customHeight="1">
      <c r="A123" s="736"/>
      <c r="B123" s="736"/>
      <c r="C123" s="736"/>
      <c r="D123" s="829">
        <v>116</v>
      </c>
      <c r="E123" s="829" t="s">
        <v>242</v>
      </c>
      <c r="F123" s="955"/>
      <c r="G123" s="955"/>
      <c r="H123" s="955"/>
      <c r="I123" s="955"/>
      <c r="J123" s="955"/>
      <c r="K123" s="955"/>
      <c r="L123" s="955"/>
      <c r="M123" s="956">
        <v>5.55</v>
      </c>
      <c r="N123" s="955"/>
      <c r="O123" s="955"/>
      <c r="P123" s="955"/>
      <c r="Q123" s="956"/>
      <c r="R123" s="955"/>
      <c r="S123" s="955"/>
      <c r="T123" s="956">
        <v>5.55</v>
      </c>
      <c r="U123" s="956">
        <v>5.55</v>
      </c>
      <c r="V123" s="749" t="s">
        <v>243</v>
      </c>
      <c r="W123" s="810"/>
      <c r="X123" s="3"/>
      <c r="Y123" s="3"/>
      <c r="Z123" s="3"/>
      <c r="AA123" s="3"/>
    </row>
    <row r="124" spans="1:27" ht="39.75" customHeight="1">
      <c r="A124" s="736"/>
      <c r="B124" s="736"/>
      <c r="C124" s="736"/>
      <c r="D124" s="829">
        <v>117</v>
      </c>
      <c r="E124" s="829" t="s">
        <v>244</v>
      </c>
      <c r="F124" s="955"/>
      <c r="G124" s="955"/>
      <c r="H124" s="955"/>
      <c r="I124" s="955"/>
      <c r="J124" s="955"/>
      <c r="K124" s="955"/>
      <c r="L124" s="955"/>
      <c r="M124" s="955"/>
      <c r="N124" s="955"/>
      <c r="O124" s="955"/>
      <c r="P124" s="955"/>
      <c r="Q124" s="955"/>
      <c r="R124" s="955"/>
      <c r="S124" s="955"/>
      <c r="T124" s="956">
        <v>0</v>
      </c>
      <c r="U124" s="956"/>
      <c r="V124" s="744"/>
      <c r="W124" s="810"/>
      <c r="X124" s="3"/>
      <c r="Y124" s="3"/>
      <c r="Z124" s="3"/>
      <c r="AA124" s="3"/>
    </row>
    <row r="125" spans="1:27" ht="39.75" customHeight="1">
      <c r="A125" s="736"/>
      <c r="B125" s="736"/>
      <c r="C125" s="736"/>
      <c r="D125" s="829">
        <v>118</v>
      </c>
      <c r="E125" s="829" t="s">
        <v>53</v>
      </c>
      <c r="F125" s="955"/>
      <c r="G125" s="955"/>
      <c r="H125" s="955"/>
      <c r="I125" s="955"/>
      <c r="J125" s="955"/>
      <c r="K125" s="955"/>
      <c r="L125" s="955"/>
      <c r="M125" s="955"/>
      <c r="N125" s="955"/>
      <c r="O125" s="955"/>
      <c r="P125" s="955"/>
      <c r="Q125" s="956"/>
      <c r="R125" s="955"/>
      <c r="S125" s="955"/>
      <c r="T125" s="956">
        <v>0</v>
      </c>
      <c r="U125" s="956"/>
      <c r="V125" s="744"/>
      <c r="W125" s="810"/>
      <c r="X125" s="3"/>
      <c r="Y125" s="3"/>
      <c r="Z125" s="3"/>
      <c r="AA125" s="3"/>
    </row>
    <row r="126" spans="1:27" ht="120">
      <c r="A126" s="736"/>
      <c r="B126" s="829" t="s">
        <v>245</v>
      </c>
      <c r="C126" s="829" t="s">
        <v>246</v>
      </c>
      <c r="D126" s="829">
        <v>119</v>
      </c>
      <c r="E126" s="829" t="s">
        <v>247</v>
      </c>
      <c r="F126" s="940"/>
      <c r="G126" s="940"/>
      <c r="H126" s="959"/>
      <c r="I126" s="952"/>
      <c r="J126" s="940"/>
      <c r="K126" s="940"/>
      <c r="L126" s="940"/>
      <c r="M126" s="940"/>
      <c r="N126" s="952">
        <v>2</v>
      </c>
      <c r="O126" s="940"/>
      <c r="P126" s="959">
        <v>8</v>
      </c>
      <c r="Q126" s="952"/>
      <c r="R126" s="940"/>
      <c r="S126" s="940">
        <v>0</v>
      </c>
      <c r="T126" s="956">
        <v>10</v>
      </c>
      <c r="U126" s="956">
        <v>10</v>
      </c>
      <c r="V126" s="779" t="s">
        <v>248</v>
      </c>
      <c r="W126" s="810"/>
      <c r="X126" s="3"/>
      <c r="Y126" s="3"/>
      <c r="Z126" s="3"/>
      <c r="AA126" s="3"/>
    </row>
    <row r="127" spans="1:27" ht="128.25" customHeight="1">
      <c r="A127" s="736"/>
      <c r="B127" s="829" t="s">
        <v>249</v>
      </c>
      <c r="C127" s="829" t="s">
        <v>250</v>
      </c>
      <c r="D127" s="829">
        <v>120</v>
      </c>
      <c r="E127" s="829" t="s">
        <v>251</v>
      </c>
      <c r="F127" s="955"/>
      <c r="G127" s="955"/>
      <c r="H127" s="955"/>
      <c r="I127" s="955"/>
      <c r="J127" s="955"/>
      <c r="K127" s="957">
        <v>1</v>
      </c>
      <c r="L127" s="955"/>
      <c r="M127" s="957">
        <v>1.68</v>
      </c>
      <c r="N127" s="956"/>
      <c r="O127" s="955"/>
      <c r="P127" s="957"/>
      <c r="Q127" s="956">
        <v>1.5</v>
      </c>
      <c r="R127" s="957">
        <v>1.6</v>
      </c>
      <c r="S127" s="955"/>
      <c r="T127" s="956">
        <v>5.78</v>
      </c>
      <c r="U127" s="956">
        <v>5.78</v>
      </c>
      <c r="V127" s="779" t="s">
        <v>568</v>
      </c>
      <c r="W127" s="810"/>
      <c r="X127" s="3"/>
      <c r="Y127" s="3"/>
      <c r="Z127" s="3"/>
      <c r="AA127" s="3"/>
    </row>
    <row r="128" spans="1:27" ht="63.75" customHeight="1">
      <c r="A128" s="736"/>
      <c r="B128" s="828" t="s">
        <v>252</v>
      </c>
      <c r="C128" s="828" t="s">
        <v>253</v>
      </c>
      <c r="D128" s="829">
        <v>121</v>
      </c>
      <c r="E128" s="829" t="s">
        <v>254</v>
      </c>
      <c r="F128" s="940">
        <v>0</v>
      </c>
      <c r="G128" s="940">
        <v>0</v>
      </c>
      <c r="H128" s="940">
        <v>0</v>
      </c>
      <c r="I128" s="952">
        <v>0</v>
      </c>
      <c r="J128" s="940">
        <v>0</v>
      </c>
      <c r="K128" s="940">
        <v>0</v>
      </c>
      <c r="L128" s="940">
        <v>0</v>
      </c>
      <c r="M128" s="940">
        <v>0</v>
      </c>
      <c r="N128" s="940">
        <v>0.48</v>
      </c>
      <c r="O128" s="940">
        <v>0</v>
      </c>
      <c r="P128" s="940">
        <v>0</v>
      </c>
      <c r="Q128" s="940">
        <v>0</v>
      </c>
      <c r="R128" s="940">
        <v>0</v>
      </c>
      <c r="S128" s="940">
        <v>0</v>
      </c>
      <c r="T128" s="847">
        <f t="shared" ref="T128:T130" si="13">SUM(F128:S128)</f>
        <v>0.48</v>
      </c>
      <c r="U128" s="952">
        <v>0.96</v>
      </c>
      <c r="V128" s="749" t="s">
        <v>499</v>
      </c>
      <c r="W128" s="132" t="s">
        <v>500</v>
      </c>
      <c r="X128" s="3"/>
      <c r="Y128" s="3"/>
      <c r="Z128" s="3"/>
      <c r="AA128" s="3"/>
    </row>
    <row r="129" spans="1:27" ht="39.75" customHeight="1">
      <c r="A129" s="736"/>
      <c r="B129" s="736"/>
      <c r="C129" s="736"/>
      <c r="D129" s="829">
        <v>122</v>
      </c>
      <c r="E129" s="829" t="s">
        <v>256</v>
      </c>
      <c r="F129" s="940">
        <v>0</v>
      </c>
      <c r="G129" s="940">
        <v>0</v>
      </c>
      <c r="H129" s="940">
        <v>0</v>
      </c>
      <c r="I129" s="940">
        <v>0</v>
      </c>
      <c r="J129" s="940">
        <v>0</v>
      </c>
      <c r="K129" s="940">
        <v>0</v>
      </c>
      <c r="L129" s="940">
        <v>0</v>
      </c>
      <c r="M129" s="940">
        <v>0</v>
      </c>
      <c r="N129" s="940">
        <v>0</v>
      </c>
      <c r="O129" s="940">
        <v>0</v>
      </c>
      <c r="P129" s="940">
        <v>0</v>
      </c>
      <c r="Q129" s="940">
        <v>0</v>
      </c>
      <c r="R129" s="940">
        <v>0</v>
      </c>
      <c r="S129" s="940">
        <v>0</v>
      </c>
      <c r="T129" s="847">
        <f t="shared" si="13"/>
        <v>0</v>
      </c>
      <c r="U129" s="952">
        <v>0</v>
      </c>
      <c r="V129" s="482"/>
      <c r="W129" s="133"/>
      <c r="X129" s="3"/>
      <c r="Y129" s="3"/>
      <c r="Z129" s="3"/>
      <c r="AA129" s="3"/>
    </row>
    <row r="130" spans="1:27" ht="90">
      <c r="A130" s="736"/>
      <c r="B130" s="736"/>
      <c r="C130" s="736"/>
      <c r="D130" s="829">
        <v>123</v>
      </c>
      <c r="E130" s="829" t="s">
        <v>257</v>
      </c>
      <c r="F130" s="940">
        <v>0</v>
      </c>
      <c r="G130" s="940">
        <v>0</v>
      </c>
      <c r="H130" s="940">
        <v>0</v>
      </c>
      <c r="I130" s="940">
        <v>0</v>
      </c>
      <c r="J130" s="940">
        <v>0</v>
      </c>
      <c r="K130" s="940">
        <v>0</v>
      </c>
      <c r="L130" s="940">
        <v>0</v>
      </c>
      <c r="M130" s="940">
        <v>0</v>
      </c>
      <c r="N130" s="940">
        <v>0</v>
      </c>
      <c r="O130" s="940">
        <v>0</v>
      </c>
      <c r="P130" s="959">
        <v>0</v>
      </c>
      <c r="Q130" s="952">
        <v>1.5</v>
      </c>
      <c r="R130" s="940">
        <v>0</v>
      </c>
      <c r="S130" s="940">
        <v>0</v>
      </c>
      <c r="T130" s="847">
        <f t="shared" si="13"/>
        <v>1.5</v>
      </c>
      <c r="U130" s="952">
        <v>1.5</v>
      </c>
      <c r="V130" s="749" t="s">
        <v>258</v>
      </c>
      <c r="W130" s="133" t="s">
        <v>258</v>
      </c>
      <c r="X130" s="3"/>
      <c r="Y130" s="3"/>
      <c r="Z130" s="3"/>
      <c r="AA130" s="3"/>
    </row>
    <row r="131" spans="1:27" ht="39.75" customHeight="1">
      <c r="A131" s="736"/>
      <c r="B131" s="828" t="s">
        <v>259</v>
      </c>
      <c r="C131" s="828" t="s">
        <v>260</v>
      </c>
      <c r="D131" s="829">
        <v>124</v>
      </c>
      <c r="E131" s="829" t="s">
        <v>261</v>
      </c>
      <c r="F131" s="940"/>
      <c r="G131" s="940"/>
      <c r="H131" s="959">
        <v>0</v>
      </c>
      <c r="I131" s="940"/>
      <c r="J131" s="940"/>
      <c r="K131" s="940"/>
      <c r="L131" s="940"/>
      <c r="M131" s="940"/>
      <c r="N131" s="940">
        <v>1</v>
      </c>
      <c r="O131" s="940"/>
      <c r="P131" s="940"/>
      <c r="Q131" s="959">
        <v>0.5</v>
      </c>
      <c r="R131" s="940"/>
      <c r="S131" s="940"/>
      <c r="T131" s="956">
        <v>1.5</v>
      </c>
      <c r="U131" s="956">
        <v>1.5</v>
      </c>
      <c r="V131" s="781" t="s">
        <v>569</v>
      </c>
      <c r="W131" s="1030"/>
      <c r="X131" s="3"/>
      <c r="Y131" s="3"/>
      <c r="Z131" s="3"/>
      <c r="AA131" s="3"/>
    </row>
    <row r="132" spans="1:27" ht="39.75" customHeight="1">
      <c r="A132" s="736"/>
      <c r="B132" s="736"/>
      <c r="C132" s="736"/>
      <c r="D132" s="829">
        <v>125</v>
      </c>
      <c r="E132" s="829" t="s">
        <v>263</v>
      </c>
      <c r="F132" s="940"/>
      <c r="G132" s="940"/>
      <c r="H132" s="959"/>
      <c r="I132" s="940"/>
      <c r="J132" s="940"/>
      <c r="K132" s="940"/>
      <c r="L132" s="940"/>
      <c r="M132" s="940"/>
      <c r="N132" s="940">
        <v>1</v>
      </c>
      <c r="O132" s="940"/>
      <c r="P132" s="940"/>
      <c r="Q132" s="959">
        <v>0.5</v>
      </c>
      <c r="R132" s="940"/>
      <c r="S132" s="940"/>
      <c r="T132" s="956">
        <v>1.5</v>
      </c>
      <c r="U132" s="956">
        <v>1.5</v>
      </c>
      <c r="V132" s="781" t="s">
        <v>569</v>
      </c>
      <c r="W132" s="1031"/>
      <c r="X132" s="3"/>
      <c r="Y132" s="3"/>
      <c r="Z132" s="3"/>
      <c r="AA132" s="3"/>
    </row>
    <row r="133" spans="1:27" ht="39.75" customHeight="1">
      <c r="A133" s="736"/>
      <c r="B133" s="829" t="s">
        <v>264</v>
      </c>
      <c r="C133" s="829" t="s">
        <v>265</v>
      </c>
      <c r="D133" s="829">
        <v>126</v>
      </c>
      <c r="E133" s="829" t="s">
        <v>181</v>
      </c>
      <c r="F133" s="829"/>
      <c r="G133" s="829"/>
      <c r="H133" s="829"/>
      <c r="I133" s="829"/>
      <c r="J133" s="829"/>
      <c r="K133" s="829"/>
      <c r="L133" s="829"/>
      <c r="M133" s="829"/>
      <c r="N133" s="829"/>
      <c r="O133" s="829"/>
      <c r="P133" s="829"/>
      <c r="Q133" s="829"/>
      <c r="R133" s="829"/>
      <c r="S133" s="829"/>
      <c r="T133" s="847">
        <f t="shared" ref="T133:T200" si="14">SUM(F133:S133)</f>
        <v>0</v>
      </c>
      <c r="U133" s="847"/>
      <c r="V133" s="729"/>
      <c r="W133" s="471"/>
      <c r="X133" s="3"/>
      <c r="Y133" s="3"/>
      <c r="Z133" s="3"/>
      <c r="AA133" s="3"/>
    </row>
    <row r="134" spans="1:27" ht="39.75" customHeight="1">
      <c r="A134" s="736"/>
      <c r="B134" s="948" t="s">
        <v>266</v>
      </c>
      <c r="C134" s="736"/>
      <c r="D134" s="736"/>
      <c r="E134" s="949"/>
      <c r="F134" s="949">
        <f t="shared" ref="F134:S134" si="15">SUM(F94:F133)</f>
        <v>0</v>
      </c>
      <c r="G134" s="949">
        <f t="shared" si="15"/>
        <v>0</v>
      </c>
      <c r="H134" s="949">
        <f t="shared" si="15"/>
        <v>0</v>
      </c>
      <c r="I134" s="949">
        <f t="shared" si="15"/>
        <v>7.14</v>
      </c>
      <c r="J134" s="949">
        <f t="shared" si="15"/>
        <v>0</v>
      </c>
      <c r="K134" s="951">
        <f t="shared" si="15"/>
        <v>9</v>
      </c>
      <c r="L134" s="949">
        <f t="shared" si="15"/>
        <v>0</v>
      </c>
      <c r="M134" s="949">
        <f t="shared" si="15"/>
        <v>11.23</v>
      </c>
      <c r="N134" s="949">
        <f t="shared" si="15"/>
        <v>14.23</v>
      </c>
      <c r="O134" s="949">
        <f t="shared" si="15"/>
        <v>46.33</v>
      </c>
      <c r="P134" s="949">
        <f t="shared" si="15"/>
        <v>65.349999999999994</v>
      </c>
      <c r="Q134" s="949">
        <f t="shared" si="15"/>
        <v>22.82</v>
      </c>
      <c r="R134" s="949">
        <f t="shared" si="15"/>
        <v>26.6</v>
      </c>
      <c r="S134" s="949">
        <f t="shared" si="15"/>
        <v>0</v>
      </c>
      <c r="T134" s="1006">
        <f t="shared" si="14"/>
        <v>202.7</v>
      </c>
      <c r="U134" s="951">
        <f>SUM(U94:U133)</f>
        <v>200.18000000000004</v>
      </c>
      <c r="V134" s="729"/>
      <c r="W134" s="471"/>
      <c r="X134" s="3"/>
      <c r="Y134" s="3"/>
      <c r="Z134" s="3"/>
      <c r="AA134" s="3"/>
    </row>
    <row r="135" spans="1:27" ht="39.75" customHeight="1">
      <c r="A135" s="831" t="s">
        <v>267</v>
      </c>
      <c r="B135" s="828" t="s">
        <v>268</v>
      </c>
      <c r="C135" s="828" t="s">
        <v>269</v>
      </c>
      <c r="D135" s="829">
        <v>127</v>
      </c>
      <c r="E135" s="829" t="s">
        <v>270</v>
      </c>
      <c r="F135" s="960"/>
      <c r="G135" s="960"/>
      <c r="H135" s="960"/>
      <c r="I135" s="960"/>
      <c r="J135" s="960"/>
      <c r="K135" s="960"/>
      <c r="L135" s="960"/>
      <c r="M135" s="960"/>
      <c r="N135" s="960"/>
      <c r="O135" s="960"/>
      <c r="P135" s="960"/>
      <c r="Q135" s="960"/>
      <c r="R135" s="960"/>
      <c r="S135" s="960"/>
      <c r="T135" s="847">
        <f t="shared" si="14"/>
        <v>0</v>
      </c>
      <c r="U135" s="847"/>
      <c r="V135" s="520"/>
      <c r="W135" s="471"/>
      <c r="X135" s="3"/>
      <c r="Y135" s="3"/>
      <c r="Z135" s="3"/>
      <c r="AA135" s="3"/>
    </row>
    <row r="136" spans="1:27" ht="39.75" customHeight="1">
      <c r="A136" s="736"/>
      <c r="B136" s="736"/>
      <c r="C136" s="736"/>
      <c r="D136" s="829">
        <v>128</v>
      </c>
      <c r="E136" s="829" t="s">
        <v>271</v>
      </c>
      <c r="F136" s="960"/>
      <c r="G136" s="960"/>
      <c r="H136" s="960"/>
      <c r="I136" s="960"/>
      <c r="J136" s="960"/>
      <c r="K136" s="961"/>
      <c r="L136" s="960"/>
      <c r="M136" s="960"/>
      <c r="N136" s="961"/>
      <c r="O136" s="960"/>
      <c r="P136" s="961"/>
      <c r="Q136" s="941">
        <f>(0.75*6)</f>
        <v>4.5</v>
      </c>
      <c r="R136" s="963"/>
      <c r="S136" s="963"/>
      <c r="T136" s="847">
        <f t="shared" si="14"/>
        <v>4.5</v>
      </c>
      <c r="U136" s="941">
        <f>T136</f>
        <v>4.5</v>
      </c>
      <c r="V136" s="779" t="s">
        <v>272</v>
      </c>
      <c r="W136" s="471"/>
      <c r="X136" s="3"/>
      <c r="Y136" s="3"/>
      <c r="Z136" s="3"/>
      <c r="AA136" s="3"/>
    </row>
    <row r="137" spans="1:27" ht="39.75" customHeight="1">
      <c r="A137" s="736"/>
      <c r="B137" s="829"/>
      <c r="C137" s="829"/>
      <c r="D137" s="829">
        <v>129</v>
      </c>
      <c r="E137" s="829" t="s">
        <v>273</v>
      </c>
      <c r="F137" s="960"/>
      <c r="G137" s="960"/>
      <c r="H137" s="960"/>
      <c r="I137" s="960"/>
      <c r="J137" s="960"/>
      <c r="K137" s="960"/>
      <c r="L137" s="960"/>
      <c r="M137" s="960"/>
      <c r="N137" s="960"/>
      <c r="O137" s="960"/>
      <c r="P137" s="960"/>
      <c r="Q137" s="960"/>
      <c r="R137" s="960"/>
      <c r="S137" s="960"/>
      <c r="T137" s="847">
        <f t="shared" si="14"/>
        <v>0</v>
      </c>
      <c r="U137" s="847"/>
      <c r="V137" s="520"/>
      <c r="W137" s="471"/>
      <c r="X137" s="3"/>
      <c r="Y137" s="3"/>
      <c r="Z137" s="3"/>
      <c r="AA137" s="3"/>
    </row>
    <row r="138" spans="1:27" ht="39.75" customHeight="1">
      <c r="A138" s="736"/>
      <c r="B138" s="828" t="s">
        <v>274</v>
      </c>
      <c r="C138" s="828" t="s">
        <v>275</v>
      </c>
      <c r="D138" s="829">
        <v>130</v>
      </c>
      <c r="E138" s="829" t="s">
        <v>276</v>
      </c>
      <c r="F138" s="960"/>
      <c r="G138" s="960"/>
      <c r="H138" s="960"/>
      <c r="I138" s="960"/>
      <c r="J138" s="960"/>
      <c r="K138" s="960"/>
      <c r="L138" s="960"/>
      <c r="M138" s="960"/>
      <c r="N138" s="960"/>
      <c r="O138" s="960"/>
      <c r="P138" s="960"/>
      <c r="Q138" s="960"/>
      <c r="R138" s="960"/>
      <c r="S138" s="960"/>
      <c r="T138" s="847">
        <f t="shared" si="14"/>
        <v>0</v>
      </c>
      <c r="U138" s="847"/>
      <c r="V138" s="520"/>
      <c r="W138" s="471"/>
      <c r="X138" s="3"/>
      <c r="Y138" s="3"/>
      <c r="Z138" s="3"/>
      <c r="AA138" s="3"/>
    </row>
    <row r="139" spans="1:27" ht="39.75" customHeight="1">
      <c r="A139" s="736"/>
      <c r="B139" s="736"/>
      <c r="C139" s="736"/>
      <c r="D139" s="829">
        <v>131</v>
      </c>
      <c r="E139" s="829" t="s">
        <v>277</v>
      </c>
      <c r="F139" s="960"/>
      <c r="G139" s="960"/>
      <c r="H139" s="960"/>
      <c r="I139" s="960"/>
      <c r="J139" s="960"/>
      <c r="K139" s="960"/>
      <c r="L139" s="960"/>
      <c r="M139" s="960"/>
      <c r="N139" s="961">
        <v>1.03</v>
      </c>
      <c r="O139" s="960"/>
      <c r="P139" s="960"/>
      <c r="Q139" s="960"/>
      <c r="R139" s="960"/>
      <c r="S139" s="960"/>
      <c r="T139" s="847">
        <f t="shared" si="14"/>
        <v>1.03</v>
      </c>
      <c r="U139" s="847">
        <v>1.0900000000000001</v>
      </c>
      <c r="V139" s="521" t="s">
        <v>570</v>
      </c>
      <c r="W139" s="471"/>
      <c r="X139" s="3"/>
      <c r="Y139" s="3"/>
      <c r="Z139" s="3"/>
      <c r="AA139" s="3"/>
    </row>
    <row r="140" spans="1:27" ht="39.75" customHeight="1">
      <c r="A140" s="736"/>
      <c r="B140" s="736"/>
      <c r="C140" s="736"/>
      <c r="D140" s="829">
        <v>132</v>
      </c>
      <c r="E140" s="829" t="s">
        <v>279</v>
      </c>
      <c r="F140" s="960"/>
      <c r="G140" s="960"/>
      <c r="H140" s="960"/>
      <c r="I140" s="960"/>
      <c r="J140" s="960"/>
      <c r="K140" s="960"/>
      <c r="L140" s="960"/>
      <c r="M140" s="960"/>
      <c r="N140" s="960"/>
      <c r="O140" s="960"/>
      <c r="P140" s="960"/>
      <c r="Q140" s="960"/>
      <c r="R140" s="960"/>
      <c r="S140" s="960"/>
      <c r="T140" s="847">
        <f t="shared" si="14"/>
        <v>0</v>
      </c>
      <c r="U140" s="847"/>
      <c r="V140" s="520"/>
      <c r="W140" s="471"/>
      <c r="X140" s="3"/>
      <c r="Y140" s="3"/>
      <c r="Z140" s="3"/>
      <c r="AA140" s="3"/>
    </row>
    <row r="141" spans="1:27" ht="39.75" customHeight="1">
      <c r="A141" s="736"/>
      <c r="B141" s="736"/>
      <c r="C141" s="736"/>
      <c r="D141" s="829">
        <v>133</v>
      </c>
      <c r="E141" s="829" t="s">
        <v>280</v>
      </c>
      <c r="F141" s="960"/>
      <c r="G141" s="960"/>
      <c r="H141" s="960"/>
      <c r="I141" s="960"/>
      <c r="J141" s="960"/>
      <c r="K141" s="960"/>
      <c r="L141" s="960"/>
      <c r="M141" s="960"/>
      <c r="N141" s="960"/>
      <c r="O141" s="960"/>
      <c r="P141" s="960"/>
      <c r="Q141" s="960"/>
      <c r="R141" s="960"/>
      <c r="S141" s="960"/>
      <c r="T141" s="847">
        <f t="shared" si="14"/>
        <v>0</v>
      </c>
      <c r="U141" s="847"/>
      <c r="V141" s="520"/>
      <c r="W141" s="471"/>
      <c r="X141" s="3"/>
      <c r="Y141" s="3"/>
      <c r="Z141" s="3"/>
      <c r="AA141" s="3"/>
    </row>
    <row r="142" spans="1:27" ht="57" customHeight="1">
      <c r="A142" s="736"/>
      <c r="B142" s="736"/>
      <c r="C142" s="736"/>
      <c r="D142" s="829">
        <v>134</v>
      </c>
      <c r="E142" s="829" t="s">
        <v>281</v>
      </c>
      <c r="F142" s="960"/>
      <c r="G142" s="960"/>
      <c r="H142" s="960"/>
      <c r="I142" s="960"/>
      <c r="J142" s="960"/>
      <c r="K142" s="960"/>
      <c r="L142" s="960"/>
      <c r="M142" s="960"/>
      <c r="N142" s="960"/>
      <c r="O142" s="960"/>
      <c r="P142" s="965">
        <f>(20*0.005*12)+(20*0.0025*12)</f>
        <v>1.8000000000000003</v>
      </c>
      <c r="Q142" s="960"/>
      <c r="R142" s="960"/>
      <c r="S142" s="960"/>
      <c r="T142" s="847">
        <f t="shared" si="14"/>
        <v>1.8000000000000003</v>
      </c>
      <c r="U142" s="847">
        <f>T142</f>
        <v>1.8000000000000003</v>
      </c>
      <c r="V142" s="729" t="s">
        <v>1628</v>
      </c>
      <c r="W142" s="471"/>
      <c r="X142" s="3"/>
      <c r="Y142" s="3"/>
      <c r="Z142" s="3"/>
      <c r="AA142" s="3"/>
    </row>
    <row r="143" spans="1:27" ht="39.75" customHeight="1">
      <c r="A143" s="736"/>
      <c r="B143" s="736"/>
      <c r="C143" s="736"/>
      <c r="D143" s="829">
        <v>135</v>
      </c>
      <c r="E143" s="829" t="s">
        <v>283</v>
      </c>
      <c r="F143" s="960"/>
      <c r="G143" s="960"/>
      <c r="H143" s="960"/>
      <c r="I143" s="960"/>
      <c r="J143" s="960"/>
      <c r="K143" s="960"/>
      <c r="L143" s="960"/>
      <c r="M143" s="960"/>
      <c r="N143" s="960"/>
      <c r="O143" s="960"/>
      <c r="P143" s="960"/>
      <c r="Q143" s="960"/>
      <c r="R143" s="960"/>
      <c r="S143" s="960"/>
      <c r="T143" s="847">
        <f t="shared" si="14"/>
        <v>0</v>
      </c>
      <c r="U143" s="847"/>
      <c r="V143" s="520"/>
      <c r="W143" s="471"/>
      <c r="X143" s="3"/>
      <c r="Y143" s="3"/>
      <c r="Z143" s="3"/>
      <c r="AA143" s="3"/>
    </row>
    <row r="144" spans="1:27" ht="39.75" customHeight="1">
      <c r="A144" s="736"/>
      <c r="B144" s="736"/>
      <c r="C144" s="736"/>
      <c r="D144" s="829">
        <v>136</v>
      </c>
      <c r="E144" s="829" t="s">
        <v>284</v>
      </c>
      <c r="F144" s="960"/>
      <c r="G144" s="960"/>
      <c r="H144" s="960"/>
      <c r="I144" s="960"/>
      <c r="J144" s="960"/>
      <c r="K144" s="960"/>
      <c r="L144" s="960"/>
      <c r="M144" s="960"/>
      <c r="N144" s="960"/>
      <c r="O144" s="960"/>
      <c r="P144" s="961"/>
      <c r="Q144" s="960"/>
      <c r="R144" s="960"/>
      <c r="S144" s="960"/>
      <c r="T144" s="847">
        <f t="shared" si="14"/>
        <v>0</v>
      </c>
      <c r="U144" s="847"/>
      <c r="V144" s="779"/>
      <c r="W144" s="471"/>
      <c r="X144" s="3"/>
      <c r="Y144" s="3"/>
      <c r="Z144" s="3"/>
      <c r="AA144" s="3"/>
    </row>
    <row r="145" spans="1:27" ht="39.75" customHeight="1">
      <c r="A145" s="736"/>
      <c r="B145" s="828" t="s">
        <v>285</v>
      </c>
      <c r="C145" s="828" t="s">
        <v>286</v>
      </c>
      <c r="D145" s="829">
        <v>137</v>
      </c>
      <c r="E145" s="829" t="s">
        <v>287</v>
      </c>
      <c r="F145" s="960"/>
      <c r="G145" s="960"/>
      <c r="H145" s="960"/>
      <c r="I145" s="960"/>
      <c r="J145" s="960"/>
      <c r="K145" s="960"/>
      <c r="L145" s="960"/>
      <c r="M145" s="961"/>
      <c r="N145" s="960"/>
      <c r="O145" s="960"/>
      <c r="P145" s="941"/>
      <c r="Q145" s="960"/>
      <c r="R145" s="960"/>
      <c r="S145" s="960"/>
      <c r="T145" s="847">
        <f t="shared" si="14"/>
        <v>0</v>
      </c>
      <c r="U145" s="847"/>
      <c r="V145" s="779"/>
      <c r="W145" s="471"/>
      <c r="X145" s="3"/>
      <c r="Y145" s="3"/>
      <c r="Z145" s="3"/>
      <c r="AA145" s="3"/>
    </row>
    <row r="146" spans="1:27" ht="39.75" customHeight="1">
      <c r="A146" s="736"/>
      <c r="B146" s="736"/>
      <c r="C146" s="736"/>
      <c r="D146" s="829">
        <v>138</v>
      </c>
      <c r="E146" s="829" t="s">
        <v>288</v>
      </c>
      <c r="F146" s="829"/>
      <c r="G146" s="829"/>
      <c r="H146" s="847"/>
      <c r="I146" s="847"/>
      <c r="J146" s="829"/>
      <c r="K146" s="847"/>
      <c r="L146" s="829"/>
      <c r="M146" s="847"/>
      <c r="N146" s="829"/>
      <c r="O146" s="829"/>
      <c r="P146" s="829"/>
      <c r="Q146" s="829"/>
      <c r="R146" s="829"/>
      <c r="S146" s="829"/>
      <c r="T146" s="847">
        <f t="shared" si="14"/>
        <v>0</v>
      </c>
      <c r="U146" s="847"/>
      <c r="V146" s="779"/>
      <c r="W146" s="471"/>
      <c r="X146" s="3"/>
      <c r="Y146" s="3"/>
      <c r="Z146" s="3"/>
      <c r="AA146" s="3"/>
    </row>
    <row r="147" spans="1:27" ht="39.75" customHeight="1">
      <c r="A147" s="736"/>
      <c r="B147" s="828" t="s">
        <v>289</v>
      </c>
      <c r="C147" s="828" t="s">
        <v>290</v>
      </c>
      <c r="D147" s="829">
        <v>139</v>
      </c>
      <c r="E147" s="829" t="s">
        <v>291</v>
      </c>
      <c r="F147" s="960"/>
      <c r="G147" s="960"/>
      <c r="H147" s="960"/>
      <c r="I147" s="960"/>
      <c r="J147" s="960"/>
      <c r="K147" s="960"/>
      <c r="L147" s="960"/>
      <c r="M147" s="960"/>
      <c r="N147" s="961"/>
      <c r="O147" s="960"/>
      <c r="P147" s="941">
        <v>6</v>
      </c>
      <c r="Q147" s="963"/>
      <c r="R147" s="941"/>
      <c r="S147" s="963"/>
      <c r="T147" s="847">
        <f t="shared" si="14"/>
        <v>6</v>
      </c>
      <c r="U147" s="728">
        <f t="shared" ref="U147:U148" si="16">T147</f>
        <v>6</v>
      </c>
      <c r="V147" s="779" t="s">
        <v>436</v>
      </c>
      <c r="W147" s="471"/>
      <c r="X147" s="3"/>
      <c r="Y147" s="3"/>
      <c r="Z147" s="3"/>
      <c r="AA147" s="3"/>
    </row>
    <row r="148" spans="1:27" ht="60">
      <c r="A148" s="736"/>
      <c r="B148" s="736"/>
      <c r="C148" s="736"/>
      <c r="D148" s="829">
        <v>140</v>
      </c>
      <c r="E148" s="829" t="s">
        <v>293</v>
      </c>
      <c r="F148" s="960"/>
      <c r="G148" s="960"/>
      <c r="H148" s="960"/>
      <c r="I148" s="960"/>
      <c r="J148" s="960"/>
      <c r="K148" s="960"/>
      <c r="L148" s="960"/>
      <c r="M148" s="960"/>
      <c r="N148" s="960"/>
      <c r="O148" s="960"/>
      <c r="P148" s="941">
        <f>6+( 6* 0.235)</f>
        <v>7.41</v>
      </c>
      <c r="Q148" s="963"/>
      <c r="R148" s="963"/>
      <c r="S148" s="963"/>
      <c r="T148" s="847">
        <f t="shared" si="14"/>
        <v>7.41</v>
      </c>
      <c r="U148" s="728">
        <f t="shared" si="16"/>
        <v>7.41</v>
      </c>
      <c r="V148" s="779" t="s">
        <v>294</v>
      </c>
      <c r="W148" s="471"/>
      <c r="X148" s="3"/>
      <c r="Y148" s="3"/>
      <c r="Z148" s="3"/>
      <c r="AA148" s="3"/>
    </row>
    <row r="149" spans="1:27" ht="39.75" customHeight="1">
      <c r="A149" s="736"/>
      <c r="B149" s="736"/>
      <c r="C149" s="736"/>
      <c r="D149" s="829">
        <v>141</v>
      </c>
      <c r="E149" s="829" t="s">
        <v>295</v>
      </c>
      <c r="F149" s="960"/>
      <c r="G149" s="960"/>
      <c r="H149" s="960"/>
      <c r="I149" s="960"/>
      <c r="J149" s="960"/>
      <c r="K149" s="960"/>
      <c r="L149" s="960"/>
      <c r="M149" s="960"/>
      <c r="N149" s="960"/>
      <c r="O149" s="960"/>
      <c r="P149" s="960"/>
      <c r="Q149" s="960"/>
      <c r="R149" s="960"/>
      <c r="S149" s="960"/>
      <c r="T149" s="847">
        <f t="shared" si="14"/>
        <v>0</v>
      </c>
      <c r="U149" s="847"/>
      <c r="V149" s="520"/>
      <c r="W149" s="471"/>
      <c r="X149" s="3"/>
      <c r="Y149" s="3"/>
      <c r="Z149" s="3"/>
      <c r="AA149" s="3"/>
    </row>
    <row r="150" spans="1:27" ht="39.75" customHeight="1">
      <c r="A150" s="736"/>
      <c r="B150" s="828" t="s">
        <v>296</v>
      </c>
      <c r="C150" s="828" t="s">
        <v>297</v>
      </c>
      <c r="D150" s="829">
        <v>142</v>
      </c>
      <c r="E150" s="829" t="s">
        <v>298</v>
      </c>
      <c r="F150" s="960"/>
      <c r="G150" s="960"/>
      <c r="H150" s="960"/>
      <c r="I150" s="960"/>
      <c r="J150" s="960"/>
      <c r="K150" s="960"/>
      <c r="L150" s="960"/>
      <c r="M150" s="960"/>
      <c r="N150" s="960"/>
      <c r="O150" s="960"/>
      <c r="P150" s="783">
        <v>830.90250000000003</v>
      </c>
      <c r="Q150" s="960"/>
      <c r="R150" s="960"/>
      <c r="S150" s="960"/>
      <c r="T150" s="847">
        <f t="shared" si="14"/>
        <v>830.90250000000003</v>
      </c>
      <c r="U150" s="783">
        <v>884.66189175</v>
      </c>
      <c r="V150" s="881" t="s">
        <v>1732</v>
      </c>
      <c r="W150" s="471"/>
      <c r="X150" s="3"/>
      <c r="Y150" s="3"/>
      <c r="Z150" s="3"/>
      <c r="AA150" s="3"/>
    </row>
    <row r="151" spans="1:27" ht="39.75" customHeight="1">
      <c r="A151" s="736"/>
      <c r="B151" s="736"/>
      <c r="C151" s="736"/>
      <c r="D151" s="829">
        <v>143</v>
      </c>
      <c r="E151" s="829" t="s">
        <v>299</v>
      </c>
      <c r="F151" s="960"/>
      <c r="G151" s="960"/>
      <c r="H151" s="960"/>
      <c r="I151" s="960"/>
      <c r="J151" s="960"/>
      <c r="K151" s="960"/>
      <c r="L151" s="960"/>
      <c r="M151" s="960"/>
      <c r="N151" s="960"/>
      <c r="O151" s="960"/>
      <c r="P151" s="960"/>
      <c r="Q151" s="960"/>
      <c r="R151" s="960"/>
      <c r="S151" s="960"/>
      <c r="T151" s="847">
        <f t="shared" si="14"/>
        <v>0</v>
      </c>
      <c r="U151" s="847"/>
      <c r="V151" s="520"/>
      <c r="W151" s="471"/>
      <c r="X151" s="3"/>
      <c r="Y151" s="3"/>
      <c r="Z151" s="3"/>
      <c r="AA151" s="3"/>
    </row>
    <row r="152" spans="1:27" ht="39.75" customHeight="1">
      <c r="A152" s="736"/>
      <c r="B152" s="736"/>
      <c r="C152" s="736"/>
      <c r="D152" s="829">
        <v>144</v>
      </c>
      <c r="E152" s="829" t="s">
        <v>300</v>
      </c>
      <c r="F152" s="960"/>
      <c r="G152" s="960"/>
      <c r="H152" s="960"/>
      <c r="I152" s="960"/>
      <c r="J152" s="960"/>
      <c r="K152" s="960"/>
      <c r="L152" s="960"/>
      <c r="M152" s="960"/>
      <c r="N152" s="960"/>
      <c r="O152" s="960"/>
      <c r="P152" s="960"/>
      <c r="Q152" s="960"/>
      <c r="R152" s="960"/>
      <c r="S152" s="960"/>
      <c r="T152" s="847">
        <f t="shared" si="14"/>
        <v>0</v>
      </c>
      <c r="U152" s="847"/>
      <c r="V152" s="520"/>
      <c r="W152" s="471"/>
      <c r="X152" s="3"/>
      <c r="Y152" s="3"/>
      <c r="Z152" s="3"/>
      <c r="AA152" s="3"/>
    </row>
    <row r="153" spans="1:27" ht="39.75" customHeight="1">
      <c r="A153" s="736"/>
      <c r="B153" s="736"/>
      <c r="C153" s="736"/>
      <c r="D153" s="829">
        <v>145</v>
      </c>
      <c r="E153" s="829" t="s">
        <v>301</v>
      </c>
      <c r="F153" s="960"/>
      <c r="G153" s="960"/>
      <c r="H153" s="960"/>
      <c r="I153" s="960"/>
      <c r="J153" s="960"/>
      <c r="K153" s="960"/>
      <c r="L153" s="960"/>
      <c r="M153" s="960"/>
      <c r="N153" s="960"/>
      <c r="O153" s="960"/>
      <c r="P153" s="960"/>
      <c r="Q153" s="960"/>
      <c r="R153" s="960"/>
      <c r="S153" s="960"/>
      <c r="T153" s="847">
        <f t="shared" si="14"/>
        <v>0</v>
      </c>
      <c r="U153" s="847"/>
      <c r="V153" s="520"/>
      <c r="W153" s="471"/>
      <c r="X153" s="3"/>
      <c r="Y153" s="3"/>
      <c r="Z153" s="3"/>
      <c r="AA153" s="3"/>
    </row>
    <row r="154" spans="1:27" ht="77.25" customHeight="1">
      <c r="A154" s="736"/>
      <c r="B154" s="829" t="s">
        <v>302</v>
      </c>
      <c r="C154" s="829" t="s">
        <v>303</v>
      </c>
      <c r="D154" s="829">
        <v>146</v>
      </c>
      <c r="E154" s="829" t="s">
        <v>304</v>
      </c>
      <c r="F154" s="960"/>
      <c r="G154" s="960"/>
      <c r="H154" s="960"/>
      <c r="I154" s="960"/>
      <c r="J154" s="960"/>
      <c r="K154" s="960"/>
      <c r="L154" s="960"/>
      <c r="M154" s="960"/>
      <c r="N154" s="960"/>
      <c r="O154" s="960"/>
      <c r="P154" s="960"/>
      <c r="Q154" s="960"/>
      <c r="R154" s="941">
        <f>(0.4*12)+(12*0.1)</f>
        <v>6.0000000000000009</v>
      </c>
      <c r="S154" s="963"/>
      <c r="T154" s="847">
        <f t="shared" si="14"/>
        <v>6.0000000000000009</v>
      </c>
      <c r="U154" s="941">
        <f>T154</f>
        <v>6.0000000000000009</v>
      </c>
      <c r="V154" s="779" t="s">
        <v>571</v>
      </c>
      <c r="W154" s="471"/>
      <c r="X154" s="3"/>
      <c r="Y154" s="3"/>
      <c r="Z154" s="3"/>
      <c r="AA154" s="3"/>
    </row>
    <row r="155" spans="1:27" ht="39.75" customHeight="1">
      <c r="A155" s="736"/>
      <c r="B155" s="829" t="s">
        <v>306</v>
      </c>
      <c r="C155" s="829" t="s">
        <v>307</v>
      </c>
      <c r="D155" s="829">
        <v>147</v>
      </c>
      <c r="E155" s="829" t="s">
        <v>157</v>
      </c>
      <c r="F155" s="960"/>
      <c r="G155" s="960"/>
      <c r="H155" s="960"/>
      <c r="I155" s="960"/>
      <c r="J155" s="960"/>
      <c r="K155" s="960"/>
      <c r="L155" s="960"/>
      <c r="M155" s="960"/>
      <c r="N155" s="960"/>
      <c r="O155" s="960"/>
      <c r="P155" s="960"/>
      <c r="Q155" s="960"/>
      <c r="R155" s="960"/>
      <c r="S155" s="960"/>
      <c r="T155" s="847">
        <f t="shared" si="14"/>
        <v>0</v>
      </c>
      <c r="U155" s="847"/>
      <c r="V155" s="520"/>
      <c r="W155" s="471"/>
      <c r="X155" s="3"/>
      <c r="Y155" s="3"/>
      <c r="Z155" s="3"/>
      <c r="AA155" s="3"/>
    </row>
    <row r="156" spans="1:27" ht="39.75" customHeight="1">
      <c r="A156" s="736"/>
      <c r="B156" s="829" t="s">
        <v>308</v>
      </c>
      <c r="C156" s="829" t="s">
        <v>309</v>
      </c>
      <c r="D156" s="829">
        <v>148</v>
      </c>
      <c r="E156" s="829" t="s">
        <v>310</v>
      </c>
      <c r="F156" s="960"/>
      <c r="G156" s="960"/>
      <c r="H156" s="960"/>
      <c r="I156" s="960"/>
      <c r="J156" s="960"/>
      <c r="K156" s="960"/>
      <c r="L156" s="960"/>
      <c r="M156" s="960"/>
      <c r="N156" s="961"/>
      <c r="O156" s="960"/>
      <c r="P156" s="961"/>
      <c r="Q156" s="960"/>
      <c r="R156" s="960"/>
      <c r="S156" s="960"/>
      <c r="T156" s="847">
        <f t="shared" si="14"/>
        <v>0</v>
      </c>
      <c r="U156" s="847"/>
      <c r="V156" s="779"/>
      <c r="W156" s="471"/>
      <c r="X156" s="3"/>
      <c r="Y156" s="3"/>
      <c r="Z156" s="3"/>
      <c r="AA156" s="3"/>
    </row>
    <row r="157" spans="1:27" ht="39.75" customHeight="1">
      <c r="A157" s="736"/>
      <c r="B157" s="829" t="s">
        <v>311</v>
      </c>
      <c r="C157" s="829" t="s">
        <v>312</v>
      </c>
      <c r="D157" s="829">
        <v>149</v>
      </c>
      <c r="E157" s="829" t="s">
        <v>313</v>
      </c>
      <c r="F157" s="882"/>
      <c r="G157" s="882"/>
      <c r="H157" s="882"/>
      <c r="I157" s="882"/>
      <c r="J157" s="882"/>
      <c r="K157" s="882"/>
      <c r="L157" s="882"/>
      <c r="M157" s="882"/>
      <c r="N157" s="882"/>
      <c r="O157" s="882"/>
      <c r="P157" s="961">
        <f>(6*1.75)+(0.05*103)</f>
        <v>15.65</v>
      </c>
      <c r="Q157" s="882"/>
      <c r="R157" s="882"/>
      <c r="S157" s="882"/>
      <c r="T157" s="847">
        <f t="shared" si="14"/>
        <v>15.65</v>
      </c>
      <c r="U157" s="961">
        <f>(6*1.75)+(0.05*109)</f>
        <v>15.95</v>
      </c>
      <c r="V157" s="779" t="s">
        <v>572</v>
      </c>
      <c r="W157" s="471"/>
      <c r="X157" s="3"/>
      <c r="Y157" s="3"/>
      <c r="Z157" s="3"/>
      <c r="AA157" s="3"/>
    </row>
    <row r="158" spans="1:27" ht="39.75" customHeight="1">
      <c r="A158" s="736"/>
      <c r="B158" s="948" t="s">
        <v>315</v>
      </c>
      <c r="C158" s="736"/>
      <c r="D158" s="736"/>
      <c r="E158" s="949"/>
      <c r="F158" s="949">
        <f t="shared" ref="F158:S158" si="17">SUM(F135:F157)</f>
        <v>0</v>
      </c>
      <c r="G158" s="949">
        <f t="shared" si="17"/>
        <v>0</v>
      </c>
      <c r="H158" s="949">
        <f t="shared" si="17"/>
        <v>0</v>
      </c>
      <c r="I158" s="949">
        <f t="shared" si="17"/>
        <v>0</v>
      </c>
      <c r="J158" s="949">
        <f t="shared" si="17"/>
        <v>0</v>
      </c>
      <c r="K158" s="949">
        <f t="shared" si="17"/>
        <v>0</v>
      </c>
      <c r="L158" s="949">
        <f t="shared" si="17"/>
        <v>0</v>
      </c>
      <c r="M158" s="949">
        <f t="shared" si="17"/>
        <v>0</v>
      </c>
      <c r="N158" s="949">
        <f t="shared" si="17"/>
        <v>1.03</v>
      </c>
      <c r="O158" s="949">
        <f t="shared" si="17"/>
        <v>0</v>
      </c>
      <c r="P158" s="949">
        <f t="shared" si="17"/>
        <v>861.76250000000005</v>
      </c>
      <c r="Q158" s="949">
        <f t="shared" si="17"/>
        <v>4.5</v>
      </c>
      <c r="R158" s="949">
        <f t="shared" si="17"/>
        <v>6.0000000000000009</v>
      </c>
      <c r="S158" s="949">
        <f t="shared" si="17"/>
        <v>0</v>
      </c>
      <c r="T158" s="1006">
        <f t="shared" si="14"/>
        <v>873.29250000000002</v>
      </c>
      <c r="U158" s="951">
        <f>SUM(U135:U157)</f>
        <v>927.41189175</v>
      </c>
      <c r="V158" s="729"/>
      <c r="W158" s="470"/>
      <c r="X158" s="54"/>
      <c r="Y158" s="54"/>
      <c r="Z158" s="54"/>
      <c r="AA158" s="54"/>
    </row>
    <row r="159" spans="1:27" ht="186.75" customHeight="1">
      <c r="A159" s="831" t="s">
        <v>316</v>
      </c>
      <c r="B159" s="828" t="s">
        <v>317</v>
      </c>
      <c r="C159" s="828" t="s">
        <v>269</v>
      </c>
      <c r="D159" s="829">
        <v>150</v>
      </c>
      <c r="E159" s="829" t="s">
        <v>318</v>
      </c>
      <c r="F159" s="836"/>
      <c r="G159" s="837"/>
      <c r="H159" s="837"/>
      <c r="I159" s="836"/>
      <c r="J159" s="836"/>
      <c r="K159" s="836"/>
      <c r="L159" s="836"/>
      <c r="M159" s="836"/>
      <c r="N159" s="835">
        <v>13.6</v>
      </c>
      <c r="O159" s="836">
        <v>234.84</v>
      </c>
      <c r="P159" s="837"/>
      <c r="Q159" s="836">
        <v>1</v>
      </c>
      <c r="R159" s="836"/>
      <c r="S159" s="836"/>
      <c r="T159" s="847">
        <f t="shared" si="14"/>
        <v>249.44</v>
      </c>
      <c r="U159" s="847">
        <f t="shared" ref="U159:U160" si="18">T159</f>
        <v>249.44</v>
      </c>
      <c r="V159" s="786" t="s">
        <v>1640</v>
      </c>
      <c r="W159" s="471"/>
      <c r="X159" s="3"/>
      <c r="Y159" s="3"/>
      <c r="Z159" s="3"/>
      <c r="AA159" s="3"/>
    </row>
    <row r="160" spans="1:27" ht="140.25" customHeight="1">
      <c r="A160" s="736"/>
      <c r="B160" s="736"/>
      <c r="C160" s="736"/>
      <c r="D160" s="829">
        <v>151</v>
      </c>
      <c r="E160" s="829" t="s">
        <v>319</v>
      </c>
      <c r="F160" s="836"/>
      <c r="G160" s="837"/>
      <c r="H160" s="837"/>
      <c r="I160" s="835"/>
      <c r="J160" s="836"/>
      <c r="K160" s="836"/>
      <c r="L160" s="836"/>
      <c r="M160" s="836"/>
      <c r="N160" s="835"/>
      <c r="O160" s="837"/>
      <c r="P160" s="837">
        <v>12.81</v>
      </c>
      <c r="Q160" s="835"/>
      <c r="R160" s="837">
        <v>2</v>
      </c>
      <c r="S160" s="836"/>
      <c r="T160" s="847">
        <f t="shared" si="14"/>
        <v>14.81</v>
      </c>
      <c r="U160" s="847">
        <f t="shared" si="18"/>
        <v>14.81</v>
      </c>
      <c r="V160" s="729" t="s">
        <v>573</v>
      </c>
      <c r="W160" s="471"/>
      <c r="X160" s="3"/>
      <c r="Y160" s="3"/>
      <c r="Z160" s="3"/>
      <c r="AA160" s="3"/>
    </row>
    <row r="161" spans="1:27" ht="84" customHeight="1">
      <c r="A161" s="736"/>
      <c r="B161" s="736"/>
      <c r="C161" s="736"/>
      <c r="D161" s="829">
        <v>152</v>
      </c>
      <c r="E161" s="829" t="s">
        <v>321</v>
      </c>
      <c r="F161" s="836"/>
      <c r="G161" s="836"/>
      <c r="H161" s="836"/>
      <c r="I161" s="836"/>
      <c r="J161" s="836"/>
      <c r="K161" s="836"/>
      <c r="L161" s="836"/>
      <c r="M161" s="836"/>
      <c r="N161" s="836"/>
      <c r="O161" s="836"/>
      <c r="P161" s="837"/>
      <c r="Q161" s="836"/>
      <c r="R161" s="836"/>
      <c r="S161" s="836"/>
      <c r="T161" s="847">
        <f t="shared" si="14"/>
        <v>0</v>
      </c>
      <c r="U161" s="847"/>
      <c r="V161" s="729"/>
      <c r="W161" s="471"/>
      <c r="X161" s="3"/>
      <c r="Y161" s="3"/>
      <c r="Z161" s="3"/>
      <c r="AA161" s="3"/>
    </row>
    <row r="162" spans="1:27" ht="39.75" customHeight="1">
      <c r="A162" s="736"/>
      <c r="B162" s="736"/>
      <c r="C162" s="736"/>
      <c r="D162" s="829">
        <v>153</v>
      </c>
      <c r="E162" s="829" t="s">
        <v>322</v>
      </c>
      <c r="F162" s="865"/>
      <c r="G162" s="865"/>
      <c r="H162" s="865"/>
      <c r="I162" s="865"/>
      <c r="J162" s="865"/>
      <c r="K162" s="865"/>
      <c r="L162" s="865"/>
      <c r="M162" s="865"/>
      <c r="N162" s="835"/>
      <c r="O162" s="865"/>
      <c r="P162" s="865"/>
      <c r="Q162" s="865"/>
      <c r="R162" s="865"/>
      <c r="S162" s="865"/>
      <c r="T162" s="847">
        <f t="shared" si="14"/>
        <v>0</v>
      </c>
      <c r="U162" s="847"/>
      <c r="V162" s="729"/>
      <c r="W162" s="471"/>
      <c r="X162" s="3"/>
      <c r="Y162" s="3"/>
      <c r="Z162" s="3"/>
      <c r="AA162" s="3"/>
    </row>
    <row r="163" spans="1:27" ht="45">
      <c r="A163" s="736"/>
      <c r="B163" s="828" t="s">
        <v>324</v>
      </c>
      <c r="C163" s="828" t="s">
        <v>325</v>
      </c>
      <c r="D163" s="829">
        <v>154</v>
      </c>
      <c r="E163" s="829" t="s">
        <v>326</v>
      </c>
      <c r="F163" s="829"/>
      <c r="G163" s="829"/>
      <c r="H163" s="829"/>
      <c r="I163" s="829"/>
      <c r="J163" s="829"/>
      <c r="K163" s="847"/>
      <c r="L163" s="829"/>
      <c r="M163" s="847"/>
      <c r="N163" s="829"/>
      <c r="O163" s="829"/>
      <c r="P163" s="829"/>
      <c r="Q163" s="845">
        <v>0.15</v>
      </c>
      <c r="R163" s="829"/>
      <c r="S163" s="829"/>
      <c r="T163" s="847">
        <f t="shared" si="14"/>
        <v>0.15</v>
      </c>
      <c r="U163" s="847">
        <f t="shared" ref="U163:U165" si="19">T163</f>
        <v>0.15</v>
      </c>
      <c r="V163" s="729" t="s">
        <v>327</v>
      </c>
      <c r="W163" s="471"/>
      <c r="X163" s="3"/>
      <c r="Y163" s="3"/>
      <c r="Z163" s="3"/>
      <c r="AA163" s="3"/>
    </row>
    <row r="164" spans="1:27" ht="39.75" customHeight="1">
      <c r="A164" s="736"/>
      <c r="B164" s="736"/>
      <c r="C164" s="736"/>
      <c r="D164" s="829">
        <v>155</v>
      </c>
      <c r="E164" s="829" t="s">
        <v>328</v>
      </c>
      <c r="F164" s="829"/>
      <c r="G164" s="829"/>
      <c r="H164" s="829"/>
      <c r="I164" s="829"/>
      <c r="J164" s="829"/>
      <c r="K164" s="829"/>
      <c r="L164" s="829"/>
      <c r="M164" s="829"/>
      <c r="N164" s="836"/>
      <c r="O164" s="829"/>
      <c r="P164" s="845"/>
      <c r="Q164" s="829"/>
      <c r="R164" s="829"/>
      <c r="S164" s="829"/>
      <c r="T164" s="847">
        <f t="shared" si="14"/>
        <v>0</v>
      </c>
      <c r="U164" s="847">
        <f t="shared" si="19"/>
        <v>0</v>
      </c>
      <c r="V164" s="729"/>
      <c r="W164" s="471"/>
      <c r="X164" s="3"/>
      <c r="Y164" s="3"/>
      <c r="Z164" s="3"/>
      <c r="AA164" s="3"/>
    </row>
    <row r="165" spans="1:27" ht="39.75" customHeight="1">
      <c r="A165" s="736"/>
      <c r="B165" s="736"/>
      <c r="C165" s="736"/>
      <c r="D165" s="829">
        <v>156</v>
      </c>
      <c r="E165" s="829" t="s">
        <v>329</v>
      </c>
      <c r="F165" s="829"/>
      <c r="G165" s="829"/>
      <c r="H165" s="845"/>
      <c r="I165" s="847"/>
      <c r="J165" s="829"/>
      <c r="K165" s="829"/>
      <c r="L165" s="829"/>
      <c r="M165" s="829"/>
      <c r="N165" s="829"/>
      <c r="O165" s="829"/>
      <c r="P165" s="845">
        <v>1</v>
      </c>
      <c r="Q165" s="829"/>
      <c r="R165" s="829"/>
      <c r="S165" s="829"/>
      <c r="T165" s="847">
        <f t="shared" si="14"/>
        <v>1</v>
      </c>
      <c r="U165" s="847">
        <f t="shared" si="19"/>
        <v>1</v>
      </c>
      <c r="V165" s="738" t="s">
        <v>574</v>
      </c>
      <c r="W165" s="471"/>
      <c r="X165" s="3"/>
      <c r="Y165" s="3"/>
      <c r="Z165" s="3"/>
      <c r="AA165" s="3"/>
    </row>
    <row r="166" spans="1:27" ht="39.75" customHeight="1">
      <c r="A166" s="736"/>
      <c r="B166" s="736"/>
      <c r="C166" s="736"/>
      <c r="D166" s="829">
        <v>157</v>
      </c>
      <c r="E166" s="829" t="s">
        <v>331</v>
      </c>
      <c r="F166" s="829"/>
      <c r="G166" s="829"/>
      <c r="H166" s="829"/>
      <c r="I166" s="829"/>
      <c r="J166" s="829"/>
      <c r="K166" s="829"/>
      <c r="L166" s="829"/>
      <c r="M166" s="829"/>
      <c r="N166" s="829"/>
      <c r="O166" s="829"/>
      <c r="P166" s="829"/>
      <c r="Q166" s="829"/>
      <c r="R166" s="829"/>
      <c r="S166" s="829"/>
      <c r="T166" s="847">
        <f t="shared" si="14"/>
        <v>0</v>
      </c>
      <c r="U166" s="847"/>
      <c r="V166" s="729"/>
      <c r="W166" s="471"/>
      <c r="X166" s="3"/>
      <c r="Y166" s="3"/>
      <c r="Z166" s="3"/>
      <c r="AA166" s="3"/>
    </row>
    <row r="167" spans="1:27" ht="39.75" customHeight="1">
      <c r="A167" s="736"/>
      <c r="B167" s="736"/>
      <c r="C167" s="736"/>
      <c r="D167" s="829">
        <v>158</v>
      </c>
      <c r="E167" s="829" t="s">
        <v>332</v>
      </c>
      <c r="F167" s="829"/>
      <c r="G167" s="829"/>
      <c r="H167" s="829"/>
      <c r="I167" s="829"/>
      <c r="J167" s="829"/>
      <c r="K167" s="829"/>
      <c r="L167" s="829"/>
      <c r="M167" s="829"/>
      <c r="N167" s="829"/>
      <c r="O167" s="829"/>
      <c r="P167" s="829"/>
      <c r="Q167" s="847"/>
      <c r="R167" s="829"/>
      <c r="S167" s="829"/>
      <c r="T167" s="847">
        <f t="shared" si="14"/>
        <v>0</v>
      </c>
      <c r="U167" s="847"/>
      <c r="V167" s="1029" t="s">
        <v>575</v>
      </c>
      <c r="W167" s="471"/>
      <c r="X167" s="3"/>
      <c r="Y167" s="3"/>
      <c r="Z167" s="3"/>
      <c r="AA167" s="3"/>
    </row>
    <row r="168" spans="1:27" ht="375">
      <c r="A168" s="736"/>
      <c r="B168" s="828" t="s">
        <v>333</v>
      </c>
      <c r="C168" s="828" t="s">
        <v>275</v>
      </c>
      <c r="D168" s="829">
        <v>159</v>
      </c>
      <c r="E168" s="829" t="s">
        <v>276</v>
      </c>
      <c r="F168" s="829"/>
      <c r="G168" s="829"/>
      <c r="H168" s="829"/>
      <c r="I168" s="829"/>
      <c r="J168" s="829"/>
      <c r="K168" s="847"/>
      <c r="L168" s="829"/>
      <c r="M168" s="829"/>
      <c r="N168" s="845">
        <v>33.92</v>
      </c>
      <c r="O168" s="845">
        <v>501.78</v>
      </c>
      <c r="P168" s="845">
        <v>47.75</v>
      </c>
      <c r="Q168" s="829">
        <v>4.4569999999999999</v>
      </c>
      <c r="R168" s="829"/>
      <c r="S168" s="829"/>
      <c r="T168" s="847">
        <f t="shared" si="14"/>
        <v>587.90699999999993</v>
      </c>
      <c r="U168" s="728">
        <f>T168+2</f>
        <v>589.90699999999993</v>
      </c>
      <c r="V168" s="729" t="s">
        <v>1641</v>
      </c>
      <c r="W168" s="471"/>
      <c r="X168" s="3"/>
      <c r="Y168" s="3"/>
      <c r="Z168" s="3"/>
      <c r="AA168" s="3"/>
    </row>
    <row r="169" spans="1:27" ht="39.75" customHeight="1">
      <c r="A169" s="736"/>
      <c r="B169" s="736"/>
      <c r="C169" s="736"/>
      <c r="D169" s="829">
        <v>160</v>
      </c>
      <c r="E169" s="829" t="s">
        <v>334</v>
      </c>
      <c r="F169" s="829"/>
      <c r="G169" s="829"/>
      <c r="H169" s="829"/>
      <c r="I169" s="829"/>
      <c r="J169" s="829"/>
      <c r="K169" s="829"/>
      <c r="L169" s="829"/>
      <c r="M169" s="829"/>
      <c r="N169" s="829"/>
      <c r="O169" s="829"/>
      <c r="P169" s="829"/>
      <c r="Q169" s="829"/>
      <c r="R169" s="829"/>
      <c r="S169" s="829"/>
      <c r="T169" s="847">
        <f t="shared" si="14"/>
        <v>0</v>
      </c>
      <c r="U169" s="847"/>
      <c r="V169" s="729"/>
      <c r="W169" s="471"/>
      <c r="X169" s="3"/>
      <c r="Y169" s="3"/>
      <c r="Z169" s="3"/>
      <c r="AA169" s="3"/>
    </row>
    <row r="170" spans="1:27" ht="39.75" customHeight="1">
      <c r="A170" s="736"/>
      <c r="B170" s="736"/>
      <c r="C170" s="736"/>
      <c r="D170" s="829">
        <v>161</v>
      </c>
      <c r="E170" s="829" t="s">
        <v>279</v>
      </c>
      <c r="F170" s="829"/>
      <c r="G170" s="829"/>
      <c r="H170" s="829"/>
      <c r="I170" s="829"/>
      <c r="J170" s="829"/>
      <c r="K170" s="829"/>
      <c r="L170" s="829"/>
      <c r="M170" s="829"/>
      <c r="N170" s="829"/>
      <c r="O170" s="829"/>
      <c r="P170" s="829"/>
      <c r="Q170" s="829"/>
      <c r="R170" s="829"/>
      <c r="S170" s="829"/>
      <c r="T170" s="847">
        <f t="shared" si="14"/>
        <v>0</v>
      </c>
      <c r="U170" s="847"/>
      <c r="V170" s="729"/>
      <c r="W170" s="471"/>
      <c r="X170" s="3"/>
      <c r="Y170" s="3"/>
      <c r="Z170" s="3"/>
      <c r="AA170" s="3"/>
    </row>
    <row r="171" spans="1:27" ht="39.75" customHeight="1">
      <c r="A171" s="736"/>
      <c r="B171" s="736"/>
      <c r="C171" s="736"/>
      <c r="D171" s="829">
        <v>162</v>
      </c>
      <c r="E171" s="829" t="s">
        <v>280</v>
      </c>
      <c r="F171" s="829"/>
      <c r="G171" s="829"/>
      <c r="H171" s="829"/>
      <c r="I171" s="829"/>
      <c r="J171" s="829"/>
      <c r="K171" s="829"/>
      <c r="L171" s="829"/>
      <c r="M171" s="829"/>
      <c r="N171" s="829"/>
      <c r="O171" s="829"/>
      <c r="P171" s="829"/>
      <c r="Q171" s="829"/>
      <c r="R171" s="829"/>
      <c r="S171" s="829"/>
      <c r="T171" s="847">
        <f t="shared" si="14"/>
        <v>0</v>
      </c>
      <c r="U171" s="847"/>
      <c r="V171" s="729"/>
      <c r="W171" s="471"/>
      <c r="X171" s="3"/>
      <c r="Y171" s="3"/>
      <c r="Z171" s="3"/>
      <c r="AA171" s="3"/>
    </row>
    <row r="172" spans="1:27" ht="75">
      <c r="A172" s="736"/>
      <c r="B172" s="736"/>
      <c r="C172" s="736"/>
      <c r="D172" s="829">
        <v>163</v>
      </c>
      <c r="E172" s="829" t="s">
        <v>335</v>
      </c>
      <c r="F172" s="829"/>
      <c r="G172" s="829"/>
      <c r="H172" s="829"/>
      <c r="I172" s="829"/>
      <c r="J172" s="829"/>
      <c r="K172" s="829"/>
      <c r="L172" s="829"/>
      <c r="M172" s="829"/>
      <c r="N172" s="829"/>
      <c r="O172" s="845">
        <v>9.7850000000000001</v>
      </c>
      <c r="P172" s="845"/>
      <c r="Q172" s="847">
        <v>4.5</v>
      </c>
      <c r="R172" s="829"/>
      <c r="S172" s="829"/>
      <c r="T172" s="847">
        <f t="shared" si="14"/>
        <v>14.285</v>
      </c>
      <c r="U172" s="847">
        <f>T172</f>
        <v>14.285</v>
      </c>
      <c r="V172" s="738" t="s">
        <v>576</v>
      </c>
      <c r="W172" s="471"/>
      <c r="X172" s="3"/>
      <c r="Y172" s="3"/>
      <c r="Z172" s="3"/>
      <c r="AA172" s="3"/>
    </row>
    <row r="173" spans="1:27" ht="39.75" customHeight="1">
      <c r="A173" s="736"/>
      <c r="B173" s="828" t="s">
        <v>336</v>
      </c>
      <c r="C173" s="828" t="s">
        <v>337</v>
      </c>
      <c r="D173" s="829">
        <v>164</v>
      </c>
      <c r="E173" s="829" t="s">
        <v>338</v>
      </c>
      <c r="F173" s="829"/>
      <c r="G173" s="845"/>
      <c r="H173" s="845"/>
      <c r="I173" s="829"/>
      <c r="J173" s="829"/>
      <c r="K173" s="829"/>
      <c r="L173" s="829"/>
      <c r="M173" s="829"/>
      <c r="N173" s="829"/>
      <c r="O173" s="829"/>
      <c r="P173" s="829"/>
      <c r="Q173" s="829"/>
      <c r="R173" s="829"/>
      <c r="S173" s="829"/>
      <c r="T173" s="847">
        <f t="shared" si="14"/>
        <v>0</v>
      </c>
      <c r="U173" s="847"/>
      <c r="V173" s="729"/>
      <c r="W173" s="471"/>
      <c r="X173" s="3"/>
      <c r="Y173" s="3"/>
      <c r="Z173" s="3"/>
      <c r="AA173" s="3"/>
    </row>
    <row r="174" spans="1:27" ht="39.75" customHeight="1">
      <c r="A174" s="736"/>
      <c r="B174" s="736"/>
      <c r="C174" s="736"/>
      <c r="D174" s="829">
        <v>165</v>
      </c>
      <c r="E174" s="829" t="s">
        <v>339</v>
      </c>
      <c r="F174" s="829"/>
      <c r="G174" s="845"/>
      <c r="H174" s="845"/>
      <c r="I174" s="829"/>
      <c r="J174" s="829"/>
      <c r="K174" s="829"/>
      <c r="L174" s="829"/>
      <c r="M174" s="829"/>
      <c r="N174" s="829"/>
      <c r="O174" s="829"/>
      <c r="P174" s="829"/>
      <c r="Q174" s="829"/>
      <c r="R174" s="829"/>
      <c r="S174" s="829"/>
      <c r="T174" s="847">
        <f t="shared" si="14"/>
        <v>0</v>
      </c>
      <c r="U174" s="847"/>
      <c r="V174" s="729"/>
      <c r="W174" s="471"/>
      <c r="X174" s="3"/>
      <c r="Y174" s="3"/>
      <c r="Z174" s="3"/>
      <c r="AA174" s="3"/>
    </row>
    <row r="175" spans="1:27" ht="39.75" customHeight="1">
      <c r="A175" s="736"/>
      <c r="B175" s="736"/>
      <c r="C175" s="736"/>
      <c r="D175" s="829">
        <v>166</v>
      </c>
      <c r="E175" s="829" t="s">
        <v>340</v>
      </c>
      <c r="F175" s="829"/>
      <c r="G175" s="845"/>
      <c r="H175" s="845"/>
      <c r="I175" s="829"/>
      <c r="J175" s="829"/>
      <c r="K175" s="829"/>
      <c r="L175" s="829"/>
      <c r="M175" s="829"/>
      <c r="N175" s="829"/>
      <c r="O175" s="829"/>
      <c r="P175" s="829"/>
      <c r="Q175" s="829"/>
      <c r="R175" s="829"/>
      <c r="S175" s="829"/>
      <c r="T175" s="847">
        <f t="shared" si="14"/>
        <v>0</v>
      </c>
      <c r="U175" s="847"/>
      <c r="V175" s="729"/>
      <c r="W175" s="471"/>
      <c r="X175" s="3"/>
      <c r="Y175" s="3"/>
      <c r="Z175" s="3"/>
      <c r="AA175" s="3"/>
    </row>
    <row r="176" spans="1:27" ht="39.75" customHeight="1">
      <c r="A176" s="736"/>
      <c r="B176" s="736"/>
      <c r="C176" s="736"/>
      <c r="D176" s="829">
        <v>167</v>
      </c>
      <c r="E176" s="829" t="s">
        <v>341</v>
      </c>
      <c r="F176" s="829"/>
      <c r="G176" s="845"/>
      <c r="H176" s="845"/>
      <c r="I176" s="829"/>
      <c r="J176" s="829"/>
      <c r="K176" s="829"/>
      <c r="L176" s="829"/>
      <c r="M176" s="829"/>
      <c r="N176" s="829"/>
      <c r="O176" s="829"/>
      <c r="P176" s="829"/>
      <c r="Q176" s="829"/>
      <c r="R176" s="829"/>
      <c r="S176" s="829"/>
      <c r="T176" s="847">
        <f t="shared" si="14"/>
        <v>0</v>
      </c>
      <c r="U176" s="847"/>
      <c r="V176" s="729"/>
      <c r="W176" s="471"/>
      <c r="X176" s="3"/>
      <c r="Y176" s="3"/>
      <c r="Z176" s="3"/>
      <c r="AA176" s="3"/>
    </row>
    <row r="177" spans="1:27" ht="39.75" customHeight="1">
      <c r="A177" s="736"/>
      <c r="B177" s="736"/>
      <c r="C177" s="736"/>
      <c r="D177" s="829">
        <v>168</v>
      </c>
      <c r="E177" s="829" t="s">
        <v>342</v>
      </c>
      <c r="F177" s="829"/>
      <c r="G177" s="845"/>
      <c r="H177" s="845"/>
      <c r="I177" s="829"/>
      <c r="J177" s="829"/>
      <c r="K177" s="829"/>
      <c r="L177" s="829"/>
      <c r="M177" s="829"/>
      <c r="N177" s="829"/>
      <c r="O177" s="829"/>
      <c r="P177" s="829"/>
      <c r="Q177" s="829"/>
      <c r="R177" s="829"/>
      <c r="S177" s="829"/>
      <c r="T177" s="847">
        <f t="shared" si="14"/>
        <v>0</v>
      </c>
      <c r="U177" s="847"/>
      <c r="V177" s="729"/>
      <c r="W177" s="471"/>
      <c r="X177" s="3"/>
      <c r="Y177" s="3"/>
      <c r="Z177" s="3"/>
      <c r="AA177" s="3"/>
    </row>
    <row r="178" spans="1:27" ht="39.75" customHeight="1">
      <c r="A178" s="736"/>
      <c r="B178" s="736"/>
      <c r="C178" s="736"/>
      <c r="D178" s="829">
        <v>169</v>
      </c>
      <c r="E178" s="829" t="s">
        <v>343</v>
      </c>
      <c r="F178" s="829"/>
      <c r="G178" s="845"/>
      <c r="H178" s="845"/>
      <c r="I178" s="847"/>
      <c r="J178" s="829"/>
      <c r="K178" s="829"/>
      <c r="L178" s="829"/>
      <c r="M178" s="829"/>
      <c r="N178" s="829"/>
      <c r="O178" s="829"/>
      <c r="P178" s="829"/>
      <c r="Q178" s="829"/>
      <c r="R178" s="829"/>
      <c r="S178" s="829"/>
      <c r="T178" s="847">
        <f t="shared" si="14"/>
        <v>0</v>
      </c>
      <c r="U178" s="847"/>
      <c r="V178" s="729"/>
      <c r="W178" s="471"/>
      <c r="X178" s="3"/>
      <c r="Y178" s="3"/>
      <c r="Z178" s="3"/>
      <c r="AA178" s="3"/>
    </row>
    <row r="179" spans="1:27" ht="39.75" customHeight="1">
      <c r="A179" s="736"/>
      <c r="B179" s="736"/>
      <c r="C179" s="736"/>
      <c r="D179" s="829">
        <v>170</v>
      </c>
      <c r="E179" s="829" t="s">
        <v>344</v>
      </c>
      <c r="F179" s="829"/>
      <c r="G179" s="829"/>
      <c r="H179" s="829"/>
      <c r="I179" s="829"/>
      <c r="J179" s="829"/>
      <c r="K179" s="829"/>
      <c r="L179" s="829"/>
      <c r="M179" s="829"/>
      <c r="N179" s="829"/>
      <c r="O179" s="829"/>
      <c r="P179" s="829"/>
      <c r="Q179" s="829"/>
      <c r="R179" s="829"/>
      <c r="S179" s="829"/>
      <c r="T179" s="847">
        <f t="shared" si="14"/>
        <v>0</v>
      </c>
      <c r="U179" s="847"/>
      <c r="V179" s="729"/>
      <c r="W179" s="471"/>
      <c r="X179" s="3"/>
      <c r="Y179" s="3"/>
      <c r="Z179" s="3"/>
      <c r="AA179" s="3"/>
    </row>
    <row r="180" spans="1:27" ht="39.75" customHeight="1">
      <c r="A180" s="736"/>
      <c r="B180" s="828" t="s">
        <v>345</v>
      </c>
      <c r="C180" s="828" t="s">
        <v>346</v>
      </c>
      <c r="D180" s="829">
        <v>171</v>
      </c>
      <c r="E180" s="829" t="s">
        <v>347</v>
      </c>
      <c r="F180" s="829"/>
      <c r="G180" s="829"/>
      <c r="H180" s="829"/>
      <c r="I180" s="829"/>
      <c r="J180" s="829"/>
      <c r="K180" s="829"/>
      <c r="L180" s="829"/>
      <c r="M180" s="829"/>
      <c r="N180" s="829"/>
      <c r="O180" s="829"/>
      <c r="P180" s="829"/>
      <c r="Q180" s="829"/>
      <c r="R180" s="829"/>
      <c r="S180" s="829"/>
      <c r="T180" s="847">
        <f t="shared" si="14"/>
        <v>0</v>
      </c>
      <c r="U180" s="847"/>
      <c r="V180" s="729"/>
      <c r="W180" s="471"/>
      <c r="X180" s="3"/>
      <c r="Y180" s="3"/>
      <c r="Z180" s="3"/>
      <c r="AA180" s="3"/>
    </row>
    <row r="181" spans="1:27" ht="39.75" customHeight="1">
      <c r="A181" s="736"/>
      <c r="B181" s="736"/>
      <c r="C181" s="736"/>
      <c r="D181" s="829">
        <v>172</v>
      </c>
      <c r="E181" s="829" t="s">
        <v>348</v>
      </c>
      <c r="F181" s="829"/>
      <c r="G181" s="829"/>
      <c r="H181" s="829"/>
      <c r="I181" s="829"/>
      <c r="J181" s="829"/>
      <c r="K181" s="829"/>
      <c r="L181" s="829"/>
      <c r="M181" s="829"/>
      <c r="N181" s="829"/>
      <c r="O181" s="829"/>
      <c r="P181" s="847"/>
      <c r="Q181" s="829"/>
      <c r="R181" s="829"/>
      <c r="S181" s="829"/>
      <c r="T181" s="847">
        <f t="shared" si="14"/>
        <v>0</v>
      </c>
      <c r="U181" s="847"/>
      <c r="V181" s="729"/>
      <c r="W181" s="471"/>
      <c r="X181" s="3"/>
      <c r="Y181" s="3"/>
      <c r="Z181" s="3"/>
      <c r="AA181" s="3"/>
    </row>
    <row r="182" spans="1:27" ht="39.75" customHeight="1">
      <c r="A182" s="736"/>
      <c r="B182" s="736"/>
      <c r="C182" s="736"/>
      <c r="D182" s="829">
        <v>173</v>
      </c>
      <c r="E182" s="829" t="s">
        <v>349</v>
      </c>
      <c r="F182" s="829"/>
      <c r="G182" s="829"/>
      <c r="H182" s="829"/>
      <c r="I182" s="829"/>
      <c r="J182" s="829"/>
      <c r="K182" s="829"/>
      <c r="L182" s="829"/>
      <c r="M182" s="829"/>
      <c r="N182" s="829"/>
      <c r="O182" s="829"/>
      <c r="P182" s="829"/>
      <c r="Q182" s="829"/>
      <c r="R182" s="829"/>
      <c r="S182" s="829"/>
      <c r="T182" s="847">
        <f t="shared" si="14"/>
        <v>0</v>
      </c>
      <c r="U182" s="847"/>
      <c r="V182" s="729"/>
      <c r="W182" s="471"/>
      <c r="X182" s="3"/>
      <c r="Y182" s="3"/>
      <c r="Z182" s="3"/>
      <c r="AA182" s="3"/>
    </row>
    <row r="183" spans="1:27" ht="39.75" customHeight="1">
      <c r="A183" s="736"/>
      <c r="B183" s="736"/>
      <c r="C183" s="736"/>
      <c r="D183" s="829">
        <v>174</v>
      </c>
      <c r="E183" s="829" t="s">
        <v>350</v>
      </c>
      <c r="F183" s="829"/>
      <c r="G183" s="829"/>
      <c r="H183" s="829"/>
      <c r="I183" s="829"/>
      <c r="J183" s="829"/>
      <c r="K183" s="829"/>
      <c r="L183" s="829"/>
      <c r="M183" s="829"/>
      <c r="N183" s="829"/>
      <c r="O183" s="829"/>
      <c r="P183" s="847"/>
      <c r="Q183" s="829"/>
      <c r="R183" s="829"/>
      <c r="S183" s="829"/>
      <c r="T183" s="847">
        <f t="shared" si="14"/>
        <v>0</v>
      </c>
      <c r="U183" s="847"/>
      <c r="V183" s="729"/>
      <c r="W183" s="471"/>
      <c r="X183" s="3"/>
      <c r="Y183" s="3"/>
      <c r="Z183" s="3"/>
      <c r="AA183" s="3"/>
    </row>
    <row r="184" spans="1:27" ht="409.5">
      <c r="A184" s="736"/>
      <c r="B184" s="828" t="s">
        <v>351</v>
      </c>
      <c r="C184" s="828" t="s">
        <v>290</v>
      </c>
      <c r="D184" s="829">
        <v>175</v>
      </c>
      <c r="E184" s="829" t="s">
        <v>291</v>
      </c>
      <c r="F184" s="913"/>
      <c r="G184" s="913"/>
      <c r="H184" s="913">
        <v>0</v>
      </c>
      <c r="I184" s="914">
        <v>9.5</v>
      </c>
      <c r="J184" s="913"/>
      <c r="K184" s="913"/>
      <c r="L184" s="913"/>
      <c r="M184" s="913"/>
      <c r="N184" s="915">
        <v>11.67</v>
      </c>
      <c r="O184" s="913"/>
      <c r="P184" s="966">
        <f>5+27.08</f>
        <v>32.08</v>
      </c>
      <c r="Q184" s="915">
        <v>1</v>
      </c>
      <c r="R184" s="914">
        <v>0.79</v>
      </c>
      <c r="S184" s="914"/>
      <c r="T184" s="847">
        <f t="shared" si="14"/>
        <v>55.04</v>
      </c>
      <c r="U184" s="847">
        <f t="shared" ref="U184:U186" si="20">T184</f>
        <v>55.04</v>
      </c>
      <c r="V184" s="788" t="s">
        <v>577</v>
      </c>
      <c r="W184" s="471"/>
      <c r="X184" s="3"/>
      <c r="Y184" s="3"/>
      <c r="Z184" s="3"/>
      <c r="AA184" s="3"/>
    </row>
    <row r="185" spans="1:27" ht="409.5">
      <c r="A185" s="736"/>
      <c r="B185" s="736"/>
      <c r="C185" s="736"/>
      <c r="D185" s="829">
        <v>176</v>
      </c>
      <c r="E185" s="829" t="s">
        <v>293</v>
      </c>
      <c r="F185" s="913"/>
      <c r="G185" s="913"/>
      <c r="H185" s="913"/>
      <c r="I185" s="913"/>
      <c r="J185" s="913"/>
      <c r="K185" s="913"/>
      <c r="L185" s="913"/>
      <c r="M185" s="981">
        <v>22.3</v>
      </c>
      <c r="N185" s="913"/>
      <c r="O185" s="913"/>
      <c r="P185" s="914">
        <v>62.26</v>
      </c>
      <c r="Q185" s="914">
        <v>7.85</v>
      </c>
      <c r="R185" s="913"/>
      <c r="S185" s="913"/>
      <c r="T185" s="847">
        <f t="shared" si="14"/>
        <v>92.41</v>
      </c>
      <c r="U185" s="847">
        <f t="shared" si="20"/>
        <v>92.41</v>
      </c>
      <c r="V185" s="788" t="s">
        <v>578</v>
      </c>
      <c r="W185" s="471"/>
      <c r="X185" s="3"/>
      <c r="Y185" s="3"/>
      <c r="Z185" s="3"/>
      <c r="AA185" s="3"/>
    </row>
    <row r="186" spans="1:27" ht="60">
      <c r="A186" s="736"/>
      <c r="B186" s="736"/>
      <c r="C186" s="736"/>
      <c r="D186" s="829">
        <v>177</v>
      </c>
      <c r="E186" s="829" t="s">
        <v>295</v>
      </c>
      <c r="F186" s="913"/>
      <c r="G186" s="913"/>
      <c r="H186" s="913"/>
      <c r="I186" s="913"/>
      <c r="J186" s="913"/>
      <c r="K186" s="913"/>
      <c r="L186" s="913"/>
      <c r="M186" s="913"/>
      <c r="N186" s="915">
        <v>1</v>
      </c>
      <c r="O186" s="913"/>
      <c r="P186" s="913"/>
      <c r="Q186" s="913"/>
      <c r="R186" s="913"/>
      <c r="S186" s="913"/>
      <c r="T186" s="847">
        <f t="shared" si="14"/>
        <v>1</v>
      </c>
      <c r="U186" s="847">
        <f t="shared" si="20"/>
        <v>1</v>
      </c>
      <c r="V186" s="738" t="s">
        <v>352</v>
      </c>
      <c r="W186" s="471"/>
      <c r="X186" s="3"/>
      <c r="Y186" s="3"/>
      <c r="Z186" s="3"/>
      <c r="AA186" s="3"/>
    </row>
    <row r="187" spans="1:27" ht="39.75" customHeight="1">
      <c r="A187" s="736"/>
      <c r="B187" s="828" t="s">
        <v>353</v>
      </c>
      <c r="C187" s="828" t="s">
        <v>354</v>
      </c>
      <c r="D187" s="829">
        <v>178</v>
      </c>
      <c r="E187" s="829" t="s">
        <v>355</v>
      </c>
      <c r="F187" s="829"/>
      <c r="G187" s="829"/>
      <c r="H187" s="829"/>
      <c r="I187" s="829"/>
      <c r="J187" s="829"/>
      <c r="K187" s="829"/>
      <c r="L187" s="829"/>
      <c r="M187" s="829"/>
      <c r="N187" s="829"/>
      <c r="O187" s="829"/>
      <c r="P187" s="847">
        <v>1.5</v>
      </c>
      <c r="Q187" s="829"/>
      <c r="R187" s="829"/>
      <c r="S187" s="829"/>
      <c r="T187" s="847">
        <f t="shared" ref="T187" si="21">SUM(F187:S187)</f>
        <v>1.5</v>
      </c>
      <c r="U187" s="847">
        <f>T187</f>
        <v>1.5</v>
      </c>
      <c r="V187" s="744" t="s">
        <v>1857</v>
      </c>
      <c r="W187" s="471"/>
      <c r="X187" s="3"/>
      <c r="Y187" s="3"/>
      <c r="Z187" s="3"/>
      <c r="AA187" s="3"/>
    </row>
    <row r="188" spans="1:27" ht="39.75" customHeight="1">
      <c r="A188" s="736"/>
      <c r="B188" s="736"/>
      <c r="C188" s="736"/>
      <c r="D188" s="829">
        <v>179</v>
      </c>
      <c r="E188" s="829" t="s">
        <v>157</v>
      </c>
      <c r="F188" s="829"/>
      <c r="G188" s="829"/>
      <c r="H188" s="829"/>
      <c r="I188" s="829"/>
      <c r="J188" s="829"/>
      <c r="K188" s="829"/>
      <c r="L188" s="829"/>
      <c r="M188" s="829"/>
      <c r="N188" s="829"/>
      <c r="O188" s="829"/>
      <c r="P188" s="829"/>
      <c r="Q188" s="829"/>
      <c r="R188" s="829"/>
      <c r="S188" s="829"/>
      <c r="T188" s="847">
        <f t="shared" si="14"/>
        <v>0</v>
      </c>
      <c r="U188" s="847"/>
      <c r="V188" s="729"/>
      <c r="W188" s="471"/>
      <c r="X188" s="3"/>
      <c r="Y188" s="3"/>
      <c r="Z188" s="3"/>
      <c r="AA188" s="3"/>
    </row>
    <row r="189" spans="1:27" ht="39.75" customHeight="1">
      <c r="A189" s="736"/>
      <c r="B189" s="736"/>
      <c r="C189" s="736"/>
      <c r="D189" s="829">
        <v>180</v>
      </c>
      <c r="E189" s="829" t="s">
        <v>356</v>
      </c>
      <c r="F189" s="829"/>
      <c r="G189" s="829"/>
      <c r="H189" s="829"/>
      <c r="I189" s="829"/>
      <c r="J189" s="829"/>
      <c r="K189" s="847"/>
      <c r="L189" s="829"/>
      <c r="M189" s="829"/>
      <c r="N189" s="829"/>
      <c r="O189" s="829"/>
      <c r="P189" s="845"/>
      <c r="Q189" s="829"/>
      <c r="R189" s="829"/>
      <c r="S189" s="829"/>
      <c r="T189" s="847">
        <f t="shared" si="14"/>
        <v>0</v>
      </c>
      <c r="U189" s="847"/>
      <c r="V189" s="729"/>
      <c r="W189" s="471"/>
      <c r="X189" s="3"/>
      <c r="Y189" s="3"/>
      <c r="Z189" s="3"/>
      <c r="AA189" s="3"/>
    </row>
    <row r="190" spans="1:27" ht="39.75" customHeight="1">
      <c r="A190" s="736"/>
      <c r="B190" s="736"/>
      <c r="C190" s="736"/>
      <c r="D190" s="829">
        <v>181</v>
      </c>
      <c r="E190" s="829" t="s">
        <v>357</v>
      </c>
      <c r="F190" s="829"/>
      <c r="G190" s="829"/>
      <c r="H190" s="829"/>
      <c r="I190" s="829"/>
      <c r="J190" s="829"/>
      <c r="K190" s="829"/>
      <c r="L190" s="829"/>
      <c r="M190" s="829"/>
      <c r="N190" s="829"/>
      <c r="O190" s="829"/>
      <c r="P190" s="829"/>
      <c r="Q190" s="829"/>
      <c r="R190" s="829"/>
      <c r="S190" s="829"/>
      <c r="T190" s="847">
        <f t="shared" si="14"/>
        <v>0</v>
      </c>
      <c r="U190" s="847"/>
      <c r="V190" s="729"/>
      <c r="W190" s="471"/>
      <c r="X190" s="3"/>
      <c r="Y190" s="3"/>
      <c r="Z190" s="3"/>
      <c r="AA190" s="3"/>
    </row>
    <row r="191" spans="1:27" ht="39.75" customHeight="1">
      <c r="A191" s="736"/>
      <c r="B191" s="736"/>
      <c r="C191" s="736"/>
      <c r="D191" s="829">
        <v>182</v>
      </c>
      <c r="E191" s="829" t="s">
        <v>358</v>
      </c>
      <c r="F191" s="829"/>
      <c r="G191" s="829"/>
      <c r="H191" s="829"/>
      <c r="I191" s="829"/>
      <c r="J191" s="829"/>
      <c r="K191" s="829"/>
      <c r="L191" s="829"/>
      <c r="M191" s="829"/>
      <c r="N191" s="829"/>
      <c r="O191" s="829"/>
      <c r="P191" s="847">
        <v>22.2</v>
      </c>
      <c r="Q191" s="829"/>
      <c r="R191" s="829"/>
      <c r="S191" s="829"/>
      <c r="T191" s="847">
        <f t="shared" si="14"/>
        <v>22.2</v>
      </c>
      <c r="U191" s="728">
        <f>T191*1.05</f>
        <v>23.31</v>
      </c>
      <c r="V191" s="729" t="s">
        <v>579</v>
      </c>
      <c r="W191" s="471"/>
      <c r="X191" s="3"/>
      <c r="Y191" s="3"/>
      <c r="Z191" s="3"/>
      <c r="AA191" s="3"/>
    </row>
    <row r="192" spans="1:27" ht="39.75" customHeight="1">
      <c r="A192" s="736"/>
      <c r="B192" s="736"/>
      <c r="C192" s="736"/>
      <c r="D192" s="829">
        <v>183</v>
      </c>
      <c r="E192" s="829" t="s">
        <v>360</v>
      </c>
      <c r="F192" s="829"/>
      <c r="G192" s="829"/>
      <c r="H192" s="829"/>
      <c r="I192" s="829"/>
      <c r="J192" s="829"/>
      <c r="K192" s="829"/>
      <c r="L192" s="829"/>
      <c r="M192" s="829"/>
      <c r="N192" s="829"/>
      <c r="O192" s="829"/>
      <c r="P192" s="845"/>
      <c r="Q192" s="829"/>
      <c r="R192" s="829"/>
      <c r="S192" s="829"/>
      <c r="T192" s="847">
        <f t="shared" si="14"/>
        <v>0</v>
      </c>
      <c r="U192" s="847">
        <f>SUM(G192:T192)</f>
        <v>0</v>
      </c>
      <c r="V192" s="729"/>
      <c r="W192" s="471"/>
      <c r="X192" s="3"/>
      <c r="Y192" s="3"/>
      <c r="Z192" s="3"/>
      <c r="AA192" s="3"/>
    </row>
    <row r="193" spans="1:27" ht="39.75" customHeight="1">
      <c r="A193" s="736"/>
      <c r="B193" s="829" t="s">
        <v>361</v>
      </c>
      <c r="C193" s="829" t="s">
        <v>362</v>
      </c>
      <c r="D193" s="829">
        <v>184</v>
      </c>
      <c r="E193" s="829" t="s">
        <v>363</v>
      </c>
      <c r="F193" s="829"/>
      <c r="G193" s="829"/>
      <c r="H193" s="829"/>
      <c r="I193" s="829"/>
      <c r="J193" s="829"/>
      <c r="K193" s="829"/>
      <c r="L193" s="829"/>
      <c r="M193" s="829"/>
      <c r="N193" s="829"/>
      <c r="O193" s="829"/>
      <c r="P193" s="847"/>
      <c r="Q193" s="829"/>
      <c r="R193" s="829"/>
      <c r="S193" s="829"/>
      <c r="T193" s="847">
        <f t="shared" si="14"/>
        <v>0</v>
      </c>
      <c r="U193" s="847"/>
      <c r="V193" s="729"/>
      <c r="W193" s="471"/>
      <c r="X193" s="3"/>
      <c r="Y193" s="3"/>
      <c r="Z193" s="3"/>
      <c r="AA193" s="3"/>
    </row>
    <row r="194" spans="1:27" ht="45.75" customHeight="1">
      <c r="A194" s="736"/>
      <c r="B194" s="828" t="s">
        <v>364</v>
      </c>
      <c r="C194" s="828" t="s">
        <v>297</v>
      </c>
      <c r="D194" s="829">
        <v>185</v>
      </c>
      <c r="E194" s="829" t="s">
        <v>298</v>
      </c>
      <c r="F194" s="829"/>
      <c r="G194" s="829"/>
      <c r="H194" s="829"/>
      <c r="I194" s="829"/>
      <c r="J194" s="829"/>
      <c r="K194" s="829"/>
      <c r="L194" s="829"/>
      <c r="M194" s="829"/>
      <c r="N194" s="829"/>
      <c r="O194" s="829"/>
      <c r="P194" s="783">
        <v>2369.6935699999995</v>
      </c>
      <c r="Q194" s="829"/>
      <c r="R194" s="829"/>
      <c r="S194" s="829"/>
      <c r="T194" s="847">
        <f t="shared" si="14"/>
        <v>2369.6935699999995</v>
      </c>
      <c r="U194" s="783">
        <v>2545.9987716079995</v>
      </c>
      <c r="V194" s="881" t="s">
        <v>1732</v>
      </c>
      <c r="W194" s="471"/>
      <c r="X194" s="3"/>
      <c r="Y194" s="3"/>
      <c r="Z194" s="3"/>
      <c r="AA194" s="3"/>
    </row>
    <row r="195" spans="1:27" ht="120">
      <c r="A195" s="736"/>
      <c r="B195" s="736"/>
      <c r="C195" s="736"/>
      <c r="D195" s="829">
        <v>186</v>
      </c>
      <c r="E195" s="829" t="s">
        <v>299</v>
      </c>
      <c r="F195" s="829"/>
      <c r="G195" s="829"/>
      <c r="H195" s="829"/>
      <c r="I195" s="829"/>
      <c r="J195" s="829"/>
      <c r="K195" s="829"/>
      <c r="L195" s="829"/>
      <c r="M195" s="829"/>
      <c r="N195" s="829"/>
      <c r="O195" s="829"/>
      <c r="P195" s="845">
        <f>0.358+4.025</f>
        <v>4.383</v>
      </c>
      <c r="Q195" s="847"/>
      <c r="R195" s="829"/>
      <c r="S195" s="829"/>
      <c r="T195" s="847">
        <f t="shared" si="14"/>
        <v>4.383</v>
      </c>
      <c r="U195" s="847">
        <f>P195</f>
        <v>4.383</v>
      </c>
      <c r="V195" s="729" t="s">
        <v>580</v>
      </c>
      <c r="W195" s="471"/>
      <c r="X195" s="3"/>
      <c r="Y195" s="3"/>
      <c r="Z195" s="3"/>
      <c r="AA195" s="3"/>
    </row>
    <row r="196" spans="1:27" ht="39.75" customHeight="1">
      <c r="A196" s="736"/>
      <c r="B196" s="736"/>
      <c r="C196" s="736"/>
      <c r="D196" s="829">
        <v>187</v>
      </c>
      <c r="E196" s="829" t="s">
        <v>367</v>
      </c>
      <c r="F196" s="829"/>
      <c r="G196" s="829"/>
      <c r="H196" s="829"/>
      <c r="I196" s="829"/>
      <c r="J196" s="829"/>
      <c r="K196" s="829"/>
      <c r="L196" s="829"/>
      <c r="M196" s="829"/>
      <c r="N196" s="829"/>
      <c r="O196" s="829"/>
      <c r="P196" s="783">
        <v>1005.4312799999999</v>
      </c>
      <c r="Q196" s="829"/>
      <c r="R196" s="829"/>
      <c r="S196" s="829"/>
      <c r="T196" s="847">
        <f t="shared" si="14"/>
        <v>1005.4312799999999</v>
      </c>
      <c r="U196" s="783">
        <v>1089.2842487519999</v>
      </c>
      <c r="V196" s="881" t="s">
        <v>1732</v>
      </c>
      <c r="W196" s="471"/>
      <c r="X196" s="3"/>
      <c r="Y196" s="3"/>
      <c r="Z196" s="3"/>
      <c r="AA196" s="3"/>
    </row>
    <row r="197" spans="1:27" ht="39.75" customHeight="1">
      <c r="A197" s="736"/>
      <c r="B197" s="736"/>
      <c r="C197" s="736"/>
      <c r="D197" s="829">
        <v>188</v>
      </c>
      <c r="E197" s="829" t="s">
        <v>300</v>
      </c>
      <c r="F197" s="829"/>
      <c r="G197" s="829"/>
      <c r="H197" s="829"/>
      <c r="I197" s="829"/>
      <c r="J197" s="829"/>
      <c r="K197" s="829"/>
      <c r="L197" s="829"/>
      <c r="M197" s="829"/>
      <c r="N197" s="829"/>
      <c r="O197" s="829"/>
      <c r="P197" s="829"/>
      <c r="Q197" s="829"/>
      <c r="R197" s="829"/>
      <c r="S197" s="829"/>
      <c r="T197" s="847">
        <f t="shared" si="14"/>
        <v>0</v>
      </c>
      <c r="U197" s="847"/>
      <c r="V197" s="729"/>
      <c r="W197" s="471"/>
      <c r="X197" s="3"/>
      <c r="Y197" s="3"/>
      <c r="Z197" s="3"/>
      <c r="AA197" s="3"/>
    </row>
    <row r="198" spans="1:27" ht="39.75" customHeight="1">
      <c r="A198" s="736"/>
      <c r="B198" s="736"/>
      <c r="C198" s="736"/>
      <c r="D198" s="829">
        <v>189</v>
      </c>
      <c r="E198" s="829" t="s">
        <v>301</v>
      </c>
      <c r="F198" s="829"/>
      <c r="G198" s="829"/>
      <c r="H198" s="829"/>
      <c r="I198" s="829"/>
      <c r="J198" s="829"/>
      <c r="K198" s="829"/>
      <c r="L198" s="829"/>
      <c r="M198" s="829"/>
      <c r="N198" s="829"/>
      <c r="O198" s="829"/>
      <c r="P198" s="829"/>
      <c r="Q198" s="829"/>
      <c r="R198" s="829"/>
      <c r="S198" s="829"/>
      <c r="T198" s="847">
        <f t="shared" si="14"/>
        <v>0</v>
      </c>
      <c r="U198" s="847"/>
      <c r="V198" s="729"/>
      <c r="W198" s="471"/>
      <c r="X198" s="3"/>
      <c r="Y198" s="3"/>
      <c r="Z198" s="3"/>
      <c r="AA198" s="3"/>
    </row>
    <row r="199" spans="1:27" ht="39.75" customHeight="1">
      <c r="A199" s="736"/>
      <c r="B199" s="736"/>
      <c r="C199" s="736"/>
      <c r="D199" s="829">
        <v>190</v>
      </c>
      <c r="E199" s="829" t="s">
        <v>368</v>
      </c>
      <c r="F199" s="829"/>
      <c r="G199" s="829"/>
      <c r="H199" s="829"/>
      <c r="I199" s="829"/>
      <c r="J199" s="829"/>
      <c r="K199" s="829"/>
      <c r="L199" s="829"/>
      <c r="M199" s="829"/>
      <c r="N199" s="829"/>
      <c r="O199" s="829"/>
      <c r="P199" s="845"/>
      <c r="Q199" s="829"/>
      <c r="R199" s="829"/>
      <c r="S199" s="829"/>
      <c r="T199" s="847">
        <f t="shared" si="14"/>
        <v>0</v>
      </c>
      <c r="U199" s="847"/>
      <c r="V199" s="729"/>
      <c r="W199" s="471"/>
      <c r="X199" s="3"/>
      <c r="Y199" s="3"/>
      <c r="Z199" s="3"/>
      <c r="AA199" s="3"/>
    </row>
    <row r="200" spans="1:27" ht="39.75" customHeight="1">
      <c r="A200" s="736"/>
      <c r="B200" s="828" t="s">
        <v>370</v>
      </c>
      <c r="C200" s="828" t="s">
        <v>371</v>
      </c>
      <c r="D200" s="829">
        <v>191</v>
      </c>
      <c r="E200" s="829" t="s">
        <v>372</v>
      </c>
      <c r="F200" s="829"/>
      <c r="G200" s="829"/>
      <c r="H200" s="829"/>
      <c r="I200" s="829"/>
      <c r="J200" s="829"/>
      <c r="K200" s="829"/>
      <c r="L200" s="829"/>
      <c r="M200" s="829"/>
      <c r="N200" s="847"/>
      <c r="O200" s="829"/>
      <c r="P200" s="829"/>
      <c r="Q200" s="829"/>
      <c r="R200" s="829"/>
      <c r="S200" s="829"/>
      <c r="T200" s="847">
        <f t="shared" si="14"/>
        <v>0</v>
      </c>
      <c r="U200" s="847">
        <f>SUM(G200:T200)</f>
        <v>0</v>
      </c>
      <c r="V200" s="729"/>
      <c r="W200" s="471"/>
      <c r="X200" s="3"/>
      <c r="Y200" s="3"/>
      <c r="Z200" s="3"/>
      <c r="AA200" s="3"/>
    </row>
    <row r="201" spans="1:27" ht="90" customHeight="1">
      <c r="A201" s="736"/>
      <c r="B201" s="736"/>
      <c r="C201" s="736"/>
      <c r="D201" s="829">
        <v>192</v>
      </c>
      <c r="E201" s="829" t="s">
        <v>373</v>
      </c>
      <c r="F201" s="829"/>
      <c r="G201" s="829"/>
      <c r="H201" s="845"/>
      <c r="I201" s="829"/>
      <c r="J201" s="829"/>
      <c r="K201" s="829"/>
      <c r="L201" s="829"/>
      <c r="M201" s="829"/>
      <c r="N201" s="847">
        <v>0</v>
      </c>
      <c r="O201" s="829"/>
      <c r="P201" s="847"/>
      <c r="Q201" s="845"/>
      <c r="R201" s="829"/>
      <c r="S201" s="829"/>
      <c r="T201" s="847"/>
      <c r="U201" s="847"/>
      <c r="V201" s="749"/>
      <c r="W201" s="471"/>
      <c r="X201" s="3"/>
      <c r="Y201" s="3"/>
      <c r="Z201" s="3"/>
      <c r="AA201" s="3"/>
    </row>
    <row r="202" spans="1:27" ht="39.75" customHeight="1">
      <c r="A202" s="736"/>
      <c r="B202" s="828" t="s">
        <v>374</v>
      </c>
      <c r="C202" s="828" t="s">
        <v>303</v>
      </c>
      <c r="D202" s="829">
        <v>193</v>
      </c>
      <c r="E202" s="829" t="s">
        <v>375</v>
      </c>
      <c r="F202" s="829"/>
      <c r="G202" s="829"/>
      <c r="H202" s="829"/>
      <c r="I202" s="829"/>
      <c r="J202" s="829"/>
      <c r="K202" s="829"/>
      <c r="L202" s="829"/>
      <c r="M202" s="829"/>
      <c r="N202" s="829"/>
      <c r="O202" s="829"/>
      <c r="P202" s="847"/>
      <c r="Q202" s="829"/>
      <c r="R202" s="829"/>
      <c r="S202" s="845"/>
      <c r="T202" s="847">
        <f t="shared" ref="T202:T205" si="22">SUM(F202:S202)</f>
        <v>0</v>
      </c>
      <c r="U202" s="847"/>
      <c r="V202" s="729"/>
      <c r="W202" s="471"/>
      <c r="X202" s="3"/>
      <c r="Y202" s="3"/>
      <c r="Z202" s="3"/>
      <c r="AA202" s="3"/>
    </row>
    <row r="203" spans="1:27" ht="240">
      <c r="A203" s="736"/>
      <c r="B203" s="736"/>
      <c r="C203" s="736"/>
      <c r="D203" s="829">
        <v>194</v>
      </c>
      <c r="E203" s="829" t="s">
        <v>304</v>
      </c>
      <c r="F203" s="829"/>
      <c r="G203" s="829"/>
      <c r="H203" s="829"/>
      <c r="I203" s="829"/>
      <c r="J203" s="829"/>
      <c r="K203" s="829"/>
      <c r="L203" s="829"/>
      <c r="M203" s="829"/>
      <c r="N203" s="847">
        <v>1.2</v>
      </c>
      <c r="O203" s="829"/>
      <c r="P203" s="829"/>
      <c r="Q203" s="847"/>
      <c r="R203" s="847">
        <v>35</v>
      </c>
      <c r="S203" s="829"/>
      <c r="T203" s="847">
        <f t="shared" si="22"/>
        <v>36.200000000000003</v>
      </c>
      <c r="U203" s="728">
        <f>R203*1.05+N203</f>
        <v>37.950000000000003</v>
      </c>
      <c r="V203" s="729" t="s">
        <v>1604</v>
      </c>
      <c r="W203" s="471"/>
      <c r="X203" s="3"/>
      <c r="Y203" s="3"/>
      <c r="Z203" s="3"/>
      <c r="AA203" s="3"/>
    </row>
    <row r="204" spans="1:27" ht="186" customHeight="1">
      <c r="A204" s="736"/>
      <c r="B204" s="828" t="s">
        <v>376</v>
      </c>
      <c r="C204" s="828" t="s">
        <v>377</v>
      </c>
      <c r="D204" s="829">
        <v>195</v>
      </c>
      <c r="E204" s="829" t="s">
        <v>378</v>
      </c>
      <c r="F204" s="829"/>
      <c r="G204" s="829"/>
      <c r="H204" s="829"/>
      <c r="I204" s="829"/>
      <c r="J204" s="829"/>
      <c r="K204" s="829"/>
      <c r="L204" s="829"/>
      <c r="M204" s="829"/>
      <c r="N204" s="829"/>
      <c r="O204" s="829"/>
      <c r="P204" s="847"/>
      <c r="Q204" s="1016">
        <v>1.58</v>
      </c>
      <c r="R204" s="847">
        <v>2.2000000000000002</v>
      </c>
      <c r="S204" s="829">
        <v>1.75</v>
      </c>
      <c r="T204" s="847">
        <f t="shared" si="22"/>
        <v>5.53</v>
      </c>
      <c r="U204" s="847">
        <f>T204</f>
        <v>5.53</v>
      </c>
      <c r="V204" s="749" t="s">
        <v>581</v>
      </c>
      <c r="W204" s="471"/>
      <c r="X204" s="3"/>
      <c r="Y204" s="3"/>
      <c r="Z204" s="3"/>
      <c r="AA204" s="3"/>
    </row>
    <row r="205" spans="1:27" ht="39.75" customHeight="1">
      <c r="A205" s="736"/>
      <c r="B205" s="736"/>
      <c r="C205" s="736"/>
      <c r="D205" s="829">
        <v>196</v>
      </c>
      <c r="E205" s="829" t="s">
        <v>379</v>
      </c>
      <c r="F205" s="829"/>
      <c r="G205" s="829"/>
      <c r="H205" s="829"/>
      <c r="I205" s="829"/>
      <c r="J205" s="829"/>
      <c r="K205" s="829"/>
      <c r="L205" s="829"/>
      <c r="M205" s="829"/>
      <c r="N205" s="829"/>
      <c r="O205" s="829"/>
      <c r="P205" s="829"/>
      <c r="Q205" s="829"/>
      <c r="R205" s="829"/>
      <c r="S205" s="829"/>
      <c r="T205" s="847">
        <f t="shared" si="22"/>
        <v>0</v>
      </c>
      <c r="U205" s="847"/>
      <c r="V205" s="729"/>
      <c r="W205" s="471"/>
      <c r="X205" s="3"/>
      <c r="Y205" s="3"/>
      <c r="Z205" s="3"/>
      <c r="AA205" s="3"/>
    </row>
    <row r="206" spans="1:27" ht="409.5">
      <c r="A206" s="736"/>
      <c r="B206" s="736"/>
      <c r="C206" s="736"/>
      <c r="D206" s="829">
        <v>197</v>
      </c>
      <c r="E206" s="829" t="s">
        <v>380</v>
      </c>
      <c r="F206" s="967"/>
      <c r="G206" s="967"/>
      <c r="H206" s="967"/>
      <c r="I206" s="967"/>
      <c r="J206" s="967"/>
      <c r="K206" s="967"/>
      <c r="L206" s="967"/>
      <c r="M206" s="967"/>
      <c r="N206" s="958">
        <v>0.25</v>
      </c>
      <c r="O206" s="967"/>
      <c r="P206" s="968">
        <v>41.06</v>
      </c>
      <c r="Q206" s="958"/>
      <c r="R206" s="958">
        <v>0.05</v>
      </c>
      <c r="S206" s="958"/>
      <c r="T206" s="969">
        <f>SUM(N206:S206)</f>
        <v>41.36</v>
      </c>
      <c r="U206" s="968">
        <v>41.11</v>
      </c>
      <c r="V206" s="744" t="s">
        <v>515</v>
      </c>
      <c r="W206" s="471"/>
      <c r="X206" s="3"/>
      <c r="Y206" s="3"/>
      <c r="Z206" s="3"/>
      <c r="AA206" s="3"/>
    </row>
    <row r="207" spans="1:27" ht="39.75" customHeight="1">
      <c r="A207" s="736"/>
      <c r="B207" s="829" t="s">
        <v>381</v>
      </c>
      <c r="C207" s="829" t="s">
        <v>309</v>
      </c>
      <c r="D207" s="829">
        <v>198</v>
      </c>
      <c r="E207" s="829" t="s">
        <v>310</v>
      </c>
      <c r="F207" s="829"/>
      <c r="G207" s="829"/>
      <c r="H207" s="829"/>
      <c r="I207" s="829"/>
      <c r="J207" s="829"/>
      <c r="K207" s="829"/>
      <c r="L207" s="829"/>
      <c r="M207" s="829"/>
      <c r="N207" s="829"/>
      <c r="O207" s="829"/>
      <c r="P207" s="829"/>
      <c r="Q207" s="829"/>
      <c r="R207" s="829"/>
      <c r="S207" s="829"/>
      <c r="T207" s="847">
        <f t="shared" ref="T207:T211" si="23">SUM(F207:S207)</f>
        <v>0</v>
      </c>
      <c r="U207" s="847"/>
      <c r="V207" s="729"/>
      <c r="W207" s="471"/>
      <c r="X207" s="3"/>
      <c r="Y207" s="3"/>
      <c r="Z207" s="3"/>
      <c r="AA207" s="3"/>
    </row>
    <row r="208" spans="1:27" ht="115.5" customHeight="1">
      <c r="A208" s="736"/>
      <c r="B208" s="829" t="s">
        <v>382</v>
      </c>
      <c r="C208" s="829" t="s">
        <v>312</v>
      </c>
      <c r="D208" s="829">
        <v>199</v>
      </c>
      <c r="E208" s="829" t="s">
        <v>313</v>
      </c>
      <c r="F208" s="882"/>
      <c r="G208" s="882"/>
      <c r="H208" s="882"/>
      <c r="I208" s="882"/>
      <c r="J208" s="882"/>
      <c r="K208" s="882"/>
      <c r="L208" s="882"/>
      <c r="M208" s="882"/>
      <c r="N208" s="882"/>
      <c r="O208" s="882"/>
      <c r="Q208" s="882"/>
      <c r="R208" s="882">
        <v>231</v>
      </c>
      <c r="S208" s="882"/>
      <c r="T208" s="847">
        <f t="shared" si="23"/>
        <v>231</v>
      </c>
      <c r="U208" s="847">
        <f>T208</f>
        <v>231</v>
      </c>
      <c r="V208" s="729" t="s">
        <v>1642</v>
      </c>
      <c r="W208" s="471"/>
      <c r="X208" s="3"/>
      <c r="Y208" s="3"/>
      <c r="Z208" s="3"/>
      <c r="AA208" s="3"/>
    </row>
    <row r="209" spans="1:27" ht="72" customHeight="1">
      <c r="A209" s="736"/>
      <c r="B209" s="829" t="s">
        <v>383</v>
      </c>
      <c r="C209" s="829"/>
      <c r="D209" s="829">
        <v>200</v>
      </c>
      <c r="E209" s="829" t="s">
        <v>384</v>
      </c>
      <c r="F209" s="882"/>
      <c r="G209" s="882"/>
      <c r="H209" s="882"/>
      <c r="I209" s="882"/>
      <c r="J209" s="882"/>
      <c r="K209" s="882"/>
      <c r="L209" s="882"/>
      <c r="M209" s="882"/>
      <c r="N209" s="889">
        <v>0.1956</v>
      </c>
      <c r="O209" s="889"/>
      <c r="P209" s="889"/>
      <c r="Q209" s="889"/>
      <c r="R209" s="889">
        <v>1</v>
      </c>
      <c r="S209" s="889"/>
      <c r="T209" s="847">
        <f t="shared" si="23"/>
        <v>1.1956</v>
      </c>
      <c r="U209" s="728">
        <v>1.1956</v>
      </c>
      <c r="V209" s="749" t="s">
        <v>385</v>
      </c>
      <c r="W209" s="132" t="s">
        <v>385</v>
      </c>
      <c r="X209" s="3"/>
      <c r="Y209" s="3"/>
      <c r="Z209" s="3"/>
      <c r="AA209" s="3"/>
    </row>
    <row r="210" spans="1:27" ht="39.75" customHeight="1">
      <c r="A210" s="736"/>
      <c r="B210" s="948" t="s">
        <v>386</v>
      </c>
      <c r="C210" s="736"/>
      <c r="D210" s="736"/>
      <c r="E210" s="949"/>
      <c r="F210" s="949">
        <f t="shared" ref="F210:S210" si="24">SUM(F159:F209)</f>
        <v>0</v>
      </c>
      <c r="G210" s="950">
        <f t="shared" si="24"/>
        <v>0</v>
      </c>
      <c r="H210" s="950">
        <f t="shared" si="24"/>
        <v>0</v>
      </c>
      <c r="I210" s="949">
        <f t="shared" si="24"/>
        <v>9.5</v>
      </c>
      <c r="J210" s="949">
        <f t="shared" si="24"/>
        <v>0</v>
      </c>
      <c r="K210" s="949">
        <f t="shared" si="24"/>
        <v>0</v>
      </c>
      <c r="L210" s="949">
        <f t="shared" si="24"/>
        <v>0</v>
      </c>
      <c r="M210" s="949">
        <f t="shared" si="24"/>
        <v>22.3</v>
      </c>
      <c r="N210" s="951">
        <f t="shared" si="24"/>
        <v>61.835600000000007</v>
      </c>
      <c r="O210" s="949">
        <f t="shared" si="24"/>
        <v>746.40499999999997</v>
      </c>
      <c r="P210" s="950">
        <f t="shared" si="24"/>
        <v>3600.1678499999989</v>
      </c>
      <c r="Q210" s="949">
        <f t="shared" si="24"/>
        <v>20.536999999999999</v>
      </c>
      <c r="R210" s="949">
        <f t="shared" si="24"/>
        <v>272.04000000000002</v>
      </c>
      <c r="S210" s="949">
        <f t="shared" si="24"/>
        <v>1.75</v>
      </c>
      <c r="T210" s="1006">
        <f t="shared" si="23"/>
        <v>4734.5354499999994</v>
      </c>
      <c r="U210" s="951">
        <f>SUM(U159:U209)</f>
        <v>4999.3036203599986</v>
      </c>
      <c r="V210" s="729"/>
      <c r="W210" s="471"/>
      <c r="X210" s="3"/>
      <c r="Y210" s="3"/>
      <c r="Z210" s="3"/>
      <c r="AA210" s="3"/>
    </row>
    <row r="211" spans="1:27" ht="39.75" customHeight="1">
      <c r="A211" s="974" t="s">
        <v>387</v>
      </c>
      <c r="B211" s="736"/>
      <c r="C211" s="736"/>
      <c r="D211" s="736"/>
      <c r="E211" s="975"/>
      <c r="F211" s="976">
        <f t="shared" ref="F211:S211" si="25">F210+F158+F134+F93+F68</f>
        <v>123.16129999999998</v>
      </c>
      <c r="G211" s="977">
        <f t="shared" si="25"/>
        <v>7.5</v>
      </c>
      <c r="H211" s="977">
        <f t="shared" si="25"/>
        <v>3.5</v>
      </c>
      <c r="I211" s="976">
        <f t="shared" si="25"/>
        <v>35.202399999999997</v>
      </c>
      <c r="J211" s="976">
        <f t="shared" si="25"/>
        <v>0</v>
      </c>
      <c r="K211" s="978">
        <f t="shared" si="25"/>
        <v>85.396000000000001</v>
      </c>
      <c r="L211" s="976">
        <f t="shared" si="25"/>
        <v>5.5</v>
      </c>
      <c r="M211" s="977">
        <f t="shared" si="25"/>
        <v>74.986000000000004</v>
      </c>
      <c r="N211" s="978">
        <f t="shared" si="25"/>
        <v>146.31880000000001</v>
      </c>
      <c r="O211" s="976">
        <f t="shared" si="25"/>
        <v>1053.8960500000001</v>
      </c>
      <c r="P211" s="977">
        <f t="shared" si="25"/>
        <v>4896.2851099999989</v>
      </c>
      <c r="Q211" s="976">
        <f t="shared" si="25"/>
        <v>107.83439999999999</v>
      </c>
      <c r="R211" s="977">
        <f t="shared" si="25"/>
        <v>344.01080000000002</v>
      </c>
      <c r="S211" s="977">
        <f t="shared" si="25"/>
        <v>20.12</v>
      </c>
      <c r="T211" s="1032">
        <f t="shared" si="23"/>
        <v>6903.7108599999983</v>
      </c>
      <c r="U211" s="978">
        <f>U210+U158+U134+U93+U68</f>
        <v>7218.5278221099989</v>
      </c>
      <c r="V211" s="729"/>
      <c r="W211" s="471"/>
      <c r="X211" s="3"/>
      <c r="Y211" s="3"/>
      <c r="Z211" s="3"/>
      <c r="AA211" s="3"/>
    </row>
    <row r="212" spans="1:27" ht="24.75" customHeight="1">
      <c r="A212" s="3"/>
      <c r="B212" s="3"/>
      <c r="C212" s="3"/>
      <c r="D212" s="3"/>
      <c r="E212" s="3"/>
      <c r="F212" s="3"/>
      <c r="G212" s="3"/>
      <c r="H212" s="3"/>
      <c r="I212" s="3"/>
      <c r="J212" s="3"/>
      <c r="K212" s="3"/>
      <c r="L212" s="3"/>
      <c r="M212" s="3"/>
      <c r="N212" s="3"/>
      <c r="O212" s="3"/>
      <c r="P212" s="3"/>
      <c r="Q212" s="3"/>
      <c r="R212" s="3"/>
      <c r="S212" s="3"/>
      <c r="T212" s="57"/>
      <c r="U212" s="57"/>
      <c r="V212" s="733"/>
      <c r="W212" s="3"/>
      <c r="X212" s="3"/>
      <c r="Y212" s="3"/>
      <c r="Z212" s="3"/>
      <c r="AA212" s="3"/>
    </row>
    <row r="213" spans="1:27" ht="24.75" customHeight="1">
      <c r="A213" s="3"/>
      <c r="B213" s="3"/>
      <c r="C213" s="3"/>
      <c r="D213" s="3"/>
      <c r="E213" s="3"/>
      <c r="F213" s="3"/>
      <c r="G213" s="3"/>
      <c r="H213" s="3"/>
      <c r="I213" s="3"/>
      <c r="J213" s="3"/>
      <c r="K213" s="3"/>
      <c r="L213" s="3"/>
      <c r="M213" s="3"/>
      <c r="N213" s="3"/>
      <c r="O213" s="3"/>
      <c r="P213" s="3"/>
      <c r="Q213" s="3"/>
      <c r="R213" s="3"/>
      <c r="S213" s="3"/>
      <c r="T213" s="3"/>
      <c r="U213" s="3"/>
      <c r="V213" s="733"/>
      <c r="W213" s="3"/>
      <c r="X213" s="3"/>
      <c r="Y213" s="3"/>
      <c r="Z213" s="3"/>
      <c r="AA213" s="3"/>
    </row>
    <row r="214" spans="1:27" ht="24.75" customHeight="1">
      <c r="A214" s="3"/>
      <c r="B214" s="3"/>
      <c r="C214" s="3"/>
      <c r="D214" s="3"/>
      <c r="E214" s="3"/>
      <c r="F214" s="3"/>
      <c r="G214" s="3"/>
      <c r="H214" s="3"/>
      <c r="I214" s="3"/>
      <c r="J214" s="3"/>
      <c r="K214" s="3"/>
      <c r="L214" s="3"/>
      <c r="M214" s="3"/>
      <c r="N214" s="3"/>
      <c r="O214" s="3"/>
      <c r="P214" s="3"/>
      <c r="Q214" s="3"/>
      <c r="R214" s="3"/>
      <c r="S214" s="3"/>
      <c r="T214" s="3"/>
      <c r="U214" s="3"/>
      <c r="V214" s="733"/>
      <c r="W214" s="3"/>
      <c r="X214" s="3"/>
      <c r="Y214" s="3"/>
      <c r="Z214" s="3"/>
      <c r="AA214" s="3"/>
    </row>
    <row r="215" spans="1:27" ht="24.75" customHeight="1">
      <c r="A215" s="3"/>
      <c r="B215" s="3"/>
      <c r="C215" s="3"/>
      <c r="D215" s="3"/>
      <c r="E215" s="3"/>
      <c r="F215" s="3"/>
      <c r="G215" s="3"/>
      <c r="H215" s="3"/>
      <c r="I215" s="3"/>
      <c r="J215" s="3"/>
      <c r="K215" s="3"/>
      <c r="L215" s="3"/>
      <c r="M215" s="3"/>
      <c r="N215" s="3"/>
      <c r="O215" s="3"/>
      <c r="P215" s="3"/>
      <c r="Q215" s="3"/>
      <c r="R215" s="3"/>
      <c r="S215" s="3"/>
      <c r="T215" s="3"/>
      <c r="U215" s="3"/>
      <c r="V215" s="733"/>
      <c r="W215" s="3"/>
      <c r="X215" s="3"/>
      <c r="Y215" s="3"/>
      <c r="Z215" s="3"/>
      <c r="AA215" s="3"/>
    </row>
    <row r="216" spans="1:27" ht="24.75" customHeight="1">
      <c r="A216" s="3"/>
      <c r="B216" s="3"/>
      <c r="C216" s="3"/>
      <c r="D216" s="3"/>
      <c r="E216" s="3"/>
      <c r="F216" s="3"/>
      <c r="G216" s="3"/>
      <c r="H216" s="3"/>
      <c r="I216" s="3"/>
      <c r="J216" s="3"/>
      <c r="K216" s="3"/>
      <c r="L216" s="3"/>
      <c r="M216" s="3"/>
      <c r="N216" s="3"/>
      <c r="O216" s="3"/>
      <c r="P216" s="3"/>
      <c r="Q216" s="3"/>
      <c r="R216" s="3"/>
      <c r="S216" s="3"/>
      <c r="T216" s="3"/>
      <c r="U216" s="3"/>
      <c r="V216" s="733"/>
      <c r="W216" s="3"/>
      <c r="X216" s="3"/>
      <c r="Y216" s="3"/>
      <c r="Z216" s="3"/>
      <c r="AA216" s="3"/>
    </row>
    <row r="217" spans="1:27" ht="24.75" customHeight="1">
      <c r="A217" s="3"/>
      <c r="B217" s="3"/>
      <c r="C217" s="3"/>
      <c r="D217" s="3"/>
      <c r="E217" s="3"/>
      <c r="F217" s="3"/>
      <c r="G217" s="3"/>
      <c r="H217" s="3"/>
      <c r="I217" s="3"/>
      <c r="J217" s="3"/>
      <c r="K217" s="3"/>
      <c r="L217" s="3"/>
      <c r="M217" s="3"/>
      <c r="N217" s="3"/>
      <c r="O217" s="3"/>
      <c r="P217" s="3"/>
      <c r="Q217" s="3"/>
      <c r="R217" s="3"/>
      <c r="S217" s="3"/>
      <c r="T217" s="3"/>
      <c r="U217" s="3"/>
      <c r="V217" s="733"/>
      <c r="W217" s="3"/>
      <c r="X217" s="3"/>
      <c r="Y217" s="3"/>
      <c r="Z217" s="3"/>
      <c r="AA217" s="3"/>
    </row>
    <row r="218" spans="1:27" ht="24.75" customHeight="1">
      <c r="A218" s="3"/>
      <c r="B218" s="3"/>
      <c r="C218" s="3"/>
      <c r="D218" s="3"/>
      <c r="E218" s="3"/>
      <c r="F218" s="3"/>
      <c r="G218" s="3"/>
      <c r="H218" s="3"/>
      <c r="I218" s="3"/>
      <c r="J218" s="3"/>
      <c r="K218" s="3"/>
      <c r="L218" s="3"/>
      <c r="M218" s="3"/>
      <c r="N218" s="3"/>
      <c r="O218" s="3"/>
      <c r="P218" s="3"/>
      <c r="Q218" s="3"/>
      <c r="R218" s="3"/>
      <c r="S218" s="3"/>
      <c r="T218" s="3"/>
      <c r="U218" s="3"/>
      <c r="V218" s="733"/>
      <c r="W218" s="3"/>
      <c r="X218" s="3"/>
      <c r="Y218" s="3"/>
      <c r="Z218" s="3"/>
      <c r="AA218" s="3"/>
    </row>
    <row r="219" spans="1:27" ht="24.75" customHeight="1">
      <c r="A219" s="3"/>
      <c r="B219" s="3"/>
      <c r="C219" s="3"/>
      <c r="D219" s="3"/>
      <c r="E219" s="3"/>
      <c r="F219" s="3"/>
      <c r="G219" s="3"/>
      <c r="H219" s="3"/>
      <c r="I219" s="3"/>
      <c r="J219" s="3"/>
      <c r="K219" s="3"/>
      <c r="L219" s="3"/>
      <c r="M219" s="3"/>
      <c r="N219" s="3"/>
      <c r="O219" s="3"/>
      <c r="P219" s="3"/>
      <c r="Q219" s="3"/>
      <c r="R219" s="3"/>
      <c r="S219" s="3"/>
      <c r="T219" s="3"/>
      <c r="U219" s="3"/>
      <c r="V219" s="733"/>
      <c r="W219" s="3"/>
      <c r="X219" s="3"/>
      <c r="Y219" s="3"/>
      <c r="Z219" s="3"/>
      <c r="AA219" s="3"/>
    </row>
    <row r="220" spans="1:27" ht="24.75" customHeight="1">
      <c r="A220" s="3"/>
      <c r="B220" s="3"/>
      <c r="C220" s="3"/>
      <c r="D220" s="3"/>
      <c r="E220" s="3"/>
      <c r="F220" s="3"/>
      <c r="G220" s="3"/>
      <c r="H220" s="3"/>
      <c r="I220" s="3"/>
      <c r="J220" s="3"/>
      <c r="K220" s="3"/>
      <c r="L220" s="3"/>
      <c r="M220" s="3"/>
      <c r="N220" s="3"/>
      <c r="O220" s="3"/>
      <c r="P220" s="3"/>
      <c r="Q220" s="3"/>
      <c r="R220" s="3"/>
      <c r="S220" s="3"/>
      <c r="T220" s="3"/>
      <c r="U220" s="3"/>
      <c r="V220" s="733"/>
      <c r="W220" s="3"/>
      <c r="X220" s="3"/>
      <c r="Y220" s="3"/>
      <c r="Z220" s="3"/>
      <c r="AA220" s="3"/>
    </row>
    <row r="221" spans="1:27" ht="24.75" customHeight="1">
      <c r="A221" s="3"/>
      <c r="B221" s="3"/>
      <c r="C221" s="3"/>
      <c r="D221" s="3"/>
      <c r="E221" s="3"/>
      <c r="F221" s="3"/>
      <c r="G221" s="3"/>
      <c r="H221" s="3"/>
      <c r="I221" s="3"/>
      <c r="J221" s="3"/>
      <c r="K221" s="3"/>
      <c r="L221" s="3"/>
      <c r="M221" s="3"/>
      <c r="N221" s="3"/>
      <c r="O221" s="3"/>
      <c r="P221" s="3"/>
      <c r="Q221" s="3"/>
      <c r="R221" s="3"/>
      <c r="S221" s="3"/>
      <c r="T221" s="3"/>
      <c r="U221" s="3"/>
      <c r="V221" s="733"/>
      <c r="W221" s="3"/>
      <c r="X221" s="3"/>
      <c r="Y221" s="3"/>
      <c r="Z221" s="3"/>
      <c r="AA221" s="3"/>
    </row>
    <row r="222" spans="1:27" ht="24.75" customHeight="1">
      <c r="A222" s="3"/>
      <c r="B222" s="3"/>
      <c r="C222" s="3"/>
      <c r="D222" s="3"/>
      <c r="E222" s="3"/>
      <c r="F222" s="3"/>
      <c r="G222" s="3"/>
      <c r="H222" s="3"/>
      <c r="I222" s="3"/>
      <c r="J222" s="3"/>
      <c r="K222" s="3"/>
      <c r="L222" s="3"/>
      <c r="M222" s="3"/>
      <c r="N222" s="3"/>
      <c r="O222" s="3"/>
      <c r="P222" s="3"/>
      <c r="Q222" s="3"/>
      <c r="R222" s="3"/>
      <c r="S222" s="3"/>
      <c r="T222" s="3"/>
      <c r="U222" s="3"/>
      <c r="V222" s="733"/>
      <c r="W222" s="3"/>
      <c r="X222" s="3"/>
      <c r="Y222" s="3"/>
      <c r="Z222" s="3"/>
      <c r="AA222" s="3"/>
    </row>
    <row r="223" spans="1:27" ht="24.75" customHeight="1">
      <c r="A223" s="3"/>
      <c r="B223" s="3"/>
      <c r="C223" s="3"/>
      <c r="D223" s="3"/>
      <c r="E223" s="3"/>
      <c r="F223" s="3"/>
      <c r="G223" s="3"/>
      <c r="H223" s="3"/>
      <c r="I223" s="3"/>
      <c r="J223" s="3"/>
      <c r="K223" s="3"/>
      <c r="L223" s="3"/>
      <c r="M223" s="3"/>
      <c r="N223" s="3"/>
      <c r="O223" s="3"/>
      <c r="P223" s="3"/>
      <c r="Q223" s="3"/>
      <c r="R223" s="3"/>
      <c r="S223" s="3"/>
      <c r="T223" s="3"/>
      <c r="U223" s="3"/>
      <c r="V223" s="733"/>
      <c r="W223" s="3"/>
      <c r="X223" s="3"/>
      <c r="Y223" s="3"/>
      <c r="Z223" s="3"/>
      <c r="AA223" s="3"/>
    </row>
    <row r="224" spans="1:27" ht="24.75" customHeight="1">
      <c r="A224" s="3"/>
      <c r="B224" s="3"/>
      <c r="C224" s="3"/>
      <c r="D224" s="3"/>
      <c r="E224" s="3"/>
      <c r="F224" s="3"/>
      <c r="G224" s="3"/>
      <c r="H224" s="3"/>
      <c r="I224" s="3"/>
      <c r="J224" s="3"/>
      <c r="K224" s="3"/>
      <c r="L224" s="3"/>
      <c r="M224" s="3"/>
      <c r="N224" s="3"/>
      <c r="O224" s="3"/>
      <c r="P224" s="3"/>
      <c r="Q224" s="3"/>
      <c r="R224" s="3"/>
      <c r="S224" s="3"/>
      <c r="T224" s="3"/>
      <c r="U224" s="3"/>
      <c r="V224" s="733"/>
      <c r="W224" s="3"/>
      <c r="X224" s="3"/>
      <c r="Y224" s="3"/>
      <c r="Z224" s="3"/>
      <c r="AA224" s="3"/>
    </row>
    <row r="225" spans="1:27" ht="24.75" customHeight="1">
      <c r="A225" s="3"/>
      <c r="B225" s="3"/>
      <c r="C225" s="3"/>
      <c r="D225" s="3"/>
      <c r="E225" s="3"/>
      <c r="F225" s="3"/>
      <c r="G225" s="3"/>
      <c r="H225" s="3"/>
      <c r="I225" s="3"/>
      <c r="J225" s="3"/>
      <c r="K225" s="3"/>
      <c r="L225" s="3"/>
      <c r="M225" s="3"/>
      <c r="N225" s="3"/>
      <c r="O225" s="3"/>
      <c r="P225" s="3"/>
      <c r="Q225" s="3"/>
      <c r="R225" s="3"/>
      <c r="S225" s="3"/>
      <c r="T225" s="3"/>
      <c r="U225" s="3"/>
      <c r="V225" s="733"/>
      <c r="W225" s="3"/>
      <c r="X225" s="3"/>
      <c r="Y225" s="3"/>
      <c r="Z225" s="3"/>
      <c r="AA225" s="3"/>
    </row>
    <row r="226" spans="1:27" ht="24.75" customHeight="1">
      <c r="A226" s="3"/>
      <c r="B226" s="3"/>
      <c r="C226" s="3"/>
      <c r="D226" s="3"/>
      <c r="E226" s="3"/>
      <c r="F226" s="3"/>
      <c r="G226" s="3"/>
      <c r="H226" s="3"/>
      <c r="I226" s="3"/>
      <c r="J226" s="3"/>
      <c r="K226" s="3"/>
      <c r="L226" s="3"/>
      <c r="M226" s="3"/>
      <c r="N226" s="3"/>
      <c r="O226" s="3"/>
      <c r="P226" s="3"/>
      <c r="Q226" s="3"/>
      <c r="R226" s="3"/>
      <c r="S226" s="3"/>
      <c r="T226" s="3"/>
      <c r="U226" s="3"/>
      <c r="V226" s="733"/>
      <c r="W226" s="3"/>
      <c r="X226" s="3"/>
      <c r="Y226" s="3"/>
      <c r="Z226" s="3"/>
      <c r="AA226" s="3"/>
    </row>
    <row r="227" spans="1:27" ht="24.75" customHeight="1">
      <c r="A227" s="3"/>
      <c r="B227" s="3"/>
      <c r="C227" s="3"/>
      <c r="D227" s="3"/>
      <c r="E227" s="3"/>
      <c r="F227" s="3"/>
      <c r="G227" s="3"/>
      <c r="H227" s="3"/>
      <c r="I227" s="3"/>
      <c r="J227" s="3"/>
      <c r="K227" s="3"/>
      <c r="L227" s="3"/>
      <c r="M227" s="3"/>
      <c r="N227" s="3"/>
      <c r="O227" s="3"/>
      <c r="P227" s="3"/>
      <c r="Q227" s="3"/>
      <c r="R227" s="3"/>
      <c r="S227" s="3"/>
      <c r="T227" s="3"/>
      <c r="U227" s="3"/>
      <c r="V227" s="733"/>
      <c r="W227" s="3"/>
      <c r="X227" s="3"/>
      <c r="Y227" s="3"/>
      <c r="Z227" s="3"/>
      <c r="AA227" s="3"/>
    </row>
    <row r="228" spans="1:27" ht="24.75" customHeight="1">
      <c r="A228" s="3"/>
      <c r="B228" s="3"/>
      <c r="C228" s="3"/>
      <c r="D228" s="3"/>
      <c r="E228" s="3"/>
      <c r="F228" s="3"/>
      <c r="G228" s="3"/>
      <c r="H228" s="3"/>
      <c r="I228" s="3"/>
      <c r="J228" s="3"/>
      <c r="K228" s="3"/>
      <c r="L228" s="3"/>
      <c r="M228" s="3"/>
      <c r="N228" s="3"/>
      <c r="O228" s="3"/>
      <c r="P228" s="3"/>
      <c r="Q228" s="3"/>
      <c r="R228" s="3"/>
      <c r="S228" s="3"/>
      <c r="T228" s="3"/>
      <c r="U228" s="3"/>
      <c r="V228" s="733"/>
      <c r="W228" s="3"/>
      <c r="X228" s="3"/>
      <c r="Y228" s="3"/>
      <c r="Z228" s="3"/>
      <c r="AA228" s="3"/>
    </row>
    <row r="229" spans="1:27" ht="24.75" customHeight="1">
      <c r="A229" s="3"/>
      <c r="B229" s="3"/>
      <c r="C229" s="3"/>
      <c r="D229" s="3"/>
      <c r="E229" s="3"/>
      <c r="F229" s="3"/>
      <c r="G229" s="3"/>
      <c r="H229" s="3"/>
      <c r="I229" s="3"/>
      <c r="J229" s="3"/>
      <c r="K229" s="3"/>
      <c r="L229" s="3"/>
      <c r="M229" s="3"/>
      <c r="N229" s="3"/>
      <c r="O229" s="3"/>
      <c r="P229" s="3"/>
      <c r="Q229" s="3"/>
      <c r="R229" s="3"/>
      <c r="S229" s="3"/>
      <c r="T229" s="3"/>
      <c r="U229" s="3"/>
      <c r="V229" s="733"/>
      <c r="W229" s="3"/>
      <c r="X229" s="3"/>
      <c r="Y229" s="3"/>
      <c r="Z229" s="3"/>
      <c r="AA229" s="3"/>
    </row>
    <row r="230" spans="1:27" ht="24.75" customHeight="1">
      <c r="A230" s="3"/>
      <c r="B230" s="3"/>
      <c r="C230" s="3"/>
      <c r="D230" s="3"/>
      <c r="E230" s="3"/>
      <c r="F230" s="3"/>
      <c r="G230" s="3"/>
      <c r="H230" s="3"/>
      <c r="I230" s="3"/>
      <c r="J230" s="3"/>
      <c r="K230" s="3"/>
      <c r="L230" s="3"/>
      <c r="M230" s="3"/>
      <c r="N230" s="3"/>
      <c r="O230" s="3"/>
      <c r="P230" s="3"/>
      <c r="Q230" s="3"/>
      <c r="R230" s="3"/>
      <c r="S230" s="3"/>
      <c r="T230" s="3"/>
      <c r="U230" s="3"/>
      <c r="V230" s="733"/>
      <c r="W230" s="3"/>
      <c r="X230" s="3"/>
      <c r="Y230" s="3"/>
      <c r="Z230" s="3"/>
      <c r="AA230" s="3"/>
    </row>
    <row r="231" spans="1:27" ht="24.75" customHeight="1">
      <c r="A231" s="3"/>
      <c r="B231" s="3"/>
      <c r="C231" s="3"/>
      <c r="D231" s="3"/>
      <c r="E231" s="3"/>
      <c r="F231" s="3"/>
      <c r="G231" s="3"/>
      <c r="H231" s="3"/>
      <c r="I231" s="3"/>
      <c r="J231" s="3"/>
      <c r="K231" s="3"/>
      <c r="L231" s="3"/>
      <c r="M231" s="3"/>
      <c r="N231" s="3"/>
      <c r="O231" s="3"/>
      <c r="P231" s="3"/>
      <c r="Q231" s="3"/>
      <c r="R231" s="3"/>
      <c r="S231" s="3"/>
      <c r="T231" s="3"/>
      <c r="U231" s="3"/>
      <c r="V231" s="733"/>
      <c r="W231" s="3"/>
      <c r="X231" s="3"/>
      <c r="Y231" s="3"/>
      <c r="Z231" s="3"/>
      <c r="AA231" s="3"/>
    </row>
    <row r="232" spans="1:27" ht="24.75" customHeight="1">
      <c r="A232" s="3"/>
      <c r="B232" s="3"/>
      <c r="C232" s="3"/>
      <c r="D232" s="3"/>
      <c r="E232" s="3"/>
      <c r="F232" s="3"/>
      <c r="G232" s="3"/>
      <c r="H232" s="3"/>
      <c r="I232" s="3"/>
      <c r="J232" s="3"/>
      <c r="K232" s="3"/>
      <c r="L232" s="3"/>
      <c r="M232" s="3"/>
      <c r="N232" s="3"/>
      <c r="O232" s="3"/>
      <c r="P232" s="3"/>
      <c r="Q232" s="3"/>
      <c r="R232" s="3"/>
      <c r="S232" s="3"/>
      <c r="T232" s="3"/>
      <c r="U232" s="3"/>
      <c r="V232" s="733"/>
      <c r="W232" s="3"/>
      <c r="X232" s="3"/>
      <c r="Y232" s="3"/>
      <c r="Z232" s="3"/>
      <c r="AA232" s="3"/>
    </row>
    <row r="233" spans="1:27" ht="24.75" customHeight="1">
      <c r="A233" s="3"/>
      <c r="B233" s="3"/>
      <c r="C233" s="3"/>
      <c r="D233" s="3"/>
      <c r="E233" s="3"/>
      <c r="F233" s="3"/>
      <c r="G233" s="3"/>
      <c r="H233" s="3"/>
      <c r="I233" s="3"/>
      <c r="J233" s="3"/>
      <c r="K233" s="3"/>
      <c r="L233" s="3"/>
      <c r="M233" s="3"/>
      <c r="N233" s="3"/>
      <c r="O233" s="3"/>
      <c r="P233" s="3"/>
      <c r="Q233" s="3"/>
      <c r="R233" s="3"/>
      <c r="S233" s="3"/>
      <c r="T233" s="3"/>
      <c r="U233" s="3"/>
      <c r="V233" s="733"/>
      <c r="W233" s="3"/>
      <c r="X233" s="3"/>
      <c r="Y233" s="3"/>
      <c r="Z233" s="3"/>
      <c r="AA233" s="3"/>
    </row>
    <row r="234" spans="1:27" ht="24.75" customHeight="1">
      <c r="A234" s="3"/>
      <c r="B234" s="3"/>
      <c r="C234" s="3"/>
      <c r="D234" s="3"/>
      <c r="E234" s="3"/>
      <c r="F234" s="3"/>
      <c r="G234" s="3"/>
      <c r="H234" s="3"/>
      <c r="I234" s="3"/>
      <c r="J234" s="3"/>
      <c r="K234" s="3"/>
      <c r="L234" s="3"/>
      <c r="M234" s="3"/>
      <c r="N234" s="3"/>
      <c r="O234" s="3"/>
      <c r="P234" s="3"/>
      <c r="Q234" s="3"/>
      <c r="R234" s="3"/>
      <c r="S234" s="3"/>
      <c r="T234" s="3"/>
      <c r="U234" s="3"/>
      <c r="V234" s="733"/>
      <c r="W234" s="3"/>
      <c r="X234" s="3"/>
      <c r="Y234" s="3"/>
      <c r="Z234" s="3"/>
      <c r="AA234" s="3"/>
    </row>
    <row r="235" spans="1:27" ht="24.75" customHeight="1">
      <c r="A235" s="3"/>
      <c r="B235" s="3"/>
      <c r="C235" s="3"/>
      <c r="D235" s="3"/>
      <c r="E235" s="3"/>
      <c r="F235" s="3"/>
      <c r="G235" s="3"/>
      <c r="H235" s="3"/>
      <c r="I235" s="3"/>
      <c r="J235" s="3"/>
      <c r="K235" s="3"/>
      <c r="L235" s="3"/>
      <c r="M235" s="3"/>
      <c r="N235" s="3"/>
      <c r="O235" s="3"/>
      <c r="P235" s="3"/>
      <c r="Q235" s="3"/>
      <c r="R235" s="3"/>
      <c r="S235" s="3"/>
      <c r="T235" s="3"/>
      <c r="U235" s="3"/>
      <c r="V235" s="733"/>
      <c r="W235" s="3"/>
      <c r="X235" s="3"/>
      <c r="Y235" s="3"/>
      <c r="Z235" s="3"/>
      <c r="AA235" s="3"/>
    </row>
    <row r="236" spans="1:27" ht="24.75" customHeight="1">
      <c r="A236" s="3"/>
      <c r="B236" s="3"/>
      <c r="C236" s="3"/>
      <c r="D236" s="3"/>
      <c r="E236" s="3"/>
      <c r="F236" s="3"/>
      <c r="G236" s="3"/>
      <c r="H236" s="3"/>
      <c r="I236" s="3"/>
      <c r="J236" s="3"/>
      <c r="K236" s="3"/>
      <c r="L236" s="3"/>
      <c r="M236" s="3"/>
      <c r="N236" s="3"/>
      <c r="O236" s="3"/>
      <c r="P236" s="3"/>
      <c r="Q236" s="3"/>
      <c r="R236" s="3"/>
      <c r="S236" s="3"/>
      <c r="T236" s="3"/>
      <c r="U236" s="3"/>
      <c r="V236" s="733"/>
      <c r="W236" s="3"/>
      <c r="X236" s="3"/>
      <c r="Y236" s="3"/>
      <c r="Z236" s="3"/>
      <c r="AA236" s="3"/>
    </row>
    <row r="237" spans="1:27" ht="24.75" customHeight="1">
      <c r="A237" s="3"/>
      <c r="B237" s="3"/>
      <c r="C237" s="3"/>
      <c r="D237" s="3"/>
      <c r="E237" s="3"/>
      <c r="F237" s="3"/>
      <c r="G237" s="3"/>
      <c r="H237" s="3"/>
      <c r="I237" s="3"/>
      <c r="J237" s="3"/>
      <c r="K237" s="3"/>
      <c r="L237" s="3"/>
      <c r="M237" s="3"/>
      <c r="N237" s="3"/>
      <c r="O237" s="3"/>
      <c r="P237" s="3"/>
      <c r="Q237" s="3"/>
      <c r="R237" s="3"/>
      <c r="S237" s="3"/>
      <c r="T237" s="3"/>
      <c r="U237" s="3"/>
      <c r="V237" s="733"/>
      <c r="W237" s="3"/>
      <c r="X237" s="3"/>
      <c r="Y237" s="3"/>
      <c r="Z237" s="3"/>
      <c r="AA237" s="3"/>
    </row>
    <row r="238" spans="1:27" ht="24.75" customHeight="1">
      <c r="A238" s="3"/>
      <c r="B238" s="3"/>
      <c r="C238" s="3"/>
      <c r="D238" s="3"/>
      <c r="E238" s="3"/>
      <c r="F238" s="3"/>
      <c r="G238" s="3"/>
      <c r="H238" s="3"/>
      <c r="I238" s="3"/>
      <c r="J238" s="3"/>
      <c r="K238" s="3"/>
      <c r="L238" s="3"/>
      <c r="M238" s="3"/>
      <c r="N238" s="3"/>
      <c r="O238" s="3"/>
      <c r="P238" s="3"/>
      <c r="Q238" s="3"/>
      <c r="R238" s="3"/>
      <c r="S238" s="3"/>
      <c r="T238" s="3"/>
      <c r="U238" s="3"/>
      <c r="V238" s="733"/>
      <c r="W238" s="3"/>
      <c r="X238" s="3"/>
      <c r="Y238" s="3"/>
      <c r="Z238" s="3"/>
      <c r="AA238" s="3"/>
    </row>
    <row r="239" spans="1:27" ht="24.75" customHeight="1">
      <c r="A239" s="3"/>
      <c r="B239" s="3"/>
      <c r="C239" s="3"/>
      <c r="D239" s="3"/>
      <c r="E239" s="3"/>
      <c r="F239" s="3"/>
      <c r="G239" s="3"/>
      <c r="H239" s="3"/>
      <c r="I239" s="3"/>
      <c r="J239" s="3"/>
      <c r="K239" s="3"/>
      <c r="L239" s="3"/>
      <c r="M239" s="3"/>
      <c r="N239" s="3"/>
      <c r="O239" s="3"/>
      <c r="P239" s="3"/>
      <c r="Q239" s="3"/>
      <c r="R239" s="3"/>
      <c r="S239" s="3"/>
      <c r="T239" s="3"/>
      <c r="U239" s="3"/>
      <c r="V239" s="733"/>
      <c r="W239" s="3"/>
      <c r="X239" s="3"/>
      <c r="Y239" s="3"/>
      <c r="Z239" s="3"/>
      <c r="AA239" s="3"/>
    </row>
    <row r="240" spans="1:27" ht="24.75" customHeight="1">
      <c r="A240" s="3"/>
      <c r="B240" s="3"/>
      <c r="C240" s="3"/>
      <c r="D240" s="3"/>
      <c r="E240" s="3"/>
      <c r="F240" s="3"/>
      <c r="G240" s="3"/>
      <c r="H240" s="3"/>
      <c r="I240" s="3"/>
      <c r="J240" s="3"/>
      <c r="K240" s="3"/>
      <c r="L240" s="3"/>
      <c r="M240" s="3"/>
      <c r="N240" s="3"/>
      <c r="O240" s="3"/>
      <c r="P240" s="3"/>
      <c r="Q240" s="3"/>
      <c r="R240" s="3"/>
      <c r="S240" s="3"/>
      <c r="T240" s="3"/>
      <c r="U240" s="3"/>
      <c r="V240" s="733"/>
      <c r="W240" s="3"/>
      <c r="X240" s="3"/>
      <c r="Y240" s="3"/>
      <c r="Z240" s="3"/>
      <c r="AA240" s="3"/>
    </row>
    <row r="241" spans="1:27" ht="24.75" customHeight="1">
      <c r="A241" s="3"/>
      <c r="B241" s="3"/>
      <c r="C241" s="3"/>
      <c r="D241" s="3"/>
      <c r="E241" s="3"/>
      <c r="F241" s="3"/>
      <c r="G241" s="3"/>
      <c r="H241" s="3"/>
      <c r="I241" s="3"/>
      <c r="J241" s="3"/>
      <c r="K241" s="3"/>
      <c r="L241" s="3"/>
      <c r="M241" s="3"/>
      <c r="N241" s="3"/>
      <c r="O241" s="3"/>
      <c r="P241" s="3"/>
      <c r="Q241" s="3"/>
      <c r="R241" s="3"/>
      <c r="S241" s="3"/>
      <c r="T241" s="3"/>
      <c r="U241" s="3"/>
      <c r="V241" s="733"/>
      <c r="W241" s="3"/>
      <c r="X241" s="3"/>
      <c r="Y241" s="3"/>
      <c r="Z241" s="3"/>
      <c r="AA241" s="3"/>
    </row>
    <row r="242" spans="1:27" ht="24.75" customHeight="1">
      <c r="A242" s="3"/>
      <c r="B242" s="3"/>
      <c r="C242" s="3"/>
      <c r="D242" s="3"/>
      <c r="E242" s="3"/>
      <c r="F242" s="3"/>
      <c r="G242" s="3"/>
      <c r="H242" s="3"/>
      <c r="I242" s="3"/>
      <c r="J242" s="3"/>
      <c r="K242" s="3"/>
      <c r="L242" s="3"/>
      <c r="M242" s="3"/>
      <c r="N242" s="3"/>
      <c r="O242" s="3"/>
      <c r="P242" s="3"/>
      <c r="Q242" s="3"/>
      <c r="R242" s="3"/>
      <c r="S242" s="3"/>
      <c r="T242" s="3"/>
      <c r="U242" s="3"/>
      <c r="V242" s="733"/>
      <c r="W242" s="3"/>
      <c r="X242" s="3"/>
      <c r="Y242" s="3"/>
      <c r="Z242" s="3"/>
      <c r="AA242" s="3"/>
    </row>
    <row r="243" spans="1:27" ht="24.75" customHeight="1">
      <c r="A243" s="3"/>
      <c r="B243" s="3"/>
      <c r="C243" s="3"/>
      <c r="D243" s="3"/>
      <c r="E243" s="3"/>
      <c r="F243" s="3"/>
      <c r="G243" s="3"/>
      <c r="H243" s="3"/>
      <c r="I243" s="3"/>
      <c r="J243" s="3"/>
      <c r="K243" s="3"/>
      <c r="L243" s="3"/>
      <c r="M243" s="3"/>
      <c r="N243" s="3"/>
      <c r="O243" s="3"/>
      <c r="P243" s="3"/>
      <c r="Q243" s="3"/>
      <c r="R243" s="3"/>
      <c r="S243" s="3"/>
      <c r="T243" s="3"/>
      <c r="U243" s="3"/>
      <c r="V243" s="733"/>
      <c r="W243" s="3"/>
      <c r="X243" s="3"/>
      <c r="Y243" s="3"/>
      <c r="Z243" s="3"/>
      <c r="AA243" s="3"/>
    </row>
    <row r="244" spans="1:27" ht="24.75" customHeight="1">
      <c r="A244" s="3"/>
      <c r="B244" s="3"/>
      <c r="C244" s="3"/>
      <c r="D244" s="3"/>
      <c r="E244" s="3"/>
      <c r="F244" s="3"/>
      <c r="G244" s="3"/>
      <c r="H244" s="3"/>
      <c r="I244" s="3"/>
      <c r="J244" s="3"/>
      <c r="K244" s="3"/>
      <c r="L244" s="3"/>
      <c r="M244" s="3"/>
      <c r="N244" s="3"/>
      <c r="O244" s="3"/>
      <c r="P244" s="3"/>
      <c r="Q244" s="3"/>
      <c r="R244" s="3"/>
      <c r="S244" s="3"/>
      <c r="T244" s="3"/>
      <c r="U244" s="3"/>
      <c r="V244" s="733"/>
      <c r="W244" s="3"/>
      <c r="X244" s="3"/>
      <c r="Y244" s="3"/>
      <c r="Z244" s="3"/>
      <c r="AA244" s="3"/>
    </row>
    <row r="245" spans="1:27" ht="24.75" customHeight="1">
      <c r="A245" s="3"/>
      <c r="B245" s="3"/>
      <c r="C245" s="3"/>
      <c r="D245" s="3"/>
      <c r="E245" s="3"/>
      <c r="F245" s="3"/>
      <c r="G245" s="3"/>
      <c r="H245" s="3"/>
      <c r="I245" s="3"/>
      <c r="J245" s="3"/>
      <c r="K245" s="3"/>
      <c r="L245" s="3"/>
      <c r="M245" s="3"/>
      <c r="N245" s="3"/>
      <c r="O245" s="3"/>
      <c r="P245" s="3"/>
      <c r="Q245" s="3"/>
      <c r="R245" s="3"/>
      <c r="S245" s="3"/>
      <c r="T245" s="3"/>
      <c r="U245" s="3"/>
      <c r="V245" s="733"/>
      <c r="W245" s="3"/>
      <c r="X245" s="3"/>
      <c r="Y245" s="3"/>
      <c r="Z245" s="3"/>
      <c r="AA245" s="3"/>
    </row>
    <row r="246" spans="1:27" ht="24.75" customHeight="1">
      <c r="A246" s="3"/>
      <c r="B246" s="3"/>
      <c r="C246" s="3"/>
      <c r="D246" s="3"/>
      <c r="E246" s="3"/>
      <c r="F246" s="3"/>
      <c r="G246" s="3"/>
      <c r="H246" s="3"/>
      <c r="I246" s="3"/>
      <c r="J246" s="3"/>
      <c r="K246" s="3"/>
      <c r="L246" s="3"/>
      <c r="M246" s="3"/>
      <c r="N246" s="3"/>
      <c r="O246" s="3"/>
      <c r="P246" s="3"/>
      <c r="Q246" s="3"/>
      <c r="R246" s="3"/>
      <c r="S246" s="3"/>
      <c r="T246" s="3"/>
      <c r="U246" s="3"/>
      <c r="V246" s="733"/>
      <c r="W246" s="3"/>
      <c r="X246" s="3"/>
      <c r="Y246" s="3"/>
      <c r="Z246" s="3"/>
      <c r="AA246" s="3"/>
    </row>
    <row r="247" spans="1:27" ht="24.75" customHeight="1">
      <c r="A247" s="3"/>
      <c r="B247" s="3"/>
      <c r="C247" s="3"/>
      <c r="D247" s="3"/>
      <c r="E247" s="3"/>
      <c r="F247" s="3"/>
      <c r="G247" s="3"/>
      <c r="H247" s="3"/>
      <c r="I247" s="3"/>
      <c r="J247" s="3"/>
      <c r="K247" s="3"/>
      <c r="L247" s="3"/>
      <c r="M247" s="3"/>
      <c r="N247" s="3"/>
      <c r="O247" s="3"/>
      <c r="P247" s="3"/>
      <c r="Q247" s="3"/>
      <c r="R247" s="3"/>
      <c r="S247" s="3"/>
      <c r="T247" s="3"/>
      <c r="U247" s="3"/>
      <c r="V247" s="733"/>
      <c r="W247" s="3"/>
      <c r="X247" s="3"/>
      <c r="Y247" s="3"/>
      <c r="Z247" s="3"/>
      <c r="AA247" s="3"/>
    </row>
    <row r="248" spans="1:27" ht="24.75" customHeight="1">
      <c r="A248" s="3"/>
      <c r="B248" s="3"/>
      <c r="C248" s="3"/>
      <c r="D248" s="3"/>
      <c r="E248" s="3"/>
      <c r="F248" s="3"/>
      <c r="G248" s="3"/>
      <c r="H248" s="3"/>
      <c r="I248" s="3"/>
      <c r="J248" s="3"/>
      <c r="K248" s="3"/>
      <c r="L248" s="3"/>
      <c r="M248" s="3"/>
      <c r="N248" s="3"/>
      <c r="O248" s="3"/>
      <c r="P248" s="3"/>
      <c r="Q248" s="3"/>
      <c r="R248" s="3"/>
      <c r="S248" s="3"/>
      <c r="T248" s="3"/>
      <c r="U248" s="3"/>
      <c r="V248" s="733"/>
      <c r="W248" s="3"/>
      <c r="X248" s="3"/>
      <c r="Y248" s="3"/>
      <c r="Z248" s="3"/>
      <c r="AA248" s="3"/>
    </row>
    <row r="249" spans="1:27" ht="24.75" customHeight="1">
      <c r="A249" s="3"/>
      <c r="B249" s="3"/>
      <c r="C249" s="3"/>
      <c r="D249" s="3"/>
      <c r="E249" s="3"/>
      <c r="F249" s="3"/>
      <c r="G249" s="3"/>
      <c r="H249" s="3"/>
      <c r="I249" s="3"/>
      <c r="J249" s="3"/>
      <c r="K249" s="3"/>
      <c r="L249" s="3"/>
      <c r="M249" s="3"/>
      <c r="N249" s="3"/>
      <c r="O249" s="3"/>
      <c r="P249" s="3"/>
      <c r="Q249" s="3"/>
      <c r="R249" s="3"/>
      <c r="S249" s="3"/>
      <c r="T249" s="3"/>
      <c r="U249" s="3"/>
      <c r="V249" s="733"/>
      <c r="W249" s="3"/>
      <c r="X249" s="3"/>
      <c r="Y249" s="3"/>
      <c r="Z249" s="3"/>
      <c r="AA249" s="3"/>
    </row>
    <row r="250" spans="1:27" ht="24.75" customHeight="1">
      <c r="A250" s="3"/>
      <c r="B250" s="3"/>
      <c r="C250" s="3"/>
      <c r="D250" s="3"/>
      <c r="E250" s="3"/>
      <c r="F250" s="3"/>
      <c r="G250" s="3"/>
      <c r="H250" s="3"/>
      <c r="I250" s="3"/>
      <c r="J250" s="3"/>
      <c r="K250" s="3"/>
      <c r="L250" s="3"/>
      <c r="M250" s="3"/>
      <c r="N250" s="3"/>
      <c r="O250" s="3"/>
      <c r="P250" s="3"/>
      <c r="Q250" s="3"/>
      <c r="R250" s="3"/>
      <c r="S250" s="3"/>
      <c r="T250" s="3"/>
      <c r="U250" s="3"/>
      <c r="V250" s="733"/>
      <c r="W250" s="3"/>
      <c r="X250" s="3"/>
      <c r="Y250" s="3"/>
      <c r="Z250" s="3"/>
      <c r="AA250" s="3"/>
    </row>
    <row r="251" spans="1:27" ht="24.75" customHeight="1">
      <c r="A251" s="3"/>
      <c r="B251" s="3"/>
      <c r="C251" s="3"/>
      <c r="D251" s="3"/>
      <c r="E251" s="3"/>
      <c r="F251" s="3"/>
      <c r="G251" s="3"/>
      <c r="H251" s="3"/>
      <c r="I251" s="3"/>
      <c r="J251" s="3"/>
      <c r="K251" s="3"/>
      <c r="L251" s="3"/>
      <c r="M251" s="3"/>
      <c r="N251" s="3"/>
      <c r="O251" s="3"/>
      <c r="P251" s="3"/>
      <c r="Q251" s="3"/>
      <c r="R251" s="3"/>
      <c r="S251" s="3"/>
      <c r="T251" s="3"/>
      <c r="U251" s="3"/>
      <c r="V251" s="733"/>
      <c r="W251" s="3"/>
      <c r="X251" s="3"/>
      <c r="Y251" s="3"/>
      <c r="Z251" s="3"/>
      <c r="AA251" s="3"/>
    </row>
    <row r="252" spans="1:27" ht="24.75" customHeight="1">
      <c r="A252" s="3"/>
      <c r="B252" s="3"/>
      <c r="C252" s="3"/>
      <c r="D252" s="3"/>
      <c r="E252" s="3"/>
      <c r="F252" s="3"/>
      <c r="G252" s="3"/>
      <c r="H252" s="3"/>
      <c r="I252" s="3"/>
      <c r="J252" s="3"/>
      <c r="K252" s="3"/>
      <c r="L252" s="3"/>
      <c r="M252" s="3"/>
      <c r="N252" s="3"/>
      <c r="O252" s="3"/>
      <c r="P252" s="3"/>
      <c r="Q252" s="3"/>
      <c r="R252" s="3"/>
      <c r="S252" s="3"/>
      <c r="T252" s="3"/>
      <c r="U252" s="3"/>
      <c r="V252" s="733"/>
      <c r="W252" s="3"/>
      <c r="X252" s="3"/>
      <c r="Y252" s="3"/>
      <c r="Z252" s="3"/>
      <c r="AA252" s="3"/>
    </row>
    <row r="253" spans="1:27" ht="24.75" customHeight="1">
      <c r="A253" s="3"/>
      <c r="B253" s="3"/>
      <c r="C253" s="3"/>
      <c r="D253" s="3"/>
      <c r="E253" s="3"/>
      <c r="F253" s="3"/>
      <c r="G253" s="3"/>
      <c r="H253" s="3"/>
      <c r="I253" s="3"/>
      <c r="J253" s="3"/>
      <c r="K253" s="3"/>
      <c r="L253" s="3"/>
      <c r="M253" s="3"/>
      <c r="N253" s="3"/>
      <c r="O253" s="3"/>
      <c r="P253" s="3"/>
      <c r="Q253" s="3"/>
      <c r="R253" s="3"/>
      <c r="S253" s="3"/>
      <c r="T253" s="3"/>
      <c r="U253" s="3"/>
      <c r="V253" s="733"/>
      <c r="W253" s="3"/>
      <c r="X253" s="3"/>
      <c r="Y253" s="3"/>
      <c r="Z253" s="3"/>
      <c r="AA253" s="3"/>
    </row>
    <row r="254" spans="1:27" ht="24.75" customHeight="1">
      <c r="A254" s="3"/>
      <c r="B254" s="3"/>
      <c r="C254" s="3"/>
      <c r="D254" s="3"/>
      <c r="E254" s="3"/>
      <c r="F254" s="3"/>
      <c r="G254" s="3"/>
      <c r="H254" s="3"/>
      <c r="I254" s="3"/>
      <c r="J254" s="3"/>
      <c r="K254" s="3"/>
      <c r="L254" s="3"/>
      <c r="M254" s="3"/>
      <c r="N254" s="3"/>
      <c r="O254" s="3"/>
      <c r="P254" s="3"/>
      <c r="Q254" s="3"/>
      <c r="R254" s="3"/>
      <c r="S254" s="3"/>
      <c r="T254" s="3"/>
      <c r="U254" s="3"/>
      <c r="V254" s="733"/>
      <c r="W254" s="3"/>
      <c r="X254" s="3"/>
      <c r="Y254" s="3"/>
      <c r="Z254" s="3"/>
      <c r="AA254" s="3"/>
    </row>
    <row r="255" spans="1:27" ht="24.75" customHeight="1">
      <c r="A255" s="3"/>
      <c r="B255" s="3"/>
      <c r="C255" s="3"/>
      <c r="D255" s="3"/>
      <c r="E255" s="3"/>
      <c r="F255" s="3"/>
      <c r="G255" s="3"/>
      <c r="H255" s="3"/>
      <c r="I255" s="3"/>
      <c r="J255" s="3"/>
      <c r="K255" s="3"/>
      <c r="L255" s="3"/>
      <c r="M255" s="3"/>
      <c r="N255" s="3"/>
      <c r="O255" s="3"/>
      <c r="P255" s="3"/>
      <c r="Q255" s="3"/>
      <c r="R255" s="3"/>
      <c r="S255" s="3"/>
      <c r="T255" s="3"/>
      <c r="U255" s="3"/>
      <c r="V255" s="733"/>
      <c r="W255" s="3"/>
      <c r="X255" s="3"/>
      <c r="Y255" s="3"/>
      <c r="Z255" s="3"/>
      <c r="AA255" s="3"/>
    </row>
    <row r="256" spans="1:27" ht="24.75" customHeight="1">
      <c r="A256" s="3"/>
      <c r="B256" s="3"/>
      <c r="C256" s="3"/>
      <c r="D256" s="3"/>
      <c r="E256" s="3"/>
      <c r="F256" s="3"/>
      <c r="G256" s="3"/>
      <c r="H256" s="3"/>
      <c r="I256" s="3"/>
      <c r="J256" s="3"/>
      <c r="K256" s="3"/>
      <c r="L256" s="3"/>
      <c r="M256" s="3"/>
      <c r="N256" s="3"/>
      <c r="O256" s="3"/>
      <c r="P256" s="3"/>
      <c r="Q256" s="3"/>
      <c r="R256" s="3"/>
      <c r="S256" s="3"/>
      <c r="T256" s="3"/>
      <c r="U256" s="3"/>
      <c r="V256" s="733"/>
      <c r="W256" s="3"/>
      <c r="X256" s="3"/>
      <c r="Y256" s="3"/>
      <c r="Z256" s="3"/>
      <c r="AA256" s="3"/>
    </row>
    <row r="257" spans="1:27" ht="24.75" customHeight="1">
      <c r="A257" s="3"/>
      <c r="B257" s="3"/>
      <c r="C257" s="3"/>
      <c r="D257" s="3"/>
      <c r="E257" s="3"/>
      <c r="F257" s="3"/>
      <c r="G257" s="3"/>
      <c r="H257" s="3"/>
      <c r="I257" s="3"/>
      <c r="J257" s="3"/>
      <c r="K257" s="3"/>
      <c r="L257" s="3"/>
      <c r="M257" s="3"/>
      <c r="N257" s="3"/>
      <c r="O257" s="3"/>
      <c r="P257" s="3"/>
      <c r="Q257" s="3"/>
      <c r="R257" s="3"/>
      <c r="S257" s="3"/>
      <c r="T257" s="3"/>
      <c r="U257" s="3"/>
      <c r="V257" s="733"/>
      <c r="W257" s="3"/>
      <c r="X257" s="3"/>
      <c r="Y257" s="3"/>
      <c r="Z257" s="3"/>
      <c r="AA257" s="3"/>
    </row>
    <row r="258" spans="1:27" ht="24.75" customHeight="1">
      <c r="A258" s="3"/>
      <c r="B258" s="3"/>
      <c r="C258" s="3"/>
      <c r="D258" s="3"/>
      <c r="E258" s="3"/>
      <c r="F258" s="3"/>
      <c r="G258" s="3"/>
      <c r="H258" s="3"/>
      <c r="I258" s="3"/>
      <c r="J258" s="3"/>
      <c r="K258" s="3"/>
      <c r="L258" s="3"/>
      <c r="M258" s="3"/>
      <c r="N258" s="3"/>
      <c r="O258" s="3"/>
      <c r="P258" s="3"/>
      <c r="Q258" s="3"/>
      <c r="R258" s="3"/>
      <c r="S258" s="3"/>
      <c r="T258" s="3"/>
      <c r="U258" s="3"/>
      <c r="V258" s="733"/>
      <c r="W258" s="3"/>
      <c r="X258" s="3"/>
      <c r="Y258" s="3"/>
      <c r="Z258" s="3"/>
      <c r="AA258" s="3"/>
    </row>
    <row r="259" spans="1:27" ht="24.75" customHeight="1">
      <c r="A259" s="3"/>
      <c r="B259" s="3"/>
      <c r="C259" s="3"/>
      <c r="D259" s="3"/>
      <c r="E259" s="3"/>
      <c r="F259" s="3"/>
      <c r="G259" s="3"/>
      <c r="H259" s="3"/>
      <c r="I259" s="3"/>
      <c r="J259" s="3"/>
      <c r="K259" s="3"/>
      <c r="L259" s="3"/>
      <c r="M259" s="3"/>
      <c r="N259" s="3"/>
      <c r="O259" s="3"/>
      <c r="P259" s="3"/>
      <c r="Q259" s="3"/>
      <c r="R259" s="3"/>
      <c r="S259" s="3"/>
      <c r="T259" s="3"/>
      <c r="U259" s="3"/>
      <c r="V259" s="733"/>
      <c r="W259" s="3"/>
      <c r="X259" s="3"/>
      <c r="Y259" s="3"/>
      <c r="Z259" s="3"/>
      <c r="AA259" s="3"/>
    </row>
    <row r="260" spans="1:27" ht="24.75" customHeight="1">
      <c r="A260" s="3"/>
      <c r="B260" s="3"/>
      <c r="C260" s="3"/>
      <c r="D260" s="3"/>
      <c r="E260" s="3"/>
      <c r="F260" s="3"/>
      <c r="G260" s="3"/>
      <c r="H260" s="3"/>
      <c r="I260" s="3"/>
      <c r="J260" s="3"/>
      <c r="K260" s="3"/>
      <c r="L260" s="3"/>
      <c r="M260" s="3"/>
      <c r="N260" s="3"/>
      <c r="O260" s="3"/>
      <c r="P260" s="3"/>
      <c r="Q260" s="3"/>
      <c r="R260" s="3"/>
      <c r="S260" s="3"/>
      <c r="T260" s="3"/>
      <c r="U260" s="3"/>
      <c r="V260" s="733"/>
      <c r="W260" s="3"/>
      <c r="X260" s="3"/>
      <c r="Y260" s="3"/>
      <c r="Z260" s="3"/>
      <c r="AA260" s="3"/>
    </row>
    <row r="261" spans="1:27" ht="24.75" customHeight="1">
      <c r="A261" s="3"/>
      <c r="B261" s="3"/>
      <c r="C261" s="3"/>
      <c r="D261" s="3"/>
      <c r="E261" s="3"/>
      <c r="F261" s="3"/>
      <c r="G261" s="3"/>
      <c r="H261" s="3"/>
      <c r="I261" s="3"/>
      <c r="J261" s="3"/>
      <c r="K261" s="3"/>
      <c r="L261" s="3"/>
      <c r="M261" s="3"/>
      <c r="N261" s="3"/>
      <c r="O261" s="3"/>
      <c r="P261" s="3"/>
      <c r="Q261" s="3"/>
      <c r="R261" s="3"/>
      <c r="S261" s="3"/>
      <c r="T261" s="3"/>
      <c r="U261" s="3"/>
      <c r="V261" s="733"/>
      <c r="W261" s="3"/>
      <c r="X261" s="3"/>
      <c r="Y261" s="3"/>
      <c r="Z261" s="3"/>
      <c r="AA261" s="3"/>
    </row>
    <row r="262" spans="1:27" ht="24.75" customHeight="1">
      <c r="A262" s="3"/>
      <c r="B262" s="3"/>
      <c r="C262" s="3"/>
      <c r="D262" s="3"/>
      <c r="E262" s="3"/>
      <c r="F262" s="3"/>
      <c r="G262" s="3"/>
      <c r="H262" s="3"/>
      <c r="I262" s="3"/>
      <c r="J262" s="3"/>
      <c r="K262" s="3"/>
      <c r="L262" s="3"/>
      <c r="M262" s="3"/>
      <c r="N262" s="3"/>
      <c r="O262" s="3"/>
      <c r="P262" s="3"/>
      <c r="Q262" s="3"/>
      <c r="R262" s="3"/>
      <c r="S262" s="3"/>
      <c r="T262" s="3"/>
      <c r="U262" s="3"/>
      <c r="V262" s="733"/>
      <c r="W262" s="3"/>
      <c r="X262" s="3"/>
      <c r="Y262" s="3"/>
      <c r="Z262" s="3"/>
      <c r="AA262" s="3"/>
    </row>
    <row r="263" spans="1:27" ht="24.75" customHeight="1">
      <c r="A263" s="3"/>
      <c r="B263" s="3"/>
      <c r="C263" s="3"/>
      <c r="D263" s="3"/>
      <c r="E263" s="3"/>
      <c r="F263" s="3"/>
      <c r="G263" s="3"/>
      <c r="H263" s="3"/>
      <c r="I263" s="3"/>
      <c r="J263" s="3"/>
      <c r="K263" s="3"/>
      <c r="L263" s="3"/>
      <c r="M263" s="3"/>
      <c r="N263" s="3"/>
      <c r="O263" s="3"/>
      <c r="P263" s="3"/>
      <c r="Q263" s="3"/>
      <c r="R263" s="3"/>
      <c r="S263" s="3"/>
      <c r="T263" s="3"/>
      <c r="U263" s="3"/>
      <c r="V263" s="733"/>
      <c r="W263" s="3"/>
      <c r="X263" s="3"/>
      <c r="Y263" s="3"/>
      <c r="Z263" s="3"/>
      <c r="AA263" s="3"/>
    </row>
    <row r="264" spans="1:27" ht="24.75" customHeight="1">
      <c r="A264" s="3"/>
      <c r="B264" s="3"/>
      <c r="C264" s="3"/>
      <c r="D264" s="3"/>
      <c r="E264" s="3"/>
      <c r="F264" s="3"/>
      <c r="G264" s="3"/>
      <c r="H264" s="3"/>
      <c r="I264" s="3"/>
      <c r="J264" s="3"/>
      <c r="K264" s="3"/>
      <c r="L264" s="3"/>
      <c r="M264" s="3"/>
      <c r="N264" s="3"/>
      <c r="O264" s="3"/>
      <c r="P264" s="3"/>
      <c r="Q264" s="3"/>
      <c r="R264" s="3"/>
      <c r="S264" s="3"/>
      <c r="T264" s="3"/>
      <c r="U264" s="3"/>
      <c r="V264" s="733"/>
      <c r="W264" s="3"/>
      <c r="X264" s="3"/>
      <c r="Y264" s="3"/>
      <c r="Z264" s="3"/>
      <c r="AA264" s="3"/>
    </row>
    <row r="265" spans="1:27" ht="24.75" customHeight="1">
      <c r="A265" s="3"/>
      <c r="B265" s="3"/>
      <c r="C265" s="3"/>
      <c r="D265" s="3"/>
      <c r="E265" s="3"/>
      <c r="F265" s="3"/>
      <c r="G265" s="3"/>
      <c r="H265" s="3"/>
      <c r="I265" s="3"/>
      <c r="J265" s="3"/>
      <c r="K265" s="3"/>
      <c r="L265" s="3"/>
      <c r="M265" s="3"/>
      <c r="N265" s="3"/>
      <c r="O265" s="3"/>
      <c r="P265" s="3"/>
      <c r="Q265" s="3"/>
      <c r="R265" s="3"/>
      <c r="S265" s="3"/>
      <c r="T265" s="3"/>
      <c r="U265" s="3"/>
      <c r="V265" s="733"/>
      <c r="W265" s="3"/>
      <c r="X265" s="3"/>
      <c r="Y265" s="3"/>
      <c r="Z265" s="3"/>
      <c r="AA265" s="3"/>
    </row>
    <row r="266" spans="1:27" ht="24.75" customHeight="1">
      <c r="A266" s="3"/>
      <c r="B266" s="3"/>
      <c r="C266" s="3"/>
      <c r="D266" s="3"/>
      <c r="E266" s="3"/>
      <c r="F266" s="3"/>
      <c r="G266" s="3"/>
      <c r="H266" s="3"/>
      <c r="I266" s="3"/>
      <c r="J266" s="3"/>
      <c r="K266" s="3"/>
      <c r="L266" s="3"/>
      <c r="M266" s="3"/>
      <c r="N266" s="3"/>
      <c r="O266" s="3"/>
      <c r="P266" s="3"/>
      <c r="Q266" s="3"/>
      <c r="R266" s="3"/>
      <c r="S266" s="3"/>
      <c r="T266" s="3"/>
      <c r="U266" s="3"/>
      <c r="V266" s="733"/>
      <c r="W266" s="3"/>
      <c r="X266" s="3"/>
      <c r="Y266" s="3"/>
      <c r="Z266" s="3"/>
      <c r="AA266" s="3"/>
    </row>
    <row r="267" spans="1:27" ht="24.75" customHeight="1">
      <c r="A267" s="3"/>
      <c r="B267" s="3"/>
      <c r="C267" s="3"/>
      <c r="D267" s="3"/>
      <c r="E267" s="3"/>
      <c r="F267" s="3"/>
      <c r="G267" s="3"/>
      <c r="H267" s="3"/>
      <c r="I267" s="3"/>
      <c r="J267" s="3"/>
      <c r="K267" s="3"/>
      <c r="L267" s="3"/>
      <c r="M267" s="3"/>
      <c r="N267" s="3"/>
      <c r="O267" s="3"/>
      <c r="P267" s="3"/>
      <c r="Q267" s="3"/>
      <c r="R267" s="3"/>
      <c r="S267" s="3"/>
      <c r="T267" s="3"/>
      <c r="U267" s="3"/>
      <c r="V267" s="733"/>
      <c r="W267" s="3"/>
      <c r="X267" s="3"/>
      <c r="Y267" s="3"/>
      <c r="Z267" s="3"/>
      <c r="AA267" s="3"/>
    </row>
    <row r="268" spans="1:27" ht="24.75" customHeight="1">
      <c r="A268" s="3"/>
      <c r="B268" s="3"/>
      <c r="C268" s="3"/>
      <c r="D268" s="3"/>
      <c r="E268" s="3"/>
      <c r="F268" s="3"/>
      <c r="G268" s="3"/>
      <c r="H268" s="3"/>
      <c r="I268" s="3"/>
      <c r="J268" s="3"/>
      <c r="K268" s="3"/>
      <c r="L268" s="3"/>
      <c r="M268" s="3"/>
      <c r="N268" s="3"/>
      <c r="O268" s="3"/>
      <c r="P268" s="3"/>
      <c r="Q268" s="3"/>
      <c r="R268" s="3"/>
      <c r="S268" s="3"/>
      <c r="T268" s="3"/>
      <c r="U268" s="3"/>
      <c r="V268" s="733"/>
      <c r="W268" s="3"/>
      <c r="X268" s="3"/>
      <c r="Y268" s="3"/>
      <c r="Z268" s="3"/>
      <c r="AA268" s="3"/>
    </row>
    <row r="269" spans="1:27" ht="24.75" customHeight="1">
      <c r="A269" s="3"/>
      <c r="B269" s="3"/>
      <c r="C269" s="3"/>
      <c r="D269" s="3"/>
      <c r="E269" s="3"/>
      <c r="F269" s="3"/>
      <c r="G269" s="3"/>
      <c r="H269" s="3"/>
      <c r="I269" s="3"/>
      <c r="J269" s="3"/>
      <c r="K269" s="3"/>
      <c r="L269" s="3"/>
      <c r="M269" s="3"/>
      <c r="N269" s="3"/>
      <c r="O269" s="3"/>
      <c r="P269" s="3"/>
      <c r="Q269" s="3"/>
      <c r="R269" s="3"/>
      <c r="S269" s="3"/>
      <c r="T269" s="3"/>
      <c r="U269" s="3"/>
      <c r="V269" s="733"/>
      <c r="W269" s="3"/>
      <c r="X269" s="3"/>
      <c r="Y269" s="3"/>
      <c r="Z269" s="3"/>
      <c r="AA269" s="3"/>
    </row>
    <row r="270" spans="1:27" ht="24.75" customHeight="1">
      <c r="A270" s="3"/>
      <c r="B270" s="3"/>
      <c r="C270" s="3"/>
      <c r="D270" s="3"/>
      <c r="E270" s="3"/>
      <c r="F270" s="3"/>
      <c r="G270" s="3"/>
      <c r="H270" s="3"/>
      <c r="I270" s="3"/>
      <c r="J270" s="3"/>
      <c r="K270" s="3"/>
      <c r="L270" s="3"/>
      <c r="M270" s="3"/>
      <c r="N270" s="3"/>
      <c r="O270" s="3"/>
      <c r="P270" s="3"/>
      <c r="Q270" s="3"/>
      <c r="R270" s="3"/>
      <c r="S270" s="3"/>
      <c r="T270" s="3"/>
      <c r="U270" s="3"/>
      <c r="V270" s="733"/>
      <c r="W270" s="3"/>
      <c r="X270" s="3"/>
      <c r="Y270" s="3"/>
      <c r="Z270" s="3"/>
      <c r="AA270" s="3"/>
    </row>
    <row r="271" spans="1:27" ht="24.75" customHeight="1">
      <c r="A271" s="3"/>
      <c r="B271" s="3"/>
      <c r="C271" s="3"/>
      <c r="D271" s="3"/>
      <c r="E271" s="3"/>
      <c r="F271" s="3"/>
      <c r="G271" s="3"/>
      <c r="H271" s="3"/>
      <c r="I271" s="3"/>
      <c r="J271" s="3"/>
      <c r="K271" s="3"/>
      <c r="L271" s="3"/>
      <c r="M271" s="3"/>
      <c r="N271" s="3"/>
      <c r="O271" s="3"/>
      <c r="P271" s="3"/>
      <c r="Q271" s="3"/>
      <c r="R271" s="3"/>
      <c r="S271" s="3"/>
      <c r="T271" s="3"/>
      <c r="U271" s="3"/>
      <c r="V271" s="733"/>
      <c r="W271" s="3"/>
      <c r="X271" s="3"/>
      <c r="Y271" s="3"/>
      <c r="Z271" s="3"/>
      <c r="AA271" s="3"/>
    </row>
    <row r="272" spans="1:27" ht="24.75" customHeight="1">
      <c r="A272" s="3"/>
      <c r="B272" s="3"/>
      <c r="C272" s="3"/>
      <c r="D272" s="3"/>
      <c r="E272" s="3"/>
      <c r="F272" s="3"/>
      <c r="G272" s="3"/>
      <c r="H272" s="3"/>
      <c r="I272" s="3"/>
      <c r="J272" s="3"/>
      <c r="K272" s="3"/>
      <c r="L272" s="3"/>
      <c r="M272" s="3"/>
      <c r="N272" s="3"/>
      <c r="O272" s="3"/>
      <c r="P272" s="3"/>
      <c r="Q272" s="3"/>
      <c r="R272" s="3"/>
      <c r="S272" s="3"/>
      <c r="T272" s="3"/>
      <c r="U272" s="3"/>
      <c r="V272" s="733"/>
      <c r="W272" s="3"/>
      <c r="X272" s="3"/>
      <c r="Y272" s="3"/>
      <c r="Z272" s="3"/>
      <c r="AA272" s="3"/>
    </row>
    <row r="273" spans="1:27" ht="24.75" customHeight="1">
      <c r="A273" s="3"/>
      <c r="B273" s="3"/>
      <c r="C273" s="3"/>
      <c r="D273" s="3"/>
      <c r="E273" s="3"/>
      <c r="F273" s="3"/>
      <c r="G273" s="3"/>
      <c r="H273" s="3"/>
      <c r="I273" s="3"/>
      <c r="J273" s="3"/>
      <c r="K273" s="3"/>
      <c r="L273" s="3"/>
      <c r="M273" s="3"/>
      <c r="N273" s="3"/>
      <c r="O273" s="3"/>
      <c r="P273" s="3"/>
      <c r="Q273" s="3"/>
      <c r="R273" s="3"/>
      <c r="S273" s="3"/>
      <c r="T273" s="3"/>
      <c r="U273" s="3"/>
      <c r="V273" s="733"/>
      <c r="W273" s="3"/>
      <c r="X273" s="3"/>
      <c r="Y273" s="3"/>
      <c r="Z273" s="3"/>
      <c r="AA273" s="3"/>
    </row>
    <row r="274" spans="1:27" ht="24.75" customHeight="1">
      <c r="A274" s="3"/>
      <c r="B274" s="3"/>
      <c r="C274" s="3"/>
      <c r="D274" s="3"/>
      <c r="E274" s="3"/>
      <c r="F274" s="3"/>
      <c r="G274" s="3"/>
      <c r="H274" s="3"/>
      <c r="I274" s="3"/>
      <c r="J274" s="3"/>
      <c r="K274" s="3"/>
      <c r="L274" s="3"/>
      <c r="M274" s="3"/>
      <c r="N274" s="3"/>
      <c r="O274" s="3"/>
      <c r="P274" s="3"/>
      <c r="Q274" s="3"/>
      <c r="R274" s="3"/>
      <c r="S274" s="3"/>
      <c r="T274" s="3"/>
      <c r="U274" s="3"/>
      <c r="V274" s="733"/>
      <c r="W274" s="3"/>
      <c r="X274" s="3"/>
      <c r="Y274" s="3"/>
      <c r="Z274" s="3"/>
      <c r="AA274" s="3"/>
    </row>
    <row r="275" spans="1:27" ht="24.75" customHeight="1">
      <c r="A275" s="3"/>
      <c r="B275" s="3"/>
      <c r="C275" s="3"/>
      <c r="D275" s="3"/>
      <c r="E275" s="3"/>
      <c r="F275" s="3"/>
      <c r="G275" s="3"/>
      <c r="H275" s="3"/>
      <c r="I275" s="3"/>
      <c r="J275" s="3"/>
      <c r="K275" s="3"/>
      <c r="L275" s="3"/>
      <c r="M275" s="3"/>
      <c r="N275" s="3"/>
      <c r="O275" s="3"/>
      <c r="P275" s="3"/>
      <c r="Q275" s="3"/>
      <c r="R275" s="3"/>
      <c r="S275" s="3"/>
      <c r="T275" s="3"/>
      <c r="U275" s="3"/>
      <c r="V275" s="733"/>
      <c r="W275" s="3"/>
      <c r="X275" s="3"/>
      <c r="Y275" s="3"/>
      <c r="Z275" s="3"/>
      <c r="AA275" s="3"/>
    </row>
    <row r="276" spans="1:27" ht="24.75" customHeight="1">
      <c r="A276" s="3"/>
      <c r="B276" s="3"/>
      <c r="C276" s="3"/>
      <c r="D276" s="3"/>
      <c r="E276" s="3"/>
      <c r="F276" s="3"/>
      <c r="G276" s="3"/>
      <c r="H276" s="3"/>
      <c r="I276" s="3"/>
      <c r="J276" s="3"/>
      <c r="K276" s="3"/>
      <c r="L276" s="3"/>
      <c r="M276" s="3"/>
      <c r="N276" s="3"/>
      <c r="O276" s="3"/>
      <c r="P276" s="3"/>
      <c r="Q276" s="3"/>
      <c r="R276" s="3"/>
      <c r="S276" s="3"/>
      <c r="T276" s="3"/>
      <c r="U276" s="3"/>
      <c r="V276" s="733"/>
      <c r="W276" s="3"/>
      <c r="X276" s="3"/>
      <c r="Y276" s="3"/>
      <c r="Z276" s="3"/>
      <c r="AA276" s="3"/>
    </row>
    <row r="277" spans="1:27" ht="24.75" customHeight="1">
      <c r="A277" s="3"/>
      <c r="B277" s="3"/>
      <c r="C277" s="3"/>
      <c r="D277" s="3"/>
      <c r="E277" s="3"/>
      <c r="F277" s="3"/>
      <c r="G277" s="3"/>
      <c r="H277" s="3"/>
      <c r="I277" s="3"/>
      <c r="J277" s="3"/>
      <c r="K277" s="3"/>
      <c r="L277" s="3"/>
      <c r="M277" s="3"/>
      <c r="N277" s="3"/>
      <c r="O277" s="3"/>
      <c r="P277" s="3"/>
      <c r="Q277" s="3"/>
      <c r="R277" s="3"/>
      <c r="S277" s="3"/>
      <c r="T277" s="3"/>
      <c r="U277" s="3"/>
      <c r="V277" s="733"/>
      <c r="W277" s="3"/>
      <c r="X277" s="3"/>
      <c r="Y277" s="3"/>
      <c r="Z277" s="3"/>
      <c r="AA277" s="3"/>
    </row>
    <row r="278" spans="1:27" ht="24.75" customHeight="1">
      <c r="A278" s="3"/>
      <c r="B278" s="3"/>
      <c r="C278" s="3"/>
      <c r="D278" s="3"/>
      <c r="E278" s="3"/>
      <c r="F278" s="3"/>
      <c r="G278" s="3"/>
      <c r="H278" s="3"/>
      <c r="I278" s="3"/>
      <c r="J278" s="3"/>
      <c r="K278" s="3"/>
      <c r="L278" s="3"/>
      <c r="M278" s="3"/>
      <c r="N278" s="3"/>
      <c r="O278" s="3"/>
      <c r="P278" s="3"/>
      <c r="Q278" s="3"/>
      <c r="R278" s="3"/>
      <c r="S278" s="3"/>
      <c r="T278" s="3"/>
      <c r="U278" s="3"/>
      <c r="V278" s="733"/>
      <c r="W278" s="3"/>
      <c r="X278" s="3"/>
      <c r="Y278" s="3"/>
      <c r="Z278" s="3"/>
      <c r="AA278" s="3"/>
    </row>
    <row r="279" spans="1:27" ht="24.75" customHeight="1">
      <c r="A279" s="3"/>
      <c r="B279" s="3"/>
      <c r="C279" s="3"/>
      <c r="D279" s="3"/>
      <c r="E279" s="3"/>
      <c r="F279" s="3"/>
      <c r="G279" s="3"/>
      <c r="H279" s="3"/>
      <c r="I279" s="3"/>
      <c r="J279" s="3"/>
      <c r="K279" s="3"/>
      <c r="L279" s="3"/>
      <c r="M279" s="3"/>
      <c r="N279" s="3"/>
      <c r="O279" s="3"/>
      <c r="P279" s="3"/>
      <c r="Q279" s="3"/>
      <c r="R279" s="3"/>
      <c r="S279" s="3"/>
      <c r="T279" s="3"/>
      <c r="U279" s="3"/>
      <c r="V279" s="733"/>
      <c r="W279" s="3"/>
      <c r="X279" s="3"/>
      <c r="Y279" s="3"/>
      <c r="Z279" s="3"/>
      <c r="AA279" s="3"/>
    </row>
    <row r="280" spans="1:27" ht="24.75" customHeight="1">
      <c r="A280" s="3"/>
      <c r="B280" s="3"/>
      <c r="C280" s="3"/>
      <c r="D280" s="3"/>
      <c r="E280" s="3"/>
      <c r="F280" s="3"/>
      <c r="G280" s="3"/>
      <c r="H280" s="3"/>
      <c r="I280" s="3"/>
      <c r="J280" s="3"/>
      <c r="K280" s="3"/>
      <c r="L280" s="3"/>
      <c r="M280" s="3"/>
      <c r="N280" s="3"/>
      <c r="O280" s="3"/>
      <c r="P280" s="3"/>
      <c r="Q280" s="3"/>
      <c r="R280" s="3"/>
      <c r="S280" s="3"/>
      <c r="T280" s="3"/>
      <c r="U280" s="3"/>
      <c r="V280" s="733"/>
      <c r="W280" s="3"/>
      <c r="X280" s="3"/>
      <c r="Y280" s="3"/>
      <c r="Z280" s="3"/>
      <c r="AA280" s="3"/>
    </row>
    <row r="281" spans="1:27" ht="24.75" customHeight="1">
      <c r="A281" s="3"/>
      <c r="B281" s="3"/>
      <c r="C281" s="3"/>
      <c r="D281" s="3"/>
      <c r="E281" s="3"/>
      <c r="F281" s="3"/>
      <c r="G281" s="3"/>
      <c r="H281" s="3"/>
      <c r="I281" s="3"/>
      <c r="J281" s="3"/>
      <c r="K281" s="3"/>
      <c r="L281" s="3"/>
      <c r="M281" s="3"/>
      <c r="N281" s="3"/>
      <c r="O281" s="3"/>
      <c r="P281" s="3"/>
      <c r="Q281" s="3"/>
      <c r="R281" s="3"/>
      <c r="S281" s="3"/>
      <c r="T281" s="3"/>
      <c r="U281" s="3"/>
      <c r="V281" s="733"/>
      <c r="W281" s="3"/>
      <c r="X281" s="3"/>
      <c r="Y281" s="3"/>
      <c r="Z281" s="3"/>
      <c r="AA281" s="3"/>
    </row>
    <row r="282" spans="1:27" ht="24.75" customHeight="1">
      <c r="A282" s="3"/>
      <c r="B282" s="3"/>
      <c r="C282" s="3"/>
      <c r="D282" s="3"/>
      <c r="E282" s="3"/>
      <c r="F282" s="3"/>
      <c r="G282" s="3"/>
      <c r="H282" s="3"/>
      <c r="I282" s="3"/>
      <c r="J282" s="3"/>
      <c r="K282" s="3"/>
      <c r="L282" s="3"/>
      <c r="M282" s="3"/>
      <c r="N282" s="3"/>
      <c r="O282" s="3"/>
      <c r="P282" s="3"/>
      <c r="Q282" s="3"/>
      <c r="R282" s="3"/>
      <c r="S282" s="3"/>
      <c r="T282" s="3"/>
      <c r="U282" s="3"/>
      <c r="V282" s="733"/>
      <c r="W282" s="3"/>
      <c r="X282" s="3"/>
      <c r="Y282" s="3"/>
      <c r="Z282" s="3"/>
      <c r="AA282" s="3"/>
    </row>
    <row r="283" spans="1:27" ht="24.75" customHeight="1">
      <c r="A283" s="3"/>
      <c r="B283" s="3"/>
      <c r="C283" s="3"/>
      <c r="D283" s="3"/>
      <c r="E283" s="3"/>
      <c r="F283" s="3"/>
      <c r="G283" s="3"/>
      <c r="H283" s="3"/>
      <c r="I283" s="3"/>
      <c r="J283" s="3"/>
      <c r="K283" s="3"/>
      <c r="L283" s="3"/>
      <c r="M283" s="3"/>
      <c r="N283" s="3"/>
      <c r="O283" s="3"/>
      <c r="P283" s="3"/>
      <c r="Q283" s="3"/>
      <c r="R283" s="3"/>
      <c r="S283" s="3"/>
      <c r="T283" s="3"/>
      <c r="U283" s="3"/>
      <c r="V283" s="733"/>
      <c r="W283" s="3"/>
      <c r="X283" s="3"/>
      <c r="Y283" s="3"/>
      <c r="Z283" s="3"/>
      <c r="AA283" s="3"/>
    </row>
    <row r="284" spans="1:27" ht="24.75" customHeight="1">
      <c r="A284" s="3"/>
      <c r="B284" s="3"/>
      <c r="C284" s="3"/>
      <c r="D284" s="3"/>
      <c r="E284" s="3"/>
      <c r="F284" s="3"/>
      <c r="G284" s="3"/>
      <c r="H284" s="3"/>
      <c r="I284" s="3"/>
      <c r="J284" s="3"/>
      <c r="K284" s="3"/>
      <c r="L284" s="3"/>
      <c r="M284" s="3"/>
      <c r="N284" s="3"/>
      <c r="O284" s="3"/>
      <c r="P284" s="3"/>
      <c r="Q284" s="3"/>
      <c r="R284" s="3"/>
      <c r="S284" s="3"/>
      <c r="T284" s="3"/>
      <c r="U284" s="3"/>
      <c r="V284" s="733"/>
      <c r="W284" s="3"/>
      <c r="X284" s="3"/>
      <c r="Y284" s="3"/>
      <c r="Z284" s="3"/>
      <c r="AA284" s="3"/>
    </row>
    <row r="285" spans="1:27" ht="24.75" customHeight="1">
      <c r="A285" s="3"/>
      <c r="B285" s="3"/>
      <c r="C285" s="3"/>
      <c r="D285" s="3"/>
      <c r="E285" s="3"/>
      <c r="F285" s="3"/>
      <c r="G285" s="3"/>
      <c r="H285" s="3"/>
      <c r="I285" s="3"/>
      <c r="J285" s="3"/>
      <c r="K285" s="3"/>
      <c r="L285" s="3"/>
      <c r="M285" s="3"/>
      <c r="N285" s="3"/>
      <c r="O285" s="3"/>
      <c r="P285" s="3"/>
      <c r="Q285" s="3"/>
      <c r="R285" s="3"/>
      <c r="S285" s="3"/>
      <c r="T285" s="3"/>
      <c r="U285" s="3"/>
      <c r="V285" s="733"/>
      <c r="W285" s="3"/>
      <c r="X285" s="3"/>
      <c r="Y285" s="3"/>
      <c r="Z285" s="3"/>
      <c r="AA285" s="3"/>
    </row>
    <row r="286" spans="1:27" ht="24.75" customHeight="1">
      <c r="A286" s="3"/>
      <c r="B286" s="3"/>
      <c r="C286" s="3"/>
      <c r="D286" s="3"/>
      <c r="E286" s="3"/>
      <c r="F286" s="3"/>
      <c r="G286" s="3"/>
      <c r="H286" s="3"/>
      <c r="I286" s="3"/>
      <c r="J286" s="3"/>
      <c r="K286" s="3"/>
      <c r="L286" s="3"/>
      <c r="M286" s="3"/>
      <c r="N286" s="3"/>
      <c r="O286" s="3"/>
      <c r="P286" s="3"/>
      <c r="Q286" s="3"/>
      <c r="R286" s="3"/>
      <c r="S286" s="3"/>
      <c r="T286" s="3"/>
      <c r="U286" s="3"/>
      <c r="V286" s="733"/>
      <c r="W286" s="3"/>
      <c r="X286" s="3"/>
      <c r="Y286" s="3"/>
      <c r="Z286" s="3"/>
      <c r="AA286" s="3"/>
    </row>
    <row r="287" spans="1:27" ht="24.75" customHeight="1">
      <c r="A287" s="3"/>
      <c r="B287" s="3"/>
      <c r="C287" s="3"/>
      <c r="D287" s="3"/>
      <c r="E287" s="3"/>
      <c r="F287" s="3"/>
      <c r="G287" s="3"/>
      <c r="H287" s="3"/>
      <c r="I287" s="3"/>
      <c r="J287" s="3"/>
      <c r="K287" s="3"/>
      <c r="L287" s="3"/>
      <c r="M287" s="3"/>
      <c r="N287" s="3"/>
      <c r="O287" s="3"/>
      <c r="P287" s="3"/>
      <c r="Q287" s="3"/>
      <c r="R287" s="3"/>
      <c r="S287" s="3"/>
      <c r="T287" s="3"/>
      <c r="U287" s="3"/>
      <c r="V287" s="733"/>
      <c r="W287" s="3"/>
      <c r="X287" s="3"/>
      <c r="Y287" s="3"/>
      <c r="Z287" s="3"/>
      <c r="AA287" s="3"/>
    </row>
    <row r="288" spans="1:27" ht="24.75" customHeight="1">
      <c r="A288" s="3"/>
      <c r="B288" s="3"/>
      <c r="C288" s="3"/>
      <c r="D288" s="3"/>
      <c r="E288" s="3"/>
      <c r="F288" s="3"/>
      <c r="G288" s="3"/>
      <c r="H288" s="3"/>
      <c r="I288" s="3"/>
      <c r="J288" s="3"/>
      <c r="K288" s="3"/>
      <c r="L288" s="3"/>
      <c r="M288" s="3"/>
      <c r="N288" s="3"/>
      <c r="O288" s="3"/>
      <c r="P288" s="3"/>
      <c r="Q288" s="3"/>
      <c r="R288" s="3"/>
      <c r="S288" s="3"/>
      <c r="T288" s="3"/>
      <c r="U288" s="3"/>
      <c r="V288" s="733"/>
      <c r="W288" s="3"/>
      <c r="X288" s="3"/>
      <c r="Y288" s="3"/>
      <c r="Z288" s="3"/>
      <c r="AA288" s="3"/>
    </row>
    <row r="289" spans="1:27" ht="24.75" customHeight="1">
      <c r="A289" s="3"/>
      <c r="B289" s="3"/>
      <c r="C289" s="3"/>
      <c r="D289" s="3"/>
      <c r="E289" s="3"/>
      <c r="F289" s="3"/>
      <c r="G289" s="3"/>
      <c r="H289" s="3"/>
      <c r="I289" s="3"/>
      <c r="J289" s="3"/>
      <c r="K289" s="3"/>
      <c r="L289" s="3"/>
      <c r="M289" s="3"/>
      <c r="N289" s="3"/>
      <c r="O289" s="3"/>
      <c r="P289" s="3"/>
      <c r="Q289" s="3"/>
      <c r="R289" s="3"/>
      <c r="S289" s="3"/>
      <c r="T289" s="3"/>
      <c r="U289" s="3"/>
      <c r="V289" s="733"/>
      <c r="W289" s="3"/>
      <c r="X289" s="3"/>
      <c r="Y289" s="3"/>
      <c r="Z289" s="3"/>
      <c r="AA289" s="3"/>
    </row>
    <row r="290" spans="1:27" ht="24.75" customHeight="1">
      <c r="A290" s="3"/>
      <c r="B290" s="3"/>
      <c r="C290" s="3"/>
      <c r="D290" s="3"/>
      <c r="E290" s="3"/>
      <c r="F290" s="3"/>
      <c r="G290" s="3"/>
      <c r="H290" s="3"/>
      <c r="I290" s="3"/>
      <c r="J290" s="3"/>
      <c r="K290" s="3"/>
      <c r="L290" s="3"/>
      <c r="M290" s="3"/>
      <c r="N290" s="3"/>
      <c r="O290" s="3"/>
      <c r="P290" s="3"/>
      <c r="Q290" s="3"/>
      <c r="R290" s="3"/>
      <c r="S290" s="3"/>
      <c r="T290" s="3"/>
      <c r="U290" s="3"/>
      <c r="V290" s="733"/>
      <c r="W290" s="3"/>
      <c r="X290" s="3"/>
      <c r="Y290" s="3"/>
      <c r="Z290" s="3"/>
      <c r="AA290" s="3"/>
    </row>
    <row r="291" spans="1:27" ht="24.75" customHeight="1">
      <c r="A291" s="3"/>
      <c r="B291" s="3"/>
      <c r="C291" s="3"/>
      <c r="D291" s="3"/>
      <c r="E291" s="3"/>
      <c r="F291" s="3"/>
      <c r="G291" s="3"/>
      <c r="H291" s="3"/>
      <c r="I291" s="3"/>
      <c r="J291" s="3"/>
      <c r="K291" s="3"/>
      <c r="L291" s="3"/>
      <c r="M291" s="3"/>
      <c r="N291" s="3"/>
      <c r="O291" s="3"/>
      <c r="P291" s="3"/>
      <c r="Q291" s="3"/>
      <c r="R291" s="3"/>
      <c r="S291" s="3"/>
      <c r="T291" s="3"/>
      <c r="U291" s="3"/>
      <c r="V291" s="733"/>
      <c r="W291" s="3"/>
      <c r="X291" s="3"/>
      <c r="Y291" s="3"/>
      <c r="Z291" s="3"/>
      <c r="AA291" s="3"/>
    </row>
    <row r="292" spans="1:27" ht="24.75" customHeight="1">
      <c r="A292" s="3"/>
      <c r="B292" s="3"/>
      <c r="C292" s="3"/>
      <c r="D292" s="3"/>
      <c r="E292" s="3"/>
      <c r="F292" s="3"/>
      <c r="G292" s="3"/>
      <c r="H292" s="3"/>
      <c r="I292" s="3"/>
      <c r="J292" s="3"/>
      <c r="K292" s="3"/>
      <c r="L292" s="3"/>
      <c r="M292" s="3"/>
      <c r="N292" s="3"/>
      <c r="O292" s="3"/>
      <c r="P292" s="3"/>
      <c r="Q292" s="3"/>
      <c r="R292" s="3"/>
      <c r="S292" s="3"/>
      <c r="T292" s="3"/>
      <c r="U292" s="3"/>
      <c r="V292" s="733"/>
      <c r="W292" s="3"/>
      <c r="X292" s="3"/>
      <c r="Y292" s="3"/>
      <c r="Z292" s="3"/>
      <c r="AA292" s="3"/>
    </row>
    <row r="293" spans="1:27" ht="24.75" customHeight="1">
      <c r="A293" s="3"/>
      <c r="B293" s="3"/>
      <c r="C293" s="3"/>
      <c r="D293" s="3"/>
      <c r="E293" s="3"/>
      <c r="F293" s="3"/>
      <c r="G293" s="3"/>
      <c r="H293" s="3"/>
      <c r="I293" s="3"/>
      <c r="J293" s="3"/>
      <c r="K293" s="3"/>
      <c r="L293" s="3"/>
      <c r="M293" s="3"/>
      <c r="N293" s="3"/>
      <c r="O293" s="3"/>
      <c r="P293" s="3"/>
      <c r="Q293" s="3"/>
      <c r="R293" s="3"/>
      <c r="S293" s="3"/>
      <c r="T293" s="3"/>
      <c r="U293" s="3"/>
      <c r="V293" s="733"/>
      <c r="W293" s="3"/>
      <c r="X293" s="3"/>
      <c r="Y293" s="3"/>
      <c r="Z293" s="3"/>
      <c r="AA293" s="3"/>
    </row>
    <row r="294" spans="1:27" ht="24.75" customHeight="1">
      <c r="A294" s="3"/>
      <c r="B294" s="3"/>
      <c r="C294" s="3"/>
      <c r="D294" s="3"/>
      <c r="E294" s="3"/>
      <c r="F294" s="3"/>
      <c r="G294" s="3"/>
      <c r="H294" s="3"/>
      <c r="I294" s="3"/>
      <c r="J294" s="3"/>
      <c r="K294" s="3"/>
      <c r="L294" s="3"/>
      <c r="M294" s="3"/>
      <c r="N294" s="3"/>
      <c r="O294" s="3"/>
      <c r="P294" s="3"/>
      <c r="Q294" s="3"/>
      <c r="R294" s="3"/>
      <c r="S294" s="3"/>
      <c r="T294" s="3"/>
      <c r="U294" s="3"/>
      <c r="V294" s="733"/>
      <c r="W294" s="3"/>
      <c r="X294" s="3"/>
      <c r="Y294" s="3"/>
      <c r="Z294" s="3"/>
      <c r="AA294" s="3"/>
    </row>
    <row r="295" spans="1:27" ht="24.75" customHeight="1">
      <c r="A295" s="3"/>
      <c r="B295" s="3"/>
      <c r="C295" s="3"/>
      <c r="D295" s="3"/>
      <c r="E295" s="3"/>
      <c r="F295" s="3"/>
      <c r="G295" s="3"/>
      <c r="H295" s="3"/>
      <c r="I295" s="3"/>
      <c r="J295" s="3"/>
      <c r="K295" s="3"/>
      <c r="L295" s="3"/>
      <c r="M295" s="3"/>
      <c r="N295" s="3"/>
      <c r="O295" s="3"/>
      <c r="P295" s="3"/>
      <c r="Q295" s="3"/>
      <c r="R295" s="3"/>
      <c r="S295" s="3"/>
      <c r="T295" s="3"/>
      <c r="U295" s="3"/>
      <c r="V295" s="733"/>
      <c r="W295" s="3"/>
      <c r="X295" s="3"/>
      <c r="Y295" s="3"/>
      <c r="Z295" s="3"/>
      <c r="AA295" s="3"/>
    </row>
    <row r="296" spans="1:27" ht="24.75" customHeight="1">
      <c r="A296" s="3"/>
      <c r="B296" s="3"/>
      <c r="C296" s="3"/>
      <c r="D296" s="3"/>
      <c r="E296" s="3"/>
      <c r="F296" s="3"/>
      <c r="G296" s="3"/>
      <c r="H296" s="3"/>
      <c r="I296" s="3"/>
      <c r="J296" s="3"/>
      <c r="K296" s="3"/>
      <c r="L296" s="3"/>
      <c r="M296" s="3"/>
      <c r="N296" s="3"/>
      <c r="O296" s="3"/>
      <c r="P296" s="3"/>
      <c r="Q296" s="3"/>
      <c r="R296" s="3"/>
      <c r="S296" s="3"/>
      <c r="T296" s="3"/>
      <c r="U296" s="3"/>
      <c r="V296" s="733"/>
      <c r="W296" s="3"/>
      <c r="X296" s="3"/>
      <c r="Y296" s="3"/>
      <c r="Z296" s="3"/>
      <c r="AA296" s="3"/>
    </row>
    <row r="297" spans="1:27" ht="24.75" customHeight="1">
      <c r="A297" s="3"/>
      <c r="B297" s="3"/>
      <c r="C297" s="3"/>
      <c r="D297" s="3"/>
      <c r="E297" s="3"/>
      <c r="F297" s="3"/>
      <c r="G297" s="3"/>
      <c r="H297" s="3"/>
      <c r="I297" s="3"/>
      <c r="J297" s="3"/>
      <c r="K297" s="3"/>
      <c r="L297" s="3"/>
      <c r="M297" s="3"/>
      <c r="N297" s="3"/>
      <c r="O297" s="3"/>
      <c r="P297" s="3"/>
      <c r="Q297" s="3"/>
      <c r="R297" s="3"/>
      <c r="S297" s="3"/>
      <c r="T297" s="3"/>
      <c r="U297" s="3"/>
      <c r="V297" s="733"/>
      <c r="W297" s="3"/>
      <c r="X297" s="3"/>
      <c r="Y297" s="3"/>
      <c r="Z297" s="3"/>
      <c r="AA297" s="3"/>
    </row>
    <row r="298" spans="1:27" ht="24.75" customHeight="1">
      <c r="A298" s="3"/>
      <c r="B298" s="3"/>
      <c r="C298" s="3"/>
      <c r="D298" s="3"/>
      <c r="E298" s="3"/>
      <c r="F298" s="3"/>
      <c r="G298" s="3"/>
      <c r="H298" s="3"/>
      <c r="I298" s="3"/>
      <c r="J298" s="3"/>
      <c r="K298" s="3"/>
      <c r="L298" s="3"/>
      <c r="M298" s="3"/>
      <c r="N298" s="3"/>
      <c r="O298" s="3"/>
      <c r="P298" s="3"/>
      <c r="Q298" s="3"/>
      <c r="R298" s="3"/>
      <c r="S298" s="3"/>
      <c r="T298" s="3"/>
      <c r="U298" s="3"/>
      <c r="V298" s="733"/>
      <c r="W298" s="3"/>
      <c r="X298" s="3"/>
      <c r="Y298" s="3"/>
      <c r="Z298" s="3"/>
      <c r="AA298" s="3"/>
    </row>
    <row r="299" spans="1:27" ht="24.75" customHeight="1">
      <c r="A299" s="3"/>
      <c r="B299" s="3"/>
      <c r="C299" s="3"/>
      <c r="D299" s="3"/>
      <c r="E299" s="3"/>
      <c r="F299" s="3"/>
      <c r="G299" s="3"/>
      <c r="H299" s="3"/>
      <c r="I299" s="3"/>
      <c r="J299" s="3"/>
      <c r="K299" s="3"/>
      <c r="L299" s="3"/>
      <c r="M299" s="3"/>
      <c r="N299" s="3"/>
      <c r="O299" s="3"/>
      <c r="P299" s="3"/>
      <c r="Q299" s="3"/>
      <c r="R299" s="3"/>
      <c r="S299" s="3"/>
      <c r="T299" s="3"/>
      <c r="U299" s="3"/>
      <c r="V299" s="733"/>
      <c r="W299" s="3"/>
      <c r="X299" s="3"/>
      <c r="Y299" s="3"/>
      <c r="Z299" s="3"/>
      <c r="AA299" s="3"/>
    </row>
    <row r="300" spans="1:27" ht="24.75" customHeight="1">
      <c r="A300" s="3"/>
      <c r="B300" s="3"/>
      <c r="C300" s="3"/>
      <c r="D300" s="3"/>
      <c r="E300" s="3"/>
      <c r="F300" s="3"/>
      <c r="G300" s="3"/>
      <c r="H300" s="3"/>
      <c r="I300" s="3"/>
      <c r="J300" s="3"/>
      <c r="K300" s="3"/>
      <c r="L300" s="3"/>
      <c r="M300" s="3"/>
      <c r="N300" s="3"/>
      <c r="O300" s="3"/>
      <c r="P300" s="3"/>
      <c r="Q300" s="3"/>
      <c r="R300" s="3"/>
      <c r="S300" s="3"/>
      <c r="T300" s="3"/>
      <c r="U300" s="3"/>
      <c r="V300" s="733"/>
      <c r="W300" s="3"/>
      <c r="X300" s="3"/>
      <c r="Y300" s="3"/>
      <c r="Z300" s="3"/>
      <c r="AA300" s="3"/>
    </row>
    <row r="301" spans="1:27" ht="24.75" customHeight="1">
      <c r="A301" s="3"/>
      <c r="B301" s="3"/>
      <c r="C301" s="3"/>
      <c r="D301" s="3"/>
      <c r="E301" s="3"/>
      <c r="F301" s="3"/>
      <c r="G301" s="3"/>
      <c r="H301" s="3"/>
      <c r="I301" s="3"/>
      <c r="J301" s="3"/>
      <c r="K301" s="3"/>
      <c r="L301" s="3"/>
      <c r="M301" s="3"/>
      <c r="N301" s="3"/>
      <c r="O301" s="3"/>
      <c r="P301" s="3"/>
      <c r="Q301" s="3"/>
      <c r="R301" s="3"/>
      <c r="S301" s="3"/>
      <c r="T301" s="3"/>
      <c r="U301" s="3"/>
      <c r="V301" s="733"/>
      <c r="W301" s="3"/>
      <c r="X301" s="3"/>
      <c r="Y301" s="3"/>
      <c r="Z301" s="3"/>
      <c r="AA301" s="3"/>
    </row>
    <row r="302" spans="1:27" ht="24.75" customHeight="1">
      <c r="A302" s="3"/>
      <c r="B302" s="3"/>
      <c r="C302" s="3"/>
      <c r="D302" s="3"/>
      <c r="E302" s="3"/>
      <c r="F302" s="3"/>
      <c r="G302" s="3"/>
      <c r="H302" s="3"/>
      <c r="I302" s="3"/>
      <c r="J302" s="3"/>
      <c r="K302" s="3"/>
      <c r="L302" s="3"/>
      <c r="M302" s="3"/>
      <c r="N302" s="3"/>
      <c r="O302" s="3"/>
      <c r="P302" s="3"/>
      <c r="Q302" s="3"/>
      <c r="R302" s="3"/>
      <c r="S302" s="3"/>
      <c r="T302" s="3"/>
      <c r="U302" s="3"/>
      <c r="V302" s="733"/>
      <c r="W302" s="3"/>
      <c r="X302" s="3"/>
      <c r="Y302" s="3"/>
      <c r="Z302" s="3"/>
      <c r="AA302" s="3"/>
    </row>
    <row r="303" spans="1:27" ht="24.75" customHeight="1">
      <c r="A303" s="3"/>
      <c r="B303" s="3"/>
      <c r="C303" s="3"/>
      <c r="D303" s="3"/>
      <c r="E303" s="3"/>
      <c r="F303" s="3"/>
      <c r="G303" s="3"/>
      <c r="H303" s="3"/>
      <c r="I303" s="3"/>
      <c r="J303" s="3"/>
      <c r="K303" s="3"/>
      <c r="L303" s="3"/>
      <c r="M303" s="3"/>
      <c r="N303" s="3"/>
      <c r="O303" s="3"/>
      <c r="P303" s="3"/>
      <c r="Q303" s="3"/>
      <c r="R303" s="3"/>
      <c r="S303" s="3"/>
      <c r="T303" s="3"/>
      <c r="U303" s="3"/>
      <c r="V303" s="733"/>
      <c r="W303" s="3"/>
      <c r="X303" s="3"/>
      <c r="Y303" s="3"/>
      <c r="Z303" s="3"/>
      <c r="AA303" s="3"/>
    </row>
    <row r="304" spans="1:27" ht="24.75" customHeight="1">
      <c r="A304" s="3"/>
      <c r="B304" s="3"/>
      <c r="C304" s="3"/>
      <c r="D304" s="3"/>
      <c r="E304" s="3"/>
      <c r="F304" s="3"/>
      <c r="G304" s="3"/>
      <c r="H304" s="3"/>
      <c r="I304" s="3"/>
      <c r="J304" s="3"/>
      <c r="K304" s="3"/>
      <c r="L304" s="3"/>
      <c r="M304" s="3"/>
      <c r="N304" s="3"/>
      <c r="O304" s="3"/>
      <c r="P304" s="3"/>
      <c r="Q304" s="3"/>
      <c r="R304" s="3"/>
      <c r="S304" s="3"/>
      <c r="T304" s="3"/>
      <c r="U304" s="3"/>
      <c r="V304" s="733"/>
      <c r="W304" s="3"/>
      <c r="X304" s="3"/>
      <c r="Y304" s="3"/>
      <c r="Z304" s="3"/>
      <c r="AA304" s="3"/>
    </row>
    <row r="305" spans="1:27" ht="24.75" customHeight="1">
      <c r="A305" s="3"/>
      <c r="B305" s="3"/>
      <c r="C305" s="3"/>
      <c r="D305" s="3"/>
      <c r="E305" s="3"/>
      <c r="F305" s="3"/>
      <c r="G305" s="3"/>
      <c r="H305" s="3"/>
      <c r="I305" s="3"/>
      <c r="J305" s="3"/>
      <c r="K305" s="3"/>
      <c r="L305" s="3"/>
      <c r="M305" s="3"/>
      <c r="N305" s="3"/>
      <c r="O305" s="3"/>
      <c r="P305" s="3"/>
      <c r="Q305" s="3"/>
      <c r="R305" s="3"/>
      <c r="S305" s="3"/>
      <c r="T305" s="3"/>
      <c r="U305" s="3"/>
      <c r="V305" s="733"/>
      <c r="W305" s="3"/>
      <c r="X305" s="3"/>
      <c r="Y305" s="3"/>
      <c r="Z305" s="3"/>
      <c r="AA305" s="3"/>
    </row>
    <row r="306" spans="1:27" ht="24.75" customHeight="1">
      <c r="A306" s="3"/>
      <c r="B306" s="3"/>
      <c r="C306" s="3"/>
      <c r="D306" s="3"/>
      <c r="E306" s="3"/>
      <c r="F306" s="3"/>
      <c r="G306" s="3"/>
      <c r="H306" s="3"/>
      <c r="I306" s="3"/>
      <c r="J306" s="3"/>
      <c r="K306" s="3"/>
      <c r="L306" s="3"/>
      <c r="M306" s="3"/>
      <c r="N306" s="3"/>
      <c r="O306" s="3"/>
      <c r="P306" s="3"/>
      <c r="Q306" s="3"/>
      <c r="R306" s="3"/>
      <c r="S306" s="3"/>
      <c r="T306" s="3"/>
      <c r="U306" s="3"/>
      <c r="V306" s="733"/>
      <c r="W306" s="3"/>
      <c r="X306" s="3"/>
      <c r="Y306" s="3"/>
      <c r="Z306" s="3"/>
      <c r="AA306" s="3"/>
    </row>
    <row r="307" spans="1:27" ht="24.75" customHeight="1">
      <c r="A307" s="3"/>
      <c r="B307" s="3"/>
      <c r="C307" s="3"/>
      <c r="D307" s="3"/>
      <c r="E307" s="3"/>
      <c r="F307" s="3"/>
      <c r="G307" s="3"/>
      <c r="H307" s="3"/>
      <c r="I307" s="3"/>
      <c r="J307" s="3"/>
      <c r="K307" s="3"/>
      <c r="L307" s="3"/>
      <c r="M307" s="3"/>
      <c r="N307" s="3"/>
      <c r="O307" s="3"/>
      <c r="P307" s="3"/>
      <c r="Q307" s="3"/>
      <c r="R307" s="3"/>
      <c r="S307" s="3"/>
      <c r="T307" s="3"/>
      <c r="U307" s="3"/>
      <c r="V307" s="733"/>
      <c r="W307" s="3"/>
      <c r="X307" s="3"/>
      <c r="Y307" s="3"/>
      <c r="Z307" s="3"/>
      <c r="AA307" s="3"/>
    </row>
    <row r="308" spans="1:27" ht="24.75" customHeight="1">
      <c r="A308" s="3"/>
      <c r="B308" s="3"/>
      <c r="C308" s="3"/>
      <c r="D308" s="3"/>
      <c r="E308" s="3"/>
      <c r="F308" s="3"/>
      <c r="G308" s="3"/>
      <c r="H308" s="3"/>
      <c r="I308" s="3"/>
      <c r="J308" s="3"/>
      <c r="K308" s="3"/>
      <c r="L308" s="3"/>
      <c r="M308" s="3"/>
      <c r="N308" s="3"/>
      <c r="O308" s="3"/>
      <c r="P308" s="3"/>
      <c r="Q308" s="3"/>
      <c r="R308" s="3"/>
      <c r="S308" s="3"/>
      <c r="T308" s="3"/>
      <c r="U308" s="3"/>
      <c r="V308" s="733"/>
      <c r="W308" s="3"/>
      <c r="X308" s="3"/>
      <c r="Y308" s="3"/>
      <c r="Z308" s="3"/>
      <c r="AA308" s="3"/>
    </row>
    <row r="309" spans="1:27" ht="24.75" customHeight="1">
      <c r="A309" s="3"/>
      <c r="B309" s="3"/>
      <c r="C309" s="3"/>
      <c r="D309" s="3"/>
      <c r="E309" s="3"/>
      <c r="F309" s="3"/>
      <c r="G309" s="3"/>
      <c r="H309" s="3"/>
      <c r="I309" s="3"/>
      <c r="J309" s="3"/>
      <c r="K309" s="3"/>
      <c r="L309" s="3"/>
      <c r="M309" s="3"/>
      <c r="N309" s="3"/>
      <c r="O309" s="3"/>
      <c r="P309" s="3"/>
      <c r="Q309" s="3"/>
      <c r="R309" s="3"/>
      <c r="S309" s="3"/>
      <c r="T309" s="3"/>
      <c r="U309" s="3"/>
      <c r="V309" s="733"/>
      <c r="W309" s="3"/>
      <c r="X309" s="3"/>
      <c r="Y309" s="3"/>
      <c r="Z309" s="3"/>
      <c r="AA309" s="3"/>
    </row>
    <row r="310" spans="1:27" ht="24.75" customHeight="1">
      <c r="A310" s="3"/>
      <c r="B310" s="3"/>
      <c r="C310" s="3"/>
      <c r="D310" s="3"/>
      <c r="E310" s="3"/>
      <c r="F310" s="3"/>
      <c r="G310" s="3"/>
      <c r="H310" s="3"/>
      <c r="I310" s="3"/>
      <c r="J310" s="3"/>
      <c r="K310" s="3"/>
      <c r="L310" s="3"/>
      <c r="M310" s="3"/>
      <c r="N310" s="3"/>
      <c r="O310" s="3"/>
      <c r="P310" s="3"/>
      <c r="Q310" s="3"/>
      <c r="R310" s="3"/>
      <c r="S310" s="3"/>
      <c r="T310" s="3"/>
      <c r="U310" s="3"/>
      <c r="V310" s="733"/>
      <c r="W310" s="3"/>
      <c r="X310" s="3"/>
      <c r="Y310" s="3"/>
      <c r="Z310" s="3"/>
      <c r="AA310" s="3"/>
    </row>
    <row r="311" spans="1:27" ht="24.75" customHeight="1">
      <c r="A311" s="3"/>
      <c r="B311" s="3"/>
      <c r="C311" s="3"/>
      <c r="D311" s="3"/>
      <c r="E311" s="3"/>
      <c r="F311" s="3"/>
      <c r="G311" s="3"/>
      <c r="H311" s="3"/>
      <c r="I311" s="3"/>
      <c r="J311" s="3"/>
      <c r="K311" s="3"/>
      <c r="L311" s="3"/>
      <c r="M311" s="3"/>
      <c r="N311" s="3"/>
      <c r="O311" s="3"/>
      <c r="P311" s="3"/>
      <c r="Q311" s="3"/>
      <c r="R311" s="3"/>
      <c r="S311" s="3"/>
      <c r="T311" s="3"/>
      <c r="U311" s="3"/>
      <c r="V311" s="733"/>
      <c r="W311" s="3"/>
      <c r="X311" s="3"/>
      <c r="Y311" s="3"/>
      <c r="Z311" s="3"/>
      <c r="AA311" s="3"/>
    </row>
    <row r="312" spans="1:27" ht="24.75" customHeight="1">
      <c r="A312" s="3"/>
      <c r="B312" s="3"/>
      <c r="C312" s="3"/>
      <c r="D312" s="3"/>
      <c r="E312" s="3"/>
      <c r="F312" s="3"/>
      <c r="G312" s="3"/>
      <c r="H312" s="3"/>
      <c r="I312" s="3"/>
      <c r="J312" s="3"/>
      <c r="K312" s="3"/>
      <c r="L312" s="3"/>
      <c r="M312" s="3"/>
      <c r="N312" s="3"/>
      <c r="O312" s="3"/>
      <c r="P312" s="3"/>
      <c r="Q312" s="3"/>
      <c r="R312" s="3"/>
      <c r="S312" s="3"/>
      <c r="T312" s="3"/>
      <c r="U312" s="3"/>
      <c r="V312" s="733"/>
      <c r="W312" s="3"/>
      <c r="X312" s="3"/>
      <c r="Y312" s="3"/>
      <c r="Z312" s="3"/>
      <c r="AA312" s="3"/>
    </row>
    <row r="313" spans="1:27" ht="24.75" customHeight="1">
      <c r="A313" s="3"/>
      <c r="B313" s="3"/>
      <c r="C313" s="3"/>
      <c r="D313" s="3"/>
      <c r="E313" s="3"/>
      <c r="F313" s="3"/>
      <c r="G313" s="3"/>
      <c r="H313" s="3"/>
      <c r="I313" s="3"/>
      <c r="J313" s="3"/>
      <c r="K313" s="3"/>
      <c r="L313" s="3"/>
      <c r="M313" s="3"/>
      <c r="N313" s="3"/>
      <c r="O313" s="3"/>
      <c r="P313" s="3"/>
      <c r="Q313" s="3"/>
      <c r="R313" s="3"/>
      <c r="S313" s="3"/>
      <c r="T313" s="3"/>
      <c r="U313" s="3"/>
      <c r="V313" s="733"/>
      <c r="W313" s="3"/>
      <c r="X313" s="3"/>
      <c r="Y313" s="3"/>
      <c r="Z313" s="3"/>
      <c r="AA313" s="3"/>
    </row>
    <row r="314" spans="1:27" ht="24.75" customHeight="1">
      <c r="A314" s="3"/>
      <c r="B314" s="3"/>
      <c r="C314" s="3"/>
      <c r="D314" s="3"/>
      <c r="E314" s="3"/>
      <c r="F314" s="3"/>
      <c r="G314" s="3"/>
      <c r="H314" s="3"/>
      <c r="I314" s="3"/>
      <c r="J314" s="3"/>
      <c r="K314" s="3"/>
      <c r="L314" s="3"/>
      <c r="M314" s="3"/>
      <c r="N314" s="3"/>
      <c r="O314" s="3"/>
      <c r="P314" s="3"/>
      <c r="Q314" s="3"/>
      <c r="R314" s="3"/>
      <c r="S314" s="3"/>
      <c r="T314" s="3"/>
      <c r="U314" s="3"/>
      <c r="V314" s="733"/>
      <c r="W314" s="3"/>
      <c r="X314" s="3"/>
      <c r="Y314" s="3"/>
      <c r="Z314" s="3"/>
      <c r="AA314" s="3"/>
    </row>
    <row r="315" spans="1:27" ht="24.75" customHeight="1">
      <c r="A315" s="3"/>
      <c r="B315" s="3"/>
      <c r="C315" s="3"/>
      <c r="D315" s="3"/>
      <c r="E315" s="3"/>
      <c r="F315" s="3"/>
      <c r="G315" s="3"/>
      <c r="H315" s="3"/>
      <c r="I315" s="3"/>
      <c r="J315" s="3"/>
      <c r="K315" s="3"/>
      <c r="L315" s="3"/>
      <c r="M315" s="3"/>
      <c r="N315" s="3"/>
      <c r="O315" s="3"/>
      <c r="P315" s="3"/>
      <c r="Q315" s="3"/>
      <c r="R315" s="3"/>
      <c r="S315" s="3"/>
      <c r="T315" s="3"/>
      <c r="U315" s="3"/>
      <c r="V315" s="733"/>
      <c r="W315" s="3"/>
      <c r="X315" s="3"/>
      <c r="Y315" s="3"/>
      <c r="Z315" s="3"/>
      <c r="AA315" s="3"/>
    </row>
    <row r="316" spans="1:27" ht="24.75" customHeight="1">
      <c r="A316" s="3"/>
      <c r="B316" s="3"/>
      <c r="C316" s="3"/>
      <c r="D316" s="3"/>
      <c r="E316" s="3"/>
      <c r="F316" s="3"/>
      <c r="G316" s="3"/>
      <c r="H316" s="3"/>
      <c r="I316" s="3"/>
      <c r="J316" s="3"/>
      <c r="K316" s="3"/>
      <c r="L316" s="3"/>
      <c r="M316" s="3"/>
      <c r="N316" s="3"/>
      <c r="O316" s="3"/>
      <c r="P316" s="3"/>
      <c r="Q316" s="3"/>
      <c r="R316" s="3"/>
      <c r="S316" s="3"/>
      <c r="T316" s="3"/>
      <c r="U316" s="3"/>
      <c r="V316" s="733"/>
      <c r="W316" s="3"/>
      <c r="X316" s="3"/>
      <c r="Y316" s="3"/>
      <c r="Z316" s="3"/>
      <c r="AA316" s="3"/>
    </row>
    <row r="317" spans="1:27" ht="24.75" customHeight="1">
      <c r="A317" s="3"/>
      <c r="B317" s="3"/>
      <c r="C317" s="3"/>
      <c r="D317" s="3"/>
      <c r="E317" s="3"/>
      <c r="F317" s="3"/>
      <c r="G317" s="3"/>
      <c r="H317" s="3"/>
      <c r="I317" s="3"/>
      <c r="J317" s="3"/>
      <c r="K317" s="3"/>
      <c r="L317" s="3"/>
      <c r="M317" s="3"/>
      <c r="N317" s="3"/>
      <c r="O317" s="3"/>
      <c r="P317" s="3"/>
      <c r="Q317" s="3"/>
      <c r="R317" s="3"/>
      <c r="S317" s="3"/>
      <c r="T317" s="3"/>
      <c r="U317" s="3"/>
      <c r="V317" s="733"/>
      <c r="W317" s="3"/>
      <c r="X317" s="3"/>
      <c r="Y317" s="3"/>
      <c r="Z317" s="3"/>
      <c r="AA317" s="3"/>
    </row>
    <row r="318" spans="1:27" ht="24.75" customHeight="1">
      <c r="A318" s="3"/>
      <c r="B318" s="3"/>
      <c r="C318" s="3"/>
      <c r="D318" s="3"/>
      <c r="E318" s="3"/>
      <c r="F318" s="3"/>
      <c r="G318" s="3"/>
      <c r="H318" s="3"/>
      <c r="I318" s="3"/>
      <c r="J318" s="3"/>
      <c r="K318" s="3"/>
      <c r="L318" s="3"/>
      <c r="M318" s="3"/>
      <c r="N318" s="3"/>
      <c r="O318" s="3"/>
      <c r="P318" s="3"/>
      <c r="Q318" s="3"/>
      <c r="R318" s="3"/>
      <c r="S318" s="3"/>
      <c r="T318" s="3"/>
      <c r="U318" s="3"/>
      <c r="V318" s="733"/>
      <c r="W318" s="3"/>
      <c r="X318" s="3"/>
      <c r="Y318" s="3"/>
      <c r="Z318" s="3"/>
      <c r="AA318" s="3"/>
    </row>
    <row r="319" spans="1:27" ht="24.75" customHeight="1">
      <c r="A319" s="3"/>
      <c r="B319" s="3"/>
      <c r="C319" s="3"/>
      <c r="D319" s="3"/>
      <c r="E319" s="3"/>
      <c r="F319" s="3"/>
      <c r="G319" s="3"/>
      <c r="H319" s="3"/>
      <c r="I319" s="3"/>
      <c r="J319" s="3"/>
      <c r="K319" s="3"/>
      <c r="L319" s="3"/>
      <c r="M319" s="3"/>
      <c r="N319" s="3"/>
      <c r="O319" s="3"/>
      <c r="P319" s="3"/>
      <c r="Q319" s="3"/>
      <c r="R319" s="3"/>
      <c r="S319" s="3"/>
      <c r="T319" s="3"/>
      <c r="U319" s="3"/>
      <c r="V319" s="733"/>
      <c r="W319" s="3"/>
      <c r="X319" s="3"/>
      <c r="Y319" s="3"/>
      <c r="Z319" s="3"/>
      <c r="AA319" s="3"/>
    </row>
    <row r="320" spans="1:27" ht="24.75" customHeight="1">
      <c r="A320" s="3"/>
      <c r="B320" s="3"/>
      <c r="C320" s="3"/>
      <c r="D320" s="3"/>
      <c r="E320" s="3"/>
      <c r="F320" s="3"/>
      <c r="G320" s="3"/>
      <c r="H320" s="3"/>
      <c r="I320" s="3"/>
      <c r="J320" s="3"/>
      <c r="K320" s="3"/>
      <c r="L320" s="3"/>
      <c r="M320" s="3"/>
      <c r="N320" s="3"/>
      <c r="O320" s="3"/>
      <c r="P320" s="3"/>
      <c r="Q320" s="3"/>
      <c r="R320" s="3"/>
      <c r="S320" s="3"/>
      <c r="T320" s="3"/>
      <c r="U320" s="3"/>
      <c r="V320" s="733"/>
      <c r="W320" s="3"/>
      <c r="X320" s="3"/>
      <c r="Y320" s="3"/>
      <c r="Z320" s="3"/>
      <c r="AA320" s="3"/>
    </row>
    <row r="321" spans="1:27" ht="24.75" customHeight="1">
      <c r="A321" s="3"/>
      <c r="B321" s="3"/>
      <c r="C321" s="3"/>
      <c r="D321" s="3"/>
      <c r="E321" s="3"/>
      <c r="F321" s="3"/>
      <c r="G321" s="3"/>
      <c r="H321" s="3"/>
      <c r="I321" s="3"/>
      <c r="J321" s="3"/>
      <c r="K321" s="3"/>
      <c r="L321" s="3"/>
      <c r="M321" s="3"/>
      <c r="N321" s="3"/>
      <c r="O321" s="3"/>
      <c r="P321" s="3"/>
      <c r="Q321" s="3"/>
      <c r="R321" s="3"/>
      <c r="S321" s="3"/>
      <c r="T321" s="3"/>
      <c r="U321" s="3"/>
      <c r="V321" s="733"/>
      <c r="W321" s="3"/>
      <c r="X321" s="3"/>
      <c r="Y321" s="3"/>
      <c r="Z321" s="3"/>
      <c r="AA321" s="3"/>
    </row>
    <row r="322" spans="1:27" ht="24.75" customHeight="1">
      <c r="A322" s="3"/>
      <c r="B322" s="3"/>
      <c r="C322" s="3"/>
      <c r="D322" s="3"/>
      <c r="E322" s="3"/>
      <c r="F322" s="3"/>
      <c r="G322" s="3"/>
      <c r="H322" s="3"/>
      <c r="I322" s="3"/>
      <c r="J322" s="3"/>
      <c r="K322" s="3"/>
      <c r="L322" s="3"/>
      <c r="M322" s="3"/>
      <c r="N322" s="3"/>
      <c r="O322" s="3"/>
      <c r="P322" s="3"/>
      <c r="Q322" s="3"/>
      <c r="R322" s="3"/>
      <c r="S322" s="3"/>
      <c r="T322" s="3"/>
      <c r="U322" s="3"/>
      <c r="V322" s="733"/>
      <c r="W322" s="3"/>
      <c r="X322" s="3"/>
      <c r="Y322" s="3"/>
      <c r="Z322" s="3"/>
      <c r="AA322" s="3"/>
    </row>
    <row r="323" spans="1:27" ht="24.75" customHeight="1">
      <c r="A323" s="3"/>
      <c r="B323" s="3"/>
      <c r="C323" s="3"/>
      <c r="D323" s="3"/>
      <c r="E323" s="3"/>
      <c r="F323" s="3"/>
      <c r="G323" s="3"/>
      <c r="H323" s="3"/>
      <c r="I323" s="3"/>
      <c r="J323" s="3"/>
      <c r="K323" s="3"/>
      <c r="L323" s="3"/>
      <c r="M323" s="3"/>
      <c r="N323" s="3"/>
      <c r="O323" s="3"/>
      <c r="P323" s="3"/>
      <c r="Q323" s="3"/>
      <c r="R323" s="3"/>
      <c r="S323" s="3"/>
      <c r="T323" s="3"/>
      <c r="U323" s="3"/>
      <c r="V323" s="733"/>
      <c r="W323" s="3"/>
      <c r="X323" s="3"/>
      <c r="Y323" s="3"/>
      <c r="Z323" s="3"/>
      <c r="AA323" s="3"/>
    </row>
    <row r="324" spans="1:27" ht="24.75" customHeight="1">
      <c r="A324" s="3"/>
      <c r="B324" s="3"/>
      <c r="C324" s="3"/>
      <c r="D324" s="3"/>
      <c r="E324" s="3"/>
      <c r="F324" s="3"/>
      <c r="G324" s="3"/>
      <c r="H324" s="3"/>
      <c r="I324" s="3"/>
      <c r="J324" s="3"/>
      <c r="K324" s="3"/>
      <c r="L324" s="3"/>
      <c r="M324" s="3"/>
      <c r="N324" s="3"/>
      <c r="O324" s="3"/>
      <c r="P324" s="3"/>
      <c r="Q324" s="3"/>
      <c r="R324" s="3"/>
      <c r="S324" s="3"/>
      <c r="T324" s="3"/>
      <c r="U324" s="3"/>
      <c r="V324" s="733"/>
      <c r="W324" s="3"/>
      <c r="X324" s="3"/>
      <c r="Y324" s="3"/>
      <c r="Z324" s="3"/>
      <c r="AA324" s="3"/>
    </row>
    <row r="325" spans="1:27" ht="24.75" customHeight="1">
      <c r="A325" s="3"/>
      <c r="B325" s="3"/>
      <c r="C325" s="3"/>
      <c r="D325" s="3"/>
      <c r="E325" s="3"/>
      <c r="F325" s="3"/>
      <c r="G325" s="3"/>
      <c r="H325" s="3"/>
      <c r="I325" s="3"/>
      <c r="J325" s="3"/>
      <c r="K325" s="3"/>
      <c r="L325" s="3"/>
      <c r="M325" s="3"/>
      <c r="N325" s="3"/>
      <c r="O325" s="3"/>
      <c r="P325" s="3"/>
      <c r="Q325" s="3"/>
      <c r="R325" s="3"/>
      <c r="S325" s="3"/>
      <c r="T325" s="3"/>
      <c r="U325" s="3"/>
      <c r="V325" s="733"/>
      <c r="W325" s="3"/>
      <c r="X325" s="3"/>
      <c r="Y325" s="3"/>
      <c r="Z325" s="3"/>
      <c r="AA325" s="3"/>
    </row>
    <row r="326" spans="1:27" ht="24.75" customHeight="1">
      <c r="A326" s="3"/>
      <c r="B326" s="3"/>
      <c r="C326" s="3"/>
      <c r="D326" s="3"/>
      <c r="E326" s="3"/>
      <c r="F326" s="3"/>
      <c r="G326" s="3"/>
      <c r="H326" s="3"/>
      <c r="I326" s="3"/>
      <c r="J326" s="3"/>
      <c r="K326" s="3"/>
      <c r="L326" s="3"/>
      <c r="M326" s="3"/>
      <c r="N326" s="3"/>
      <c r="O326" s="3"/>
      <c r="P326" s="3"/>
      <c r="Q326" s="3"/>
      <c r="R326" s="3"/>
      <c r="S326" s="3"/>
      <c r="T326" s="3"/>
      <c r="U326" s="3"/>
      <c r="V326" s="733"/>
      <c r="W326" s="3"/>
      <c r="X326" s="3"/>
      <c r="Y326" s="3"/>
      <c r="Z326" s="3"/>
      <c r="AA326" s="3"/>
    </row>
    <row r="327" spans="1:27" ht="24.75" customHeight="1">
      <c r="A327" s="3"/>
      <c r="B327" s="3"/>
      <c r="C327" s="3"/>
      <c r="D327" s="3"/>
      <c r="E327" s="3"/>
      <c r="F327" s="3"/>
      <c r="G327" s="3"/>
      <c r="H327" s="3"/>
      <c r="I327" s="3"/>
      <c r="J327" s="3"/>
      <c r="K327" s="3"/>
      <c r="L327" s="3"/>
      <c r="M327" s="3"/>
      <c r="N327" s="3"/>
      <c r="O327" s="3"/>
      <c r="P327" s="3"/>
      <c r="Q327" s="3"/>
      <c r="R327" s="3"/>
      <c r="S327" s="3"/>
      <c r="T327" s="3"/>
      <c r="U327" s="3"/>
      <c r="V327" s="733"/>
      <c r="W327" s="3"/>
      <c r="X327" s="3"/>
      <c r="Y327" s="3"/>
      <c r="Z327" s="3"/>
      <c r="AA327" s="3"/>
    </row>
    <row r="328" spans="1:27" ht="24.75" customHeight="1">
      <c r="A328" s="3"/>
      <c r="B328" s="3"/>
      <c r="C328" s="3"/>
      <c r="D328" s="3"/>
      <c r="E328" s="3"/>
      <c r="F328" s="3"/>
      <c r="G328" s="3"/>
      <c r="H328" s="3"/>
      <c r="I328" s="3"/>
      <c r="J328" s="3"/>
      <c r="K328" s="3"/>
      <c r="L328" s="3"/>
      <c r="M328" s="3"/>
      <c r="N328" s="3"/>
      <c r="O328" s="3"/>
      <c r="P328" s="3"/>
      <c r="Q328" s="3"/>
      <c r="R328" s="3"/>
      <c r="S328" s="3"/>
      <c r="T328" s="3"/>
      <c r="U328" s="3"/>
      <c r="V328" s="733"/>
      <c r="W328" s="3"/>
      <c r="X328" s="3"/>
      <c r="Y328" s="3"/>
      <c r="Z328" s="3"/>
      <c r="AA328" s="3"/>
    </row>
    <row r="329" spans="1:27" ht="24.75" customHeight="1">
      <c r="A329" s="3"/>
      <c r="B329" s="3"/>
      <c r="C329" s="3"/>
      <c r="D329" s="3"/>
      <c r="E329" s="3"/>
      <c r="F329" s="3"/>
      <c r="G329" s="3"/>
      <c r="H329" s="3"/>
      <c r="I329" s="3"/>
      <c r="J329" s="3"/>
      <c r="K329" s="3"/>
      <c r="L329" s="3"/>
      <c r="M329" s="3"/>
      <c r="N329" s="3"/>
      <c r="O329" s="3"/>
      <c r="P329" s="3"/>
      <c r="Q329" s="3"/>
      <c r="R329" s="3"/>
      <c r="S329" s="3"/>
      <c r="T329" s="3"/>
      <c r="U329" s="3"/>
      <c r="V329" s="733"/>
      <c r="W329" s="3"/>
      <c r="X329" s="3"/>
      <c r="Y329" s="3"/>
      <c r="Z329" s="3"/>
      <c r="AA329" s="3"/>
    </row>
    <row r="330" spans="1:27" ht="24.75" customHeight="1">
      <c r="A330" s="3"/>
      <c r="B330" s="3"/>
      <c r="C330" s="3"/>
      <c r="D330" s="3"/>
      <c r="E330" s="3"/>
      <c r="F330" s="3"/>
      <c r="G330" s="3"/>
      <c r="H330" s="3"/>
      <c r="I330" s="3"/>
      <c r="J330" s="3"/>
      <c r="K330" s="3"/>
      <c r="L330" s="3"/>
      <c r="M330" s="3"/>
      <c r="N330" s="3"/>
      <c r="O330" s="3"/>
      <c r="P330" s="3"/>
      <c r="Q330" s="3"/>
      <c r="R330" s="3"/>
      <c r="S330" s="3"/>
      <c r="T330" s="3"/>
      <c r="U330" s="3"/>
      <c r="V330" s="733"/>
      <c r="W330" s="3"/>
      <c r="X330" s="3"/>
      <c r="Y330" s="3"/>
      <c r="Z330" s="3"/>
      <c r="AA330" s="3"/>
    </row>
    <row r="331" spans="1:27" ht="24.75" customHeight="1">
      <c r="A331" s="3"/>
      <c r="B331" s="3"/>
      <c r="C331" s="3"/>
      <c r="D331" s="3"/>
      <c r="E331" s="3"/>
      <c r="F331" s="3"/>
      <c r="G331" s="3"/>
      <c r="H331" s="3"/>
      <c r="I331" s="3"/>
      <c r="J331" s="3"/>
      <c r="K331" s="3"/>
      <c r="L331" s="3"/>
      <c r="M331" s="3"/>
      <c r="N331" s="3"/>
      <c r="O331" s="3"/>
      <c r="P331" s="3"/>
      <c r="Q331" s="3"/>
      <c r="R331" s="3"/>
      <c r="S331" s="3"/>
      <c r="T331" s="3"/>
      <c r="U331" s="3"/>
      <c r="V331" s="733"/>
      <c r="W331" s="3"/>
      <c r="X331" s="3"/>
      <c r="Y331" s="3"/>
      <c r="Z331" s="3"/>
      <c r="AA331" s="3"/>
    </row>
    <row r="332" spans="1:27" ht="24.75" customHeight="1">
      <c r="A332" s="3"/>
      <c r="B332" s="3"/>
      <c r="C332" s="3"/>
      <c r="D332" s="3"/>
      <c r="E332" s="3"/>
      <c r="F332" s="3"/>
      <c r="G332" s="3"/>
      <c r="H332" s="3"/>
      <c r="I332" s="3"/>
      <c r="J332" s="3"/>
      <c r="K332" s="3"/>
      <c r="L332" s="3"/>
      <c r="M332" s="3"/>
      <c r="N332" s="3"/>
      <c r="O332" s="3"/>
      <c r="P332" s="3"/>
      <c r="Q332" s="3"/>
      <c r="R332" s="3"/>
      <c r="S332" s="3"/>
      <c r="T332" s="3"/>
      <c r="U332" s="3"/>
      <c r="V332" s="733"/>
      <c r="W332" s="3"/>
      <c r="X332" s="3"/>
      <c r="Y332" s="3"/>
      <c r="Z332" s="3"/>
      <c r="AA332" s="3"/>
    </row>
    <row r="333" spans="1:27" ht="24.75" customHeight="1">
      <c r="A333" s="3"/>
      <c r="B333" s="3"/>
      <c r="C333" s="3"/>
      <c r="D333" s="3"/>
      <c r="E333" s="3"/>
      <c r="F333" s="3"/>
      <c r="G333" s="3"/>
      <c r="H333" s="3"/>
      <c r="I333" s="3"/>
      <c r="J333" s="3"/>
      <c r="K333" s="3"/>
      <c r="L333" s="3"/>
      <c r="M333" s="3"/>
      <c r="N333" s="3"/>
      <c r="O333" s="3"/>
      <c r="P333" s="3"/>
      <c r="Q333" s="3"/>
      <c r="R333" s="3"/>
      <c r="S333" s="3"/>
      <c r="T333" s="3"/>
      <c r="U333" s="3"/>
      <c r="V333" s="733"/>
      <c r="W333" s="3"/>
      <c r="X333" s="3"/>
      <c r="Y333" s="3"/>
      <c r="Z333" s="3"/>
      <c r="AA333" s="3"/>
    </row>
    <row r="334" spans="1:27" ht="24.75" customHeight="1">
      <c r="A334" s="3"/>
      <c r="B334" s="3"/>
      <c r="C334" s="3"/>
      <c r="D334" s="3"/>
      <c r="E334" s="3"/>
      <c r="F334" s="3"/>
      <c r="G334" s="3"/>
      <c r="H334" s="3"/>
      <c r="I334" s="3"/>
      <c r="J334" s="3"/>
      <c r="K334" s="3"/>
      <c r="L334" s="3"/>
      <c r="M334" s="3"/>
      <c r="N334" s="3"/>
      <c r="O334" s="3"/>
      <c r="P334" s="3"/>
      <c r="Q334" s="3"/>
      <c r="R334" s="3"/>
      <c r="S334" s="3"/>
      <c r="T334" s="3"/>
      <c r="U334" s="3"/>
      <c r="V334" s="733"/>
      <c r="W334" s="3"/>
      <c r="X334" s="3"/>
      <c r="Y334" s="3"/>
      <c r="Z334" s="3"/>
      <c r="AA334" s="3"/>
    </row>
    <row r="335" spans="1:27" ht="24.75" customHeight="1">
      <c r="A335" s="3"/>
      <c r="B335" s="3"/>
      <c r="C335" s="3"/>
      <c r="D335" s="3"/>
      <c r="E335" s="3"/>
      <c r="F335" s="3"/>
      <c r="G335" s="3"/>
      <c r="H335" s="3"/>
      <c r="I335" s="3"/>
      <c r="J335" s="3"/>
      <c r="K335" s="3"/>
      <c r="L335" s="3"/>
      <c r="M335" s="3"/>
      <c r="N335" s="3"/>
      <c r="O335" s="3"/>
      <c r="P335" s="3"/>
      <c r="Q335" s="3"/>
      <c r="R335" s="3"/>
      <c r="S335" s="3"/>
      <c r="T335" s="3"/>
      <c r="U335" s="3"/>
      <c r="V335" s="733"/>
      <c r="W335" s="3"/>
      <c r="X335" s="3"/>
      <c r="Y335" s="3"/>
      <c r="Z335" s="3"/>
      <c r="AA335" s="3"/>
    </row>
    <row r="336" spans="1:27" ht="24.75" customHeight="1">
      <c r="A336" s="3"/>
      <c r="B336" s="3"/>
      <c r="C336" s="3"/>
      <c r="D336" s="3"/>
      <c r="E336" s="3"/>
      <c r="F336" s="3"/>
      <c r="G336" s="3"/>
      <c r="H336" s="3"/>
      <c r="I336" s="3"/>
      <c r="J336" s="3"/>
      <c r="K336" s="3"/>
      <c r="L336" s="3"/>
      <c r="M336" s="3"/>
      <c r="N336" s="3"/>
      <c r="O336" s="3"/>
      <c r="P336" s="3"/>
      <c r="Q336" s="3"/>
      <c r="R336" s="3"/>
      <c r="S336" s="3"/>
      <c r="T336" s="3"/>
      <c r="U336" s="3"/>
      <c r="V336" s="733"/>
      <c r="W336" s="3"/>
      <c r="X336" s="3"/>
      <c r="Y336" s="3"/>
      <c r="Z336" s="3"/>
      <c r="AA336" s="3"/>
    </row>
    <row r="337" spans="1:27" ht="24.75" customHeight="1">
      <c r="A337" s="3"/>
      <c r="B337" s="3"/>
      <c r="C337" s="3"/>
      <c r="D337" s="3"/>
      <c r="E337" s="3"/>
      <c r="F337" s="3"/>
      <c r="G337" s="3"/>
      <c r="H337" s="3"/>
      <c r="I337" s="3"/>
      <c r="J337" s="3"/>
      <c r="K337" s="3"/>
      <c r="L337" s="3"/>
      <c r="M337" s="3"/>
      <c r="N337" s="3"/>
      <c r="O337" s="3"/>
      <c r="P337" s="3"/>
      <c r="Q337" s="3"/>
      <c r="R337" s="3"/>
      <c r="S337" s="3"/>
      <c r="T337" s="3"/>
      <c r="U337" s="3"/>
      <c r="V337" s="733"/>
      <c r="W337" s="3"/>
      <c r="X337" s="3"/>
      <c r="Y337" s="3"/>
      <c r="Z337" s="3"/>
      <c r="AA337" s="3"/>
    </row>
    <row r="338" spans="1:27" ht="24.75" customHeight="1">
      <c r="A338" s="3"/>
      <c r="B338" s="3"/>
      <c r="C338" s="3"/>
      <c r="D338" s="3"/>
      <c r="E338" s="3"/>
      <c r="F338" s="3"/>
      <c r="G338" s="3"/>
      <c r="H338" s="3"/>
      <c r="I338" s="3"/>
      <c r="J338" s="3"/>
      <c r="K338" s="3"/>
      <c r="L338" s="3"/>
      <c r="M338" s="3"/>
      <c r="N338" s="3"/>
      <c r="O338" s="3"/>
      <c r="P338" s="3"/>
      <c r="Q338" s="3"/>
      <c r="R338" s="3"/>
      <c r="S338" s="3"/>
      <c r="T338" s="3"/>
      <c r="U338" s="3"/>
      <c r="V338" s="733"/>
      <c r="W338" s="3"/>
      <c r="X338" s="3"/>
      <c r="Y338" s="3"/>
      <c r="Z338" s="3"/>
      <c r="AA338" s="3"/>
    </row>
    <row r="339" spans="1:27" ht="24.75" customHeight="1">
      <c r="A339" s="3"/>
      <c r="B339" s="3"/>
      <c r="C339" s="3"/>
      <c r="D339" s="3"/>
      <c r="E339" s="3"/>
      <c r="F339" s="3"/>
      <c r="G339" s="3"/>
      <c r="H339" s="3"/>
      <c r="I339" s="3"/>
      <c r="J339" s="3"/>
      <c r="K339" s="3"/>
      <c r="L339" s="3"/>
      <c r="M339" s="3"/>
      <c r="N339" s="3"/>
      <c r="O339" s="3"/>
      <c r="P339" s="3"/>
      <c r="Q339" s="3"/>
      <c r="R339" s="3"/>
      <c r="S339" s="3"/>
      <c r="T339" s="3"/>
      <c r="U339" s="3"/>
      <c r="V339" s="733"/>
      <c r="W339" s="3"/>
      <c r="X339" s="3"/>
      <c r="Y339" s="3"/>
      <c r="Z339" s="3"/>
      <c r="AA339" s="3"/>
    </row>
    <row r="340" spans="1:27" ht="24.75" customHeight="1">
      <c r="A340" s="3"/>
      <c r="B340" s="3"/>
      <c r="C340" s="3"/>
      <c r="D340" s="3"/>
      <c r="E340" s="3"/>
      <c r="F340" s="3"/>
      <c r="G340" s="3"/>
      <c r="H340" s="3"/>
      <c r="I340" s="3"/>
      <c r="J340" s="3"/>
      <c r="K340" s="3"/>
      <c r="L340" s="3"/>
      <c r="M340" s="3"/>
      <c r="N340" s="3"/>
      <c r="O340" s="3"/>
      <c r="P340" s="3"/>
      <c r="Q340" s="3"/>
      <c r="R340" s="3"/>
      <c r="S340" s="3"/>
      <c r="T340" s="3"/>
      <c r="U340" s="3"/>
      <c r="V340" s="733"/>
      <c r="W340" s="3"/>
      <c r="X340" s="3"/>
      <c r="Y340" s="3"/>
      <c r="Z340" s="3"/>
      <c r="AA340" s="3"/>
    </row>
    <row r="341" spans="1:27" ht="24.75" customHeight="1">
      <c r="A341" s="3"/>
      <c r="B341" s="3"/>
      <c r="C341" s="3"/>
      <c r="D341" s="3"/>
      <c r="E341" s="3"/>
      <c r="F341" s="3"/>
      <c r="G341" s="3"/>
      <c r="H341" s="3"/>
      <c r="I341" s="3"/>
      <c r="J341" s="3"/>
      <c r="K341" s="3"/>
      <c r="L341" s="3"/>
      <c r="M341" s="3"/>
      <c r="N341" s="3"/>
      <c r="O341" s="3"/>
      <c r="P341" s="3"/>
      <c r="Q341" s="3"/>
      <c r="R341" s="3"/>
      <c r="S341" s="3"/>
      <c r="T341" s="3"/>
      <c r="U341" s="3"/>
      <c r="V341" s="733"/>
      <c r="W341" s="3"/>
      <c r="X341" s="3"/>
      <c r="Y341" s="3"/>
      <c r="Z341" s="3"/>
      <c r="AA341" s="3"/>
    </row>
    <row r="342" spans="1:27" ht="24.75" customHeight="1">
      <c r="A342" s="3"/>
      <c r="B342" s="3"/>
      <c r="C342" s="3"/>
      <c r="D342" s="3"/>
      <c r="E342" s="3"/>
      <c r="F342" s="3"/>
      <c r="G342" s="3"/>
      <c r="H342" s="3"/>
      <c r="I342" s="3"/>
      <c r="J342" s="3"/>
      <c r="K342" s="3"/>
      <c r="L342" s="3"/>
      <c r="M342" s="3"/>
      <c r="N342" s="3"/>
      <c r="O342" s="3"/>
      <c r="P342" s="3"/>
      <c r="Q342" s="3"/>
      <c r="R342" s="3"/>
      <c r="S342" s="3"/>
      <c r="T342" s="3"/>
      <c r="U342" s="3"/>
      <c r="V342" s="733"/>
      <c r="W342" s="3"/>
      <c r="X342" s="3"/>
      <c r="Y342" s="3"/>
      <c r="Z342" s="3"/>
      <c r="AA342" s="3"/>
    </row>
    <row r="343" spans="1:27" ht="24.75" customHeight="1">
      <c r="A343" s="3"/>
      <c r="B343" s="3"/>
      <c r="C343" s="3"/>
      <c r="D343" s="3"/>
      <c r="E343" s="3"/>
      <c r="F343" s="3"/>
      <c r="G343" s="3"/>
      <c r="H343" s="3"/>
      <c r="I343" s="3"/>
      <c r="J343" s="3"/>
      <c r="K343" s="3"/>
      <c r="L343" s="3"/>
      <c r="M343" s="3"/>
      <c r="N343" s="3"/>
      <c r="O343" s="3"/>
      <c r="P343" s="3"/>
      <c r="Q343" s="3"/>
      <c r="R343" s="3"/>
      <c r="S343" s="3"/>
      <c r="T343" s="3"/>
      <c r="U343" s="3"/>
      <c r="V343" s="733"/>
      <c r="W343" s="3"/>
      <c r="X343" s="3"/>
      <c r="Y343" s="3"/>
      <c r="Z343" s="3"/>
      <c r="AA343" s="3"/>
    </row>
    <row r="344" spans="1:27" ht="24.75" customHeight="1">
      <c r="A344" s="3"/>
      <c r="B344" s="3"/>
      <c r="C344" s="3"/>
      <c r="D344" s="3"/>
      <c r="E344" s="3"/>
      <c r="F344" s="3"/>
      <c r="G344" s="3"/>
      <c r="H344" s="3"/>
      <c r="I344" s="3"/>
      <c r="J344" s="3"/>
      <c r="K344" s="3"/>
      <c r="L344" s="3"/>
      <c r="M344" s="3"/>
      <c r="N344" s="3"/>
      <c r="O344" s="3"/>
      <c r="P344" s="3"/>
      <c r="Q344" s="3"/>
      <c r="R344" s="3"/>
      <c r="S344" s="3"/>
      <c r="T344" s="3"/>
      <c r="U344" s="3"/>
      <c r="V344" s="733"/>
      <c r="W344" s="3"/>
      <c r="X344" s="3"/>
      <c r="Y344" s="3"/>
      <c r="Z344" s="3"/>
      <c r="AA344" s="3"/>
    </row>
    <row r="345" spans="1:27" ht="24.75" customHeight="1">
      <c r="A345" s="3"/>
      <c r="B345" s="3"/>
      <c r="C345" s="3"/>
      <c r="D345" s="3"/>
      <c r="E345" s="3"/>
      <c r="F345" s="3"/>
      <c r="G345" s="3"/>
      <c r="H345" s="3"/>
      <c r="I345" s="3"/>
      <c r="J345" s="3"/>
      <c r="K345" s="3"/>
      <c r="L345" s="3"/>
      <c r="M345" s="3"/>
      <c r="N345" s="3"/>
      <c r="O345" s="3"/>
      <c r="P345" s="3"/>
      <c r="Q345" s="3"/>
      <c r="R345" s="3"/>
      <c r="S345" s="3"/>
      <c r="T345" s="3"/>
      <c r="U345" s="3"/>
      <c r="V345" s="733"/>
      <c r="W345" s="3"/>
      <c r="X345" s="3"/>
      <c r="Y345" s="3"/>
      <c r="Z345" s="3"/>
      <c r="AA345" s="3"/>
    </row>
    <row r="346" spans="1:27" ht="24.75" customHeight="1">
      <c r="A346" s="3"/>
      <c r="B346" s="3"/>
      <c r="C346" s="3"/>
      <c r="D346" s="3"/>
      <c r="E346" s="3"/>
      <c r="F346" s="3"/>
      <c r="G346" s="3"/>
      <c r="H346" s="3"/>
      <c r="I346" s="3"/>
      <c r="J346" s="3"/>
      <c r="K346" s="3"/>
      <c r="L346" s="3"/>
      <c r="M346" s="3"/>
      <c r="N346" s="3"/>
      <c r="O346" s="3"/>
      <c r="P346" s="3"/>
      <c r="Q346" s="3"/>
      <c r="R346" s="3"/>
      <c r="S346" s="3"/>
      <c r="T346" s="3"/>
      <c r="U346" s="3"/>
      <c r="V346" s="733"/>
      <c r="W346" s="3"/>
      <c r="X346" s="3"/>
      <c r="Y346" s="3"/>
      <c r="Z346" s="3"/>
      <c r="AA346" s="3"/>
    </row>
    <row r="347" spans="1:27" ht="24.75" customHeight="1">
      <c r="A347" s="3"/>
      <c r="B347" s="3"/>
      <c r="C347" s="3"/>
      <c r="D347" s="3"/>
      <c r="E347" s="3"/>
      <c r="F347" s="3"/>
      <c r="G347" s="3"/>
      <c r="H347" s="3"/>
      <c r="I347" s="3"/>
      <c r="J347" s="3"/>
      <c r="K347" s="3"/>
      <c r="L347" s="3"/>
      <c r="M347" s="3"/>
      <c r="N347" s="3"/>
      <c r="O347" s="3"/>
      <c r="P347" s="3"/>
      <c r="Q347" s="3"/>
      <c r="R347" s="3"/>
      <c r="S347" s="3"/>
      <c r="T347" s="3"/>
      <c r="U347" s="3"/>
      <c r="V347" s="733"/>
      <c r="W347" s="3"/>
      <c r="X347" s="3"/>
      <c r="Y347" s="3"/>
      <c r="Z347" s="3"/>
      <c r="AA347" s="3"/>
    </row>
    <row r="348" spans="1:27" ht="24.75" customHeight="1">
      <c r="A348" s="3"/>
      <c r="B348" s="3"/>
      <c r="C348" s="3"/>
      <c r="D348" s="3"/>
      <c r="E348" s="3"/>
      <c r="F348" s="3"/>
      <c r="G348" s="3"/>
      <c r="H348" s="3"/>
      <c r="I348" s="3"/>
      <c r="J348" s="3"/>
      <c r="K348" s="3"/>
      <c r="L348" s="3"/>
      <c r="M348" s="3"/>
      <c r="N348" s="3"/>
      <c r="O348" s="3"/>
      <c r="P348" s="3"/>
      <c r="Q348" s="3"/>
      <c r="R348" s="3"/>
      <c r="S348" s="3"/>
      <c r="T348" s="3"/>
      <c r="U348" s="3"/>
      <c r="V348" s="733"/>
      <c r="W348" s="3"/>
      <c r="X348" s="3"/>
      <c r="Y348" s="3"/>
      <c r="Z348" s="3"/>
      <c r="AA348" s="3"/>
    </row>
    <row r="349" spans="1:27" ht="24.75" customHeight="1">
      <c r="A349" s="3"/>
      <c r="B349" s="3"/>
      <c r="C349" s="3"/>
      <c r="D349" s="3"/>
      <c r="E349" s="3"/>
      <c r="F349" s="3"/>
      <c r="G349" s="3"/>
      <c r="H349" s="3"/>
      <c r="I349" s="3"/>
      <c r="J349" s="3"/>
      <c r="K349" s="3"/>
      <c r="L349" s="3"/>
      <c r="M349" s="3"/>
      <c r="N349" s="3"/>
      <c r="O349" s="3"/>
      <c r="P349" s="3"/>
      <c r="Q349" s="3"/>
      <c r="R349" s="3"/>
      <c r="S349" s="3"/>
      <c r="T349" s="3"/>
      <c r="U349" s="3"/>
      <c r="V349" s="733"/>
      <c r="W349" s="3"/>
      <c r="X349" s="3"/>
      <c r="Y349" s="3"/>
      <c r="Z349" s="3"/>
      <c r="AA349" s="3"/>
    </row>
    <row r="350" spans="1:27" ht="24.75" customHeight="1">
      <c r="A350" s="3"/>
      <c r="B350" s="3"/>
      <c r="C350" s="3"/>
      <c r="D350" s="3"/>
      <c r="E350" s="3"/>
      <c r="F350" s="3"/>
      <c r="G350" s="3"/>
      <c r="H350" s="3"/>
      <c r="I350" s="3"/>
      <c r="J350" s="3"/>
      <c r="K350" s="3"/>
      <c r="L350" s="3"/>
      <c r="M350" s="3"/>
      <c r="N350" s="3"/>
      <c r="O350" s="3"/>
      <c r="P350" s="3"/>
      <c r="Q350" s="3"/>
      <c r="R350" s="3"/>
      <c r="S350" s="3"/>
      <c r="T350" s="3"/>
      <c r="U350" s="3"/>
      <c r="V350" s="733"/>
      <c r="W350" s="3"/>
      <c r="X350" s="3"/>
      <c r="Y350" s="3"/>
      <c r="Z350" s="3"/>
      <c r="AA350" s="3"/>
    </row>
    <row r="351" spans="1:27" ht="24.75" customHeight="1">
      <c r="A351" s="3"/>
      <c r="B351" s="3"/>
      <c r="C351" s="3"/>
      <c r="D351" s="3"/>
      <c r="E351" s="3"/>
      <c r="F351" s="3"/>
      <c r="G351" s="3"/>
      <c r="H351" s="3"/>
      <c r="I351" s="3"/>
      <c r="J351" s="3"/>
      <c r="K351" s="3"/>
      <c r="L351" s="3"/>
      <c r="M351" s="3"/>
      <c r="N351" s="3"/>
      <c r="O351" s="3"/>
      <c r="P351" s="3"/>
      <c r="Q351" s="3"/>
      <c r="R351" s="3"/>
      <c r="S351" s="3"/>
      <c r="T351" s="3"/>
      <c r="U351" s="3"/>
      <c r="V351" s="733"/>
      <c r="W351" s="3"/>
      <c r="X351" s="3"/>
      <c r="Y351" s="3"/>
      <c r="Z351" s="3"/>
      <c r="AA351" s="3"/>
    </row>
    <row r="352" spans="1:27" ht="24.75" customHeight="1">
      <c r="A352" s="3"/>
      <c r="B352" s="3"/>
      <c r="C352" s="3"/>
      <c r="D352" s="3"/>
      <c r="E352" s="3"/>
      <c r="F352" s="3"/>
      <c r="G352" s="3"/>
      <c r="H352" s="3"/>
      <c r="I352" s="3"/>
      <c r="J352" s="3"/>
      <c r="K352" s="3"/>
      <c r="L352" s="3"/>
      <c r="M352" s="3"/>
      <c r="N352" s="3"/>
      <c r="O352" s="3"/>
      <c r="P352" s="3"/>
      <c r="Q352" s="3"/>
      <c r="R352" s="3"/>
      <c r="S352" s="3"/>
      <c r="T352" s="3"/>
      <c r="U352" s="3"/>
      <c r="V352" s="733"/>
      <c r="W352" s="3"/>
      <c r="X352" s="3"/>
      <c r="Y352" s="3"/>
      <c r="Z352" s="3"/>
      <c r="AA352" s="3"/>
    </row>
    <row r="353" spans="1:27" ht="24.75" customHeight="1">
      <c r="A353" s="3"/>
      <c r="B353" s="3"/>
      <c r="C353" s="3"/>
      <c r="D353" s="3"/>
      <c r="E353" s="3"/>
      <c r="F353" s="3"/>
      <c r="G353" s="3"/>
      <c r="H353" s="3"/>
      <c r="I353" s="3"/>
      <c r="J353" s="3"/>
      <c r="K353" s="3"/>
      <c r="L353" s="3"/>
      <c r="M353" s="3"/>
      <c r="N353" s="3"/>
      <c r="O353" s="3"/>
      <c r="P353" s="3"/>
      <c r="Q353" s="3"/>
      <c r="R353" s="3"/>
      <c r="S353" s="3"/>
      <c r="T353" s="3"/>
      <c r="U353" s="3"/>
      <c r="V353" s="733"/>
      <c r="W353" s="3"/>
      <c r="X353" s="3"/>
      <c r="Y353" s="3"/>
      <c r="Z353" s="3"/>
      <c r="AA353" s="3"/>
    </row>
    <row r="354" spans="1:27" ht="24.75" customHeight="1">
      <c r="A354" s="3"/>
      <c r="B354" s="3"/>
      <c r="C354" s="3"/>
      <c r="D354" s="3"/>
      <c r="E354" s="3"/>
      <c r="F354" s="3"/>
      <c r="G354" s="3"/>
      <c r="H354" s="3"/>
      <c r="I354" s="3"/>
      <c r="J354" s="3"/>
      <c r="K354" s="3"/>
      <c r="L354" s="3"/>
      <c r="M354" s="3"/>
      <c r="N354" s="3"/>
      <c r="O354" s="3"/>
      <c r="P354" s="3"/>
      <c r="Q354" s="3"/>
      <c r="R354" s="3"/>
      <c r="S354" s="3"/>
      <c r="T354" s="3"/>
      <c r="U354" s="3"/>
      <c r="V354" s="733"/>
      <c r="W354" s="3"/>
      <c r="X354" s="3"/>
      <c r="Y354" s="3"/>
      <c r="Z354" s="3"/>
      <c r="AA354" s="3"/>
    </row>
    <row r="355" spans="1:27" ht="24.75" customHeight="1">
      <c r="A355" s="3"/>
      <c r="B355" s="3"/>
      <c r="C355" s="3"/>
      <c r="D355" s="3"/>
      <c r="E355" s="3"/>
      <c r="F355" s="3"/>
      <c r="G355" s="3"/>
      <c r="H355" s="3"/>
      <c r="I355" s="3"/>
      <c r="J355" s="3"/>
      <c r="K355" s="3"/>
      <c r="L355" s="3"/>
      <c r="M355" s="3"/>
      <c r="N355" s="3"/>
      <c r="O355" s="3"/>
      <c r="P355" s="3"/>
      <c r="Q355" s="3"/>
      <c r="R355" s="3"/>
      <c r="S355" s="3"/>
      <c r="T355" s="3"/>
      <c r="U355" s="3"/>
      <c r="V355" s="733"/>
      <c r="W355" s="3"/>
      <c r="X355" s="3"/>
      <c r="Y355" s="3"/>
      <c r="Z355" s="3"/>
      <c r="AA355" s="3"/>
    </row>
    <row r="356" spans="1:27" ht="24.75" customHeight="1">
      <c r="A356" s="3"/>
      <c r="B356" s="3"/>
      <c r="C356" s="3"/>
      <c r="D356" s="3"/>
      <c r="E356" s="3"/>
      <c r="F356" s="3"/>
      <c r="G356" s="3"/>
      <c r="H356" s="3"/>
      <c r="I356" s="3"/>
      <c r="J356" s="3"/>
      <c r="K356" s="3"/>
      <c r="L356" s="3"/>
      <c r="M356" s="3"/>
      <c r="N356" s="3"/>
      <c r="O356" s="3"/>
      <c r="P356" s="3"/>
      <c r="Q356" s="3"/>
      <c r="R356" s="3"/>
      <c r="S356" s="3"/>
      <c r="T356" s="3"/>
      <c r="U356" s="3"/>
      <c r="V356" s="733"/>
      <c r="W356" s="3"/>
      <c r="X356" s="3"/>
      <c r="Y356" s="3"/>
      <c r="Z356" s="3"/>
      <c r="AA356" s="3"/>
    </row>
    <row r="357" spans="1:27" ht="24.75" customHeight="1">
      <c r="A357" s="3"/>
      <c r="B357" s="3"/>
      <c r="C357" s="3"/>
      <c r="D357" s="3"/>
      <c r="E357" s="3"/>
      <c r="F357" s="3"/>
      <c r="G357" s="3"/>
      <c r="H357" s="3"/>
      <c r="I357" s="3"/>
      <c r="J357" s="3"/>
      <c r="K357" s="3"/>
      <c r="L357" s="3"/>
      <c r="M357" s="3"/>
      <c r="N357" s="3"/>
      <c r="O357" s="3"/>
      <c r="P357" s="3"/>
      <c r="Q357" s="3"/>
      <c r="R357" s="3"/>
      <c r="S357" s="3"/>
      <c r="T357" s="3"/>
      <c r="U357" s="3"/>
      <c r="V357" s="733"/>
      <c r="W357" s="3"/>
      <c r="X357" s="3"/>
      <c r="Y357" s="3"/>
      <c r="Z357" s="3"/>
      <c r="AA357" s="3"/>
    </row>
    <row r="358" spans="1:27" ht="24.75" customHeight="1">
      <c r="A358" s="3"/>
      <c r="B358" s="3"/>
      <c r="C358" s="3"/>
      <c r="D358" s="3"/>
      <c r="E358" s="3"/>
      <c r="F358" s="3"/>
      <c r="G358" s="3"/>
      <c r="H358" s="3"/>
      <c r="I358" s="3"/>
      <c r="J358" s="3"/>
      <c r="K358" s="3"/>
      <c r="L358" s="3"/>
      <c r="M358" s="3"/>
      <c r="N358" s="3"/>
      <c r="O358" s="3"/>
      <c r="P358" s="3"/>
      <c r="Q358" s="3"/>
      <c r="R358" s="3"/>
      <c r="S358" s="3"/>
      <c r="T358" s="3"/>
      <c r="U358" s="3"/>
      <c r="V358" s="733"/>
      <c r="W358" s="3"/>
      <c r="X358" s="3"/>
      <c r="Y358" s="3"/>
      <c r="Z358" s="3"/>
      <c r="AA358" s="3"/>
    </row>
    <row r="359" spans="1:27" ht="24.75" customHeight="1">
      <c r="A359" s="3"/>
      <c r="B359" s="3"/>
      <c r="C359" s="3"/>
      <c r="D359" s="3"/>
      <c r="E359" s="3"/>
      <c r="F359" s="3"/>
      <c r="G359" s="3"/>
      <c r="H359" s="3"/>
      <c r="I359" s="3"/>
      <c r="J359" s="3"/>
      <c r="K359" s="3"/>
      <c r="L359" s="3"/>
      <c r="M359" s="3"/>
      <c r="N359" s="3"/>
      <c r="O359" s="3"/>
      <c r="P359" s="3"/>
      <c r="Q359" s="3"/>
      <c r="R359" s="3"/>
      <c r="S359" s="3"/>
      <c r="T359" s="3"/>
      <c r="U359" s="3"/>
      <c r="V359" s="733"/>
      <c r="W359" s="3"/>
      <c r="X359" s="3"/>
      <c r="Y359" s="3"/>
      <c r="Z359" s="3"/>
      <c r="AA359" s="3"/>
    </row>
    <row r="360" spans="1:27" ht="24.75" customHeight="1">
      <c r="A360" s="3"/>
      <c r="B360" s="3"/>
      <c r="C360" s="3"/>
      <c r="D360" s="3"/>
      <c r="E360" s="3"/>
      <c r="F360" s="3"/>
      <c r="G360" s="3"/>
      <c r="H360" s="3"/>
      <c r="I360" s="3"/>
      <c r="J360" s="3"/>
      <c r="K360" s="3"/>
      <c r="L360" s="3"/>
      <c r="M360" s="3"/>
      <c r="N360" s="3"/>
      <c r="O360" s="3"/>
      <c r="P360" s="3"/>
      <c r="Q360" s="3"/>
      <c r="R360" s="3"/>
      <c r="S360" s="3"/>
      <c r="T360" s="3"/>
      <c r="U360" s="3"/>
      <c r="V360" s="733"/>
      <c r="W360" s="3"/>
      <c r="X360" s="3"/>
      <c r="Y360" s="3"/>
      <c r="Z360" s="3"/>
      <c r="AA360" s="3"/>
    </row>
    <row r="361" spans="1:27" ht="24.75" customHeight="1">
      <c r="A361" s="3"/>
      <c r="B361" s="3"/>
      <c r="C361" s="3"/>
      <c r="D361" s="3"/>
      <c r="E361" s="3"/>
      <c r="F361" s="3"/>
      <c r="G361" s="3"/>
      <c r="H361" s="3"/>
      <c r="I361" s="3"/>
      <c r="J361" s="3"/>
      <c r="K361" s="3"/>
      <c r="L361" s="3"/>
      <c r="M361" s="3"/>
      <c r="N361" s="3"/>
      <c r="O361" s="3"/>
      <c r="P361" s="3"/>
      <c r="Q361" s="3"/>
      <c r="R361" s="3"/>
      <c r="S361" s="3"/>
      <c r="T361" s="3"/>
      <c r="U361" s="3"/>
      <c r="V361" s="733"/>
      <c r="W361" s="3"/>
      <c r="X361" s="3"/>
      <c r="Y361" s="3"/>
      <c r="Z361" s="3"/>
      <c r="AA361" s="3"/>
    </row>
    <row r="362" spans="1:27" ht="24.75" customHeight="1">
      <c r="A362" s="3"/>
      <c r="B362" s="3"/>
      <c r="C362" s="3"/>
      <c r="D362" s="3"/>
      <c r="E362" s="3"/>
      <c r="F362" s="3"/>
      <c r="G362" s="3"/>
      <c r="H362" s="3"/>
      <c r="I362" s="3"/>
      <c r="J362" s="3"/>
      <c r="K362" s="3"/>
      <c r="L362" s="3"/>
      <c r="M362" s="3"/>
      <c r="N362" s="3"/>
      <c r="O362" s="3"/>
      <c r="P362" s="3"/>
      <c r="Q362" s="3"/>
      <c r="R362" s="3"/>
      <c r="S362" s="3"/>
      <c r="T362" s="3"/>
      <c r="U362" s="3"/>
      <c r="V362" s="733"/>
      <c r="W362" s="3"/>
      <c r="X362" s="3"/>
      <c r="Y362" s="3"/>
      <c r="Z362" s="3"/>
      <c r="AA362" s="3"/>
    </row>
    <row r="363" spans="1:27" ht="24.75" customHeight="1">
      <c r="A363" s="3"/>
      <c r="B363" s="3"/>
      <c r="C363" s="3"/>
      <c r="D363" s="3"/>
      <c r="E363" s="3"/>
      <c r="F363" s="3"/>
      <c r="G363" s="3"/>
      <c r="H363" s="3"/>
      <c r="I363" s="3"/>
      <c r="J363" s="3"/>
      <c r="K363" s="3"/>
      <c r="L363" s="3"/>
      <c r="M363" s="3"/>
      <c r="N363" s="3"/>
      <c r="O363" s="3"/>
      <c r="P363" s="3"/>
      <c r="Q363" s="3"/>
      <c r="R363" s="3"/>
      <c r="S363" s="3"/>
      <c r="T363" s="3"/>
      <c r="U363" s="3"/>
      <c r="V363" s="733"/>
      <c r="W363" s="3"/>
      <c r="X363" s="3"/>
      <c r="Y363" s="3"/>
      <c r="Z363" s="3"/>
      <c r="AA363" s="3"/>
    </row>
    <row r="364" spans="1:27" ht="24.75" customHeight="1">
      <c r="A364" s="3"/>
      <c r="B364" s="3"/>
      <c r="C364" s="3"/>
      <c r="D364" s="3"/>
      <c r="E364" s="3"/>
      <c r="F364" s="3"/>
      <c r="G364" s="3"/>
      <c r="H364" s="3"/>
      <c r="I364" s="3"/>
      <c r="J364" s="3"/>
      <c r="K364" s="3"/>
      <c r="L364" s="3"/>
      <c r="M364" s="3"/>
      <c r="N364" s="3"/>
      <c r="O364" s="3"/>
      <c r="P364" s="3"/>
      <c r="Q364" s="3"/>
      <c r="R364" s="3"/>
      <c r="S364" s="3"/>
      <c r="T364" s="3"/>
      <c r="U364" s="3"/>
      <c r="V364" s="733"/>
      <c r="W364" s="3"/>
      <c r="X364" s="3"/>
      <c r="Y364" s="3"/>
      <c r="Z364" s="3"/>
      <c r="AA364" s="3"/>
    </row>
    <row r="365" spans="1:27" ht="24.75" customHeight="1">
      <c r="A365" s="3"/>
      <c r="B365" s="3"/>
      <c r="C365" s="3"/>
      <c r="D365" s="3"/>
      <c r="E365" s="3"/>
      <c r="F365" s="3"/>
      <c r="G365" s="3"/>
      <c r="H365" s="3"/>
      <c r="I365" s="3"/>
      <c r="J365" s="3"/>
      <c r="K365" s="3"/>
      <c r="L365" s="3"/>
      <c r="M365" s="3"/>
      <c r="N365" s="3"/>
      <c r="O365" s="3"/>
      <c r="P365" s="3"/>
      <c r="Q365" s="3"/>
      <c r="R365" s="3"/>
      <c r="S365" s="3"/>
      <c r="T365" s="3"/>
      <c r="U365" s="3"/>
      <c r="V365" s="733"/>
      <c r="W365" s="3"/>
      <c r="X365" s="3"/>
      <c r="Y365" s="3"/>
      <c r="Z365" s="3"/>
      <c r="AA365" s="3"/>
    </row>
    <row r="366" spans="1:27" ht="24.75" customHeight="1">
      <c r="A366" s="3"/>
      <c r="B366" s="3"/>
      <c r="C366" s="3"/>
      <c r="D366" s="3"/>
      <c r="E366" s="3"/>
      <c r="F366" s="3"/>
      <c r="G366" s="3"/>
      <c r="H366" s="3"/>
      <c r="I366" s="3"/>
      <c r="J366" s="3"/>
      <c r="K366" s="3"/>
      <c r="L366" s="3"/>
      <c r="M366" s="3"/>
      <c r="N366" s="3"/>
      <c r="O366" s="3"/>
      <c r="P366" s="3"/>
      <c r="Q366" s="3"/>
      <c r="R366" s="3"/>
      <c r="S366" s="3"/>
      <c r="T366" s="3"/>
      <c r="U366" s="3"/>
      <c r="V366" s="733"/>
      <c r="W366" s="3"/>
      <c r="X366" s="3"/>
      <c r="Y366" s="3"/>
      <c r="Z366" s="3"/>
      <c r="AA366" s="3"/>
    </row>
    <row r="367" spans="1:27" ht="24.75" customHeight="1">
      <c r="A367" s="3"/>
      <c r="B367" s="3"/>
      <c r="C367" s="3"/>
      <c r="D367" s="3"/>
      <c r="E367" s="3"/>
      <c r="F367" s="3"/>
      <c r="G367" s="3"/>
      <c r="H367" s="3"/>
      <c r="I367" s="3"/>
      <c r="J367" s="3"/>
      <c r="K367" s="3"/>
      <c r="L367" s="3"/>
      <c r="M367" s="3"/>
      <c r="N367" s="3"/>
      <c r="O367" s="3"/>
      <c r="P367" s="3"/>
      <c r="Q367" s="3"/>
      <c r="R367" s="3"/>
      <c r="S367" s="3"/>
      <c r="T367" s="3"/>
      <c r="U367" s="3"/>
      <c r="V367" s="733"/>
      <c r="W367" s="3"/>
      <c r="X367" s="3"/>
      <c r="Y367" s="3"/>
      <c r="Z367" s="3"/>
      <c r="AA367" s="3"/>
    </row>
    <row r="368" spans="1:27" ht="24.75" customHeight="1">
      <c r="A368" s="3"/>
      <c r="B368" s="3"/>
      <c r="C368" s="3"/>
      <c r="D368" s="3"/>
      <c r="E368" s="3"/>
      <c r="F368" s="3"/>
      <c r="G368" s="3"/>
      <c r="H368" s="3"/>
      <c r="I368" s="3"/>
      <c r="J368" s="3"/>
      <c r="K368" s="3"/>
      <c r="L368" s="3"/>
      <c r="M368" s="3"/>
      <c r="N368" s="3"/>
      <c r="O368" s="3"/>
      <c r="P368" s="3"/>
      <c r="Q368" s="3"/>
      <c r="R368" s="3"/>
      <c r="S368" s="3"/>
      <c r="T368" s="3"/>
      <c r="U368" s="3"/>
      <c r="V368" s="733"/>
      <c r="W368" s="3"/>
      <c r="X368" s="3"/>
      <c r="Y368" s="3"/>
      <c r="Z368" s="3"/>
      <c r="AA368" s="3"/>
    </row>
    <row r="369" spans="1:27" ht="24.75" customHeight="1">
      <c r="A369" s="3"/>
      <c r="B369" s="3"/>
      <c r="C369" s="3"/>
      <c r="D369" s="3"/>
      <c r="E369" s="3"/>
      <c r="F369" s="3"/>
      <c r="G369" s="3"/>
      <c r="H369" s="3"/>
      <c r="I369" s="3"/>
      <c r="J369" s="3"/>
      <c r="K369" s="3"/>
      <c r="L369" s="3"/>
      <c r="M369" s="3"/>
      <c r="N369" s="3"/>
      <c r="O369" s="3"/>
      <c r="P369" s="3"/>
      <c r="Q369" s="3"/>
      <c r="R369" s="3"/>
      <c r="S369" s="3"/>
      <c r="T369" s="3"/>
      <c r="U369" s="3"/>
      <c r="V369" s="733"/>
      <c r="W369" s="3"/>
      <c r="X369" s="3"/>
      <c r="Y369" s="3"/>
      <c r="Z369" s="3"/>
      <c r="AA369" s="3"/>
    </row>
    <row r="370" spans="1:27" ht="24.75" customHeight="1">
      <c r="A370" s="3"/>
      <c r="B370" s="3"/>
      <c r="C370" s="3"/>
      <c r="D370" s="3"/>
      <c r="E370" s="3"/>
      <c r="F370" s="3"/>
      <c r="G370" s="3"/>
      <c r="H370" s="3"/>
      <c r="I370" s="3"/>
      <c r="J370" s="3"/>
      <c r="K370" s="3"/>
      <c r="L370" s="3"/>
      <c r="M370" s="3"/>
      <c r="N370" s="3"/>
      <c r="O370" s="3"/>
      <c r="P370" s="3"/>
      <c r="Q370" s="3"/>
      <c r="R370" s="3"/>
      <c r="S370" s="3"/>
      <c r="T370" s="3"/>
      <c r="U370" s="3"/>
      <c r="V370" s="733"/>
      <c r="W370" s="3"/>
      <c r="X370" s="3"/>
      <c r="Y370" s="3"/>
      <c r="Z370" s="3"/>
      <c r="AA370" s="3"/>
    </row>
    <row r="371" spans="1:27" ht="24.75" customHeight="1">
      <c r="A371" s="3"/>
      <c r="B371" s="3"/>
      <c r="C371" s="3"/>
      <c r="D371" s="3"/>
      <c r="E371" s="3"/>
      <c r="F371" s="3"/>
      <c r="G371" s="3"/>
      <c r="H371" s="3"/>
      <c r="I371" s="3"/>
      <c r="J371" s="3"/>
      <c r="K371" s="3"/>
      <c r="L371" s="3"/>
      <c r="M371" s="3"/>
      <c r="N371" s="3"/>
      <c r="O371" s="3"/>
      <c r="P371" s="3"/>
      <c r="Q371" s="3"/>
      <c r="R371" s="3"/>
      <c r="S371" s="3"/>
      <c r="T371" s="3"/>
      <c r="U371" s="3"/>
      <c r="V371" s="733"/>
      <c r="W371" s="3"/>
      <c r="X371" s="3"/>
      <c r="Y371" s="3"/>
      <c r="Z371" s="3"/>
      <c r="AA371" s="3"/>
    </row>
    <row r="372" spans="1:27" ht="24.75" customHeight="1">
      <c r="A372" s="3"/>
      <c r="B372" s="3"/>
      <c r="C372" s="3"/>
      <c r="D372" s="3"/>
      <c r="E372" s="3"/>
      <c r="F372" s="3"/>
      <c r="G372" s="3"/>
      <c r="H372" s="3"/>
      <c r="I372" s="3"/>
      <c r="J372" s="3"/>
      <c r="K372" s="3"/>
      <c r="L372" s="3"/>
      <c r="M372" s="3"/>
      <c r="N372" s="3"/>
      <c r="O372" s="3"/>
      <c r="P372" s="3"/>
      <c r="Q372" s="3"/>
      <c r="R372" s="3"/>
      <c r="S372" s="3"/>
      <c r="T372" s="3"/>
      <c r="U372" s="3"/>
      <c r="V372" s="733"/>
      <c r="W372" s="3"/>
      <c r="X372" s="3"/>
      <c r="Y372" s="3"/>
      <c r="Z372" s="3"/>
      <c r="AA372" s="3"/>
    </row>
    <row r="373" spans="1:27" ht="24.75" customHeight="1">
      <c r="A373" s="3"/>
      <c r="B373" s="3"/>
      <c r="C373" s="3"/>
      <c r="D373" s="3"/>
      <c r="E373" s="3"/>
      <c r="F373" s="3"/>
      <c r="G373" s="3"/>
      <c r="H373" s="3"/>
      <c r="I373" s="3"/>
      <c r="J373" s="3"/>
      <c r="K373" s="3"/>
      <c r="L373" s="3"/>
      <c r="M373" s="3"/>
      <c r="N373" s="3"/>
      <c r="O373" s="3"/>
      <c r="P373" s="3"/>
      <c r="Q373" s="3"/>
      <c r="R373" s="3"/>
      <c r="S373" s="3"/>
      <c r="T373" s="3"/>
      <c r="U373" s="3"/>
      <c r="V373" s="733"/>
      <c r="W373" s="3"/>
      <c r="X373" s="3"/>
      <c r="Y373" s="3"/>
      <c r="Z373" s="3"/>
      <c r="AA373" s="3"/>
    </row>
    <row r="374" spans="1:27" ht="24.75" customHeight="1">
      <c r="A374" s="3"/>
      <c r="B374" s="3"/>
      <c r="C374" s="3"/>
      <c r="D374" s="3"/>
      <c r="E374" s="3"/>
      <c r="F374" s="3"/>
      <c r="G374" s="3"/>
      <c r="H374" s="3"/>
      <c r="I374" s="3"/>
      <c r="J374" s="3"/>
      <c r="K374" s="3"/>
      <c r="L374" s="3"/>
      <c r="M374" s="3"/>
      <c r="N374" s="3"/>
      <c r="O374" s="3"/>
      <c r="P374" s="3"/>
      <c r="Q374" s="3"/>
      <c r="R374" s="3"/>
      <c r="S374" s="3"/>
      <c r="T374" s="3"/>
      <c r="U374" s="3"/>
      <c r="V374" s="733"/>
      <c r="W374" s="3"/>
      <c r="X374" s="3"/>
      <c r="Y374" s="3"/>
      <c r="Z374" s="3"/>
      <c r="AA374" s="3"/>
    </row>
    <row r="375" spans="1:27" ht="24.75" customHeight="1">
      <c r="A375" s="3"/>
      <c r="B375" s="3"/>
      <c r="C375" s="3"/>
      <c r="D375" s="3"/>
      <c r="E375" s="3"/>
      <c r="F375" s="3"/>
      <c r="G375" s="3"/>
      <c r="H375" s="3"/>
      <c r="I375" s="3"/>
      <c r="J375" s="3"/>
      <c r="K375" s="3"/>
      <c r="L375" s="3"/>
      <c r="M375" s="3"/>
      <c r="N375" s="3"/>
      <c r="O375" s="3"/>
      <c r="P375" s="3"/>
      <c r="Q375" s="3"/>
      <c r="R375" s="3"/>
      <c r="S375" s="3"/>
      <c r="T375" s="3"/>
      <c r="U375" s="3"/>
      <c r="V375" s="733"/>
      <c r="W375" s="3"/>
      <c r="X375" s="3"/>
      <c r="Y375" s="3"/>
      <c r="Z375" s="3"/>
      <c r="AA375" s="3"/>
    </row>
    <row r="376" spans="1:27" ht="24.75" customHeight="1">
      <c r="A376" s="3"/>
      <c r="B376" s="3"/>
      <c r="C376" s="3"/>
      <c r="D376" s="3"/>
      <c r="E376" s="3"/>
      <c r="F376" s="3"/>
      <c r="G376" s="3"/>
      <c r="H376" s="3"/>
      <c r="I376" s="3"/>
      <c r="J376" s="3"/>
      <c r="K376" s="3"/>
      <c r="L376" s="3"/>
      <c r="M376" s="3"/>
      <c r="N376" s="3"/>
      <c r="O376" s="3"/>
      <c r="P376" s="3"/>
      <c r="Q376" s="3"/>
      <c r="R376" s="3"/>
      <c r="S376" s="3"/>
      <c r="T376" s="3"/>
      <c r="U376" s="3"/>
      <c r="V376" s="733"/>
      <c r="W376" s="3"/>
      <c r="X376" s="3"/>
      <c r="Y376" s="3"/>
      <c r="Z376" s="3"/>
      <c r="AA376" s="3"/>
    </row>
    <row r="377" spans="1:27" ht="24.75" customHeight="1">
      <c r="A377" s="3"/>
      <c r="B377" s="3"/>
      <c r="C377" s="3"/>
      <c r="D377" s="3"/>
      <c r="E377" s="3"/>
      <c r="F377" s="3"/>
      <c r="G377" s="3"/>
      <c r="H377" s="3"/>
      <c r="I377" s="3"/>
      <c r="J377" s="3"/>
      <c r="K377" s="3"/>
      <c r="L377" s="3"/>
      <c r="M377" s="3"/>
      <c r="N377" s="3"/>
      <c r="O377" s="3"/>
      <c r="P377" s="3"/>
      <c r="Q377" s="3"/>
      <c r="R377" s="3"/>
      <c r="S377" s="3"/>
      <c r="T377" s="3"/>
      <c r="U377" s="3"/>
      <c r="V377" s="733"/>
      <c r="W377" s="3"/>
      <c r="X377" s="3"/>
      <c r="Y377" s="3"/>
      <c r="Z377" s="3"/>
      <c r="AA377" s="3"/>
    </row>
    <row r="378" spans="1:27" ht="24.75" customHeight="1">
      <c r="A378" s="3"/>
      <c r="B378" s="3"/>
      <c r="C378" s="3"/>
      <c r="D378" s="3"/>
      <c r="E378" s="3"/>
      <c r="F378" s="3"/>
      <c r="G378" s="3"/>
      <c r="H378" s="3"/>
      <c r="I378" s="3"/>
      <c r="J378" s="3"/>
      <c r="K378" s="3"/>
      <c r="L378" s="3"/>
      <c r="M378" s="3"/>
      <c r="N378" s="3"/>
      <c r="O378" s="3"/>
      <c r="P378" s="3"/>
      <c r="Q378" s="3"/>
      <c r="R378" s="3"/>
      <c r="S378" s="3"/>
      <c r="T378" s="3"/>
      <c r="U378" s="3"/>
      <c r="V378" s="733"/>
      <c r="W378" s="3"/>
      <c r="X378" s="3"/>
      <c r="Y378" s="3"/>
      <c r="Z378" s="3"/>
      <c r="AA378" s="3"/>
    </row>
    <row r="379" spans="1:27" ht="24.75" customHeight="1">
      <c r="A379" s="3"/>
      <c r="B379" s="3"/>
      <c r="C379" s="3"/>
      <c r="D379" s="3"/>
      <c r="E379" s="3"/>
      <c r="F379" s="3"/>
      <c r="G379" s="3"/>
      <c r="H379" s="3"/>
      <c r="I379" s="3"/>
      <c r="J379" s="3"/>
      <c r="K379" s="3"/>
      <c r="L379" s="3"/>
      <c r="M379" s="3"/>
      <c r="N379" s="3"/>
      <c r="O379" s="3"/>
      <c r="P379" s="3"/>
      <c r="Q379" s="3"/>
      <c r="R379" s="3"/>
      <c r="S379" s="3"/>
      <c r="T379" s="3"/>
      <c r="U379" s="3"/>
      <c r="V379" s="733"/>
      <c r="W379" s="3"/>
      <c r="X379" s="3"/>
      <c r="Y379" s="3"/>
      <c r="Z379" s="3"/>
      <c r="AA379" s="3"/>
    </row>
    <row r="380" spans="1:27" ht="24.75" customHeight="1">
      <c r="A380" s="3"/>
      <c r="B380" s="3"/>
      <c r="C380" s="3"/>
      <c r="D380" s="3"/>
      <c r="E380" s="3"/>
      <c r="F380" s="3"/>
      <c r="G380" s="3"/>
      <c r="H380" s="3"/>
      <c r="I380" s="3"/>
      <c r="J380" s="3"/>
      <c r="K380" s="3"/>
      <c r="L380" s="3"/>
      <c r="M380" s="3"/>
      <c r="N380" s="3"/>
      <c r="O380" s="3"/>
      <c r="P380" s="3"/>
      <c r="Q380" s="3"/>
      <c r="R380" s="3"/>
      <c r="S380" s="3"/>
      <c r="T380" s="3"/>
      <c r="U380" s="3"/>
      <c r="V380" s="733"/>
      <c r="W380" s="3"/>
      <c r="X380" s="3"/>
      <c r="Y380" s="3"/>
      <c r="Z380" s="3"/>
      <c r="AA380" s="3"/>
    </row>
    <row r="381" spans="1:27" ht="24.75" customHeight="1">
      <c r="A381" s="3"/>
      <c r="B381" s="3"/>
      <c r="C381" s="3"/>
      <c r="D381" s="3"/>
      <c r="E381" s="3"/>
      <c r="F381" s="3"/>
      <c r="G381" s="3"/>
      <c r="H381" s="3"/>
      <c r="I381" s="3"/>
      <c r="J381" s="3"/>
      <c r="K381" s="3"/>
      <c r="L381" s="3"/>
      <c r="M381" s="3"/>
      <c r="N381" s="3"/>
      <c r="O381" s="3"/>
      <c r="P381" s="3"/>
      <c r="Q381" s="3"/>
      <c r="R381" s="3"/>
      <c r="S381" s="3"/>
      <c r="T381" s="3"/>
      <c r="U381" s="3"/>
      <c r="V381" s="733"/>
      <c r="W381" s="3"/>
      <c r="X381" s="3"/>
      <c r="Y381" s="3"/>
      <c r="Z381" s="3"/>
      <c r="AA381" s="3"/>
    </row>
    <row r="382" spans="1:27" ht="24.75" customHeight="1">
      <c r="A382" s="3"/>
      <c r="B382" s="3"/>
      <c r="C382" s="3"/>
      <c r="D382" s="3"/>
      <c r="E382" s="3"/>
      <c r="F382" s="3"/>
      <c r="G382" s="3"/>
      <c r="H382" s="3"/>
      <c r="I382" s="3"/>
      <c r="J382" s="3"/>
      <c r="K382" s="3"/>
      <c r="L382" s="3"/>
      <c r="M382" s="3"/>
      <c r="N382" s="3"/>
      <c r="O382" s="3"/>
      <c r="P382" s="3"/>
      <c r="Q382" s="3"/>
      <c r="R382" s="3"/>
      <c r="S382" s="3"/>
      <c r="T382" s="3"/>
      <c r="U382" s="3"/>
      <c r="V382" s="733"/>
      <c r="W382" s="3"/>
      <c r="X382" s="3"/>
      <c r="Y382" s="3"/>
      <c r="Z382" s="3"/>
      <c r="AA382" s="3"/>
    </row>
    <row r="383" spans="1:27" ht="24.75" customHeight="1">
      <c r="A383" s="3"/>
      <c r="B383" s="3"/>
      <c r="C383" s="3"/>
      <c r="D383" s="3"/>
      <c r="E383" s="3"/>
      <c r="F383" s="3"/>
      <c r="G383" s="3"/>
      <c r="H383" s="3"/>
      <c r="I383" s="3"/>
      <c r="J383" s="3"/>
      <c r="K383" s="3"/>
      <c r="L383" s="3"/>
      <c r="M383" s="3"/>
      <c r="N383" s="3"/>
      <c r="O383" s="3"/>
      <c r="P383" s="3"/>
      <c r="Q383" s="3"/>
      <c r="R383" s="3"/>
      <c r="S383" s="3"/>
      <c r="T383" s="3"/>
      <c r="U383" s="3"/>
      <c r="V383" s="733"/>
      <c r="W383" s="3"/>
      <c r="X383" s="3"/>
      <c r="Y383" s="3"/>
      <c r="Z383" s="3"/>
      <c r="AA383" s="3"/>
    </row>
    <row r="384" spans="1:27" ht="24.75" customHeight="1">
      <c r="A384" s="3"/>
      <c r="B384" s="3"/>
      <c r="C384" s="3"/>
      <c r="D384" s="3"/>
      <c r="E384" s="3"/>
      <c r="F384" s="3"/>
      <c r="G384" s="3"/>
      <c r="H384" s="3"/>
      <c r="I384" s="3"/>
      <c r="J384" s="3"/>
      <c r="K384" s="3"/>
      <c r="L384" s="3"/>
      <c r="M384" s="3"/>
      <c r="N384" s="3"/>
      <c r="O384" s="3"/>
      <c r="P384" s="3"/>
      <c r="Q384" s="3"/>
      <c r="R384" s="3"/>
      <c r="S384" s="3"/>
      <c r="T384" s="3"/>
      <c r="U384" s="3"/>
      <c r="V384" s="733"/>
      <c r="W384" s="3"/>
      <c r="X384" s="3"/>
      <c r="Y384" s="3"/>
      <c r="Z384" s="3"/>
      <c r="AA384" s="3"/>
    </row>
    <row r="385" spans="1:27" ht="24.75" customHeight="1">
      <c r="A385" s="3"/>
      <c r="B385" s="3"/>
      <c r="C385" s="3"/>
      <c r="D385" s="3"/>
      <c r="E385" s="3"/>
      <c r="F385" s="3"/>
      <c r="G385" s="3"/>
      <c r="H385" s="3"/>
      <c r="I385" s="3"/>
      <c r="J385" s="3"/>
      <c r="K385" s="3"/>
      <c r="L385" s="3"/>
      <c r="M385" s="3"/>
      <c r="N385" s="3"/>
      <c r="O385" s="3"/>
      <c r="P385" s="3"/>
      <c r="Q385" s="3"/>
      <c r="R385" s="3"/>
      <c r="S385" s="3"/>
      <c r="T385" s="3"/>
      <c r="U385" s="3"/>
      <c r="V385" s="733"/>
      <c r="W385" s="3"/>
      <c r="X385" s="3"/>
      <c r="Y385" s="3"/>
      <c r="Z385" s="3"/>
      <c r="AA385" s="3"/>
    </row>
    <row r="386" spans="1:27" ht="24.75" customHeight="1">
      <c r="A386" s="3"/>
      <c r="B386" s="3"/>
      <c r="C386" s="3"/>
      <c r="D386" s="3"/>
      <c r="E386" s="3"/>
      <c r="F386" s="3"/>
      <c r="G386" s="3"/>
      <c r="H386" s="3"/>
      <c r="I386" s="3"/>
      <c r="J386" s="3"/>
      <c r="K386" s="3"/>
      <c r="L386" s="3"/>
      <c r="M386" s="3"/>
      <c r="N386" s="3"/>
      <c r="O386" s="3"/>
      <c r="P386" s="3"/>
      <c r="Q386" s="3"/>
      <c r="R386" s="3"/>
      <c r="S386" s="3"/>
      <c r="T386" s="3"/>
      <c r="U386" s="3"/>
      <c r="V386" s="733"/>
      <c r="W386" s="3"/>
      <c r="X386" s="3"/>
      <c r="Y386" s="3"/>
      <c r="Z386" s="3"/>
      <c r="AA386" s="3"/>
    </row>
    <row r="387" spans="1:27" ht="24.75" customHeight="1">
      <c r="A387" s="3"/>
      <c r="B387" s="3"/>
      <c r="C387" s="3"/>
      <c r="D387" s="3"/>
      <c r="E387" s="3"/>
      <c r="F387" s="3"/>
      <c r="G387" s="3"/>
      <c r="H387" s="3"/>
      <c r="I387" s="3"/>
      <c r="J387" s="3"/>
      <c r="K387" s="3"/>
      <c r="L387" s="3"/>
      <c r="M387" s="3"/>
      <c r="N387" s="3"/>
      <c r="O387" s="3"/>
      <c r="P387" s="3"/>
      <c r="Q387" s="3"/>
      <c r="R387" s="3"/>
      <c r="S387" s="3"/>
      <c r="T387" s="3"/>
      <c r="U387" s="3"/>
      <c r="V387" s="733"/>
      <c r="W387" s="3"/>
      <c r="X387" s="3"/>
      <c r="Y387" s="3"/>
      <c r="Z387" s="3"/>
      <c r="AA387" s="3"/>
    </row>
    <row r="388" spans="1:27" ht="24.75" customHeight="1">
      <c r="A388" s="3"/>
      <c r="B388" s="3"/>
      <c r="C388" s="3"/>
      <c r="D388" s="3"/>
      <c r="E388" s="3"/>
      <c r="F388" s="3"/>
      <c r="G388" s="3"/>
      <c r="H388" s="3"/>
      <c r="I388" s="3"/>
      <c r="J388" s="3"/>
      <c r="K388" s="3"/>
      <c r="L388" s="3"/>
      <c r="M388" s="3"/>
      <c r="N388" s="3"/>
      <c r="O388" s="3"/>
      <c r="P388" s="3"/>
      <c r="Q388" s="3"/>
      <c r="R388" s="3"/>
      <c r="S388" s="3"/>
      <c r="T388" s="3"/>
      <c r="U388" s="3"/>
      <c r="V388" s="733"/>
      <c r="W388" s="3"/>
      <c r="X388" s="3"/>
      <c r="Y388" s="3"/>
      <c r="Z388" s="3"/>
      <c r="AA388" s="3"/>
    </row>
    <row r="389" spans="1:27" ht="24.75" customHeight="1">
      <c r="A389" s="3"/>
      <c r="B389" s="3"/>
      <c r="C389" s="3"/>
      <c r="D389" s="3"/>
      <c r="E389" s="3"/>
      <c r="F389" s="3"/>
      <c r="G389" s="3"/>
      <c r="H389" s="3"/>
      <c r="I389" s="3"/>
      <c r="J389" s="3"/>
      <c r="K389" s="3"/>
      <c r="L389" s="3"/>
      <c r="M389" s="3"/>
      <c r="N389" s="3"/>
      <c r="O389" s="3"/>
      <c r="P389" s="3"/>
      <c r="Q389" s="3"/>
      <c r="R389" s="3"/>
      <c r="S389" s="3"/>
      <c r="T389" s="3"/>
      <c r="U389" s="3"/>
      <c r="V389" s="733"/>
      <c r="W389" s="3"/>
      <c r="X389" s="3"/>
      <c r="Y389" s="3"/>
      <c r="Z389" s="3"/>
      <c r="AA389" s="3"/>
    </row>
    <row r="390" spans="1:27" ht="24.75" customHeight="1">
      <c r="A390" s="3"/>
      <c r="B390" s="3"/>
      <c r="C390" s="3"/>
      <c r="D390" s="3"/>
      <c r="E390" s="3"/>
      <c r="F390" s="3"/>
      <c r="G390" s="3"/>
      <c r="H390" s="3"/>
      <c r="I390" s="3"/>
      <c r="J390" s="3"/>
      <c r="K390" s="3"/>
      <c r="L390" s="3"/>
      <c r="M390" s="3"/>
      <c r="N390" s="3"/>
      <c r="O390" s="3"/>
      <c r="P390" s="3"/>
      <c r="Q390" s="3"/>
      <c r="R390" s="3"/>
      <c r="S390" s="3"/>
      <c r="T390" s="3"/>
      <c r="U390" s="3"/>
      <c r="V390" s="733"/>
      <c r="W390" s="3"/>
      <c r="X390" s="3"/>
      <c r="Y390" s="3"/>
      <c r="Z390" s="3"/>
      <c r="AA390" s="3"/>
    </row>
    <row r="391" spans="1:27" ht="24.75" customHeight="1">
      <c r="A391" s="3"/>
      <c r="B391" s="3"/>
      <c r="C391" s="3"/>
      <c r="D391" s="3"/>
      <c r="E391" s="3"/>
      <c r="F391" s="3"/>
      <c r="G391" s="3"/>
      <c r="H391" s="3"/>
      <c r="I391" s="3"/>
      <c r="J391" s="3"/>
      <c r="K391" s="3"/>
      <c r="L391" s="3"/>
      <c r="M391" s="3"/>
      <c r="N391" s="3"/>
      <c r="O391" s="3"/>
      <c r="P391" s="3"/>
      <c r="Q391" s="3"/>
      <c r="R391" s="3"/>
      <c r="S391" s="3"/>
      <c r="T391" s="3"/>
      <c r="U391" s="3"/>
      <c r="V391" s="733"/>
      <c r="W391" s="3"/>
      <c r="X391" s="3"/>
      <c r="Y391" s="3"/>
      <c r="Z391" s="3"/>
      <c r="AA391" s="3"/>
    </row>
    <row r="392" spans="1:27" ht="24.75" customHeight="1">
      <c r="A392" s="3"/>
      <c r="B392" s="3"/>
      <c r="C392" s="3"/>
      <c r="D392" s="3"/>
      <c r="E392" s="3"/>
      <c r="F392" s="3"/>
      <c r="G392" s="3"/>
      <c r="H392" s="3"/>
      <c r="I392" s="3"/>
      <c r="J392" s="3"/>
      <c r="K392" s="3"/>
      <c r="L392" s="3"/>
      <c r="M392" s="3"/>
      <c r="N392" s="3"/>
      <c r="O392" s="3"/>
      <c r="P392" s="3"/>
      <c r="Q392" s="3"/>
      <c r="R392" s="3"/>
      <c r="S392" s="3"/>
      <c r="T392" s="3"/>
      <c r="U392" s="3"/>
      <c r="V392" s="733"/>
      <c r="W392" s="3"/>
      <c r="X392" s="3"/>
      <c r="Y392" s="3"/>
      <c r="Z392" s="3"/>
      <c r="AA392" s="3"/>
    </row>
    <row r="393" spans="1:27" ht="24.75" customHeight="1">
      <c r="A393" s="3"/>
      <c r="B393" s="3"/>
      <c r="C393" s="3"/>
      <c r="D393" s="3"/>
      <c r="E393" s="3"/>
      <c r="F393" s="3"/>
      <c r="G393" s="3"/>
      <c r="H393" s="3"/>
      <c r="I393" s="3"/>
      <c r="J393" s="3"/>
      <c r="K393" s="3"/>
      <c r="L393" s="3"/>
      <c r="M393" s="3"/>
      <c r="N393" s="3"/>
      <c r="O393" s="3"/>
      <c r="P393" s="3"/>
      <c r="Q393" s="3"/>
      <c r="R393" s="3"/>
      <c r="S393" s="3"/>
      <c r="T393" s="3"/>
      <c r="U393" s="3"/>
      <c r="V393" s="733"/>
      <c r="W393" s="3"/>
      <c r="X393" s="3"/>
      <c r="Y393" s="3"/>
      <c r="Z393" s="3"/>
      <c r="AA393" s="3"/>
    </row>
    <row r="394" spans="1:27" ht="24.75" customHeight="1">
      <c r="A394" s="3"/>
      <c r="B394" s="3"/>
      <c r="C394" s="3"/>
      <c r="D394" s="3"/>
      <c r="E394" s="3"/>
      <c r="F394" s="3"/>
      <c r="G394" s="3"/>
      <c r="H394" s="3"/>
      <c r="I394" s="3"/>
      <c r="J394" s="3"/>
      <c r="K394" s="3"/>
      <c r="L394" s="3"/>
      <c r="M394" s="3"/>
      <c r="N394" s="3"/>
      <c r="O394" s="3"/>
      <c r="P394" s="3"/>
      <c r="Q394" s="3"/>
      <c r="R394" s="3"/>
      <c r="S394" s="3"/>
      <c r="T394" s="3"/>
      <c r="U394" s="3"/>
      <c r="V394" s="733"/>
      <c r="W394" s="3"/>
      <c r="X394" s="3"/>
      <c r="Y394" s="3"/>
      <c r="Z394" s="3"/>
      <c r="AA394" s="3"/>
    </row>
    <row r="395" spans="1:27" ht="24.75" customHeight="1">
      <c r="A395" s="3"/>
      <c r="B395" s="3"/>
      <c r="C395" s="3"/>
      <c r="D395" s="3"/>
      <c r="E395" s="3"/>
      <c r="F395" s="3"/>
      <c r="G395" s="3"/>
      <c r="H395" s="3"/>
      <c r="I395" s="3"/>
      <c r="J395" s="3"/>
      <c r="K395" s="3"/>
      <c r="L395" s="3"/>
      <c r="M395" s="3"/>
      <c r="N395" s="3"/>
      <c r="O395" s="3"/>
      <c r="P395" s="3"/>
      <c r="Q395" s="3"/>
      <c r="R395" s="3"/>
      <c r="S395" s="3"/>
      <c r="T395" s="3"/>
      <c r="U395" s="3"/>
      <c r="V395" s="733"/>
      <c r="W395" s="3"/>
      <c r="X395" s="3"/>
      <c r="Y395" s="3"/>
      <c r="Z395" s="3"/>
      <c r="AA395" s="3"/>
    </row>
    <row r="396" spans="1:27" ht="24.75" customHeight="1">
      <c r="A396" s="3"/>
      <c r="B396" s="3"/>
      <c r="C396" s="3"/>
      <c r="D396" s="3"/>
      <c r="E396" s="3"/>
      <c r="F396" s="3"/>
      <c r="G396" s="3"/>
      <c r="H396" s="3"/>
      <c r="I396" s="3"/>
      <c r="J396" s="3"/>
      <c r="K396" s="3"/>
      <c r="L396" s="3"/>
      <c r="M396" s="3"/>
      <c r="N396" s="3"/>
      <c r="O396" s="3"/>
      <c r="P396" s="3"/>
      <c r="Q396" s="3"/>
      <c r="R396" s="3"/>
      <c r="S396" s="3"/>
      <c r="T396" s="3"/>
      <c r="U396" s="3"/>
      <c r="V396" s="733"/>
      <c r="W396" s="3"/>
      <c r="X396" s="3"/>
      <c r="Y396" s="3"/>
      <c r="Z396" s="3"/>
      <c r="AA396" s="3"/>
    </row>
    <row r="397" spans="1:27" ht="24.75" customHeight="1">
      <c r="A397" s="3"/>
      <c r="B397" s="3"/>
      <c r="C397" s="3"/>
      <c r="D397" s="3"/>
      <c r="E397" s="3"/>
      <c r="F397" s="3"/>
      <c r="G397" s="3"/>
      <c r="H397" s="3"/>
      <c r="I397" s="3"/>
      <c r="J397" s="3"/>
      <c r="K397" s="3"/>
      <c r="L397" s="3"/>
      <c r="M397" s="3"/>
      <c r="N397" s="3"/>
      <c r="O397" s="3"/>
      <c r="P397" s="3"/>
      <c r="Q397" s="3"/>
      <c r="R397" s="3"/>
      <c r="S397" s="3"/>
      <c r="T397" s="3"/>
      <c r="U397" s="3"/>
      <c r="V397" s="733"/>
      <c r="W397" s="3"/>
      <c r="X397" s="3"/>
      <c r="Y397" s="3"/>
      <c r="Z397" s="3"/>
      <c r="AA397" s="3"/>
    </row>
    <row r="398" spans="1:27" ht="24.75" customHeight="1">
      <c r="A398" s="3"/>
      <c r="B398" s="3"/>
      <c r="C398" s="3"/>
      <c r="D398" s="3"/>
      <c r="E398" s="3"/>
      <c r="F398" s="3"/>
      <c r="G398" s="3"/>
      <c r="H398" s="3"/>
      <c r="I398" s="3"/>
      <c r="J398" s="3"/>
      <c r="K398" s="3"/>
      <c r="L398" s="3"/>
      <c r="M398" s="3"/>
      <c r="N398" s="3"/>
      <c r="O398" s="3"/>
      <c r="P398" s="3"/>
      <c r="Q398" s="3"/>
      <c r="R398" s="3"/>
      <c r="S398" s="3"/>
      <c r="T398" s="3"/>
      <c r="U398" s="3"/>
      <c r="V398" s="733"/>
      <c r="W398" s="3"/>
      <c r="X398" s="3"/>
      <c r="Y398" s="3"/>
      <c r="Z398" s="3"/>
      <c r="AA398" s="3"/>
    </row>
    <row r="399" spans="1:27" ht="24.75" customHeight="1">
      <c r="A399" s="3"/>
      <c r="B399" s="3"/>
      <c r="C399" s="3"/>
      <c r="D399" s="3"/>
      <c r="E399" s="3"/>
      <c r="F399" s="3"/>
      <c r="G399" s="3"/>
      <c r="H399" s="3"/>
      <c r="I399" s="3"/>
      <c r="J399" s="3"/>
      <c r="K399" s="3"/>
      <c r="L399" s="3"/>
      <c r="M399" s="3"/>
      <c r="N399" s="3"/>
      <c r="O399" s="3"/>
      <c r="P399" s="3"/>
      <c r="Q399" s="3"/>
      <c r="R399" s="3"/>
      <c r="S399" s="3"/>
      <c r="T399" s="3"/>
      <c r="U399" s="3"/>
      <c r="V399" s="733"/>
      <c r="W399" s="3"/>
      <c r="X399" s="3"/>
      <c r="Y399" s="3"/>
      <c r="Z399" s="3"/>
      <c r="AA399" s="3"/>
    </row>
    <row r="400" spans="1:27" ht="24.75" customHeight="1">
      <c r="A400" s="3"/>
      <c r="B400" s="3"/>
      <c r="C400" s="3"/>
      <c r="D400" s="3"/>
      <c r="E400" s="3"/>
      <c r="F400" s="3"/>
      <c r="G400" s="3"/>
      <c r="H400" s="3"/>
      <c r="I400" s="3"/>
      <c r="J400" s="3"/>
      <c r="K400" s="3"/>
      <c r="L400" s="3"/>
      <c r="M400" s="3"/>
      <c r="N400" s="3"/>
      <c r="O400" s="3"/>
      <c r="P400" s="3"/>
      <c r="Q400" s="3"/>
      <c r="R400" s="3"/>
      <c r="S400" s="3"/>
      <c r="T400" s="3"/>
      <c r="U400" s="3"/>
      <c r="V400" s="733"/>
      <c r="W400" s="3"/>
      <c r="X400" s="3"/>
      <c r="Y400" s="3"/>
      <c r="Z400" s="3"/>
      <c r="AA400" s="3"/>
    </row>
    <row r="401" spans="1:27" ht="24.75" customHeight="1">
      <c r="A401" s="3"/>
      <c r="B401" s="3"/>
      <c r="C401" s="3"/>
      <c r="D401" s="3"/>
      <c r="E401" s="3"/>
      <c r="F401" s="3"/>
      <c r="G401" s="3"/>
      <c r="H401" s="3"/>
      <c r="I401" s="3"/>
      <c r="J401" s="3"/>
      <c r="K401" s="3"/>
      <c r="L401" s="3"/>
      <c r="M401" s="3"/>
      <c r="N401" s="3"/>
      <c r="O401" s="3"/>
      <c r="P401" s="3"/>
      <c r="Q401" s="3"/>
      <c r="R401" s="3"/>
      <c r="S401" s="3"/>
      <c r="T401" s="3"/>
      <c r="U401" s="3"/>
      <c r="V401" s="733"/>
      <c r="W401" s="3"/>
      <c r="X401" s="3"/>
      <c r="Y401" s="3"/>
      <c r="Z401" s="3"/>
      <c r="AA401" s="3"/>
    </row>
    <row r="402" spans="1:27" ht="24.75" customHeight="1">
      <c r="A402" s="3"/>
      <c r="B402" s="3"/>
      <c r="C402" s="3"/>
      <c r="D402" s="3"/>
      <c r="E402" s="3"/>
      <c r="F402" s="3"/>
      <c r="G402" s="3"/>
      <c r="H402" s="3"/>
      <c r="I402" s="3"/>
      <c r="J402" s="3"/>
      <c r="K402" s="3"/>
      <c r="L402" s="3"/>
      <c r="M402" s="3"/>
      <c r="N402" s="3"/>
      <c r="O402" s="3"/>
      <c r="P402" s="3"/>
      <c r="Q402" s="3"/>
      <c r="R402" s="3"/>
      <c r="S402" s="3"/>
      <c r="T402" s="3"/>
      <c r="U402" s="3"/>
      <c r="V402" s="733"/>
      <c r="W402" s="3"/>
      <c r="X402" s="3"/>
      <c r="Y402" s="3"/>
      <c r="Z402" s="3"/>
      <c r="AA402" s="3"/>
    </row>
    <row r="403" spans="1:27" ht="24.75" customHeight="1">
      <c r="A403" s="3"/>
      <c r="B403" s="3"/>
      <c r="C403" s="3"/>
      <c r="D403" s="3"/>
      <c r="E403" s="3"/>
      <c r="F403" s="3"/>
      <c r="G403" s="3"/>
      <c r="H403" s="3"/>
      <c r="I403" s="3"/>
      <c r="J403" s="3"/>
      <c r="K403" s="3"/>
      <c r="L403" s="3"/>
      <c r="M403" s="3"/>
      <c r="N403" s="3"/>
      <c r="O403" s="3"/>
      <c r="P403" s="3"/>
      <c r="Q403" s="3"/>
      <c r="R403" s="3"/>
      <c r="S403" s="3"/>
      <c r="T403" s="3"/>
      <c r="U403" s="3"/>
      <c r="V403" s="733"/>
      <c r="W403" s="3"/>
      <c r="X403" s="3"/>
      <c r="Y403" s="3"/>
      <c r="Z403" s="3"/>
      <c r="AA403" s="3"/>
    </row>
    <row r="404" spans="1:27" ht="24.75" customHeight="1">
      <c r="A404" s="3"/>
      <c r="B404" s="3"/>
      <c r="C404" s="3"/>
      <c r="D404" s="3"/>
      <c r="E404" s="3"/>
      <c r="F404" s="3"/>
      <c r="G404" s="3"/>
      <c r="H404" s="3"/>
      <c r="I404" s="3"/>
      <c r="J404" s="3"/>
      <c r="K404" s="3"/>
      <c r="L404" s="3"/>
      <c r="M404" s="3"/>
      <c r="N404" s="3"/>
      <c r="O404" s="3"/>
      <c r="P404" s="3"/>
      <c r="Q404" s="3"/>
      <c r="R404" s="3"/>
      <c r="S404" s="3"/>
      <c r="T404" s="3"/>
      <c r="U404" s="3"/>
      <c r="V404" s="733"/>
      <c r="W404" s="3"/>
      <c r="X404" s="3"/>
      <c r="Y404" s="3"/>
      <c r="Z404" s="3"/>
      <c r="AA404" s="3"/>
    </row>
    <row r="405" spans="1:27" ht="24.75" customHeight="1">
      <c r="A405" s="3"/>
      <c r="B405" s="3"/>
      <c r="C405" s="3"/>
      <c r="D405" s="3"/>
      <c r="E405" s="3"/>
      <c r="F405" s="3"/>
      <c r="G405" s="3"/>
      <c r="H405" s="3"/>
      <c r="I405" s="3"/>
      <c r="J405" s="3"/>
      <c r="K405" s="3"/>
      <c r="L405" s="3"/>
      <c r="M405" s="3"/>
      <c r="N405" s="3"/>
      <c r="O405" s="3"/>
      <c r="P405" s="3"/>
      <c r="Q405" s="3"/>
      <c r="R405" s="3"/>
      <c r="S405" s="3"/>
      <c r="T405" s="3"/>
      <c r="U405" s="3"/>
      <c r="V405" s="733"/>
      <c r="W405" s="3"/>
      <c r="X405" s="3"/>
      <c r="Y405" s="3"/>
      <c r="Z405" s="3"/>
      <c r="AA405" s="3"/>
    </row>
    <row r="406" spans="1:27" ht="24.75" customHeight="1">
      <c r="A406" s="3"/>
      <c r="B406" s="3"/>
      <c r="C406" s="3"/>
      <c r="D406" s="3"/>
      <c r="E406" s="3"/>
      <c r="F406" s="3"/>
      <c r="G406" s="3"/>
      <c r="H406" s="3"/>
      <c r="I406" s="3"/>
      <c r="J406" s="3"/>
      <c r="K406" s="3"/>
      <c r="L406" s="3"/>
      <c r="M406" s="3"/>
      <c r="N406" s="3"/>
      <c r="O406" s="3"/>
      <c r="P406" s="3"/>
      <c r="Q406" s="3"/>
      <c r="R406" s="3"/>
      <c r="S406" s="3"/>
      <c r="T406" s="3"/>
      <c r="U406" s="3"/>
      <c r="V406" s="733"/>
      <c r="W406" s="3"/>
      <c r="X406" s="3"/>
      <c r="Y406" s="3"/>
      <c r="Z406" s="3"/>
      <c r="AA406" s="3"/>
    </row>
    <row r="407" spans="1:27" ht="24.75" customHeight="1">
      <c r="A407" s="3"/>
      <c r="B407" s="3"/>
      <c r="C407" s="3"/>
      <c r="D407" s="3"/>
      <c r="E407" s="3"/>
      <c r="F407" s="3"/>
      <c r="G407" s="3"/>
      <c r="H407" s="3"/>
      <c r="I407" s="3"/>
      <c r="J407" s="3"/>
      <c r="K407" s="3"/>
      <c r="L407" s="3"/>
      <c r="M407" s="3"/>
      <c r="N407" s="3"/>
      <c r="O407" s="3"/>
      <c r="P407" s="3"/>
      <c r="Q407" s="3"/>
      <c r="R407" s="3"/>
      <c r="S407" s="3"/>
      <c r="T407" s="3"/>
      <c r="U407" s="3"/>
      <c r="V407" s="733"/>
      <c r="W407" s="3"/>
      <c r="X407" s="3"/>
      <c r="Y407" s="3"/>
      <c r="Z407" s="3"/>
      <c r="AA407" s="3"/>
    </row>
    <row r="408" spans="1:27" ht="24.75" customHeight="1">
      <c r="A408" s="3"/>
      <c r="B408" s="3"/>
      <c r="C408" s="3"/>
      <c r="D408" s="3"/>
      <c r="E408" s="3"/>
      <c r="F408" s="3"/>
      <c r="G408" s="3"/>
      <c r="H408" s="3"/>
      <c r="I408" s="3"/>
      <c r="J408" s="3"/>
      <c r="K408" s="3"/>
      <c r="L408" s="3"/>
      <c r="M408" s="3"/>
      <c r="N408" s="3"/>
      <c r="O408" s="3"/>
      <c r="P408" s="3"/>
      <c r="Q408" s="3"/>
      <c r="R408" s="3"/>
      <c r="S408" s="3"/>
      <c r="T408" s="3"/>
      <c r="U408" s="3"/>
      <c r="V408" s="733"/>
      <c r="W408" s="3"/>
      <c r="X408" s="3"/>
      <c r="Y408" s="3"/>
      <c r="Z408" s="3"/>
      <c r="AA408" s="3"/>
    </row>
    <row r="409" spans="1:27" ht="24.75" customHeight="1">
      <c r="A409" s="3"/>
      <c r="B409" s="3"/>
      <c r="C409" s="3"/>
      <c r="D409" s="3"/>
      <c r="E409" s="3"/>
      <c r="F409" s="3"/>
      <c r="G409" s="3"/>
      <c r="H409" s="3"/>
      <c r="I409" s="3"/>
      <c r="J409" s="3"/>
      <c r="K409" s="3"/>
      <c r="L409" s="3"/>
      <c r="M409" s="3"/>
      <c r="N409" s="3"/>
      <c r="O409" s="3"/>
      <c r="P409" s="3"/>
      <c r="Q409" s="3"/>
      <c r="R409" s="3"/>
      <c r="S409" s="3"/>
      <c r="T409" s="3"/>
      <c r="U409" s="3"/>
      <c r="V409" s="733"/>
      <c r="W409" s="3"/>
      <c r="X409" s="3"/>
      <c r="Y409" s="3"/>
      <c r="Z409" s="3"/>
      <c r="AA409" s="3"/>
    </row>
    <row r="410" spans="1:27" ht="24.75" customHeight="1">
      <c r="A410" s="3"/>
      <c r="B410" s="3"/>
      <c r="C410" s="3"/>
      <c r="D410" s="3"/>
      <c r="E410" s="3"/>
      <c r="F410" s="3"/>
      <c r="G410" s="3"/>
      <c r="H410" s="3"/>
      <c r="I410" s="3"/>
      <c r="J410" s="3"/>
      <c r="K410" s="3"/>
      <c r="L410" s="3"/>
      <c r="M410" s="3"/>
      <c r="N410" s="3"/>
      <c r="O410" s="3"/>
      <c r="P410" s="3"/>
      <c r="Q410" s="3"/>
      <c r="R410" s="3"/>
      <c r="S410" s="3"/>
      <c r="T410" s="3"/>
      <c r="U410" s="3"/>
      <c r="V410" s="733"/>
      <c r="W410" s="3"/>
      <c r="X410" s="3"/>
      <c r="Y410" s="3"/>
      <c r="Z410" s="3"/>
      <c r="AA410" s="3"/>
    </row>
    <row r="411" spans="1:27" ht="24.75" customHeight="1">
      <c r="A411" s="3"/>
      <c r="B411" s="3"/>
      <c r="C411" s="3"/>
      <c r="D411" s="3"/>
      <c r="E411" s="3"/>
      <c r="F411" s="3"/>
      <c r="G411" s="3"/>
      <c r="H411" s="3"/>
      <c r="I411" s="3"/>
      <c r="J411" s="3"/>
      <c r="K411" s="3"/>
      <c r="L411" s="3"/>
      <c r="M411" s="3"/>
      <c r="N411" s="3"/>
      <c r="O411" s="3"/>
      <c r="P411" s="3"/>
      <c r="Q411" s="3"/>
      <c r="R411" s="3"/>
      <c r="S411" s="3"/>
      <c r="T411" s="3"/>
      <c r="U411" s="3"/>
      <c r="V411" s="733"/>
      <c r="W411" s="3"/>
      <c r="X411" s="3"/>
      <c r="Y411" s="3"/>
      <c r="Z411" s="3"/>
      <c r="AA411" s="3"/>
    </row>
    <row r="412" spans="1:27"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793"/>
      <c r="W412" s="4"/>
      <c r="X412" s="12"/>
      <c r="Y412" s="12"/>
      <c r="Z412" s="12"/>
      <c r="AA412" s="12"/>
    </row>
    <row r="413" spans="1:27"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793"/>
      <c r="W413" s="4"/>
      <c r="X413" s="12"/>
      <c r="Y413" s="12"/>
      <c r="Z413" s="12"/>
      <c r="AA413" s="12"/>
    </row>
    <row r="414" spans="1:27"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793"/>
      <c r="W414" s="4"/>
      <c r="X414" s="12"/>
      <c r="Y414" s="12"/>
      <c r="Z414" s="12"/>
      <c r="AA414" s="12"/>
    </row>
    <row r="415" spans="1:27"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793"/>
      <c r="W415" s="4"/>
      <c r="X415" s="12"/>
      <c r="Y415" s="12"/>
      <c r="Z415" s="12"/>
      <c r="AA415" s="12"/>
    </row>
    <row r="416" spans="1:27"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793"/>
      <c r="W416" s="4"/>
      <c r="X416" s="12"/>
      <c r="Y416" s="12"/>
      <c r="Z416" s="12"/>
      <c r="AA416" s="12"/>
    </row>
    <row r="417" spans="1:27"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793"/>
      <c r="W417" s="4"/>
      <c r="X417" s="12"/>
      <c r="Y417" s="12"/>
      <c r="Z417" s="12"/>
      <c r="AA417" s="12"/>
    </row>
    <row r="418" spans="1:27"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793"/>
      <c r="W418" s="4"/>
      <c r="X418" s="12"/>
      <c r="Y418" s="12"/>
      <c r="Z418" s="12"/>
      <c r="AA418" s="12"/>
    </row>
    <row r="419" spans="1:27"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793"/>
      <c r="W419" s="4"/>
      <c r="X419" s="12"/>
      <c r="Y419" s="12"/>
      <c r="Z419" s="12"/>
      <c r="AA419" s="12"/>
    </row>
    <row r="420" spans="1:27"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793"/>
      <c r="W420" s="4"/>
      <c r="X420" s="12"/>
      <c r="Y420" s="12"/>
      <c r="Z420" s="12"/>
      <c r="AA420" s="12"/>
    </row>
    <row r="421" spans="1:27"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793"/>
      <c r="W421" s="4"/>
      <c r="X421" s="12"/>
      <c r="Y421" s="12"/>
      <c r="Z421" s="12"/>
      <c r="AA421" s="12"/>
    </row>
    <row r="422" spans="1:27"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793"/>
      <c r="W422" s="4"/>
      <c r="X422" s="12"/>
      <c r="Y422" s="12"/>
      <c r="Z422" s="12"/>
      <c r="AA422" s="12"/>
    </row>
    <row r="423" spans="1:27"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793"/>
      <c r="W423" s="4"/>
      <c r="X423" s="12"/>
      <c r="Y423" s="12"/>
      <c r="Z423" s="12"/>
      <c r="AA423" s="12"/>
    </row>
    <row r="424" spans="1:27"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793"/>
      <c r="W424" s="4"/>
      <c r="X424" s="12"/>
      <c r="Y424" s="12"/>
      <c r="Z424" s="12"/>
      <c r="AA424" s="12"/>
    </row>
    <row r="425" spans="1:27"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793"/>
      <c r="W425" s="4"/>
      <c r="X425" s="12"/>
      <c r="Y425" s="12"/>
      <c r="Z425" s="12"/>
      <c r="AA425" s="12"/>
    </row>
    <row r="426" spans="1:27"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793"/>
      <c r="W426" s="4"/>
      <c r="X426" s="12"/>
      <c r="Y426" s="12"/>
      <c r="Z426" s="12"/>
      <c r="AA426" s="12"/>
    </row>
    <row r="427" spans="1:27"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793"/>
      <c r="W427" s="4"/>
      <c r="X427" s="12"/>
      <c r="Y427" s="12"/>
      <c r="Z427" s="12"/>
      <c r="AA427" s="12"/>
    </row>
    <row r="428" spans="1:27"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793"/>
      <c r="W428" s="4"/>
      <c r="X428" s="12"/>
      <c r="Y428" s="12"/>
      <c r="Z428" s="12"/>
      <c r="AA428" s="12"/>
    </row>
    <row r="429" spans="1:27"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793"/>
      <c r="W429" s="4"/>
      <c r="X429" s="12"/>
      <c r="Y429" s="12"/>
      <c r="Z429" s="12"/>
      <c r="AA429" s="12"/>
    </row>
    <row r="430" spans="1:27"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793"/>
      <c r="W430" s="4"/>
      <c r="X430" s="12"/>
      <c r="Y430" s="12"/>
      <c r="Z430" s="12"/>
      <c r="AA430" s="12"/>
    </row>
    <row r="431" spans="1:27"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793"/>
      <c r="W431" s="4"/>
      <c r="X431" s="12"/>
      <c r="Y431" s="12"/>
      <c r="Z431" s="12"/>
      <c r="AA431" s="12"/>
    </row>
    <row r="432" spans="1:27"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793"/>
      <c r="W432" s="4"/>
      <c r="X432" s="12"/>
      <c r="Y432" s="12"/>
      <c r="Z432" s="12"/>
      <c r="AA432" s="12"/>
    </row>
    <row r="433" spans="1:27"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793"/>
      <c r="W433" s="4"/>
      <c r="X433" s="12"/>
      <c r="Y433" s="12"/>
      <c r="Z433" s="12"/>
      <c r="AA433" s="12"/>
    </row>
    <row r="434" spans="1:27"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793"/>
      <c r="W434" s="4"/>
      <c r="X434" s="12"/>
      <c r="Y434" s="12"/>
      <c r="Z434" s="12"/>
      <c r="AA434" s="12"/>
    </row>
    <row r="435" spans="1:27"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793"/>
      <c r="W435" s="4"/>
      <c r="X435" s="12"/>
      <c r="Y435" s="12"/>
      <c r="Z435" s="12"/>
      <c r="AA435" s="12"/>
    </row>
    <row r="436" spans="1:27"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793"/>
      <c r="W436" s="4"/>
      <c r="X436" s="12"/>
      <c r="Y436" s="12"/>
      <c r="Z436" s="12"/>
      <c r="AA436" s="12"/>
    </row>
    <row r="437" spans="1:27"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793"/>
      <c r="W437" s="4"/>
      <c r="X437" s="12"/>
      <c r="Y437" s="12"/>
      <c r="Z437" s="12"/>
      <c r="AA437" s="12"/>
    </row>
    <row r="438" spans="1:27"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793"/>
      <c r="W438" s="4"/>
      <c r="X438" s="12"/>
      <c r="Y438" s="12"/>
      <c r="Z438" s="12"/>
      <c r="AA438" s="12"/>
    </row>
    <row r="439" spans="1:27"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793"/>
      <c r="W439" s="4"/>
      <c r="X439" s="12"/>
      <c r="Y439" s="12"/>
      <c r="Z439" s="12"/>
      <c r="AA439" s="12"/>
    </row>
    <row r="440" spans="1:27"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793"/>
      <c r="W440" s="4"/>
      <c r="X440" s="12"/>
      <c r="Y440" s="12"/>
      <c r="Z440" s="12"/>
      <c r="AA440" s="12"/>
    </row>
    <row r="441" spans="1:27"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793"/>
      <c r="W441" s="4"/>
      <c r="X441" s="12"/>
      <c r="Y441" s="12"/>
      <c r="Z441" s="12"/>
      <c r="AA441" s="12"/>
    </row>
    <row r="442" spans="1:27"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793"/>
      <c r="W442" s="4"/>
      <c r="X442" s="12"/>
      <c r="Y442" s="12"/>
      <c r="Z442" s="12"/>
      <c r="AA442" s="12"/>
    </row>
    <row r="443" spans="1:27"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793"/>
      <c r="W443" s="4"/>
      <c r="X443" s="12"/>
      <c r="Y443" s="12"/>
      <c r="Z443" s="12"/>
      <c r="AA443" s="12"/>
    </row>
    <row r="444" spans="1:27"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793"/>
      <c r="W444" s="4"/>
      <c r="X444" s="12"/>
      <c r="Y444" s="12"/>
      <c r="Z444" s="12"/>
      <c r="AA444" s="12"/>
    </row>
    <row r="445" spans="1:27"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793"/>
      <c r="W445" s="4"/>
      <c r="X445" s="12"/>
      <c r="Y445" s="12"/>
      <c r="Z445" s="12"/>
      <c r="AA445" s="12"/>
    </row>
    <row r="446" spans="1:27"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793"/>
      <c r="W446" s="4"/>
      <c r="X446" s="12"/>
      <c r="Y446" s="12"/>
      <c r="Z446" s="12"/>
      <c r="AA446" s="12"/>
    </row>
    <row r="447" spans="1:27"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793"/>
      <c r="W447" s="4"/>
      <c r="X447" s="12"/>
      <c r="Y447" s="12"/>
      <c r="Z447" s="12"/>
      <c r="AA447" s="12"/>
    </row>
    <row r="448" spans="1:27"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793"/>
      <c r="W448" s="4"/>
      <c r="X448" s="12"/>
      <c r="Y448" s="12"/>
      <c r="Z448" s="12"/>
      <c r="AA448" s="12"/>
    </row>
    <row r="449" spans="1:27"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793"/>
      <c r="W449" s="4"/>
      <c r="X449" s="12"/>
      <c r="Y449" s="12"/>
      <c r="Z449" s="12"/>
      <c r="AA449" s="12"/>
    </row>
    <row r="450" spans="1:27"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793"/>
      <c r="W450" s="4"/>
      <c r="X450" s="12"/>
      <c r="Y450" s="12"/>
      <c r="Z450" s="12"/>
      <c r="AA450" s="12"/>
    </row>
    <row r="451" spans="1:27"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793"/>
      <c r="W451" s="4"/>
      <c r="X451" s="12"/>
      <c r="Y451" s="12"/>
      <c r="Z451" s="12"/>
      <c r="AA451" s="12"/>
    </row>
    <row r="452" spans="1:27"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793"/>
      <c r="W452" s="4"/>
      <c r="X452" s="12"/>
      <c r="Y452" s="12"/>
      <c r="Z452" s="12"/>
      <c r="AA452" s="12"/>
    </row>
    <row r="453" spans="1:27"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793"/>
      <c r="W453" s="4"/>
      <c r="X453" s="12"/>
      <c r="Y453" s="12"/>
      <c r="Z453" s="12"/>
      <c r="AA453" s="12"/>
    </row>
    <row r="454" spans="1:27"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793"/>
      <c r="W454" s="4"/>
      <c r="X454" s="12"/>
      <c r="Y454" s="12"/>
      <c r="Z454" s="12"/>
      <c r="AA454" s="12"/>
    </row>
    <row r="455" spans="1:27"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793"/>
      <c r="W455" s="4"/>
      <c r="X455" s="12"/>
      <c r="Y455" s="12"/>
      <c r="Z455" s="12"/>
      <c r="AA455" s="12"/>
    </row>
    <row r="456" spans="1:27"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793"/>
      <c r="W456" s="4"/>
      <c r="X456" s="12"/>
      <c r="Y456" s="12"/>
      <c r="Z456" s="12"/>
      <c r="AA456" s="12"/>
    </row>
    <row r="457" spans="1:27"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793"/>
      <c r="W457" s="4"/>
      <c r="X457" s="12"/>
      <c r="Y457" s="12"/>
      <c r="Z457" s="12"/>
      <c r="AA457" s="12"/>
    </row>
    <row r="458" spans="1:27"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793"/>
      <c r="W458" s="4"/>
      <c r="X458" s="12"/>
      <c r="Y458" s="12"/>
      <c r="Z458" s="12"/>
      <c r="AA458" s="12"/>
    </row>
    <row r="459" spans="1:27"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793"/>
      <c r="W459" s="4"/>
      <c r="X459" s="12"/>
      <c r="Y459" s="12"/>
      <c r="Z459" s="12"/>
      <c r="AA459" s="12"/>
    </row>
    <row r="460" spans="1:27"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793"/>
      <c r="W460" s="4"/>
      <c r="X460" s="12"/>
      <c r="Y460" s="12"/>
      <c r="Z460" s="12"/>
      <c r="AA460" s="12"/>
    </row>
    <row r="461" spans="1:27"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793"/>
      <c r="W461" s="4"/>
      <c r="X461" s="12"/>
      <c r="Y461" s="12"/>
      <c r="Z461" s="12"/>
      <c r="AA461" s="12"/>
    </row>
    <row r="462" spans="1:27"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793"/>
      <c r="W462" s="4"/>
      <c r="X462" s="12"/>
      <c r="Y462" s="12"/>
      <c r="Z462" s="12"/>
      <c r="AA462" s="12"/>
    </row>
    <row r="463" spans="1:27"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793"/>
      <c r="W463" s="4"/>
      <c r="X463" s="12"/>
      <c r="Y463" s="12"/>
      <c r="Z463" s="12"/>
      <c r="AA463" s="12"/>
    </row>
    <row r="464" spans="1:27"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793"/>
      <c r="W464" s="4"/>
      <c r="X464" s="12"/>
      <c r="Y464" s="12"/>
      <c r="Z464" s="12"/>
      <c r="AA464" s="12"/>
    </row>
    <row r="465" spans="1:27"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793"/>
      <c r="W465" s="4"/>
      <c r="X465" s="12"/>
      <c r="Y465" s="12"/>
      <c r="Z465" s="12"/>
      <c r="AA465" s="12"/>
    </row>
    <row r="466" spans="1:27"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793"/>
      <c r="W466" s="4"/>
      <c r="X466" s="12"/>
      <c r="Y466" s="12"/>
      <c r="Z466" s="12"/>
      <c r="AA466" s="12"/>
    </row>
    <row r="467" spans="1:27"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793"/>
      <c r="W467" s="4"/>
      <c r="X467" s="12"/>
      <c r="Y467" s="12"/>
      <c r="Z467" s="12"/>
      <c r="AA467" s="12"/>
    </row>
    <row r="468" spans="1:27"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793"/>
      <c r="W468" s="4"/>
      <c r="X468" s="12"/>
      <c r="Y468" s="12"/>
      <c r="Z468" s="12"/>
      <c r="AA468" s="12"/>
    </row>
    <row r="469" spans="1:27"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793"/>
      <c r="W469" s="4"/>
      <c r="X469" s="12"/>
      <c r="Y469" s="12"/>
      <c r="Z469" s="12"/>
      <c r="AA469" s="12"/>
    </row>
    <row r="470" spans="1:27"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793"/>
      <c r="W470" s="4"/>
      <c r="X470" s="12"/>
      <c r="Y470" s="12"/>
      <c r="Z470" s="12"/>
      <c r="AA470" s="12"/>
    </row>
    <row r="471" spans="1:27"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793"/>
      <c r="W471" s="4"/>
      <c r="X471" s="12"/>
      <c r="Y471" s="12"/>
      <c r="Z471" s="12"/>
      <c r="AA471" s="12"/>
    </row>
    <row r="472" spans="1:27"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793"/>
      <c r="W472" s="4"/>
      <c r="X472" s="12"/>
      <c r="Y472" s="12"/>
      <c r="Z472" s="12"/>
      <c r="AA472" s="12"/>
    </row>
    <row r="473" spans="1:27"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793"/>
      <c r="W473" s="4"/>
      <c r="X473" s="12"/>
      <c r="Y473" s="12"/>
      <c r="Z473" s="12"/>
      <c r="AA473" s="12"/>
    </row>
    <row r="474" spans="1:27"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793"/>
      <c r="W474" s="4"/>
      <c r="X474" s="12"/>
      <c r="Y474" s="12"/>
      <c r="Z474" s="12"/>
      <c r="AA474" s="12"/>
    </row>
    <row r="475" spans="1:27"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793"/>
      <c r="W475" s="4"/>
      <c r="X475" s="12"/>
      <c r="Y475" s="12"/>
      <c r="Z475" s="12"/>
      <c r="AA475" s="12"/>
    </row>
    <row r="476" spans="1:27"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793"/>
      <c r="W476" s="4"/>
      <c r="X476" s="12"/>
      <c r="Y476" s="12"/>
      <c r="Z476" s="12"/>
      <c r="AA476" s="12"/>
    </row>
    <row r="477" spans="1:27"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793"/>
      <c r="W477" s="4"/>
      <c r="X477" s="12"/>
      <c r="Y477" s="12"/>
      <c r="Z477" s="12"/>
      <c r="AA477" s="12"/>
    </row>
    <row r="478" spans="1:27"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793"/>
      <c r="W478" s="4"/>
      <c r="X478" s="12"/>
      <c r="Y478" s="12"/>
      <c r="Z478" s="12"/>
      <c r="AA478" s="12"/>
    </row>
    <row r="479" spans="1:27"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793"/>
      <c r="W479" s="4"/>
      <c r="X479" s="12"/>
      <c r="Y479" s="12"/>
      <c r="Z479" s="12"/>
      <c r="AA479" s="12"/>
    </row>
    <row r="480" spans="1:27"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793"/>
      <c r="W480" s="4"/>
      <c r="X480" s="12"/>
      <c r="Y480" s="12"/>
      <c r="Z480" s="12"/>
      <c r="AA480" s="12"/>
    </row>
    <row r="481" spans="1:27"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793"/>
      <c r="W481" s="4"/>
      <c r="X481" s="12"/>
      <c r="Y481" s="12"/>
      <c r="Z481" s="12"/>
      <c r="AA481" s="12"/>
    </row>
    <row r="482" spans="1:27"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793"/>
      <c r="W482" s="4"/>
      <c r="X482" s="12"/>
      <c r="Y482" s="12"/>
      <c r="Z482" s="12"/>
      <c r="AA482" s="12"/>
    </row>
    <row r="483" spans="1:27"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793"/>
      <c r="W483" s="4"/>
      <c r="X483" s="12"/>
      <c r="Y483" s="12"/>
      <c r="Z483" s="12"/>
      <c r="AA483" s="12"/>
    </row>
    <row r="484" spans="1:27"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793"/>
      <c r="W484" s="4"/>
      <c r="X484" s="12"/>
      <c r="Y484" s="12"/>
      <c r="Z484" s="12"/>
      <c r="AA484" s="12"/>
    </row>
    <row r="485" spans="1:27"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793"/>
      <c r="W485" s="4"/>
      <c r="X485" s="12"/>
      <c r="Y485" s="12"/>
      <c r="Z485" s="12"/>
      <c r="AA485" s="12"/>
    </row>
    <row r="486" spans="1:27"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793"/>
      <c r="W486" s="4"/>
      <c r="X486" s="12"/>
      <c r="Y486" s="12"/>
      <c r="Z486" s="12"/>
      <c r="AA486" s="12"/>
    </row>
    <row r="487" spans="1:27"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793"/>
      <c r="W487" s="4"/>
      <c r="X487" s="12"/>
      <c r="Y487" s="12"/>
      <c r="Z487" s="12"/>
      <c r="AA487" s="12"/>
    </row>
    <row r="488" spans="1:27"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793"/>
      <c r="W488" s="4"/>
      <c r="X488" s="12"/>
      <c r="Y488" s="12"/>
      <c r="Z488" s="12"/>
      <c r="AA488" s="12"/>
    </row>
    <row r="489" spans="1:27"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793"/>
      <c r="W489" s="4"/>
      <c r="X489" s="12"/>
      <c r="Y489" s="12"/>
      <c r="Z489" s="12"/>
      <c r="AA489" s="12"/>
    </row>
    <row r="490" spans="1:27"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793"/>
      <c r="W490" s="4"/>
      <c r="X490" s="12"/>
      <c r="Y490" s="12"/>
      <c r="Z490" s="12"/>
      <c r="AA490" s="12"/>
    </row>
    <row r="491" spans="1:27"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793"/>
      <c r="W491" s="4"/>
      <c r="X491" s="12"/>
      <c r="Y491" s="12"/>
      <c r="Z491" s="12"/>
      <c r="AA491" s="12"/>
    </row>
    <row r="492" spans="1:27"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793"/>
      <c r="W492" s="4"/>
      <c r="X492" s="12"/>
      <c r="Y492" s="12"/>
      <c r="Z492" s="12"/>
      <c r="AA492" s="12"/>
    </row>
    <row r="493" spans="1:27"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793"/>
      <c r="W493" s="4"/>
      <c r="X493" s="12"/>
      <c r="Y493" s="12"/>
      <c r="Z493" s="12"/>
      <c r="AA493" s="12"/>
    </row>
    <row r="494" spans="1:27"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793"/>
      <c r="W494" s="4"/>
      <c r="X494" s="12"/>
      <c r="Y494" s="12"/>
      <c r="Z494" s="12"/>
      <c r="AA494" s="12"/>
    </row>
    <row r="495" spans="1:27"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793"/>
      <c r="W495" s="4"/>
      <c r="X495" s="12"/>
      <c r="Y495" s="12"/>
      <c r="Z495" s="12"/>
      <c r="AA495" s="12"/>
    </row>
    <row r="496" spans="1:27"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793"/>
      <c r="W496" s="4"/>
      <c r="X496" s="12"/>
      <c r="Y496" s="12"/>
      <c r="Z496" s="12"/>
      <c r="AA496" s="12"/>
    </row>
    <row r="497" spans="1:27"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793"/>
      <c r="W497" s="4"/>
      <c r="X497" s="12"/>
      <c r="Y497" s="12"/>
      <c r="Z497" s="12"/>
      <c r="AA497" s="12"/>
    </row>
    <row r="498" spans="1:27"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793"/>
      <c r="W498" s="4"/>
      <c r="X498" s="12"/>
      <c r="Y498" s="12"/>
      <c r="Z498" s="12"/>
      <c r="AA498" s="12"/>
    </row>
    <row r="499" spans="1:27"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793"/>
      <c r="W499" s="4"/>
      <c r="X499" s="12"/>
      <c r="Y499" s="12"/>
      <c r="Z499" s="12"/>
      <c r="AA499" s="12"/>
    </row>
    <row r="500" spans="1:27"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793"/>
      <c r="W500" s="4"/>
      <c r="X500" s="12"/>
      <c r="Y500" s="12"/>
      <c r="Z500" s="12"/>
      <c r="AA500" s="12"/>
    </row>
    <row r="501" spans="1:27"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793"/>
      <c r="W501" s="4"/>
      <c r="X501" s="12"/>
      <c r="Y501" s="12"/>
      <c r="Z501" s="12"/>
      <c r="AA501" s="12"/>
    </row>
    <row r="502" spans="1:27"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793"/>
      <c r="W502" s="4"/>
      <c r="X502" s="12"/>
      <c r="Y502" s="12"/>
      <c r="Z502" s="12"/>
      <c r="AA502" s="12"/>
    </row>
    <row r="503" spans="1:27"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793"/>
      <c r="W503" s="4"/>
      <c r="X503" s="12"/>
      <c r="Y503" s="12"/>
      <c r="Z503" s="12"/>
      <c r="AA503" s="12"/>
    </row>
    <row r="504" spans="1:27"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793"/>
      <c r="W504" s="4"/>
      <c r="X504" s="12"/>
      <c r="Y504" s="12"/>
      <c r="Z504" s="12"/>
      <c r="AA504" s="12"/>
    </row>
    <row r="505" spans="1:27"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793"/>
      <c r="W505" s="4"/>
      <c r="X505" s="12"/>
      <c r="Y505" s="12"/>
      <c r="Z505" s="12"/>
      <c r="AA505" s="12"/>
    </row>
    <row r="506" spans="1:27"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793"/>
      <c r="W506" s="4"/>
      <c r="X506" s="12"/>
      <c r="Y506" s="12"/>
      <c r="Z506" s="12"/>
      <c r="AA506" s="12"/>
    </row>
    <row r="507" spans="1:27"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793"/>
      <c r="W507" s="4"/>
      <c r="X507" s="12"/>
      <c r="Y507" s="12"/>
      <c r="Z507" s="12"/>
      <c r="AA507" s="12"/>
    </row>
    <row r="508" spans="1:27"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793"/>
      <c r="W508" s="4"/>
      <c r="X508" s="12"/>
      <c r="Y508" s="12"/>
      <c r="Z508" s="12"/>
      <c r="AA508" s="12"/>
    </row>
    <row r="509" spans="1:27"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793"/>
      <c r="W509" s="4"/>
      <c r="X509" s="12"/>
      <c r="Y509" s="12"/>
      <c r="Z509" s="12"/>
      <c r="AA509" s="12"/>
    </row>
    <row r="510" spans="1:27"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793"/>
      <c r="W510" s="4"/>
      <c r="X510" s="12"/>
      <c r="Y510" s="12"/>
      <c r="Z510" s="12"/>
      <c r="AA510" s="12"/>
    </row>
    <row r="511" spans="1:27"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793"/>
      <c r="W511" s="4"/>
      <c r="X511" s="12"/>
      <c r="Y511" s="12"/>
      <c r="Z511" s="12"/>
      <c r="AA511" s="12"/>
    </row>
    <row r="512" spans="1:27"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793"/>
      <c r="W512" s="4"/>
      <c r="X512" s="12"/>
      <c r="Y512" s="12"/>
      <c r="Z512" s="12"/>
      <c r="AA512" s="12"/>
    </row>
    <row r="513" spans="1:27"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793"/>
      <c r="W513" s="4"/>
      <c r="X513" s="12"/>
      <c r="Y513" s="12"/>
      <c r="Z513" s="12"/>
      <c r="AA513" s="12"/>
    </row>
    <row r="514" spans="1:27"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793"/>
      <c r="W514" s="4"/>
      <c r="X514" s="12"/>
      <c r="Y514" s="12"/>
      <c r="Z514" s="12"/>
      <c r="AA514" s="12"/>
    </row>
    <row r="515" spans="1:27"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793"/>
      <c r="W515" s="4"/>
      <c r="X515" s="12"/>
      <c r="Y515" s="12"/>
      <c r="Z515" s="12"/>
      <c r="AA515" s="12"/>
    </row>
    <row r="516" spans="1:27"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793"/>
      <c r="W516" s="4"/>
      <c r="X516" s="12"/>
      <c r="Y516" s="12"/>
      <c r="Z516" s="12"/>
      <c r="AA516" s="12"/>
    </row>
    <row r="517" spans="1:27"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793"/>
      <c r="W517" s="4"/>
      <c r="X517" s="12"/>
      <c r="Y517" s="12"/>
      <c r="Z517" s="12"/>
      <c r="AA517" s="12"/>
    </row>
    <row r="518" spans="1:27"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793"/>
      <c r="W518" s="4"/>
      <c r="X518" s="12"/>
      <c r="Y518" s="12"/>
      <c r="Z518" s="12"/>
      <c r="AA518" s="12"/>
    </row>
    <row r="519" spans="1:27"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793"/>
      <c r="W519" s="4"/>
      <c r="X519" s="12"/>
      <c r="Y519" s="12"/>
      <c r="Z519" s="12"/>
      <c r="AA519" s="12"/>
    </row>
    <row r="520" spans="1:27"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793"/>
      <c r="W520" s="4"/>
      <c r="X520" s="12"/>
      <c r="Y520" s="12"/>
      <c r="Z520" s="12"/>
      <c r="AA520" s="12"/>
    </row>
    <row r="521" spans="1:27"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793"/>
      <c r="W521" s="4"/>
      <c r="X521" s="12"/>
      <c r="Y521" s="12"/>
      <c r="Z521" s="12"/>
      <c r="AA521" s="12"/>
    </row>
    <row r="522" spans="1:27"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793"/>
      <c r="W522" s="4"/>
      <c r="X522" s="12"/>
      <c r="Y522" s="12"/>
      <c r="Z522" s="12"/>
      <c r="AA522" s="12"/>
    </row>
    <row r="523" spans="1:27"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793"/>
      <c r="W523" s="4"/>
      <c r="X523" s="12"/>
      <c r="Y523" s="12"/>
      <c r="Z523" s="12"/>
      <c r="AA523" s="12"/>
    </row>
    <row r="524" spans="1:27"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793"/>
      <c r="W524" s="4"/>
      <c r="X524" s="12"/>
      <c r="Y524" s="12"/>
      <c r="Z524" s="12"/>
      <c r="AA524" s="12"/>
    </row>
    <row r="525" spans="1:27"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793"/>
      <c r="W525" s="4"/>
      <c r="X525" s="12"/>
      <c r="Y525" s="12"/>
      <c r="Z525" s="12"/>
      <c r="AA525" s="12"/>
    </row>
    <row r="526" spans="1:27"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793"/>
      <c r="W526" s="4"/>
      <c r="X526" s="12"/>
      <c r="Y526" s="12"/>
      <c r="Z526" s="12"/>
      <c r="AA526" s="12"/>
    </row>
    <row r="527" spans="1:27"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793"/>
      <c r="W527" s="4"/>
      <c r="X527" s="12"/>
      <c r="Y527" s="12"/>
      <c r="Z527" s="12"/>
      <c r="AA527" s="12"/>
    </row>
    <row r="528" spans="1:27"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793"/>
      <c r="W528" s="4"/>
      <c r="X528" s="12"/>
      <c r="Y528" s="12"/>
      <c r="Z528" s="12"/>
      <c r="AA528" s="12"/>
    </row>
    <row r="529" spans="1:27"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793"/>
      <c r="W529" s="4"/>
      <c r="X529" s="12"/>
      <c r="Y529" s="12"/>
      <c r="Z529" s="12"/>
      <c r="AA529" s="12"/>
    </row>
    <row r="530" spans="1:27"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793"/>
      <c r="W530" s="4"/>
      <c r="X530" s="12"/>
      <c r="Y530" s="12"/>
      <c r="Z530" s="12"/>
      <c r="AA530" s="12"/>
    </row>
    <row r="531" spans="1:27"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793"/>
      <c r="W531" s="4"/>
      <c r="X531" s="12"/>
      <c r="Y531" s="12"/>
      <c r="Z531" s="12"/>
      <c r="AA531" s="12"/>
    </row>
    <row r="532" spans="1:27"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793"/>
      <c r="W532" s="4"/>
      <c r="X532" s="12"/>
      <c r="Y532" s="12"/>
      <c r="Z532" s="12"/>
      <c r="AA532" s="12"/>
    </row>
    <row r="533" spans="1:27"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793"/>
      <c r="W533" s="4"/>
      <c r="X533" s="12"/>
      <c r="Y533" s="12"/>
      <c r="Z533" s="12"/>
      <c r="AA533" s="12"/>
    </row>
    <row r="534" spans="1:27"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793"/>
      <c r="W534" s="4"/>
      <c r="X534" s="12"/>
      <c r="Y534" s="12"/>
      <c r="Z534" s="12"/>
      <c r="AA534" s="12"/>
    </row>
    <row r="535" spans="1:27"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793"/>
      <c r="W535" s="4"/>
      <c r="X535" s="12"/>
      <c r="Y535" s="12"/>
      <c r="Z535" s="12"/>
      <c r="AA535" s="12"/>
    </row>
    <row r="536" spans="1:27"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793"/>
      <c r="W536" s="4"/>
      <c r="X536" s="12"/>
      <c r="Y536" s="12"/>
      <c r="Z536" s="12"/>
      <c r="AA536" s="12"/>
    </row>
    <row r="537" spans="1:27"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793"/>
      <c r="W537" s="4"/>
      <c r="X537" s="12"/>
      <c r="Y537" s="12"/>
      <c r="Z537" s="12"/>
      <c r="AA537" s="12"/>
    </row>
    <row r="538" spans="1:27"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793"/>
      <c r="W538" s="4"/>
      <c r="X538" s="12"/>
      <c r="Y538" s="12"/>
      <c r="Z538" s="12"/>
      <c r="AA538" s="12"/>
    </row>
    <row r="539" spans="1:27"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793"/>
      <c r="W539" s="4"/>
      <c r="X539" s="12"/>
      <c r="Y539" s="12"/>
      <c r="Z539" s="12"/>
      <c r="AA539" s="12"/>
    </row>
    <row r="540" spans="1:27"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793"/>
      <c r="W540" s="4"/>
      <c r="X540" s="12"/>
      <c r="Y540" s="12"/>
      <c r="Z540" s="12"/>
      <c r="AA540" s="12"/>
    </row>
    <row r="541" spans="1:27"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793"/>
      <c r="W541" s="4"/>
      <c r="X541" s="12"/>
      <c r="Y541" s="12"/>
      <c r="Z541" s="12"/>
      <c r="AA541" s="12"/>
    </row>
    <row r="542" spans="1:27"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793"/>
      <c r="W542" s="4"/>
      <c r="X542" s="12"/>
      <c r="Y542" s="12"/>
      <c r="Z542" s="12"/>
      <c r="AA542" s="12"/>
    </row>
    <row r="543" spans="1:27"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793"/>
      <c r="W543" s="4"/>
      <c r="X543" s="12"/>
      <c r="Y543" s="12"/>
      <c r="Z543" s="12"/>
      <c r="AA543" s="12"/>
    </row>
    <row r="544" spans="1:27"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793"/>
      <c r="W544" s="4"/>
      <c r="X544" s="12"/>
      <c r="Y544" s="12"/>
      <c r="Z544" s="12"/>
      <c r="AA544" s="12"/>
    </row>
    <row r="545" spans="1:27"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793"/>
      <c r="W545" s="4"/>
      <c r="X545" s="12"/>
      <c r="Y545" s="12"/>
      <c r="Z545" s="12"/>
      <c r="AA545" s="12"/>
    </row>
    <row r="546" spans="1:27"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793"/>
      <c r="W546" s="4"/>
      <c r="X546" s="12"/>
      <c r="Y546" s="12"/>
      <c r="Z546" s="12"/>
      <c r="AA546" s="12"/>
    </row>
    <row r="547" spans="1:27"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793"/>
      <c r="W547" s="4"/>
      <c r="X547" s="12"/>
      <c r="Y547" s="12"/>
      <c r="Z547" s="12"/>
      <c r="AA547" s="12"/>
    </row>
    <row r="548" spans="1:27"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793"/>
      <c r="W548" s="4"/>
      <c r="X548" s="12"/>
      <c r="Y548" s="12"/>
      <c r="Z548" s="12"/>
      <c r="AA548" s="12"/>
    </row>
    <row r="549" spans="1:27"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793"/>
      <c r="W549" s="4"/>
      <c r="X549" s="12"/>
      <c r="Y549" s="12"/>
      <c r="Z549" s="12"/>
      <c r="AA549" s="12"/>
    </row>
    <row r="550" spans="1:27"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793"/>
      <c r="W550" s="4"/>
      <c r="X550" s="12"/>
      <c r="Y550" s="12"/>
      <c r="Z550" s="12"/>
      <c r="AA550" s="12"/>
    </row>
    <row r="551" spans="1:27"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793"/>
      <c r="W551" s="4"/>
      <c r="X551" s="12"/>
      <c r="Y551" s="12"/>
      <c r="Z551" s="12"/>
      <c r="AA551" s="12"/>
    </row>
    <row r="552" spans="1:27"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793"/>
      <c r="W552" s="4"/>
      <c r="X552" s="12"/>
      <c r="Y552" s="12"/>
      <c r="Z552" s="12"/>
      <c r="AA552" s="12"/>
    </row>
    <row r="553" spans="1:27"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793"/>
      <c r="W553" s="4"/>
      <c r="X553" s="12"/>
      <c r="Y553" s="12"/>
      <c r="Z553" s="12"/>
      <c r="AA553" s="12"/>
    </row>
    <row r="554" spans="1:27"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793"/>
      <c r="W554" s="4"/>
      <c r="X554" s="12"/>
      <c r="Y554" s="12"/>
      <c r="Z554" s="12"/>
      <c r="AA554" s="12"/>
    </row>
    <row r="555" spans="1:27"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793"/>
      <c r="W555" s="4"/>
      <c r="X555" s="12"/>
      <c r="Y555" s="12"/>
      <c r="Z555" s="12"/>
      <c r="AA555" s="12"/>
    </row>
    <row r="556" spans="1:27"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793"/>
      <c r="W556" s="4"/>
      <c r="X556" s="12"/>
      <c r="Y556" s="12"/>
      <c r="Z556" s="12"/>
      <c r="AA556" s="12"/>
    </row>
    <row r="557" spans="1:27"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793"/>
      <c r="W557" s="4"/>
      <c r="X557" s="12"/>
      <c r="Y557" s="12"/>
      <c r="Z557" s="12"/>
      <c r="AA557" s="12"/>
    </row>
    <row r="558" spans="1:27"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793"/>
      <c r="W558" s="4"/>
      <c r="X558" s="12"/>
      <c r="Y558" s="12"/>
      <c r="Z558" s="12"/>
      <c r="AA558" s="12"/>
    </row>
    <row r="559" spans="1:27"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793"/>
      <c r="W559" s="4"/>
      <c r="X559" s="12"/>
      <c r="Y559" s="12"/>
      <c r="Z559" s="12"/>
      <c r="AA559" s="12"/>
    </row>
    <row r="560" spans="1:27"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793"/>
      <c r="W560" s="4"/>
      <c r="X560" s="12"/>
      <c r="Y560" s="12"/>
      <c r="Z560" s="12"/>
      <c r="AA560" s="12"/>
    </row>
    <row r="561" spans="1:27"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793"/>
      <c r="W561" s="4"/>
      <c r="X561" s="12"/>
      <c r="Y561" s="12"/>
      <c r="Z561" s="12"/>
      <c r="AA561" s="12"/>
    </row>
    <row r="562" spans="1:27"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793"/>
      <c r="W562" s="4"/>
      <c r="X562" s="12"/>
      <c r="Y562" s="12"/>
      <c r="Z562" s="12"/>
      <c r="AA562" s="12"/>
    </row>
    <row r="563" spans="1:27"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793"/>
      <c r="W563" s="4"/>
      <c r="X563" s="12"/>
      <c r="Y563" s="12"/>
      <c r="Z563" s="12"/>
      <c r="AA563" s="12"/>
    </row>
    <row r="564" spans="1:27"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793"/>
      <c r="W564" s="4"/>
      <c r="X564" s="12"/>
      <c r="Y564" s="12"/>
      <c r="Z564" s="12"/>
      <c r="AA564" s="12"/>
    </row>
    <row r="565" spans="1:27"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793"/>
      <c r="W565" s="4"/>
      <c r="X565" s="12"/>
      <c r="Y565" s="12"/>
      <c r="Z565" s="12"/>
      <c r="AA565" s="12"/>
    </row>
    <row r="566" spans="1:27"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793"/>
      <c r="W566" s="4"/>
      <c r="X566" s="12"/>
      <c r="Y566" s="12"/>
      <c r="Z566" s="12"/>
      <c r="AA566" s="12"/>
    </row>
    <row r="567" spans="1:27"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793"/>
      <c r="W567" s="4"/>
      <c r="X567" s="12"/>
      <c r="Y567" s="12"/>
      <c r="Z567" s="12"/>
      <c r="AA567" s="12"/>
    </row>
    <row r="568" spans="1:27"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793"/>
      <c r="W568" s="4"/>
      <c r="X568" s="12"/>
      <c r="Y568" s="12"/>
      <c r="Z568" s="12"/>
      <c r="AA568" s="12"/>
    </row>
    <row r="569" spans="1:27"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793"/>
      <c r="W569" s="4"/>
      <c r="X569" s="12"/>
      <c r="Y569" s="12"/>
      <c r="Z569" s="12"/>
      <c r="AA569" s="12"/>
    </row>
    <row r="570" spans="1:27"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793"/>
      <c r="W570" s="4"/>
      <c r="X570" s="12"/>
      <c r="Y570" s="12"/>
      <c r="Z570" s="12"/>
      <c r="AA570" s="12"/>
    </row>
    <row r="571" spans="1:27"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793"/>
      <c r="W571" s="4"/>
      <c r="X571" s="12"/>
      <c r="Y571" s="12"/>
      <c r="Z571" s="12"/>
      <c r="AA571" s="12"/>
    </row>
    <row r="572" spans="1:27"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793"/>
      <c r="W572" s="4"/>
      <c r="X572" s="12"/>
      <c r="Y572" s="12"/>
      <c r="Z572" s="12"/>
      <c r="AA572" s="12"/>
    </row>
    <row r="573" spans="1:27"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793"/>
      <c r="W573" s="4"/>
      <c r="X573" s="12"/>
      <c r="Y573" s="12"/>
      <c r="Z573" s="12"/>
      <c r="AA573" s="12"/>
    </row>
    <row r="574" spans="1:27"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793"/>
      <c r="W574" s="4"/>
      <c r="X574" s="12"/>
      <c r="Y574" s="12"/>
      <c r="Z574" s="12"/>
      <c r="AA574" s="12"/>
    </row>
    <row r="575" spans="1:27"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793"/>
      <c r="W575" s="4"/>
      <c r="X575" s="12"/>
      <c r="Y575" s="12"/>
      <c r="Z575" s="12"/>
      <c r="AA575" s="12"/>
    </row>
    <row r="576" spans="1:27"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793"/>
      <c r="W576" s="4"/>
      <c r="X576" s="12"/>
      <c r="Y576" s="12"/>
      <c r="Z576" s="12"/>
      <c r="AA576" s="12"/>
    </row>
    <row r="577" spans="1:27"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793"/>
      <c r="W577" s="4"/>
      <c r="X577" s="12"/>
      <c r="Y577" s="12"/>
      <c r="Z577" s="12"/>
      <c r="AA577" s="12"/>
    </row>
    <row r="578" spans="1:27"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793"/>
      <c r="W578" s="4"/>
      <c r="X578" s="12"/>
      <c r="Y578" s="12"/>
      <c r="Z578" s="12"/>
      <c r="AA578" s="12"/>
    </row>
    <row r="579" spans="1:27"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793"/>
      <c r="W579" s="4"/>
      <c r="X579" s="12"/>
      <c r="Y579" s="12"/>
      <c r="Z579" s="12"/>
      <c r="AA579" s="12"/>
    </row>
    <row r="580" spans="1:27"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793"/>
      <c r="W580" s="4"/>
      <c r="X580" s="12"/>
      <c r="Y580" s="12"/>
      <c r="Z580" s="12"/>
      <c r="AA580" s="12"/>
    </row>
    <row r="581" spans="1:27"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793"/>
      <c r="W581" s="4"/>
      <c r="X581" s="12"/>
      <c r="Y581" s="12"/>
      <c r="Z581" s="12"/>
      <c r="AA581" s="12"/>
    </row>
    <row r="582" spans="1:27"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793"/>
      <c r="W582" s="4"/>
      <c r="X582" s="12"/>
      <c r="Y582" s="12"/>
      <c r="Z582" s="12"/>
      <c r="AA582" s="12"/>
    </row>
    <row r="583" spans="1:27"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793"/>
      <c r="W583" s="4"/>
      <c r="X583" s="12"/>
      <c r="Y583" s="12"/>
      <c r="Z583" s="12"/>
      <c r="AA583" s="12"/>
    </row>
    <row r="584" spans="1:27"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793"/>
      <c r="W584" s="4"/>
      <c r="X584" s="12"/>
      <c r="Y584" s="12"/>
      <c r="Z584" s="12"/>
      <c r="AA584" s="12"/>
    </row>
    <row r="585" spans="1:27"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793"/>
      <c r="W585" s="4"/>
      <c r="X585" s="12"/>
      <c r="Y585" s="12"/>
      <c r="Z585" s="12"/>
      <c r="AA585" s="12"/>
    </row>
    <row r="586" spans="1:27"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793"/>
      <c r="W586" s="4"/>
      <c r="X586" s="12"/>
      <c r="Y586" s="12"/>
      <c r="Z586" s="12"/>
      <c r="AA586" s="12"/>
    </row>
    <row r="587" spans="1:27"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793"/>
      <c r="W587" s="4"/>
      <c r="X587" s="12"/>
      <c r="Y587" s="12"/>
      <c r="Z587" s="12"/>
      <c r="AA587" s="12"/>
    </row>
    <row r="588" spans="1:27"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793"/>
      <c r="W588" s="4"/>
      <c r="X588" s="12"/>
      <c r="Y588" s="12"/>
      <c r="Z588" s="12"/>
      <c r="AA588" s="12"/>
    </row>
    <row r="589" spans="1:27"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793"/>
      <c r="W589" s="4"/>
      <c r="X589" s="12"/>
      <c r="Y589" s="12"/>
      <c r="Z589" s="12"/>
      <c r="AA589" s="12"/>
    </row>
    <row r="590" spans="1:27"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793"/>
      <c r="W590" s="4"/>
      <c r="X590" s="12"/>
      <c r="Y590" s="12"/>
      <c r="Z590" s="12"/>
      <c r="AA590" s="12"/>
    </row>
    <row r="591" spans="1:27"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793"/>
      <c r="W591" s="4"/>
      <c r="X591" s="12"/>
      <c r="Y591" s="12"/>
      <c r="Z591" s="12"/>
      <c r="AA591" s="12"/>
    </row>
    <row r="592" spans="1:27"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793"/>
      <c r="W592" s="4"/>
      <c r="X592" s="12"/>
      <c r="Y592" s="12"/>
      <c r="Z592" s="12"/>
      <c r="AA592" s="12"/>
    </row>
    <row r="593" spans="1:27"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793"/>
      <c r="W593" s="4"/>
      <c r="X593" s="12"/>
      <c r="Y593" s="12"/>
      <c r="Z593" s="12"/>
      <c r="AA593" s="12"/>
    </row>
    <row r="594" spans="1:27"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793"/>
      <c r="W594" s="4"/>
      <c r="X594" s="12"/>
      <c r="Y594" s="12"/>
      <c r="Z594" s="12"/>
      <c r="AA594" s="12"/>
    </row>
    <row r="595" spans="1:27"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793"/>
      <c r="W595" s="4"/>
      <c r="X595" s="12"/>
      <c r="Y595" s="12"/>
      <c r="Z595" s="12"/>
      <c r="AA595" s="12"/>
    </row>
    <row r="596" spans="1:27"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793"/>
      <c r="W596" s="4"/>
      <c r="X596" s="12"/>
      <c r="Y596" s="12"/>
      <c r="Z596" s="12"/>
      <c r="AA596" s="12"/>
    </row>
    <row r="597" spans="1:27"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793"/>
      <c r="W597" s="4"/>
      <c r="X597" s="12"/>
      <c r="Y597" s="12"/>
      <c r="Z597" s="12"/>
      <c r="AA597" s="12"/>
    </row>
    <row r="598" spans="1:27"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793"/>
      <c r="W598" s="4"/>
      <c r="X598" s="12"/>
      <c r="Y598" s="12"/>
      <c r="Z598" s="12"/>
      <c r="AA598" s="12"/>
    </row>
    <row r="599" spans="1:27"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793"/>
      <c r="W599" s="4"/>
      <c r="X599" s="12"/>
      <c r="Y599" s="12"/>
      <c r="Z599" s="12"/>
      <c r="AA599" s="12"/>
    </row>
    <row r="600" spans="1:27"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793"/>
      <c r="W600" s="4"/>
      <c r="X600" s="12"/>
      <c r="Y600" s="12"/>
      <c r="Z600" s="12"/>
      <c r="AA600" s="12"/>
    </row>
    <row r="601" spans="1:27"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793"/>
      <c r="W601" s="4"/>
      <c r="X601" s="12"/>
      <c r="Y601" s="12"/>
      <c r="Z601" s="12"/>
      <c r="AA601" s="12"/>
    </row>
    <row r="602" spans="1:27"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793"/>
      <c r="W602" s="4"/>
      <c r="X602" s="12"/>
      <c r="Y602" s="12"/>
      <c r="Z602" s="12"/>
      <c r="AA602" s="12"/>
    </row>
    <row r="603" spans="1:27"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793"/>
      <c r="W603" s="4"/>
      <c r="X603" s="12"/>
      <c r="Y603" s="12"/>
      <c r="Z603" s="12"/>
      <c r="AA603" s="12"/>
    </row>
    <row r="604" spans="1:27"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793"/>
      <c r="W604" s="4"/>
      <c r="X604" s="12"/>
      <c r="Y604" s="12"/>
      <c r="Z604" s="12"/>
      <c r="AA604" s="12"/>
    </row>
    <row r="605" spans="1:27"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793"/>
      <c r="W605" s="4"/>
      <c r="X605" s="12"/>
      <c r="Y605" s="12"/>
      <c r="Z605" s="12"/>
      <c r="AA605" s="12"/>
    </row>
    <row r="606" spans="1:27"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793"/>
      <c r="W606" s="4"/>
      <c r="X606" s="12"/>
      <c r="Y606" s="12"/>
      <c r="Z606" s="12"/>
      <c r="AA606" s="12"/>
    </row>
    <row r="607" spans="1:27"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793"/>
      <c r="W607" s="4"/>
      <c r="X607" s="12"/>
      <c r="Y607" s="12"/>
      <c r="Z607" s="12"/>
      <c r="AA607" s="12"/>
    </row>
    <row r="608" spans="1:27"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793"/>
      <c r="W608" s="4"/>
      <c r="X608" s="12"/>
      <c r="Y608" s="12"/>
      <c r="Z608" s="12"/>
      <c r="AA608" s="12"/>
    </row>
    <row r="609" spans="1:27"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793"/>
      <c r="W609" s="4"/>
      <c r="X609" s="12"/>
      <c r="Y609" s="12"/>
      <c r="Z609" s="12"/>
      <c r="AA609" s="12"/>
    </row>
    <row r="610" spans="1:27"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793"/>
      <c r="W610" s="4"/>
      <c r="X610" s="12"/>
      <c r="Y610" s="12"/>
      <c r="Z610" s="12"/>
      <c r="AA610" s="12"/>
    </row>
    <row r="611" spans="1:27"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793"/>
      <c r="W611" s="4"/>
      <c r="X611" s="12"/>
      <c r="Y611" s="12"/>
      <c r="Z611" s="12"/>
      <c r="AA611" s="12"/>
    </row>
    <row r="612" spans="1:27"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793"/>
      <c r="W612" s="4"/>
      <c r="X612" s="12"/>
      <c r="Y612" s="12"/>
      <c r="Z612" s="12"/>
      <c r="AA612" s="12"/>
    </row>
    <row r="613" spans="1:27"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793"/>
      <c r="W613" s="4"/>
      <c r="X613" s="12"/>
      <c r="Y613" s="12"/>
      <c r="Z613" s="12"/>
      <c r="AA613" s="12"/>
    </row>
    <row r="614" spans="1:27"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793"/>
      <c r="W614" s="4"/>
      <c r="X614" s="12"/>
      <c r="Y614" s="12"/>
      <c r="Z614" s="12"/>
      <c r="AA614" s="12"/>
    </row>
    <row r="615" spans="1:27"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793"/>
      <c r="W615" s="4"/>
      <c r="X615" s="12"/>
      <c r="Y615" s="12"/>
      <c r="Z615" s="12"/>
      <c r="AA615" s="12"/>
    </row>
    <row r="616" spans="1:27"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793"/>
      <c r="W616" s="4"/>
      <c r="X616" s="12"/>
      <c r="Y616" s="12"/>
      <c r="Z616" s="12"/>
      <c r="AA616" s="12"/>
    </row>
    <row r="617" spans="1:27"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793"/>
      <c r="W617" s="4"/>
      <c r="X617" s="12"/>
      <c r="Y617" s="12"/>
      <c r="Z617" s="12"/>
      <c r="AA617" s="12"/>
    </row>
    <row r="618" spans="1:27"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793"/>
      <c r="W618" s="4"/>
      <c r="X618" s="12"/>
      <c r="Y618" s="12"/>
      <c r="Z618" s="12"/>
      <c r="AA618" s="12"/>
    </row>
    <row r="619" spans="1:27"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793"/>
      <c r="W619" s="4"/>
      <c r="X619" s="12"/>
      <c r="Y619" s="12"/>
      <c r="Z619" s="12"/>
      <c r="AA619" s="12"/>
    </row>
    <row r="620" spans="1:27"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793"/>
      <c r="W620" s="4"/>
      <c r="X620" s="12"/>
      <c r="Y620" s="12"/>
      <c r="Z620" s="12"/>
      <c r="AA620" s="12"/>
    </row>
    <row r="621" spans="1:27"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793"/>
      <c r="W621" s="4"/>
      <c r="X621" s="12"/>
      <c r="Y621" s="12"/>
      <c r="Z621" s="12"/>
      <c r="AA621" s="12"/>
    </row>
    <row r="622" spans="1:27"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793"/>
      <c r="W622" s="4"/>
      <c r="X622" s="12"/>
      <c r="Y622" s="12"/>
      <c r="Z622" s="12"/>
      <c r="AA622" s="12"/>
    </row>
    <row r="623" spans="1:27"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793"/>
      <c r="W623" s="4"/>
      <c r="X623" s="12"/>
      <c r="Y623" s="12"/>
      <c r="Z623" s="12"/>
      <c r="AA623" s="12"/>
    </row>
    <row r="624" spans="1:27"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793"/>
      <c r="W624" s="4"/>
      <c r="X624" s="12"/>
      <c r="Y624" s="12"/>
      <c r="Z624" s="12"/>
      <c r="AA624" s="12"/>
    </row>
    <row r="625" spans="1:27"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793"/>
      <c r="W625" s="4"/>
      <c r="X625" s="12"/>
      <c r="Y625" s="12"/>
      <c r="Z625" s="12"/>
      <c r="AA625" s="12"/>
    </row>
    <row r="626" spans="1:27"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793"/>
      <c r="W626" s="4"/>
      <c r="X626" s="12"/>
      <c r="Y626" s="12"/>
      <c r="Z626" s="12"/>
      <c r="AA626" s="12"/>
    </row>
    <row r="627" spans="1:27"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793"/>
      <c r="W627" s="4"/>
      <c r="X627" s="12"/>
      <c r="Y627" s="12"/>
      <c r="Z627" s="12"/>
      <c r="AA627" s="12"/>
    </row>
    <row r="628" spans="1:27"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793"/>
      <c r="W628" s="4"/>
      <c r="X628" s="12"/>
      <c r="Y628" s="12"/>
      <c r="Z628" s="12"/>
      <c r="AA628" s="12"/>
    </row>
    <row r="629" spans="1:27"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793"/>
      <c r="W629" s="4"/>
      <c r="X629" s="12"/>
      <c r="Y629" s="12"/>
      <c r="Z629" s="12"/>
      <c r="AA629" s="12"/>
    </row>
    <row r="630" spans="1:27"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793"/>
      <c r="W630" s="4"/>
      <c r="X630" s="12"/>
      <c r="Y630" s="12"/>
      <c r="Z630" s="12"/>
      <c r="AA630" s="12"/>
    </row>
    <row r="631" spans="1:27"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793"/>
      <c r="W631" s="4"/>
      <c r="X631" s="12"/>
      <c r="Y631" s="12"/>
      <c r="Z631" s="12"/>
      <c r="AA631" s="12"/>
    </row>
    <row r="632" spans="1:27"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793"/>
      <c r="W632" s="4"/>
      <c r="X632" s="12"/>
      <c r="Y632" s="12"/>
      <c r="Z632" s="12"/>
      <c r="AA632" s="12"/>
    </row>
    <row r="633" spans="1:27"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793"/>
      <c r="W633" s="4"/>
      <c r="X633" s="12"/>
      <c r="Y633" s="12"/>
      <c r="Z633" s="12"/>
      <c r="AA633" s="12"/>
    </row>
    <row r="634" spans="1:27"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793"/>
      <c r="W634" s="4"/>
      <c r="X634" s="12"/>
      <c r="Y634" s="12"/>
      <c r="Z634" s="12"/>
      <c r="AA634" s="12"/>
    </row>
    <row r="635" spans="1:27"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793"/>
      <c r="W635" s="4"/>
      <c r="X635" s="12"/>
      <c r="Y635" s="12"/>
      <c r="Z635" s="12"/>
      <c r="AA635" s="12"/>
    </row>
    <row r="636" spans="1:27"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793"/>
      <c r="W636" s="4"/>
      <c r="X636" s="12"/>
      <c r="Y636" s="12"/>
      <c r="Z636" s="12"/>
      <c r="AA636" s="12"/>
    </row>
    <row r="637" spans="1:27"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793"/>
      <c r="W637" s="4"/>
      <c r="X637" s="12"/>
      <c r="Y637" s="12"/>
      <c r="Z637" s="12"/>
      <c r="AA637" s="12"/>
    </row>
    <row r="638" spans="1:27"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793"/>
      <c r="W638" s="4"/>
      <c r="X638" s="12"/>
      <c r="Y638" s="12"/>
      <c r="Z638" s="12"/>
      <c r="AA638" s="12"/>
    </row>
    <row r="639" spans="1:27"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793"/>
      <c r="W639" s="4"/>
      <c r="X639" s="12"/>
      <c r="Y639" s="12"/>
      <c r="Z639" s="12"/>
      <c r="AA639" s="12"/>
    </row>
    <row r="640" spans="1:27"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793"/>
      <c r="W640" s="4"/>
      <c r="X640" s="12"/>
      <c r="Y640" s="12"/>
      <c r="Z640" s="12"/>
      <c r="AA640" s="12"/>
    </row>
    <row r="641" spans="1:27"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793"/>
      <c r="W641" s="4"/>
      <c r="X641" s="12"/>
      <c r="Y641" s="12"/>
      <c r="Z641" s="12"/>
      <c r="AA641" s="12"/>
    </row>
    <row r="642" spans="1:27"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793"/>
      <c r="W642" s="4"/>
      <c r="X642" s="12"/>
      <c r="Y642" s="12"/>
      <c r="Z642" s="12"/>
      <c r="AA642" s="12"/>
    </row>
    <row r="643" spans="1:27"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793"/>
      <c r="W643" s="4"/>
      <c r="X643" s="12"/>
      <c r="Y643" s="12"/>
      <c r="Z643" s="12"/>
      <c r="AA643" s="12"/>
    </row>
    <row r="644" spans="1:27"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793"/>
      <c r="W644" s="4"/>
      <c r="X644" s="12"/>
      <c r="Y644" s="12"/>
      <c r="Z644" s="12"/>
      <c r="AA644" s="12"/>
    </row>
    <row r="645" spans="1:27"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793"/>
      <c r="W645" s="4"/>
      <c r="X645" s="12"/>
      <c r="Y645" s="12"/>
      <c r="Z645" s="12"/>
      <c r="AA645" s="12"/>
    </row>
    <row r="646" spans="1:27"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793"/>
      <c r="W646" s="4"/>
      <c r="X646" s="12"/>
      <c r="Y646" s="12"/>
      <c r="Z646" s="12"/>
      <c r="AA646" s="12"/>
    </row>
    <row r="647" spans="1:27"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793"/>
      <c r="W647" s="4"/>
      <c r="X647" s="12"/>
      <c r="Y647" s="12"/>
      <c r="Z647" s="12"/>
      <c r="AA647" s="12"/>
    </row>
    <row r="648" spans="1:27"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793"/>
      <c r="W648" s="4"/>
      <c r="X648" s="12"/>
      <c r="Y648" s="12"/>
      <c r="Z648" s="12"/>
      <c r="AA648" s="12"/>
    </row>
    <row r="649" spans="1:27"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793"/>
      <c r="W649" s="4"/>
      <c r="X649" s="12"/>
      <c r="Y649" s="12"/>
      <c r="Z649" s="12"/>
      <c r="AA649" s="12"/>
    </row>
    <row r="650" spans="1:27"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793"/>
      <c r="W650" s="4"/>
      <c r="X650" s="12"/>
      <c r="Y650" s="12"/>
      <c r="Z650" s="12"/>
      <c r="AA650" s="12"/>
    </row>
    <row r="651" spans="1:27"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793"/>
      <c r="W651" s="4"/>
      <c r="X651" s="12"/>
      <c r="Y651" s="12"/>
      <c r="Z651" s="12"/>
      <c r="AA651" s="12"/>
    </row>
    <row r="652" spans="1:27"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793"/>
      <c r="W652" s="4"/>
      <c r="X652" s="12"/>
      <c r="Y652" s="12"/>
      <c r="Z652" s="12"/>
      <c r="AA652" s="12"/>
    </row>
    <row r="653" spans="1:27"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793"/>
      <c r="W653" s="4"/>
      <c r="X653" s="12"/>
      <c r="Y653" s="12"/>
      <c r="Z653" s="12"/>
      <c r="AA653" s="12"/>
    </row>
    <row r="654" spans="1:27"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793"/>
      <c r="W654" s="4"/>
      <c r="X654" s="12"/>
      <c r="Y654" s="12"/>
      <c r="Z654" s="12"/>
      <c r="AA654" s="12"/>
    </row>
    <row r="655" spans="1:27"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793"/>
      <c r="W655" s="4"/>
      <c r="X655" s="12"/>
      <c r="Y655" s="12"/>
      <c r="Z655" s="12"/>
      <c r="AA655" s="12"/>
    </row>
    <row r="656" spans="1:27"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793"/>
      <c r="W656" s="4"/>
      <c r="X656" s="12"/>
      <c r="Y656" s="12"/>
      <c r="Z656" s="12"/>
      <c r="AA656" s="12"/>
    </row>
    <row r="657" spans="1:27"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793"/>
      <c r="W657" s="4"/>
      <c r="X657" s="12"/>
      <c r="Y657" s="12"/>
      <c r="Z657" s="12"/>
      <c r="AA657" s="12"/>
    </row>
    <row r="658" spans="1:27"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793"/>
      <c r="W658" s="4"/>
      <c r="X658" s="12"/>
      <c r="Y658" s="12"/>
      <c r="Z658" s="12"/>
      <c r="AA658" s="12"/>
    </row>
    <row r="659" spans="1:27"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793"/>
      <c r="W659" s="4"/>
      <c r="X659" s="12"/>
      <c r="Y659" s="12"/>
      <c r="Z659" s="12"/>
      <c r="AA659" s="12"/>
    </row>
    <row r="660" spans="1:27"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793"/>
      <c r="W660" s="4"/>
      <c r="X660" s="12"/>
      <c r="Y660" s="12"/>
      <c r="Z660" s="12"/>
      <c r="AA660" s="12"/>
    </row>
    <row r="661" spans="1:27"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793"/>
      <c r="W661" s="4"/>
      <c r="X661" s="12"/>
      <c r="Y661" s="12"/>
      <c r="Z661" s="12"/>
      <c r="AA661" s="12"/>
    </row>
    <row r="662" spans="1:27"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793"/>
      <c r="W662" s="4"/>
      <c r="X662" s="12"/>
      <c r="Y662" s="12"/>
      <c r="Z662" s="12"/>
      <c r="AA662" s="12"/>
    </row>
    <row r="663" spans="1:27"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793"/>
      <c r="W663" s="4"/>
      <c r="X663" s="12"/>
      <c r="Y663" s="12"/>
      <c r="Z663" s="12"/>
      <c r="AA663" s="12"/>
    </row>
    <row r="664" spans="1:27"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793"/>
      <c r="W664" s="4"/>
      <c r="X664" s="12"/>
      <c r="Y664" s="12"/>
      <c r="Z664" s="12"/>
      <c r="AA664" s="12"/>
    </row>
    <row r="665" spans="1:27"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793"/>
      <c r="W665" s="4"/>
      <c r="X665" s="12"/>
      <c r="Y665" s="12"/>
      <c r="Z665" s="12"/>
      <c r="AA665" s="12"/>
    </row>
    <row r="666" spans="1:27"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793"/>
      <c r="W666" s="4"/>
      <c r="X666" s="12"/>
      <c r="Y666" s="12"/>
      <c r="Z666" s="12"/>
      <c r="AA666" s="12"/>
    </row>
    <row r="667" spans="1:27"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793"/>
      <c r="W667" s="4"/>
      <c r="X667" s="12"/>
      <c r="Y667" s="12"/>
      <c r="Z667" s="12"/>
      <c r="AA667" s="12"/>
    </row>
    <row r="668" spans="1:27"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793"/>
      <c r="W668" s="4"/>
      <c r="X668" s="12"/>
      <c r="Y668" s="12"/>
      <c r="Z668" s="12"/>
      <c r="AA668" s="12"/>
    </row>
    <row r="669" spans="1:27"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793"/>
      <c r="W669" s="4"/>
      <c r="X669" s="12"/>
      <c r="Y669" s="12"/>
      <c r="Z669" s="12"/>
      <c r="AA669" s="12"/>
    </row>
    <row r="670" spans="1:27"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793"/>
      <c r="W670" s="4"/>
      <c r="X670" s="12"/>
      <c r="Y670" s="12"/>
      <c r="Z670" s="12"/>
      <c r="AA670" s="12"/>
    </row>
    <row r="671" spans="1:27"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793"/>
      <c r="W671" s="4"/>
      <c r="X671" s="12"/>
      <c r="Y671" s="12"/>
      <c r="Z671" s="12"/>
      <c r="AA671" s="12"/>
    </row>
    <row r="672" spans="1:27"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793"/>
      <c r="W672" s="4"/>
      <c r="X672" s="12"/>
      <c r="Y672" s="12"/>
      <c r="Z672" s="12"/>
      <c r="AA672" s="12"/>
    </row>
    <row r="673" spans="1:27"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793"/>
      <c r="W673" s="4"/>
      <c r="X673" s="12"/>
      <c r="Y673" s="12"/>
      <c r="Z673" s="12"/>
      <c r="AA673" s="12"/>
    </row>
    <row r="674" spans="1:27"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793"/>
      <c r="W674" s="4"/>
      <c r="X674" s="12"/>
      <c r="Y674" s="12"/>
      <c r="Z674" s="12"/>
      <c r="AA674" s="12"/>
    </row>
    <row r="675" spans="1:27"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793"/>
      <c r="W675" s="4"/>
      <c r="X675" s="12"/>
      <c r="Y675" s="12"/>
      <c r="Z675" s="12"/>
      <c r="AA675" s="12"/>
    </row>
    <row r="676" spans="1:27"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793"/>
      <c r="W676" s="4"/>
      <c r="X676" s="12"/>
      <c r="Y676" s="12"/>
      <c r="Z676" s="12"/>
      <c r="AA676" s="12"/>
    </row>
    <row r="677" spans="1:27"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793"/>
      <c r="W677" s="4"/>
      <c r="X677" s="12"/>
      <c r="Y677" s="12"/>
      <c r="Z677" s="12"/>
      <c r="AA677" s="12"/>
    </row>
    <row r="678" spans="1:27"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793"/>
      <c r="W678" s="4"/>
      <c r="X678" s="12"/>
      <c r="Y678" s="12"/>
      <c r="Z678" s="12"/>
      <c r="AA678" s="12"/>
    </row>
    <row r="679" spans="1:27"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793"/>
      <c r="W679" s="4"/>
      <c r="X679" s="12"/>
      <c r="Y679" s="12"/>
      <c r="Z679" s="12"/>
      <c r="AA679" s="12"/>
    </row>
    <row r="680" spans="1:27"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793"/>
      <c r="W680" s="4"/>
      <c r="X680" s="12"/>
      <c r="Y680" s="12"/>
      <c r="Z680" s="12"/>
      <c r="AA680" s="12"/>
    </row>
    <row r="681" spans="1:27"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793"/>
      <c r="W681" s="4"/>
      <c r="X681" s="12"/>
      <c r="Y681" s="12"/>
      <c r="Z681" s="12"/>
      <c r="AA681" s="12"/>
    </row>
    <row r="682" spans="1:27"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793"/>
      <c r="W682" s="4"/>
      <c r="X682" s="12"/>
      <c r="Y682" s="12"/>
      <c r="Z682" s="12"/>
      <c r="AA682" s="12"/>
    </row>
    <row r="683" spans="1:27"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793"/>
      <c r="W683" s="4"/>
      <c r="X683" s="12"/>
      <c r="Y683" s="12"/>
      <c r="Z683" s="12"/>
      <c r="AA683" s="12"/>
    </row>
    <row r="684" spans="1:27"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793"/>
      <c r="W684" s="4"/>
      <c r="X684" s="12"/>
      <c r="Y684" s="12"/>
      <c r="Z684" s="12"/>
      <c r="AA684" s="12"/>
    </row>
    <row r="685" spans="1:27"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793"/>
      <c r="W685" s="4"/>
      <c r="X685" s="12"/>
      <c r="Y685" s="12"/>
      <c r="Z685" s="12"/>
      <c r="AA685" s="12"/>
    </row>
    <row r="686" spans="1:27"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793"/>
      <c r="W686" s="4"/>
      <c r="X686" s="12"/>
      <c r="Y686" s="12"/>
      <c r="Z686" s="12"/>
      <c r="AA686" s="12"/>
    </row>
    <row r="687" spans="1:27"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793"/>
      <c r="W687" s="4"/>
      <c r="X687" s="12"/>
      <c r="Y687" s="12"/>
      <c r="Z687" s="12"/>
      <c r="AA687" s="12"/>
    </row>
    <row r="688" spans="1:27"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793"/>
      <c r="W688" s="4"/>
      <c r="X688" s="12"/>
      <c r="Y688" s="12"/>
      <c r="Z688" s="12"/>
      <c r="AA688" s="12"/>
    </row>
    <row r="689" spans="1:27"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793"/>
      <c r="W689" s="4"/>
      <c r="X689" s="12"/>
      <c r="Y689" s="12"/>
      <c r="Z689" s="12"/>
      <c r="AA689" s="12"/>
    </row>
    <row r="690" spans="1:27"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793"/>
      <c r="W690" s="4"/>
      <c r="X690" s="12"/>
      <c r="Y690" s="12"/>
      <c r="Z690" s="12"/>
      <c r="AA690" s="12"/>
    </row>
    <row r="691" spans="1:27"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793"/>
      <c r="W691" s="4"/>
      <c r="X691" s="12"/>
      <c r="Y691" s="12"/>
      <c r="Z691" s="12"/>
      <c r="AA691" s="12"/>
    </row>
    <row r="692" spans="1:27"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793"/>
      <c r="W692" s="4"/>
      <c r="X692" s="12"/>
      <c r="Y692" s="12"/>
      <c r="Z692" s="12"/>
      <c r="AA692" s="12"/>
    </row>
    <row r="693" spans="1:27"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793"/>
      <c r="W693" s="4"/>
      <c r="X693" s="12"/>
      <c r="Y693" s="12"/>
      <c r="Z693" s="12"/>
      <c r="AA693" s="12"/>
    </row>
    <row r="694" spans="1:27"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793"/>
      <c r="W694" s="4"/>
      <c r="X694" s="12"/>
      <c r="Y694" s="12"/>
      <c r="Z694" s="12"/>
      <c r="AA694" s="12"/>
    </row>
    <row r="695" spans="1:27"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793"/>
      <c r="W695" s="4"/>
      <c r="X695" s="12"/>
      <c r="Y695" s="12"/>
      <c r="Z695" s="12"/>
      <c r="AA695" s="12"/>
    </row>
    <row r="696" spans="1:27"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793"/>
      <c r="W696" s="4"/>
      <c r="X696" s="12"/>
      <c r="Y696" s="12"/>
      <c r="Z696" s="12"/>
      <c r="AA696" s="12"/>
    </row>
    <row r="697" spans="1:27"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793"/>
      <c r="W697" s="4"/>
      <c r="X697" s="12"/>
      <c r="Y697" s="12"/>
      <c r="Z697" s="12"/>
      <c r="AA697" s="12"/>
    </row>
    <row r="698" spans="1:27"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793"/>
      <c r="W698" s="4"/>
      <c r="X698" s="12"/>
      <c r="Y698" s="12"/>
      <c r="Z698" s="12"/>
      <c r="AA698" s="12"/>
    </row>
    <row r="699" spans="1:27"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793"/>
      <c r="W699" s="4"/>
      <c r="X699" s="12"/>
      <c r="Y699" s="12"/>
      <c r="Z699" s="12"/>
      <c r="AA699" s="12"/>
    </row>
    <row r="700" spans="1:27"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793"/>
      <c r="W700" s="4"/>
      <c r="X700" s="12"/>
      <c r="Y700" s="12"/>
      <c r="Z700" s="12"/>
      <c r="AA700" s="12"/>
    </row>
    <row r="701" spans="1:27"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793"/>
      <c r="W701" s="4"/>
      <c r="X701" s="12"/>
      <c r="Y701" s="12"/>
      <c r="Z701" s="12"/>
      <c r="AA701" s="12"/>
    </row>
    <row r="702" spans="1:27"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793"/>
      <c r="W702" s="4"/>
      <c r="X702" s="12"/>
      <c r="Y702" s="12"/>
      <c r="Z702" s="12"/>
      <c r="AA702" s="12"/>
    </row>
    <row r="703" spans="1:27"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793"/>
      <c r="W703" s="4"/>
      <c r="X703" s="12"/>
      <c r="Y703" s="12"/>
      <c r="Z703" s="12"/>
      <c r="AA703" s="12"/>
    </row>
    <row r="704" spans="1:27"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793"/>
      <c r="W704" s="4"/>
      <c r="X704" s="12"/>
      <c r="Y704" s="12"/>
      <c r="Z704" s="12"/>
      <c r="AA704" s="12"/>
    </row>
    <row r="705" spans="1:27"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793"/>
      <c r="W705" s="4"/>
      <c r="X705" s="12"/>
      <c r="Y705" s="12"/>
      <c r="Z705" s="12"/>
      <c r="AA705" s="12"/>
    </row>
    <row r="706" spans="1:27"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793"/>
      <c r="W706" s="4"/>
      <c r="X706" s="12"/>
      <c r="Y706" s="12"/>
      <c r="Z706" s="12"/>
      <c r="AA706" s="12"/>
    </row>
    <row r="707" spans="1:27"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793"/>
      <c r="W707" s="4"/>
      <c r="X707" s="12"/>
      <c r="Y707" s="12"/>
      <c r="Z707" s="12"/>
      <c r="AA707" s="12"/>
    </row>
    <row r="708" spans="1:27"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793"/>
      <c r="W708" s="4"/>
      <c r="X708" s="12"/>
      <c r="Y708" s="12"/>
      <c r="Z708" s="12"/>
      <c r="AA708" s="12"/>
    </row>
    <row r="709" spans="1:27"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793"/>
      <c r="W709" s="4"/>
      <c r="X709" s="12"/>
      <c r="Y709" s="12"/>
      <c r="Z709" s="12"/>
      <c r="AA709" s="12"/>
    </row>
    <row r="710" spans="1:27"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793"/>
      <c r="W710" s="4"/>
      <c r="X710" s="12"/>
      <c r="Y710" s="12"/>
      <c r="Z710" s="12"/>
      <c r="AA710" s="12"/>
    </row>
    <row r="711" spans="1:27"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793"/>
      <c r="W711" s="4"/>
      <c r="X711" s="12"/>
      <c r="Y711" s="12"/>
      <c r="Z711" s="12"/>
      <c r="AA711" s="12"/>
    </row>
    <row r="712" spans="1:27"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793"/>
      <c r="W712" s="4"/>
      <c r="X712" s="12"/>
      <c r="Y712" s="12"/>
      <c r="Z712" s="12"/>
      <c r="AA712" s="12"/>
    </row>
    <row r="713" spans="1:27"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793"/>
      <c r="W713" s="4"/>
      <c r="X713" s="12"/>
      <c r="Y713" s="12"/>
      <c r="Z713" s="12"/>
      <c r="AA713" s="12"/>
    </row>
    <row r="714" spans="1:27"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793"/>
      <c r="W714" s="4"/>
      <c r="X714" s="12"/>
      <c r="Y714" s="12"/>
      <c r="Z714" s="12"/>
      <c r="AA714" s="12"/>
    </row>
    <row r="715" spans="1:27"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793"/>
      <c r="W715" s="4"/>
      <c r="X715" s="12"/>
      <c r="Y715" s="12"/>
      <c r="Z715" s="12"/>
      <c r="AA715" s="12"/>
    </row>
    <row r="716" spans="1:27"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793"/>
      <c r="W716" s="4"/>
      <c r="X716" s="12"/>
      <c r="Y716" s="12"/>
      <c r="Z716" s="12"/>
      <c r="AA716" s="12"/>
    </row>
    <row r="717" spans="1:27"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793"/>
      <c r="W717" s="4"/>
      <c r="X717" s="12"/>
      <c r="Y717" s="12"/>
      <c r="Z717" s="12"/>
      <c r="AA717" s="12"/>
    </row>
    <row r="718" spans="1:27"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793"/>
      <c r="W718" s="4"/>
      <c r="X718" s="12"/>
      <c r="Y718" s="12"/>
      <c r="Z718" s="12"/>
      <c r="AA718" s="12"/>
    </row>
    <row r="719" spans="1:27"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793"/>
      <c r="W719" s="4"/>
      <c r="X719" s="12"/>
      <c r="Y719" s="12"/>
      <c r="Z719" s="12"/>
      <c r="AA719" s="12"/>
    </row>
    <row r="720" spans="1:27"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793"/>
      <c r="W720" s="4"/>
      <c r="X720" s="12"/>
      <c r="Y720" s="12"/>
      <c r="Z720" s="12"/>
      <c r="AA720" s="12"/>
    </row>
    <row r="721" spans="1:27"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793"/>
      <c r="W721" s="4"/>
      <c r="X721" s="12"/>
      <c r="Y721" s="12"/>
      <c r="Z721" s="12"/>
      <c r="AA721" s="12"/>
    </row>
    <row r="722" spans="1:27"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793"/>
      <c r="W722" s="4"/>
      <c r="X722" s="12"/>
      <c r="Y722" s="12"/>
      <c r="Z722" s="12"/>
      <c r="AA722" s="12"/>
    </row>
    <row r="723" spans="1:27"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793"/>
      <c r="W723" s="4"/>
      <c r="X723" s="12"/>
      <c r="Y723" s="12"/>
      <c r="Z723" s="12"/>
      <c r="AA723" s="12"/>
    </row>
    <row r="724" spans="1:27"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793"/>
      <c r="W724" s="4"/>
      <c r="X724" s="12"/>
      <c r="Y724" s="12"/>
      <c r="Z724" s="12"/>
      <c r="AA724" s="12"/>
    </row>
    <row r="725" spans="1:27"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793"/>
      <c r="W725" s="4"/>
      <c r="X725" s="12"/>
      <c r="Y725" s="12"/>
      <c r="Z725" s="12"/>
      <c r="AA725" s="12"/>
    </row>
    <row r="726" spans="1:27"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793"/>
      <c r="W726" s="4"/>
      <c r="X726" s="12"/>
      <c r="Y726" s="12"/>
      <c r="Z726" s="12"/>
      <c r="AA726" s="12"/>
    </row>
    <row r="727" spans="1:27"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793"/>
      <c r="W727" s="4"/>
      <c r="X727" s="12"/>
      <c r="Y727" s="12"/>
      <c r="Z727" s="12"/>
      <c r="AA727" s="12"/>
    </row>
    <row r="728" spans="1:27"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793"/>
      <c r="W728" s="4"/>
      <c r="X728" s="12"/>
      <c r="Y728" s="12"/>
      <c r="Z728" s="12"/>
      <c r="AA728" s="12"/>
    </row>
    <row r="729" spans="1:27"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793"/>
      <c r="W729" s="4"/>
      <c r="X729" s="12"/>
      <c r="Y729" s="12"/>
      <c r="Z729" s="12"/>
      <c r="AA729" s="12"/>
    </row>
    <row r="730" spans="1:27"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793"/>
      <c r="W730" s="4"/>
      <c r="X730" s="12"/>
      <c r="Y730" s="12"/>
      <c r="Z730" s="12"/>
      <c r="AA730" s="12"/>
    </row>
    <row r="731" spans="1:27"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793"/>
      <c r="W731" s="4"/>
      <c r="X731" s="12"/>
      <c r="Y731" s="12"/>
      <c r="Z731" s="12"/>
      <c r="AA731" s="12"/>
    </row>
    <row r="732" spans="1:27"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793"/>
      <c r="W732" s="4"/>
      <c r="X732" s="12"/>
      <c r="Y732" s="12"/>
      <c r="Z732" s="12"/>
      <c r="AA732" s="12"/>
    </row>
    <row r="733" spans="1:27"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793"/>
      <c r="W733" s="4"/>
      <c r="X733" s="12"/>
      <c r="Y733" s="12"/>
      <c r="Z733" s="12"/>
      <c r="AA733" s="12"/>
    </row>
    <row r="734" spans="1:27"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793"/>
      <c r="W734" s="4"/>
      <c r="X734" s="12"/>
      <c r="Y734" s="12"/>
      <c r="Z734" s="12"/>
      <c r="AA734" s="12"/>
    </row>
    <row r="735" spans="1:27"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793"/>
      <c r="W735" s="4"/>
      <c r="X735" s="12"/>
      <c r="Y735" s="12"/>
      <c r="Z735" s="12"/>
      <c r="AA735" s="12"/>
    </row>
    <row r="736" spans="1:27"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793"/>
      <c r="W736" s="4"/>
      <c r="X736" s="12"/>
      <c r="Y736" s="12"/>
      <c r="Z736" s="12"/>
      <c r="AA736" s="12"/>
    </row>
    <row r="737" spans="1:27"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793"/>
      <c r="W737" s="4"/>
      <c r="X737" s="12"/>
      <c r="Y737" s="12"/>
      <c r="Z737" s="12"/>
      <c r="AA737" s="12"/>
    </row>
    <row r="738" spans="1:27"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793"/>
      <c r="W738" s="4"/>
      <c r="X738" s="12"/>
      <c r="Y738" s="12"/>
      <c r="Z738" s="12"/>
      <c r="AA738" s="12"/>
    </row>
    <row r="739" spans="1:27"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793"/>
      <c r="W739" s="4"/>
      <c r="X739" s="12"/>
      <c r="Y739" s="12"/>
      <c r="Z739" s="12"/>
      <c r="AA739" s="12"/>
    </row>
    <row r="740" spans="1:27"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793"/>
      <c r="W740" s="4"/>
      <c r="X740" s="12"/>
      <c r="Y740" s="12"/>
      <c r="Z740" s="12"/>
      <c r="AA740" s="12"/>
    </row>
    <row r="741" spans="1:27"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793"/>
      <c r="W741" s="4"/>
      <c r="X741" s="12"/>
      <c r="Y741" s="12"/>
      <c r="Z741" s="12"/>
      <c r="AA741" s="12"/>
    </row>
    <row r="742" spans="1:27"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793"/>
      <c r="W742" s="4"/>
      <c r="X742" s="12"/>
      <c r="Y742" s="12"/>
      <c r="Z742" s="12"/>
      <c r="AA742" s="12"/>
    </row>
    <row r="743" spans="1:27"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793"/>
      <c r="W743" s="4"/>
      <c r="X743" s="12"/>
      <c r="Y743" s="12"/>
      <c r="Z743" s="12"/>
      <c r="AA743" s="12"/>
    </row>
    <row r="744" spans="1:27"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793"/>
      <c r="W744" s="4"/>
      <c r="X744" s="12"/>
      <c r="Y744" s="12"/>
      <c r="Z744" s="12"/>
      <c r="AA744" s="12"/>
    </row>
    <row r="745" spans="1:27"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793"/>
      <c r="W745" s="4"/>
      <c r="X745" s="12"/>
      <c r="Y745" s="12"/>
      <c r="Z745" s="12"/>
      <c r="AA745" s="12"/>
    </row>
    <row r="746" spans="1:27"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793"/>
      <c r="W746" s="4"/>
      <c r="X746" s="12"/>
      <c r="Y746" s="12"/>
      <c r="Z746" s="12"/>
      <c r="AA746" s="12"/>
    </row>
    <row r="747" spans="1:27"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793"/>
      <c r="W747" s="4"/>
      <c r="X747" s="12"/>
      <c r="Y747" s="12"/>
      <c r="Z747" s="12"/>
      <c r="AA747" s="12"/>
    </row>
    <row r="748" spans="1:27"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793"/>
      <c r="W748" s="4"/>
      <c r="X748" s="12"/>
      <c r="Y748" s="12"/>
      <c r="Z748" s="12"/>
      <c r="AA748" s="12"/>
    </row>
    <row r="749" spans="1:27"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793"/>
      <c r="W749" s="4"/>
      <c r="X749" s="12"/>
      <c r="Y749" s="12"/>
      <c r="Z749" s="12"/>
      <c r="AA749" s="12"/>
    </row>
    <row r="750" spans="1:27"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793"/>
      <c r="W750" s="4"/>
      <c r="X750" s="12"/>
      <c r="Y750" s="12"/>
      <c r="Z750" s="12"/>
      <c r="AA750" s="12"/>
    </row>
    <row r="751" spans="1:27"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793"/>
      <c r="W751" s="4"/>
      <c r="X751" s="12"/>
      <c r="Y751" s="12"/>
      <c r="Z751" s="12"/>
      <c r="AA751" s="12"/>
    </row>
    <row r="752" spans="1:27"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793"/>
      <c r="W752" s="4"/>
      <c r="X752" s="12"/>
      <c r="Y752" s="12"/>
      <c r="Z752" s="12"/>
      <c r="AA752" s="12"/>
    </row>
    <row r="753" spans="1:27"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793"/>
      <c r="W753" s="4"/>
      <c r="X753" s="12"/>
      <c r="Y753" s="12"/>
      <c r="Z753" s="12"/>
      <c r="AA753" s="12"/>
    </row>
    <row r="754" spans="1:27"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793"/>
      <c r="W754" s="4"/>
      <c r="X754" s="12"/>
      <c r="Y754" s="12"/>
      <c r="Z754" s="12"/>
      <c r="AA754" s="12"/>
    </row>
    <row r="755" spans="1:27"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793"/>
      <c r="W755" s="4"/>
      <c r="X755" s="12"/>
      <c r="Y755" s="12"/>
      <c r="Z755" s="12"/>
      <c r="AA755" s="12"/>
    </row>
    <row r="756" spans="1:27"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793"/>
      <c r="W756" s="4"/>
      <c r="X756" s="12"/>
      <c r="Y756" s="12"/>
      <c r="Z756" s="12"/>
      <c r="AA756" s="12"/>
    </row>
    <row r="757" spans="1:27"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793"/>
      <c r="W757" s="4"/>
      <c r="X757" s="12"/>
      <c r="Y757" s="12"/>
      <c r="Z757" s="12"/>
      <c r="AA757" s="12"/>
    </row>
    <row r="758" spans="1:27"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793"/>
      <c r="W758" s="4"/>
      <c r="X758" s="12"/>
      <c r="Y758" s="12"/>
      <c r="Z758" s="12"/>
      <c r="AA758" s="12"/>
    </row>
    <row r="759" spans="1:27"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793"/>
      <c r="W759" s="4"/>
      <c r="X759" s="12"/>
      <c r="Y759" s="12"/>
      <c r="Z759" s="12"/>
      <c r="AA759" s="12"/>
    </row>
    <row r="760" spans="1:27"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793"/>
      <c r="W760" s="4"/>
      <c r="X760" s="12"/>
      <c r="Y760" s="12"/>
      <c r="Z760" s="12"/>
      <c r="AA760" s="12"/>
    </row>
    <row r="761" spans="1:27"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793"/>
      <c r="W761" s="4"/>
      <c r="X761" s="12"/>
      <c r="Y761" s="12"/>
      <c r="Z761" s="12"/>
      <c r="AA761" s="12"/>
    </row>
    <row r="762" spans="1:27"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793"/>
      <c r="W762" s="4"/>
      <c r="X762" s="12"/>
      <c r="Y762" s="12"/>
      <c r="Z762" s="12"/>
      <c r="AA762" s="12"/>
    </row>
    <row r="763" spans="1:27"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793"/>
      <c r="W763" s="4"/>
      <c r="X763" s="12"/>
      <c r="Y763" s="12"/>
      <c r="Z763" s="12"/>
      <c r="AA763" s="12"/>
    </row>
    <row r="764" spans="1:27"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793"/>
      <c r="W764" s="4"/>
      <c r="X764" s="12"/>
      <c r="Y764" s="12"/>
      <c r="Z764" s="12"/>
      <c r="AA764" s="12"/>
    </row>
    <row r="765" spans="1:27"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793"/>
      <c r="W765" s="4"/>
      <c r="X765" s="12"/>
      <c r="Y765" s="12"/>
      <c r="Z765" s="12"/>
      <c r="AA765" s="12"/>
    </row>
    <row r="766" spans="1:27"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793"/>
      <c r="W766" s="4"/>
      <c r="X766" s="12"/>
      <c r="Y766" s="12"/>
      <c r="Z766" s="12"/>
      <c r="AA766" s="12"/>
    </row>
    <row r="767" spans="1:27"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793"/>
      <c r="W767" s="4"/>
      <c r="X767" s="12"/>
      <c r="Y767" s="12"/>
      <c r="Z767" s="12"/>
      <c r="AA767" s="12"/>
    </row>
    <row r="768" spans="1:27"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793"/>
      <c r="W768" s="4"/>
      <c r="X768" s="12"/>
      <c r="Y768" s="12"/>
      <c r="Z768" s="12"/>
      <c r="AA768" s="12"/>
    </row>
    <row r="769" spans="1:27"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793"/>
      <c r="W769" s="4"/>
      <c r="X769" s="12"/>
      <c r="Y769" s="12"/>
      <c r="Z769" s="12"/>
      <c r="AA769" s="12"/>
    </row>
    <row r="770" spans="1:27"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793"/>
      <c r="W770" s="4"/>
      <c r="X770" s="12"/>
      <c r="Y770" s="12"/>
      <c r="Z770" s="12"/>
      <c r="AA770" s="12"/>
    </row>
    <row r="771" spans="1:27"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793"/>
      <c r="W771" s="4"/>
      <c r="X771" s="12"/>
      <c r="Y771" s="12"/>
      <c r="Z771" s="12"/>
      <c r="AA771" s="12"/>
    </row>
    <row r="772" spans="1:27"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793"/>
      <c r="W772" s="4"/>
      <c r="X772" s="12"/>
      <c r="Y772" s="12"/>
      <c r="Z772" s="12"/>
      <c r="AA772" s="12"/>
    </row>
    <row r="773" spans="1:27"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793"/>
      <c r="W773" s="4"/>
      <c r="X773" s="12"/>
      <c r="Y773" s="12"/>
      <c r="Z773" s="12"/>
      <c r="AA773" s="12"/>
    </row>
    <row r="774" spans="1:27"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793"/>
      <c r="W774" s="4"/>
      <c r="X774" s="12"/>
      <c r="Y774" s="12"/>
      <c r="Z774" s="12"/>
      <c r="AA774" s="12"/>
    </row>
    <row r="775" spans="1:27"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793"/>
      <c r="W775" s="4"/>
      <c r="X775" s="12"/>
      <c r="Y775" s="12"/>
      <c r="Z775" s="12"/>
      <c r="AA775" s="12"/>
    </row>
    <row r="776" spans="1:27"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793"/>
      <c r="W776" s="4"/>
      <c r="X776" s="12"/>
      <c r="Y776" s="12"/>
      <c r="Z776" s="12"/>
      <c r="AA776" s="12"/>
    </row>
    <row r="777" spans="1:27"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793"/>
      <c r="W777" s="4"/>
      <c r="X777" s="12"/>
      <c r="Y777" s="12"/>
      <c r="Z777" s="12"/>
      <c r="AA777" s="12"/>
    </row>
    <row r="778" spans="1:27"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793"/>
      <c r="W778" s="4"/>
      <c r="X778" s="12"/>
      <c r="Y778" s="12"/>
      <c r="Z778" s="12"/>
      <c r="AA778" s="12"/>
    </row>
    <row r="779" spans="1:27"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793"/>
      <c r="W779" s="4"/>
      <c r="X779" s="12"/>
      <c r="Y779" s="12"/>
      <c r="Z779" s="12"/>
      <c r="AA779" s="12"/>
    </row>
    <row r="780" spans="1:27"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793"/>
      <c r="W780" s="4"/>
      <c r="X780" s="12"/>
      <c r="Y780" s="12"/>
      <c r="Z780" s="12"/>
      <c r="AA780" s="12"/>
    </row>
    <row r="781" spans="1:27"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793"/>
      <c r="W781" s="4"/>
      <c r="X781" s="12"/>
      <c r="Y781" s="12"/>
      <c r="Z781" s="12"/>
      <c r="AA781" s="12"/>
    </row>
    <row r="782" spans="1:27"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793"/>
      <c r="W782" s="4"/>
      <c r="X782" s="12"/>
      <c r="Y782" s="12"/>
      <c r="Z782" s="12"/>
      <c r="AA782" s="12"/>
    </row>
    <row r="783" spans="1:27"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793"/>
      <c r="W783" s="4"/>
      <c r="X783" s="12"/>
      <c r="Y783" s="12"/>
      <c r="Z783" s="12"/>
      <c r="AA783" s="12"/>
    </row>
    <row r="784" spans="1:27"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793"/>
      <c r="W784" s="4"/>
      <c r="X784" s="12"/>
      <c r="Y784" s="12"/>
      <c r="Z784" s="12"/>
      <c r="AA784" s="12"/>
    </row>
    <row r="785" spans="1:27"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793"/>
      <c r="W785" s="4"/>
      <c r="X785" s="12"/>
      <c r="Y785" s="12"/>
      <c r="Z785" s="12"/>
      <c r="AA785" s="12"/>
    </row>
    <row r="786" spans="1:27"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793"/>
      <c r="W786" s="4"/>
      <c r="X786" s="12"/>
      <c r="Y786" s="12"/>
      <c r="Z786" s="12"/>
      <c r="AA786" s="12"/>
    </row>
    <row r="787" spans="1:27"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793"/>
      <c r="W787" s="4"/>
      <c r="X787" s="12"/>
      <c r="Y787" s="12"/>
      <c r="Z787" s="12"/>
      <c r="AA787" s="12"/>
    </row>
    <row r="788" spans="1:27"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793"/>
      <c r="W788" s="4"/>
      <c r="X788" s="12"/>
      <c r="Y788" s="12"/>
      <c r="Z788" s="12"/>
      <c r="AA788" s="12"/>
    </row>
    <row r="789" spans="1:27"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793"/>
      <c r="W789" s="4"/>
      <c r="X789" s="12"/>
      <c r="Y789" s="12"/>
      <c r="Z789" s="12"/>
      <c r="AA789" s="12"/>
    </row>
    <row r="790" spans="1:27"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793"/>
      <c r="W790" s="4"/>
      <c r="X790" s="12"/>
      <c r="Y790" s="12"/>
      <c r="Z790" s="12"/>
      <c r="AA790" s="12"/>
    </row>
    <row r="791" spans="1:27"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793"/>
      <c r="W791" s="4"/>
      <c r="X791" s="12"/>
      <c r="Y791" s="12"/>
      <c r="Z791" s="12"/>
      <c r="AA791" s="12"/>
    </row>
    <row r="792" spans="1:27"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793"/>
      <c r="W792" s="4"/>
      <c r="X792" s="12"/>
      <c r="Y792" s="12"/>
      <c r="Z792" s="12"/>
      <c r="AA792" s="12"/>
    </row>
    <row r="793" spans="1:27"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793"/>
      <c r="W793" s="4"/>
      <c r="X793" s="12"/>
      <c r="Y793" s="12"/>
      <c r="Z793" s="12"/>
      <c r="AA793" s="12"/>
    </row>
    <row r="794" spans="1:27"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793"/>
      <c r="W794" s="4"/>
      <c r="X794" s="12"/>
      <c r="Y794" s="12"/>
      <c r="Z794" s="12"/>
      <c r="AA794" s="12"/>
    </row>
    <row r="795" spans="1:27"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793"/>
      <c r="W795" s="4"/>
      <c r="X795" s="12"/>
      <c r="Y795" s="12"/>
      <c r="Z795" s="12"/>
      <c r="AA795" s="12"/>
    </row>
    <row r="796" spans="1:27"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793"/>
      <c r="W796" s="4"/>
      <c r="X796" s="12"/>
      <c r="Y796" s="12"/>
      <c r="Z796" s="12"/>
      <c r="AA796" s="12"/>
    </row>
    <row r="797" spans="1:27"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793"/>
      <c r="W797" s="4"/>
      <c r="X797" s="12"/>
      <c r="Y797" s="12"/>
      <c r="Z797" s="12"/>
      <c r="AA797" s="12"/>
    </row>
    <row r="798" spans="1:27"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793"/>
      <c r="W798" s="4"/>
      <c r="X798" s="12"/>
      <c r="Y798" s="12"/>
      <c r="Z798" s="12"/>
      <c r="AA798" s="12"/>
    </row>
    <row r="799" spans="1:27"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793"/>
      <c r="W799" s="4"/>
      <c r="X799" s="12"/>
      <c r="Y799" s="12"/>
      <c r="Z799" s="12"/>
      <c r="AA799" s="12"/>
    </row>
    <row r="800" spans="1:27"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793"/>
      <c r="W800" s="4"/>
      <c r="X800" s="12"/>
      <c r="Y800" s="12"/>
      <c r="Z800" s="12"/>
      <c r="AA800" s="12"/>
    </row>
    <row r="801" spans="1:27"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793"/>
      <c r="W801" s="4"/>
      <c r="X801" s="12"/>
      <c r="Y801" s="12"/>
      <c r="Z801" s="12"/>
      <c r="AA801" s="12"/>
    </row>
    <row r="802" spans="1:27"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793"/>
      <c r="W802" s="4"/>
      <c r="X802" s="12"/>
      <c r="Y802" s="12"/>
      <c r="Z802" s="12"/>
      <c r="AA802" s="12"/>
    </row>
    <row r="803" spans="1:27"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793"/>
      <c r="W803" s="4"/>
      <c r="X803" s="12"/>
      <c r="Y803" s="12"/>
      <c r="Z803" s="12"/>
      <c r="AA803" s="12"/>
    </row>
    <row r="804" spans="1:27"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793"/>
      <c r="W804" s="4"/>
      <c r="X804" s="12"/>
      <c r="Y804" s="12"/>
      <c r="Z804" s="12"/>
      <c r="AA804" s="12"/>
    </row>
    <row r="805" spans="1:27"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793"/>
      <c r="W805" s="4"/>
      <c r="X805" s="12"/>
      <c r="Y805" s="12"/>
      <c r="Z805" s="12"/>
      <c r="AA805" s="12"/>
    </row>
    <row r="806" spans="1:27"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793"/>
      <c r="W806" s="4"/>
      <c r="X806" s="12"/>
      <c r="Y806" s="12"/>
      <c r="Z806" s="12"/>
      <c r="AA806" s="12"/>
    </row>
    <row r="807" spans="1:27"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793"/>
      <c r="W807" s="4"/>
      <c r="X807" s="12"/>
      <c r="Y807" s="12"/>
      <c r="Z807" s="12"/>
      <c r="AA807" s="12"/>
    </row>
    <row r="808" spans="1:27"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793"/>
      <c r="W808" s="4"/>
      <c r="X808" s="12"/>
      <c r="Y808" s="12"/>
      <c r="Z808" s="12"/>
      <c r="AA808" s="12"/>
    </row>
    <row r="809" spans="1:27"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793"/>
      <c r="W809" s="4"/>
      <c r="X809" s="12"/>
      <c r="Y809" s="12"/>
      <c r="Z809" s="12"/>
      <c r="AA809" s="12"/>
    </row>
    <row r="810" spans="1:27"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793"/>
      <c r="W810" s="4"/>
      <c r="X810" s="12"/>
      <c r="Y810" s="12"/>
      <c r="Z810" s="12"/>
      <c r="AA810" s="12"/>
    </row>
    <row r="811" spans="1:27"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793"/>
      <c r="W811" s="4"/>
      <c r="X811" s="12"/>
      <c r="Y811" s="12"/>
      <c r="Z811" s="12"/>
      <c r="AA811" s="12"/>
    </row>
    <row r="812" spans="1:27"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793"/>
      <c r="W812" s="4"/>
      <c r="X812" s="12"/>
      <c r="Y812" s="12"/>
      <c r="Z812" s="12"/>
      <c r="AA812" s="12"/>
    </row>
    <row r="813" spans="1:27"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793"/>
      <c r="W813" s="4"/>
      <c r="X813" s="12"/>
      <c r="Y813" s="12"/>
      <c r="Z813" s="12"/>
      <c r="AA813" s="12"/>
    </row>
    <row r="814" spans="1:27"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793"/>
      <c r="W814" s="4"/>
      <c r="X814" s="12"/>
      <c r="Y814" s="12"/>
      <c r="Z814" s="12"/>
      <c r="AA814" s="12"/>
    </row>
    <row r="815" spans="1:27"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793"/>
      <c r="W815" s="4"/>
      <c r="X815" s="12"/>
      <c r="Y815" s="12"/>
      <c r="Z815" s="12"/>
      <c r="AA815" s="12"/>
    </row>
    <row r="816" spans="1:27"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793"/>
      <c r="W816" s="4"/>
      <c r="X816" s="12"/>
      <c r="Y816" s="12"/>
      <c r="Z816" s="12"/>
      <c r="AA816" s="12"/>
    </row>
    <row r="817" spans="1:27"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793"/>
      <c r="W817" s="4"/>
      <c r="X817" s="12"/>
      <c r="Y817" s="12"/>
      <c r="Z817" s="12"/>
      <c r="AA817" s="12"/>
    </row>
    <row r="818" spans="1:27"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793"/>
      <c r="W818" s="4"/>
      <c r="X818" s="12"/>
      <c r="Y818" s="12"/>
      <c r="Z818" s="12"/>
      <c r="AA818" s="12"/>
    </row>
    <row r="819" spans="1:27"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793"/>
      <c r="W819" s="4"/>
      <c r="X819" s="12"/>
      <c r="Y819" s="12"/>
      <c r="Z819" s="12"/>
      <c r="AA819" s="12"/>
    </row>
    <row r="820" spans="1:27"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793"/>
      <c r="W820" s="4"/>
      <c r="X820" s="12"/>
      <c r="Y820" s="12"/>
      <c r="Z820" s="12"/>
      <c r="AA820" s="12"/>
    </row>
    <row r="821" spans="1:27"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793"/>
      <c r="W821" s="4"/>
      <c r="X821" s="12"/>
      <c r="Y821" s="12"/>
      <c r="Z821" s="12"/>
      <c r="AA821" s="12"/>
    </row>
    <row r="822" spans="1:27"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793"/>
      <c r="W822" s="4"/>
      <c r="X822" s="12"/>
      <c r="Y822" s="12"/>
      <c r="Z822" s="12"/>
      <c r="AA822" s="12"/>
    </row>
    <row r="823" spans="1:27"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793"/>
      <c r="W823" s="4"/>
      <c r="X823" s="12"/>
      <c r="Y823" s="12"/>
      <c r="Z823" s="12"/>
      <c r="AA823" s="12"/>
    </row>
    <row r="824" spans="1:27"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793"/>
      <c r="W824" s="4"/>
      <c r="X824" s="12"/>
      <c r="Y824" s="12"/>
      <c r="Z824" s="12"/>
      <c r="AA824" s="12"/>
    </row>
    <row r="825" spans="1:27"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793"/>
      <c r="W825" s="4"/>
      <c r="X825" s="12"/>
      <c r="Y825" s="12"/>
      <c r="Z825" s="12"/>
      <c r="AA825" s="12"/>
    </row>
    <row r="826" spans="1:27"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793"/>
      <c r="W826" s="4"/>
      <c r="X826" s="12"/>
      <c r="Y826" s="12"/>
      <c r="Z826" s="12"/>
      <c r="AA826" s="12"/>
    </row>
    <row r="827" spans="1:27"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793"/>
      <c r="W827" s="4"/>
      <c r="X827" s="12"/>
      <c r="Y827" s="12"/>
      <c r="Z827" s="12"/>
      <c r="AA827" s="12"/>
    </row>
    <row r="828" spans="1:27"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793"/>
      <c r="W828" s="4"/>
      <c r="X828" s="12"/>
      <c r="Y828" s="12"/>
      <c r="Z828" s="12"/>
      <c r="AA828" s="12"/>
    </row>
    <row r="829" spans="1:27"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793"/>
      <c r="W829" s="4"/>
      <c r="X829" s="12"/>
      <c r="Y829" s="12"/>
      <c r="Z829" s="12"/>
      <c r="AA829" s="12"/>
    </row>
    <row r="830" spans="1:27"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793"/>
      <c r="W830" s="4"/>
      <c r="X830" s="12"/>
      <c r="Y830" s="12"/>
      <c r="Z830" s="12"/>
      <c r="AA830" s="12"/>
    </row>
    <row r="831" spans="1:27"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793"/>
      <c r="W831" s="4"/>
      <c r="X831" s="12"/>
      <c r="Y831" s="12"/>
      <c r="Z831" s="12"/>
      <c r="AA831" s="12"/>
    </row>
    <row r="832" spans="1:27"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793"/>
      <c r="W832" s="4"/>
      <c r="X832" s="12"/>
      <c r="Y832" s="12"/>
      <c r="Z832" s="12"/>
      <c r="AA832" s="12"/>
    </row>
    <row r="833" spans="1:27"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793"/>
      <c r="W833" s="4"/>
      <c r="X833" s="12"/>
      <c r="Y833" s="12"/>
      <c r="Z833" s="12"/>
      <c r="AA833" s="12"/>
    </row>
    <row r="834" spans="1:27"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793"/>
      <c r="W834" s="4"/>
      <c r="X834" s="12"/>
      <c r="Y834" s="12"/>
      <c r="Z834" s="12"/>
      <c r="AA834" s="12"/>
    </row>
    <row r="835" spans="1:27"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793"/>
      <c r="W835" s="4"/>
      <c r="X835" s="12"/>
      <c r="Y835" s="12"/>
      <c r="Z835" s="12"/>
      <c r="AA835" s="12"/>
    </row>
    <row r="836" spans="1:27"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793"/>
      <c r="W836" s="4"/>
      <c r="X836" s="12"/>
      <c r="Y836" s="12"/>
      <c r="Z836" s="12"/>
      <c r="AA836" s="12"/>
    </row>
    <row r="837" spans="1:27"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793"/>
      <c r="W837" s="4"/>
      <c r="X837" s="12"/>
      <c r="Y837" s="12"/>
      <c r="Z837" s="12"/>
      <c r="AA837" s="12"/>
    </row>
    <row r="838" spans="1:27"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793"/>
      <c r="W838" s="4"/>
      <c r="X838" s="12"/>
      <c r="Y838" s="12"/>
      <c r="Z838" s="12"/>
      <c r="AA838" s="12"/>
    </row>
    <row r="839" spans="1:27"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793"/>
      <c r="W839" s="4"/>
      <c r="X839" s="12"/>
      <c r="Y839" s="12"/>
      <c r="Z839" s="12"/>
      <c r="AA839" s="12"/>
    </row>
    <row r="840" spans="1:27"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793"/>
      <c r="W840" s="4"/>
      <c r="X840" s="12"/>
      <c r="Y840" s="12"/>
      <c r="Z840" s="12"/>
      <c r="AA840" s="12"/>
    </row>
    <row r="841" spans="1:27"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793"/>
      <c r="W841" s="4"/>
      <c r="X841" s="12"/>
      <c r="Y841" s="12"/>
      <c r="Z841" s="12"/>
      <c r="AA841" s="12"/>
    </row>
    <row r="842" spans="1:27"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793"/>
      <c r="W842" s="4"/>
      <c r="X842" s="12"/>
      <c r="Y842" s="12"/>
      <c r="Z842" s="12"/>
      <c r="AA842" s="12"/>
    </row>
    <row r="843" spans="1:27"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793"/>
      <c r="W843" s="4"/>
      <c r="X843" s="12"/>
      <c r="Y843" s="12"/>
      <c r="Z843" s="12"/>
      <c r="AA843" s="12"/>
    </row>
    <row r="844" spans="1:27"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793"/>
      <c r="W844" s="4"/>
      <c r="X844" s="12"/>
      <c r="Y844" s="12"/>
      <c r="Z844" s="12"/>
      <c r="AA844" s="12"/>
    </row>
    <row r="845" spans="1:27"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793"/>
      <c r="W845" s="4"/>
      <c r="X845" s="12"/>
      <c r="Y845" s="12"/>
      <c r="Z845" s="12"/>
      <c r="AA845" s="12"/>
    </row>
    <row r="846" spans="1:27"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793"/>
      <c r="W846" s="4"/>
      <c r="X846" s="12"/>
      <c r="Y846" s="12"/>
      <c r="Z846" s="12"/>
      <c r="AA846" s="12"/>
    </row>
    <row r="847" spans="1:27"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793"/>
      <c r="W847" s="4"/>
      <c r="X847" s="12"/>
      <c r="Y847" s="12"/>
      <c r="Z847" s="12"/>
      <c r="AA847" s="12"/>
    </row>
    <row r="848" spans="1:27"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793"/>
      <c r="W848" s="4"/>
      <c r="X848" s="12"/>
      <c r="Y848" s="12"/>
      <c r="Z848" s="12"/>
      <c r="AA848" s="12"/>
    </row>
    <row r="849" spans="1:27"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793"/>
      <c r="W849" s="4"/>
      <c r="X849" s="12"/>
      <c r="Y849" s="12"/>
      <c r="Z849" s="12"/>
      <c r="AA849" s="12"/>
    </row>
    <row r="850" spans="1:27"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793"/>
      <c r="W850" s="4"/>
      <c r="X850" s="12"/>
      <c r="Y850" s="12"/>
      <c r="Z850" s="12"/>
      <c r="AA850" s="12"/>
    </row>
    <row r="851" spans="1:27"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793"/>
      <c r="W851" s="4"/>
      <c r="X851" s="12"/>
      <c r="Y851" s="12"/>
      <c r="Z851" s="12"/>
      <c r="AA851" s="12"/>
    </row>
    <row r="852" spans="1:27"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793"/>
      <c r="W852" s="4"/>
      <c r="X852" s="12"/>
      <c r="Y852" s="12"/>
      <c r="Z852" s="12"/>
      <c r="AA852" s="12"/>
    </row>
    <row r="853" spans="1:27"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793"/>
      <c r="W853" s="4"/>
      <c r="X853" s="12"/>
      <c r="Y853" s="12"/>
      <c r="Z853" s="12"/>
      <c r="AA853" s="12"/>
    </row>
    <row r="854" spans="1:27"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793"/>
      <c r="W854" s="4"/>
      <c r="X854" s="12"/>
      <c r="Y854" s="12"/>
      <c r="Z854" s="12"/>
      <c r="AA854" s="12"/>
    </row>
    <row r="855" spans="1:27"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793"/>
      <c r="W855" s="4"/>
      <c r="X855" s="12"/>
      <c r="Y855" s="12"/>
      <c r="Z855" s="12"/>
      <c r="AA855" s="12"/>
    </row>
    <row r="856" spans="1:27"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793"/>
      <c r="W856" s="4"/>
      <c r="X856" s="12"/>
      <c r="Y856" s="12"/>
      <c r="Z856" s="12"/>
      <c r="AA856" s="12"/>
    </row>
    <row r="857" spans="1:27"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793"/>
      <c r="W857" s="4"/>
      <c r="X857" s="12"/>
      <c r="Y857" s="12"/>
      <c r="Z857" s="12"/>
      <c r="AA857" s="12"/>
    </row>
    <row r="858" spans="1:27"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793"/>
      <c r="W858" s="4"/>
      <c r="X858" s="12"/>
      <c r="Y858" s="12"/>
      <c r="Z858" s="12"/>
      <c r="AA858" s="12"/>
    </row>
    <row r="859" spans="1:27"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793"/>
      <c r="W859" s="4"/>
      <c r="X859" s="12"/>
      <c r="Y859" s="12"/>
      <c r="Z859" s="12"/>
      <c r="AA859" s="12"/>
    </row>
    <row r="860" spans="1:27"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793"/>
      <c r="W860" s="4"/>
      <c r="X860" s="12"/>
      <c r="Y860" s="12"/>
      <c r="Z860" s="12"/>
      <c r="AA860" s="12"/>
    </row>
    <row r="861" spans="1:27"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793"/>
      <c r="W861" s="4"/>
      <c r="X861" s="12"/>
      <c r="Y861" s="12"/>
      <c r="Z861" s="12"/>
      <c r="AA861" s="12"/>
    </row>
    <row r="862" spans="1:27"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793"/>
      <c r="W862" s="4"/>
      <c r="X862" s="12"/>
      <c r="Y862" s="12"/>
      <c r="Z862" s="12"/>
      <c r="AA862" s="12"/>
    </row>
    <row r="863" spans="1:27"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793"/>
      <c r="W863" s="4"/>
      <c r="X863" s="12"/>
      <c r="Y863" s="12"/>
      <c r="Z863" s="12"/>
      <c r="AA863" s="12"/>
    </row>
    <row r="864" spans="1:27"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793"/>
      <c r="W864" s="4"/>
      <c r="X864" s="12"/>
      <c r="Y864" s="12"/>
      <c r="Z864" s="12"/>
      <c r="AA864" s="12"/>
    </row>
    <row r="865" spans="1:27"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793"/>
      <c r="W865" s="4"/>
      <c r="X865" s="12"/>
      <c r="Y865" s="12"/>
      <c r="Z865" s="12"/>
      <c r="AA865" s="12"/>
    </row>
    <row r="866" spans="1:27"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793"/>
      <c r="W866" s="4"/>
      <c r="X866" s="12"/>
      <c r="Y866" s="12"/>
      <c r="Z866" s="12"/>
      <c r="AA866" s="12"/>
    </row>
    <row r="867" spans="1:27"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793"/>
      <c r="W867" s="4"/>
      <c r="X867" s="12"/>
      <c r="Y867" s="12"/>
      <c r="Z867" s="12"/>
      <c r="AA867" s="12"/>
    </row>
    <row r="868" spans="1:27"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793"/>
      <c r="W868" s="4"/>
      <c r="X868" s="12"/>
      <c r="Y868" s="12"/>
      <c r="Z868" s="12"/>
      <c r="AA868" s="12"/>
    </row>
    <row r="869" spans="1:27"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793"/>
      <c r="W869" s="4"/>
      <c r="X869" s="12"/>
      <c r="Y869" s="12"/>
      <c r="Z869" s="12"/>
      <c r="AA869" s="12"/>
    </row>
    <row r="870" spans="1:27"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793"/>
      <c r="W870" s="4"/>
      <c r="X870" s="12"/>
      <c r="Y870" s="12"/>
      <c r="Z870" s="12"/>
      <c r="AA870" s="12"/>
    </row>
    <row r="871" spans="1:27"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793"/>
      <c r="W871" s="4"/>
      <c r="X871" s="12"/>
      <c r="Y871" s="12"/>
      <c r="Z871" s="12"/>
      <c r="AA871" s="12"/>
    </row>
    <row r="872" spans="1:27"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793"/>
      <c r="W872" s="4"/>
      <c r="X872" s="12"/>
      <c r="Y872" s="12"/>
      <c r="Z872" s="12"/>
      <c r="AA872" s="12"/>
    </row>
    <row r="873" spans="1:27"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793"/>
      <c r="W873" s="4"/>
      <c r="X873" s="12"/>
      <c r="Y873" s="12"/>
      <c r="Z873" s="12"/>
      <c r="AA873" s="12"/>
    </row>
    <row r="874" spans="1:27"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793"/>
      <c r="W874" s="4"/>
      <c r="X874" s="12"/>
      <c r="Y874" s="12"/>
      <c r="Z874" s="12"/>
      <c r="AA874" s="12"/>
    </row>
    <row r="875" spans="1:27"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793"/>
      <c r="W875" s="4"/>
      <c r="X875" s="12"/>
      <c r="Y875" s="12"/>
      <c r="Z875" s="12"/>
      <c r="AA875" s="12"/>
    </row>
    <row r="876" spans="1:27"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793"/>
      <c r="W876" s="4"/>
      <c r="X876" s="12"/>
      <c r="Y876" s="12"/>
      <c r="Z876" s="12"/>
      <c r="AA876" s="12"/>
    </row>
    <row r="877" spans="1:27"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793"/>
      <c r="W877" s="4"/>
      <c r="X877" s="12"/>
      <c r="Y877" s="12"/>
      <c r="Z877" s="12"/>
      <c r="AA877" s="12"/>
    </row>
    <row r="878" spans="1:27"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793"/>
      <c r="W878" s="4"/>
      <c r="X878" s="12"/>
      <c r="Y878" s="12"/>
      <c r="Z878" s="12"/>
      <c r="AA878" s="12"/>
    </row>
    <row r="879" spans="1:27"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793"/>
      <c r="W879" s="4"/>
      <c r="X879" s="12"/>
      <c r="Y879" s="12"/>
      <c r="Z879" s="12"/>
      <c r="AA879" s="12"/>
    </row>
    <row r="880" spans="1:27"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793"/>
      <c r="W880" s="4"/>
      <c r="X880" s="12"/>
      <c r="Y880" s="12"/>
      <c r="Z880" s="12"/>
      <c r="AA880" s="12"/>
    </row>
    <row r="881" spans="1:27"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793"/>
      <c r="W881" s="4"/>
      <c r="X881" s="12"/>
      <c r="Y881" s="12"/>
      <c r="Z881" s="12"/>
      <c r="AA881" s="12"/>
    </row>
    <row r="882" spans="1:27"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793"/>
      <c r="W882" s="4"/>
      <c r="X882" s="12"/>
      <c r="Y882" s="12"/>
      <c r="Z882" s="12"/>
      <c r="AA882" s="12"/>
    </row>
    <row r="883" spans="1:27"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793"/>
      <c r="W883" s="4"/>
      <c r="X883" s="12"/>
      <c r="Y883" s="12"/>
      <c r="Z883" s="12"/>
      <c r="AA883" s="12"/>
    </row>
    <row r="884" spans="1:27"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793"/>
      <c r="W884" s="4"/>
      <c r="X884" s="12"/>
      <c r="Y884" s="12"/>
      <c r="Z884" s="12"/>
      <c r="AA884" s="12"/>
    </row>
    <row r="885" spans="1:27"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793"/>
      <c r="W885" s="4"/>
      <c r="X885" s="12"/>
      <c r="Y885" s="12"/>
      <c r="Z885" s="12"/>
      <c r="AA885" s="12"/>
    </row>
    <row r="886" spans="1:27"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793"/>
      <c r="W886" s="4"/>
      <c r="X886" s="12"/>
      <c r="Y886" s="12"/>
      <c r="Z886" s="12"/>
      <c r="AA886" s="12"/>
    </row>
    <row r="887" spans="1:27"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793"/>
      <c r="W887" s="4"/>
      <c r="X887" s="12"/>
      <c r="Y887" s="12"/>
      <c r="Z887" s="12"/>
      <c r="AA887" s="12"/>
    </row>
    <row r="888" spans="1:27"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793"/>
      <c r="W888" s="4"/>
      <c r="X888" s="12"/>
      <c r="Y888" s="12"/>
      <c r="Z888" s="12"/>
      <c r="AA888" s="12"/>
    </row>
    <row r="889" spans="1:27"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793"/>
      <c r="W889" s="4"/>
      <c r="X889" s="12"/>
      <c r="Y889" s="12"/>
      <c r="Z889" s="12"/>
      <c r="AA889" s="12"/>
    </row>
    <row r="890" spans="1:27"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793"/>
      <c r="W890" s="4"/>
      <c r="X890" s="12"/>
      <c r="Y890" s="12"/>
      <c r="Z890" s="12"/>
      <c r="AA890" s="12"/>
    </row>
    <row r="891" spans="1:27"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793"/>
      <c r="W891" s="4"/>
      <c r="X891" s="12"/>
      <c r="Y891" s="12"/>
      <c r="Z891" s="12"/>
      <c r="AA891" s="12"/>
    </row>
    <row r="892" spans="1:27"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793"/>
      <c r="W892" s="4"/>
      <c r="X892" s="12"/>
      <c r="Y892" s="12"/>
      <c r="Z892" s="12"/>
      <c r="AA892" s="12"/>
    </row>
    <row r="893" spans="1:27"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793"/>
      <c r="W893" s="4"/>
      <c r="X893" s="12"/>
      <c r="Y893" s="12"/>
      <c r="Z893" s="12"/>
      <c r="AA893" s="12"/>
    </row>
    <row r="894" spans="1:27"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793"/>
      <c r="W894" s="4"/>
      <c r="X894" s="12"/>
      <c r="Y894" s="12"/>
      <c r="Z894" s="12"/>
      <c r="AA894" s="12"/>
    </row>
    <row r="895" spans="1:27"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793"/>
      <c r="W895" s="4"/>
      <c r="X895" s="12"/>
      <c r="Y895" s="12"/>
      <c r="Z895" s="12"/>
      <c r="AA895" s="12"/>
    </row>
    <row r="896" spans="1:27"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793"/>
      <c r="W896" s="4"/>
      <c r="X896" s="12"/>
      <c r="Y896" s="12"/>
      <c r="Z896" s="12"/>
      <c r="AA896" s="12"/>
    </row>
    <row r="897" spans="1:27"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793"/>
      <c r="W897" s="4"/>
      <c r="X897" s="12"/>
      <c r="Y897" s="12"/>
      <c r="Z897" s="12"/>
      <c r="AA897" s="12"/>
    </row>
    <row r="898" spans="1:27"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793"/>
      <c r="W898" s="4"/>
      <c r="X898" s="12"/>
      <c r="Y898" s="12"/>
      <c r="Z898" s="12"/>
      <c r="AA898" s="12"/>
    </row>
    <row r="899" spans="1:27"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793"/>
      <c r="W899" s="4"/>
      <c r="X899" s="12"/>
      <c r="Y899" s="12"/>
      <c r="Z899" s="12"/>
      <c r="AA899" s="12"/>
    </row>
    <row r="900" spans="1:27"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793"/>
      <c r="W900" s="4"/>
      <c r="X900" s="12"/>
      <c r="Y900" s="12"/>
      <c r="Z900" s="12"/>
      <c r="AA900" s="12"/>
    </row>
    <row r="901" spans="1:27"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793"/>
      <c r="W901" s="4"/>
      <c r="X901" s="12"/>
      <c r="Y901" s="12"/>
      <c r="Z901" s="12"/>
      <c r="AA901" s="12"/>
    </row>
    <row r="902" spans="1:27"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793"/>
      <c r="W902" s="4"/>
      <c r="X902" s="12"/>
      <c r="Y902" s="12"/>
      <c r="Z902" s="12"/>
      <c r="AA902" s="12"/>
    </row>
    <row r="903" spans="1:27"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793"/>
      <c r="W903" s="4"/>
      <c r="X903" s="12"/>
      <c r="Y903" s="12"/>
      <c r="Z903" s="12"/>
      <c r="AA903" s="12"/>
    </row>
    <row r="904" spans="1:27"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793"/>
      <c r="W904" s="4"/>
      <c r="X904" s="12"/>
      <c r="Y904" s="12"/>
      <c r="Z904" s="12"/>
      <c r="AA904" s="12"/>
    </row>
    <row r="905" spans="1:27"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793"/>
      <c r="W905" s="4"/>
      <c r="X905" s="12"/>
      <c r="Y905" s="12"/>
      <c r="Z905" s="12"/>
      <c r="AA905" s="12"/>
    </row>
    <row r="906" spans="1:27"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793"/>
      <c r="W906" s="4"/>
      <c r="X906" s="12"/>
      <c r="Y906" s="12"/>
      <c r="Z906" s="12"/>
      <c r="AA906" s="12"/>
    </row>
    <row r="907" spans="1:27"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793"/>
      <c r="W907" s="4"/>
      <c r="X907" s="12"/>
      <c r="Y907" s="12"/>
      <c r="Z907" s="12"/>
      <c r="AA907" s="12"/>
    </row>
    <row r="908" spans="1:27"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793"/>
      <c r="W908" s="4"/>
      <c r="X908" s="12"/>
      <c r="Y908" s="12"/>
      <c r="Z908" s="12"/>
      <c r="AA908" s="12"/>
    </row>
    <row r="909" spans="1:27"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793"/>
      <c r="W909" s="4"/>
      <c r="X909" s="12"/>
      <c r="Y909" s="12"/>
      <c r="Z909" s="12"/>
      <c r="AA909" s="12"/>
    </row>
    <row r="910" spans="1:27"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793"/>
      <c r="W910" s="4"/>
      <c r="X910" s="12"/>
      <c r="Y910" s="12"/>
      <c r="Z910" s="12"/>
      <c r="AA910" s="12"/>
    </row>
    <row r="911" spans="1:27"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793"/>
      <c r="W911" s="4"/>
      <c r="X911" s="12"/>
      <c r="Y911" s="12"/>
      <c r="Z911" s="12"/>
      <c r="AA911" s="12"/>
    </row>
    <row r="912" spans="1:27"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793"/>
      <c r="W912" s="4"/>
      <c r="X912" s="12"/>
      <c r="Y912" s="12"/>
      <c r="Z912" s="12"/>
      <c r="AA912" s="12"/>
    </row>
    <row r="913" spans="1:27"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793"/>
      <c r="W913" s="4"/>
      <c r="X913" s="12"/>
      <c r="Y913" s="12"/>
      <c r="Z913" s="12"/>
      <c r="AA913" s="12"/>
    </row>
    <row r="914" spans="1:27"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793"/>
      <c r="W914" s="4"/>
      <c r="X914" s="12"/>
      <c r="Y914" s="12"/>
      <c r="Z914" s="12"/>
      <c r="AA914" s="12"/>
    </row>
    <row r="915" spans="1:27"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793"/>
      <c r="W915" s="4"/>
      <c r="X915" s="12"/>
      <c r="Y915" s="12"/>
      <c r="Z915" s="12"/>
      <c r="AA915" s="12"/>
    </row>
    <row r="916" spans="1:27"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793"/>
      <c r="W916" s="4"/>
      <c r="X916" s="12"/>
      <c r="Y916" s="12"/>
      <c r="Z916" s="12"/>
      <c r="AA916" s="12"/>
    </row>
    <row r="917" spans="1:27"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793"/>
      <c r="W917" s="4"/>
      <c r="X917" s="12"/>
      <c r="Y917" s="12"/>
      <c r="Z917" s="12"/>
      <c r="AA917" s="12"/>
    </row>
    <row r="918" spans="1:27"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793"/>
      <c r="W918" s="4"/>
      <c r="X918" s="12"/>
      <c r="Y918" s="12"/>
      <c r="Z918" s="12"/>
      <c r="AA918" s="12"/>
    </row>
    <row r="919" spans="1:27"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793"/>
      <c r="W919" s="4"/>
      <c r="X919" s="12"/>
      <c r="Y919" s="12"/>
      <c r="Z919" s="12"/>
      <c r="AA919" s="12"/>
    </row>
    <row r="920" spans="1:27"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793"/>
      <c r="W920" s="4"/>
      <c r="X920" s="12"/>
      <c r="Y920" s="12"/>
      <c r="Z920" s="12"/>
      <c r="AA920" s="12"/>
    </row>
    <row r="921" spans="1:27"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793"/>
      <c r="W921" s="4"/>
      <c r="X921" s="12"/>
      <c r="Y921" s="12"/>
      <c r="Z921" s="12"/>
      <c r="AA921" s="12"/>
    </row>
    <row r="922" spans="1:27"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793"/>
      <c r="W922" s="4"/>
      <c r="X922" s="12"/>
      <c r="Y922" s="12"/>
      <c r="Z922" s="12"/>
      <c r="AA922" s="12"/>
    </row>
    <row r="923" spans="1:27"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793"/>
      <c r="W923" s="4"/>
      <c r="X923" s="12"/>
      <c r="Y923" s="12"/>
      <c r="Z923" s="12"/>
      <c r="AA923" s="12"/>
    </row>
    <row r="924" spans="1:27"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793"/>
      <c r="W924" s="4"/>
      <c r="X924" s="12"/>
      <c r="Y924" s="12"/>
      <c r="Z924" s="12"/>
      <c r="AA924" s="12"/>
    </row>
    <row r="925" spans="1:27"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793"/>
      <c r="W925" s="4"/>
      <c r="X925" s="12"/>
      <c r="Y925" s="12"/>
      <c r="Z925" s="12"/>
      <c r="AA925" s="12"/>
    </row>
    <row r="926" spans="1:27"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793"/>
      <c r="W926" s="4"/>
      <c r="X926" s="12"/>
      <c r="Y926" s="12"/>
      <c r="Z926" s="12"/>
      <c r="AA926" s="12"/>
    </row>
    <row r="927" spans="1:27"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793"/>
      <c r="W927" s="4"/>
      <c r="X927" s="12"/>
      <c r="Y927" s="12"/>
      <c r="Z927" s="12"/>
      <c r="AA927" s="12"/>
    </row>
    <row r="928" spans="1:27"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793"/>
      <c r="W928" s="4"/>
      <c r="X928" s="12"/>
      <c r="Y928" s="12"/>
      <c r="Z928" s="12"/>
      <c r="AA928" s="12"/>
    </row>
    <row r="929" spans="1:27"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793"/>
      <c r="W929" s="4"/>
      <c r="X929" s="12"/>
      <c r="Y929" s="12"/>
      <c r="Z929" s="12"/>
      <c r="AA929" s="12"/>
    </row>
    <row r="930" spans="1:27"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793"/>
      <c r="W930" s="4"/>
      <c r="X930" s="12"/>
      <c r="Y930" s="12"/>
      <c r="Z930" s="12"/>
      <c r="AA930" s="12"/>
    </row>
    <row r="931" spans="1:27"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793"/>
      <c r="W931" s="4"/>
      <c r="X931" s="12"/>
      <c r="Y931" s="12"/>
      <c r="Z931" s="12"/>
      <c r="AA931" s="12"/>
    </row>
    <row r="932" spans="1:27"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793"/>
      <c r="W932" s="4"/>
      <c r="X932" s="12"/>
      <c r="Y932" s="12"/>
      <c r="Z932" s="12"/>
      <c r="AA932" s="12"/>
    </row>
    <row r="933" spans="1:27"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793"/>
      <c r="W933" s="4"/>
      <c r="X933" s="12"/>
      <c r="Y933" s="12"/>
      <c r="Z933" s="12"/>
      <c r="AA933" s="12"/>
    </row>
    <row r="934" spans="1:27"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793"/>
      <c r="W934" s="4"/>
      <c r="X934" s="12"/>
      <c r="Y934" s="12"/>
      <c r="Z934" s="12"/>
      <c r="AA934" s="12"/>
    </row>
    <row r="935" spans="1:27"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793"/>
      <c r="W935" s="4"/>
      <c r="X935" s="12"/>
      <c r="Y935" s="12"/>
      <c r="Z935" s="12"/>
      <c r="AA935" s="12"/>
    </row>
    <row r="936" spans="1:27"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793"/>
      <c r="W936" s="4"/>
      <c r="X936" s="12"/>
      <c r="Y936" s="12"/>
      <c r="Z936" s="12"/>
      <c r="AA936" s="12"/>
    </row>
    <row r="937" spans="1:27"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793"/>
      <c r="W937" s="4"/>
      <c r="X937" s="12"/>
      <c r="Y937" s="12"/>
      <c r="Z937" s="12"/>
      <c r="AA937" s="12"/>
    </row>
    <row r="938" spans="1:27"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793"/>
      <c r="W938" s="4"/>
      <c r="X938" s="12"/>
      <c r="Y938" s="12"/>
      <c r="Z938" s="12"/>
      <c r="AA938" s="12"/>
    </row>
    <row r="939" spans="1:27"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793"/>
      <c r="W939" s="4"/>
      <c r="X939" s="12"/>
      <c r="Y939" s="12"/>
      <c r="Z939" s="12"/>
      <c r="AA939" s="12"/>
    </row>
    <row r="940" spans="1:27"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793"/>
      <c r="W940" s="4"/>
      <c r="X940" s="12"/>
      <c r="Y940" s="12"/>
      <c r="Z940" s="12"/>
      <c r="AA940" s="12"/>
    </row>
    <row r="941" spans="1:27"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793"/>
      <c r="W941" s="4"/>
      <c r="X941" s="12"/>
      <c r="Y941" s="12"/>
      <c r="Z941" s="12"/>
      <c r="AA941" s="12"/>
    </row>
    <row r="942" spans="1:27"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793"/>
      <c r="W942" s="4"/>
      <c r="X942" s="12"/>
      <c r="Y942" s="12"/>
      <c r="Z942" s="12"/>
      <c r="AA942" s="12"/>
    </row>
    <row r="943" spans="1:27"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793"/>
      <c r="W943" s="4"/>
      <c r="X943" s="12"/>
      <c r="Y943" s="12"/>
      <c r="Z943" s="12"/>
      <c r="AA943" s="12"/>
    </row>
    <row r="944" spans="1:27"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793"/>
      <c r="W944" s="4"/>
      <c r="X944" s="12"/>
      <c r="Y944" s="12"/>
      <c r="Z944" s="12"/>
      <c r="AA944" s="12"/>
    </row>
    <row r="945" spans="1:27"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793"/>
      <c r="W945" s="4"/>
      <c r="X945" s="12"/>
      <c r="Y945" s="12"/>
      <c r="Z945" s="12"/>
      <c r="AA945" s="12"/>
    </row>
    <row r="946" spans="1:27"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793"/>
      <c r="W946" s="4"/>
      <c r="X946" s="12"/>
      <c r="Y946" s="12"/>
      <c r="Z946" s="12"/>
      <c r="AA946" s="12"/>
    </row>
    <row r="947" spans="1:27"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793"/>
      <c r="W947" s="4"/>
      <c r="X947" s="12"/>
      <c r="Y947" s="12"/>
      <c r="Z947" s="12"/>
      <c r="AA947" s="12"/>
    </row>
    <row r="948" spans="1:27"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793"/>
      <c r="W948" s="4"/>
      <c r="X948" s="12"/>
      <c r="Y948" s="12"/>
      <c r="Z948" s="12"/>
      <c r="AA948" s="12"/>
    </row>
    <row r="949" spans="1:27"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793"/>
      <c r="W949" s="4"/>
      <c r="X949" s="12"/>
      <c r="Y949" s="12"/>
      <c r="Z949" s="12"/>
      <c r="AA949" s="12"/>
    </row>
    <row r="950" spans="1:27"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793"/>
      <c r="W950" s="4"/>
      <c r="X950" s="12"/>
      <c r="Y950" s="12"/>
      <c r="Z950" s="12"/>
      <c r="AA950" s="12"/>
    </row>
    <row r="951" spans="1:27"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793"/>
      <c r="W951" s="4"/>
      <c r="X951" s="12"/>
      <c r="Y951" s="12"/>
      <c r="Z951" s="12"/>
      <c r="AA951" s="12"/>
    </row>
    <row r="952" spans="1:27"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793"/>
      <c r="W952" s="4"/>
      <c r="X952" s="12"/>
      <c r="Y952" s="12"/>
      <c r="Z952" s="12"/>
      <c r="AA952" s="12"/>
    </row>
    <row r="953" spans="1:27"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793"/>
      <c r="W953" s="4"/>
      <c r="X953" s="12"/>
      <c r="Y953" s="12"/>
      <c r="Z953" s="12"/>
      <c r="AA953" s="12"/>
    </row>
    <row r="954" spans="1:27"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793"/>
      <c r="W954" s="4"/>
      <c r="X954" s="12"/>
      <c r="Y954" s="12"/>
      <c r="Z954" s="12"/>
      <c r="AA954" s="12"/>
    </row>
    <row r="955" spans="1:27"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793"/>
      <c r="W955" s="4"/>
      <c r="X955" s="12"/>
      <c r="Y955" s="12"/>
      <c r="Z955" s="12"/>
      <c r="AA955" s="12"/>
    </row>
    <row r="956" spans="1:27"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793"/>
      <c r="W956" s="4"/>
      <c r="X956" s="12"/>
      <c r="Y956" s="12"/>
      <c r="Z956" s="12"/>
      <c r="AA956" s="12"/>
    </row>
    <row r="957" spans="1:27"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793"/>
      <c r="W957" s="4"/>
      <c r="X957" s="12"/>
      <c r="Y957" s="12"/>
      <c r="Z957" s="12"/>
      <c r="AA957" s="12"/>
    </row>
    <row r="958" spans="1:27"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793"/>
      <c r="W958" s="4"/>
      <c r="X958" s="12"/>
      <c r="Y958" s="12"/>
      <c r="Z958" s="12"/>
      <c r="AA958" s="12"/>
    </row>
    <row r="959" spans="1:27"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793"/>
      <c r="W959" s="4"/>
      <c r="X959" s="12"/>
      <c r="Y959" s="12"/>
      <c r="Z959" s="12"/>
      <c r="AA959" s="12"/>
    </row>
    <row r="960" spans="1:27"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793"/>
      <c r="W960" s="4"/>
      <c r="X960" s="12"/>
      <c r="Y960" s="12"/>
      <c r="Z960" s="12"/>
      <c r="AA960" s="12"/>
    </row>
    <row r="961" spans="1:27"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793"/>
      <c r="W961" s="4"/>
      <c r="X961" s="12"/>
      <c r="Y961" s="12"/>
      <c r="Z961" s="12"/>
      <c r="AA961" s="12"/>
    </row>
    <row r="962" spans="1:27"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793"/>
      <c r="W962" s="4"/>
      <c r="X962" s="12"/>
      <c r="Y962" s="12"/>
      <c r="Z962" s="12"/>
      <c r="AA962" s="12"/>
    </row>
    <row r="963" spans="1:27"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793"/>
      <c r="W963" s="4"/>
      <c r="X963" s="12"/>
      <c r="Y963" s="12"/>
      <c r="Z963" s="12"/>
      <c r="AA963" s="12"/>
    </row>
    <row r="964" spans="1:27"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793"/>
      <c r="W964" s="4"/>
      <c r="X964" s="12"/>
      <c r="Y964" s="12"/>
      <c r="Z964" s="12"/>
      <c r="AA964" s="12"/>
    </row>
    <row r="965" spans="1:27"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793"/>
      <c r="W965" s="4"/>
      <c r="X965" s="12"/>
      <c r="Y965" s="12"/>
      <c r="Z965" s="12"/>
      <c r="AA965" s="12"/>
    </row>
    <row r="966" spans="1:27"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793"/>
      <c r="W966" s="4"/>
      <c r="X966" s="12"/>
      <c r="Y966" s="12"/>
      <c r="Z966" s="12"/>
      <c r="AA966" s="12"/>
    </row>
    <row r="967" spans="1:27"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793"/>
      <c r="W967" s="4"/>
      <c r="X967" s="12"/>
      <c r="Y967" s="12"/>
      <c r="Z967" s="12"/>
      <c r="AA967" s="12"/>
    </row>
    <row r="968" spans="1:27"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793"/>
      <c r="W968" s="4"/>
      <c r="X968" s="12"/>
      <c r="Y968" s="12"/>
      <c r="Z968" s="12"/>
      <c r="AA968" s="12"/>
    </row>
    <row r="969" spans="1:27"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793"/>
      <c r="W969" s="4"/>
      <c r="X969" s="12"/>
      <c r="Y969" s="12"/>
      <c r="Z969" s="12"/>
      <c r="AA969" s="12"/>
    </row>
    <row r="970" spans="1:27"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793"/>
      <c r="W970" s="4"/>
      <c r="X970" s="12"/>
      <c r="Y970" s="12"/>
      <c r="Z970" s="12"/>
      <c r="AA970" s="12"/>
    </row>
    <row r="971" spans="1:27"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793"/>
      <c r="W971" s="4"/>
      <c r="X971" s="12"/>
      <c r="Y971" s="12"/>
      <c r="Z971" s="12"/>
      <c r="AA971" s="12"/>
    </row>
    <row r="972" spans="1:27"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793"/>
      <c r="W972" s="4"/>
      <c r="X972" s="12"/>
      <c r="Y972" s="12"/>
      <c r="Z972" s="12"/>
      <c r="AA972" s="12"/>
    </row>
    <row r="973" spans="1:27"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793"/>
      <c r="W973" s="4"/>
      <c r="X973" s="12"/>
      <c r="Y973" s="12"/>
      <c r="Z973" s="12"/>
      <c r="AA973" s="12"/>
    </row>
    <row r="974" spans="1:27"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793"/>
      <c r="W974" s="4"/>
      <c r="X974" s="12"/>
      <c r="Y974" s="12"/>
      <c r="Z974" s="12"/>
      <c r="AA974" s="12"/>
    </row>
    <row r="975" spans="1:27"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793"/>
      <c r="W975" s="4"/>
      <c r="X975" s="12"/>
      <c r="Y975" s="12"/>
      <c r="Z975" s="12"/>
      <c r="AA975" s="12"/>
    </row>
    <row r="976" spans="1:27"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793"/>
      <c r="W976" s="4"/>
      <c r="X976" s="12"/>
      <c r="Y976" s="12"/>
      <c r="Z976" s="12"/>
      <c r="AA976" s="12"/>
    </row>
    <row r="977" spans="1:27"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793"/>
      <c r="W977" s="4"/>
      <c r="X977" s="12"/>
      <c r="Y977" s="12"/>
      <c r="Z977" s="12"/>
      <c r="AA977" s="12"/>
    </row>
    <row r="978" spans="1:27"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793"/>
      <c r="W978" s="4"/>
      <c r="X978" s="12"/>
      <c r="Y978" s="12"/>
      <c r="Z978" s="12"/>
      <c r="AA978" s="12"/>
    </row>
    <row r="979" spans="1:27"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793"/>
      <c r="W979" s="4"/>
      <c r="X979" s="12"/>
      <c r="Y979" s="12"/>
      <c r="Z979" s="12"/>
      <c r="AA979" s="12"/>
    </row>
    <row r="980" spans="1:27"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793"/>
      <c r="W980" s="4"/>
      <c r="X980" s="12"/>
      <c r="Y980" s="12"/>
      <c r="Z980" s="12"/>
      <c r="AA980" s="12"/>
    </row>
    <row r="981" spans="1:27"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793"/>
      <c r="W981" s="4"/>
      <c r="X981" s="12"/>
      <c r="Y981" s="12"/>
      <c r="Z981" s="12"/>
      <c r="AA981" s="12"/>
    </row>
    <row r="982" spans="1:27"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793"/>
      <c r="W982" s="4"/>
      <c r="X982" s="12"/>
      <c r="Y982" s="12"/>
      <c r="Z982" s="12"/>
      <c r="AA982" s="12"/>
    </row>
    <row r="983" spans="1:27"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793"/>
      <c r="W983" s="4"/>
      <c r="X983" s="12"/>
      <c r="Y983" s="12"/>
      <c r="Z983" s="12"/>
      <c r="AA983" s="12"/>
    </row>
    <row r="984" spans="1:27"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793"/>
      <c r="W984" s="4"/>
      <c r="X984" s="12"/>
      <c r="Y984" s="12"/>
      <c r="Z984" s="12"/>
      <c r="AA984" s="12"/>
    </row>
    <row r="985" spans="1:27"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793"/>
      <c r="W985" s="4"/>
      <c r="X985" s="12"/>
      <c r="Y985" s="12"/>
      <c r="Z985" s="12"/>
      <c r="AA985" s="12"/>
    </row>
    <row r="986" spans="1:27"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793"/>
      <c r="W986" s="4"/>
      <c r="X986" s="12"/>
      <c r="Y986" s="12"/>
      <c r="Z986" s="12"/>
      <c r="AA986" s="12"/>
    </row>
    <row r="987" spans="1:27"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793"/>
      <c r="W987" s="4"/>
      <c r="X987" s="12"/>
      <c r="Y987" s="12"/>
      <c r="Z987" s="12"/>
      <c r="AA987" s="12"/>
    </row>
    <row r="988" spans="1:27"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793"/>
      <c r="W988" s="4"/>
      <c r="X988" s="12"/>
      <c r="Y988" s="12"/>
      <c r="Z988" s="12"/>
      <c r="AA988" s="12"/>
    </row>
    <row r="989" spans="1:27"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793"/>
      <c r="W989" s="4"/>
      <c r="X989" s="12"/>
      <c r="Y989" s="12"/>
      <c r="Z989" s="12"/>
      <c r="AA989" s="12"/>
    </row>
    <row r="990" spans="1:27"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793"/>
      <c r="W990" s="4"/>
      <c r="X990" s="12"/>
      <c r="Y990" s="12"/>
      <c r="Z990" s="12"/>
      <c r="AA990" s="12"/>
    </row>
    <row r="991" spans="1:27"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793"/>
      <c r="W991" s="4"/>
      <c r="X991" s="12"/>
      <c r="Y991" s="12"/>
      <c r="Z991" s="12"/>
      <c r="AA991" s="12"/>
    </row>
    <row r="992" spans="1:27"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793"/>
      <c r="W992" s="4"/>
      <c r="X992" s="12"/>
      <c r="Y992" s="12"/>
      <c r="Z992" s="12"/>
      <c r="AA992" s="12"/>
    </row>
    <row r="993" spans="1:27"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793"/>
      <c r="W993" s="4"/>
      <c r="X993" s="12"/>
      <c r="Y993" s="12"/>
      <c r="Z993" s="12"/>
      <c r="AA993" s="12"/>
    </row>
    <row r="994" spans="1:27"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793"/>
      <c r="W994" s="4"/>
      <c r="X994" s="12"/>
      <c r="Y994" s="12"/>
      <c r="Z994" s="12"/>
      <c r="AA994" s="12"/>
    </row>
    <row r="995" spans="1:27"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793"/>
      <c r="W995" s="4"/>
      <c r="X995" s="12"/>
      <c r="Y995" s="12"/>
      <c r="Z995" s="12"/>
      <c r="AA995" s="12"/>
    </row>
    <row r="996" spans="1:27"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793"/>
      <c r="W996" s="4"/>
      <c r="X996" s="12"/>
      <c r="Y996" s="12"/>
      <c r="Z996" s="12"/>
      <c r="AA996" s="12"/>
    </row>
    <row r="997" spans="1:27"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793"/>
      <c r="W997" s="4"/>
      <c r="X997" s="12"/>
      <c r="Y997" s="12"/>
      <c r="Z997" s="12"/>
      <c r="AA997" s="12"/>
    </row>
    <row r="998" spans="1:27"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793"/>
      <c r="W998" s="4"/>
      <c r="X998" s="12"/>
      <c r="Y998" s="12"/>
      <c r="Z998" s="12"/>
      <c r="AA998" s="12"/>
    </row>
    <row r="999" spans="1:27"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793"/>
      <c r="W999" s="4"/>
      <c r="X999" s="12"/>
      <c r="Y999" s="12"/>
      <c r="Z999" s="12"/>
      <c r="AA999" s="12"/>
    </row>
    <row r="1000" spans="1:27"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793"/>
      <c r="W1000" s="4"/>
      <c r="X1000" s="12"/>
      <c r="Y1000" s="12"/>
      <c r="Z1000" s="12"/>
      <c r="AA1000" s="12"/>
    </row>
  </sheetData>
  <mergeCells count="101">
    <mergeCell ref="B204:B206"/>
    <mergeCell ref="C204:C206"/>
    <mergeCell ref="B210:D210"/>
    <mergeCell ref="A211:D211"/>
    <mergeCell ref="A135:A158"/>
    <mergeCell ref="B135:B136"/>
    <mergeCell ref="B138:B144"/>
    <mergeCell ref="B145:B146"/>
    <mergeCell ref="B147:B149"/>
    <mergeCell ref="B158:D158"/>
    <mergeCell ref="A159:A210"/>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A6:A68"/>
    <mergeCell ref="B68:D68"/>
    <mergeCell ref="B79:B85"/>
    <mergeCell ref="C79:C85"/>
    <mergeCell ref="B75:B78"/>
    <mergeCell ref="B57:B66"/>
    <mergeCell ref="C57:C66"/>
    <mergeCell ref="A69:A93"/>
    <mergeCell ref="B70:B74"/>
    <mergeCell ref="C70:C74"/>
    <mergeCell ref="C75:C78"/>
    <mergeCell ref="B6:B23"/>
    <mergeCell ref="B26:B36"/>
    <mergeCell ref="C26:C36"/>
    <mergeCell ref="B37:B39"/>
    <mergeCell ref="C37:C39"/>
    <mergeCell ref="B40:B46"/>
    <mergeCell ref="B86:B89"/>
    <mergeCell ref="C86:C89"/>
    <mergeCell ref="B93:D93"/>
    <mergeCell ref="C40:C46"/>
    <mergeCell ref="B47:B56"/>
    <mergeCell ref="C47:C56"/>
    <mergeCell ref="C6:C23"/>
    <mergeCell ref="B24:B25"/>
    <mergeCell ref="C24:C25"/>
    <mergeCell ref="Q4:Q5"/>
    <mergeCell ref="R4:R5"/>
    <mergeCell ref="S4:S5"/>
    <mergeCell ref="C4:C5"/>
    <mergeCell ref="D4:D5"/>
    <mergeCell ref="E4:E5"/>
    <mergeCell ref="F4:F5"/>
    <mergeCell ref="B4:B5"/>
    <mergeCell ref="V4:V5"/>
    <mergeCell ref="G4:H4"/>
    <mergeCell ref="I4:I5"/>
    <mergeCell ref="J4:L4"/>
    <mergeCell ref="M4:M5"/>
    <mergeCell ref="N4:N5"/>
    <mergeCell ref="O4:O5"/>
    <mergeCell ref="P4:P5"/>
    <mergeCell ref="A3:E3"/>
    <mergeCell ref="A4:A5"/>
  </mergeCells>
  <pageMargins left="0.15" right="0.04" top="0.15" bottom="0.1" header="0.18" footer="0"/>
  <pageSetup scale="85" orientation="portrait" r:id="rId1"/>
</worksheet>
</file>

<file path=xl/worksheets/sheet5.xml><?xml version="1.0" encoding="utf-8"?>
<worksheet xmlns="http://schemas.openxmlformats.org/spreadsheetml/2006/main" xmlns:r="http://schemas.openxmlformats.org/officeDocument/2006/relationships">
  <dimension ref="A1:AA997"/>
  <sheetViews>
    <sheetView workbookViewId="0">
      <pane xSplit="3" ySplit="5" topLeftCell="D187" activePane="bottomRight" state="frozen"/>
      <selection pane="topRight" activeCell="D1" sqref="D1"/>
      <selection pane="bottomLeft" activeCell="A6" sqref="A6"/>
      <selection pane="bottomRight" activeCell="P187" sqref="P187:V187"/>
    </sheetView>
  </sheetViews>
  <sheetFormatPr defaultColWidth="14.42578125" defaultRowHeight="15" customHeight="1"/>
  <cols>
    <col min="1" max="1" width="6.7109375" style="784" customWidth="1"/>
    <col min="2" max="2" width="7.28515625" style="784" customWidth="1"/>
    <col min="3" max="3" width="11.28515625" style="784" customWidth="1"/>
    <col min="4" max="4" width="5.85546875" style="784" customWidth="1"/>
    <col min="5" max="5" width="26.28515625" style="784" customWidth="1"/>
    <col min="6" max="6" width="7.42578125" style="784" customWidth="1"/>
    <col min="7" max="7" width="10.7109375" style="784" customWidth="1"/>
    <col min="8" max="8" width="8.28515625" style="784" customWidth="1"/>
    <col min="9" max="9" width="14.7109375" style="784" customWidth="1"/>
    <col min="10" max="10" width="13.5703125" style="784" customWidth="1"/>
    <col min="11" max="11" width="9.85546875" style="784" customWidth="1"/>
    <col min="12" max="12" width="4" style="784" customWidth="1"/>
    <col min="13" max="13" width="11.28515625" style="784" customWidth="1"/>
    <col min="14" max="14" width="10" style="784" customWidth="1"/>
    <col min="15" max="15" width="8" style="784" customWidth="1"/>
    <col min="16" max="16" width="8.140625" style="784" customWidth="1"/>
    <col min="17" max="17" width="8.28515625" style="784" customWidth="1"/>
    <col min="18" max="18" width="10.140625" style="784" customWidth="1"/>
    <col min="19" max="19" width="8" style="784" customWidth="1"/>
    <col min="20" max="20" width="12.42578125" style="784" customWidth="1"/>
    <col min="21" max="21" width="12.5703125" style="784" customWidth="1"/>
    <col min="22" max="22" width="37.5703125" style="731" customWidth="1"/>
    <col min="23" max="23" width="52.85546875" style="784" customWidth="1"/>
    <col min="24" max="24" width="48.7109375" style="784" customWidth="1"/>
    <col min="25" max="27" width="14.42578125" style="784" customWidth="1"/>
    <col min="28" max="16384" width="14.42578125" style="784"/>
  </cols>
  <sheetData>
    <row r="1" spans="1:27" ht="20.25" customHeight="1">
      <c r="A1" s="1"/>
      <c r="B1" s="2"/>
      <c r="C1" s="2"/>
      <c r="D1" s="2"/>
      <c r="E1" s="469" t="s">
        <v>0</v>
      </c>
      <c r="J1" s="3"/>
      <c r="K1" s="3"/>
      <c r="L1" s="3"/>
      <c r="M1" s="3"/>
      <c r="N1" s="3"/>
      <c r="O1" s="3"/>
      <c r="P1" s="3"/>
      <c r="Q1" s="3"/>
      <c r="R1" s="3"/>
      <c r="S1" s="3"/>
      <c r="T1" s="3"/>
      <c r="U1" s="3"/>
      <c r="V1" s="733"/>
    </row>
    <row r="2" spans="1:27" ht="23.25" customHeight="1">
      <c r="A2" s="3"/>
      <c r="B2" s="3"/>
      <c r="C2" s="3"/>
      <c r="D2" s="3"/>
      <c r="E2" s="3"/>
      <c r="F2" s="3"/>
      <c r="G2" s="3"/>
      <c r="H2" s="3"/>
      <c r="I2" s="3"/>
      <c r="J2" s="3"/>
      <c r="K2" s="3"/>
      <c r="L2" s="3"/>
      <c r="M2" s="3"/>
      <c r="N2" s="3"/>
      <c r="O2" s="3"/>
      <c r="P2" s="3"/>
      <c r="Q2" s="3"/>
      <c r="R2" s="3"/>
      <c r="S2" s="3"/>
      <c r="T2" s="3"/>
      <c r="U2" s="3"/>
      <c r="V2" s="733"/>
    </row>
    <row r="3" spans="1:27" ht="22.5" customHeight="1">
      <c r="A3" s="827" t="s">
        <v>1651</v>
      </c>
      <c r="B3" s="827"/>
      <c r="C3" s="827"/>
      <c r="D3" s="827"/>
      <c r="E3" s="827"/>
      <c r="F3" s="470"/>
      <c r="G3" s="470"/>
      <c r="H3" s="470"/>
      <c r="I3" s="470"/>
      <c r="J3" s="470"/>
      <c r="K3" s="470"/>
      <c r="L3" s="470"/>
      <c r="M3" s="470"/>
      <c r="N3" s="470"/>
      <c r="O3" s="470"/>
      <c r="P3" s="470"/>
      <c r="Q3" s="470"/>
      <c r="R3" s="470"/>
      <c r="S3" s="470"/>
      <c r="T3" s="471"/>
      <c r="U3" s="470"/>
      <c r="V3" s="519" t="s">
        <v>2</v>
      </c>
    </row>
    <row r="4" spans="1:27" ht="72.75" customHeight="1">
      <c r="A4" s="828" t="s">
        <v>3</v>
      </c>
      <c r="B4" s="828" t="s">
        <v>4</v>
      </c>
      <c r="C4" s="828" t="s">
        <v>5</v>
      </c>
      <c r="D4" s="828" t="s">
        <v>6</v>
      </c>
      <c r="E4" s="828" t="s">
        <v>388</v>
      </c>
      <c r="F4" s="828" t="s">
        <v>8</v>
      </c>
      <c r="G4" s="828" t="s">
        <v>9</v>
      </c>
      <c r="H4" s="736"/>
      <c r="I4" s="828" t="s">
        <v>10</v>
      </c>
      <c r="J4" s="828" t="s">
        <v>11</v>
      </c>
      <c r="K4" s="736"/>
      <c r="L4" s="736"/>
      <c r="M4" s="828" t="s">
        <v>12</v>
      </c>
      <c r="N4" s="828" t="s">
        <v>13</v>
      </c>
      <c r="O4" s="828" t="s">
        <v>14</v>
      </c>
      <c r="P4" s="828" t="s">
        <v>445</v>
      </c>
      <c r="Q4" s="828" t="s">
        <v>16</v>
      </c>
      <c r="R4" s="828" t="s">
        <v>17</v>
      </c>
      <c r="S4" s="828" t="s">
        <v>18</v>
      </c>
      <c r="T4" s="829" t="s">
        <v>19</v>
      </c>
      <c r="U4" s="829" t="s">
        <v>19</v>
      </c>
      <c r="V4" s="1033" t="s">
        <v>389</v>
      </c>
      <c r="W4" s="470"/>
      <c r="X4" s="54"/>
      <c r="Y4" s="54"/>
      <c r="Z4" s="54"/>
      <c r="AA4" s="54"/>
    </row>
    <row r="5" spans="1:27" ht="62.25" customHeight="1">
      <c r="A5" s="736"/>
      <c r="B5" s="736"/>
      <c r="C5" s="736"/>
      <c r="D5" s="736"/>
      <c r="E5" s="736"/>
      <c r="F5" s="736"/>
      <c r="G5" s="829" t="s">
        <v>21</v>
      </c>
      <c r="H5" s="829" t="s">
        <v>22</v>
      </c>
      <c r="I5" s="736"/>
      <c r="J5" s="829" t="s">
        <v>1652</v>
      </c>
      <c r="K5" s="829" t="s">
        <v>23</v>
      </c>
      <c r="L5" s="829" t="s">
        <v>24</v>
      </c>
      <c r="M5" s="736"/>
      <c r="N5" s="736"/>
      <c r="O5" s="736"/>
      <c r="P5" s="736"/>
      <c r="Q5" s="736"/>
      <c r="R5" s="736"/>
      <c r="S5" s="736"/>
      <c r="T5" s="829" t="s">
        <v>25</v>
      </c>
      <c r="U5" s="829" t="s">
        <v>26</v>
      </c>
      <c r="V5" s="736"/>
      <c r="W5" s="470"/>
      <c r="X5" s="54"/>
      <c r="Y5" s="54"/>
      <c r="Z5" s="54"/>
      <c r="AA5" s="54"/>
    </row>
    <row r="6" spans="1:27" ht="24.75" customHeight="1">
      <c r="A6" s="831" t="s">
        <v>27</v>
      </c>
      <c r="B6" s="828" t="s">
        <v>28</v>
      </c>
      <c r="C6" s="828" t="s">
        <v>29</v>
      </c>
      <c r="D6" s="829">
        <v>1</v>
      </c>
      <c r="E6" s="829" t="s">
        <v>30</v>
      </c>
      <c r="F6" s="829"/>
      <c r="G6" s="829"/>
      <c r="H6" s="829"/>
      <c r="I6" s="829"/>
      <c r="J6" s="829"/>
      <c r="K6" s="829"/>
      <c r="L6" s="829"/>
      <c r="M6" s="829"/>
      <c r="N6" s="829"/>
      <c r="O6" s="829"/>
      <c r="P6" s="829"/>
      <c r="Q6" s="829"/>
      <c r="R6" s="829"/>
      <c r="S6" s="829"/>
      <c r="T6" s="847">
        <f t="shared" ref="T6:T103" si="0">SUM(F6:S6)</f>
        <v>0</v>
      </c>
      <c r="U6" s="847"/>
      <c r="V6" s="729"/>
      <c r="W6" s="471"/>
      <c r="X6" s="3"/>
      <c r="Y6" s="3"/>
      <c r="Z6" s="3"/>
      <c r="AA6" s="3"/>
    </row>
    <row r="7" spans="1:27" ht="24.75" customHeight="1">
      <c r="A7" s="736"/>
      <c r="B7" s="736"/>
      <c r="C7" s="736"/>
      <c r="D7" s="829">
        <v>2</v>
      </c>
      <c r="E7" s="829" t="s">
        <v>31</v>
      </c>
      <c r="F7" s="829"/>
      <c r="G7" s="829"/>
      <c r="H7" s="829"/>
      <c r="I7" s="829"/>
      <c r="J7" s="829"/>
      <c r="K7" s="847"/>
      <c r="L7" s="829"/>
      <c r="M7" s="829"/>
      <c r="N7" s="829"/>
      <c r="O7" s="829"/>
      <c r="P7" s="845"/>
      <c r="Q7" s="829"/>
      <c r="R7" s="829"/>
      <c r="S7" s="829"/>
      <c r="T7" s="847">
        <f t="shared" si="0"/>
        <v>0</v>
      </c>
      <c r="U7" s="847">
        <f t="shared" ref="U7:U12" si="1">T7</f>
        <v>0</v>
      </c>
      <c r="V7" s="729"/>
      <c r="W7" s="471"/>
      <c r="X7" s="3"/>
      <c r="Y7" s="3"/>
      <c r="Z7" s="3"/>
      <c r="AA7" s="3"/>
    </row>
    <row r="8" spans="1:27" ht="105">
      <c r="A8" s="736"/>
      <c r="B8" s="736"/>
      <c r="C8" s="736"/>
      <c r="D8" s="829">
        <v>3</v>
      </c>
      <c r="E8" s="829" t="s">
        <v>32</v>
      </c>
      <c r="F8" s="845">
        <v>54.95</v>
      </c>
      <c r="G8" s="829"/>
      <c r="H8" s="829"/>
      <c r="I8" s="829"/>
      <c r="J8" s="829"/>
      <c r="K8" s="829"/>
      <c r="L8" s="829"/>
      <c r="M8" s="829"/>
      <c r="N8" s="829"/>
      <c r="O8" s="845">
        <v>44.92</v>
      </c>
      <c r="P8" s="829"/>
      <c r="Q8" s="829"/>
      <c r="R8" s="845">
        <v>2.19</v>
      </c>
      <c r="S8" s="829"/>
      <c r="T8" s="847">
        <f t="shared" si="0"/>
        <v>102.06</v>
      </c>
      <c r="U8" s="847">
        <f t="shared" si="1"/>
        <v>102.06</v>
      </c>
      <c r="V8" s="729" t="s">
        <v>582</v>
      </c>
      <c r="W8" s="471"/>
      <c r="X8" s="3"/>
      <c r="Y8" s="3"/>
      <c r="Z8" s="3"/>
      <c r="AA8" s="3"/>
    </row>
    <row r="9" spans="1:27" ht="240">
      <c r="A9" s="736"/>
      <c r="B9" s="736"/>
      <c r="C9" s="736"/>
      <c r="D9" s="829">
        <v>4</v>
      </c>
      <c r="E9" s="829" t="s">
        <v>34</v>
      </c>
      <c r="F9" s="829"/>
      <c r="G9" s="829"/>
      <c r="H9" s="829"/>
      <c r="I9" s="829"/>
      <c r="J9" s="829"/>
      <c r="K9" s="829">
        <v>73.040000000000006</v>
      </c>
      <c r="L9" s="829"/>
      <c r="M9" s="847">
        <v>16.218</v>
      </c>
      <c r="N9" s="829"/>
      <c r="O9" s="829">
        <v>0</v>
      </c>
      <c r="P9" s="845">
        <v>41.05</v>
      </c>
      <c r="Q9" s="829"/>
      <c r="R9" s="829"/>
      <c r="S9" s="829"/>
      <c r="T9" s="847">
        <f t="shared" si="0"/>
        <v>130.30799999999999</v>
      </c>
      <c r="U9" s="847">
        <f t="shared" si="1"/>
        <v>130.30799999999999</v>
      </c>
      <c r="V9" s="729" t="s">
        <v>583</v>
      </c>
      <c r="W9" s="471"/>
      <c r="X9" s="3"/>
      <c r="Y9" s="3"/>
      <c r="Z9" s="3"/>
      <c r="AA9" s="3"/>
    </row>
    <row r="10" spans="1:27" ht="60">
      <c r="A10" s="736"/>
      <c r="B10" s="736"/>
      <c r="C10" s="736"/>
      <c r="D10" s="829">
        <v>5</v>
      </c>
      <c r="E10" s="829" t="s">
        <v>36</v>
      </c>
      <c r="F10" s="829"/>
      <c r="G10" s="829"/>
      <c r="H10" s="829"/>
      <c r="I10" s="829"/>
      <c r="J10" s="829"/>
      <c r="K10" s="829"/>
      <c r="L10" s="829"/>
      <c r="M10" s="829"/>
      <c r="N10" s="829"/>
      <c r="O10" s="829"/>
      <c r="P10" s="847">
        <v>40.545000000000002</v>
      </c>
      <c r="Q10" s="829"/>
      <c r="R10" s="829"/>
      <c r="S10" s="829"/>
      <c r="T10" s="847">
        <f t="shared" si="0"/>
        <v>40.545000000000002</v>
      </c>
      <c r="U10" s="847">
        <f t="shared" si="1"/>
        <v>40.545000000000002</v>
      </c>
      <c r="V10" s="729" t="s">
        <v>584</v>
      </c>
      <c r="W10" s="471"/>
      <c r="X10" s="3"/>
      <c r="Y10" s="3"/>
      <c r="Z10" s="3"/>
      <c r="AA10" s="3"/>
    </row>
    <row r="11" spans="1:27" ht="315">
      <c r="A11" s="736"/>
      <c r="B11" s="736"/>
      <c r="C11" s="736"/>
      <c r="D11" s="829">
        <v>6</v>
      </c>
      <c r="E11" s="829" t="s">
        <v>38</v>
      </c>
      <c r="F11" s="829">
        <v>0.59</v>
      </c>
      <c r="G11" s="829"/>
      <c r="H11" s="829"/>
      <c r="I11" s="829"/>
      <c r="J11" s="829"/>
      <c r="K11" s="829"/>
      <c r="L11" s="829"/>
      <c r="M11" s="829"/>
      <c r="N11" s="845"/>
      <c r="O11" s="829">
        <v>1.83</v>
      </c>
      <c r="P11" s="845">
        <v>0.93</v>
      </c>
      <c r="Q11" s="829"/>
      <c r="R11" s="829"/>
      <c r="S11" s="829"/>
      <c r="T11" s="847">
        <f t="shared" si="0"/>
        <v>3.35</v>
      </c>
      <c r="U11" s="847">
        <f t="shared" si="1"/>
        <v>3.35</v>
      </c>
      <c r="V11" s="729" t="s">
        <v>585</v>
      </c>
      <c r="W11" s="471"/>
      <c r="X11" s="3"/>
      <c r="Y11" s="3"/>
      <c r="Z11" s="3"/>
      <c r="AA11" s="3"/>
    </row>
    <row r="12" spans="1:27" ht="120">
      <c r="A12" s="736"/>
      <c r="B12" s="736"/>
      <c r="C12" s="736"/>
      <c r="D12" s="829">
        <v>7</v>
      </c>
      <c r="E12" s="829" t="s">
        <v>40</v>
      </c>
      <c r="F12" s="829"/>
      <c r="G12" s="829"/>
      <c r="H12" s="829"/>
      <c r="I12" s="829"/>
      <c r="J12" s="829"/>
      <c r="K12" s="829"/>
      <c r="L12" s="829"/>
      <c r="M12" s="829"/>
      <c r="N12" s="829"/>
      <c r="O12" s="829"/>
      <c r="P12" s="845">
        <v>0</v>
      </c>
      <c r="Q12" s="845">
        <v>1.6</v>
      </c>
      <c r="R12" s="829">
        <v>0.1</v>
      </c>
      <c r="S12" s="829"/>
      <c r="T12" s="847">
        <f t="shared" si="0"/>
        <v>1.7000000000000002</v>
      </c>
      <c r="U12" s="847">
        <f t="shared" si="1"/>
        <v>1.7000000000000002</v>
      </c>
      <c r="V12" s="729" t="s">
        <v>586</v>
      </c>
      <c r="W12" s="471"/>
      <c r="X12" s="3"/>
      <c r="Y12" s="3"/>
      <c r="Z12" s="3"/>
      <c r="AA12" s="3"/>
    </row>
    <row r="13" spans="1:27" ht="24.75" customHeight="1">
      <c r="A13" s="736"/>
      <c r="B13" s="736"/>
      <c r="C13" s="736"/>
      <c r="D13" s="829">
        <v>8</v>
      </c>
      <c r="E13" s="829" t="s">
        <v>42</v>
      </c>
      <c r="F13" s="829"/>
      <c r="G13" s="829"/>
      <c r="H13" s="829"/>
      <c r="I13" s="829"/>
      <c r="J13" s="829"/>
      <c r="K13" s="829"/>
      <c r="L13" s="829"/>
      <c r="M13" s="829"/>
      <c r="N13" s="847"/>
      <c r="O13" s="829"/>
      <c r="P13" s="829"/>
      <c r="Q13" s="829"/>
      <c r="R13" s="829"/>
      <c r="S13" s="829"/>
      <c r="T13" s="847">
        <f t="shared" si="0"/>
        <v>0</v>
      </c>
      <c r="U13" s="847">
        <f>T13*1.05</f>
        <v>0</v>
      </c>
      <c r="V13" s="729"/>
      <c r="W13" s="471"/>
      <c r="X13" s="3"/>
      <c r="Y13" s="3"/>
      <c r="Z13" s="3"/>
      <c r="AA13" s="3"/>
    </row>
    <row r="14" spans="1:27" ht="135">
      <c r="A14" s="736"/>
      <c r="B14" s="736"/>
      <c r="C14" s="736"/>
      <c r="D14" s="829">
        <v>9</v>
      </c>
      <c r="E14" s="829" t="s">
        <v>43</v>
      </c>
      <c r="F14" s="829"/>
      <c r="G14" s="829"/>
      <c r="H14" s="829"/>
      <c r="I14" s="829"/>
      <c r="J14" s="829"/>
      <c r="K14" s="829"/>
      <c r="L14" s="829"/>
      <c r="M14" s="829"/>
      <c r="N14" s="847"/>
      <c r="O14" s="829"/>
      <c r="P14" s="836">
        <v>0.15851999999999999</v>
      </c>
      <c r="Q14" s="837"/>
      <c r="R14" s="837">
        <v>0.24</v>
      </c>
      <c r="S14" s="837"/>
      <c r="T14" s="847">
        <f t="shared" si="0"/>
        <v>0.39851999999999999</v>
      </c>
      <c r="U14" s="847">
        <f>T14</f>
        <v>0.39851999999999999</v>
      </c>
      <c r="V14" s="729" t="s">
        <v>587</v>
      </c>
      <c r="W14" s="471"/>
      <c r="X14" s="3"/>
      <c r="Y14" s="3"/>
      <c r="Z14" s="3"/>
      <c r="AA14" s="3"/>
    </row>
    <row r="15" spans="1:27" ht="120">
      <c r="A15" s="736"/>
      <c r="B15" s="736"/>
      <c r="C15" s="736"/>
      <c r="D15" s="829">
        <v>10</v>
      </c>
      <c r="E15" s="829" t="s">
        <v>44</v>
      </c>
      <c r="F15" s="829"/>
      <c r="G15" s="829"/>
      <c r="H15" s="829"/>
      <c r="I15" s="847">
        <v>0.02</v>
      </c>
      <c r="J15" s="829"/>
      <c r="K15" s="829"/>
      <c r="L15" s="829"/>
      <c r="M15" s="829"/>
      <c r="N15" s="847">
        <v>0.82</v>
      </c>
      <c r="O15" s="829"/>
      <c r="P15" s="829"/>
      <c r="Q15" s="829"/>
      <c r="R15" s="829"/>
      <c r="S15" s="829"/>
      <c r="T15" s="847">
        <f t="shared" si="0"/>
        <v>0.84</v>
      </c>
      <c r="U15" s="847">
        <v>0.82</v>
      </c>
      <c r="V15" s="729" t="s">
        <v>1598</v>
      </c>
      <c r="W15" s="471"/>
      <c r="X15" s="3"/>
      <c r="Y15" s="3"/>
      <c r="Z15" s="3"/>
      <c r="AA15" s="3"/>
    </row>
    <row r="16" spans="1:27" ht="24.75" customHeight="1">
      <c r="A16" s="736"/>
      <c r="B16" s="736"/>
      <c r="C16" s="736"/>
      <c r="D16" s="829">
        <v>11</v>
      </c>
      <c r="E16" s="829" t="s">
        <v>45</v>
      </c>
      <c r="F16" s="829"/>
      <c r="G16" s="845"/>
      <c r="H16" s="845"/>
      <c r="I16" s="829"/>
      <c r="J16" s="829"/>
      <c r="K16" s="829"/>
      <c r="L16" s="829"/>
      <c r="M16" s="829"/>
      <c r="N16" s="829"/>
      <c r="O16" s="829"/>
      <c r="P16" s="829"/>
      <c r="Q16" s="829"/>
      <c r="R16" s="829"/>
      <c r="S16" s="829"/>
      <c r="T16" s="847">
        <f t="shared" si="0"/>
        <v>0</v>
      </c>
      <c r="U16" s="847">
        <f>T16*1.05</f>
        <v>0</v>
      </c>
      <c r="V16" s="729"/>
      <c r="W16" s="471"/>
      <c r="X16" s="3"/>
      <c r="Y16" s="3"/>
      <c r="Z16" s="3"/>
      <c r="AA16" s="3"/>
    </row>
    <row r="17" spans="1:27" ht="60">
      <c r="A17" s="736"/>
      <c r="B17" s="736"/>
      <c r="C17" s="736"/>
      <c r="D17" s="829">
        <v>12</v>
      </c>
      <c r="E17" s="829" t="s">
        <v>46</v>
      </c>
      <c r="F17" s="829"/>
      <c r="G17" s="829"/>
      <c r="H17" s="829"/>
      <c r="I17" s="829"/>
      <c r="J17" s="829"/>
      <c r="K17" s="829"/>
      <c r="L17" s="829"/>
      <c r="M17" s="829"/>
      <c r="N17" s="847">
        <v>1</v>
      </c>
      <c r="O17" s="829"/>
      <c r="P17" s="829"/>
      <c r="Q17" s="829"/>
      <c r="R17" s="829"/>
      <c r="S17" s="829"/>
      <c r="T17" s="847">
        <f t="shared" si="0"/>
        <v>1</v>
      </c>
      <c r="U17" s="847">
        <v>1</v>
      </c>
      <c r="V17" s="729" t="s">
        <v>588</v>
      </c>
      <c r="W17" s="471"/>
      <c r="X17" s="3"/>
      <c r="Y17" s="3"/>
      <c r="Z17" s="3"/>
      <c r="AA17" s="3"/>
    </row>
    <row r="18" spans="1:27" ht="24.75" customHeight="1">
      <c r="A18" s="736"/>
      <c r="B18" s="736"/>
      <c r="C18" s="736"/>
      <c r="D18" s="829">
        <v>13</v>
      </c>
      <c r="E18" s="829" t="s">
        <v>48</v>
      </c>
      <c r="F18" s="829"/>
      <c r="G18" s="829"/>
      <c r="H18" s="829"/>
      <c r="I18" s="829"/>
      <c r="J18" s="829"/>
      <c r="K18" s="829"/>
      <c r="L18" s="829"/>
      <c r="M18" s="829"/>
      <c r="N18" s="829"/>
      <c r="O18" s="829"/>
      <c r="P18" s="845"/>
      <c r="Q18" s="829"/>
      <c r="R18" s="829"/>
      <c r="S18" s="829"/>
      <c r="T18" s="847">
        <f t="shared" si="0"/>
        <v>0</v>
      </c>
      <c r="U18" s="847"/>
      <c r="V18" s="729"/>
      <c r="W18" s="471"/>
      <c r="X18" s="3"/>
      <c r="Y18" s="3"/>
      <c r="Z18" s="3"/>
      <c r="AA18" s="3"/>
    </row>
    <row r="19" spans="1:27" ht="24.75" customHeight="1">
      <c r="A19" s="736"/>
      <c r="B19" s="736"/>
      <c r="C19" s="736"/>
      <c r="D19" s="829">
        <v>14</v>
      </c>
      <c r="E19" s="829" t="s">
        <v>49</v>
      </c>
      <c r="F19" s="829"/>
      <c r="G19" s="829"/>
      <c r="H19" s="829"/>
      <c r="I19" s="829"/>
      <c r="J19" s="829"/>
      <c r="K19" s="829"/>
      <c r="L19" s="829"/>
      <c r="M19" s="829"/>
      <c r="N19" s="829"/>
      <c r="O19" s="829"/>
      <c r="P19" s="829"/>
      <c r="Q19" s="829"/>
      <c r="R19" s="829"/>
      <c r="S19" s="829"/>
      <c r="T19" s="847">
        <f t="shared" si="0"/>
        <v>0</v>
      </c>
      <c r="U19" s="847"/>
      <c r="V19" s="729"/>
      <c r="W19" s="471"/>
      <c r="X19" s="3"/>
      <c r="Y19" s="3"/>
      <c r="Z19" s="3"/>
      <c r="AA19" s="3"/>
    </row>
    <row r="20" spans="1:27" ht="409.5">
      <c r="A20" s="736"/>
      <c r="B20" s="736"/>
      <c r="C20" s="736"/>
      <c r="D20" s="829">
        <v>15</v>
      </c>
      <c r="E20" s="829" t="s">
        <v>50</v>
      </c>
      <c r="F20" s="829"/>
      <c r="G20" s="1034"/>
      <c r="H20" s="829"/>
      <c r="I20" s="1035">
        <v>1.0900000000000001</v>
      </c>
      <c r="J20" s="829"/>
      <c r="K20" s="829"/>
      <c r="L20" s="829"/>
      <c r="M20" s="829"/>
      <c r="N20" s="847">
        <v>0.75</v>
      </c>
      <c r="O20" s="829"/>
      <c r="P20" s="845">
        <v>3</v>
      </c>
      <c r="Q20" s="845"/>
      <c r="R20" s="829"/>
      <c r="S20" s="829"/>
      <c r="T20" s="847">
        <f t="shared" si="0"/>
        <v>4.84</v>
      </c>
      <c r="U20" s="847">
        <f>1.2+1+1+2</f>
        <v>5.2</v>
      </c>
      <c r="V20" s="729" t="s">
        <v>589</v>
      </c>
      <c r="W20" s="471"/>
      <c r="X20" s="3"/>
      <c r="Y20" s="3"/>
      <c r="Z20" s="3"/>
      <c r="AA20" s="3"/>
    </row>
    <row r="21" spans="1:27" ht="24.75" customHeight="1">
      <c r="A21" s="736"/>
      <c r="B21" s="736"/>
      <c r="C21" s="736"/>
      <c r="D21" s="829">
        <v>16</v>
      </c>
      <c r="E21" s="829" t="s">
        <v>51</v>
      </c>
      <c r="F21" s="829"/>
      <c r="G21" s="829"/>
      <c r="H21" s="829"/>
      <c r="I21" s="829"/>
      <c r="J21" s="829"/>
      <c r="K21" s="829"/>
      <c r="L21" s="829"/>
      <c r="M21" s="829"/>
      <c r="N21" s="829"/>
      <c r="O21" s="829"/>
      <c r="P21" s="829"/>
      <c r="Q21" s="829"/>
      <c r="R21" s="829"/>
      <c r="S21" s="829"/>
      <c r="T21" s="847">
        <f t="shared" si="0"/>
        <v>0</v>
      </c>
      <c r="U21" s="847"/>
      <c r="V21" s="729"/>
      <c r="W21" s="471"/>
      <c r="X21" s="3"/>
      <c r="Y21" s="3"/>
      <c r="Z21" s="3"/>
      <c r="AA21" s="3"/>
    </row>
    <row r="22" spans="1:27" ht="90">
      <c r="A22" s="736"/>
      <c r="B22" s="736"/>
      <c r="C22" s="736"/>
      <c r="D22" s="829">
        <v>17</v>
      </c>
      <c r="E22" s="829" t="s">
        <v>52</v>
      </c>
      <c r="F22" s="829"/>
      <c r="G22" s="829"/>
      <c r="H22" s="829"/>
      <c r="I22" s="1036"/>
      <c r="J22" s="829"/>
      <c r="K22" s="829"/>
      <c r="L22" s="829"/>
      <c r="M22" s="829"/>
      <c r="N22" s="847"/>
      <c r="O22" s="829"/>
      <c r="P22" s="845">
        <v>0.15</v>
      </c>
      <c r="Q22" s="847">
        <v>2.0499999999999998</v>
      </c>
      <c r="R22" s="829"/>
      <c r="S22" s="845"/>
      <c r="T22" s="847">
        <f t="shared" si="0"/>
        <v>2.1999999999999997</v>
      </c>
      <c r="U22" s="728">
        <f>T22+0.5</f>
        <v>2.6999999999999997</v>
      </c>
      <c r="V22" s="742" t="s">
        <v>590</v>
      </c>
      <c r="W22" s="471"/>
      <c r="X22" s="3"/>
      <c r="Y22" s="3"/>
      <c r="Z22" s="3"/>
      <c r="AA22" s="3"/>
    </row>
    <row r="23" spans="1:27" ht="91.5" customHeight="1">
      <c r="A23" s="736"/>
      <c r="B23" s="736"/>
      <c r="C23" s="736"/>
      <c r="D23" s="829">
        <v>18</v>
      </c>
      <c r="E23" s="829" t="s">
        <v>53</v>
      </c>
      <c r="F23" s="829"/>
      <c r="G23" s="829"/>
      <c r="H23" s="829"/>
      <c r="I23" s="829"/>
      <c r="J23" s="829"/>
      <c r="K23" s="829"/>
      <c r="L23" s="829"/>
      <c r="M23" s="829"/>
      <c r="N23" s="829"/>
      <c r="O23" s="829"/>
      <c r="P23" s="845">
        <v>0.59</v>
      </c>
      <c r="Q23" s="845"/>
      <c r="R23" s="829"/>
      <c r="S23" s="845"/>
      <c r="T23" s="847">
        <f t="shared" si="0"/>
        <v>0.59</v>
      </c>
      <c r="U23" s="847">
        <f>T23</f>
        <v>0.59</v>
      </c>
      <c r="V23" s="729" t="s">
        <v>1786</v>
      </c>
      <c r="W23" s="471"/>
      <c r="X23" s="3"/>
      <c r="Y23" s="3"/>
      <c r="Z23" s="3"/>
      <c r="AA23" s="3"/>
    </row>
    <row r="24" spans="1:27" ht="24.75" customHeight="1">
      <c r="A24" s="736"/>
      <c r="B24" s="828" t="s">
        <v>54</v>
      </c>
      <c r="C24" s="828" t="s">
        <v>55</v>
      </c>
      <c r="D24" s="829">
        <v>19</v>
      </c>
      <c r="E24" s="829" t="s">
        <v>55</v>
      </c>
      <c r="F24" s="829"/>
      <c r="G24" s="829"/>
      <c r="H24" s="829"/>
      <c r="I24" s="829"/>
      <c r="J24" s="829"/>
      <c r="K24" s="829"/>
      <c r="L24" s="829"/>
      <c r="M24" s="829"/>
      <c r="N24" s="829"/>
      <c r="O24" s="829"/>
      <c r="P24" s="829"/>
      <c r="Q24" s="829"/>
      <c r="R24" s="829"/>
      <c r="S24" s="829"/>
      <c r="T24" s="847">
        <f t="shared" si="0"/>
        <v>0</v>
      </c>
      <c r="U24" s="847"/>
      <c r="V24" s="729"/>
      <c r="W24" s="471"/>
      <c r="X24" s="3"/>
      <c r="Y24" s="3"/>
      <c r="Z24" s="3"/>
      <c r="AA24" s="3"/>
    </row>
    <row r="25" spans="1:27" ht="210">
      <c r="A25" s="736"/>
      <c r="B25" s="736"/>
      <c r="C25" s="736"/>
      <c r="D25" s="829">
        <v>20</v>
      </c>
      <c r="E25" s="829" t="s">
        <v>56</v>
      </c>
      <c r="F25" s="829"/>
      <c r="G25" s="829"/>
      <c r="H25" s="829"/>
      <c r="I25" s="829"/>
      <c r="J25" s="829"/>
      <c r="K25" s="829"/>
      <c r="L25" s="829"/>
      <c r="M25" s="829"/>
      <c r="N25" s="829"/>
      <c r="O25" s="829"/>
      <c r="P25" s="829"/>
      <c r="Q25" s="847">
        <v>0.5</v>
      </c>
      <c r="R25" s="829"/>
      <c r="S25" s="829"/>
      <c r="T25" s="847">
        <f t="shared" si="0"/>
        <v>0.5</v>
      </c>
      <c r="U25" s="847">
        <f>0.5</f>
        <v>0.5</v>
      </c>
      <c r="V25" s="729" t="s">
        <v>591</v>
      </c>
      <c r="W25" s="471"/>
      <c r="X25" s="3"/>
      <c r="Y25" s="3"/>
      <c r="Z25" s="3"/>
      <c r="AA25" s="3"/>
    </row>
    <row r="26" spans="1:27" ht="285">
      <c r="A26" s="736"/>
      <c r="B26" s="828" t="s">
        <v>58</v>
      </c>
      <c r="C26" s="828" t="s">
        <v>59</v>
      </c>
      <c r="D26" s="829">
        <v>21</v>
      </c>
      <c r="E26" s="829" t="s">
        <v>60</v>
      </c>
      <c r="F26" s="913"/>
      <c r="G26" s="913"/>
      <c r="H26" s="914"/>
      <c r="I26" s="915">
        <v>1.52</v>
      </c>
      <c r="J26" s="913"/>
      <c r="K26" s="915"/>
      <c r="L26" s="913"/>
      <c r="M26" s="913"/>
      <c r="N26" s="915">
        <f>1+0.42+0.4</f>
        <v>1.8199999999999998</v>
      </c>
      <c r="O26" s="913"/>
      <c r="P26" s="914">
        <f>14.88+2.88</f>
        <v>17.760000000000002</v>
      </c>
      <c r="Q26" s="914">
        <v>0.19</v>
      </c>
      <c r="R26" s="915">
        <v>0.5</v>
      </c>
      <c r="S26" s="913"/>
      <c r="T26" s="847">
        <f t="shared" si="0"/>
        <v>21.790000000000003</v>
      </c>
      <c r="U26" s="728">
        <f>I26+N26+P26+Q26+R26</f>
        <v>21.790000000000003</v>
      </c>
      <c r="V26" s="744" t="s">
        <v>592</v>
      </c>
      <c r="W26" s="471"/>
      <c r="X26" s="3"/>
      <c r="Y26" s="3"/>
      <c r="Z26" s="3"/>
      <c r="AA26" s="3"/>
    </row>
    <row r="27" spans="1:27" ht="210">
      <c r="A27" s="736"/>
      <c r="B27" s="736"/>
      <c r="C27" s="736"/>
      <c r="D27" s="829">
        <v>22</v>
      </c>
      <c r="E27" s="829" t="s">
        <v>62</v>
      </c>
      <c r="F27" s="914"/>
      <c r="G27" s="913"/>
      <c r="H27" s="914"/>
      <c r="I27" s="841">
        <f>147149/100000</f>
        <v>1.47149</v>
      </c>
      <c r="J27" s="913"/>
      <c r="K27" s="913"/>
      <c r="L27" s="913"/>
      <c r="M27" s="914">
        <v>1</v>
      </c>
      <c r="N27" s="913"/>
      <c r="O27" s="913"/>
      <c r="P27" s="914">
        <f>140.423+1.2</f>
        <v>141.62299999999999</v>
      </c>
      <c r="Q27" s="914">
        <v>1</v>
      </c>
      <c r="R27" s="915"/>
      <c r="S27" s="913"/>
      <c r="T27" s="847">
        <f t="shared" si="0"/>
        <v>145.09448999999998</v>
      </c>
      <c r="U27" s="728">
        <f>M27+P27+Q27</f>
        <v>143.62299999999999</v>
      </c>
      <c r="V27" s="738" t="s">
        <v>1658</v>
      </c>
      <c r="W27" s="471"/>
      <c r="X27" s="3"/>
      <c r="Y27" s="3"/>
      <c r="Z27" s="3"/>
      <c r="AA27" s="3"/>
    </row>
    <row r="28" spans="1:27" ht="105">
      <c r="A28" s="736"/>
      <c r="B28" s="736"/>
      <c r="C28" s="736"/>
      <c r="D28" s="829">
        <v>23</v>
      </c>
      <c r="E28" s="829" t="s">
        <v>64</v>
      </c>
      <c r="F28" s="913"/>
      <c r="G28" s="913"/>
      <c r="H28" s="913"/>
      <c r="I28" s="913"/>
      <c r="J28" s="913"/>
      <c r="K28" s="915"/>
      <c r="L28" s="913"/>
      <c r="M28" s="913"/>
      <c r="N28" s="913">
        <v>0.11</v>
      </c>
      <c r="O28" s="914">
        <v>45.81</v>
      </c>
      <c r="P28" s="913"/>
      <c r="Q28" s="914"/>
      <c r="R28" s="913"/>
      <c r="S28" s="913"/>
      <c r="T28" s="847">
        <f t="shared" si="0"/>
        <v>45.92</v>
      </c>
      <c r="U28" s="728">
        <f>T28</f>
        <v>45.92</v>
      </c>
      <c r="V28" s="740" t="s">
        <v>1657</v>
      </c>
      <c r="W28" s="471"/>
      <c r="X28" s="3"/>
      <c r="Y28" s="3"/>
      <c r="Z28" s="3"/>
      <c r="AA28" s="3"/>
    </row>
    <row r="29" spans="1:27" ht="375">
      <c r="A29" s="736"/>
      <c r="B29" s="736"/>
      <c r="C29" s="736"/>
      <c r="D29" s="829">
        <v>24</v>
      </c>
      <c r="E29" s="829" t="s">
        <v>66</v>
      </c>
      <c r="F29" s="913"/>
      <c r="G29" s="913"/>
      <c r="H29" s="914">
        <v>100.2</v>
      </c>
      <c r="I29" s="1037"/>
      <c r="J29" s="913"/>
      <c r="K29" s="913"/>
      <c r="L29" s="913"/>
      <c r="M29" s="913"/>
      <c r="N29" s="919">
        <f>1+0.688+0.688+0.5+4</f>
        <v>6.8759999999999994</v>
      </c>
      <c r="O29" s="914"/>
      <c r="P29" s="913">
        <v>12.1</v>
      </c>
      <c r="Q29" s="915">
        <v>2</v>
      </c>
      <c r="R29" s="913"/>
      <c r="S29" s="913"/>
      <c r="T29" s="847">
        <f t="shared" si="0"/>
        <v>121.176</v>
      </c>
      <c r="U29" s="920">
        <v>25.576000000000001</v>
      </c>
      <c r="V29" s="744" t="s">
        <v>593</v>
      </c>
      <c r="W29" s="471"/>
      <c r="X29" s="3"/>
      <c r="Y29" s="3"/>
      <c r="Z29" s="3"/>
      <c r="AA29" s="3"/>
    </row>
    <row r="30" spans="1:27" ht="345">
      <c r="A30" s="736"/>
      <c r="B30" s="736"/>
      <c r="C30" s="736"/>
      <c r="D30" s="829">
        <v>25</v>
      </c>
      <c r="E30" s="829" t="s">
        <v>68</v>
      </c>
      <c r="F30" s="913"/>
      <c r="G30" s="913"/>
      <c r="H30" s="913"/>
      <c r="I30" s="913"/>
      <c r="J30" s="913"/>
      <c r="K30" s="913"/>
      <c r="L30" s="913"/>
      <c r="M30" s="913"/>
      <c r="N30" s="915">
        <v>0.5</v>
      </c>
      <c r="O30" s="921">
        <v>6.4500000000000002E-2</v>
      </c>
      <c r="P30" s="913">
        <v>0.89600000000000002</v>
      </c>
      <c r="Q30" s="995"/>
      <c r="R30" s="913"/>
      <c r="S30" s="913"/>
      <c r="T30" s="847">
        <f t="shared" si="0"/>
        <v>1.4605000000000001</v>
      </c>
      <c r="U30" s="847">
        <f>T30</f>
        <v>1.4605000000000001</v>
      </c>
      <c r="V30" s="744" t="s">
        <v>1656</v>
      </c>
      <c r="W30" s="471"/>
      <c r="X30" s="3"/>
      <c r="Y30" s="3"/>
      <c r="Z30" s="3"/>
      <c r="AA30" s="3"/>
    </row>
    <row r="31" spans="1:27" ht="285">
      <c r="A31" s="736"/>
      <c r="B31" s="736"/>
      <c r="C31" s="736"/>
      <c r="D31" s="829">
        <v>26</v>
      </c>
      <c r="E31" s="829" t="s">
        <v>70</v>
      </c>
      <c r="F31" s="913"/>
      <c r="G31" s="913"/>
      <c r="H31" s="913"/>
      <c r="I31" s="915"/>
      <c r="J31" s="913"/>
      <c r="K31" s="913"/>
      <c r="L31" s="913"/>
      <c r="M31" s="913"/>
      <c r="N31" s="915">
        <v>3.15</v>
      </c>
      <c r="O31" s="913"/>
      <c r="P31" s="913"/>
      <c r="Q31" s="919">
        <v>3.2</v>
      </c>
      <c r="R31" s="922">
        <v>0.2</v>
      </c>
      <c r="S31" s="913"/>
      <c r="T31" s="847">
        <f t="shared" si="0"/>
        <v>6.55</v>
      </c>
      <c r="U31" s="728">
        <f>T31-0.2</f>
        <v>6.35</v>
      </c>
      <c r="V31" s="744" t="s">
        <v>1655</v>
      </c>
      <c r="W31" s="471"/>
      <c r="X31" s="3"/>
      <c r="Y31" s="3"/>
      <c r="Z31" s="3"/>
      <c r="AA31" s="3"/>
    </row>
    <row r="32" spans="1:27" ht="87" customHeight="1">
      <c r="A32" s="736"/>
      <c r="B32" s="736"/>
      <c r="C32" s="736"/>
      <c r="D32" s="829">
        <v>27</v>
      </c>
      <c r="E32" s="829" t="s">
        <v>72</v>
      </c>
      <c r="F32" s="913"/>
      <c r="G32" s="913"/>
      <c r="H32" s="914"/>
      <c r="I32" s="1038"/>
      <c r="J32" s="913"/>
      <c r="K32" s="913"/>
      <c r="L32" s="913"/>
      <c r="M32" s="913"/>
      <c r="N32" s="915">
        <v>1</v>
      </c>
      <c r="O32" s="914"/>
      <c r="P32" s="914">
        <v>4.5</v>
      </c>
      <c r="Q32" s="913"/>
      <c r="R32" s="913"/>
      <c r="S32" s="913"/>
      <c r="T32" s="847">
        <f t="shared" si="0"/>
        <v>5.5</v>
      </c>
      <c r="U32" s="847">
        <f>T32</f>
        <v>5.5</v>
      </c>
      <c r="V32" s="740" t="s">
        <v>73</v>
      </c>
      <c r="W32" s="471"/>
      <c r="X32" s="3"/>
      <c r="Y32" s="3"/>
      <c r="Z32" s="3"/>
      <c r="AA32" s="3"/>
    </row>
    <row r="33" spans="1:27" ht="60">
      <c r="A33" s="736"/>
      <c r="B33" s="736"/>
      <c r="C33" s="736"/>
      <c r="D33" s="829">
        <v>28</v>
      </c>
      <c r="E33" s="829" t="s">
        <v>34</v>
      </c>
      <c r="F33" s="913"/>
      <c r="G33" s="913"/>
      <c r="H33" s="913"/>
      <c r="I33" s="913"/>
      <c r="J33" s="913"/>
      <c r="K33" s="915">
        <v>2.4319999999999999</v>
      </c>
      <c r="L33" s="913"/>
      <c r="M33" s="915">
        <v>2.4319999999999999</v>
      </c>
      <c r="N33" s="913"/>
      <c r="O33" s="913"/>
      <c r="P33" s="913"/>
      <c r="Q33" s="913"/>
      <c r="R33" s="913"/>
      <c r="S33" s="913"/>
      <c r="T33" s="847">
        <f t="shared" si="0"/>
        <v>4.8639999999999999</v>
      </c>
      <c r="U33" s="847">
        <f>4.86</f>
        <v>4.8600000000000003</v>
      </c>
      <c r="V33" s="729" t="s">
        <v>1787</v>
      </c>
      <c r="W33" s="471"/>
      <c r="X33" s="3"/>
      <c r="Y33" s="3"/>
      <c r="Z33" s="3"/>
      <c r="AA33" s="3"/>
    </row>
    <row r="34" spans="1:27" ht="31.5" customHeight="1">
      <c r="A34" s="736"/>
      <c r="B34" s="736"/>
      <c r="C34" s="736"/>
      <c r="D34" s="829">
        <v>29</v>
      </c>
      <c r="E34" s="829" t="s">
        <v>36</v>
      </c>
      <c r="F34" s="913"/>
      <c r="G34" s="913"/>
      <c r="H34" s="913"/>
      <c r="I34" s="913"/>
      <c r="J34" s="913"/>
      <c r="K34" s="913"/>
      <c r="L34" s="913"/>
      <c r="M34" s="913"/>
      <c r="N34" s="913"/>
      <c r="O34" s="913"/>
      <c r="P34" s="915">
        <v>6.08</v>
      </c>
      <c r="Q34" s="913"/>
      <c r="R34" s="913"/>
      <c r="S34" s="913"/>
      <c r="T34" s="847">
        <f t="shared" si="0"/>
        <v>6.08</v>
      </c>
      <c r="U34" s="847">
        <f t="shared" ref="U34:U35" si="2">T34</f>
        <v>6.08</v>
      </c>
      <c r="V34" s="729" t="s">
        <v>1788</v>
      </c>
      <c r="W34" s="471"/>
      <c r="X34" s="3"/>
      <c r="Y34" s="3"/>
      <c r="Z34" s="3"/>
      <c r="AA34" s="3"/>
    </row>
    <row r="35" spans="1:27" ht="105">
      <c r="A35" s="736"/>
      <c r="B35" s="736"/>
      <c r="C35" s="736"/>
      <c r="D35" s="829">
        <v>30</v>
      </c>
      <c r="E35" s="829" t="s">
        <v>74</v>
      </c>
      <c r="F35" s="913"/>
      <c r="G35" s="913"/>
      <c r="H35" s="913"/>
      <c r="I35" s="915"/>
      <c r="J35" s="913"/>
      <c r="K35" s="913"/>
      <c r="L35" s="913"/>
      <c r="M35" s="913"/>
      <c r="N35" s="913"/>
      <c r="O35" s="913"/>
      <c r="P35" s="913"/>
      <c r="Q35" s="915">
        <v>2.66</v>
      </c>
      <c r="R35" s="922">
        <v>1.75</v>
      </c>
      <c r="S35" s="913"/>
      <c r="T35" s="847">
        <f t="shared" si="0"/>
        <v>4.41</v>
      </c>
      <c r="U35" s="847">
        <f t="shared" si="2"/>
        <v>4.41</v>
      </c>
      <c r="V35" s="746" t="s">
        <v>594</v>
      </c>
      <c r="W35" s="471"/>
      <c r="X35" s="3"/>
      <c r="Y35" s="3"/>
      <c r="Z35" s="3"/>
      <c r="AA35" s="3"/>
    </row>
    <row r="36" spans="1:27" ht="24.75" customHeight="1">
      <c r="A36" s="736"/>
      <c r="B36" s="736"/>
      <c r="C36" s="736"/>
      <c r="D36" s="829">
        <v>31</v>
      </c>
      <c r="E36" s="829" t="s">
        <v>53</v>
      </c>
      <c r="F36" s="913"/>
      <c r="G36" s="913"/>
      <c r="H36" s="913"/>
      <c r="I36" s="913"/>
      <c r="J36" s="913"/>
      <c r="K36" s="913"/>
      <c r="L36" s="913"/>
      <c r="M36" s="913"/>
      <c r="N36" s="913"/>
      <c r="O36" s="913"/>
      <c r="P36" s="913"/>
      <c r="Q36" s="913"/>
      <c r="R36" s="913"/>
      <c r="S36" s="913"/>
      <c r="T36" s="847">
        <f t="shared" si="0"/>
        <v>0</v>
      </c>
      <c r="U36" s="847"/>
      <c r="V36" s="729"/>
      <c r="W36" s="471"/>
      <c r="X36" s="3"/>
      <c r="Y36" s="3"/>
      <c r="Z36" s="3"/>
      <c r="AA36" s="3"/>
    </row>
    <row r="37" spans="1:27" ht="120">
      <c r="A37" s="736"/>
      <c r="B37" s="828" t="s">
        <v>76</v>
      </c>
      <c r="C37" s="828" t="s">
        <v>77</v>
      </c>
      <c r="D37" s="829">
        <v>32</v>
      </c>
      <c r="E37" s="829" t="s">
        <v>78</v>
      </c>
      <c r="F37" s="829"/>
      <c r="G37" s="829"/>
      <c r="H37" s="829"/>
      <c r="I37" s="847"/>
      <c r="J37" s="829"/>
      <c r="K37" s="829"/>
      <c r="L37" s="829"/>
      <c r="M37" s="847"/>
      <c r="N37" s="847">
        <v>4.8179999999999996</v>
      </c>
      <c r="O37" s="845">
        <v>41.641449999999999</v>
      </c>
      <c r="P37" s="845">
        <v>14.21716</v>
      </c>
      <c r="Q37" s="847">
        <v>2.4</v>
      </c>
      <c r="R37" s="845">
        <v>4.6769999999999996</v>
      </c>
      <c r="S37" s="829">
        <v>3.83</v>
      </c>
      <c r="T37" s="847">
        <f t="shared" si="0"/>
        <v>71.583609999999993</v>
      </c>
      <c r="U37" s="847">
        <f>T37-0.1445</f>
        <v>71.439109999999999</v>
      </c>
      <c r="V37" s="746" t="s">
        <v>595</v>
      </c>
      <c r="W37" s="471"/>
      <c r="X37" s="3"/>
      <c r="Y37" s="3"/>
      <c r="Z37" s="3"/>
      <c r="AA37" s="3"/>
    </row>
    <row r="38" spans="1:27" ht="24.75" customHeight="1">
      <c r="A38" s="736"/>
      <c r="B38" s="736"/>
      <c r="C38" s="736"/>
      <c r="D38" s="829">
        <v>33</v>
      </c>
      <c r="E38" s="829" t="s">
        <v>80</v>
      </c>
      <c r="F38" s="829"/>
      <c r="G38" s="829"/>
      <c r="H38" s="829"/>
      <c r="I38" s="829"/>
      <c r="J38" s="829"/>
      <c r="K38" s="829"/>
      <c r="L38" s="829"/>
      <c r="M38" s="829"/>
      <c r="N38" s="829"/>
      <c r="O38" s="829"/>
      <c r="P38" s="829"/>
      <c r="Q38" s="829"/>
      <c r="R38" s="829"/>
      <c r="S38" s="829"/>
      <c r="T38" s="847">
        <f t="shared" si="0"/>
        <v>0</v>
      </c>
      <c r="U38" s="847">
        <v>0</v>
      </c>
      <c r="V38" s="729"/>
      <c r="W38" s="471"/>
      <c r="X38" s="3"/>
      <c r="Y38" s="3"/>
      <c r="Z38" s="3"/>
      <c r="AA38" s="3"/>
    </row>
    <row r="39" spans="1:27" ht="24.75" customHeight="1">
      <c r="A39" s="736"/>
      <c r="B39" s="736"/>
      <c r="C39" s="736"/>
      <c r="D39" s="829">
        <v>34</v>
      </c>
      <c r="E39" s="829" t="s">
        <v>81</v>
      </c>
      <c r="F39" s="829"/>
      <c r="G39" s="829"/>
      <c r="H39" s="829"/>
      <c r="I39" s="829"/>
      <c r="J39" s="829"/>
      <c r="K39" s="829"/>
      <c r="L39" s="829"/>
      <c r="M39" s="829"/>
      <c r="N39" s="847"/>
      <c r="O39" s="829"/>
      <c r="P39" s="845"/>
      <c r="Q39" s="829"/>
      <c r="R39" s="829"/>
      <c r="S39" s="829"/>
      <c r="T39" s="847">
        <f t="shared" si="0"/>
        <v>0</v>
      </c>
      <c r="U39" s="847"/>
      <c r="V39" s="729"/>
      <c r="W39" s="471"/>
      <c r="X39" s="3"/>
      <c r="Y39" s="3"/>
      <c r="Z39" s="3"/>
      <c r="AA39" s="3"/>
    </row>
    <row r="40" spans="1:27" ht="390">
      <c r="A40" s="736"/>
      <c r="B40" s="828" t="s">
        <v>82</v>
      </c>
      <c r="C40" s="828" t="s">
        <v>83</v>
      </c>
      <c r="D40" s="829">
        <v>35</v>
      </c>
      <c r="E40" s="829" t="s">
        <v>84</v>
      </c>
      <c r="F40" s="955"/>
      <c r="G40" s="955"/>
      <c r="H40" s="955"/>
      <c r="I40" s="956"/>
      <c r="J40" s="955"/>
      <c r="K40" s="955"/>
      <c r="L40" s="955"/>
      <c r="M40" s="955"/>
      <c r="N40" s="956">
        <v>1.2</v>
      </c>
      <c r="O40" s="955"/>
      <c r="P40" s="957">
        <f>0.48+1.54+0.12+0.1</f>
        <v>2.2400000000000002</v>
      </c>
      <c r="Q40" s="957">
        <v>0.25</v>
      </c>
      <c r="R40" s="955"/>
      <c r="S40" s="955"/>
      <c r="T40" s="847">
        <f t="shared" si="0"/>
        <v>3.6900000000000004</v>
      </c>
      <c r="U40" s="847">
        <v>3.69</v>
      </c>
      <c r="V40" s="746" t="s">
        <v>1789</v>
      </c>
      <c r="W40" s="471"/>
      <c r="X40" s="3"/>
      <c r="Y40" s="3"/>
      <c r="Z40" s="3"/>
      <c r="AA40" s="3"/>
    </row>
    <row r="41" spans="1:27" ht="45">
      <c r="A41" s="736"/>
      <c r="B41" s="736"/>
      <c r="C41" s="736"/>
      <c r="D41" s="829">
        <v>36</v>
      </c>
      <c r="E41" s="829" t="s">
        <v>85</v>
      </c>
      <c r="F41" s="955"/>
      <c r="G41" s="955"/>
      <c r="H41" s="955"/>
      <c r="I41" s="955"/>
      <c r="J41" s="955"/>
      <c r="K41" s="956"/>
      <c r="L41" s="955"/>
      <c r="M41" s="955"/>
      <c r="N41" s="968">
        <v>0.8</v>
      </c>
      <c r="O41" s="955"/>
      <c r="P41" s="955"/>
      <c r="Q41" s="955"/>
      <c r="R41" s="955"/>
      <c r="S41" s="955"/>
      <c r="T41" s="847">
        <f t="shared" si="0"/>
        <v>0.8</v>
      </c>
      <c r="U41" s="847">
        <v>0.8</v>
      </c>
      <c r="V41" s="746" t="s">
        <v>596</v>
      </c>
      <c r="W41" s="471"/>
      <c r="X41" s="3"/>
      <c r="Y41" s="3"/>
      <c r="Z41" s="3"/>
      <c r="AA41" s="3"/>
    </row>
    <row r="42" spans="1:27" ht="24.75" customHeight="1">
      <c r="A42" s="736"/>
      <c r="B42" s="736"/>
      <c r="C42" s="736"/>
      <c r="D42" s="829">
        <v>37</v>
      </c>
      <c r="E42" s="829" t="s">
        <v>86</v>
      </c>
      <c r="F42" s="955"/>
      <c r="G42" s="955"/>
      <c r="H42" s="955"/>
      <c r="I42" s="955"/>
      <c r="J42" s="955"/>
      <c r="K42" s="956"/>
      <c r="L42" s="955"/>
      <c r="M42" s="955"/>
      <c r="N42" s="955"/>
      <c r="O42" s="955"/>
      <c r="P42" s="955"/>
      <c r="Q42" s="955"/>
      <c r="R42" s="955"/>
      <c r="S42" s="955"/>
      <c r="T42" s="847">
        <f t="shared" si="0"/>
        <v>0</v>
      </c>
      <c r="U42" s="847">
        <f>T42*1.05</f>
        <v>0</v>
      </c>
      <c r="V42" s="746"/>
      <c r="W42" s="471"/>
      <c r="X42" s="3"/>
      <c r="Y42" s="3"/>
      <c r="Z42" s="3"/>
      <c r="AA42" s="3"/>
    </row>
    <row r="43" spans="1:27" ht="360">
      <c r="A43" s="736"/>
      <c r="B43" s="736"/>
      <c r="C43" s="736"/>
      <c r="D43" s="829">
        <v>38</v>
      </c>
      <c r="E43" s="829" t="s">
        <v>87</v>
      </c>
      <c r="F43" s="955"/>
      <c r="G43" s="955"/>
      <c r="H43" s="955"/>
      <c r="I43" s="955"/>
      <c r="J43" s="955"/>
      <c r="K43" s="955"/>
      <c r="L43" s="955"/>
      <c r="M43" s="955"/>
      <c r="N43" s="942">
        <v>3.5</v>
      </c>
      <c r="O43" s="957">
        <v>0.13</v>
      </c>
      <c r="P43" s="957">
        <v>6.4</v>
      </c>
      <c r="Q43" s="957">
        <v>0.7</v>
      </c>
      <c r="R43" s="955"/>
      <c r="S43" s="955"/>
      <c r="T43" s="847">
        <f t="shared" si="0"/>
        <v>10.73</v>
      </c>
      <c r="U43" s="847">
        <v>10.73</v>
      </c>
      <c r="V43" s="746" t="s">
        <v>1790</v>
      </c>
      <c r="W43" s="471"/>
      <c r="X43" s="3"/>
      <c r="Y43" s="3"/>
      <c r="Z43" s="3"/>
      <c r="AA43" s="3"/>
    </row>
    <row r="44" spans="1:27" ht="90">
      <c r="A44" s="736"/>
      <c r="B44" s="736"/>
      <c r="C44" s="736"/>
      <c r="D44" s="829">
        <v>39</v>
      </c>
      <c r="E44" s="829" t="s">
        <v>88</v>
      </c>
      <c r="F44" s="955"/>
      <c r="G44" s="955"/>
      <c r="H44" s="955"/>
      <c r="I44" s="955"/>
      <c r="J44" s="955"/>
      <c r="K44" s="955"/>
      <c r="L44" s="955"/>
      <c r="M44" s="955"/>
      <c r="N44" s="955">
        <v>1</v>
      </c>
      <c r="O44" s="955"/>
      <c r="P44" s="957">
        <v>0.4</v>
      </c>
      <c r="Q44" s="957"/>
      <c r="R44" s="955"/>
      <c r="S44" s="955"/>
      <c r="T44" s="847">
        <f t="shared" si="0"/>
        <v>1.4</v>
      </c>
      <c r="U44" s="847">
        <v>1.4</v>
      </c>
      <c r="V44" s="746" t="s">
        <v>401</v>
      </c>
      <c r="W44" s="471"/>
      <c r="X44" s="3"/>
      <c r="Y44" s="3"/>
      <c r="Z44" s="3"/>
      <c r="AA44" s="3"/>
    </row>
    <row r="45" spans="1:27" ht="225">
      <c r="A45" s="736"/>
      <c r="B45" s="736"/>
      <c r="C45" s="736"/>
      <c r="D45" s="829">
        <v>40</v>
      </c>
      <c r="E45" s="829" t="s">
        <v>89</v>
      </c>
      <c r="F45" s="955"/>
      <c r="G45" s="955"/>
      <c r="H45" s="955"/>
      <c r="I45" s="955"/>
      <c r="J45" s="955"/>
      <c r="K45" s="955"/>
      <c r="L45" s="955"/>
      <c r="M45" s="955"/>
      <c r="N45" s="925">
        <v>0.10920000000000001</v>
      </c>
      <c r="O45" s="955"/>
      <c r="P45" s="957"/>
      <c r="Q45" s="956">
        <f>0.4+1.75</f>
        <v>2.15</v>
      </c>
      <c r="R45" s="957"/>
      <c r="S45" s="955"/>
      <c r="T45" s="847">
        <f t="shared" si="0"/>
        <v>2.2591999999999999</v>
      </c>
      <c r="U45" s="847">
        <v>2.2599999999999998</v>
      </c>
      <c r="V45" s="746" t="s">
        <v>1791</v>
      </c>
      <c r="W45" s="471"/>
      <c r="X45" s="3"/>
      <c r="Y45" s="3"/>
      <c r="Z45" s="3"/>
      <c r="AA45" s="3"/>
    </row>
    <row r="46" spans="1:27" ht="24.75" customHeight="1">
      <c r="A46" s="736"/>
      <c r="B46" s="736"/>
      <c r="C46" s="736"/>
      <c r="D46" s="829">
        <v>41</v>
      </c>
      <c r="E46" s="829" t="s">
        <v>53</v>
      </c>
      <c r="F46" s="955"/>
      <c r="G46" s="955"/>
      <c r="H46" s="955"/>
      <c r="I46" s="955"/>
      <c r="J46" s="955"/>
      <c r="K46" s="955"/>
      <c r="L46" s="955"/>
      <c r="M46" s="955"/>
      <c r="N46" s="955"/>
      <c r="O46" s="955"/>
      <c r="P46" s="955"/>
      <c r="Q46" s="955"/>
      <c r="R46" s="955"/>
      <c r="S46" s="955"/>
      <c r="T46" s="847">
        <f t="shared" si="0"/>
        <v>0</v>
      </c>
      <c r="U46" s="847">
        <f>T46*1.05</f>
        <v>0</v>
      </c>
      <c r="V46" s="746"/>
      <c r="W46" s="471"/>
      <c r="X46" s="3"/>
      <c r="Y46" s="3"/>
      <c r="Z46" s="3"/>
      <c r="AA46" s="3"/>
    </row>
    <row r="47" spans="1:27" ht="120">
      <c r="A47" s="736"/>
      <c r="B47" s="828" t="s">
        <v>90</v>
      </c>
      <c r="C47" s="828" t="s">
        <v>91</v>
      </c>
      <c r="D47" s="829">
        <v>42</v>
      </c>
      <c r="E47" s="829" t="s">
        <v>92</v>
      </c>
      <c r="F47" s="845">
        <v>8.7759999999999998</v>
      </c>
      <c r="G47" s="829"/>
      <c r="H47" s="829"/>
      <c r="I47" s="847"/>
      <c r="J47" s="829"/>
      <c r="K47" s="829"/>
      <c r="L47" s="829"/>
      <c r="M47" s="829"/>
      <c r="N47" s="835">
        <v>1.1000000000000001</v>
      </c>
      <c r="O47" s="829"/>
      <c r="P47" s="845"/>
      <c r="Q47" s="829"/>
      <c r="R47" s="829"/>
      <c r="S47" s="829"/>
      <c r="T47" s="847">
        <f t="shared" si="0"/>
        <v>9.8759999999999994</v>
      </c>
      <c r="U47" s="847">
        <f t="shared" ref="U47:U50" si="3">T47</f>
        <v>9.8759999999999994</v>
      </c>
      <c r="V47" s="729" t="s">
        <v>1792</v>
      </c>
      <c r="W47" s="471"/>
      <c r="X47" s="3"/>
      <c r="Y47" s="3"/>
      <c r="Z47" s="3"/>
      <c r="AA47" s="3"/>
    </row>
    <row r="48" spans="1:27" ht="75">
      <c r="A48" s="736"/>
      <c r="B48" s="736"/>
      <c r="C48" s="736"/>
      <c r="D48" s="829">
        <v>43</v>
      </c>
      <c r="E48" s="829" t="s">
        <v>93</v>
      </c>
      <c r="F48" s="845">
        <v>0.79200000000000004</v>
      </c>
      <c r="G48" s="829"/>
      <c r="H48" s="829"/>
      <c r="I48" s="847"/>
      <c r="J48" s="829"/>
      <c r="K48" s="829"/>
      <c r="L48" s="829"/>
      <c r="M48" s="829"/>
      <c r="N48" s="835">
        <v>0.34499999999999997</v>
      </c>
      <c r="O48" s="829"/>
      <c r="P48" s="845"/>
      <c r="Q48" s="829"/>
      <c r="R48" s="829"/>
      <c r="S48" s="829"/>
      <c r="T48" s="847">
        <f t="shared" si="0"/>
        <v>1.137</v>
      </c>
      <c r="U48" s="847">
        <f t="shared" si="3"/>
        <v>1.137</v>
      </c>
      <c r="V48" s="729" t="s">
        <v>597</v>
      </c>
      <c r="W48" s="471"/>
      <c r="X48" s="3"/>
      <c r="Y48" s="3"/>
      <c r="Z48" s="3"/>
      <c r="AA48" s="3"/>
    </row>
    <row r="49" spans="1:27" ht="240">
      <c r="A49" s="736"/>
      <c r="B49" s="736"/>
      <c r="C49" s="736"/>
      <c r="D49" s="829">
        <v>44</v>
      </c>
      <c r="E49" s="829" t="s">
        <v>95</v>
      </c>
      <c r="F49" s="845">
        <v>0.64159999999999995</v>
      </c>
      <c r="G49" s="829"/>
      <c r="H49" s="829"/>
      <c r="I49" s="847"/>
      <c r="J49" s="829"/>
      <c r="K49" s="829"/>
      <c r="L49" s="829"/>
      <c r="M49" s="829"/>
      <c r="N49" s="929">
        <v>0.75</v>
      </c>
      <c r="O49" s="845">
        <v>0.153</v>
      </c>
      <c r="P49" s="845"/>
      <c r="Q49" s="829"/>
      <c r="R49" s="829"/>
      <c r="S49" s="829"/>
      <c r="T49" s="847">
        <f t="shared" si="0"/>
        <v>1.5446</v>
      </c>
      <c r="U49" s="847">
        <f t="shared" si="3"/>
        <v>1.5446</v>
      </c>
      <c r="V49" s="729" t="s">
        <v>1793</v>
      </c>
      <c r="W49" s="471"/>
      <c r="X49" s="3"/>
      <c r="Y49" s="3"/>
      <c r="Z49" s="3"/>
      <c r="AA49" s="3"/>
    </row>
    <row r="50" spans="1:27" ht="60">
      <c r="A50" s="736"/>
      <c r="B50" s="736"/>
      <c r="C50" s="736"/>
      <c r="D50" s="829">
        <v>45</v>
      </c>
      <c r="E50" s="829" t="s">
        <v>96</v>
      </c>
      <c r="F50" s="845">
        <v>7.3999999999999996E-2</v>
      </c>
      <c r="G50" s="829"/>
      <c r="H50" s="829"/>
      <c r="I50" s="829"/>
      <c r="J50" s="829"/>
      <c r="K50" s="829"/>
      <c r="L50" s="829"/>
      <c r="M50" s="829"/>
      <c r="N50" s="847"/>
      <c r="O50" s="845">
        <v>7.3999999999999996E-2</v>
      </c>
      <c r="P50" s="829"/>
      <c r="Q50" s="829"/>
      <c r="R50" s="829"/>
      <c r="S50" s="829"/>
      <c r="T50" s="847">
        <f t="shared" si="0"/>
        <v>0.14799999999999999</v>
      </c>
      <c r="U50" s="847">
        <f t="shared" si="3"/>
        <v>0.14799999999999999</v>
      </c>
      <c r="V50" s="729" t="s">
        <v>531</v>
      </c>
      <c r="W50" s="471"/>
      <c r="X50" s="3"/>
      <c r="Y50" s="3"/>
      <c r="Z50" s="3"/>
      <c r="AA50" s="3"/>
    </row>
    <row r="51" spans="1:27" ht="24.75" customHeight="1">
      <c r="A51" s="736"/>
      <c r="B51" s="736"/>
      <c r="C51" s="736"/>
      <c r="D51" s="829">
        <v>46</v>
      </c>
      <c r="E51" s="829" t="s">
        <v>98</v>
      </c>
      <c r="F51" s="829"/>
      <c r="G51" s="829"/>
      <c r="H51" s="829"/>
      <c r="I51" s="829"/>
      <c r="J51" s="829"/>
      <c r="K51" s="829"/>
      <c r="L51" s="829"/>
      <c r="M51" s="829"/>
      <c r="N51" s="829"/>
      <c r="O51" s="829"/>
      <c r="P51" s="829"/>
      <c r="Q51" s="829"/>
      <c r="R51" s="829"/>
      <c r="S51" s="829"/>
      <c r="T51" s="847">
        <f t="shared" si="0"/>
        <v>0</v>
      </c>
      <c r="U51" s="847"/>
      <c r="V51" s="729"/>
      <c r="W51" s="471"/>
      <c r="X51" s="3"/>
      <c r="Y51" s="3"/>
      <c r="Z51" s="3"/>
      <c r="AA51" s="3"/>
    </row>
    <row r="52" spans="1:27" ht="45">
      <c r="A52" s="736"/>
      <c r="B52" s="736"/>
      <c r="C52" s="736"/>
      <c r="D52" s="829">
        <v>47</v>
      </c>
      <c r="E52" s="829" t="s">
        <v>99</v>
      </c>
      <c r="F52" s="845">
        <v>0.9</v>
      </c>
      <c r="G52" s="829"/>
      <c r="H52" s="829">
        <v>0</v>
      </c>
      <c r="I52" s="829"/>
      <c r="J52" s="829"/>
      <c r="K52" s="829"/>
      <c r="L52" s="829"/>
      <c r="M52" s="829"/>
      <c r="N52" s="829"/>
      <c r="O52" s="829"/>
      <c r="P52" s="829"/>
      <c r="Q52" s="829"/>
      <c r="R52" s="829"/>
      <c r="S52" s="829"/>
      <c r="T52" s="847">
        <f t="shared" si="0"/>
        <v>0.9</v>
      </c>
      <c r="U52" s="847">
        <f t="shared" ref="U52:U55" si="4">T52</f>
        <v>0.9</v>
      </c>
      <c r="V52" s="729" t="s">
        <v>468</v>
      </c>
      <c r="W52" s="471"/>
      <c r="X52" s="3"/>
      <c r="Y52" s="3"/>
      <c r="Z52" s="3"/>
      <c r="AA52" s="3"/>
    </row>
    <row r="53" spans="1:27" ht="30">
      <c r="A53" s="736"/>
      <c r="B53" s="736"/>
      <c r="C53" s="736"/>
      <c r="D53" s="829">
        <v>48</v>
      </c>
      <c r="E53" s="829" t="s">
        <v>101</v>
      </c>
      <c r="F53" s="829"/>
      <c r="G53" s="829"/>
      <c r="H53" s="829"/>
      <c r="I53" s="829"/>
      <c r="J53" s="829"/>
      <c r="K53" s="829"/>
      <c r="L53" s="829"/>
      <c r="M53" s="829"/>
      <c r="N53" s="847">
        <v>0.28899999999999998</v>
      </c>
      <c r="O53" s="829"/>
      <c r="P53" s="845"/>
      <c r="Q53" s="829"/>
      <c r="R53" s="829"/>
      <c r="S53" s="829"/>
      <c r="T53" s="847">
        <f t="shared" si="0"/>
        <v>0.28899999999999998</v>
      </c>
      <c r="U53" s="847">
        <f t="shared" si="4"/>
        <v>0.28899999999999998</v>
      </c>
      <c r="V53" s="729" t="s">
        <v>102</v>
      </c>
      <c r="W53" s="471"/>
      <c r="X53" s="3"/>
      <c r="Y53" s="3"/>
      <c r="Z53" s="3"/>
      <c r="AA53" s="3"/>
    </row>
    <row r="54" spans="1:27" ht="90">
      <c r="A54" s="736"/>
      <c r="B54" s="736"/>
      <c r="C54" s="736"/>
      <c r="D54" s="829">
        <v>49</v>
      </c>
      <c r="E54" s="829" t="s">
        <v>103</v>
      </c>
      <c r="F54" s="829"/>
      <c r="G54" s="829"/>
      <c r="H54" s="829"/>
      <c r="I54" s="829"/>
      <c r="J54" s="829"/>
      <c r="K54" s="829"/>
      <c r="L54" s="829"/>
      <c r="M54" s="829"/>
      <c r="N54" s="829"/>
      <c r="O54" s="829"/>
      <c r="P54" s="829"/>
      <c r="Q54" s="847">
        <v>2</v>
      </c>
      <c r="R54" s="845">
        <v>1</v>
      </c>
      <c r="S54" s="829"/>
      <c r="T54" s="847">
        <f t="shared" si="0"/>
        <v>3</v>
      </c>
      <c r="U54" s="847">
        <f t="shared" si="4"/>
        <v>3</v>
      </c>
      <c r="V54" s="744" t="s">
        <v>598</v>
      </c>
      <c r="W54" s="471"/>
      <c r="X54" s="3"/>
      <c r="Y54" s="3"/>
      <c r="Z54" s="3"/>
      <c r="AA54" s="3"/>
    </row>
    <row r="55" spans="1:27" ht="150">
      <c r="A55" s="736"/>
      <c r="B55" s="736"/>
      <c r="C55" s="736"/>
      <c r="D55" s="829">
        <v>50</v>
      </c>
      <c r="E55" s="829" t="s">
        <v>105</v>
      </c>
      <c r="F55" s="829"/>
      <c r="G55" s="829"/>
      <c r="H55" s="829"/>
      <c r="I55" s="847"/>
      <c r="J55" s="829"/>
      <c r="K55" s="829">
        <v>0.38</v>
      </c>
      <c r="L55" s="829"/>
      <c r="M55" s="829"/>
      <c r="N55" s="847"/>
      <c r="O55" s="829"/>
      <c r="P55" s="845"/>
      <c r="Q55" s="847">
        <v>4.3499999999999996</v>
      </c>
      <c r="R55" s="845">
        <v>0.04</v>
      </c>
      <c r="S55" s="829"/>
      <c r="T55" s="847">
        <f t="shared" si="0"/>
        <v>4.7699999999999996</v>
      </c>
      <c r="U55" s="847">
        <f t="shared" si="4"/>
        <v>4.7699999999999996</v>
      </c>
      <c r="V55" s="738" t="s">
        <v>599</v>
      </c>
      <c r="W55" s="471"/>
      <c r="X55" s="3"/>
      <c r="Y55" s="3"/>
      <c r="Z55" s="3"/>
      <c r="AA55" s="3"/>
    </row>
    <row r="56" spans="1:27" ht="24.75" customHeight="1">
      <c r="A56" s="736"/>
      <c r="B56" s="736"/>
      <c r="C56" s="736"/>
      <c r="D56" s="829">
        <v>51</v>
      </c>
      <c r="E56" s="829" t="s">
        <v>53</v>
      </c>
      <c r="F56" s="829"/>
      <c r="G56" s="829"/>
      <c r="H56" s="829"/>
      <c r="I56" s="829"/>
      <c r="J56" s="829"/>
      <c r="K56" s="829"/>
      <c r="L56" s="829"/>
      <c r="M56" s="829"/>
      <c r="N56" s="845"/>
      <c r="O56" s="829"/>
      <c r="P56" s="829"/>
      <c r="Q56" s="829"/>
      <c r="R56" s="829"/>
      <c r="S56" s="829"/>
      <c r="T56" s="847">
        <f t="shared" si="0"/>
        <v>0</v>
      </c>
      <c r="U56" s="847"/>
      <c r="V56" s="729"/>
      <c r="W56" s="471"/>
      <c r="X56" s="3"/>
      <c r="Y56" s="3"/>
      <c r="Z56" s="3"/>
      <c r="AA56" s="3"/>
    </row>
    <row r="57" spans="1:27" ht="315">
      <c r="A57" s="736"/>
      <c r="B57" s="828" t="s">
        <v>107</v>
      </c>
      <c r="C57" s="828" t="s">
        <v>108</v>
      </c>
      <c r="D57" s="829">
        <v>52</v>
      </c>
      <c r="E57" s="829" t="s">
        <v>109</v>
      </c>
      <c r="F57" s="913"/>
      <c r="G57" s="913"/>
      <c r="H57" s="913"/>
      <c r="I57" s="915"/>
      <c r="J57" s="913"/>
      <c r="K57" s="915"/>
      <c r="L57" s="913"/>
      <c r="M57" s="913"/>
      <c r="N57" s="915">
        <v>2</v>
      </c>
      <c r="O57" s="914">
        <v>27.486000000000001</v>
      </c>
      <c r="P57" s="913"/>
      <c r="Q57" s="913"/>
      <c r="R57" s="913"/>
      <c r="S57" s="913"/>
      <c r="T57" s="847">
        <f t="shared" si="0"/>
        <v>29.486000000000001</v>
      </c>
      <c r="U57" s="728">
        <f>N57+O57</f>
        <v>29.486000000000001</v>
      </c>
      <c r="V57" s="746" t="s">
        <v>600</v>
      </c>
      <c r="W57" s="471"/>
      <c r="X57" s="3"/>
      <c r="Y57" s="3"/>
      <c r="Z57" s="3"/>
      <c r="AA57" s="3"/>
    </row>
    <row r="58" spans="1:27" ht="210">
      <c r="A58" s="736"/>
      <c r="B58" s="736"/>
      <c r="C58" s="736"/>
      <c r="D58" s="829">
        <v>53</v>
      </c>
      <c r="E58" s="829" t="s">
        <v>111</v>
      </c>
      <c r="F58" s="913"/>
      <c r="G58" s="913"/>
      <c r="H58" s="913"/>
      <c r="I58" s="913"/>
      <c r="J58" s="913"/>
      <c r="K58" s="915"/>
      <c r="L58" s="913"/>
      <c r="M58" s="913"/>
      <c r="N58" s="915">
        <v>5.26</v>
      </c>
      <c r="O58" s="914">
        <v>3.0539999999999998</v>
      </c>
      <c r="P58" s="913"/>
      <c r="Q58" s="914">
        <v>3</v>
      </c>
      <c r="R58" s="913"/>
      <c r="S58" s="913"/>
      <c r="T58" s="847">
        <f t="shared" si="0"/>
        <v>11.314</v>
      </c>
      <c r="U58" s="728">
        <f>T58</f>
        <v>11.314</v>
      </c>
      <c r="V58" s="740" t="s">
        <v>601</v>
      </c>
      <c r="W58" s="471"/>
      <c r="X58" s="3"/>
      <c r="Y58" s="3"/>
      <c r="Z58" s="3"/>
      <c r="AA58" s="3"/>
    </row>
    <row r="59" spans="1:27" ht="24.75" customHeight="1">
      <c r="A59" s="736"/>
      <c r="B59" s="736"/>
      <c r="C59" s="736"/>
      <c r="D59" s="829">
        <v>54</v>
      </c>
      <c r="E59" s="829" t="s">
        <v>113</v>
      </c>
      <c r="F59" s="913"/>
      <c r="G59" s="913"/>
      <c r="H59" s="914"/>
      <c r="I59" s="913"/>
      <c r="J59" s="913"/>
      <c r="K59" s="913"/>
      <c r="L59" s="913"/>
      <c r="M59" s="913"/>
      <c r="N59" s="913"/>
      <c r="O59" s="914"/>
      <c r="P59" s="914"/>
      <c r="Q59" s="913"/>
      <c r="R59" s="913"/>
      <c r="S59" s="913"/>
      <c r="T59" s="847">
        <f t="shared" si="0"/>
        <v>0</v>
      </c>
      <c r="U59" s="847"/>
      <c r="V59" s="729"/>
      <c r="W59" s="471"/>
      <c r="X59" s="3"/>
      <c r="Y59" s="3"/>
      <c r="Z59" s="3"/>
      <c r="AA59" s="3"/>
    </row>
    <row r="60" spans="1:27" ht="24.75" customHeight="1">
      <c r="A60" s="736"/>
      <c r="B60" s="736"/>
      <c r="C60" s="736"/>
      <c r="D60" s="829">
        <v>55</v>
      </c>
      <c r="E60" s="829" t="s">
        <v>114</v>
      </c>
      <c r="F60" s="913"/>
      <c r="G60" s="913"/>
      <c r="H60" s="913"/>
      <c r="I60" s="913"/>
      <c r="J60" s="913"/>
      <c r="K60" s="915"/>
      <c r="L60" s="913"/>
      <c r="M60" s="913"/>
      <c r="N60" s="913"/>
      <c r="O60" s="913"/>
      <c r="P60" s="913"/>
      <c r="Q60" s="913"/>
      <c r="R60" s="913"/>
      <c r="S60" s="913"/>
      <c r="T60" s="847">
        <f t="shared" si="0"/>
        <v>0</v>
      </c>
      <c r="U60" s="847"/>
      <c r="V60" s="729"/>
      <c r="W60" s="471"/>
      <c r="X60" s="3"/>
      <c r="Y60" s="3"/>
      <c r="Z60" s="3"/>
      <c r="AA60" s="3"/>
    </row>
    <row r="61" spans="1:27" ht="90">
      <c r="A61" s="736"/>
      <c r="B61" s="736"/>
      <c r="C61" s="736"/>
      <c r="D61" s="829">
        <v>56</v>
      </c>
      <c r="E61" s="829" t="s">
        <v>115</v>
      </c>
      <c r="F61" s="913"/>
      <c r="G61" s="913"/>
      <c r="H61" s="913"/>
      <c r="I61" s="913"/>
      <c r="J61" s="913"/>
      <c r="K61" s="913"/>
      <c r="L61" s="913"/>
      <c r="M61" s="913"/>
      <c r="N61" s="913"/>
      <c r="O61" s="914">
        <v>6.11</v>
      </c>
      <c r="P61" s="913"/>
      <c r="Q61" s="913">
        <v>0.5</v>
      </c>
      <c r="R61" s="913"/>
      <c r="S61" s="913"/>
      <c r="T61" s="847">
        <f t="shared" si="0"/>
        <v>6.61</v>
      </c>
      <c r="U61" s="847">
        <f>T61</f>
        <v>6.61</v>
      </c>
      <c r="V61" s="729" t="s">
        <v>602</v>
      </c>
      <c r="W61" s="471"/>
      <c r="X61" s="3"/>
      <c r="Y61" s="3"/>
      <c r="Z61" s="3"/>
      <c r="AA61" s="3"/>
    </row>
    <row r="62" spans="1:27" ht="165">
      <c r="A62" s="736"/>
      <c r="B62" s="736"/>
      <c r="C62" s="736"/>
      <c r="D62" s="829">
        <v>57</v>
      </c>
      <c r="E62" s="829" t="s">
        <v>116</v>
      </c>
      <c r="F62" s="913"/>
      <c r="G62" s="913"/>
      <c r="H62" s="914"/>
      <c r="I62" s="913"/>
      <c r="J62" s="913"/>
      <c r="K62" s="913"/>
      <c r="L62" s="913"/>
      <c r="M62" s="914">
        <f>1.05+2.49</f>
        <v>3.54</v>
      </c>
      <c r="N62" s="913"/>
      <c r="O62" s="913"/>
      <c r="P62" s="913"/>
      <c r="Q62" s="913"/>
      <c r="R62" s="913"/>
      <c r="S62" s="913"/>
      <c r="T62" s="847">
        <f t="shared" si="0"/>
        <v>3.54</v>
      </c>
      <c r="U62" s="847">
        <f>1.05+2.49</f>
        <v>3.54</v>
      </c>
      <c r="V62" s="740" t="s">
        <v>603</v>
      </c>
      <c r="W62" s="471"/>
      <c r="X62" s="3"/>
      <c r="Y62" s="3"/>
      <c r="Z62" s="3"/>
      <c r="AA62" s="3"/>
    </row>
    <row r="63" spans="1:27" ht="105">
      <c r="A63" s="736"/>
      <c r="B63" s="736"/>
      <c r="C63" s="736"/>
      <c r="D63" s="829">
        <v>58</v>
      </c>
      <c r="E63" s="829" t="s">
        <v>117</v>
      </c>
      <c r="F63" s="913"/>
      <c r="G63" s="913"/>
      <c r="H63" s="913"/>
      <c r="I63" s="913"/>
      <c r="J63" s="913"/>
      <c r="K63" s="915"/>
      <c r="L63" s="913"/>
      <c r="M63" s="913"/>
      <c r="N63" s="913"/>
      <c r="O63" s="931">
        <v>1.5269999999999999</v>
      </c>
      <c r="P63" s="913"/>
      <c r="Q63" s="914">
        <v>0.75</v>
      </c>
      <c r="R63" s="913"/>
      <c r="S63" s="913"/>
      <c r="T63" s="847">
        <f t="shared" si="0"/>
        <v>2.2770000000000001</v>
      </c>
      <c r="U63" s="847">
        <f t="shared" ref="U63:U67" si="5">T63</f>
        <v>2.2770000000000001</v>
      </c>
      <c r="V63" s="729" t="s">
        <v>604</v>
      </c>
      <c r="W63" s="471"/>
      <c r="X63" s="3"/>
      <c r="Y63" s="3"/>
      <c r="Z63" s="3"/>
      <c r="AA63" s="3"/>
    </row>
    <row r="64" spans="1:27" ht="24.75" customHeight="1">
      <c r="A64" s="736"/>
      <c r="B64" s="736"/>
      <c r="C64" s="736"/>
      <c r="D64" s="829">
        <v>59</v>
      </c>
      <c r="E64" s="829" t="s">
        <v>119</v>
      </c>
      <c r="F64" s="913"/>
      <c r="G64" s="913"/>
      <c r="H64" s="913"/>
      <c r="I64" s="913"/>
      <c r="J64" s="913"/>
      <c r="K64" s="913"/>
      <c r="L64" s="913"/>
      <c r="M64" s="913"/>
      <c r="N64" s="913"/>
      <c r="O64" s="913"/>
      <c r="P64" s="913"/>
      <c r="Q64" s="913"/>
      <c r="R64" s="913"/>
      <c r="S64" s="913"/>
      <c r="T64" s="847">
        <f t="shared" si="0"/>
        <v>0</v>
      </c>
      <c r="U64" s="847">
        <f t="shared" si="5"/>
        <v>0</v>
      </c>
      <c r="V64" s="729"/>
      <c r="W64" s="471"/>
      <c r="X64" s="3"/>
      <c r="Y64" s="3"/>
      <c r="Z64" s="3"/>
      <c r="AA64" s="3"/>
    </row>
    <row r="65" spans="1:27" ht="24.75" customHeight="1">
      <c r="A65" s="736"/>
      <c r="B65" s="736"/>
      <c r="C65" s="736"/>
      <c r="D65" s="829">
        <v>60</v>
      </c>
      <c r="E65" s="829" t="s">
        <v>120</v>
      </c>
      <c r="F65" s="913"/>
      <c r="G65" s="913"/>
      <c r="H65" s="913"/>
      <c r="I65" s="913"/>
      <c r="J65" s="913"/>
      <c r="K65" s="913"/>
      <c r="L65" s="913"/>
      <c r="M65" s="913"/>
      <c r="N65" s="913"/>
      <c r="O65" s="913"/>
      <c r="P65" s="913"/>
      <c r="Q65" s="913"/>
      <c r="R65" s="913"/>
      <c r="S65" s="913"/>
      <c r="T65" s="847">
        <f t="shared" si="0"/>
        <v>0</v>
      </c>
      <c r="U65" s="847">
        <f t="shared" si="5"/>
        <v>0</v>
      </c>
      <c r="V65" s="729"/>
      <c r="W65" s="471"/>
      <c r="X65" s="3"/>
      <c r="Y65" s="3"/>
      <c r="Z65" s="3"/>
      <c r="AA65" s="3"/>
    </row>
    <row r="66" spans="1:27" ht="24.75" customHeight="1">
      <c r="A66" s="736"/>
      <c r="B66" s="736"/>
      <c r="C66" s="736"/>
      <c r="D66" s="829">
        <v>61</v>
      </c>
      <c r="E66" s="829" t="s">
        <v>53</v>
      </c>
      <c r="F66" s="913"/>
      <c r="G66" s="913"/>
      <c r="H66" s="913"/>
      <c r="I66" s="913"/>
      <c r="J66" s="913"/>
      <c r="K66" s="913"/>
      <c r="L66" s="913"/>
      <c r="M66" s="913"/>
      <c r="N66" s="913"/>
      <c r="O66" s="913"/>
      <c r="P66" s="913"/>
      <c r="Q66" s="913"/>
      <c r="R66" s="913"/>
      <c r="S66" s="913"/>
      <c r="T66" s="847">
        <f t="shared" si="0"/>
        <v>0</v>
      </c>
      <c r="U66" s="847">
        <f t="shared" si="5"/>
        <v>0</v>
      </c>
      <c r="V66" s="729"/>
      <c r="W66" s="471"/>
      <c r="X66" s="3"/>
      <c r="Y66" s="3"/>
      <c r="Z66" s="3"/>
      <c r="AA66" s="3"/>
    </row>
    <row r="67" spans="1:27" ht="120">
      <c r="A67" s="736"/>
      <c r="B67" s="829" t="s">
        <v>121</v>
      </c>
      <c r="C67" s="829" t="s">
        <v>122</v>
      </c>
      <c r="D67" s="829">
        <v>62</v>
      </c>
      <c r="E67" s="829" t="s">
        <v>123</v>
      </c>
      <c r="F67" s="829"/>
      <c r="G67" s="829"/>
      <c r="H67" s="829"/>
      <c r="I67" s="829"/>
      <c r="J67" s="829"/>
      <c r="K67" s="829"/>
      <c r="L67" s="829"/>
      <c r="M67" s="847"/>
      <c r="N67" s="829"/>
      <c r="O67" s="845">
        <v>0.5</v>
      </c>
      <c r="P67" s="845"/>
      <c r="Q67" s="847">
        <v>0.2</v>
      </c>
      <c r="R67" s="829"/>
      <c r="S67" s="845"/>
      <c r="T67" s="847">
        <f t="shared" si="0"/>
        <v>0.7</v>
      </c>
      <c r="U67" s="847">
        <f t="shared" si="5"/>
        <v>0.7</v>
      </c>
      <c r="V67" s="749" t="s">
        <v>124</v>
      </c>
      <c r="W67" s="471"/>
      <c r="X67" s="3"/>
      <c r="Y67" s="3"/>
      <c r="Z67" s="3"/>
      <c r="AA67" s="3"/>
    </row>
    <row r="68" spans="1:27" ht="24.75" customHeight="1">
      <c r="A68" s="736"/>
      <c r="B68" s="948" t="s">
        <v>125</v>
      </c>
      <c r="C68" s="736"/>
      <c r="D68" s="736"/>
      <c r="E68" s="949"/>
      <c r="F68" s="949">
        <f t="shared" ref="F68:S68" si="6">SUM(F6:F67)</f>
        <v>66.723600000000005</v>
      </c>
      <c r="G68" s="949">
        <f t="shared" si="6"/>
        <v>0</v>
      </c>
      <c r="H68" s="949">
        <f t="shared" si="6"/>
        <v>100.2</v>
      </c>
      <c r="I68" s="949">
        <f t="shared" si="6"/>
        <v>4.1014900000000001</v>
      </c>
      <c r="J68" s="949">
        <f t="shared" si="6"/>
        <v>0</v>
      </c>
      <c r="K68" s="949">
        <f t="shared" si="6"/>
        <v>75.852000000000004</v>
      </c>
      <c r="L68" s="949">
        <f t="shared" si="6"/>
        <v>0</v>
      </c>
      <c r="M68" s="949">
        <f t="shared" si="6"/>
        <v>23.189999999999998</v>
      </c>
      <c r="N68" s="949">
        <f t="shared" si="6"/>
        <v>37.197200000000002</v>
      </c>
      <c r="O68" s="949">
        <f t="shared" si="6"/>
        <v>173.29995</v>
      </c>
      <c r="P68" s="949">
        <f t="shared" si="6"/>
        <v>292.63967999999994</v>
      </c>
      <c r="Q68" s="949">
        <f t="shared" si="6"/>
        <v>29.499999999999996</v>
      </c>
      <c r="R68" s="949">
        <f t="shared" si="6"/>
        <v>10.696999999999999</v>
      </c>
      <c r="S68" s="949">
        <f t="shared" si="6"/>
        <v>3.83</v>
      </c>
      <c r="T68" s="949">
        <f t="shared" si="0"/>
        <v>817.23091999999997</v>
      </c>
      <c r="U68" s="949">
        <f>SUM(U6:U67)</f>
        <v>720.65172999999993</v>
      </c>
      <c r="V68" s="729"/>
      <c r="W68" s="471"/>
      <c r="X68" s="3"/>
      <c r="Y68" s="3"/>
      <c r="Z68" s="3"/>
      <c r="AA68" s="3"/>
    </row>
    <row r="69" spans="1:27" ht="39.75" customHeight="1">
      <c r="A69" s="831" t="s">
        <v>126</v>
      </c>
      <c r="B69" s="829" t="s">
        <v>127</v>
      </c>
      <c r="C69" s="829" t="s">
        <v>128</v>
      </c>
      <c r="D69" s="829">
        <v>63</v>
      </c>
      <c r="E69" s="829" t="s">
        <v>129</v>
      </c>
      <c r="F69" s="829"/>
      <c r="G69" s="829"/>
      <c r="H69" s="829"/>
      <c r="I69" s="829"/>
      <c r="J69" s="829"/>
      <c r="K69" s="829"/>
      <c r="L69" s="829"/>
      <c r="M69" s="845"/>
      <c r="N69" s="847">
        <v>7</v>
      </c>
      <c r="O69" s="829"/>
      <c r="P69" s="847"/>
      <c r="Q69" s="829"/>
      <c r="R69" s="845">
        <v>3.75</v>
      </c>
      <c r="S69" s="845">
        <v>1</v>
      </c>
      <c r="T69" s="847">
        <f t="shared" si="0"/>
        <v>11.75</v>
      </c>
      <c r="U69" s="847">
        <f t="shared" ref="U69:U73" si="7">T69</f>
        <v>11.75</v>
      </c>
      <c r="V69" s="749" t="s">
        <v>605</v>
      </c>
      <c r="W69" s="471" t="s">
        <v>605</v>
      </c>
      <c r="X69" s="3"/>
      <c r="Y69" s="3"/>
      <c r="Z69" s="3"/>
      <c r="AA69" s="3"/>
    </row>
    <row r="70" spans="1:27" ht="39.75" customHeight="1">
      <c r="A70" s="736"/>
      <c r="B70" s="828" t="s">
        <v>131</v>
      </c>
      <c r="C70" s="828" t="s">
        <v>132</v>
      </c>
      <c r="D70" s="829">
        <v>64</v>
      </c>
      <c r="E70" s="829" t="s">
        <v>133</v>
      </c>
      <c r="F70" s="859"/>
      <c r="G70" s="859"/>
      <c r="H70" s="937"/>
      <c r="I70" s="861">
        <v>0.84</v>
      </c>
      <c r="J70" s="859"/>
      <c r="K70" s="861"/>
      <c r="L70" s="859"/>
      <c r="M70" s="859"/>
      <c r="N70" s="861">
        <v>1.5</v>
      </c>
      <c r="O70" s="937"/>
      <c r="P70" s="861">
        <v>0.99</v>
      </c>
      <c r="Q70" s="861">
        <v>0.95</v>
      </c>
      <c r="R70" s="937">
        <v>2.1</v>
      </c>
      <c r="S70" s="937"/>
      <c r="T70" s="847">
        <f t="shared" si="0"/>
        <v>6.3800000000000008</v>
      </c>
      <c r="U70" s="847">
        <f t="shared" si="7"/>
        <v>6.3800000000000008</v>
      </c>
      <c r="V70" s="729" t="s">
        <v>606</v>
      </c>
      <c r="W70" s="471" t="s">
        <v>607</v>
      </c>
      <c r="X70" s="3"/>
      <c r="Y70" s="3"/>
      <c r="Z70" s="3"/>
      <c r="AA70" s="3"/>
    </row>
    <row r="71" spans="1:27" ht="75">
      <c r="A71" s="736"/>
      <c r="B71" s="736"/>
      <c r="C71" s="736"/>
      <c r="D71" s="829">
        <v>65</v>
      </c>
      <c r="E71" s="829" t="s">
        <v>135</v>
      </c>
      <c r="F71" s="859"/>
      <c r="G71" s="859"/>
      <c r="H71" s="859"/>
      <c r="I71" s="859"/>
      <c r="J71" s="859"/>
      <c r="K71" s="859"/>
      <c r="L71" s="859"/>
      <c r="M71" s="859"/>
      <c r="N71" s="861"/>
      <c r="O71" s="859"/>
      <c r="P71" s="937">
        <v>0.45</v>
      </c>
      <c r="Q71" s="859"/>
      <c r="R71" s="859"/>
      <c r="S71" s="937"/>
      <c r="T71" s="847">
        <f t="shared" si="0"/>
        <v>0.45</v>
      </c>
      <c r="U71" s="847">
        <f t="shared" si="7"/>
        <v>0.45</v>
      </c>
      <c r="V71" s="729" t="s">
        <v>544</v>
      </c>
      <c r="W71" s="472" t="s">
        <v>136</v>
      </c>
      <c r="X71" s="3"/>
      <c r="Y71" s="3"/>
      <c r="Z71" s="3"/>
      <c r="AA71" s="3"/>
    </row>
    <row r="72" spans="1:27" ht="75">
      <c r="A72" s="736"/>
      <c r="B72" s="736"/>
      <c r="C72" s="736"/>
      <c r="D72" s="829">
        <v>66</v>
      </c>
      <c r="E72" s="829" t="s">
        <v>137</v>
      </c>
      <c r="F72" s="859"/>
      <c r="G72" s="859"/>
      <c r="H72" s="859"/>
      <c r="I72" s="859"/>
      <c r="J72" s="859"/>
      <c r="K72" s="861"/>
      <c r="L72" s="859"/>
      <c r="M72" s="859"/>
      <c r="N72" s="861">
        <v>0.2</v>
      </c>
      <c r="O72" s="859"/>
      <c r="P72" s="937">
        <v>0.09</v>
      </c>
      <c r="Q72" s="861">
        <v>0.05</v>
      </c>
      <c r="R72" s="938">
        <v>0.15</v>
      </c>
      <c r="S72" s="859"/>
      <c r="T72" s="847">
        <f t="shared" si="0"/>
        <v>0.49</v>
      </c>
      <c r="U72" s="847">
        <f t="shared" si="7"/>
        <v>0.49</v>
      </c>
      <c r="V72" s="729" t="s">
        <v>545</v>
      </c>
      <c r="W72" s="472" t="s">
        <v>138</v>
      </c>
      <c r="X72" s="3"/>
      <c r="Y72" s="3"/>
      <c r="Z72" s="3"/>
      <c r="AA72" s="3"/>
    </row>
    <row r="73" spans="1:27" ht="105">
      <c r="A73" s="736"/>
      <c r="B73" s="736"/>
      <c r="C73" s="736"/>
      <c r="D73" s="829">
        <v>67</v>
      </c>
      <c r="E73" s="829" t="s">
        <v>139</v>
      </c>
      <c r="F73" s="859"/>
      <c r="G73" s="859"/>
      <c r="H73" s="859"/>
      <c r="I73" s="859"/>
      <c r="J73" s="859"/>
      <c r="K73" s="861"/>
      <c r="L73" s="859"/>
      <c r="M73" s="859"/>
      <c r="N73" s="861">
        <v>0.4</v>
      </c>
      <c r="O73" s="859">
        <v>1.25</v>
      </c>
      <c r="P73" s="937">
        <v>32.450000000000003</v>
      </c>
      <c r="Q73" s="861">
        <v>1</v>
      </c>
      <c r="R73" s="937">
        <v>3.5</v>
      </c>
      <c r="S73" s="937">
        <v>2</v>
      </c>
      <c r="T73" s="847">
        <f t="shared" si="0"/>
        <v>40.6</v>
      </c>
      <c r="U73" s="847">
        <f t="shared" si="7"/>
        <v>40.6</v>
      </c>
      <c r="V73" s="729" t="s">
        <v>608</v>
      </c>
      <c r="W73" s="472" t="s">
        <v>609</v>
      </c>
      <c r="X73" s="3"/>
      <c r="Y73" s="3"/>
      <c r="Z73" s="3"/>
      <c r="AA73" s="3"/>
    </row>
    <row r="74" spans="1:27" ht="75">
      <c r="A74" s="736"/>
      <c r="B74" s="736"/>
      <c r="C74" s="736"/>
      <c r="D74" s="829">
        <v>68</v>
      </c>
      <c r="E74" s="829" t="s">
        <v>141</v>
      </c>
      <c r="F74" s="937"/>
      <c r="G74" s="859"/>
      <c r="H74" s="859"/>
      <c r="I74" s="861"/>
      <c r="J74" s="859"/>
      <c r="K74" s="861"/>
      <c r="L74" s="859"/>
      <c r="M74" s="859"/>
      <c r="N74" s="861">
        <v>0.4</v>
      </c>
      <c r="O74" s="937"/>
      <c r="P74" s="937">
        <v>1.63</v>
      </c>
      <c r="Q74" s="861">
        <v>3.25</v>
      </c>
      <c r="R74" s="937">
        <v>2</v>
      </c>
      <c r="S74" s="937">
        <v>5.6</v>
      </c>
      <c r="T74" s="847">
        <f t="shared" si="0"/>
        <v>12.879999999999999</v>
      </c>
      <c r="U74" s="847">
        <v>7.88</v>
      </c>
      <c r="V74" s="729" t="s">
        <v>610</v>
      </c>
      <c r="W74" s="472" t="s">
        <v>611</v>
      </c>
      <c r="X74" s="3"/>
      <c r="Y74" s="3"/>
      <c r="Z74" s="3"/>
      <c r="AA74" s="3"/>
    </row>
    <row r="75" spans="1:27" ht="409.5">
      <c r="A75" s="736"/>
      <c r="B75" s="828" t="s">
        <v>143</v>
      </c>
      <c r="C75" s="828" t="s">
        <v>144</v>
      </c>
      <c r="D75" s="829">
        <v>69</v>
      </c>
      <c r="E75" s="829" t="s">
        <v>145</v>
      </c>
      <c r="F75" s="939"/>
      <c r="G75" s="939"/>
      <c r="H75" s="939"/>
      <c r="I75" s="939"/>
      <c r="J75" s="939"/>
      <c r="K75" s="939"/>
      <c r="L75" s="939"/>
      <c r="M75" s="940">
        <v>0.68</v>
      </c>
      <c r="N75" s="939"/>
      <c r="O75" s="940">
        <v>55.981000000000002</v>
      </c>
      <c r="P75" s="940">
        <v>1.2</v>
      </c>
      <c r="Q75" s="939"/>
      <c r="R75" s="939"/>
      <c r="S75" s="939"/>
      <c r="T75" s="847">
        <f t="shared" si="0"/>
        <v>57.861000000000004</v>
      </c>
      <c r="U75" s="941">
        <v>57.861000000000004</v>
      </c>
      <c r="V75" s="749" t="s">
        <v>612</v>
      </c>
      <c r="W75" s="132" t="s">
        <v>612</v>
      </c>
      <c r="X75" s="1039"/>
      <c r="Y75" s="3"/>
      <c r="Z75" s="3"/>
      <c r="AA75" s="3"/>
    </row>
    <row r="76" spans="1:27" ht="210">
      <c r="A76" s="736"/>
      <c r="B76" s="736"/>
      <c r="C76" s="736"/>
      <c r="D76" s="829">
        <v>70</v>
      </c>
      <c r="E76" s="829" t="s">
        <v>147</v>
      </c>
      <c r="F76" s="939"/>
      <c r="G76" s="939"/>
      <c r="H76" s="939"/>
      <c r="I76" s="940">
        <v>0.22</v>
      </c>
      <c r="J76" s="939"/>
      <c r="K76" s="939"/>
      <c r="L76" s="939"/>
      <c r="M76" s="939"/>
      <c r="N76" s="939"/>
      <c r="O76" s="939"/>
      <c r="P76" s="940">
        <v>1.1000000000000001</v>
      </c>
      <c r="Q76" s="939"/>
      <c r="R76" s="939"/>
      <c r="S76" s="939"/>
      <c r="T76" s="847">
        <f t="shared" si="0"/>
        <v>1.32</v>
      </c>
      <c r="U76" s="941">
        <v>1.32</v>
      </c>
      <c r="V76" s="749" t="s">
        <v>613</v>
      </c>
      <c r="W76" s="133" t="s">
        <v>613</v>
      </c>
      <c r="X76" s="1039"/>
      <c r="Y76" s="3"/>
      <c r="Z76" s="3"/>
      <c r="AA76" s="3"/>
    </row>
    <row r="77" spans="1:27" ht="39.75" customHeight="1">
      <c r="A77" s="736"/>
      <c r="B77" s="736"/>
      <c r="C77" s="736"/>
      <c r="D77" s="829">
        <v>71</v>
      </c>
      <c r="E77" s="829" t="s">
        <v>149</v>
      </c>
      <c r="F77" s="939"/>
      <c r="G77" s="939"/>
      <c r="H77" s="939"/>
      <c r="I77" s="939"/>
      <c r="J77" s="939"/>
      <c r="K77" s="939"/>
      <c r="L77" s="939"/>
      <c r="M77" s="939"/>
      <c r="N77" s="939"/>
      <c r="O77" s="939"/>
      <c r="P77" s="939"/>
      <c r="Q77" s="939"/>
      <c r="R77" s="939"/>
      <c r="S77" s="939"/>
      <c r="T77" s="847">
        <f t="shared" si="0"/>
        <v>0</v>
      </c>
      <c r="U77" s="941">
        <v>0</v>
      </c>
      <c r="V77" s="482"/>
      <c r="W77" s="133"/>
      <c r="X77" s="1039"/>
      <c r="Y77" s="3"/>
      <c r="Z77" s="3"/>
      <c r="AA77" s="3"/>
    </row>
    <row r="78" spans="1:27" ht="409.5">
      <c r="A78" s="736"/>
      <c r="B78" s="736"/>
      <c r="C78" s="736"/>
      <c r="D78" s="829">
        <v>72</v>
      </c>
      <c r="E78" s="829" t="s">
        <v>150</v>
      </c>
      <c r="F78" s="939"/>
      <c r="G78" s="939"/>
      <c r="H78" s="939"/>
      <c r="I78" s="939"/>
      <c r="J78" s="939"/>
      <c r="K78" s="939"/>
      <c r="L78" s="939"/>
      <c r="M78" s="939"/>
      <c r="N78" s="940">
        <v>3.7850000000000001</v>
      </c>
      <c r="O78" s="939"/>
      <c r="P78" s="939"/>
      <c r="Q78" s="940">
        <v>2.6955</v>
      </c>
      <c r="R78" s="940">
        <v>3.2974999999999999</v>
      </c>
      <c r="S78" s="939"/>
      <c r="T78" s="847">
        <f t="shared" si="0"/>
        <v>9.7780000000000005</v>
      </c>
      <c r="U78" s="941">
        <v>9.7780000000000005</v>
      </c>
      <c r="V78" s="749" t="s">
        <v>614</v>
      </c>
      <c r="W78" s="133" t="s">
        <v>615</v>
      </c>
      <c r="X78" s="1039"/>
      <c r="Y78" s="3"/>
      <c r="Z78" s="3"/>
      <c r="AA78" s="3"/>
    </row>
    <row r="79" spans="1:27" ht="409.5">
      <c r="A79" s="736"/>
      <c r="B79" s="828" t="s">
        <v>152</v>
      </c>
      <c r="C79" s="828" t="s">
        <v>153</v>
      </c>
      <c r="D79" s="829">
        <v>73</v>
      </c>
      <c r="E79" s="829" t="s">
        <v>154</v>
      </c>
      <c r="F79" s="1040">
        <v>2.06</v>
      </c>
      <c r="G79" s="1040">
        <v>2.5</v>
      </c>
      <c r="H79" s="1040"/>
      <c r="I79" s="1040">
        <v>8.4</v>
      </c>
      <c r="J79" s="939"/>
      <c r="K79" s="1040"/>
      <c r="L79" s="1041">
        <v>2.8</v>
      </c>
      <c r="M79" s="1040">
        <v>10.199999999999999</v>
      </c>
      <c r="N79" s="1040">
        <v>6.7</v>
      </c>
      <c r="O79" s="1042"/>
      <c r="P79" s="1040">
        <v>3</v>
      </c>
      <c r="Q79" s="939"/>
      <c r="R79" s="1040">
        <v>12.8</v>
      </c>
      <c r="S79" s="1040">
        <v>0.6</v>
      </c>
      <c r="T79" s="847">
        <f t="shared" si="0"/>
        <v>49.060000000000009</v>
      </c>
      <c r="U79" s="1043">
        <v>59.6</v>
      </c>
      <c r="V79" s="744" t="s">
        <v>616</v>
      </c>
      <c r="W79" s="471"/>
      <c r="X79" s="3"/>
      <c r="Y79" s="3"/>
      <c r="Z79" s="3"/>
      <c r="AA79" s="3"/>
    </row>
    <row r="80" spans="1:27" ht="150">
      <c r="A80" s="736"/>
      <c r="B80" s="736"/>
      <c r="C80" s="736"/>
      <c r="D80" s="829">
        <v>74</v>
      </c>
      <c r="E80" s="829" t="s">
        <v>155</v>
      </c>
      <c r="F80" s="944">
        <v>44.5</v>
      </c>
      <c r="G80" s="944"/>
      <c r="H80" s="841"/>
      <c r="I80" s="841"/>
      <c r="J80" s="841"/>
      <c r="K80" s="841"/>
      <c r="L80" s="841"/>
      <c r="M80" s="841"/>
      <c r="N80" s="841"/>
      <c r="O80" s="841"/>
      <c r="P80" s="841"/>
      <c r="Q80" s="841"/>
      <c r="R80" s="841"/>
      <c r="S80" s="841"/>
      <c r="T80" s="847">
        <f t="shared" si="0"/>
        <v>44.5</v>
      </c>
      <c r="U80" s="847">
        <v>52.8</v>
      </c>
      <c r="V80" s="744" t="s">
        <v>617</v>
      </c>
      <c r="W80" s="471"/>
      <c r="X80" s="3"/>
      <c r="Y80" s="3"/>
      <c r="Z80" s="3"/>
      <c r="AA80" s="3"/>
    </row>
    <row r="81" spans="1:27" ht="225">
      <c r="A81" s="736"/>
      <c r="B81" s="736"/>
      <c r="C81" s="736"/>
      <c r="D81" s="829">
        <v>75</v>
      </c>
      <c r="E81" s="829" t="s">
        <v>157</v>
      </c>
      <c r="F81" s="944">
        <v>1.9</v>
      </c>
      <c r="G81" s="944"/>
      <c r="H81" s="841"/>
      <c r="I81" s="841"/>
      <c r="J81" s="841"/>
      <c r="K81" s="841"/>
      <c r="L81" s="841"/>
      <c r="M81" s="841"/>
      <c r="N81" s="841"/>
      <c r="O81" s="841"/>
      <c r="P81" s="944">
        <v>1.65</v>
      </c>
      <c r="Q81" s="841"/>
      <c r="R81" s="841"/>
      <c r="S81" s="841"/>
      <c r="T81" s="847">
        <f t="shared" si="0"/>
        <v>3.55</v>
      </c>
      <c r="U81" s="847">
        <v>5.9</v>
      </c>
      <c r="V81" s="744" t="s">
        <v>618</v>
      </c>
      <c r="W81" s="471"/>
      <c r="X81" s="3"/>
      <c r="Y81" s="3"/>
      <c r="Z81" s="3"/>
      <c r="AA81" s="3"/>
    </row>
    <row r="82" spans="1:27" ht="120">
      <c r="A82" s="736"/>
      <c r="B82" s="736"/>
      <c r="C82" s="736"/>
      <c r="D82" s="829">
        <v>76</v>
      </c>
      <c r="E82" s="829" t="s">
        <v>159</v>
      </c>
      <c r="F82" s="841"/>
      <c r="G82" s="841"/>
      <c r="H82" s="841"/>
      <c r="I82" s="841"/>
      <c r="J82" s="841"/>
      <c r="K82" s="944"/>
      <c r="L82" s="841"/>
      <c r="M82" s="944">
        <v>2.2000000000000002</v>
      </c>
      <c r="N82" s="841"/>
      <c r="O82" s="841"/>
      <c r="P82" s="841"/>
      <c r="Q82" s="841"/>
      <c r="R82" s="841"/>
      <c r="S82" s="841"/>
      <c r="T82" s="847">
        <f t="shared" si="0"/>
        <v>2.2000000000000002</v>
      </c>
      <c r="U82" s="847">
        <v>2.6</v>
      </c>
      <c r="V82" s="744" t="s">
        <v>422</v>
      </c>
      <c r="W82" s="471"/>
      <c r="X82" s="3"/>
      <c r="Y82" s="3"/>
      <c r="Z82" s="3"/>
      <c r="AA82" s="3"/>
    </row>
    <row r="83" spans="1:27" ht="409.5">
      <c r="A83" s="736"/>
      <c r="B83" s="736"/>
      <c r="C83" s="736"/>
      <c r="D83" s="829">
        <v>77</v>
      </c>
      <c r="E83" s="829" t="s">
        <v>161</v>
      </c>
      <c r="F83" s="944">
        <v>1.8</v>
      </c>
      <c r="G83" s="944">
        <v>1.5</v>
      </c>
      <c r="H83" s="944"/>
      <c r="I83" s="944">
        <v>2</v>
      </c>
      <c r="J83" s="841"/>
      <c r="K83" s="944"/>
      <c r="L83" s="841">
        <v>1.9</v>
      </c>
      <c r="M83" s="944"/>
      <c r="N83" s="944">
        <v>0.4</v>
      </c>
      <c r="O83" s="841"/>
      <c r="P83" s="841"/>
      <c r="Q83" s="841"/>
      <c r="R83" s="841"/>
      <c r="S83" s="944">
        <v>0.5</v>
      </c>
      <c r="T83" s="847">
        <f t="shared" si="0"/>
        <v>8.1</v>
      </c>
      <c r="U83" s="847">
        <v>11.5</v>
      </c>
      <c r="V83" s="744" t="s">
        <v>619</v>
      </c>
      <c r="W83" s="471"/>
      <c r="X83" s="3"/>
      <c r="Y83" s="3"/>
      <c r="Z83" s="3"/>
      <c r="AA83" s="3"/>
    </row>
    <row r="84" spans="1:27" ht="210">
      <c r="A84" s="736"/>
      <c r="B84" s="736"/>
      <c r="C84" s="736"/>
      <c r="D84" s="829">
        <v>78</v>
      </c>
      <c r="E84" s="829" t="s">
        <v>163</v>
      </c>
      <c r="F84" s="841"/>
      <c r="G84" s="841"/>
      <c r="H84" s="841"/>
      <c r="I84" s="841"/>
      <c r="J84" s="841"/>
      <c r="K84" s="841"/>
      <c r="L84" s="841"/>
      <c r="M84" s="841"/>
      <c r="N84" s="841"/>
      <c r="O84" s="841"/>
      <c r="P84" s="841"/>
      <c r="Q84" s="944">
        <v>10.5</v>
      </c>
      <c r="R84" s="841"/>
      <c r="S84" s="841"/>
      <c r="T84" s="847">
        <f t="shared" si="0"/>
        <v>10.5</v>
      </c>
      <c r="U84" s="847">
        <v>10.5</v>
      </c>
      <c r="V84" s="744" t="s">
        <v>164</v>
      </c>
      <c r="W84" s="471"/>
      <c r="X84" s="3"/>
      <c r="Y84" s="3"/>
      <c r="Z84" s="3"/>
      <c r="AA84" s="3"/>
    </row>
    <row r="85" spans="1:27" ht="18" customHeight="1">
      <c r="A85" s="736"/>
      <c r="B85" s="736"/>
      <c r="C85" s="736"/>
      <c r="D85" s="829">
        <v>79</v>
      </c>
      <c r="E85" s="829" t="s">
        <v>53</v>
      </c>
      <c r="F85" s="841"/>
      <c r="G85" s="841"/>
      <c r="H85" s="841"/>
      <c r="I85" s="841"/>
      <c r="J85" s="841"/>
      <c r="K85" s="841"/>
      <c r="L85" s="841"/>
      <c r="M85" s="841"/>
      <c r="N85" s="841"/>
      <c r="O85" s="841"/>
      <c r="P85" s="841"/>
      <c r="Q85" s="841"/>
      <c r="R85" s="841"/>
      <c r="S85" s="841"/>
      <c r="T85" s="847">
        <f t="shared" si="0"/>
        <v>0</v>
      </c>
      <c r="U85" s="847"/>
      <c r="V85" s="768"/>
      <c r="W85" s="471"/>
      <c r="X85" s="3"/>
      <c r="Y85" s="3"/>
      <c r="Z85" s="3"/>
      <c r="AA85" s="3"/>
    </row>
    <row r="86" spans="1:27" ht="90.6" customHeight="1">
      <c r="A86" s="736"/>
      <c r="B86" s="828" t="s">
        <v>165</v>
      </c>
      <c r="C86" s="828" t="s">
        <v>166</v>
      </c>
      <c r="D86" s="829">
        <v>80</v>
      </c>
      <c r="E86" s="829" t="s">
        <v>167</v>
      </c>
      <c r="F86" s="829"/>
      <c r="G86" s="829"/>
      <c r="H86" s="829"/>
      <c r="I86" s="829"/>
      <c r="J86" s="829"/>
      <c r="K86" s="920"/>
      <c r="L86" s="829"/>
      <c r="M86" s="847"/>
      <c r="N86" s="829"/>
      <c r="O86" s="829"/>
      <c r="P86" s="479">
        <v>2.4</v>
      </c>
      <c r="Q86" s="477">
        <v>1</v>
      </c>
      <c r="R86" s="845"/>
      <c r="S86" s="829"/>
      <c r="T86" s="847">
        <f t="shared" si="0"/>
        <v>3.4</v>
      </c>
      <c r="U86" s="847">
        <v>3.4</v>
      </c>
      <c r="V86" s="738" t="s">
        <v>1654</v>
      </c>
      <c r="W86" s="471"/>
      <c r="X86" s="3"/>
      <c r="Y86" s="3"/>
      <c r="Z86" s="3"/>
      <c r="AA86" s="3"/>
    </row>
    <row r="87" spans="1:27" ht="30">
      <c r="A87" s="736"/>
      <c r="B87" s="736"/>
      <c r="C87" s="736"/>
      <c r="D87" s="829">
        <v>81</v>
      </c>
      <c r="E87" s="829" t="s">
        <v>168</v>
      </c>
      <c r="F87" s="829"/>
      <c r="G87" s="829"/>
      <c r="H87" s="829"/>
      <c r="I87" s="829"/>
      <c r="J87" s="829"/>
      <c r="K87" s="829"/>
      <c r="L87" s="829"/>
      <c r="M87" s="1044"/>
      <c r="N87" s="477"/>
      <c r="O87" s="829"/>
      <c r="P87" s="845">
        <v>0.1</v>
      </c>
      <c r="Q87" s="845"/>
      <c r="R87" s="829"/>
      <c r="S87" s="829"/>
      <c r="T87" s="847">
        <f t="shared" si="0"/>
        <v>0.1</v>
      </c>
      <c r="U87" s="847">
        <v>0.1</v>
      </c>
      <c r="V87" s="483" t="s">
        <v>169</v>
      </c>
      <c r="W87" s="471"/>
      <c r="X87" s="3"/>
      <c r="Y87" s="3"/>
      <c r="Z87" s="3"/>
      <c r="AA87" s="3"/>
    </row>
    <row r="88" spans="1:27" ht="39.75" customHeight="1">
      <c r="A88" s="736"/>
      <c r="B88" s="736"/>
      <c r="C88" s="736"/>
      <c r="D88" s="829">
        <v>82</v>
      </c>
      <c r="E88" s="829" t="s">
        <v>170</v>
      </c>
      <c r="F88" s="829"/>
      <c r="G88" s="829"/>
      <c r="H88" s="829"/>
      <c r="I88" s="829"/>
      <c r="J88" s="829"/>
      <c r="K88" s="829"/>
      <c r="L88" s="829"/>
      <c r="M88" s="829"/>
      <c r="N88" s="829"/>
      <c r="O88" s="829"/>
      <c r="P88" s="845"/>
      <c r="Q88" s="829"/>
      <c r="R88" s="829"/>
      <c r="S88" s="829"/>
      <c r="T88" s="847">
        <f t="shared" si="0"/>
        <v>0</v>
      </c>
      <c r="U88" s="847"/>
      <c r="V88" s="483"/>
      <c r="W88" s="471"/>
      <c r="X88" s="3"/>
      <c r="Y88" s="3"/>
      <c r="Z88" s="3"/>
      <c r="AA88" s="3"/>
    </row>
    <row r="89" spans="1:27" ht="210">
      <c r="A89" s="736"/>
      <c r="B89" s="736"/>
      <c r="C89" s="736"/>
      <c r="D89" s="829">
        <v>83</v>
      </c>
      <c r="E89" s="829" t="s">
        <v>172</v>
      </c>
      <c r="F89" s="829"/>
      <c r="G89" s="829"/>
      <c r="H89" s="829"/>
      <c r="I89" s="829"/>
      <c r="J89" s="829"/>
      <c r="K89" s="847">
        <v>0.5</v>
      </c>
      <c r="L89" s="829"/>
      <c r="M89" s="845"/>
      <c r="N89" s="847"/>
      <c r="O89" s="829"/>
      <c r="P89" s="479">
        <v>1</v>
      </c>
      <c r="Q89" s="847"/>
      <c r="R89" s="845"/>
      <c r="S89" s="829"/>
      <c r="T89" s="847">
        <f t="shared" si="0"/>
        <v>1.5</v>
      </c>
      <c r="U89" s="847">
        <v>1.5</v>
      </c>
      <c r="V89" s="738" t="s">
        <v>1794</v>
      </c>
      <c r="W89" s="471"/>
      <c r="X89" s="3"/>
      <c r="Y89" s="3"/>
      <c r="Z89" s="3"/>
      <c r="AA89" s="3"/>
    </row>
    <row r="90" spans="1:27" ht="103.15" customHeight="1">
      <c r="A90" s="736"/>
      <c r="B90" s="829" t="s">
        <v>173</v>
      </c>
      <c r="C90" s="829" t="s">
        <v>174</v>
      </c>
      <c r="D90" s="829">
        <v>84</v>
      </c>
      <c r="E90" s="829" t="s">
        <v>175</v>
      </c>
      <c r="F90" s="829"/>
      <c r="G90" s="829"/>
      <c r="H90" s="829"/>
      <c r="I90" s="847"/>
      <c r="J90" s="829"/>
      <c r="K90" s="847"/>
      <c r="L90" s="829"/>
      <c r="M90" s="829"/>
      <c r="N90" s="477">
        <v>1</v>
      </c>
      <c r="O90" s="829"/>
      <c r="P90" s="829"/>
      <c r="Q90" s="478">
        <v>1.5</v>
      </c>
      <c r="R90" s="479">
        <v>0.5</v>
      </c>
      <c r="S90" s="829"/>
      <c r="T90" s="847">
        <f t="shared" si="0"/>
        <v>3</v>
      </c>
      <c r="U90" s="847">
        <v>3</v>
      </c>
      <c r="V90" s="729" t="s">
        <v>1795</v>
      </c>
      <c r="W90" s="471"/>
      <c r="X90" s="3"/>
      <c r="Y90" s="3"/>
      <c r="Z90" s="3"/>
      <c r="AA90" s="3"/>
    </row>
    <row r="91" spans="1:27" ht="135">
      <c r="A91" s="736"/>
      <c r="B91" s="829" t="s">
        <v>176</v>
      </c>
      <c r="C91" s="829" t="s">
        <v>177</v>
      </c>
      <c r="D91" s="829">
        <v>85</v>
      </c>
      <c r="E91" s="829" t="s">
        <v>178</v>
      </c>
      <c r="F91" s="829"/>
      <c r="G91" s="829"/>
      <c r="H91" s="829"/>
      <c r="I91" s="829"/>
      <c r="J91" s="829"/>
      <c r="K91" s="847"/>
      <c r="L91" s="829"/>
      <c r="M91" s="829"/>
      <c r="N91" s="847">
        <v>0.5</v>
      </c>
      <c r="O91" s="829"/>
      <c r="P91" s="829"/>
      <c r="Q91" s="847">
        <v>1</v>
      </c>
      <c r="R91" s="845"/>
      <c r="S91" s="829"/>
      <c r="T91" s="847">
        <f t="shared" si="0"/>
        <v>1.5</v>
      </c>
      <c r="U91" s="847">
        <v>1.5</v>
      </c>
      <c r="V91" s="729" t="s">
        <v>424</v>
      </c>
      <c r="W91" s="471"/>
      <c r="X91" s="3"/>
      <c r="Y91" s="3"/>
      <c r="Z91" s="3"/>
      <c r="AA91" s="3"/>
    </row>
    <row r="92" spans="1:27" ht="39.75" customHeight="1">
      <c r="A92" s="736"/>
      <c r="B92" s="829" t="s">
        <v>180</v>
      </c>
      <c r="C92" s="829" t="s">
        <v>53</v>
      </c>
      <c r="D92" s="829">
        <v>86</v>
      </c>
      <c r="E92" s="829" t="s">
        <v>181</v>
      </c>
      <c r="F92" s="829"/>
      <c r="G92" s="829"/>
      <c r="H92" s="829"/>
      <c r="I92" s="829"/>
      <c r="J92" s="829"/>
      <c r="K92" s="829"/>
      <c r="L92" s="829"/>
      <c r="M92" s="829"/>
      <c r="N92" s="829"/>
      <c r="O92" s="829"/>
      <c r="P92" s="829"/>
      <c r="Q92" s="829"/>
      <c r="R92" s="829"/>
      <c r="S92" s="829"/>
      <c r="T92" s="847">
        <f t="shared" si="0"/>
        <v>0</v>
      </c>
      <c r="U92" s="847"/>
      <c r="V92" s="729"/>
      <c r="W92" s="471"/>
      <c r="X92" s="3"/>
      <c r="Y92" s="3"/>
      <c r="Z92" s="3"/>
      <c r="AA92" s="3"/>
    </row>
    <row r="93" spans="1:27" ht="39.75" customHeight="1">
      <c r="A93" s="736"/>
      <c r="B93" s="948" t="s">
        <v>182</v>
      </c>
      <c r="C93" s="736"/>
      <c r="D93" s="736"/>
      <c r="E93" s="949"/>
      <c r="F93" s="949">
        <f t="shared" ref="F93:S93" si="8">SUM(F69:F92)</f>
        <v>50.26</v>
      </c>
      <c r="G93" s="949">
        <f t="shared" si="8"/>
        <v>4</v>
      </c>
      <c r="H93" s="949">
        <f t="shared" si="8"/>
        <v>0</v>
      </c>
      <c r="I93" s="949">
        <f t="shared" si="8"/>
        <v>11.46</v>
      </c>
      <c r="J93" s="949">
        <f t="shared" si="8"/>
        <v>0</v>
      </c>
      <c r="K93" s="949">
        <f t="shared" si="8"/>
        <v>0.5</v>
      </c>
      <c r="L93" s="949">
        <f t="shared" si="8"/>
        <v>4.6999999999999993</v>
      </c>
      <c r="M93" s="950">
        <f t="shared" si="8"/>
        <v>13.079999999999998</v>
      </c>
      <c r="N93" s="951">
        <f t="shared" si="8"/>
        <v>21.884999999999998</v>
      </c>
      <c r="O93" s="949">
        <f t="shared" si="8"/>
        <v>57.231000000000002</v>
      </c>
      <c r="P93" s="951">
        <f t="shared" si="8"/>
        <v>46.060000000000009</v>
      </c>
      <c r="Q93" s="949">
        <f t="shared" si="8"/>
        <v>21.945499999999999</v>
      </c>
      <c r="R93" s="950">
        <f t="shared" si="8"/>
        <v>28.0975</v>
      </c>
      <c r="S93" s="950">
        <f t="shared" si="8"/>
        <v>9.6999999999999993</v>
      </c>
      <c r="T93" s="949">
        <f t="shared" si="0"/>
        <v>268.91899999999998</v>
      </c>
      <c r="U93" s="951">
        <f>SUM(U69:U92)</f>
        <v>288.90899999999999</v>
      </c>
      <c r="V93" s="729"/>
      <c r="W93" s="471"/>
      <c r="X93" s="3"/>
      <c r="Y93" s="3"/>
      <c r="Z93" s="3"/>
      <c r="AA93" s="3"/>
    </row>
    <row r="94" spans="1:27" ht="60">
      <c r="A94" s="831" t="s">
        <v>183</v>
      </c>
      <c r="B94" s="828" t="s">
        <v>184</v>
      </c>
      <c r="C94" s="828" t="s">
        <v>185</v>
      </c>
      <c r="D94" s="829">
        <v>87</v>
      </c>
      <c r="E94" s="829" t="s">
        <v>186</v>
      </c>
      <c r="F94" s="855"/>
      <c r="G94" s="855"/>
      <c r="H94" s="855"/>
      <c r="I94" s="855"/>
      <c r="J94" s="855"/>
      <c r="K94" s="857">
        <v>8</v>
      </c>
      <c r="L94" s="855"/>
      <c r="M94" s="855"/>
      <c r="N94" s="855"/>
      <c r="O94" s="855"/>
      <c r="P94" s="855"/>
      <c r="Q94" s="855"/>
      <c r="R94" s="855"/>
      <c r="S94" s="939"/>
      <c r="T94" s="847">
        <f t="shared" si="0"/>
        <v>8</v>
      </c>
      <c r="U94" s="952">
        <v>0</v>
      </c>
      <c r="V94" s="738" t="s">
        <v>620</v>
      </c>
      <c r="W94" s="473"/>
      <c r="X94" s="3"/>
      <c r="Y94" s="3"/>
      <c r="Z94" s="3"/>
      <c r="AA94" s="3"/>
    </row>
    <row r="95" spans="1:27" ht="39.75" customHeight="1">
      <c r="A95" s="736"/>
      <c r="B95" s="736"/>
      <c r="C95" s="736"/>
      <c r="D95" s="829">
        <v>88</v>
      </c>
      <c r="E95" s="829" t="s">
        <v>188</v>
      </c>
      <c r="F95" s="855"/>
      <c r="G95" s="855"/>
      <c r="H95" s="855"/>
      <c r="I95" s="855"/>
      <c r="J95" s="855"/>
      <c r="K95" s="855"/>
      <c r="L95" s="855"/>
      <c r="M95" s="855"/>
      <c r="N95" s="855"/>
      <c r="O95" s="855"/>
      <c r="P95" s="953">
        <v>3</v>
      </c>
      <c r="Q95" s="855"/>
      <c r="R95" s="855"/>
      <c r="S95" s="939"/>
      <c r="T95" s="847">
        <f t="shared" si="0"/>
        <v>3</v>
      </c>
      <c r="U95" s="952">
        <v>3</v>
      </c>
      <c r="V95" s="738" t="s">
        <v>621</v>
      </c>
      <c r="W95" s="474" t="s">
        <v>621</v>
      </c>
      <c r="X95" s="3"/>
      <c r="Y95" s="3"/>
      <c r="Z95" s="3"/>
      <c r="AA95" s="3"/>
    </row>
    <row r="96" spans="1:27" ht="39.75" customHeight="1">
      <c r="A96" s="736"/>
      <c r="B96" s="736"/>
      <c r="C96" s="736"/>
      <c r="D96" s="829">
        <v>89</v>
      </c>
      <c r="E96" s="829" t="s">
        <v>190</v>
      </c>
      <c r="F96" s="855"/>
      <c r="G96" s="855"/>
      <c r="H96" s="855"/>
      <c r="I96" s="855"/>
      <c r="J96" s="855"/>
      <c r="K96" s="855"/>
      <c r="L96" s="855"/>
      <c r="M96" s="855"/>
      <c r="N96" s="855"/>
      <c r="O96" s="855"/>
      <c r="P96" s="855"/>
      <c r="Q96" s="855"/>
      <c r="R96" s="855"/>
      <c r="S96" s="939"/>
      <c r="T96" s="847">
        <f t="shared" si="0"/>
        <v>0</v>
      </c>
      <c r="U96" s="952">
        <v>0</v>
      </c>
      <c r="V96" s="483"/>
      <c r="W96" s="474"/>
      <c r="X96" s="3"/>
      <c r="Y96" s="3"/>
      <c r="Z96" s="3"/>
      <c r="AA96" s="3"/>
    </row>
    <row r="97" spans="1:27" ht="39.75" customHeight="1">
      <c r="A97" s="736"/>
      <c r="B97" s="736"/>
      <c r="C97" s="736"/>
      <c r="D97" s="829">
        <v>90</v>
      </c>
      <c r="E97" s="829" t="s">
        <v>191</v>
      </c>
      <c r="F97" s="855"/>
      <c r="G97" s="855"/>
      <c r="H97" s="855"/>
      <c r="I97" s="855"/>
      <c r="J97" s="855"/>
      <c r="K97" s="855"/>
      <c r="L97" s="855"/>
      <c r="M97" s="855"/>
      <c r="N97" s="855"/>
      <c r="O97" s="855"/>
      <c r="P97" s="954"/>
      <c r="Q97" s="855"/>
      <c r="R97" s="855"/>
      <c r="S97" s="939"/>
      <c r="T97" s="847">
        <f t="shared" si="0"/>
        <v>0</v>
      </c>
      <c r="U97" s="952">
        <v>0</v>
      </c>
      <c r="V97" s="483"/>
      <c r="W97" s="474"/>
      <c r="X97" s="3"/>
      <c r="Y97" s="3"/>
      <c r="Z97" s="3"/>
      <c r="AA97" s="3"/>
    </row>
    <row r="98" spans="1:27" ht="39.75" customHeight="1">
      <c r="A98" s="736"/>
      <c r="B98" s="736"/>
      <c r="C98" s="736"/>
      <c r="D98" s="829">
        <v>91</v>
      </c>
      <c r="E98" s="829" t="s">
        <v>192</v>
      </c>
      <c r="F98" s="855"/>
      <c r="G98" s="855"/>
      <c r="H98" s="855"/>
      <c r="I98" s="855"/>
      <c r="J98" s="855"/>
      <c r="K98" s="857">
        <v>0</v>
      </c>
      <c r="L98" s="855"/>
      <c r="M98" s="855"/>
      <c r="N98" s="855"/>
      <c r="O98" s="855"/>
      <c r="P98" s="953">
        <v>0</v>
      </c>
      <c r="Q98" s="855"/>
      <c r="R98" s="855"/>
      <c r="S98" s="939"/>
      <c r="T98" s="847">
        <f t="shared" si="0"/>
        <v>0</v>
      </c>
      <c r="U98" s="952">
        <v>0</v>
      </c>
      <c r="V98" s="484"/>
      <c r="W98" s="475"/>
      <c r="X98" s="3"/>
      <c r="Y98" s="3"/>
      <c r="Z98" s="3"/>
      <c r="AA98" s="3"/>
    </row>
    <row r="99" spans="1:27" ht="39.75" customHeight="1">
      <c r="A99" s="736"/>
      <c r="B99" s="736"/>
      <c r="C99" s="736"/>
      <c r="D99" s="829">
        <v>92</v>
      </c>
      <c r="E99" s="829" t="s">
        <v>193</v>
      </c>
      <c r="F99" s="855"/>
      <c r="G99" s="855"/>
      <c r="H99" s="855"/>
      <c r="I99" s="855"/>
      <c r="J99" s="855"/>
      <c r="K99" s="855"/>
      <c r="L99" s="855"/>
      <c r="M99" s="855"/>
      <c r="N99" s="855"/>
      <c r="O99" s="855"/>
      <c r="P99" s="953">
        <v>2</v>
      </c>
      <c r="Q99" s="855"/>
      <c r="R99" s="855"/>
      <c r="S99" s="939"/>
      <c r="T99" s="847">
        <f t="shared" si="0"/>
        <v>2</v>
      </c>
      <c r="U99" s="952">
        <v>2</v>
      </c>
      <c r="V99" s="1029" t="s">
        <v>622</v>
      </c>
      <c r="W99" s="476" t="s">
        <v>622</v>
      </c>
      <c r="X99" s="3"/>
      <c r="Y99" s="3"/>
      <c r="Z99" s="3"/>
      <c r="AA99" s="3"/>
    </row>
    <row r="100" spans="1:27" ht="39.75" customHeight="1">
      <c r="A100" s="736"/>
      <c r="B100" s="736"/>
      <c r="C100" s="736"/>
      <c r="D100" s="829">
        <v>93</v>
      </c>
      <c r="E100" s="829" t="s">
        <v>195</v>
      </c>
      <c r="F100" s="855"/>
      <c r="G100" s="855"/>
      <c r="H100" s="855"/>
      <c r="I100" s="954"/>
      <c r="J100" s="855"/>
      <c r="K100" s="855"/>
      <c r="L100" s="855"/>
      <c r="M100" s="855"/>
      <c r="N100" s="855"/>
      <c r="O100" s="855"/>
      <c r="P100" s="855"/>
      <c r="Q100" s="855"/>
      <c r="R100" s="855"/>
      <c r="S100" s="939"/>
      <c r="T100" s="847">
        <f t="shared" si="0"/>
        <v>0</v>
      </c>
      <c r="U100" s="952">
        <v>0</v>
      </c>
      <c r="V100" s="484"/>
      <c r="W100" s="475"/>
      <c r="X100" s="3"/>
      <c r="Y100" s="3"/>
      <c r="Z100" s="3"/>
      <c r="AA100" s="3"/>
    </row>
    <row r="101" spans="1:27" ht="39.75" customHeight="1">
      <c r="A101" s="736"/>
      <c r="B101" s="736"/>
      <c r="C101" s="736"/>
      <c r="D101" s="829">
        <v>94</v>
      </c>
      <c r="E101" s="829" t="s">
        <v>196</v>
      </c>
      <c r="F101" s="855"/>
      <c r="G101" s="855"/>
      <c r="H101" s="855"/>
      <c r="I101" s="954"/>
      <c r="J101" s="855"/>
      <c r="K101" s="855"/>
      <c r="L101" s="855"/>
      <c r="M101" s="855"/>
      <c r="N101" s="855"/>
      <c r="O101" s="855"/>
      <c r="P101" s="855"/>
      <c r="Q101" s="855"/>
      <c r="R101" s="855"/>
      <c r="S101" s="939"/>
      <c r="T101" s="847">
        <f t="shared" si="0"/>
        <v>0</v>
      </c>
      <c r="U101" s="952">
        <v>0</v>
      </c>
      <c r="V101" s="484"/>
      <c r="W101" s="476"/>
      <c r="X101" s="3"/>
      <c r="Y101" s="3"/>
      <c r="Z101" s="3"/>
      <c r="AA101" s="3"/>
    </row>
    <row r="102" spans="1:27" ht="39.75" customHeight="1">
      <c r="A102" s="736"/>
      <c r="B102" s="736"/>
      <c r="C102" s="736"/>
      <c r="D102" s="829">
        <v>95</v>
      </c>
      <c r="E102" s="829" t="s">
        <v>197</v>
      </c>
      <c r="F102" s="855"/>
      <c r="G102" s="855"/>
      <c r="H102" s="954"/>
      <c r="I102" s="857">
        <v>2</v>
      </c>
      <c r="J102" s="855"/>
      <c r="K102" s="855"/>
      <c r="L102" s="855"/>
      <c r="M102" s="855"/>
      <c r="N102" s="855"/>
      <c r="O102" s="855"/>
      <c r="P102" s="855"/>
      <c r="Q102" s="855"/>
      <c r="R102" s="855"/>
      <c r="S102" s="939"/>
      <c r="T102" s="847">
        <f t="shared" si="0"/>
        <v>2</v>
      </c>
      <c r="U102" s="952">
        <v>1</v>
      </c>
      <c r="V102" s="738" t="s">
        <v>623</v>
      </c>
      <c r="W102" s="474" t="s">
        <v>624</v>
      </c>
      <c r="X102" s="3"/>
      <c r="Y102" s="3"/>
      <c r="Z102" s="3"/>
      <c r="AA102" s="3"/>
    </row>
    <row r="103" spans="1:27" ht="210">
      <c r="A103" s="736"/>
      <c r="B103" s="736"/>
      <c r="C103" s="736"/>
      <c r="D103" s="829">
        <v>96</v>
      </c>
      <c r="E103" s="829" t="s">
        <v>199</v>
      </c>
      <c r="F103" s="855"/>
      <c r="G103" s="855"/>
      <c r="H103" s="855"/>
      <c r="I103" s="855"/>
      <c r="J103" s="855"/>
      <c r="K103" s="855"/>
      <c r="L103" s="855"/>
      <c r="M103" s="855"/>
      <c r="N103" s="887"/>
      <c r="O103" s="855"/>
      <c r="P103" s="856">
        <v>2</v>
      </c>
      <c r="Q103" s="857">
        <v>1</v>
      </c>
      <c r="R103" s="953">
        <v>1</v>
      </c>
      <c r="S103" s="939"/>
      <c r="T103" s="847">
        <f t="shared" si="0"/>
        <v>4</v>
      </c>
      <c r="U103" s="952">
        <v>4</v>
      </c>
      <c r="V103" s="738" t="s">
        <v>200</v>
      </c>
      <c r="W103" s="474" t="s">
        <v>200</v>
      </c>
      <c r="X103" s="3"/>
      <c r="Y103" s="3"/>
      <c r="Z103" s="3"/>
      <c r="AA103" s="3"/>
    </row>
    <row r="104" spans="1:27" ht="270">
      <c r="A104" s="736"/>
      <c r="B104" s="828" t="s">
        <v>201</v>
      </c>
      <c r="C104" s="828" t="s">
        <v>202</v>
      </c>
      <c r="D104" s="829">
        <v>97</v>
      </c>
      <c r="E104" s="829" t="s">
        <v>203</v>
      </c>
      <c r="F104" s="1045"/>
      <c r="G104" s="1045"/>
      <c r="H104" s="1045"/>
      <c r="I104" s="1046">
        <v>1</v>
      </c>
      <c r="J104" s="1045"/>
      <c r="K104" s="1046"/>
      <c r="L104" s="1045"/>
      <c r="M104" s="1046"/>
      <c r="N104" s="1046">
        <v>3.75</v>
      </c>
      <c r="O104" s="1045">
        <v>4</v>
      </c>
      <c r="P104" s="1047">
        <v>13.9</v>
      </c>
      <c r="Q104" s="1046">
        <v>2.5</v>
      </c>
      <c r="R104" s="1047">
        <v>12</v>
      </c>
      <c r="S104" s="1045"/>
      <c r="T104" s="1048">
        <v>37.15</v>
      </c>
      <c r="U104" s="1048">
        <v>37.15</v>
      </c>
      <c r="V104" s="749" t="s">
        <v>204</v>
      </c>
      <c r="W104" s="809"/>
      <c r="X104" s="3"/>
      <c r="Y104" s="3"/>
      <c r="Z104" s="3"/>
      <c r="AA104" s="3"/>
    </row>
    <row r="105" spans="1:27" ht="39.75" customHeight="1">
      <c r="A105" s="736"/>
      <c r="B105" s="736"/>
      <c r="C105" s="736"/>
      <c r="D105" s="829">
        <v>98</v>
      </c>
      <c r="E105" s="829" t="s">
        <v>53</v>
      </c>
      <c r="F105" s="1049"/>
      <c r="G105" s="1049"/>
      <c r="H105" s="1049"/>
      <c r="I105" s="1049"/>
      <c r="J105" s="1049"/>
      <c r="K105" s="1049"/>
      <c r="L105" s="1049"/>
      <c r="M105" s="1049"/>
      <c r="N105" s="1049"/>
      <c r="O105" s="1049"/>
      <c r="P105" s="1049"/>
      <c r="Q105" s="1049"/>
      <c r="R105" s="1049"/>
      <c r="S105" s="1049"/>
      <c r="T105" s="1048">
        <v>0</v>
      </c>
      <c r="U105" s="1048"/>
      <c r="V105" s="744"/>
      <c r="W105" s="810"/>
      <c r="X105" s="3"/>
      <c r="Y105" s="3"/>
      <c r="Z105" s="3"/>
      <c r="AA105" s="3"/>
    </row>
    <row r="106" spans="1:27" ht="75">
      <c r="A106" s="736"/>
      <c r="B106" s="828" t="s">
        <v>205</v>
      </c>
      <c r="C106" s="828" t="s">
        <v>206</v>
      </c>
      <c r="D106" s="829">
        <v>99</v>
      </c>
      <c r="E106" s="829" t="s">
        <v>207</v>
      </c>
      <c r="F106" s="1049"/>
      <c r="G106" s="1049"/>
      <c r="H106" s="1050"/>
      <c r="I106" s="1048">
        <v>2</v>
      </c>
      <c r="J106" s="1049"/>
      <c r="K106" s="1048"/>
      <c r="L106" s="1049"/>
      <c r="M106" s="1049"/>
      <c r="N106" s="1048">
        <v>1</v>
      </c>
      <c r="O106" s="1049"/>
      <c r="P106" s="1049"/>
      <c r="Q106" s="1048">
        <v>1</v>
      </c>
      <c r="R106" s="1051"/>
      <c r="S106" s="1049"/>
      <c r="T106" s="1048">
        <v>4</v>
      </c>
      <c r="U106" s="1048">
        <v>3</v>
      </c>
      <c r="V106" s="749" t="s">
        <v>625</v>
      </c>
      <c r="W106" s="518" t="s">
        <v>429</v>
      </c>
      <c r="X106" s="3"/>
      <c r="Y106" s="3"/>
      <c r="Z106" s="3"/>
      <c r="AA106" s="3"/>
    </row>
    <row r="107" spans="1:27" ht="39.75" customHeight="1">
      <c r="A107" s="736"/>
      <c r="B107" s="736"/>
      <c r="C107" s="736"/>
      <c r="D107" s="829">
        <v>100</v>
      </c>
      <c r="E107" s="829" t="s">
        <v>209</v>
      </c>
      <c r="F107" s="1049"/>
      <c r="G107" s="1049"/>
      <c r="H107" s="1049"/>
      <c r="I107" s="1048"/>
      <c r="J107" s="1049"/>
      <c r="K107" s="1048"/>
      <c r="L107" s="1049"/>
      <c r="M107" s="1049"/>
      <c r="N107" s="1049"/>
      <c r="O107" s="1049"/>
      <c r="P107" s="1049"/>
      <c r="Q107" s="1049"/>
      <c r="R107" s="1049"/>
      <c r="S107" s="1049"/>
      <c r="T107" s="1048">
        <v>0</v>
      </c>
      <c r="U107" s="1048">
        <v>0</v>
      </c>
      <c r="V107" s="749"/>
      <c r="W107" s="810"/>
      <c r="X107" s="3"/>
      <c r="Y107" s="3"/>
      <c r="Z107" s="3"/>
      <c r="AA107" s="3"/>
    </row>
    <row r="108" spans="1:27" ht="39.75" customHeight="1">
      <c r="A108" s="736"/>
      <c r="B108" s="736"/>
      <c r="C108" s="736"/>
      <c r="D108" s="829">
        <v>101</v>
      </c>
      <c r="E108" s="829" t="s">
        <v>210</v>
      </c>
      <c r="F108" s="1049"/>
      <c r="G108" s="1049"/>
      <c r="H108" s="1049"/>
      <c r="I108" s="1049"/>
      <c r="J108" s="1049"/>
      <c r="K108" s="1049"/>
      <c r="L108" s="1049"/>
      <c r="M108" s="1049"/>
      <c r="N108" s="1049"/>
      <c r="O108" s="1049"/>
      <c r="P108" s="1049"/>
      <c r="Q108" s="1049"/>
      <c r="R108" s="1049"/>
      <c r="S108" s="1049"/>
      <c r="T108" s="1048">
        <v>0</v>
      </c>
      <c r="U108" s="1048">
        <v>0</v>
      </c>
      <c r="V108" s="744"/>
      <c r="W108" s="810"/>
      <c r="X108" s="3"/>
      <c r="Y108" s="3"/>
      <c r="Z108" s="3"/>
      <c r="AA108" s="3"/>
    </row>
    <row r="109" spans="1:27" ht="39.75" customHeight="1">
      <c r="A109" s="736"/>
      <c r="B109" s="736"/>
      <c r="C109" s="736"/>
      <c r="D109" s="829">
        <v>102</v>
      </c>
      <c r="E109" s="829" t="s">
        <v>211</v>
      </c>
      <c r="F109" s="1049"/>
      <c r="G109" s="1049"/>
      <c r="H109" s="1049"/>
      <c r="I109" s="1049"/>
      <c r="J109" s="1049"/>
      <c r="K109" s="1049"/>
      <c r="L109" s="1049"/>
      <c r="M109" s="1049"/>
      <c r="N109" s="1049"/>
      <c r="O109" s="1049"/>
      <c r="P109" s="1049"/>
      <c r="Q109" s="1048"/>
      <c r="R109" s="1049"/>
      <c r="S109" s="1049"/>
      <c r="T109" s="1048">
        <v>0</v>
      </c>
      <c r="U109" s="1048"/>
      <c r="V109" s="744"/>
      <c r="W109" s="810"/>
      <c r="X109" s="3"/>
      <c r="Y109" s="3"/>
      <c r="Z109" s="3"/>
      <c r="AA109" s="3"/>
    </row>
    <row r="110" spans="1:27" ht="45">
      <c r="A110" s="736"/>
      <c r="B110" s="736"/>
      <c r="C110" s="736"/>
      <c r="D110" s="829">
        <v>103</v>
      </c>
      <c r="E110" s="829" t="s">
        <v>53</v>
      </c>
      <c r="F110" s="1049"/>
      <c r="G110" s="1049"/>
      <c r="H110" s="1049"/>
      <c r="I110" s="1049"/>
      <c r="J110" s="1049"/>
      <c r="K110" s="1049"/>
      <c r="L110" s="1049"/>
      <c r="M110" s="1049"/>
      <c r="N110" s="1049"/>
      <c r="O110" s="1049"/>
      <c r="P110" s="1050">
        <v>12.5</v>
      </c>
      <c r="Q110" s="1049"/>
      <c r="R110" s="1050">
        <v>0</v>
      </c>
      <c r="S110" s="1050"/>
      <c r="T110" s="1048">
        <v>12.5</v>
      </c>
      <c r="U110" s="1048">
        <v>12.5</v>
      </c>
      <c r="V110" s="749" t="s">
        <v>212</v>
      </c>
      <c r="W110" s="810"/>
      <c r="X110" s="3"/>
      <c r="Y110" s="3"/>
      <c r="Z110" s="3"/>
      <c r="AA110" s="3"/>
    </row>
    <row r="111" spans="1:27" ht="375">
      <c r="A111" s="736"/>
      <c r="B111" s="828" t="s">
        <v>213</v>
      </c>
      <c r="C111" s="828" t="s">
        <v>214</v>
      </c>
      <c r="D111" s="829">
        <v>104</v>
      </c>
      <c r="E111" s="829" t="s">
        <v>215</v>
      </c>
      <c r="F111" s="1051"/>
      <c r="G111" s="1051"/>
      <c r="H111" s="1051"/>
      <c r="I111" s="1051"/>
      <c r="J111" s="1051"/>
      <c r="K111" s="1051"/>
      <c r="L111" s="1051"/>
      <c r="M111" s="1051"/>
      <c r="N111" s="1047">
        <v>0.8</v>
      </c>
      <c r="O111" s="1051"/>
      <c r="P111" s="1047"/>
      <c r="Q111" s="1047">
        <v>1.5</v>
      </c>
      <c r="R111" s="1052">
        <v>1.5</v>
      </c>
      <c r="S111" s="1052"/>
      <c r="T111" s="1048">
        <v>3.8</v>
      </c>
      <c r="U111" s="1048">
        <v>3.8</v>
      </c>
      <c r="V111" s="749" t="s">
        <v>1639</v>
      </c>
      <c r="W111" s="810"/>
      <c r="X111" s="3"/>
      <c r="Y111" s="3"/>
      <c r="Z111" s="3"/>
      <c r="AA111" s="3"/>
    </row>
    <row r="112" spans="1:27" ht="90">
      <c r="A112" s="736"/>
      <c r="B112" s="736"/>
      <c r="C112" s="736"/>
      <c r="D112" s="829">
        <v>105</v>
      </c>
      <c r="E112" s="829" t="s">
        <v>216</v>
      </c>
      <c r="F112" s="1051"/>
      <c r="G112" s="1051"/>
      <c r="H112" s="1051"/>
      <c r="I112" s="1051"/>
      <c r="J112" s="1051"/>
      <c r="K112" s="1051"/>
      <c r="L112" s="1051"/>
      <c r="M112" s="1051"/>
      <c r="N112" s="1051"/>
      <c r="O112" s="1051"/>
      <c r="P112" s="1053">
        <v>2</v>
      </c>
      <c r="Q112" s="1051"/>
      <c r="R112" s="1051"/>
      <c r="S112" s="1051"/>
      <c r="T112" s="1048">
        <v>2</v>
      </c>
      <c r="U112" s="1048">
        <v>2</v>
      </c>
      <c r="V112" s="744" t="s">
        <v>217</v>
      </c>
      <c r="W112" s="810"/>
      <c r="X112" s="3"/>
      <c r="Y112" s="3"/>
      <c r="Z112" s="3"/>
      <c r="AA112" s="3"/>
    </row>
    <row r="113" spans="1:27" ht="60">
      <c r="A113" s="736"/>
      <c r="B113" s="736"/>
      <c r="C113" s="736"/>
      <c r="D113" s="829">
        <v>106</v>
      </c>
      <c r="E113" s="829" t="s">
        <v>218</v>
      </c>
      <c r="F113" s="1051"/>
      <c r="G113" s="1051"/>
      <c r="H113" s="1051"/>
      <c r="I113" s="1046"/>
      <c r="J113" s="1051"/>
      <c r="K113" s="1054"/>
      <c r="L113" s="1051"/>
      <c r="M113" s="1051"/>
      <c r="N113" s="1055">
        <v>0.2</v>
      </c>
      <c r="O113" s="1051"/>
      <c r="P113" s="1052"/>
      <c r="Q113" s="1054"/>
      <c r="R113" s="1052"/>
      <c r="S113" s="1052"/>
      <c r="T113" s="1048">
        <v>0.2</v>
      </c>
      <c r="U113" s="1048">
        <v>0.2</v>
      </c>
      <c r="V113" s="749" t="s">
        <v>219</v>
      </c>
      <c r="W113" s="810"/>
      <c r="X113" s="3"/>
      <c r="Y113" s="3"/>
      <c r="Z113" s="3"/>
      <c r="AA113" s="3"/>
    </row>
    <row r="114" spans="1:27" ht="105">
      <c r="A114" s="736"/>
      <c r="B114" s="828" t="s">
        <v>220</v>
      </c>
      <c r="C114" s="828" t="s">
        <v>221</v>
      </c>
      <c r="D114" s="829">
        <v>107</v>
      </c>
      <c r="E114" s="829" t="s">
        <v>222</v>
      </c>
      <c r="F114" s="1049"/>
      <c r="G114" s="1049"/>
      <c r="H114" s="1056"/>
      <c r="I114" s="1048"/>
      <c r="J114" s="1049"/>
      <c r="K114" s="1048"/>
      <c r="L114" s="1049"/>
      <c r="M114" s="1049"/>
      <c r="N114" s="1048"/>
      <c r="O114" s="1049"/>
      <c r="P114" s="1047">
        <v>2.5</v>
      </c>
      <c r="Q114" s="1045"/>
      <c r="R114" s="1047">
        <v>1</v>
      </c>
      <c r="S114" s="1049"/>
      <c r="T114" s="1048">
        <v>3.5</v>
      </c>
      <c r="U114" s="1048">
        <v>3.5</v>
      </c>
      <c r="V114" s="749" t="s">
        <v>223</v>
      </c>
      <c r="W114" s="810"/>
      <c r="X114" s="3"/>
      <c r="Y114" s="3"/>
      <c r="Z114" s="3"/>
      <c r="AA114" s="3"/>
    </row>
    <row r="115" spans="1:27" ht="39.75" customHeight="1">
      <c r="A115" s="736"/>
      <c r="B115" s="736"/>
      <c r="C115" s="736"/>
      <c r="D115" s="829">
        <v>108</v>
      </c>
      <c r="E115" s="829" t="s">
        <v>224</v>
      </c>
      <c r="F115" s="1049"/>
      <c r="G115" s="1049"/>
      <c r="H115" s="1049"/>
      <c r="I115" s="1048"/>
      <c r="J115" s="1049"/>
      <c r="K115" s="1048"/>
      <c r="L115" s="1049"/>
      <c r="M115" s="1049"/>
      <c r="N115" s="1049"/>
      <c r="O115" s="1049"/>
      <c r="P115" s="1050">
        <v>5</v>
      </c>
      <c r="Q115" s="1049"/>
      <c r="R115" s="1049"/>
      <c r="S115" s="1049"/>
      <c r="T115" s="1048">
        <v>5</v>
      </c>
      <c r="U115" s="1048">
        <v>5</v>
      </c>
      <c r="V115" s="749" t="s">
        <v>225</v>
      </c>
      <c r="W115" s="810"/>
      <c r="X115" s="3"/>
      <c r="Y115" s="3"/>
      <c r="Z115" s="3"/>
      <c r="AA115" s="3"/>
    </row>
    <row r="116" spans="1:27" ht="39.75" customHeight="1">
      <c r="A116" s="736"/>
      <c r="B116" s="736"/>
      <c r="C116" s="736"/>
      <c r="D116" s="829">
        <v>109</v>
      </c>
      <c r="E116" s="829" t="s">
        <v>226</v>
      </c>
      <c r="F116" s="1049"/>
      <c r="G116" s="1049"/>
      <c r="H116" s="1050"/>
      <c r="I116" s="1048"/>
      <c r="J116" s="1049"/>
      <c r="K116" s="1048"/>
      <c r="L116" s="1049"/>
      <c r="M116" s="1049"/>
      <c r="N116" s="1049"/>
      <c r="O116" s="1049"/>
      <c r="P116" s="1049"/>
      <c r="Q116" s="1049"/>
      <c r="R116" s="1049"/>
      <c r="S116" s="1049"/>
      <c r="T116" s="1048">
        <v>0</v>
      </c>
      <c r="U116" s="1048">
        <v>0</v>
      </c>
      <c r="V116" s="744"/>
      <c r="W116" s="810"/>
      <c r="X116" s="3"/>
      <c r="Y116" s="3"/>
      <c r="Z116" s="3"/>
      <c r="AA116" s="3"/>
    </row>
    <row r="117" spans="1:27" ht="195">
      <c r="A117" s="736"/>
      <c r="B117" s="736"/>
      <c r="C117" s="736"/>
      <c r="D117" s="829">
        <v>110</v>
      </c>
      <c r="E117" s="829" t="s">
        <v>227</v>
      </c>
      <c r="F117" s="1049"/>
      <c r="G117" s="1049"/>
      <c r="H117" s="1049"/>
      <c r="I117" s="1048"/>
      <c r="J117" s="1049"/>
      <c r="K117" s="1048"/>
      <c r="L117" s="1049"/>
      <c r="M117" s="1050"/>
      <c r="N117" s="1048">
        <v>3</v>
      </c>
      <c r="O117" s="1050">
        <v>43.33</v>
      </c>
      <c r="P117" s="1048"/>
      <c r="Q117" s="1050">
        <v>5.38</v>
      </c>
      <c r="R117" s="1050">
        <v>3</v>
      </c>
      <c r="S117" s="1049"/>
      <c r="T117" s="847">
        <f>SUM(F117:S117)</f>
        <v>54.71</v>
      </c>
      <c r="U117" s="1048">
        <f>T117</f>
        <v>54.71</v>
      </c>
      <c r="V117" s="744" t="s">
        <v>626</v>
      </c>
      <c r="W117" s="810"/>
      <c r="X117" s="3"/>
      <c r="Y117" s="3"/>
      <c r="Z117" s="3"/>
      <c r="AA117" s="3"/>
    </row>
    <row r="118" spans="1:27" ht="39.75" customHeight="1">
      <c r="A118" s="736"/>
      <c r="B118" s="736"/>
      <c r="C118" s="736"/>
      <c r="D118" s="829">
        <v>111</v>
      </c>
      <c r="E118" s="829" t="s">
        <v>53</v>
      </c>
      <c r="F118" s="1049"/>
      <c r="G118" s="1049"/>
      <c r="H118" s="1049"/>
      <c r="I118" s="1050"/>
      <c r="J118" s="1049"/>
      <c r="K118" s="1050"/>
      <c r="L118" s="1049"/>
      <c r="M118" s="1049"/>
      <c r="N118" s="1049"/>
      <c r="O118" s="1049"/>
      <c r="P118" s="1050"/>
      <c r="Q118" s="1048"/>
      <c r="R118" s="1049"/>
      <c r="S118" s="1050"/>
      <c r="T118" s="1048">
        <v>0</v>
      </c>
      <c r="U118" s="1048"/>
      <c r="V118" s="749"/>
      <c r="W118" s="810"/>
      <c r="X118" s="3"/>
      <c r="Y118" s="3"/>
      <c r="Z118" s="3"/>
      <c r="AA118" s="3"/>
    </row>
    <row r="119" spans="1:27" ht="39.75" customHeight="1">
      <c r="A119" s="736"/>
      <c r="B119" s="828" t="s">
        <v>229</v>
      </c>
      <c r="C119" s="828" t="s">
        <v>230</v>
      </c>
      <c r="D119" s="829">
        <v>112</v>
      </c>
      <c r="E119" s="829" t="s">
        <v>231</v>
      </c>
      <c r="F119" s="1049"/>
      <c r="G119" s="1049"/>
      <c r="H119" s="1049"/>
      <c r="I119" s="1048"/>
      <c r="J119" s="1049"/>
      <c r="K119" s="1048"/>
      <c r="L119" s="1049"/>
      <c r="M119" s="1049"/>
      <c r="N119" s="1049"/>
      <c r="O119" s="1049"/>
      <c r="P119" s="1049"/>
      <c r="Q119" s="1048"/>
      <c r="R119" s="1049"/>
      <c r="S119" s="1049"/>
      <c r="T119" s="1048">
        <v>0</v>
      </c>
      <c r="U119" s="1048"/>
      <c r="V119" s="744"/>
      <c r="W119" s="810"/>
      <c r="X119" s="3"/>
      <c r="Y119" s="3"/>
      <c r="Z119" s="3"/>
      <c r="AA119" s="3"/>
    </row>
    <row r="120" spans="1:27" ht="39.75" customHeight="1">
      <c r="A120" s="736"/>
      <c r="B120" s="736"/>
      <c r="C120" s="736"/>
      <c r="D120" s="829">
        <v>113</v>
      </c>
      <c r="E120" s="829" t="s">
        <v>232</v>
      </c>
      <c r="F120" s="1045"/>
      <c r="G120" s="1045"/>
      <c r="H120" s="1045"/>
      <c r="I120" s="1046"/>
      <c r="J120" s="1045"/>
      <c r="K120" s="1046"/>
      <c r="L120" s="1045"/>
      <c r="M120" s="1046"/>
      <c r="N120" s="1046">
        <v>0.5</v>
      </c>
      <c r="O120" s="1045"/>
      <c r="P120" s="1045"/>
      <c r="Q120" s="1046">
        <v>0.3</v>
      </c>
      <c r="R120" s="1045"/>
      <c r="S120" s="1045"/>
      <c r="T120" s="1048">
        <v>0.8</v>
      </c>
      <c r="U120" s="1048">
        <v>0.8</v>
      </c>
      <c r="V120" s="749" t="s">
        <v>627</v>
      </c>
      <c r="W120" s="810"/>
      <c r="X120" s="3"/>
      <c r="Y120" s="3"/>
      <c r="Z120" s="3"/>
      <c r="AA120" s="3"/>
    </row>
    <row r="121" spans="1:27" ht="120">
      <c r="A121" s="736"/>
      <c r="B121" s="829" t="s">
        <v>234</v>
      </c>
      <c r="C121" s="829" t="s">
        <v>235</v>
      </c>
      <c r="D121" s="829">
        <v>114</v>
      </c>
      <c r="E121" s="829" t="s">
        <v>236</v>
      </c>
      <c r="F121" s="1049"/>
      <c r="G121" s="1049"/>
      <c r="H121" s="1050"/>
      <c r="I121" s="1049">
        <v>0.14000000000000001</v>
      </c>
      <c r="J121" s="1049"/>
      <c r="K121" s="1049"/>
      <c r="L121" s="1049"/>
      <c r="M121" s="1049"/>
      <c r="N121" s="1050">
        <v>0.5</v>
      </c>
      <c r="O121" s="1049"/>
      <c r="P121" s="1050">
        <v>14.9</v>
      </c>
      <c r="Q121" s="1048">
        <v>0.5</v>
      </c>
      <c r="R121" s="1050">
        <v>0.5</v>
      </c>
      <c r="S121" s="1050">
        <v>0</v>
      </c>
      <c r="T121" s="1048">
        <v>16.54</v>
      </c>
      <c r="U121" s="1048">
        <v>16.54</v>
      </c>
      <c r="V121" s="749" t="s">
        <v>497</v>
      </c>
      <c r="W121" s="810"/>
      <c r="X121" s="3"/>
      <c r="Y121" s="3"/>
      <c r="Z121" s="3"/>
      <c r="AA121" s="3"/>
    </row>
    <row r="122" spans="1:27" ht="105">
      <c r="A122" s="736"/>
      <c r="B122" s="828" t="s">
        <v>238</v>
      </c>
      <c r="C122" s="828" t="s">
        <v>239</v>
      </c>
      <c r="D122" s="829">
        <v>115</v>
      </c>
      <c r="E122" s="829" t="s">
        <v>240</v>
      </c>
      <c r="F122" s="1049"/>
      <c r="G122" s="1049"/>
      <c r="H122" s="1049"/>
      <c r="I122" s="1049"/>
      <c r="J122" s="1049"/>
      <c r="K122" s="1049"/>
      <c r="L122" s="1049"/>
      <c r="M122" s="1048">
        <v>1</v>
      </c>
      <c r="N122" s="1049"/>
      <c r="O122" s="1049"/>
      <c r="P122" s="1049"/>
      <c r="Q122" s="1049">
        <v>6.9</v>
      </c>
      <c r="R122" s="1049"/>
      <c r="S122" s="1049"/>
      <c r="T122" s="1048">
        <v>7.9</v>
      </c>
      <c r="U122" s="1048">
        <v>7.9</v>
      </c>
      <c r="V122" s="779" t="s">
        <v>498</v>
      </c>
      <c r="W122" s="810"/>
      <c r="X122" s="3"/>
      <c r="Y122" s="3"/>
      <c r="Z122" s="3"/>
      <c r="AA122" s="3"/>
    </row>
    <row r="123" spans="1:27" ht="45">
      <c r="A123" s="736"/>
      <c r="B123" s="736"/>
      <c r="C123" s="736"/>
      <c r="D123" s="829">
        <v>116</v>
      </c>
      <c r="E123" s="829" t="s">
        <v>242</v>
      </c>
      <c r="F123" s="1049"/>
      <c r="G123" s="1049"/>
      <c r="H123" s="1049"/>
      <c r="I123" s="1049"/>
      <c r="J123" s="1049"/>
      <c r="K123" s="1049"/>
      <c r="L123" s="1049"/>
      <c r="M123" s="1048">
        <v>5.55</v>
      </c>
      <c r="N123" s="1049"/>
      <c r="O123" s="1049"/>
      <c r="P123" s="1049"/>
      <c r="Q123" s="1048"/>
      <c r="R123" s="1049"/>
      <c r="S123" s="1049"/>
      <c r="T123" s="1048">
        <v>5.55</v>
      </c>
      <c r="U123" s="1048">
        <v>5.55</v>
      </c>
      <c r="V123" s="779" t="s">
        <v>243</v>
      </c>
      <c r="W123" s="810"/>
      <c r="X123" s="3"/>
      <c r="Y123" s="3"/>
      <c r="Z123" s="3"/>
      <c r="AA123" s="3"/>
    </row>
    <row r="124" spans="1:27" ht="39.75" customHeight="1">
      <c r="A124" s="736"/>
      <c r="B124" s="736"/>
      <c r="C124" s="736"/>
      <c r="D124" s="829">
        <v>117</v>
      </c>
      <c r="E124" s="829" t="s">
        <v>244</v>
      </c>
      <c r="F124" s="1049"/>
      <c r="G124" s="1049"/>
      <c r="H124" s="1049"/>
      <c r="I124" s="1049"/>
      <c r="J124" s="1049"/>
      <c r="K124" s="1049"/>
      <c r="L124" s="1049"/>
      <c r="M124" s="1049"/>
      <c r="N124" s="1049"/>
      <c r="O124" s="1049"/>
      <c r="P124" s="1049"/>
      <c r="Q124" s="1049"/>
      <c r="R124" s="1049"/>
      <c r="S124" s="1049"/>
      <c r="T124" s="1048">
        <v>0</v>
      </c>
      <c r="U124" s="1048"/>
      <c r="V124" s="744"/>
      <c r="W124" s="810"/>
      <c r="X124" s="3"/>
      <c r="Y124" s="3"/>
      <c r="Z124" s="3"/>
      <c r="AA124" s="3"/>
    </row>
    <row r="125" spans="1:27" ht="39.75" customHeight="1">
      <c r="A125" s="736"/>
      <c r="B125" s="736"/>
      <c r="C125" s="736"/>
      <c r="D125" s="829">
        <v>118</v>
      </c>
      <c r="E125" s="829" t="s">
        <v>53</v>
      </c>
      <c r="F125" s="1049"/>
      <c r="G125" s="1049"/>
      <c r="H125" s="1049"/>
      <c r="I125" s="1049"/>
      <c r="J125" s="1049"/>
      <c r="K125" s="1049"/>
      <c r="L125" s="1049"/>
      <c r="M125" s="1049"/>
      <c r="N125" s="1049"/>
      <c r="O125" s="1049"/>
      <c r="P125" s="1049"/>
      <c r="Q125" s="1048"/>
      <c r="R125" s="1049"/>
      <c r="S125" s="1049"/>
      <c r="T125" s="1048">
        <v>0</v>
      </c>
      <c r="U125" s="1048"/>
      <c r="V125" s="744"/>
      <c r="W125" s="810"/>
      <c r="X125" s="3"/>
      <c r="Y125" s="3"/>
      <c r="Z125" s="3"/>
      <c r="AA125" s="3"/>
    </row>
    <row r="126" spans="1:27" ht="63.6" customHeight="1">
      <c r="A126" s="736"/>
      <c r="B126" s="829" t="s">
        <v>245</v>
      </c>
      <c r="C126" s="829" t="s">
        <v>246</v>
      </c>
      <c r="D126" s="829">
        <v>119</v>
      </c>
      <c r="E126" s="829" t="s">
        <v>247</v>
      </c>
      <c r="F126" s="1045"/>
      <c r="G126" s="1045"/>
      <c r="H126" s="1047"/>
      <c r="I126" s="1046"/>
      <c r="J126" s="1045"/>
      <c r="K126" s="1045"/>
      <c r="L126" s="1045"/>
      <c r="M126" s="1045"/>
      <c r="N126" s="1046">
        <v>2</v>
      </c>
      <c r="O126" s="1045"/>
      <c r="P126" s="1047">
        <v>8</v>
      </c>
      <c r="Q126" s="1046"/>
      <c r="R126" s="1045"/>
      <c r="S126" s="1045">
        <v>0</v>
      </c>
      <c r="T126" s="1048">
        <v>10</v>
      </c>
      <c r="U126" s="1048">
        <v>10</v>
      </c>
      <c r="V126" s="749" t="s">
        <v>248</v>
      </c>
      <c r="W126" s="810"/>
      <c r="X126" s="3"/>
      <c r="Y126" s="3"/>
      <c r="Z126" s="3"/>
      <c r="AA126" s="3"/>
    </row>
    <row r="127" spans="1:27" ht="39.75" customHeight="1">
      <c r="A127" s="736"/>
      <c r="B127" s="829" t="s">
        <v>249</v>
      </c>
      <c r="C127" s="829" t="s">
        <v>250</v>
      </c>
      <c r="D127" s="829">
        <v>120</v>
      </c>
      <c r="E127" s="829" t="s">
        <v>251</v>
      </c>
      <c r="F127" s="1049"/>
      <c r="G127" s="1049"/>
      <c r="H127" s="1049"/>
      <c r="I127" s="1049"/>
      <c r="J127" s="1049"/>
      <c r="K127" s="1050"/>
      <c r="L127" s="1049"/>
      <c r="M127" s="1050"/>
      <c r="N127" s="1048"/>
      <c r="O127" s="1049"/>
      <c r="P127" s="1050"/>
      <c r="Q127" s="1048"/>
      <c r="R127" s="1050"/>
      <c r="S127" s="1049"/>
      <c r="T127" s="1048">
        <v>0</v>
      </c>
      <c r="U127" s="1048"/>
      <c r="V127" s="744"/>
      <c r="W127" s="810"/>
      <c r="X127" s="3"/>
      <c r="Y127" s="3"/>
      <c r="Z127" s="3"/>
      <c r="AA127" s="3"/>
    </row>
    <row r="128" spans="1:27" ht="39.75" customHeight="1">
      <c r="A128" s="736"/>
      <c r="B128" s="828" t="s">
        <v>252</v>
      </c>
      <c r="C128" s="828" t="s">
        <v>253</v>
      </c>
      <c r="D128" s="829">
        <v>121</v>
      </c>
      <c r="E128" s="829" t="s">
        <v>254</v>
      </c>
      <c r="F128" s="940">
        <v>0</v>
      </c>
      <c r="G128" s="940">
        <v>0</v>
      </c>
      <c r="H128" s="940">
        <v>0</v>
      </c>
      <c r="I128" s="952">
        <v>0</v>
      </c>
      <c r="J128" s="940">
        <v>0</v>
      </c>
      <c r="K128" s="940">
        <v>0</v>
      </c>
      <c r="L128" s="940">
        <v>0</v>
      </c>
      <c r="M128" s="940">
        <v>0</v>
      </c>
      <c r="N128" s="940">
        <v>0.48</v>
      </c>
      <c r="O128" s="940">
        <v>0</v>
      </c>
      <c r="P128" s="940">
        <v>0</v>
      </c>
      <c r="Q128" s="940">
        <v>0</v>
      </c>
      <c r="R128" s="940">
        <v>0</v>
      </c>
      <c r="S128" s="940">
        <v>0</v>
      </c>
      <c r="T128" s="847">
        <f t="shared" ref="T128:T130" si="9">SUM(F128:S128)</f>
        <v>0.48</v>
      </c>
      <c r="U128" s="952">
        <v>0.96</v>
      </c>
      <c r="V128" s="749" t="s">
        <v>499</v>
      </c>
      <c r="W128" s="132" t="s">
        <v>500</v>
      </c>
      <c r="X128" s="3"/>
      <c r="Y128" s="3"/>
      <c r="Z128" s="3"/>
      <c r="AA128" s="3"/>
    </row>
    <row r="129" spans="1:27" ht="39.75" customHeight="1">
      <c r="A129" s="736"/>
      <c r="B129" s="736"/>
      <c r="C129" s="736"/>
      <c r="D129" s="829">
        <v>122</v>
      </c>
      <c r="E129" s="829" t="s">
        <v>256</v>
      </c>
      <c r="F129" s="940">
        <v>0</v>
      </c>
      <c r="G129" s="940">
        <v>0</v>
      </c>
      <c r="H129" s="940">
        <v>0</v>
      </c>
      <c r="I129" s="940">
        <v>0</v>
      </c>
      <c r="J129" s="940">
        <v>0</v>
      </c>
      <c r="K129" s="940">
        <v>0</v>
      </c>
      <c r="L129" s="940">
        <v>0</v>
      </c>
      <c r="M129" s="940">
        <v>0</v>
      </c>
      <c r="N129" s="940">
        <v>0</v>
      </c>
      <c r="O129" s="940">
        <v>0</v>
      </c>
      <c r="P129" s="940">
        <v>0</v>
      </c>
      <c r="Q129" s="940">
        <v>0</v>
      </c>
      <c r="R129" s="940">
        <v>0</v>
      </c>
      <c r="S129" s="940">
        <v>0</v>
      </c>
      <c r="T129" s="847">
        <f t="shared" si="9"/>
        <v>0</v>
      </c>
      <c r="U129" s="952">
        <v>0</v>
      </c>
      <c r="V129" s="482"/>
      <c r="W129" s="133"/>
      <c r="X129" s="3"/>
      <c r="Y129" s="3"/>
      <c r="Z129" s="3"/>
      <c r="AA129" s="3"/>
    </row>
    <row r="130" spans="1:27" ht="120">
      <c r="A130" s="736"/>
      <c r="B130" s="736"/>
      <c r="C130" s="736"/>
      <c r="D130" s="829">
        <v>123</v>
      </c>
      <c r="E130" s="829" t="s">
        <v>257</v>
      </c>
      <c r="F130" s="940">
        <v>0</v>
      </c>
      <c r="G130" s="940">
        <v>0</v>
      </c>
      <c r="H130" s="940">
        <v>0</v>
      </c>
      <c r="I130" s="940">
        <v>0</v>
      </c>
      <c r="J130" s="940">
        <v>0</v>
      </c>
      <c r="K130" s="940">
        <v>0</v>
      </c>
      <c r="L130" s="940">
        <v>0</v>
      </c>
      <c r="M130" s="940">
        <v>0</v>
      </c>
      <c r="N130" s="940">
        <v>0</v>
      </c>
      <c r="O130" s="940">
        <v>0</v>
      </c>
      <c r="P130" s="959">
        <v>0</v>
      </c>
      <c r="Q130" s="952">
        <v>1.5</v>
      </c>
      <c r="R130" s="940">
        <v>0</v>
      </c>
      <c r="S130" s="940">
        <v>0</v>
      </c>
      <c r="T130" s="847">
        <f t="shared" si="9"/>
        <v>1.5</v>
      </c>
      <c r="U130" s="952">
        <v>1.5</v>
      </c>
      <c r="V130" s="749" t="s">
        <v>258</v>
      </c>
      <c r="W130" s="133" t="s">
        <v>258</v>
      </c>
      <c r="X130" s="3"/>
      <c r="Y130" s="3"/>
      <c r="Z130" s="3"/>
      <c r="AA130" s="3"/>
    </row>
    <row r="131" spans="1:27" ht="39.75" customHeight="1">
      <c r="A131" s="736"/>
      <c r="B131" s="828" t="s">
        <v>259</v>
      </c>
      <c r="C131" s="828" t="s">
        <v>260</v>
      </c>
      <c r="D131" s="829">
        <v>124</v>
      </c>
      <c r="E131" s="829" t="s">
        <v>261</v>
      </c>
      <c r="F131" s="955"/>
      <c r="G131" s="955"/>
      <c r="H131" s="957">
        <v>0</v>
      </c>
      <c r="I131" s="955"/>
      <c r="J131" s="955"/>
      <c r="K131" s="955"/>
      <c r="L131" s="955"/>
      <c r="M131" s="955"/>
      <c r="N131" s="940">
        <v>1</v>
      </c>
      <c r="O131" s="940"/>
      <c r="P131" s="940"/>
      <c r="Q131" s="959">
        <v>0.5</v>
      </c>
      <c r="R131" s="940"/>
      <c r="S131" s="955"/>
      <c r="T131" s="956">
        <v>1.5</v>
      </c>
      <c r="U131" s="956">
        <v>1.5</v>
      </c>
      <c r="V131" s="781" t="s">
        <v>628</v>
      </c>
      <c r="W131" s="471"/>
      <c r="X131" s="3"/>
      <c r="Y131" s="3"/>
      <c r="Z131" s="3"/>
      <c r="AA131" s="3"/>
    </row>
    <row r="132" spans="1:27" ht="39.75" customHeight="1">
      <c r="A132" s="736"/>
      <c r="B132" s="736"/>
      <c r="C132" s="736"/>
      <c r="D132" s="829">
        <v>125</v>
      </c>
      <c r="E132" s="829" t="s">
        <v>263</v>
      </c>
      <c r="F132" s="955"/>
      <c r="G132" s="955"/>
      <c r="H132" s="957"/>
      <c r="I132" s="955"/>
      <c r="J132" s="955"/>
      <c r="K132" s="955"/>
      <c r="L132" s="955"/>
      <c r="M132" s="955"/>
      <c r="N132" s="940">
        <v>1</v>
      </c>
      <c r="O132" s="940"/>
      <c r="P132" s="940"/>
      <c r="Q132" s="959">
        <v>0.5</v>
      </c>
      <c r="R132" s="955"/>
      <c r="S132" s="955"/>
      <c r="T132" s="956">
        <v>1.5</v>
      </c>
      <c r="U132" s="956">
        <v>1.5</v>
      </c>
      <c r="V132" s="781" t="s">
        <v>628</v>
      </c>
      <c r="W132" s="471"/>
      <c r="X132" s="3"/>
      <c r="Y132" s="3"/>
      <c r="Z132" s="3"/>
      <c r="AA132" s="3"/>
    </row>
    <row r="133" spans="1:27" ht="39.75" customHeight="1">
      <c r="A133" s="736"/>
      <c r="B133" s="829" t="s">
        <v>264</v>
      </c>
      <c r="C133" s="829" t="s">
        <v>265</v>
      </c>
      <c r="D133" s="829">
        <v>126</v>
      </c>
      <c r="E133" s="829" t="s">
        <v>181</v>
      </c>
      <c r="F133" s="829"/>
      <c r="G133" s="829"/>
      <c r="H133" s="829"/>
      <c r="I133" s="829"/>
      <c r="J133" s="829"/>
      <c r="K133" s="829"/>
      <c r="L133" s="829"/>
      <c r="M133" s="829"/>
      <c r="N133" s="829"/>
      <c r="O133" s="829"/>
      <c r="P133" s="829"/>
      <c r="Q133" s="829"/>
      <c r="R133" s="829"/>
      <c r="S133" s="829"/>
      <c r="T133" s="847">
        <f t="shared" ref="T133:T205" si="10">SUM(F133:S133)</f>
        <v>0</v>
      </c>
      <c r="U133" s="847"/>
      <c r="V133" s="729"/>
      <c r="W133" s="471"/>
      <c r="X133" s="3"/>
      <c r="Y133" s="3"/>
      <c r="Z133" s="3"/>
      <c r="AA133" s="3"/>
    </row>
    <row r="134" spans="1:27" ht="39.75" customHeight="1">
      <c r="A134" s="736"/>
      <c r="B134" s="948" t="s">
        <v>266</v>
      </c>
      <c r="C134" s="736"/>
      <c r="D134" s="736"/>
      <c r="E134" s="949"/>
      <c r="F134" s="949">
        <f t="shared" ref="F134:S134" si="11">SUM(F94:F133)</f>
        <v>0</v>
      </c>
      <c r="G134" s="949">
        <f t="shared" si="11"/>
        <v>0</v>
      </c>
      <c r="H134" s="949">
        <f t="shared" si="11"/>
        <v>0</v>
      </c>
      <c r="I134" s="949">
        <f t="shared" si="11"/>
        <v>5.14</v>
      </c>
      <c r="J134" s="949">
        <f t="shared" si="11"/>
        <v>0</v>
      </c>
      <c r="K134" s="951">
        <f t="shared" si="11"/>
        <v>8</v>
      </c>
      <c r="L134" s="949">
        <f t="shared" si="11"/>
        <v>0</v>
      </c>
      <c r="M134" s="949">
        <f t="shared" si="11"/>
        <v>6.55</v>
      </c>
      <c r="N134" s="949">
        <f t="shared" si="11"/>
        <v>14.23</v>
      </c>
      <c r="O134" s="949">
        <f t="shared" si="11"/>
        <v>47.33</v>
      </c>
      <c r="P134" s="949">
        <f t="shared" si="11"/>
        <v>65.8</v>
      </c>
      <c r="Q134" s="949">
        <f t="shared" si="11"/>
        <v>21.58</v>
      </c>
      <c r="R134" s="949">
        <f t="shared" si="11"/>
        <v>19</v>
      </c>
      <c r="S134" s="949">
        <f t="shared" si="11"/>
        <v>0</v>
      </c>
      <c r="T134" s="949">
        <f t="shared" si="10"/>
        <v>187.63</v>
      </c>
      <c r="U134" s="951">
        <f>SUM(U94:U133)</f>
        <v>178.11000000000004</v>
      </c>
      <c r="V134" s="729"/>
      <c r="W134" s="471"/>
      <c r="X134" s="3"/>
      <c r="Y134" s="3"/>
      <c r="Z134" s="3"/>
      <c r="AA134" s="3"/>
    </row>
    <row r="135" spans="1:27" ht="39.75" customHeight="1">
      <c r="A135" s="831" t="s">
        <v>267</v>
      </c>
      <c r="B135" s="828" t="s">
        <v>268</v>
      </c>
      <c r="C135" s="828" t="s">
        <v>269</v>
      </c>
      <c r="D135" s="829">
        <v>127</v>
      </c>
      <c r="E135" s="829" t="s">
        <v>270</v>
      </c>
      <c r="F135" s="960"/>
      <c r="G135" s="960"/>
      <c r="H135" s="960"/>
      <c r="I135" s="960"/>
      <c r="J135" s="960"/>
      <c r="K135" s="960"/>
      <c r="L135" s="960"/>
      <c r="M135" s="960"/>
      <c r="N135" s="960"/>
      <c r="O135" s="960"/>
      <c r="P135" s="960"/>
      <c r="Q135" s="960"/>
      <c r="R135" s="960"/>
      <c r="S135" s="960"/>
      <c r="T135" s="847">
        <f t="shared" si="10"/>
        <v>0</v>
      </c>
      <c r="U135" s="847"/>
      <c r="V135" s="520"/>
      <c r="W135" s="471"/>
      <c r="X135" s="3"/>
      <c r="Y135" s="3"/>
      <c r="Z135" s="3"/>
      <c r="AA135" s="3"/>
    </row>
    <row r="136" spans="1:27" ht="39.75" customHeight="1">
      <c r="A136" s="736"/>
      <c r="B136" s="736"/>
      <c r="C136" s="736"/>
      <c r="D136" s="829">
        <v>128</v>
      </c>
      <c r="E136" s="829" t="s">
        <v>271</v>
      </c>
      <c r="F136" s="960"/>
      <c r="G136" s="960"/>
      <c r="H136" s="960"/>
      <c r="I136" s="960"/>
      <c r="J136" s="960"/>
      <c r="K136" s="961"/>
      <c r="L136" s="960"/>
      <c r="M136" s="960"/>
      <c r="N136" s="961"/>
      <c r="O136" s="960"/>
      <c r="P136" s="961"/>
      <c r="Q136" s="941">
        <f>(0.75*3)</f>
        <v>2.25</v>
      </c>
      <c r="R136" s="963"/>
      <c r="S136" s="963"/>
      <c r="T136" s="847">
        <f t="shared" si="10"/>
        <v>2.25</v>
      </c>
      <c r="U136" s="941">
        <f>T136</f>
        <v>2.25</v>
      </c>
      <c r="V136" s="779" t="s">
        <v>272</v>
      </c>
      <c r="W136" s="471"/>
      <c r="X136" s="3"/>
      <c r="Y136" s="3"/>
      <c r="Z136" s="3"/>
      <c r="AA136" s="3"/>
    </row>
    <row r="137" spans="1:27" ht="39.75" customHeight="1">
      <c r="A137" s="736"/>
      <c r="B137" s="829"/>
      <c r="C137" s="829"/>
      <c r="D137" s="829">
        <v>129</v>
      </c>
      <c r="E137" s="829" t="s">
        <v>273</v>
      </c>
      <c r="F137" s="960"/>
      <c r="G137" s="960"/>
      <c r="H137" s="960"/>
      <c r="I137" s="960"/>
      <c r="J137" s="960"/>
      <c r="K137" s="960"/>
      <c r="L137" s="960"/>
      <c r="M137" s="960"/>
      <c r="N137" s="960"/>
      <c r="O137" s="960"/>
      <c r="P137" s="960"/>
      <c r="Q137" s="960"/>
      <c r="R137" s="960"/>
      <c r="S137" s="960"/>
      <c r="T137" s="847">
        <f t="shared" si="10"/>
        <v>0</v>
      </c>
      <c r="U137" s="847"/>
      <c r="V137" s="520"/>
      <c r="W137" s="471"/>
      <c r="X137" s="3"/>
      <c r="Y137" s="3"/>
      <c r="Z137" s="3"/>
      <c r="AA137" s="3"/>
    </row>
    <row r="138" spans="1:27" ht="39.75" customHeight="1">
      <c r="A138" s="736"/>
      <c r="B138" s="828" t="s">
        <v>274</v>
      </c>
      <c r="C138" s="828" t="s">
        <v>275</v>
      </c>
      <c r="D138" s="829">
        <v>130</v>
      </c>
      <c r="E138" s="829" t="s">
        <v>276</v>
      </c>
      <c r="F138" s="960"/>
      <c r="G138" s="960"/>
      <c r="H138" s="960"/>
      <c r="I138" s="960"/>
      <c r="J138" s="960"/>
      <c r="K138" s="960"/>
      <c r="L138" s="960"/>
      <c r="M138" s="960"/>
      <c r="N138" s="960"/>
      <c r="O138" s="960"/>
      <c r="P138" s="960"/>
      <c r="Q138" s="960"/>
      <c r="R138" s="960"/>
      <c r="S138" s="960"/>
      <c r="T138" s="847">
        <f t="shared" si="10"/>
        <v>0</v>
      </c>
      <c r="U138" s="847"/>
      <c r="V138" s="520"/>
      <c r="W138" s="471"/>
      <c r="X138" s="3"/>
      <c r="Y138" s="3"/>
      <c r="Z138" s="3"/>
      <c r="AA138" s="3"/>
    </row>
    <row r="139" spans="1:27" ht="39.75" customHeight="1">
      <c r="A139" s="736"/>
      <c r="B139" s="736"/>
      <c r="C139" s="736"/>
      <c r="D139" s="829">
        <v>131</v>
      </c>
      <c r="E139" s="829" t="s">
        <v>277</v>
      </c>
      <c r="F139" s="960"/>
      <c r="G139" s="960"/>
      <c r="H139" s="960"/>
      <c r="I139" s="960"/>
      <c r="J139" s="960"/>
      <c r="K139" s="960"/>
      <c r="L139" s="960"/>
      <c r="M139" s="960"/>
      <c r="N139" s="961">
        <v>0.42</v>
      </c>
      <c r="O139" s="960"/>
      <c r="P139" s="960"/>
      <c r="Q139" s="960"/>
      <c r="R139" s="960"/>
      <c r="S139" s="960"/>
      <c r="T139" s="847">
        <f t="shared" si="10"/>
        <v>0.42</v>
      </c>
      <c r="U139" s="847">
        <v>0.45</v>
      </c>
      <c r="V139" s="521" t="s">
        <v>629</v>
      </c>
      <c r="W139" s="471"/>
      <c r="X139" s="3"/>
      <c r="Y139" s="3"/>
      <c r="Z139" s="3"/>
      <c r="AA139" s="3"/>
    </row>
    <row r="140" spans="1:27" ht="39.75" customHeight="1">
      <c r="A140" s="736"/>
      <c r="B140" s="736"/>
      <c r="C140" s="736"/>
      <c r="D140" s="829">
        <v>132</v>
      </c>
      <c r="E140" s="829" t="s">
        <v>279</v>
      </c>
      <c r="F140" s="960"/>
      <c r="G140" s="960"/>
      <c r="H140" s="960"/>
      <c r="I140" s="960"/>
      <c r="J140" s="960"/>
      <c r="K140" s="960"/>
      <c r="L140" s="960"/>
      <c r="M140" s="960"/>
      <c r="N140" s="960"/>
      <c r="O140" s="960"/>
      <c r="P140" s="960"/>
      <c r="Q140" s="960"/>
      <c r="R140" s="960"/>
      <c r="S140" s="960"/>
      <c r="T140" s="847">
        <f t="shared" si="10"/>
        <v>0</v>
      </c>
      <c r="U140" s="847"/>
      <c r="V140" s="520"/>
      <c r="W140" s="471"/>
      <c r="X140" s="3"/>
      <c r="Y140" s="3"/>
      <c r="Z140" s="3"/>
      <c r="AA140" s="3"/>
    </row>
    <row r="141" spans="1:27" ht="39.75" customHeight="1">
      <c r="A141" s="736"/>
      <c r="B141" s="736"/>
      <c r="C141" s="736"/>
      <c r="D141" s="829">
        <v>133</v>
      </c>
      <c r="E141" s="829" t="s">
        <v>280</v>
      </c>
      <c r="F141" s="960"/>
      <c r="G141" s="960"/>
      <c r="H141" s="960"/>
      <c r="I141" s="960"/>
      <c r="J141" s="960"/>
      <c r="K141" s="960"/>
      <c r="L141" s="960"/>
      <c r="M141" s="960"/>
      <c r="N141" s="960"/>
      <c r="O141" s="960"/>
      <c r="P141" s="960"/>
      <c r="Q141" s="960"/>
      <c r="R141" s="960"/>
      <c r="S141" s="960"/>
      <c r="T141" s="847">
        <f t="shared" si="10"/>
        <v>0</v>
      </c>
      <c r="U141" s="847"/>
      <c r="V141" s="520"/>
      <c r="W141" s="471"/>
      <c r="X141" s="3"/>
      <c r="Y141" s="3"/>
      <c r="Z141" s="3"/>
      <c r="AA141" s="3"/>
    </row>
    <row r="142" spans="1:27" ht="39.75" customHeight="1">
      <c r="A142" s="736"/>
      <c r="B142" s="736"/>
      <c r="C142" s="736"/>
      <c r="D142" s="829">
        <v>134</v>
      </c>
      <c r="E142" s="829" t="s">
        <v>281</v>
      </c>
      <c r="F142" s="960"/>
      <c r="G142" s="960"/>
      <c r="H142" s="960"/>
      <c r="I142" s="960"/>
      <c r="J142" s="960"/>
      <c r="K142" s="960"/>
      <c r="L142" s="960"/>
      <c r="M142" s="960"/>
      <c r="N142" s="960"/>
      <c r="O142" s="960"/>
      <c r="P142" s="965">
        <f>(15*0.005*12)+(15*0.0025*12)</f>
        <v>1.3499999999999999</v>
      </c>
      <c r="Q142" s="960"/>
      <c r="R142" s="960"/>
      <c r="S142" s="960"/>
      <c r="T142" s="847">
        <f t="shared" si="10"/>
        <v>1.3499999999999999</v>
      </c>
      <c r="U142" s="847">
        <f>T142</f>
        <v>1.3499999999999999</v>
      </c>
      <c r="V142" s="729" t="s">
        <v>630</v>
      </c>
      <c r="W142" s="471"/>
      <c r="X142" s="3"/>
      <c r="Y142" s="3"/>
      <c r="Z142" s="3"/>
      <c r="AA142" s="3"/>
    </row>
    <row r="143" spans="1:27" ht="39.75" customHeight="1">
      <c r="A143" s="736"/>
      <c r="B143" s="736"/>
      <c r="C143" s="736"/>
      <c r="D143" s="829">
        <v>135</v>
      </c>
      <c r="E143" s="829" t="s">
        <v>283</v>
      </c>
      <c r="F143" s="960"/>
      <c r="G143" s="960"/>
      <c r="H143" s="960"/>
      <c r="I143" s="960"/>
      <c r="J143" s="960"/>
      <c r="K143" s="960"/>
      <c r="L143" s="960"/>
      <c r="M143" s="960"/>
      <c r="N143" s="960"/>
      <c r="O143" s="960"/>
      <c r="P143" s="960"/>
      <c r="Q143" s="960"/>
      <c r="R143" s="960"/>
      <c r="S143" s="960"/>
      <c r="T143" s="847">
        <f t="shared" si="10"/>
        <v>0</v>
      </c>
      <c r="U143" s="847"/>
      <c r="V143" s="520"/>
      <c r="W143" s="471"/>
      <c r="X143" s="3"/>
      <c r="Y143" s="3"/>
      <c r="Z143" s="3"/>
      <c r="AA143" s="3"/>
    </row>
    <row r="144" spans="1:27" ht="39.75" customHeight="1">
      <c r="A144" s="736"/>
      <c r="B144" s="736"/>
      <c r="C144" s="736"/>
      <c r="D144" s="829">
        <v>136</v>
      </c>
      <c r="E144" s="829" t="s">
        <v>284</v>
      </c>
      <c r="F144" s="960"/>
      <c r="G144" s="960"/>
      <c r="H144" s="960"/>
      <c r="I144" s="960"/>
      <c r="J144" s="960"/>
      <c r="K144" s="960"/>
      <c r="L144" s="960"/>
      <c r="M144" s="960"/>
      <c r="N144" s="960"/>
      <c r="O144" s="960"/>
      <c r="P144" s="961"/>
      <c r="Q144" s="960"/>
      <c r="R144" s="960"/>
      <c r="S144" s="960"/>
      <c r="T144" s="847">
        <f t="shared" si="10"/>
        <v>0</v>
      </c>
      <c r="U144" s="847"/>
      <c r="V144" s="779"/>
      <c r="W144" s="471"/>
      <c r="X144" s="3"/>
      <c r="Y144" s="3"/>
      <c r="Z144" s="3"/>
      <c r="AA144" s="3"/>
    </row>
    <row r="145" spans="1:27" ht="39.75" customHeight="1">
      <c r="A145" s="736"/>
      <c r="B145" s="828" t="s">
        <v>285</v>
      </c>
      <c r="C145" s="828" t="s">
        <v>286</v>
      </c>
      <c r="D145" s="829">
        <v>137</v>
      </c>
      <c r="E145" s="829" t="s">
        <v>287</v>
      </c>
      <c r="F145" s="960"/>
      <c r="G145" s="960"/>
      <c r="H145" s="960"/>
      <c r="I145" s="960"/>
      <c r="J145" s="960"/>
      <c r="K145" s="960"/>
      <c r="L145" s="960"/>
      <c r="M145" s="961"/>
      <c r="N145" s="960"/>
      <c r="O145" s="960"/>
      <c r="P145" s="941"/>
      <c r="Q145" s="960"/>
      <c r="R145" s="960"/>
      <c r="S145" s="960"/>
      <c r="T145" s="847">
        <f t="shared" si="10"/>
        <v>0</v>
      </c>
      <c r="U145" s="847"/>
      <c r="V145" s="779"/>
      <c r="W145" s="471"/>
      <c r="X145" s="3"/>
      <c r="Y145" s="3"/>
      <c r="Z145" s="3"/>
      <c r="AA145" s="3"/>
    </row>
    <row r="146" spans="1:27" ht="39.75" customHeight="1">
      <c r="A146" s="736"/>
      <c r="B146" s="736"/>
      <c r="C146" s="736"/>
      <c r="D146" s="829">
        <v>138</v>
      </c>
      <c r="E146" s="829" t="s">
        <v>288</v>
      </c>
      <c r="F146" s="829"/>
      <c r="G146" s="829"/>
      <c r="H146" s="847"/>
      <c r="I146" s="847"/>
      <c r="J146" s="829"/>
      <c r="K146" s="847"/>
      <c r="L146" s="829"/>
      <c r="M146" s="847"/>
      <c r="N146" s="829"/>
      <c r="O146" s="829"/>
      <c r="P146" s="829"/>
      <c r="Q146" s="829"/>
      <c r="R146" s="829"/>
      <c r="S146" s="829"/>
      <c r="T146" s="847">
        <f t="shared" si="10"/>
        <v>0</v>
      </c>
      <c r="U146" s="847"/>
      <c r="V146" s="779"/>
      <c r="W146" s="471"/>
      <c r="X146" s="3"/>
      <c r="Y146" s="3"/>
      <c r="Z146" s="3"/>
      <c r="AA146" s="3"/>
    </row>
    <row r="147" spans="1:27" ht="39.75" customHeight="1">
      <c r="A147" s="736"/>
      <c r="B147" s="828" t="s">
        <v>289</v>
      </c>
      <c r="C147" s="828" t="s">
        <v>290</v>
      </c>
      <c r="D147" s="829">
        <v>139</v>
      </c>
      <c r="E147" s="829" t="s">
        <v>291</v>
      </c>
      <c r="F147" s="960"/>
      <c r="G147" s="960"/>
      <c r="H147" s="960"/>
      <c r="I147" s="960"/>
      <c r="J147" s="960"/>
      <c r="K147" s="960"/>
      <c r="L147" s="960"/>
      <c r="M147" s="960"/>
      <c r="N147" s="961"/>
      <c r="O147" s="960"/>
      <c r="P147" s="941">
        <v>3</v>
      </c>
      <c r="Q147" s="963"/>
      <c r="R147" s="941"/>
      <c r="S147" s="963"/>
      <c r="T147" s="847">
        <f t="shared" si="10"/>
        <v>3</v>
      </c>
      <c r="U147" s="728">
        <f t="shared" ref="U147:U148" si="12">T147</f>
        <v>3</v>
      </c>
      <c r="V147" s="779" t="s">
        <v>436</v>
      </c>
      <c r="W147" s="471"/>
      <c r="X147" s="3"/>
      <c r="Y147" s="3"/>
      <c r="Z147" s="3"/>
      <c r="AA147" s="3"/>
    </row>
    <row r="148" spans="1:27" ht="90">
      <c r="A148" s="736"/>
      <c r="B148" s="736"/>
      <c r="C148" s="736"/>
      <c r="D148" s="829">
        <v>140</v>
      </c>
      <c r="E148" s="829" t="s">
        <v>293</v>
      </c>
      <c r="F148" s="960"/>
      <c r="G148" s="960"/>
      <c r="H148" s="960"/>
      <c r="I148" s="960"/>
      <c r="J148" s="960"/>
      <c r="K148" s="960"/>
      <c r="L148" s="960"/>
      <c r="M148" s="960"/>
      <c r="N148" s="960"/>
      <c r="O148" s="960"/>
      <c r="P148" s="941">
        <f>3+( 3* 0.235)</f>
        <v>3.7050000000000001</v>
      </c>
      <c r="Q148" s="963"/>
      <c r="R148" s="963"/>
      <c r="S148" s="963"/>
      <c r="T148" s="847">
        <f t="shared" si="10"/>
        <v>3.7050000000000001</v>
      </c>
      <c r="U148" s="728">
        <f t="shared" si="12"/>
        <v>3.7050000000000001</v>
      </c>
      <c r="V148" s="779" t="s">
        <v>294</v>
      </c>
      <c r="W148" s="471"/>
      <c r="X148" s="3"/>
      <c r="Y148" s="3"/>
      <c r="Z148" s="3"/>
      <c r="AA148" s="3"/>
    </row>
    <row r="149" spans="1:27" ht="39.75" customHeight="1">
      <c r="A149" s="736"/>
      <c r="B149" s="736"/>
      <c r="C149" s="736"/>
      <c r="D149" s="829">
        <v>141</v>
      </c>
      <c r="E149" s="829" t="s">
        <v>295</v>
      </c>
      <c r="F149" s="960"/>
      <c r="G149" s="960"/>
      <c r="H149" s="960"/>
      <c r="I149" s="960"/>
      <c r="J149" s="960"/>
      <c r="K149" s="960"/>
      <c r="L149" s="960"/>
      <c r="M149" s="960"/>
      <c r="N149" s="960"/>
      <c r="O149" s="960"/>
      <c r="P149" s="960"/>
      <c r="Q149" s="960"/>
      <c r="R149" s="960"/>
      <c r="S149" s="960"/>
      <c r="T149" s="847">
        <f t="shared" si="10"/>
        <v>0</v>
      </c>
      <c r="U149" s="847"/>
      <c r="V149" s="520"/>
      <c r="W149" s="471"/>
      <c r="X149" s="3"/>
      <c r="Y149" s="3"/>
      <c r="Z149" s="3"/>
      <c r="AA149" s="3"/>
    </row>
    <row r="150" spans="1:27" ht="39.75" customHeight="1">
      <c r="A150" s="736"/>
      <c r="B150" s="828" t="s">
        <v>296</v>
      </c>
      <c r="C150" s="828" t="s">
        <v>297</v>
      </c>
      <c r="D150" s="829">
        <v>142</v>
      </c>
      <c r="E150" s="829" t="s">
        <v>298</v>
      </c>
      <c r="F150" s="960"/>
      <c r="G150" s="960"/>
      <c r="H150" s="960"/>
      <c r="I150" s="960"/>
      <c r="J150" s="960"/>
      <c r="K150" s="960"/>
      <c r="L150" s="960"/>
      <c r="M150" s="960"/>
      <c r="N150" s="960"/>
      <c r="O150" s="960"/>
      <c r="P150" s="783">
        <v>620.4312000000001</v>
      </c>
      <c r="Q150" s="960"/>
      <c r="R150" s="960"/>
      <c r="S150" s="960"/>
      <c r="T150" s="847">
        <f t="shared" si="10"/>
        <v>620.4312000000001</v>
      </c>
      <c r="U150" s="887">
        <v>660.57309864000013</v>
      </c>
      <c r="V150" s="1206" t="s">
        <v>1732</v>
      </c>
      <c r="W150" s="471"/>
      <c r="X150" s="3"/>
      <c r="Y150" s="3"/>
      <c r="Z150" s="3"/>
      <c r="AA150" s="3"/>
    </row>
    <row r="151" spans="1:27" ht="39.75" customHeight="1">
      <c r="A151" s="736"/>
      <c r="B151" s="736"/>
      <c r="C151" s="736"/>
      <c r="D151" s="829">
        <v>143</v>
      </c>
      <c r="E151" s="829" t="s">
        <v>299</v>
      </c>
      <c r="F151" s="960"/>
      <c r="G151" s="960"/>
      <c r="H151" s="960"/>
      <c r="I151" s="960"/>
      <c r="J151" s="960"/>
      <c r="K151" s="960"/>
      <c r="L151" s="960"/>
      <c r="M151" s="960"/>
      <c r="N151" s="960"/>
      <c r="O151" s="960"/>
      <c r="P151" s="960"/>
      <c r="Q151" s="960"/>
      <c r="R151" s="960"/>
      <c r="S151" s="960"/>
      <c r="T151" s="847">
        <f t="shared" si="10"/>
        <v>0</v>
      </c>
      <c r="U151" s="847"/>
      <c r="V151" s="520"/>
      <c r="W151" s="471"/>
      <c r="X151" s="3"/>
      <c r="Y151" s="3"/>
      <c r="Z151" s="3"/>
      <c r="AA151" s="3"/>
    </row>
    <row r="152" spans="1:27" ht="39.75" customHeight="1">
      <c r="A152" s="736"/>
      <c r="B152" s="736"/>
      <c r="C152" s="736"/>
      <c r="D152" s="829">
        <v>144</v>
      </c>
      <c r="E152" s="829" t="s">
        <v>300</v>
      </c>
      <c r="F152" s="960"/>
      <c r="G152" s="960"/>
      <c r="H152" s="960"/>
      <c r="I152" s="960"/>
      <c r="J152" s="960"/>
      <c r="K152" s="960"/>
      <c r="L152" s="960"/>
      <c r="M152" s="960"/>
      <c r="N152" s="960"/>
      <c r="O152" s="960"/>
      <c r="P152" s="960"/>
      <c r="Q152" s="960"/>
      <c r="R152" s="960"/>
      <c r="S152" s="960"/>
      <c r="T152" s="847">
        <f t="shared" si="10"/>
        <v>0</v>
      </c>
      <c r="U152" s="847"/>
      <c r="V152" s="520"/>
      <c r="W152" s="471"/>
      <c r="X152" s="3"/>
      <c r="Y152" s="3"/>
      <c r="Z152" s="3"/>
      <c r="AA152" s="3"/>
    </row>
    <row r="153" spans="1:27" ht="39.75" customHeight="1">
      <c r="A153" s="736"/>
      <c r="B153" s="736"/>
      <c r="C153" s="736"/>
      <c r="D153" s="829">
        <v>145</v>
      </c>
      <c r="E153" s="829" t="s">
        <v>301</v>
      </c>
      <c r="F153" s="960"/>
      <c r="G153" s="960"/>
      <c r="H153" s="960"/>
      <c r="I153" s="960"/>
      <c r="J153" s="960"/>
      <c r="K153" s="960"/>
      <c r="L153" s="960"/>
      <c r="M153" s="960"/>
      <c r="N153" s="960"/>
      <c r="O153" s="960"/>
      <c r="P153" s="960"/>
      <c r="Q153" s="960"/>
      <c r="R153" s="960"/>
      <c r="S153" s="960"/>
      <c r="T153" s="847">
        <f t="shared" si="10"/>
        <v>0</v>
      </c>
      <c r="U153" s="847"/>
      <c r="V153" s="520"/>
      <c r="W153" s="471"/>
      <c r="X153" s="3"/>
      <c r="Y153" s="3"/>
      <c r="Z153" s="3"/>
      <c r="AA153" s="3"/>
    </row>
    <row r="154" spans="1:27" ht="77.45" customHeight="1">
      <c r="A154" s="736"/>
      <c r="B154" s="829" t="s">
        <v>302</v>
      </c>
      <c r="C154" s="829" t="s">
        <v>303</v>
      </c>
      <c r="D154" s="829">
        <v>146</v>
      </c>
      <c r="E154" s="829" t="s">
        <v>304</v>
      </c>
      <c r="F154" s="960"/>
      <c r="G154" s="960"/>
      <c r="H154" s="960"/>
      <c r="I154" s="960"/>
      <c r="J154" s="960"/>
      <c r="K154" s="960"/>
      <c r="L154" s="960"/>
      <c r="M154" s="960"/>
      <c r="N154" s="960"/>
      <c r="O154" s="960"/>
      <c r="P154" s="960"/>
      <c r="Q154" s="960"/>
      <c r="R154" s="941">
        <f>(0.4*12)+(12*0.1)</f>
        <v>6.0000000000000009</v>
      </c>
      <c r="S154" s="963"/>
      <c r="T154" s="847">
        <f t="shared" si="10"/>
        <v>6.0000000000000009</v>
      </c>
      <c r="U154" s="941">
        <f>T154</f>
        <v>6.0000000000000009</v>
      </c>
      <c r="V154" s="779" t="s">
        <v>631</v>
      </c>
      <c r="W154" s="471"/>
      <c r="X154" s="3"/>
      <c r="Y154" s="3"/>
      <c r="Z154" s="3"/>
      <c r="AA154" s="3"/>
    </row>
    <row r="155" spans="1:27" ht="39.75" customHeight="1">
      <c r="A155" s="736"/>
      <c r="B155" s="829" t="s">
        <v>306</v>
      </c>
      <c r="C155" s="829" t="s">
        <v>307</v>
      </c>
      <c r="D155" s="829">
        <v>147</v>
      </c>
      <c r="E155" s="829" t="s">
        <v>157</v>
      </c>
      <c r="F155" s="960"/>
      <c r="G155" s="960"/>
      <c r="H155" s="960"/>
      <c r="I155" s="960"/>
      <c r="J155" s="960"/>
      <c r="K155" s="960"/>
      <c r="L155" s="960"/>
      <c r="M155" s="960"/>
      <c r="N155" s="960"/>
      <c r="O155" s="960"/>
      <c r="P155" s="960"/>
      <c r="Q155" s="960"/>
      <c r="R155" s="960"/>
      <c r="S155" s="960"/>
      <c r="T155" s="847">
        <f t="shared" si="10"/>
        <v>0</v>
      </c>
      <c r="U155" s="847"/>
      <c r="V155" s="520"/>
      <c r="W155" s="471"/>
      <c r="X155" s="3"/>
      <c r="Y155" s="3"/>
      <c r="Z155" s="3"/>
      <c r="AA155" s="3"/>
    </row>
    <row r="156" spans="1:27" ht="39.75" customHeight="1">
      <c r="A156" s="736"/>
      <c r="B156" s="829" t="s">
        <v>308</v>
      </c>
      <c r="C156" s="829" t="s">
        <v>309</v>
      </c>
      <c r="D156" s="829">
        <v>148</v>
      </c>
      <c r="E156" s="829" t="s">
        <v>310</v>
      </c>
      <c r="F156" s="960"/>
      <c r="G156" s="960"/>
      <c r="H156" s="960"/>
      <c r="I156" s="960"/>
      <c r="J156" s="960"/>
      <c r="K156" s="960"/>
      <c r="L156" s="960"/>
      <c r="M156" s="960"/>
      <c r="N156" s="961"/>
      <c r="O156" s="960"/>
      <c r="P156" s="961"/>
      <c r="Q156" s="960"/>
      <c r="R156" s="960"/>
      <c r="S156" s="960"/>
      <c r="T156" s="847">
        <f t="shared" si="10"/>
        <v>0</v>
      </c>
      <c r="U156" s="847"/>
      <c r="V156" s="779"/>
      <c r="W156" s="471"/>
      <c r="X156" s="3"/>
      <c r="Y156" s="3"/>
      <c r="Z156" s="3"/>
      <c r="AA156" s="3"/>
    </row>
    <row r="157" spans="1:27" ht="60">
      <c r="A157" s="736"/>
      <c r="B157" s="829" t="s">
        <v>311</v>
      </c>
      <c r="C157" s="829" t="s">
        <v>312</v>
      </c>
      <c r="D157" s="829">
        <v>149</v>
      </c>
      <c r="E157" s="829" t="s">
        <v>313</v>
      </c>
      <c r="F157" s="882"/>
      <c r="G157" s="882"/>
      <c r="H157" s="882"/>
      <c r="I157" s="882"/>
      <c r="J157" s="882"/>
      <c r="K157" s="882"/>
      <c r="L157" s="882"/>
      <c r="M157" s="882"/>
      <c r="N157" s="882"/>
      <c r="O157" s="882"/>
      <c r="P157" s="961">
        <f>(3*1.75)+(0.05*42)</f>
        <v>7.35</v>
      </c>
      <c r="Q157" s="882"/>
      <c r="R157" s="882"/>
      <c r="S157" s="882"/>
      <c r="T157" s="847">
        <f t="shared" si="10"/>
        <v>7.35</v>
      </c>
      <c r="U157" s="961">
        <f>(3*1.75)+(0.05*45)</f>
        <v>7.5</v>
      </c>
      <c r="V157" s="779" t="s">
        <v>1653</v>
      </c>
      <c r="W157" s="471"/>
      <c r="X157" s="3"/>
      <c r="Y157" s="3"/>
      <c r="Z157" s="3"/>
      <c r="AA157" s="3"/>
    </row>
    <row r="158" spans="1:27" ht="39.75" customHeight="1">
      <c r="A158" s="736"/>
      <c r="B158" s="948" t="s">
        <v>315</v>
      </c>
      <c r="C158" s="736"/>
      <c r="D158" s="736"/>
      <c r="E158" s="949"/>
      <c r="F158" s="949">
        <f t="shared" ref="F158:S158" si="13">SUM(F135:F157)</f>
        <v>0</v>
      </c>
      <c r="G158" s="949">
        <f t="shared" si="13"/>
        <v>0</v>
      </c>
      <c r="H158" s="949">
        <f t="shared" si="13"/>
        <v>0</v>
      </c>
      <c r="I158" s="949">
        <f t="shared" si="13"/>
        <v>0</v>
      </c>
      <c r="J158" s="949">
        <f t="shared" si="13"/>
        <v>0</v>
      </c>
      <c r="K158" s="949">
        <f t="shared" si="13"/>
        <v>0</v>
      </c>
      <c r="L158" s="949">
        <f t="shared" si="13"/>
        <v>0</v>
      </c>
      <c r="M158" s="949">
        <f t="shared" si="13"/>
        <v>0</v>
      </c>
      <c r="N158" s="949">
        <f t="shared" si="13"/>
        <v>0.42</v>
      </c>
      <c r="O158" s="949">
        <f t="shared" si="13"/>
        <v>0</v>
      </c>
      <c r="P158" s="949">
        <f t="shared" si="13"/>
        <v>635.83620000000008</v>
      </c>
      <c r="Q158" s="949">
        <f t="shared" si="13"/>
        <v>2.25</v>
      </c>
      <c r="R158" s="949">
        <f t="shared" si="13"/>
        <v>6.0000000000000009</v>
      </c>
      <c r="S158" s="949">
        <f t="shared" si="13"/>
        <v>0</v>
      </c>
      <c r="T158" s="847">
        <f t="shared" si="10"/>
        <v>644.50620000000004</v>
      </c>
      <c r="U158" s="951">
        <f>SUM(U135:U157)</f>
        <v>684.82809864000012</v>
      </c>
      <c r="V158" s="729"/>
      <c r="W158" s="470"/>
      <c r="X158" s="54"/>
      <c r="Y158" s="54"/>
      <c r="Z158" s="54"/>
      <c r="AA158" s="54"/>
    </row>
    <row r="159" spans="1:27" ht="100.5" customHeight="1">
      <c r="A159" s="831" t="s">
        <v>316</v>
      </c>
      <c r="B159" s="828" t="s">
        <v>317</v>
      </c>
      <c r="C159" s="828" t="s">
        <v>269</v>
      </c>
      <c r="D159" s="829">
        <v>150</v>
      </c>
      <c r="E159" s="829" t="s">
        <v>318</v>
      </c>
      <c r="F159" s="836"/>
      <c r="G159" s="837"/>
      <c r="H159" s="837"/>
      <c r="I159" s="836"/>
      <c r="J159" s="836"/>
      <c r="K159" s="836"/>
      <c r="L159" s="836"/>
      <c r="M159" s="836"/>
      <c r="N159" s="835">
        <v>11</v>
      </c>
      <c r="O159" s="836">
        <v>183.24</v>
      </c>
      <c r="P159" s="837"/>
      <c r="Q159" s="836">
        <v>1</v>
      </c>
      <c r="R159" s="836"/>
      <c r="S159" s="836"/>
      <c r="T159" s="847">
        <f t="shared" si="10"/>
        <v>195.24</v>
      </c>
      <c r="U159" s="847">
        <f t="shared" ref="U159:U160" si="14">T159</f>
        <v>195.24</v>
      </c>
      <c r="V159" s="786" t="s">
        <v>1796</v>
      </c>
      <c r="W159" s="471"/>
      <c r="X159" s="3"/>
      <c r="Y159" s="3"/>
      <c r="Z159" s="3"/>
      <c r="AA159" s="3"/>
    </row>
    <row r="160" spans="1:27" ht="157.5" customHeight="1">
      <c r="A160" s="736"/>
      <c r="B160" s="736"/>
      <c r="C160" s="736"/>
      <c r="D160" s="829">
        <v>151</v>
      </c>
      <c r="E160" s="829" t="s">
        <v>319</v>
      </c>
      <c r="F160" s="836"/>
      <c r="G160" s="837"/>
      <c r="H160" s="837"/>
      <c r="I160" s="835"/>
      <c r="J160" s="836"/>
      <c r="K160" s="836"/>
      <c r="L160" s="836"/>
      <c r="M160" s="836"/>
      <c r="N160" s="835"/>
      <c r="O160" s="837"/>
      <c r="P160" s="837">
        <v>11.64</v>
      </c>
      <c r="Q160" s="835"/>
      <c r="R160" s="837">
        <v>2</v>
      </c>
      <c r="S160" s="836"/>
      <c r="T160" s="847">
        <f t="shared" si="10"/>
        <v>13.64</v>
      </c>
      <c r="U160" s="847">
        <f t="shared" si="14"/>
        <v>13.64</v>
      </c>
      <c r="V160" s="729" t="s">
        <v>632</v>
      </c>
      <c r="W160" s="471"/>
      <c r="X160" s="3"/>
      <c r="Y160" s="3"/>
      <c r="Z160" s="3"/>
      <c r="AA160" s="3"/>
    </row>
    <row r="161" spans="1:27" ht="39.75" customHeight="1">
      <c r="A161" s="736"/>
      <c r="B161" s="736"/>
      <c r="C161" s="736"/>
      <c r="D161" s="829">
        <v>152</v>
      </c>
      <c r="E161" s="829" t="s">
        <v>321</v>
      </c>
      <c r="F161" s="836"/>
      <c r="G161" s="836"/>
      <c r="H161" s="836"/>
      <c r="I161" s="836"/>
      <c r="J161" s="836"/>
      <c r="K161" s="836"/>
      <c r="L161" s="836"/>
      <c r="M161" s="836"/>
      <c r="N161" s="836"/>
      <c r="O161" s="836"/>
      <c r="P161" s="837"/>
      <c r="Q161" s="836"/>
      <c r="R161" s="836"/>
      <c r="S161" s="836"/>
      <c r="T161" s="847">
        <f t="shared" si="10"/>
        <v>0</v>
      </c>
      <c r="U161" s="847"/>
      <c r="V161" s="729"/>
      <c r="W161" s="471"/>
      <c r="X161" s="3"/>
      <c r="Y161" s="3"/>
      <c r="Z161" s="3"/>
      <c r="AA161" s="3"/>
    </row>
    <row r="162" spans="1:27" ht="39.75" customHeight="1">
      <c r="A162" s="736"/>
      <c r="B162" s="736"/>
      <c r="C162" s="736"/>
      <c r="D162" s="829">
        <v>153</v>
      </c>
      <c r="E162" s="829" t="s">
        <v>322</v>
      </c>
      <c r="F162" s="865"/>
      <c r="G162" s="865"/>
      <c r="H162" s="865"/>
      <c r="I162" s="865"/>
      <c r="J162" s="865"/>
      <c r="K162" s="865"/>
      <c r="L162" s="865"/>
      <c r="M162" s="865"/>
      <c r="N162" s="835"/>
      <c r="O162" s="865"/>
      <c r="P162" s="865"/>
      <c r="Q162" s="865"/>
      <c r="R162" s="865"/>
      <c r="S162" s="865"/>
      <c r="T162" s="847">
        <f t="shared" si="10"/>
        <v>0</v>
      </c>
      <c r="U162" s="847"/>
      <c r="V162" s="729"/>
      <c r="W162" s="471"/>
      <c r="X162" s="3"/>
      <c r="Y162" s="3"/>
      <c r="Z162" s="3"/>
      <c r="AA162" s="3"/>
    </row>
    <row r="163" spans="1:27" ht="60">
      <c r="A163" s="736"/>
      <c r="B163" s="828" t="s">
        <v>324</v>
      </c>
      <c r="C163" s="828" t="s">
        <v>325</v>
      </c>
      <c r="D163" s="829">
        <v>154</v>
      </c>
      <c r="E163" s="829" t="s">
        <v>326</v>
      </c>
      <c r="F163" s="829"/>
      <c r="G163" s="829"/>
      <c r="H163" s="829"/>
      <c r="I163" s="829"/>
      <c r="J163" s="829"/>
      <c r="K163" s="847"/>
      <c r="L163" s="829"/>
      <c r="M163" s="847"/>
      <c r="N163" s="829"/>
      <c r="O163" s="829"/>
      <c r="P163" s="829"/>
      <c r="Q163" s="845">
        <v>0.15</v>
      </c>
      <c r="R163" s="829"/>
      <c r="S163" s="829"/>
      <c r="T163" s="847">
        <f t="shared" si="10"/>
        <v>0.15</v>
      </c>
      <c r="U163" s="847">
        <f t="shared" ref="U163:U165" si="15">T163</f>
        <v>0.15</v>
      </c>
      <c r="V163" s="729" t="s">
        <v>327</v>
      </c>
      <c r="W163" s="471"/>
      <c r="X163" s="3"/>
      <c r="Y163" s="3"/>
      <c r="Z163" s="3"/>
      <c r="AA163" s="3"/>
    </row>
    <row r="164" spans="1:27" ht="39.75" customHeight="1">
      <c r="A164" s="736"/>
      <c r="B164" s="736"/>
      <c r="C164" s="736"/>
      <c r="D164" s="829">
        <v>155</v>
      </c>
      <c r="E164" s="829" t="s">
        <v>328</v>
      </c>
      <c r="F164" s="829"/>
      <c r="G164" s="829"/>
      <c r="H164" s="829"/>
      <c r="I164" s="829"/>
      <c r="J164" s="829"/>
      <c r="K164" s="829"/>
      <c r="L164" s="829"/>
      <c r="M164" s="829"/>
      <c r="N164" s="836"/>
      <c r="O164" s="829"/>
      <c r="P164" s="845"/>
      <c r="Q164" s="829"/>
      <c r="R164" s="829"/>
      <c r="S164" s="829"/>
      <c r="T164" s="847">
        <f t="shared" si="10"/>
        <v>0</v>
      </c>
      <c r="U164" s="847">
        <f t="shared" si="15"/>
        <v>0</v>
      </c>
      <c r="V164" s="729"/>
      <c r="W164" s="471"/>
      <c r="X164" s="3"/>
      <c r="Y164" s="3"/>
      <c r="Z164" s="3"/>
      <c r="AA164" s="3"/>
    </row>
    <row r="165" spans="1:27" ht="45">
      <c r="A165" s="736"/>
      <c r="B165" s="736"/>
      <c r="C165" s="736"/>
      <c r="D165" s="829">
        <v>156</v>
      </c>
      <c r="E165" s="829" t="s">
        <v>329</v>
      </c>
      <c r="F165" s="829"/>
      <c r="G165" s="829"/>
      <c r="H165" s="845"/>
      <c r="I165" s="847"/>
      <c r="J165" s="829"/>
      <c r="K165" s="829"/>
      <c r="L165" s="829"/>
      <c r="M165" s="829"/>
      <c r="N165" s="829"/>
      <c r="O165" s="829"/>
      <c r="P165" s="845">
        <v>2</v>
      </c>
      <c r="Q165" s="829"/>
      <c r="R165" s="829"/>
      <c r="S165" s="829"/>
      <c r="T165" s="847">
        <f t="shared" si="10"/>
        <v>2</v>
      </c>
      <c r="U165" s="847">
        <f t="shared" si="15"/>
        <v>2</v>
      </c>
      <c r="V165" s="729" t="s">
        <v>633</v>
      </c>
      <c r="W165" s="471"/>
      <c r="X165" s="3"/>
      <c r="Y165" s="3"/>
      <c r="Z165" s="3"/>
      <c r="AA165" s="3"/>
    </row>
    <row r="166" spans="1:27" ht="39.75" customHeight="1">
      <c r="A166" s="736"/>
      <c r="B166" s="736"/>
      <c r="C166" s="736"/>
      <c r="D166" s="829">
        <v>157</v>
      </c>
      <c r="E166" s="829" t="s">
        <v>331</v>
      </c>
      <c r="F166" s="829"/>
      <c r="G166" s="829"/>
      <c r="H166" s="829"/>
      <c r="I166" s="829"/>
      <c r="J166" s="829"/>
      <c r="K166" s="829"/>
      <c r="L166" s="829"/>
      <c r="M166" s="829"/>
      <c r="N166" s="829"/>
      <c r="O166" s="829"/>
      <c r="P166" s="829"/>
      <c r="Q166" s="829"/>
      <c r="R166" s="829"/>
      <c r="S166" s="829"/>
      <c r="T166" s="847">
        <f t="shared" si="10"/>
        <v>0</v>
      </c>
      <c r="U166" s="847"/>
      <c r="V166" s="729"/>
      <c r="W166" s="471"/>
      <c r="X166" s="3"/>
      <c r="Y166" s="3"/>
      <c r="Z166" s="3"/>
      <c r="AA166" s="3"/>
    </row>
    <row r="167" spans="1:27" ht="39.75" customHeight="1">
      <c r="A167" s="736"/>
      <c r="B167" s="736"/>
      <c r="C167" s="736"/>
      <c r="D167" s="829">
        <v>158</v>
      </c>
      <c r="E167" s="829" t="s">
        <v>332</v>
      </c>
      <c r="F167" s="829"/>
      <c r="G167" s="829"/>
      <c r="H167" s="829"/>
      <c r="I167" s="829"/>
      <c r="J167" s="829"/>
      <c r="K167" s="829"/>
      <c r="L167" s="829"/>
      <c r="M167" s="829"/>
      <c r="N167" s="829"/>
      <c r="O167" s="829"/>
      <c r="P167" s="829"/>
      <c r="Q167" s="847"/>
      <c r="R167" s="829"/>
      <c r="S167" s="829"/>
      <c r="T167" s="847">
        <f t="shared" si="10"/>
        <v>0</v>
      </c>
      <c r="U167" s="847">
        <f>T167</f>
        <v>0</v>
      </c>
      <c r="V167" s="729"/>
      <c r="W167" s="471"/>
      <c r="X167" s="3"/>
      <c r="Y167" s="3"/>
      <c r="Z167" s="3"/>
      <c r="AA167" s="3"/>
    </row>
    <row r="168" spans="1:27" ht="409.5">
      <c r="A168" s="736"/>
      <c r="B168" s="828" t="s">
        <v>333</v>
      </c>
      <c r="C168" s="828" t="s">
        <v>275</v>
      </c>
      <c r="D168" s="829">
        <v>159</v>
      </c>
      <c r="E168" s="829" t="s">
        <v>276</v>
      </c>
      <c r="F168" s="829"/>
      <c r="G168" s="829"/>
      <c r="H168" s="829"/>
      <c r="I168" s="829"/>
      <c r="J168" s="829"/>
      <c r="K168" s="847"/>
      <c r="L168" s="829"/>
      <c r="M168" s="829"/>
      <c r="N168" s="845">
        <v>27.25</v>
      </c>
      <c r="O168" s="845">
        <v>395.88</v>
      </c>
      <c r="P168" s="845">
        <v>37.43</v>
      </c>
      <c r="Q168" s="829">
        <v>3.7770000000000001</v>
      </c>
      <c r="R168" s="829"/>
      <c r="S168" s="829"/>
      <c r="T168" s="847">
        <f t="shared" si="10"/>
        <v>464.33699999999999</v>
      </c>
      <c r="U168" s="728">
        <f>T168+2</f>
        <v>466.33699999999999</v>
      </c>
      <c r="V168" s="729" t="s">
        <v>1797</v>
      </c>
      <c r="W168" s="471"/>
      <c r="X168" s="3"/>
      <c r="Y168" s="3"/>
      <c r="Z168" s="3"/>
      <c r="AA168" s="3"/>
    </row>
    <row r="169" spans="1:27" ht="39.75" customHeight="1">
      <c r="A169" s="736"/>
      <c r="B169" s="736"/>
      <c r="C169" s="736"/>
      <c r="D169" s="829">
        <v>160</v>
      </c>
      <c r="E169" s="829" t="s">
        <v>334</v>
      </c>
      <c r="F169" s="829"/>
      <c r="G169" s="829"/>
      <c r="H169" s="829"/>
      <c r="I169" s="829"/>
      <c r="J169" s="829"/>
      <c r="K169" s="829"/>
      <c r="L169" s="829"/>
      <c r="M169" s="829"/>
      <c r="N169" s="829"/>
      <c r="O169" s="829"/>
      <c r="P169" s="829"/>
      <c r="Q169" s="829"/>
      <c r="R169" s="829"/>
      <c r="S169" s="829"/>
      <c r="T169" s="847">
        <f t="shared" si="10"/>
        <v>0</v>
      </c>
      <c r="U169" s="847"/>
      <c r="V169" s="729"/>
      <c r="W169" s="471"/>
      <c r="X169" s="3"/>
      <c r="Y169" s="3"/>
      <c r="Z169" s="3"/>
      <c r="AA169" s="3"/>
    </row>
    <row r="170" spans="1:27" ht="39.75" customHeight="1">
      <c r="A170" s="736"/>
      <c r="B170" s="736"/>
      <c r="C170" s="736"/>
      <c r="D170" s="829">
        <v>161</v>
      </c>
      <c r="E170" s="829" t="s">
        <v>279</v>
      </c>
      <c r="F170" s="829"/>
      <c r="G170" s="829"/>
      <c r="H170" s="829"/>
      <c r="I170" s="829"/>
      <c r="J170" s="829"/>
      <c r="K170" s="829"/>
      <c r="L170" s="829"/>
      <c r="M170" s="829"/>
      <c r="N170" s="829"/>
      <c r="O170" s="829"/>
      <c r="P170" s="829"/>
      <c r="Q170" s="829"/>
      <c r="R170" s="829"/>
      <c r="S170" s="829"/>
      <c r="T170" s="847">
        <f t="shared" si="10"/>
        <v>0</v>
      </c>
      <c r="U170" s="847"/>
      <c r="V170" s="729"/>
      <c r="W170" s="471"/>
      <c r="X170" s="3"/>
      <c r="Y170" s="3"/>
      <c r="Z170" s="3"/>
      <c r="AA170" s="3"/>
    </row>
    <row r="171" spans="1:27" ht="39.75" customHeight="1">
      <c r="A171" s="736"/>
      <c r="B171" s="736"/>
      <c r="C171" s="736"/>
      <c r="D171" s="829">
        <v>162</v>
      </c>
      <c r="E171" s="829" t="s">
        <v>280</v>
      </c>
      <c r="F171" s="829"/>
      <c r="G171" s="829"/>
      <c r="H171" s="829"/>
      <c r="I171" s="829"/>
      <c r="J171" s="829"/>
      <c r="K171" s="829"/>
      <c r="L171" s="829"/>
      <c r="M171" s="829"/>
      <c r="N171" s="829"/>
      <c r="O171" s="829"/>
      <c r="P171" s="829"/>
      <c r="Q171" s="829"/>
      <c r="R171" s="829"/>
      <c r="S171" s="829"/>
      <c r="T171" s="847">
        <f t="shared" si="10"/>
        <v>0</v>
      </c>
      <c r="U171" s="847"/>
      <c r="V171" s="729"/>
      <c r="W171" s="471"/>
      <c r="X171" s="3"/>
      <c r="Y171" s="3"/>
      <c r="Z171" s="3"/>
      <c r="AA171" s="3"/>
    </row>
    <row r="172" spans="1:27" ht="150">
      <c r="A172" s="736"/>
      <c r="B172" s="736"/>
      <c r="C172" s="736"/>
      <c r="D172" s="829">
        <v>163</v>
      </c>
      <c r="E172" s="829" t="s">
        <v>335</v>
      </c>
      <c r="F172" s="829"/>
      <c r="G172" s="829"/>
      <c r="H172" s="829"/>
      <c r="I172" s="829"/>
      <c r="J172" s="829"/>
      <c r="K172" s="829"/>
      <c r="L172" s="829"/>
      <c r="M172" s="829"/>
      <c r="N172" s="829"/>
      <c r="O172" s="845">
        <v>7.6349999999999998</v>
      </c>
      <c r="P172" s="845">
        <v>1.2</v>
      </c>
      <c r="Q172" s="847">
        <v>1</v>
      </c>
      <c r="R172" s="829"/>
      <c r="S172" s="829"/>
      <c r="T172" s="847">
        <f t="shared" si="10"/>
        <v>9.8349999999999991</v>
      </c>
      <c r="U172" s="847">
        <f>8.895+1</f>
        <v>9.8949999999999996</v>
      </c>
      <c r="V172" s="729" t="s">
        <v>1798</v>
      </c>
      <c r="W172" s="471"/>
      <c r="X172" s="3"/>
      <c r="Y172" s="3"/>
      <c r="Z172" s="3"/>
      <c r="AA172" s="3"/>
    </row>
    <row r="173" spans="1:27" ht="39.75" customHeight="1">
      <c r="A173" s="736"/>
      <c r="B173" s="828" t="s">
        <v>336</v>
      </c>
      <c r="C173" s="828" t="s">
        <v>337</v>
      </c>
      <c r="D173" s="829">
        <v>164</v>
      </c>
      <c r="E173" s="829" t="s">
        <v>338</v>
      </c>
      <c r="F173" s="829"/>
      <c r="G173" s="845"/>
      <c r="H173" s="1057"/>
      <c r="I173" s="829"/>
      <c r="J173" s="829"/>
      <c r="K173" s="829"/>
      <c r="L173" s="829"/>
      <c r="M173" s="829"/>
      <c r="N173" s="829"/>
      <c r="O173" s="829"/>
      <c r="P173" s="829"/>
      <c r="Q173" s="829"/>
      <c r="R173" s="829"/>
      <c r="S173" s="829"/>
      <c r="T173" s="847">
        <f t="shared" si="10"/>
        <v>0</v>
      </c>
      <c r="U173" s="847"/>
      <c r="V173" s="729"/>
      <c r="W173" s="471"/>
      <c r="X173" s="3"/>
      <c r="Y173" s="3"/>
      <c r="Z173" s="3"/>
      <c r="AA173" s="3"/>
    </row>
    <row r="174" spans="1:27" ht="39.75" customHeight="1">
      <c r="A174" s="736"/>
      <c r="B174" s="736"/>
      <c r="C174" s="736"/>
      <c r="D174" s="829">
        <v>165</v>
      </c>
      <c r="E174" s="829" t="s">
        <v>339</v>
      </c>
      <c r="F174" s="829"/>
      <c r="G174" s="845"/>
      <c r="H174" s="845"/>
      <c r="I174" s="829"/>
      <c r="J174" s="829"/>
      <c r="K174" s="829"/>
      <c r="L174" s="829"/>
      <c r="M174" s="829"/>
      <c r="N174" s="829"/>
      <c r="O174" s="829"/>
      <c r="P174" s="829"/>
      <c r="Q174" s="829"/>
      <c r="R174" s="829"/>
      <c r="S174" s="829"/>
      <c r="T174" s="847">
        <f t="shared" si="10"/>
        <v>0</v>
      </c>
      <c r="U174" s="847"/>
      <c r="V174" s="729"/>
      <c r="W174" s="471"/>
      <c r="X174" s="3"/>
      <c r="Y174" s="3"/>
      <c r="Z174" s="3"/>
      <c r="AA174" s="3"/>
    </row>
    <row r="175" spans="1:27" ht="39.75" customHeight="1">
      <c r="A175" s="736"/>
      <c r="B175" s="736"/>
      <c r="C175" s="736"/>
      <c r="D175" s="829">
        <v>166</v>
      </c>
      <c r="E175" s="829" t="s">
        <v>340</v>
      </c>
      <c r="F175" s="829"/>
      <c r="G175" s="845"/>
      <c r="H175" s="845"/>
      <c r="I175" s="829"/>
      <c r="J175" s="829"/>
      <c r="K175" s="829"/>
      <c r="L175" s="829"/>
      <c r="M175" s="829"/>
      <c r="N175" s="829"/>
      <c r="O175" s="829"/>
      <c r="P175" s="829"/>
      <c r="Q175" s="829"/>
      <c r="R175" s="829"/>
      <c r="S175" s="829"/>
      <c r="T175" s="847">
        <f t="shared" si="10"/>
        <v>0</v>
      </c>
      <c r="U175" s="847"/>
      <c r="V175" s="729"/>
      <c r="W175" s="471"/>
      <c r="X175" s="3"/>
      <c r="Y175" s="3"/>
      <c r="Z175" s="3"/>
      <c r="AA175" s="3"/>
    </row>
    <row r="176" spans="1:27" ht="39.75" customHeight="1">
      <c r="A176" s="736"/>
      <c r="B176" s="736"/>
      <c r="C176" s="736"/>
      <c r="D176" s="829">
        <v>167</v>
      </c>
      <c r="E176" s="829" t="s">
        <v>341</v>
      </c>
      <c r="F176" s="829"/>
      <c r="G176" s="845"/>
      <c r="H176" s="845"/>
      <c r="I176" s="829"/>
      <c r="J176" s="829"/>
      <c r="K176" s="829"/>
      <c r="L176" s="829"/>
      <c r="M176" s="829"/>
      <c r="N176" s="829"/>
      <c r="O176" s="829"/>
      <c r="P176" s="829"/>
      <c r="Q176" s="829"/>
      <c r="R176" s="829"/>
      <c r="S176" s="829"/>
      <c r="T176" s="847">
        <f t="shared" si="10"/>
        <v>0</v>
      </c>
      <c r="U176" s="847"/>
      <c r="V176" s="729"/>
      <c r="W176" s="471"/>
      <c r="X176" s="3"/>
      <c r="Y176" s="3"/>
      <c r="Z176" s="3"/>
      <c r="AA176" s="3"/>
    </row>
    <row r="177" spans="1:27" ht="39.75" customHeight="1">
      <c r="A177" s="736"/>
      <c r="B177" s="736"/>
      <c r="C177" s="736"/>
      <c r="D177" s="829">
        <v>168</v>
      </c>
      <c r="E177" s="829" t="s">
        <v>342</v>
      </c>
      <c r="F177" s="829"/>
      <c r="G177" s="845"/>
      <c r="H177" s="845"/>
      <c r="I177" s="829"/>
      <c r="J177" s="829"/>
      <c r="K177" s="829"/>
      <c r="L177" s="829"/>
      <c r="M177" s="829"/>
      <c r="N177" s="829"/>
      <c r="O177" s="829"/>
      <c r="P177" s="829"/>
      <c r="Q177" s="829"/>
      <c r="R177" s="829"/>
      <c r="S177" s="829"/>
      <c r="T177" s="847">
        <f t="shared" si="10"/>
        <v>0</v>
      </c>
      <c r="U177" s="847"/>
      <c r="V177" s="729"/>
      <c r="W177" s="471"/>
      <c r="X177" s="3"/>
      <c r="Y177" s="3"/>
      <c r="Z177" s="3"/>
      <c r="AA177" s="3"/>
    </row>
    <row r="178" spans="1:27" ht="39.75" customHeight="1">
      <c r="A178" s="736"/>
      <c r="B178" s="736"/>
      <c r="C178" s="736"/>
      <c r="D178" s="829">
        <v>169</v>
      </c>
      <c r="E178" s="829" t="s">
        <v>343</v>
      </c>
      <c r="F178" s="829"/>
      <c r="G178" s="845"/>
      <c r="H178" s="845"/>
      <c r="I178" s="1036"/>
      <c r="J178" s="829"/>
      <c r="K178" s="829"/>
      <c r="L178" s="829"/>
      <c r="M178" s="829"/>
      <c r="N178" s="829"/>
      <c r="O178" s="829"/>
      <c r="P178" s="829"/>
      <c r="Q178" s="829"/>
      <c r="R178" s="829"/>
      <c r="S178" s="829"/>
      <c r="T178" s="847">
        <f t="shared" si="10"/>
        <v>0</v>
      </c>
      <c r="U178" s="847"/>
      <c r="V178" s="729"/>
      <c r="W178" s="471"/>
      <c r="X178" s="3"/>
      <c r="Y178" s="3"/>
      <c r="Z178" s="3"/>
      <c r="AA178" s="3"/>
    </row>
    <row r="179" spans="1:27" ht="39.75" customHeight="1">
      <c r="A179" s="736"/>
      <c r="B179" s="736"/>
      <c r="C179" s="736"/>
      <c r="D179" s="829">
        <v>170</v>
      </c>
      <c r="E179" s="829" t="s">
        <v>344</v>
      </c>
      <c r="F179" s="829"/>
      <c r="G179" s="829"/>
      <c r="H179" s="829"/>
      <c r="I179" s="829"/>
      <c r="J179" s="829"/>
      <c r="K179" s="829"/>
      <c r="L179" s="829"/>
      <c r="M179" s="829"/>
      <c r="N179" s="829"/>
      <c r="O179" s="829"/>
      <c r="P179" s="829"/>
      <c r="Q179" s="829"/>
      <c r="R179" s="829"/>
      <c r="S179" s="829"/>
      <c r="T179" s="847">
        <f t="shared" si="10"/>
        <v>0</v>
      </c>
      <c r="U179" s="847"/>
      <c r="V179" s="729"/>
      <c r="W179" s="471"/>
      <c r="X179" s="3"/>
      <c r="Y179" s="3"/>
      <c r="Z179" s="3"/>
      <c r="AA179" s="3"/>
    </row>
    <row r="180" spans="1:27" ht="39.75" customHeight="1">
      <c r="A180" s="736"/>
      <c r="B180" s="828" t="s">
        <v>345</v>
      </c>
      <c r="C180" s="828" t="s">
        <v>346</v>
      </c>
      <c r="D180" s="829">
        <v>171</v>
      </c>
      <c r="E180" s="829" t="s">
        <v>347</v>
      </c>
      <c r="F180" s="829"/>
      <c r="G180" s="829"/>
      <c r="H180" s="829"/>
      <c r="I180" s="829"/>
      <c r="J180" s="829"/>
      <c r="K180" s="829"/>
      <c r="L180" s="829"/>
      <c r="M180" s="829"/>
      <c r="N180" s="829"/>
      <c r="O180" s="829"/>
      <c r="P180" s="829"/>
      <c r="Q180" s="829"/>
      <c r="R180" s="829"/>
      <c r="S180" s="829"/>
      <c r="T180" s="847">
        <f t="shared" si="10"/>
        <v>0</v>
      </c>
      <c r="U180" s="847"/>
      <c r="V180" s="729"/>
      <c r="W180" s="471"/>
      <c r="X180" s="3"/>
      <c r="Y180" s="3"/>
      <c r="Z180" s="3"/>
      <c r="AA180" s="3"/>
    </row>
    <row r="181" spans="1:27" ht="39.75" customHeight="1">
      <c r="A181" s="736"/>
      <c r="B181" s="736"/>
      <c r="C181" s="736"/>
      <c r="D181" s="829">
        <v>172</v>
      </c>
      <c r="E181" s="829" t="s">
        <v>348</v>
      </c>
      <c r="F181" s="829"/>
      <c r="G181" s="829"/>
      <c r="H181" s="829"/>
      <c r="I181" s="829"/>
      <c r="J181" s="829"/>
      <c r="K181" s="829"/>
      <c r="L181" s="829"/>
      <c r="M181" s="829"/>
      <c r="N181" s="829"/>
      <c r="O181" s="829"/>
      <c r="P181" s="847"/>
      <c r="Q181" s="829"/>
      <c r="R181" s="829"/>
      <c r="S181" s="829"/>
      <c r="T181" s="847">
        <f t="shared" si="10"/>
        <v>0</v>
      </c>
      <c r="U181" s="847"/>
      <c r="V181" s="729"/>
      <c r="W181" s="471"/>
      <c r="X181" s="3"/>
      <c r="Y181" s="3"/>
      <c r="Z181" s="3"/>
      <c r="AA181" s="3"/>
    </row>
    <row r="182" spans="1:27" ht="39.75" customHeight="1">
      <c r="A182" s="736"/>
      <c r="B182" s="736"/>
      <c r="C182" s="736"/>
      <c r="D182" s="829">
        <v>173</v>
      </c>
      <c r="E182" s="829" t="s">
        <v>349</v>
      </c>
      <c r="F182" s="829"/>
      <c r="G182" s="829"/>
      <c r="H182" s="829"/>
      <c r="I182" s="829"/>
      <c r="J182" s="829"/>
      <c r="K182" s="829"/>
      <c r="L182" s="829"/>
      <c r="M182" s="829"/>
      <c r="N182" s="829"/>
      <c r="O182" s="829"/>
      <c r="P182" s="829"/>
      <c r="Q182" s="829"/>
      <c r="R182" s="829"/>
      <c r="S182" s="829"/>
      <c r="T182" s="847">
        <f t="shared" si="10"/>
        <v>0</v>
      </c>
      <c r="U182" s="847"/>
      <c r="V182" s="729"/>
      <c r="W182" s="471"/>
      <c r="X182" s="3"/>
      <c r="Y182" s="3"/>
      <c r="Z182" s="3"/>
      <c r="AA182" s="3"/>
    </row>
    <row r="183" spans="1:27" ht="39.75" customHeight="1">
      <c r="A183" s="736"/>
      <c r="B183" s="736"/>
      <c r="C183" s="736"/>
      <c r="D183" s="829">
        <v>174</v>
      </c>
      <c r="E183" s="829" t="s">
        <v>350</v>
      </c>
      <c r="F183" s="829"/>
      <c r="G183" s="829"/>
      <c r="H183" s="829"/>
      <c r="I183" s="829"/>
      <c r="J183" s="829"/>
      <c r="K183" s="829"/>
      <c r="L183" s="829"/>
      <c r="M183" s="829"/>
      <c r="N183" s="829"/>
      <c r="O183" s="829"/>
      <c r="P183" s="847"/>
      <c r="Q183" s="829"/>
      <c r="R183" s="829"/>
      <c r="S183" s="829"/>
      <c r="T183" s="847">
        <f t="shared" si="10"/>
        <v>0</v>
      </c>
      <c r="U183" s="847"/>
      <c r="V183" s="729"/>
      <c r="W183" s="471"/>
      <c r="X183" s="3"/>
      <c r="Y183" s="3"/>
      <c r="Z183" s="3"/>
      <c r="AA183" s="3"/>
    </row>
    <row r="184" spans="1:27" ht="409.5">
      <c r="A184" s="736"/>
      <c r="B184" s="828" t="s">
        <v>351</v>
      </c>
      <c r="C184" s="828" t="s">
        <v>290</v>
      </c>
      <c r="D184" s="829">
        <v>175</v>
      </c>
      <c r="E184" s="829" t="s">
        <v>291</v>
      </c>
      <c r="F184" s="913"/>
      <c r="G184" s="913"/>
      <c r="H184" s="913">
        <v>0</v>
      </c>
      <c r="I184" s="914">
        <v>8.9</v>
      </c>
      <c r="J184" s="913"/>
      <c r="K184" s="913"/>
      <c r="L184" s="913"/>
      <c r="M184" s="913"/>
      <c r="N184" s="915">
        <v>11.42</v>
      </c>
      <c r="O184" s="913"/>
      <c r="P184" s="966">
        <f>5+27.08</f>
        <v>32.08</v>
      </c>
      <c r="Q184" s="1058">
        <v>1</v>
      </c>
      <c r="R184" s="914">
        <v>0.79</v>
      </c>
      <c r="S184" s="914"/>
      <c r="T184" s="847">
        <f t="shared" si="10"/>
        <v>54.19</v>
      </c>
      <c r="U184" s="847">
        <f t="shared" ref="U184:U186" si="16">T184</f>
        <v>54.19</v>
      </c>
      <c r="V184" s="788" t="s">
        <v>634</v>
      </c>
      <c r="W184" s="471"/>
      <c r="X184" s="3"/>
      <c r="Y184" s="3"/>
      <c r="Z184" s="3"/>
      <c r="AA184" s="3"/>
    </row>
    <row r="185" spans="1:27" ht="409.5">
      <c r="A185" s="736"/>
      <c r="B185" s="736"/>
      <c r="C185" s="736"/>
      <c r="D185" s="829">
        <v>176</v>
      </c>
      <c r="E185" s="829" t="s">
        <v>293</v>
      </c>
      <c r="F185" s="913"/>
      <c r="G185" s="913"/>
      <c r="H185" s="913"/>
      <c r="I185" s="913"/>
      <c r="J185" s="913"/>
      <c r="K185" s="913"/>
      <c r="L185" s="913"/>
      <c r="M185" s="914">
        <v>20.5</v>
      </c>
      <c r="N185" s="913"/>
      <c r="O185" s="913"/>
      <c r="P185" s="914">
        <v>60.19</v>
      </c>
      <c r="Q185" s="480">
        <v>7.5</v>
      </c>
      <c r="R185" s="913"/>
      <c r="S185" s="913"/>
      <c r="T185" s="847">
        <f t="shared" si="10"/>
        <v>88.19</v>
      </c>
      <c r="U185" s="847">
        <f t="shared" si="16"/>
        <v>88.19</v>
      </c>
      <c r="V185" s="788" t="s">
        <v>635</v>
      </c>
      <c r="W185" s="471"/>
      <c r="X185" s="3"/>
      <c r="Y185" s="3"/>
      <c r="Z185" s="3"/>
      <c r="AA185" s="3"/>
    </row>
    <row r="186" spans="1:27" ht="90">
      <c r="A186" s="736"/>
      <c r="B186" s="736"/>
      <c r="C186" s="736"/>
      <c r="D186" s="829">
        <v>177</v>
      </c>
      <c r="E186" s="829" t="s">
        <v>295</v>
      </c>
      <c r="F186" s="913"/>
      <c r="G186" s="913"/>
      <c r="H186" s="913"/>
      <c r="I186" s="913"/>
      <c r="J186" s="913"/>
      <c r="K186" s="913"/>
      <c r="L186" s="913"/>
      <c r="M186" s="913"/>
      <c r="N186" s="915">
        <v>1</v>
      </c>
      <c r="O186" s="913"/>
      <c r="P186" s="913"/>
      <c r="Q186" s="913"/>
      <c r="R186" s="913"/>
      <c r="S186" s="913"/>
      <c r="T186" s="847">
        <f t="shared" si="10"/>
        <v>1</v>
      </c>
      <c r="U186" s="847">
        <f t="shared" si="16"/>
        <v>1</v>
      </c>
      <c r="V186" s="738" t="s">
        <v>352</v>
      </c>
      <c r="W186" s="471"/>
      <c r="X186" s="3"/>
      <c r="Y186" s="3"/>
      <c r="Z186" s="3"/>
      <c r="AA186" s="3"/>
    </row>
    <row r="187" spans="1:27" ht="60">
      <c r="A187" s="736"/>
      <c r="B187" s="828" t="s">
        <v>353</v>
      </c>
      <c r="C187" s="828" t="s">
        <v>354</v>
      </c>
      <c r="D187" s="829">
        <v>178</v>
      </c>
      <c r="E187" s="829" t="s">
        <v>355</v>
      </c>
      <c r="F187" s="829"/>
      <c r="G187" s="829"/>
      <c r="H187" s="829"/>
      <c r="I187" s="829"/>
      <c r="J187" s="829"/>
      <c r="K187" s="829"/>
      <c r="L187" s="829"/>
      <c r="M187" s="829"/>
      <c r="N187" s="829"/>
      <c r="O187" s="829"/>
      <c r="P187" s="847">
        <v>1.5</v>
      </c>
      <c r="Q187" s="829"/>
      <c r="R187" s="829"/>
      <c r="S187" s="829"/>
      <c r="T187" s="847">
        <f t="shared" ref="T187" si="17">SUM(F187:S187)</f>
        <v>1.5</v>
      </c>
      <c r="U187" s="847">
        <f>T187</f>
        <v>1.5</v>
      </c>
      <c r="V187" s="744" t="s">
        <v>1857</v>
      </c>
      <c r="W187" s="471"/>
      <c r="X187" s="3"/>
      <c r="Y187" s="3"/>
      <c r="Z187" s="3"/>
      <c r="AA187" s="3"/>
    </row>
    <row r="188" spans="1:27" ht="39.75" customHeight="1">
      <c r="A188" s="736"/>
      <c r="B188" s="736"/>
      <c r="C188" s="736"/>
      <c r="D188" s="829">
        <v>179</v>
      </c>
      <c r="E188" s="829" t="s">
        <v>157</v>
      </c>
      <c r="F188" s="829"/>
      <c r="G188" s="829"/>
      <c r="H188" s="829"/>
      <c r="I188" s="829"/>
      <c r="J188" s="829"/>
      <c r="K188" s="829"/>
      <c r="L188" s="829"/>
      <c r="M188" s="829"/>
      <c r="N188" s="829"/>
      <c r="O188" s="829"/>
      <c r="P188" s="829"/>
      <c r="Q188" s="829"/>
      <c r="R188" s="829"/>
      <c r="S188" s="829"/>
      <c r="T188" s="847">
        <f t="shared" si="10"/>
        <v>0</v>
      </c>
      <c r="U188" s="847"/>
      <c r="V188" s="729"/>
      <c r="W188" s="471"/>
      <c r="X188" s="3"/>
      <c r="Y188" s="3"/>
      <c r="Z188" s="3"/>
      <c r="AA188" s="3"/>
    </row>
    <row r="189" spans="1:27" ht="39.75" customHeight="1">
      <c r="A189" s="736"/>
      <c r="B189" s="736"/>
      <c r="C189" s="736"/>
      <c r="D189" s="829">
        <v>180</v>
      </c>
      <c r="E189" s="829" t="s">
        <v>356</v>
      </c>
      <c r="F189" s="829"/>
      <c r="G189" s="829"/>
      <c r="H189" s="829"/>
      <c r="I189" s="829"/>
      <c r="J189" s="829"/>
      <c r="K189" s="847"/>
      <c r="L189" s="829"/>
      <c r="M189" s="829"/>
      <c r="N189" s="829"/>
      <c r="O189" s="829"/>
      <c r="P189" s="845"/>
      <c r="Q189" s="829"/>
      <c r="R189" s="829"/>
      <c r="S189" s="829"/>
      <c r="T189" s="847">
        <f t="shared" si="10"/>
        <v>0</v>
      </c>
      <c r="U189" s="847"/>
      <c r="V189" s="729"/>
      <c r="W189" s="471"/>
      <c r="X189" s="3"/>
      <c r="Y189" s="3"/>
      <c r="Z189" s="3"/>
      <c r="AA189" s="3"/>
    </row>
    <row r="190" spans="1:27" ht="39.75" customHeight="1">
      <c r="A190" s="736"/>
      <c r="B190" s="736"/>
      <c r="C190" s="736"/>
      <c r="D190" s="829">
        <v>181</v>
      </c>
      <c r="E190" s="829" t="s">
        <v>357</v>
      </c>
      <c r="F190" s="829"/>
      <c r="G190" s="829"/>
      <c r="H190" s="829"/>
      <c r="I190" s="829"/>
      <c r="J190" s="829"/>
      <c r="K190" s="829"/>
      <c r="L190" s="829"/>
      <c r="M190" s="829"/>
      <c r="N190" s="829"/>
      <c r="O190" s="829"/>
      <c r="P190" s="829"/>
      <c r="Q190" s="829"/>
      <c r="R190" s="829"/>
      <c r="S190" s="829"/>
      <c r="T190" s="847">
        <f t="shared" si="10"/>
        <v>0</v>
      </c>
      <c r="U190" s="847"/>
      <c r="V190" s="729"/>
      <c r="W190" s="471"/>
      <c r="X190" s="3"/>
      <c r="Y190" s="3"/>
      <c r="Z190" s="3"/>
      <c r="AA190" s="3"/>
    </row>
    <row r="191" spans="1:27" ht="39.75" customHeight="1">
      <c r="A191" s="736"/>
      <c r="B191" s="736"/>
      <c r="C191" s="736"/>
      <c r="D191" s="829">
        <v>182</v>
      </c>
      <c r="E191" s="829" t="s">
        <v>358</v>
      </c>
      <c r="F191" s="829"/>
      <c r="G191" s="829"/>
      <c r="H191" s="829"/>
      <c r="I191" s="829"/>
      <c r="J191" s="829"/>
      <c r="K191" s="829"/>
      <c r="L191" s="829"/>
      <c r="M191" s="829"/>
      <c r="N191" s="829"/>
      <c r="O191" s="829"/>
      <c r="P191" s="847"/>
      <c r="Q191" s="829"/>
      <c r="R191" s="829"/>
      <c r="S191" s="829"/>
      <c r="T191" s="847">
        <f t="shared" si="10"/>
        <v>0</v>
      </c>
      <c r="U191" s="728">
        <f>T191*1.05</f>
        <v>0</v>
      </c>
      <c r="V191" s="729"/>
      <c r="W191" s="471"/>
      <c r="X191" s="3"/>
      <c r="Y191" s="3"/>
      <c r="Z191" s="3"/>
      <c r="AA191" s="3"/>
    </row>
    <row r="192" spans="1:27" ht="39.75" customHeight="1">
      <c r="A192" s="736"/>
      <c r="B192" s="736"/>
      <c r="C192" s="736"/>
      <c r="D192" s="829">
        <v>183</v>
      </c>
      <c r="E192" s="829" t="s">
        <v>360</v>
      </c>
      <c r="F192" s="829"/>
      <c r="G192" s="829"/>
      <c r="H192" s="829"/>
      <c r="I192" s="829"/>
      <c r="J192" s="829"/>
      <c r="K192" s="829"/>
      <c r="L192" s="829"/>
      <c r="M192" s="829"/>
      <c r="N192" s="829"/>
      <c r="O192" s="829"/>
      <c r="P192" s="845"/>
      <c r="Q192" s="829"/>
      <c r="R192" s="829"/>
      <c r="S192" s="829"/>
      <c r="T192" s="847">
        <f t="shared" si="10"/>
        <v>0</v>
      </c>
      <c r="U192" s="847">
        <f>SUM(G192:T192)</f>
        <v>0</v>
      </c>
      <c r="V192" s="729"/>
      <c r="W192" s="471"/>
      <c r="X192" s="3"/>
      <c r="Y192" s="3"/>
      <c r="Z192" s="3"/>
      <c r="AA192" s="3"/>
    </row>
    <row r="193" spans="1:27" ht="39.75" customHeight="1">
      <c r="A193" s="736"/>
      <c r="B193" s="829" t="s">
        <v>361</v>
      </c>
      <c r="C193" s="829" t="s">
        <v>362</v>
      </c>
      <c r="D193" s="829">
        <v>184</v>
      </c>
      <c r="E193" s="829" t="s">
        <v>363</v>
      </c>
      <c r="F193" s="829"/>
      <c r="G193" s="829"/>
      <c r="H193" s="829"/>
      <c r="I193" s="829"/>
      <c r="J193" s="829"/>
      <c r="K193" s="829"/>
      <c r="L193" s="829"/>
      <c r="M193" s="829"/>
      <c r="N193" s="829"/>
      <c r="O193" s="829"/>
      <c r="P193" s="847"/>
      <c r="Q193" s="829"/>
      <c r="R193" s="829"/>
      <c r="S193" s="829"/>
      <c r="T193" s="847">
        <f t="shared" si="10"/>
        <v>0</v>
      </c>
      <c r="U193" s="847"/>
      <c r="V193" s="729"/>
      <c r="W193" s="471"/>
      <c r="X193" s="3"/>
      <c r="Y193" s="3"/>
      <c r="Z193" s="3"/>
      <c r="AA193" s="3"/>
    </row>
    <row r="194" spans="1:27" ht="39.75" customHeight="1">
      <c r="A194" s="736"/>
      <c r="B194" s="828" t="s">
        <v>364</v>
      </c>
      <c r="C194" s="828" t="s">
        <v>297</v>
      </c>
      <c r="D194" s="829">
        <v>185</v>
      </c>
      <c r="E194" s="829" t="s">
        <v>298</v>
      </c>
      <c r="F194" s="829"/>
      <c r="G194" s="829"/>
      <c r="H194" s="829"/>
      <c r="I194" s="829"/>
      <c r="J194" s="829"/>
      <c r="K194" s="829"/>
      <c r="L194" s="829"/>
      <c r="M194" s="829"/>
      <c r="N194" s="829"/>
      <c r="O194" s="829"/>
      <c r="P194" s="783">
        <v>2087.2108699999994</v>
      </c>
      <c r="Q194" s="829"/>
      <c r="R194" s="829"/>
      <c r="S194" s="829"/>
      <c r="T194" s="847">
        <f t="shared" si="10"/>
        <v>2087.2108699999994</v>
      </c>
      <c r="U194" s="783">
        <v>2242.4993587279996</v>
      </c>
      <c r="V194" s="1206" t="s">
        <v>1732</v>
      </c>
      <c r="W194" s="471"/>
      <c r="X194" s="3"/>
      <c r="Y194" s="3"/>
      <c r="Z194" s="3"/>
      <c r="AA194" s="3"/>
    </row>
    <row r="195" spans="1:27" ht="150">
      <c r="A195" s="736"/>
      <c r="B195" s="736"/>
      <c r="C195" s="736"/>
      <c r="D195" s="829">
        <v>186</v>
      </c>
      <c r="E195" s="829" t="s">
        <v>299</v>
      </c>
      <c r="F195" s="829"/>
      <c r="G195" s="829"/>
      <c r="H195" s="829"/>
      <c r="I195" s="829"/>
      <c r="J195" s="829"/>
      <c r="K195" s="829"/>
      <c r="L195" s="829"/>
      <c r="M195" s="829"/>
      <c r="N195" s="829"/>
      <c r="O195" s="829"/>
      <c r="P195" s="845">
        <f>5.153+4.025</f>
        <v>9.1780000000000008</v>
      </c>
      <c r="Q195" s="847"/>
      <c r="R195" s="829"/>
      <c r="S195" s="829"/>
      <c r="T195" s="847">
        <f t="shared" si="10"/>
        <v>9.1780000000000008</v>
      </c>
      <c r="U195" s="847">
        <f>T195</f>
        <v>9.1780000000000008</v>
      </c>
      <c r="V195" s="729" t="s">
        <v>636</v>
      </c>
      <c r="W195" s="471"/>
      <c r="X195" s="3"/>
      <c r="Y195" s="3"/>
      <c r="Z195" s="3"/>
      <c r="AA195" s="3"/>
    </row>
    <row r="196" spans="1:27" ht="39.75" customHeight="1">
      <c r="A196" s="736"/>
      <c r="B196" s="736"/>
      <c r="C196" s="736"/>
      <c r="D196" s="829">
        <v>187</v>
      </c>
      <c r="E196" s="829" t="s">
        <v>367</v>
      </c>
      <c r="F196" s="829"/>
      <c r="G196" s="829"/>
      <c r="H196" s="829"/>
      <c r="I196" s="829"/>
      <c r="J196" s="829"/>
      <c r="K196" s="829"/>
      <c r="L196" s="829"/>
      <c r="M196" s="829"/>
      <c r="N196" s="829"/>
      <c r="O196" s="829"/>
      <c r="P196" s="783">
        <v>914.77764000000002</v>
      </c>
      <c r="Q196" s="829"/>
      <c r="R196" s="829"/>
      <c r="S196" s="829"/>
      <c r="T196" s="847">
        <f t="shared" si="10"/>
        <v>914.77764000000002</v>
      </c>
      <c r="U196" s="887">
        <v>991.07009517600011</v>
      </c>
      <c r="V196" s="1206" t="s">
        <v>1732</v>
      </c>
      <c r="W196" s="471"/>
      <c r="X196" s="3"/>
      <c r="Y196" s="3"/>
      <c r="Z196" s="3"/>
      <c r="AA196" s="3"/>
    </row>
    <row r="197" spans="1:27" ht="39.75" customHeight="1">
      <c r="A197" s="736"/>
      <c r="B197" s="736"/>
      <c r="C197" s="736"/>
      <c r="D197" s="829">
        <v>188</v>
      </c>
      <c r="E197" s="829" t="s">
        <v>300</v>
      </c>
      <c r="F197" s="829"/>
      <c r="G197" s="829"/>
      <c r="H197" s="829"/>
      <c r="I197" s="829"/>
      <c r="J197" s="829"/>
      <c r="K197" s="829"/>
      <c r="L197" s="829"/>
      <c r="M197" s="829"/>
      <c r="N197" s="829"/>
      <c r="O197" s="829"/>
      <c r="P197" s="829"/>
      <c r="Q197" s="829"/>
      <c r="R197" s="829"/>
      <c r="S197" s="829"/>
      <c r="T197" s="847">
        <f t="shared" si="10"/>
        <v>0</v>
      </c>
      <c r="U197" s="847"/>
      <c r="V197" s="729"/>
      <c r="W197" s="471"/>
      <c r="X197" s="3"/>
      <c r="Y197" s="3"/>
      <c r="Z197" s="3"/>
      <c r="AA197" s="3"/>
    </row>
    <row r="198" spans="1:27" ht="39.75" customHeight="1">
      <c r="A198" s="736"/>
      <c r="B198" s="736"/>
      <c r="C198" s="736"/>
      <c r="D198" s="829">
        <v>189</v>
      </c>
      <c r="E198" s="829" t="s">
        <v>301</v>
      </c>
      <c r="F198" s="829"/>
      <c r="G198" s="829"/>
      <c r="H198" s="829"/>
      <c r="I198" s="829"/>
      <c r="J198" s="829"/>
      <c r="K198" s="829"/>
      <c r="L198" s="829"/>
      <c r="M198" s="829"/>
      <c r="N198" s="829"/>
      <c r="O198" s="829"/>
      <c r="P198" s="829"/>
      <c r="Q198" s="829"/>
      <c r="R198" s="829"/>
      <c r="S198" s="829"/>
      <c r="T198" s="847">
        <f t="shared" si="10"/>
        <v>0</v>
      </c>
      <c r="U198" s="847"/>
      <c r="V198" s="729"/>
      <c r="W198" s="471"/>
      <c r="X198" s="3"/>
      <c r="Y198" s="3"/>
      <c r="Z198" s="3"/>
      <c r="AA198" s="3"/>
    </row>
    <row r="199" spans="1:27" ht="39.75" customHeight="1">
      <c r="A199" s="736"/>
      <c r="B199" s="736"/>
      <c r="C199" s="736"/>
      <c r="D199" s="829">
        <v>190</v>
      </c>
      <c r="E199" s="829" t="s">
        <v>368</v>
      </c>
      <c r="F199" s="829"/>
      <c r="G199" s="829"/>
      <c r="H199" s="829"/>
      <c r="I199" s="829"/>
      <c r="J199" s="829"/>
      <c r="K199" s="829"/>
      <c r="L199" s="829"/>
      <c r="M199" s="829"/>
      <c r="N199" s="829"/>
      <c r="O199" s="829"/>
      <c r="P199" s="845"/>
      <c r="Q199" s="829"/>
      <c r="R199" s="829"/>
      <c r="S199" s="829"/>
      <c r="T199" s="847">
        <f t="shared" si="10"/>
        <v>0</v>
      </c>
      <c r="U199" s="847"/>
      <c r="V199" s="729"/>
      <c r="W199" s="471"/>
      <c r="X199" s="3"/>
      <c r="Y199" s="3"/>
      <c r="Z199" s="3"/>
      <c r="AA199" s="3"/>
    </row>
    <row r="200" spans="1:27" ht="39.75" customHeight="1">
      <c r="A200" s="736"/>
      <c r="B200" s="828" t="s">
        <v>370</v>
      </c>
      <c r="C200" s="828" t="s">
        <v>371</v>
      </c>
      <c r="D200" s="829">
        <v>191</v>
      </c>
      <c r="E200" s="829" t="s">
        <v>372</v>
      </c>
      <c r="F200" s="829"/>
      <c r="G200" s="829"/>
      <c r="H200" s="829"/>
      <c r="I200" s="829"/>
      <c r="J200" s="829"/>
      <c r="K200" s="829"/>
      <c r="L200" s="829"/>
      <c r="M200" s="829"/>
      <c r="N200" s="847"/>
      <c r="O200" s="829"/>
      <c r="P200" s="829"/>
      <c r="Q200" s="829"/>
      <c r="R200" s="829"/>
      <c r="S200" s="829"/>
      <c r="T200" s="847">
        <f t="shared" si="10"/>
        <v>0</v>
      </c>
      <c r="U200" s="847">
        <f>SUM(G200:T200)</f>
        <v>0</v>
      </c>
      <c r="V200" s="729"/>
      <c r="W200" s="471"/>
      <c r="X200" s="3"/>
      <c r="Y200" s="3"/>
      <c r="Z200" s="3"/>
      <c r="AA200" s="3"/>
    </row>
    <row r="201" spans="1:27" ht="210">
      <c r="A201" s="736"/>
      <c r="B201" s="736"/>
      <c r="C201" s="736"/>
      <c r="D201" s="829">
        <v>192</v>
      </c>
      <c r="E201" s="829" t="s">
        <v>373</v>
      </c>
      <c r="F201" s="829"/>
      <c r="G201" s="829"/>
      <c r="H201" s="845"/>
      <c r="I201" s="829"/>
      <c r="J201" s="829"/>
      <c r="K201" s="829"/>
      <c r="L201" s="829"/>
      <c r="M201" s="829"/>
      <c r="N201" s="847">
        <v>18</v>
      </c>
      <c r="O201" s="829"/>
      <c r="P201" s="847"/>
      <c r="Q201" s="845"/>
      <c r="R201" s="829"/>
      <c r="S201" s="829"/>
      <c r="T201" s="847">
        <f t="shared" si="10"/>
        <v>18</v>
      </c>
      <c r="U201" s="847">
        <v>18</v>
      </c>
      <c r="V201" s="749" t="s">
        <v>637</v>
      </c>
      <c r="W201" s="471"/>
      <c r="X201" s="3"/>
      <c r="Y201" s="3"/>
      <c r="Z201" s="3"/>
      <c r="AA201" s="3"/>
    </row>
    <row r="202" spans="1:27" ht="39.75" customHeight="1">
      <c r="A202" s="736"/>
      <c r="B202" s="828" t="s">
        <v>374</v>
      </c>
      <c r="C202" s="828" t="s">
        <v>303</v>
      </c>
      <c r="D202" s="829">
        <v>193</v>
      </c>
      <c r="E202" s="829" t="s">
        <v>375</v>
      </c>
      <c r="F202" s="829"/>
      <c r="G202" s="829"/>
      <c r="H202" s="829"/>
      <c r="I202" s="829"/>
      <c r="J202" s="829"/>
      <c r="K202" s="829"/>
      <c r="L202" s="829"/>
      <c r="M202" s="829"/>
      <c r="N202" s="829"/>
      <c r="O202" s="829"/>
      <c r="P202" s="847"/>
      <c r="Q202" s="829"/>
      <c r="R202" s="829"/>
      <c r="S202" s="845"/>
      <c r="T202" s="847">
        <f t="shared" si="10"/>
        <v>0</v>
      </c>
      <c r="U202" s="847"/>
      <c r="V202" s="729"/>
      <c r="W202" s="471"/>
      <c r="X202" s="3"/>
      <c r="Y202" s="3"/>
      <c r="Z202" s="3"/>
      <c r="AA202" s="3"/>
    </row>
    <row r="203" spans="1:27" ht="315">
      <c r="A203" s="736"/>
      <c r="B203" s="736"/>
      <c r="C203" s="736"/>
      <c r="D203" s="829">
        <v>194</v>
      </c>
      <c r="E203" s="829" t="s">
        <v>304</v>
      </c>
      <c r="F203" s="829"/>
      <c r="G203" s="829"/>
      <c r="H203" s="829"/>
      <c r="I203" s="829"/>
      <c r="J203" s="829"/>
      <c r="K203" s="829"/>
      <c r="L203" s="829"/>
      <c r="M203" s="829"/>
      <c r="N203" s="847">
        <v>1.2</v>
      </c>
      <c r="O203" s="829"/>
      <c r="P203" s="829"/>
      <c r="Q203" s="847"/>
      <c r="R203" s="847">
        <v>45.88</v>
      </c>
      <c r="S203" s="829"/>
      <c r="T203" s="847">
        <f t="shared" si="10"/>
        <v>47.080000000000005</v>
      </c>
      <c r="U203" s="728">
        <f>R203*1.05+N203</f>
        <v>49.374000000000009</v>
      </c>
      <c r="V203" s="729" t="s">
        <v>1604</v>
      </c>
      <c r="W203" s="471"/>
      <c r="X203" s="3"/>
      <c r="Y203" s="3"/>
      <c r="Z203" s="3"/>
      <c r="AA203" s="3"/>
    </row>
    <row r="204" spans="1:27" ht="180">
      <c r="A204" s="736"/>
      <c r="B204" s="828" t="s">
        <v>376</v>
      </c>
      <c r="C204" s="828" t="s">
        <v>377</v>
      </c>
      <c r="D204" s="829">
        <v>195</v>
      </c>
      <c r="E204" s="829" t="s">
        <v>378</v>
      </c>
      <c r="F204" s="829"/>
      <c r="G204" s="829"/>
      <c r="H204" s="829"/>
      <c r="I204" s="829"/>
      <c r="J204" s="829"/>
      <c r="K204" s="829"/>
      <c r="L204" s="829"/>
      <c r="M204" s="829"/>
      <c r="N204" s="829"/>
      <c r="O204" s="829"/>
      <c r="P204" s="847"/>
      <c r="Q204" s="845">
        <v>1.45</v>
      </c>
      <c r="R204" s="847">
        <v>2.6</v>
      </c>
      <c r="S204" s="829">
        <v>0.7</v>
      </c>
      <c r="T204" s="847">
        <f t="shared" si="10"/>
        <v>4.75</v>
      </c>
      <c r="U204" s="847">
        <f>T204</f>
        <v>4.75</v>
      </c>
      <c r="V204" s="749" t="s">
        <v>638</v>
      </c>
      <c r="W204" s="471"/>
      <c r="X204" s="3"/>
      <c r="Y204" s="3"/>
      <c r="Z204" s="3"/>
      <c r="AA204" s="3"/>
    </row>
    <row r="205" spans="1:27" ht="39.75" customHeight="1">
      <c r="A205" s="736"/>
      <c r="B205" s="736"/>
      <c r="C205" s="736"/>
      <c r="D205" s="829">
        <v>196</v>
      </c>
      <c r="E205" s="829" t="s">
        <v>379</v>
      </c>
      <c r="F205" s="829"/>
      <c r="G205" s="829"/>
      <c r="H205" s="829"/>
      <c r="I205" s="829"/>
      <c r="J205" s="829"/>
      <c r="K205" s="829"/>
      <c r="L205" s="829"/>
      <c r="M205" s="829"/>
      <c r="N205" s="829"/>
      <c r="O205" s="829"/>
      <c r="P205" s="829"/>
      <c r="Q205" s="829"/>
      <c r="R205" s="829"/>
      <c r="S205" s="829"/>
      <c r="T205" s="847">
        <f t="shared" si="10"/>
        <v>0</v>
      </c>
      <c r="U205" s="847"/>
      <c r="V205" s="729"/>
      <c r="W205" s="471"/>
      <c r="X205" s="3"/>
      <c r="Y205" s="3"/>
      <c r="Z205" s="3"/>
      <c r="AA205" s="3"/>
    </row>
    <row r="206" spans="1:27" ht="409.5">
      <c r="A206" s="736"/>
      <c r="B206" s="736"/>
      <c r="C206" s="736"/>
      <c r="D206" s="829">
        <v>197</v>
      </c>
      <c r="E206" s="829" t="s">
        <v>380</v>
      </c>
      <c r="F206" s="967"/>
      <c r="G206" s="967"/>
      <c r="H206" s="967"/>
      <c r="I206" s="967"/>
      <c r="J206" s="967"/>
      <c r="K206" s="967"/>
      <c r="L206" s="967"/>
      <c r="M206" s="967"/>
      <c r="N206" s="958">
        <v>0.25</v>
      </c>
      <c r="O206" s="967"/>
      <c r="P206" s="968">
        <v>41.06</v>
      </c>
      <c r="Q206" s="958"/>
      <c r="R206" s="958">
        <v>0.05</v>
      </c>
      <c r="S206" s="958"/>
      <c r="T206" s="969">
        <f>SUM(N206:S206)</f>
        <v>41.36</v>
      </c>
      <c r="U206" s="968">
        <v>41.11</v>
      </c>
      <c r="V206" s="744" t="s">
        <v>639</v>
      </c>
      <c r="W206" s="471"/>
      <c r="X206" s="3"/>
      <c r="Y206" s="3"/>
      <c r="Z206" s="3"/>
      <c r="AA206" s="3"/>
    </row>
    <row r="207" spans="1:27" ht="39.75" customHeight="1">
      <c r="A207" s="736"/>
      <c r="B207" s="829" t="s">
        <v>381</v>
      </c>
      <c r="C207" s="829" t="s">
        <v>309</v>
      </c>
      <c r="D207" s="829">
        <v>198</v>
      </c>
      <c r="E207" s="829" t="s">
        <v>310</v>
      </c>
      <c r="F207" s="829"/>
      <c r="G207" s="829"/>
      <c r="H207" s="829"/>
      <c r="I207" s="829"/>
      <c r="J207" s="829"/>
      <c r="K207" s="829"/>
      <c r="L207" s="829"/>
      <c r="M207" s="829"/>
      <c r="N207" s="829"/>
      <c r="O207" s="829"/>
      <c r="P207" s="829"/>
      <c r="Q207" s="829"/>
      <c r="R207" s="829"/>
      <c r="S207" s="829"/>
      <c r="T207" s="847">
        <f t="shared" ref="T207:T209" si="18">SUM(F207:S207)</f>
        <v>0</v>
      </c>
      <c r="U207" s="847"/>
      <c r="V207" s="729"/>
      <c r="W207" s="471"/>
      <c r="X207" s="3"/>
      <c r="Y207" s="3"/>
      <c r="Z207" s="3"/>
      <c r="AA207" s="3"/>
    </row>
    <row r="208" spans="1:27" ht="105">
      <c r="A208" s="736"/>
      <c r="B208" s="829" t="s">
        <v>382</v>
      </c>
      <c r="C208" s="829" t="s">
        <v>312</v>
      </c>
      <c r="D208" s="829">
        <v>199</v>
      </c>
      <c r="E208" s="829" t="s">
        <v>313</v>
      </c>
      <c r="F208" s="882"/>
      <c r="G208" s="882"/>
      <c r="H208" s="882"/>
      <c r="I208" s="882"/>
      <c r="J208" s="882"/>
      <c r="K208" s="882"/>
      <c r="L208" s="882"/>
      <c r="M208" s="882"/>
      <c r="N208" s="882"/>
      <c r="O208" s="882"/>
      <c r="Q208" s="882"/>
      <c r="R208" s="1059">
        <v>223.2</v>
      </c>
      <c r="S208" s="882"/>
      <c r="T208" s="847">
        <f t="shared" si="18"/>
        <v>223.2</v>
      </c>
      <c r="U208" s="847">
        <f>T208</f>
        <v>223.2</v>
      </c>
      <c r="V208" s="729" t="s">
        <v>1799</v>
      </c>
      <c r="W208" s="471"/>
      <c r="X208" s="3"/>
      <c r="Y208" s="3"/>
      <c r="Z208" s="3"/>
      <c r="AA208" s="3"/>
    </row>
    <row r="209" spans="1:27" ht="90">
      <c r="A209" s="736"/>
      <c r="B209" s="829" t="s">
        <v>383</v>
      </c>
      <c r="C209" s="829"/>
      <c r="D209" s="829">
        <v>200</v>
      </c>
      <c r="E209" s="829" t="s">
        <v>384</v>
      </c>
      <c r="F209" s="882"/>
      <c r="G209" s="882"/>
      <c r="H209" s="882"/>
      <c r="I209" s="882"/>
      <c r="J209" s="882"/>
      <c r="K209" s="882"/>
      <c r="L209" s="882"/>
      <c r="M209" s="882"/>
      <c r="N209" s="889">
        <v>0.1956</v>
      </c>
      <c r="O209" s="889"/>
      <c r="P209" s="889"/>
      <c r="Q209" s="889"/>
      <c r="R209" s="889">
        <v>1</v>
      </c>
      <c r="S209" s="889"/>
      <c r="T209" s="847">
        <f t="shared" si="18"/>
        <v>1.1956</v>
      </c>
      <c r="U209" s="728">
        <v>1.1956</v>
      </c>
      <c r="V209" s="749" t="s">
        <v>385</v>
      </c>
      <c r="W209" s="132" t="s">
        <v>385</v>
      </c>
      <c r="X209" s="3"/>
      <c r="Y209" s="3"/>
      <c r="Z209" s="3"/>
      <c r="AA209" s="3"/>
    </row>
    <row r="210" spans="1:27" ht="39.75" customHeight="1">
      <c r="A210" s="736"/>
      <c r="B210" s="948" t="s">
        <v>386</v>
      </c>
      <c r="C210" s="736"/>
      <c r="D210" s="736"/>
      <c r="E210" s="949"/>
      <c r="F210" s="949">
        <f t="shared" ref="F210:T210" si="19">SUM(F159:F209)</f>
        <v>0</v>
      </c>
      <c r="G210" s="950">
        <f t="shared" si="19"/>
        <v>0</v>
      </c>
      <c r="H210" s="950">
        <f t="shared" si="19"/>
        <v>0</v>
      </c>
      <c r="I210" s="949">
        <f t="shared" si="19"/>
        <v>8.9</v>
      </c>
      <c r="J210" s="949">
        <f t="shared" si="19"/>
        <v>0</v>
      </c>
      <c r="K210" s="949">
        <f t="shared" si="19"/>
        <v>0</v>
      </c>
      <c r="L210" s="949">
        <f t="shared" si="19"/>
        <v>0</v>
      </c>
      <c r="M210" s="949">
        <f t="shared" si="19"/>
        <v>20.5</v>
      </c>
      <c r="N210" s="951">
        <f t="shared" si="19"/>
        <v>70.315600000000003</v>
      </c>
      <c r="O210" s="949">
        <f t="shared" si="19"/>
        <v>586.755</v>
      </c>
      <c r="P210" s="950">
        <f t="shared" si="19"/>
        <v>3198.266509999999</v>
      </c>
      <c r="Q210" s="949">
        <f t="shared" si="19"/>
        <v>15.876999999999999</v>
      </c>
      <c r="R210" s="949">
        <f t="shared" si="19"/>
        <v>275.52</v>
      </c>
      <c r="S210" s="949">
        <f t="shared" si="19"/>
        <v>0.7</v>
      </c>
      <c r="T210" s="949">
        <f t="shared" si="19"/>
        <v>4176.8341099999998</v>
      </c>
      <c r="U210" s="951">
        <f t="shared" ref="U210" si="20">SUM(U159:U209)</f>
        <v>4412.5190539039986</v>
      </c>
      <c r="V210" s="660"/>
      <c r="W210" s="471"/>
      <c r="X210" s="3"/>
      <c r="Y210" s="3"/>
      <c r="Z210" s="3"/>
      <c r="AA210" s="3"/>
    </row>
    <row r="211" spans="1:27" ht="39.75" customHeight="1">
      <c r="A211" s="974" t="s">
        <v>387</v>
      </c>
      <c r="B211" s="736"/>
      <c r="C211" s="736"/>
      <c r="D211" s="736"/>
      <c r="E211" s="975"/>
      <c r="F211" s="978">
        <f t="shared" ref="F211:R211" si="21">F210+F158+F134+F93+F68</f>
        <v>116.9836</v>
      </c>
      <c r="G211" s="978">
        <f t="shared" si="21"/>
        <v>4</v>
      </c>
      <c r="H211" s="978">
        <f t="shared" si="21"/>
        <v>100.2</v>
      </c>
      <c r="I211" s="978">
        <f t="shared" si="21"/>
        <v>29.601489999999998</v>
      </c>
      <c r="J211" s="978">
        <f t="shared" si="21"/>
        <v>0</v>
      </c>
      <c r="K211" s="978">
        <f t="shared" si="21"/>
        <v>84.352000000000004</v>
      </c>
      <c r="L211" s="978">
        <f t="shared" si="21"/>
        <v>4.6999999999999993</v>
      </c>
      <c r="M211" s="978">
        <f t="shared" si="21"/>
        <v>63.319999999999993</v>
      </c>
      <c r="N211" s="978">
        <f t="shared" si="21"/>
        <v>144.04780000000002</v>
      </c>
      <c r="O211" s="978">
        <f t="shared" si="21"/>
        <v>864.61595</v>
      </c>
      <c r="P211" s="978">
        <f t="shared" si="21"/>
        <v>4238.6023899999991</v>
      </c>
      <c r="Q211" s="1060">
        <f t="shared" si="21"/>
        <v>91.152499999999989</v>
      </c>
      <c r="R211" s="978">
        <f t="shared" si="21"/>
        <v>339.31450000000001</v>
      </c>
      <c r="S211" s="978">
        <f>S210+S158+S134+S93+S68</f>
        <v>14.229999999999999</v>
      </c>
      <c r="T211" s="978">
        <f>T210+T158+T134+T93+T68</f>
        <v>6095.1202299999995</v>
      </c>
      <c r="U211" s="978">
        <f t="shared" ref="U211" si="22">U210+U158+U134+U93+U68</f>
        <v>6285.017882543998</v>
      </c>
      <c r="V211" s="681"/>
      <c r="W211" s="471"/>
      <c r="X211" s="3"/>
      <c r="Y211" s="3"/>
      <c r="Z211" s="3"/>
      <c r="AA211" s="3"/>
    </row>
    <row r="212" spans="1:27" ht="24.75" customHeight="1">
      <c r="A212" s="3"/>
      <c r="B212" s="3"/>
      <c r="C212" s="3"/>
      <c r="D212" s="3"/>
      <c r="E212" s="3"/>
      <c r="F212" s="3"/>
      <c r="G212" s="3"/>
      <c r="H212" s="3"/>
      <c r="I212" s="3"/>
      <c r="J212" s="3"/>
      <c r="K212" s="3"/>
      <c r="L212" s="3"/>
      <c r="M212" s="3"/>
      <c r="N212" s="3"/>
      <c r="O212" s="3"/>
      <c r="P212" s="3"/>
      <c r="Q212" s="3"/>
      <c r="R212" s="3"/>
      <c r="S212" s="3"/>
      <c r="T212" s="3"/>
      <c r="U212" s="3"/>
      <c r="V212" s="733"/>
      <c r="W212" s="3"/>
      <c r="X212" s="3"/>
      <c r="Y212" s="3"/>
      <c r="Z212" s="3"/>
      <c r="AA212" s="3"/>
    </row>
    <row r="213" spans="1:27" ht="24.75" customHeight="1">
      <c r="A213" s="3"/>
      <c r="B213" s="3"/>
      <c r="C213" s="3"/>
      <c r="D213" s="3"/>
      <c r="E213" s="3"/>
      <c r="F213" s="3"/>
      <c r="G213" s="3"/>
      <c r="H213" s="3"/>
      <c r="I213" s="3"/>
      <c r="J213" s="3"/>
      <c r="K213" s="3"/>
      <c r="L213" s="3"/>
      <c r="M213" s="3"/>
      <c r="N213" s="3"/>
      <c r="O213" s="3"/>
      <c r="P213" s="3"/>
      <c r="Q213" s="3"/>
      <c r="R213" s="3"/>
      <c r="S213" s="3"/>
      <c r="T213" s="3"/>
      <c r="U213" s="3"/>
      <c r="V213" s="733"/>
      <c r="W213" s="3"/>
      <c r="X213" s="3"/>
      <c r="Y213" s="3"/>
      <c r="Z213" s="3"/>
      <c r="AA213" s="3"/>
    </row>
    <row r="214" spans="1:27" ht="24.75" customHeight="1">
      <c r="A214" s="3"/>
      <c r="B214" s="3"/>
      <c r="C214" s="3"/>
      <c r="D214" s="3"/>
      <c r="E214" s="3"/>
      <c r="F214" s="3"/>
      <c r="G214" s="3"/>
      <c r="H214" s="3"/>
      <c r="I214" s="3"/>
      <c r="J214" s="3"/>
      <c r="K214" s="3"/>
      <c r="L214" s="3"/>
      <c r="M214" s="3"/>
      <c r="N214" s="3"/>
      <c r="O214" s="3"/>
      <c r="P214" s="3"/>
      <c r="Q214" s="3"/>
      <c r="R214" s="3"/>
      <c r="S214" s="3"/>
      <c r="T214" s="3"/>
      <c r="U214" s="3"/>
      <c r="V214" s="733"/>
      <c r="W214" s="3"/>
      <c r="X214" s="3"/>
      <c r="Y214" s="3"/>
      <c r="Z214" s="3"/>
      <c r="AA214" s="3"/>
    </row>
    <row r="215" spans="1:27" ht="24.75" customHeight="1">
      <c r="A215" s="3"/>
      <c r="B215" s="3"/>
      <c r="C215" s="3"/>
      <c r="D215" s="3"/>
      <c r="E215" s="3"/>
      <c r="F215" s="3"/>
      <c r="G215" s="3"/>
      <c r="H215" s="3"/>
      <c r="I215" s="3"/>
      <c r="J215" s="3"/>
      <c r="K215" s="3"/>
      <c r="L215" s="3"/>
      <c r="M215" s="3"/>
      <c r="N215" s="3"/>
      <c r="O215" s="3"/>
      <c r="P215" s="3"/>
      <c r="Q215" s="3"/>
      <c r="R215" s="3"/>
      <c r="S215" s="3"/>
      <c r="T215" s="3"/>
      <c r="U215" s="3"/>
      <c r="V215" s="733"/>
      <c r="W215" s="3"/>
      <c r="X215" s="3"/>
      <c r="Y215" s="3"/>
      <c r="Z215" s="3"/>
      <c r="AA215" s="3"/>
    </row>
    <row r="216" spans="1:27" ht="24.75" customHeight="1">
      <c r="A216" s="3"/>
      <c r="B216" s="3"/>
      <c r="C216" s="3"/>
      <c r="D216" s="3"/>
      <c r="E216" s="3"/>
      <c r="F216" s="3"/>
      <c r="G216" s="3"/>
      <c r="H216" s="3"/>
      <c r="I216" s="3"/>
      <c r="J216" s="3"/>
      <c r="K216" s="3"/>
      <c r="L216" s="3"/>
      <c r="M216" s="3"/>
      <c r="N216" s="3"/>
      <c r="O216" s="3"/>
      <c r="P216" s="3"/>
      <c r="Q216" s="3"/>
      <c r="R216" s="3"/>
      <c r="S216" s="3"/>
      <c r="T216" s="3"/>
      <c r="U216" s="3"/>
      <c r="V216" s="733"/>
      <c r="W216" s="3"/>
      <c r="X216" s="3"/>
      <c r="Y216" s="3"/>
      <c r="Z216" s="3"/>
      <c r="AA216" s="3"/>
    </row>
    <row r="217" spans="1:27" ht="24.75" customHeight="1">
      <c r="A217" s="3"/>
      <c r="B217" s="3"/>
      <c r="C217" s="3"/>
      <c r="D217" s="3"/>
      <c r="E217" s="3"/>
      <c r="F217" s="3"/>
      <c r="G217" s="3"/>
      <c r="H217" s="3"/>
      <c r="I217" s="3"/>
      <c r="J217" s="3"/>
      <c r="K217" s="3"/>
      <c r="L217" s="3"/>
      <c r="M217" s="3"/>
      <c r="N217" s="3"/>
      <c r="O217" s="3"/>
      <c r="P217" s="3"/>
      <c r="Q217" s="3"/>
      <c r="R217" s="3"/>
      <c r="S217" s="3"/>
      <c r="T217" s="3"/>
      <c r="U217" s="3"/>
      <c r="V217" s="733"/>
      <c r="W217" s="3"/>
      <c r="X217" s="3"/>
      <c r="Y217" s="3"/>
      <c r="Z217" s="3"/>
      <c r="AA217" s="3"/>
    </row>
    <row r="218" spans="1:27" ht="24.75" customHeight="1">
      <c r="A218" s="3"/>
      <c r="B218" s="3"/>
      <c r="C218" s="3"/>
      <c r="D218" s="3"/>
      <c r="E218" s="3"/>
      <c r="F218" s="3"/>
      <c r="G218" s="3"/>
      <c r="H218" s="3"/>
      <c r="I218" s="3"/>
      <c r="J218" s="3"/>
      <c r="K218" s="3"/>
      <c r="L218" s="3"/>
      <c r="M218" s="3"/>
      <c r="N218" s="3"/>
      <c r="O218" s="3"/>
      <c r="P218" s="3"/>
      <c r="Q218" s="3"/>
      <c r="R218" s="3"/>
      <c r="S218" s="3"/>
      <c r="T218" s="3"/>
      <c r="U218" s="3"/>
      <c r="V218" s="733"/>
      <c r="W218" s="3"/>
      <c r="X218" s="3"/>
      <c r="Y218" s="3"/>
      <c r="Z218" s="3"/>
      <c r="AA218" s="3"/>
    </row>
    <row r="219" spans="1:27" ht="24.75" customHeight="1">
      <c r="A219" s="3"/>
      <c r="B219" s="3"/>
      <c r="C219" s="3"/>
      <c r="D219" s="3"/>
      <c r="E219" s="3"/>
      <c r="F219" s="3"/>
      <c r="G219" s="3"/>
      <c r="H219" s="3"/>
      <c r="I219" s="3"/>
      <c r="J219" s="3"/>
      <c r="K219" s="3"/>
      <c r="L219" s="3"/>
      <c r="M219" s="3"/>
      <c r="N219" s="3"/>
      <c r="O219" s="3"/>
      <c r="P219" s="3"/>
      <c r="Q219" s="3"/>
      <c r="R219" s="3"/>
      <c r="S219" s="3"/>
      <c r="T219" s="3"/>
      <c r="U219" s="3"/>
      <c r="V219" s="733"/>
      <c r="W219" s="3"/>
      <c r="X219" s="3"/>
      <c r="Y219" s="3"/>
      <c r="Z219" s="3"/>
      <c r="AA219" s="3"/>
    </row>
    <row r="220" spans="1:27" ht="24.75" customHeight="1">
      <c r="A220" s="3"/>
      <c r="B220" s="3"/>
      <c r="C220" s="3"/>
      <c r="D220" s="3"/>
      <c r="E220" s="3"/>
      <c r="F220" s="3"/>
      <c r="G220" s="3"/>
      <c r="H220" s="3"/>
      <c r="I220" s="3"/>
      <c r="J220" s="3"/>
      <c r="K220" s="3"/>
      <c r="L220" s="3"/>
      <c r="M220" s="3"/>
      <c r="N220" s="3"/>
      <c r="O220" s="3"/>
      <c r="P220" s="3"/>
      <c r="Q220" s="3"/>
      <c r="R220" s="3"/>
      <c r="S220" s="3"/>
      <c r="T220" s="3"/>
      <c r="U220" s="3"/>
      <c r="V220" s="733"/>
      <c r="W220" s="3"/>
      <c r="X220" s="3"/>
      <c r="Y220" s="3"/>
      <c r="Z220" s="3"/>
      <c r="AA220" s="3"/>
    </row>
    <row r="221" spans="1:27" ht="24.75" customHeight="1">
      <c r="A221" s="3"/>
      <c r="B221" s="3"/>
      <c r="C221" s="3"/>
      <c r="D221" s="3"/>
      <c r="E221" s="3"/>
      <c r="F221" s="3"/>
      <c r="G221" s="3"/>
      <c r="H221" s="3"/>
      <c r="I221" s="3"/>
      <c r="J221" s="3"/>
      <c r="K221" s="3"/>
      <c r="L221" s="3"/>
      <c r="M221" s="3"/>
      <c r="N221" s="3"/>
      <c r="O221" s="3"/>
      <c r="P221" s="3"/>
      <c r="Q221" s="3"/>
      <c r="R221" s="3"/>
      <c r="S221" s="3"/>
      <c r="T221" s="3"/>
      <c r="U221" s="3"/>
      <c r="V221" s="733"/>
      <c r="W221" s="3"/>
      <c r="X221" s="3"/>
      <c r="Y221" s="3"/>
      <c r="Z221" s="3"/>
      <c r="AA221" s="3"/>
    </row>
    <row r="222" spans="1:27" ht="24.75" customHeight="1">
      <c r="A222" s="3"/>
      <c r="B222" s="3"/>
      <c r="C222" s="3"/>
      <c r="D222" s="3"/>
      <c r="E222" s="3"/>
      <c r="F222" s="3"/>
      <c r="G222" s="3"/>
      <c r="H222" s="3"/>
      <c r="I222" s="3"/>
      <c r="J222" s="3"/>
      <c r="K222" s="3"/>
      <c r="L222" s="3"/>
      <c r="M222" s="3"/>
      <c r="N222" s="3"/>
      <c r="O222" s="3"/>
      <c r="P222" s="3"/>
      <c r="Q222" s="3"/>
      <c r="R222" s="3"/>
      <c r="S222" s="3"/>
      <c r="T222" s="3"/>
      <c r="U222" s="3"/>
      <c r="V222" s="733"/>
      <c r="W222" s="3"/>
      <c r="X222" s="3"/>
      <c r="Y222" s="3"/>
      <c r="Z222" s="3"/>
      <c r="AA222" s="3"/>
    </row>
    <row r="223" spans="1:27" ht="24.75" customHeight="1">
      <c r="A223" s="3"/>
      <c r="B223" s="3"/>
      <c r="C223" s="3"/>
      <c r="D223" s="3"/>
      <c r="E223" s="3"/>
      <c r="F223" s="3"/>
      <c r="G223" s="3"/>
      <c r="H223" s="3"/>
      <c r="I223" s="3"/>
      <c r="J223" s="3"/>
      <c r="K223" s="3"/>
      <c r="L223" s="3"/>
      <c r="M223" s="3"/>
      <c r="N223" s="3"/>
      <c r="O223" s="3"/>
      <c r="P223" s="3"/>
      <c r="Q223" s="3"/>
      <c r="R223" s="3"/>
      <c r="S223" s="3"/>
      <c r="T223" s="3"/>
      <c r="U223" s="3"/>
      <c r="V223" s="733"/>
      <c r="W223" s="3"/>
      <c r="X223" s="3"/>
      <c r="Y223" s="3"/>
      <c r="Z223" s="3"/>
      <c r="AA223" s="3"/>
    </row>
    <row r="224" spans="1:27" ht="24.75" customHeight="1">
      <c r="A224" s="3"/>
      <c r="B224" s="3"/>
      <c r="C224" s="3"/>
      <c r="D224" s="3"/>
      <c r="E224" s="3"/>
      <c r="F224" s="3"/>
      <c r="G224" s="3"/>
      <c r="H224" s="3"/>
      <c r="I224" s="3"/>
      <c r="J224" s="3"/>
      <c r="K224" s="3"/>
      <c r="L224" s="3"/>
      <c r="M224" s="3"/>
      <c r="N224" s="3"/>
      <c r="O224" s="3"/>
      <c r="P224" s="3"/>
      <c r="Q224" s="3"/>
      <c r="R224" s="3"/>
      <c r="S224" s="3"/>
      <c r="T224" s="3"/>
      <c r="U224" s="3"/>
      <c r="V224" s="733"/>
      <c r="W224" s="3"/>
      <c r="X224" s="3"/>
      <c r="Y224" s="3"/>
      <c r="Z224" s="3"/>
      <c r="AA224" s="3"/>
    </row>
    <row r="225" spans="1:27" ht="24.75" customHeight="1">
      <c r="A225" s="3"/>
      <c r="B225" s="3"/>
      <c r="C225" s="3"/>
      <c r="D225" s="3"/>
      <c r="E225" s="3"/>
      <c r="F225" s="3"/>
      <c r="G225" s="3"/>
      <c r="H225" s="3"/>
      <c r="I225" s="3"/>
      <c r="J225" s="3"/>
      <c r="K225" s="3"/>
      <c r="L225" s="3"/>
      <c r="M225" s="3"/>
      <c r="N225" s="3"/>
      <c r="O225" s="3"/>
      <c r="P225" s="3"/>
      <c r="Q225" s="3"/>
      <c r="R225" s="3"/>
      <c r="S225" s="3"/>
      <c r="T225" s="3"/>
      <c r="U225" s="3"/>
      <c r="V225" s="733"/>
      <c r="W225" s="3"/>
      <c r="X225" s="3"/>
      <c r="Y225" s="3"/>
      <c r="Z225" s="3"/>
      <c r="AA225" s="3"/>
    </row>
    <row r="226" spans="1:27" ht="24.75" customHeight="1">
      <c r="A226" s="3"/>
      <c r="B226" s="3"/>
      <c r="C226" s="3"/>
      <c r="D226" s="3"/>
      <c r="E226" s="3"/>
      <c r="F226" s="3"/>
      <c r="G226" s="3"/>
      <c r="H226" s="3"/>
      <c r="I226" s="3"/>
      <c r="J226" s="3"/>
      <c r="K226" s="3"/>
      <c r="L226" s="3"/>
      <c r="M226" s="3"/>
      <c r="N226" s="3"/>
      <c r="O226" s="3"/>
      <c r="P226" s="3"/>
      <c r="Q226" s="3"/>
      <c r="R226" s="3"/>
      <c r="S226" s="3"/>
      <c r="T226" s="3"/>
      <c r="U226" s="3"/>
      <c r="V226" s="733"/>
      <c r="W226" s="3"/>
      <c r="X226" s="3"/>
      <c r="Y226" s="3"/>
      <c r="Z226" s="3"/>
      <c r="AA226" s="3"/>
    </row>
    <row r="227" spans="1:27" ht="24.75" customHeight="1">
      <c r="A227" s="3"/>
      <c r="B227" s="3"/>
      <c r="C227" s="3"/>
      <c r="D227" s="3"/>
      <c r="E227" s="3"/>
      <c r="F227" s="3"/>
      <c r="G227" s="3"/>
      <c r="H227" s="3"/>
      <c r="I227" s="3"/>
      <c r="J227" s="3"/>
      <c r="K227" s="3"/>
      <c r="L227" s="3"/>
      <c r="M227" s="3"/>
      <c r="N227" s="3"/>
      <c r="O227" s="3"/>
      <c r="P227" s="3"/>
      <c r="Q227" s="3"/>
      <c r="R227" s="3"/>
      <c r="S227" s="3"/>
      <c r="T227" s="3"/>
      <c r="U227" s="3"/>
      <c r="V227" s="733"/>
      <c r="W227" s="3"/>
      <c r="X227" s="3"/>
      <c r="Y227" s="3"/>
      <c r="Z227" s="3"/>
      <c r="AA227" s="3"/>
    </row>
    <row r="228" spans="1:27" ht="24.75" customHeight="1">
      <c r="A228" s="3"/>
      <c r="B228" s="3"/>
      <c r="C228" s="3"/>
      <c r="D228" s="3"/>
      <c r="E228" s="3"/>
      <c r="F228" s="3"/>
      <c r="G228" s="3"/>
      <c r="H228" s="3"/>
      <c r="I228" s="3"/>
      <c r="J228" s="3"/>
      <c r="K228" s="3"/>
      <c r="L228" s="3"/>
      <c r="M228" s="3"/>
      <c r="N228" s="3"/>
      <c r="O228" s="3"/>
      <c r="P228" s="3"/>
      <c r="Q228" s="3"/>
      <c r="R228" s="3"/>
      <c r="S228" s="3"/>
      <c r="T228" s="3"/>
      <c r="U228" s="3"/>
      <c r="V228" s="733"/>
      <c r="W228" s="3"/>
      <c r="X228" s="3"/>
      <c r="Y228" s="3"/>
      <c r="Z228" s="3"/>
      <c r="AA228" s="3"/>
    </row>
    <row r="229" spans="1:27" ht="24.75" customHeight="1">
      <c r="A229" s="3"/>
      <c r="B229" s="3"/>
      <c r="C229" s="3"/>
      <c r="D229" s="3"/>
      <c r="E229" s="3"/>
      <c r="F229" s="3"/>
      <c r="G229" s="3"/>
      <c r="H229" s="3"/>
      <c r="I229" s="3"/>
      <c r="J229" s="3"/>
      <c r="K229" s="3"/>
      <c r="L229" s="3"/>
      <c r="M229" s="3"/>
      <c r="N229" s="3"/>
      <c r="O229" s="3"/>
      <c r="P229" s="3"/>
      <c r="Q229" s="3"/>
      <c r="R229" s="3"/>
      <c r="S229" s="3"/>
      <c r="T229" s="3"/>
      <c r="U229" s="3"/>
      <c r="V229" s="733"/>
      <c r="W229" s="3"/>
      <c r="X229" s="3"/>
      <c r="Y229" s="3"/>
      <c r="Z229" s="3"/>
      <c r="AA229" s="3"/>
    </row>
    <row r="230" spans="1:27" ht="24.75" customHeight="1">
      <c r="A230" s="3"/>
      <c r="B230" s="3"/>
      <c r="C230" s="3"/>
      <c r="D230" s="3"/>
      <c r="E230" s="3"/>
      <c r="F230" s="3"/>
      <c r="G230" s="3"/>
      <c r="H230" s="3"/>
      <c r="I230" s="3"/>
      <c r="J230" s="3"/>
      <c r="K230" s="3"/>
      <c r="L230" s="3"/>
      <c r="M230" s="3"/>
      <c r="N230" s="3"/>
      <c r="O230" s="3"/>
      <c r="P230" s="3"/>
      <c r="Q230" s="3"/>
      <c r="R230" s="3"/>
      <c r="S230" s="3"/>
      <c r="T230" s="3"/>
      <c r="U230" s="3"/>
      <c r="V230" s="733"/>
      <c r="W230" s="3"/>
      <c r="X230" s="3"/>
      <c r="Y230" s="3"/>
      <c r="Z230" s="3"/>
      <c r="AA230" s="3"/>
    </row>
    <row r="231" spans="1:27" ht="24.75" customHeight="1">
      <c r="A231" s="3"/>
      <c r="B231" s="3"/>
      <c r="C231" s="3"/>
      <c r="D231" s="3"/>
      <c r="E231" s="3"/>
      <c r="F231" s="3"/>
      <c r="G231" s="3"/>
      <c r="H231" s="3"/>
      <c r="I231" s="3"/>
      <c r="J231" s="3"/>
      <c r="K231" s="3"/>
      <c r="L231" s="3"/>
      <c r="M231" s="3"/>
      <c r="N231" s="3"/>
      <c r="O231" s="3"/>
      <c r="P231" s="3"/>
      <c r="Q231" s="3"/>
      <c r="R231" s="3"/>
      <c r="S231" s="3"/>
      <c r="T231" s="3"/>
      <c r="U231" s="3"/>
      <c r="V231" s="733"/>
      <c r="W231" s="3"/>
      <c r="X231" s="3"/>
      <c r="Y231" s="3"/>
      <c r="Z231" s="3"/>
      <c r="AA231" s="3"/>
    </row>
    <row r="232" spans="1:27" ht="24.75" customHeight="1">
      <c r="A232" s="3"/>
      <c r="B232" s="3"/>
      <c r="C232" s="3"/>
      <c r="D232" s="3"/>
      <c r="E232" s="3"/>
      <c r="F232" s="3"/>
      <c r="G232" s="3"/>
      <c r="H232" s="3"/>
      <c r="I232" s="3"/>
      <c r="J232" s="3"/>
      <c r="K232" s="3"/>
      <c r="L232" s="3"/>
      <c r="M232" s="3"/>
      <c r="N232" s="3"/>
      <c r="O232" s="3"/>
      <c r="P232" s="3"/>
      <c r="Q232" s="3"/>
      <c r="R232" s="3"/>
      <c r="S232" s="3"/>
      <c r="T232" s="3"/>
      <c r="U232" s="3"/>
      <c r="V232" s="733"/>
      <c r="W232" s="3"/>
      <c r="X232" s="3"/>
      <c r="Y232" s="3"/>
      <c r="Z232" s="3"/>
      <c r="AA232" s="3"/>
    </row>
    <row r="233" spans="1:27" ht="24.75" customHeight="1">
      <c r="A233" s="3"/>
      <c r="B233" s="3"/>
      <c r="C233" s="3"/>
      <c r="D233" s="3"/>
      <c r="E233" s="3"/>
      <c r="F233" s="3"/>
      <c r="G233" s="3"/>
      <c r="H233" s="3"/>
      <c r="I233" s="3"/>
      <c r="J233" s="3"/>
      <c r="K233" s="3"/>
      <c r="L233" s="3"/>
      <c r="M233" s="3"/>
      <c r="N233" s="3"/>
      <c r="O233" s="3"/>
      <c r="P233" s="3"/>
      <c r="Q233" s="3"/>
      <c r="R233" s="3"/>
      <c r="S233" s="3"/>
      <c r="T233" s="3"/>
      <c r="U233" s="3"/>
      <c r="V233" s="733"/>
      <c r="W233" s="3"/>
      <c r="X233" s="3"/>
      <c r="Y233" s="3"/>
      <c r="Z233" s="3"/>
      <c r="AA233" s="3"/>
    </row>
    <row r="234" spans="1:27" ht="24.75" customHeight="1">
      <c r="A234" s="3"/>
      <c r="B234" s="3"/>
      <c r="C234" s="3"/>
      <c r="D234" s="3"/>
      <c r="E234" s="3"/>
      <c r="F234" s="3"/>
      <c r="G234" s="3"/>
      <c r="H234" s="3"/>
      <c r="I234" s="3"/>
      <c r="J234" s="3"/>
      <c r="K234" s="3"/>
      <c r="L234" s="3"/>
      <c r="M234" s="3"/>
      <c r="N234" s="3"/>
      <c r="O234" s="3"/>
      <c r="P234" s="3"/>
      <c r="Q234" s="3"/>
      <c r="R234" s="3"/>
      <c r="S234" s="3"/>
      <c r="T234" s="3"/>
      <c r="U234" s="3"/>
      <c r="V234" s="733"/>
      <c r="W234" s="3"/>
      <c r="X234" s="3"/>
      <c r="Y234" s="3"/>
      <c r="Z234" s="3"/>
      <c r="AA234" s="3"/>
    </row>
    <row r="235" spans="1:27" ht="24.75" customHeight="1">
      <c r="A235" s="3"/>
      <c r="B235" s="3"/>
      <c r="C235" s="3"/>
      <c r="D235" s="3"/>
      <c r="E235" s="3"/>
      <c r="F235" s="3"/>
      <c r="G235" s="3"/>
      <c r="H235" s="3"/>
      <c r="I235" s="3"/>
      <c r="J235" s="3"/>
      <c r="K235" s="3"/>
      <c r="L235" s="3"/>
      <c r="M235" s="3"/>
      <c r="N235" s="3"/>
      <c r="O235" s="3"/>
      <c r="P235" s="3"/>
      <c r="Q235" s="3"/>
      <c r="R235" s="3"/>
      <c r="S235" s="3"/>
      <c r="T235" s="3"/>
      <c r="U235" s="3"/>
      <c r="V235" s="733"/>
      <c r="W235" s="3"/>
      <c r="X235" s="3"/>
      <c r="Y235" s="3"/>
      <c r="Z235" s="3"/>
      <c r="AA235" s="3"/>
    </row>
    <row r="236" spans="1:27" ht="24.75" customHeight="1">
      <c r="A236" s="3"/>
      <c r="B236" s="3"/>
      <c r="C236" s="3"/>
      <c r="D236" s="3"/>
      <c r="E236" s="3"/>
      <c r="F236" s="3"/>
      <c r="G236" s="3"/>
      <c r="H236" s="3"/>
      <c r="I236" s="3"/>
      <c r="J236" s="3"/>
      <c r="K236" s="3"/>
      <c r="L236" s="3"/>
      <c r="M236" s="3"/>
      <c r="N236" s="3"/>
      <c r="O236" s="3"/>
      <c r="P236" s="3"/>
      <c r="Q236" s="3"/>
      <c r="R236" s="3"/>
      <c r="S236" s="3"/>
      <c r="T236" s="3"/>
      <c r="U236" s="3"/>
      <c r="V236" s="733"/>
      <c r="W236" s="3"/>
      <c r="X236" s="3"/>
      <c r="Y236" s="3"/>
      <c r="Z236" s="3"/>
      <c r="AA236" s="3"/>
    </row>
    <row r="237" spans="1:27" ht="24.75" customHeight="1">
      <c r="A237" s="3"/>
      <c r="B237" s="3"/>
      <c r="C237" s="3"/>
      <c r="D237" s="3"/>
      <c r="E237" s="3"/>
      <c r="F237" s="3"/>
      <c r="G237" s="3"/>
      <c r="H237" s="3"/>
      <c r="I237" s="3"/>
      <c r="J237" s="3"/>
      <c r="K237" s="3"/>
      <c r="L237" s="3"/>
      <c r="M237" s="3"/>
      <c r="N237" s="3"/>
      <c r="O237" s="3"/>
      <c r="P237" s="3"/>
      <c r="Q237" s="3"/>
      <c r="R237" s="3"/>
      <c r="S237" s="3"/>
      <c r="T237" s="3"/>
      <c r="U237" s="3"/>
      <c r="V237" s="733"/>
      <c r="W237" s="3"/>
      <c r="X237" s="3"/>
      <c r="Y237" s="3"/>
      <c r="Z237" s="3"/>
      <c r="AA237" s="3"/>
    </row>
    <row r="238" spans="1:27" ht="24.75" customHeight="1">
      <c r="A238" s="3"/>
      <c r="B238" s="3"/>
      <c r="C238" s="3"/>
      <c r="D238" s="3"/>
      <c r="E238" s="3"/>
      <c r="F238" s="3"/>
      <c r="G238" s="3"/>
      <c r="H238" s="3"/>
      <c r="I238" s="3"/>
      <c r="J238" s="3"/>
      <c r="K238" s="3"/>
      <c r="L238" s="3"/>
      <c r="M238" s="3"/>
      <c r="N238" s="3"/>
      <c r="O238" s="3"/>
      <c r="P238" s="3"/>
      <c r="Q238" s="3"/>
      <c r="R238" s="3"/>
      <c r="S238" s="3"/>
      <c r="T238" s="3"/>
      <c r="U238" s="3"/>
      <c r="V238" s="733"/>
      <c r="W238" s="3"/>
      <c r="X238" s="3"/>
      <c r="Y238" s="3"/>
      <c r="Z238" s="3"/>
      <c r="AA238" s="3"/>
    </row>
    <row r="239" spans="1:27" ht="24.75" customHeight="1">
      <c r="A239" s="3"/>
      <c r="B239" s="3"/>
      <c r="C239" s="3"/>
      <c r="D239" s="3"/>
      <c r="E239" s="3"/>
      <c r="F239" s="3"/>
      <c r="G239" s="3"/>
      <c r="H239" s="3"/>
      <c r="I239" s="3"/>
      <c r="J239" s="3"/>
      <c r="K239" s="3"/>
      <c r="L239" s="3"/>
      <c r="M239" s="3"/>
      <c r="N239" s="3"/>
      <c r="O239" s="3"/>
      <c r="P239" s="3"/>
      <c r="Q239" s="3"/>
      <c r="R239" s="3"/>
      <c r="S239" s="3"/>
      <c r="T239" s="3"/>
      <c r="U239" s="3"/>
      <c r="V239" s="733"/>
      <c r="W239" s="3"/>
      <c r="X239" s="3"/>
      <c r="Y239" s="3"/>
      <c r="Z239" s="3"/>
      <c r="AA239" s="3"/>
    </row>
    <row r="240" spans="1:27" ht="24.75" customHeight="1">
      <c r="A240" s="3"/>
      <c r="B240" s="3"/>
      <c r="C240" s="3"/>
      <c r="D240" s="3"/>
      <c r="E240" s="3"/>
      <c r="F240" s="3"/>
      <c r="G240" s="3"/>
      <c r="H240" s="3"/>
      <c r="I240" s="3"/>
      <c r="J240" s="3"/>
      <c r="K240" s="3"/>
      <c r="L240" s="3"/>
      <c r="M240" s="3"/>
      <c r="N240" s="3"/>
      <c r="O240" s="3"/>
      <c r="P240" s="3"/>
      <c r="Q240" s="3"/>
      <c r="R240" s="3"/>
      <c r="S240" s="3"/>
      <c r="T240" s="3"/>
      <c r="U240" s="3"/>
      <c r="V240" s="733"/>
      <c r="W240" s="3"/>
      <c r="X240" s="3"/>
      <c r="Y240" s="3"/>
      <c r="Z240" s="3"/>
      <c r="AA240" s="3"/>
    </row>
    <row r="241" spans="1:27" ht="24.75" customHeight="1">
      <c r="A241" s="3"/>
      <c r="B241" s="3"/>
      <c r="C241" s="3"/>
      <c r="D241" s="3"/>
      <c r="E241" s="3"/>
      <c r="F241" s="3"/>
      <c r="G241" s="3"/>
      <c r="H241" s="3"/>
      <c r="I241" s="3"/>
      <c r="J241" s="3"/>
      <c r="K241" s="3"/>
      <c r="L241" s="3"/>
      <c r="M241" s="3"/>
      <c r="N241" s="3"/>
      <c r="O241" s="3"/>
      <c r="P241" s="3"/>
      <c r="Q241" s="3"/>
      <c r="R241" s="3"/>
      <c r="S241" s="3"/>
      <c r="T241" s="3"/>
      <c r="U241" s="3"/>
      <c r="V241" s="733"/>
      <c r="W241" s="3"/>
      <c r="X241" s="3"/>
      <c r="Y241" s="3"/>
      <c r="Z241" s="3"/>
      <c r="AA241" s="3"/>
    </row>
    <row r="242" spans="1:27" ht="24.75" customHeight="1">
      <c r="A242" s="3"/>
      <c r="B242" s="3"/>
      <c r="C242" s="3"/>
      <c r="D242" s="3"/>
      <c r="E242" s="3"/>
      <c r="F242" s="3"/>
      <c r="G242" s="3"/>
      <c r="H242" s="3"/>
      <c r="I242" s="3"/>
      <c r="J242" s="3"/>
      <c r="K242" s="3"/>
      <c r="L242" s="3"/>
      <c r="M242" s="3"/>
      <c r="N242" s="3"/>
      <c r="O242" s="3"/>
      <c r="P242" s="3"/>
      <c r="Q242" s="3"/>
      <c r="R242" s="3"/>
      <c r="S242" s="3"/>
      <c r="T242" s="3"/>
      <c r="U242" s="3"/>
      <c r="V242" s="733"/>
      <c r="W242" s="3"/>
      <c r="X242" s="3"/>
      <c r="Y242" s="3"/>
      <c r="Z242" s="3"/>
      <c r="AA242" s="3"/>
    </row>
    <row r="243" spans="1:27" ht="24.75" customHeight="1">
      <c r="A243" s="3"/>
      <c r="B243" s="3"/>
      <c r="C243" s="3"/>
      <c r="D243" s="3"/>
      <c r="E243" s="3"/>
      <c r="F243" s="3"/>
      <c r="G243" s="3"/>
      <c r="H243" s="3"/>
      <c r="I243" s="3"/>
      <c r="J243" s="3"/>
      <c r="K243" s="3"/>
      <c r="L243" s="3"/>
      <c r="M243" s="3"/>
      <c r="N243" s="3"/>
      <c r="O243" s="3"/>
      <c r="P243" s="3"/>
      <c r="Q243" s="3"/>
      <c r="R243" s="3"/>
      <c r="S243" s="3"/>
      <c r="T243" s="3"/>
      <c r="U243" s="3"/>
      <c r="V243" s="733"/>
      <c r="W243" s="3"/>
      <c r="X243" s="3"/>
      <c r="Y243" s="3"/>
      <c r="Z243" s="3"/>
      <c r="AA243" s="3"/>
    </row>
    <row r="244" spans="1:27" ht="24.75" customHeight="1">
      <c r="A244" s="3"/>
      <c r="B244" s="3"/>
      <c r="C244" s="3"/>
      <c r="D244" s="3"/>
      <c r="E244" s="3"/>
      <c r="F244" s="3"/>
      <c r="G244" s="3"/>
      <c r="H244" s="3"/>
      <c r="I244" s="3"/>
      <c r="J244" s="3"/>
      <c r="K244" s="3"/>
      <c r="L244" s="3"/>
      <c r="M244" s="3"/>
      <c r="N244" s="3"/>
      <c r="O244" s="3"/>
      <c r="P244" s="3"/>
      <c r="Q244" s="3"/>
      <c r="R244" s="3"/>
      <c r="S244" s="3"/>
      <c r="T244" s="3"/>
      <c r="U244" s="3"/>
      <c r="V244" s="733"/>
      <c r="W244" s="3"/>
      <c r="X244" s="3"/>
      <c r="Y244" s="3"/>
      <c r="Z244" s="3"/>
      <c r="AA244" s="3"/>
    </row>
    <row r="245" spans="1:27" ht="24.75" customHeight="1">
      <c r="A245" s="3"/>
      <c r="B245" s="3"/>
      <c r="C245" s="3"/>
      <c r="D245" s="3"/>
      <c r="E245" s="3"/>
      <c r="F245" s="3"/>
      <c r="G245" s="3"/>
      <c r="H245" s="3"/>
      <c r="I245" s="3"/>
      <c r="J245" s="3"/>
      <c r="K245" s="3"/>
      <c r="L245" s="3"/>
      <c r="M245" s="3"/>
      <c r="N245" s="3"/>
      <c r="O245" s="3"/>
      <c r="P245" s="3"/>
      <c r="Q245" s="3"/>
      <c r="R245" s="3"/>
      <c r="S245" s="3"/>
      <c r="T245" s="3"/>
      <c r="U245" s="3"/>
      <c r="V245" s="733"/>
      <c r="W245" s="3"/>
      <c r="X245" s="3"/>
      <c r="Y245" s="3"/>
      <c r="Z245" s="3"/>
      <c r="AA245" s="3"/>
    </row>
    <row r="246" spans="1:27" ht="24.75" customHeight="1">
      <c r="A246" s="3"/>
      <c r="B246" s="3"/>
      <c r="C246" s="3"/>
      <c r="D246" s="3"/>
      <c r="E246" s="3"/>
      <c r="F246" s="3"/>
      <c r="G246" s="3"/>
      <c r="H246" s="3"/>
      <c r="I246" s="3"/>
      <c r="J246" s="3"/>
      <c r="K246" s="3"/>
      <c r="L246" s="3"/>
      <c r="M246" s="3"/>
      <c r="N246" s="3"/>
      <c r="O246" s="3"/>
      <c r="P246" s="3"/>
      <c r="Q246" s="3"/>
      <c r="R246" s="3"/>
      <c r="S246" s="3"/>
      <c r="T246" s="3"/>
      <c r="U246" s="3"/>
      <c r="V246" s="733"/>
      <c r="W246" s="3"/>
      <c r="X246" s="3"/>
      <c r="Y246" s="3"/>
      <c r="Z246" s="3"/>
      <c r="AA246" s="3"/>
    </row>
    <row r="247" spans="1:27" ht="24.75" customHeight="1">
      <c r="A247" s="3"/>
      <c r="B247" s="3"/>
      <c r="C247" s="3"/>
      <c r="D247" s="3"/>
      <c r="E247" s="3"/>
      <c r="F247" s="3"/>
      <c r="G247" s="3"/>
      <c r="H247" s="3"/>
      <c r="I247" s="3"/>
      <c r="J247" s="3"/>
      <c r="K247" s="3"/>
      <c r="L247" s="3"/>
      <c r="M247" s="3"/>
      <c r="N247" s="3"/>
      <c r="O247" s="3"/>
      <c r="P247" s="3"/>
      <c r="Q247" s="3"/>
      <c r="R247" s="3"/>
      <c r="S247" s="3"/>
      <c r="T247" s="3"/>
      <c r="U247" s="3"/>
      <c r="V247" s="733"/>
      <c r="W247" s="3"/>
      <c r="X247" s="3"/>
      <c r="Y247" s="3"/>
      <c r="Z247" s="3"/>
      <c r="AA247" s="3"/>
    </row>
    <row r="248" spans="1:27" ht="24.75" customHeight="1">
      <c r="A248" s="3"/>
      <c r="B248" s="3"/>
      <c r="C248" s="3"/>
      <c r="D248" s="3"/>
      <c r="E248" s="3"/>
      <c r="F248" s="3"/>
      <c r="G248" s="3"/>
      <c r="H248" s="3"/>
      <c r="I248" s="3"/>
      <c r="J248" s="3"/>
      <c r="K248" s="3"/>
      <c r="L248" s="3"/>
      <c r="M248" s="3"/>
      <c r="N248" s="3"/>
      <c r="O248" s="3"/>
      <c r="P248" s="3"/>
      <c r="Q248" s="3"/>
      <c r="R248" s="3"/>
      <c r="S248" s="3"/>
      <c r="T248" s="3"/>
      <c r="U248" s="3"/>
      <c r="V248" s="733"/>
      <c r="W248" s="3"/>
      <c r="X248" s="3"/>
      <c r="Y248" s="3"/>
      <c r="Z248" s="3"/>
      <c r="AA248" s="3"/>
    </row>
    <row r="249" spans="1:27" ht="24.75" customHeight="1">
      <c r="A249" s="3"/>
      <c r="B249" s="3"/>
      <c r="C249" s="3"/>
      <c r="D249" s="3"/>
      <c r="E249" s="3"/>
      <c r="F249" s="3"/>
      <c r="G249" s="3"/>
      <c r="H249" s="3"/>
      <c r="I249" s="3"/>
      <c r="J249" s="3"/>
      <c r="K249" s="3"/>
      <c r="L249" s="3"/>
      <c r="M249" s="3"/>
      <c r="N249" s="3"/>
      <c r="O249" s="3"/>
      <c r="P249" s="3"/>
      <c r="Q249" s="3"/>
      <c r="R249" s="3"/>
      <c r="S249" s="3"/>
      <c r="T249" s="3"/>
      <c r="U249" s="3"/>
      <c r="V249" s="733"/>
      <c r="W249" s="3"/>
      <c r="X249" s="3"/>
      <c r="Y249" s="3"/>
      <c r="Z249" s="3"/>
      <c r="AA249" s="3"/>
    </row>
    <row r="250" spans="1:27" ht="24.75" customHeight="1">
      <c r="A250" s="3"/>
      <c r="B250" s="3"/>
      <c r="C250" s="3"/>
      <c r="D250" s="3"/>
      <c r="E250" s="3"/>
      <c r="F250" s="3"/>
      <c r="G250" s="3"/>
      <c r="H250" s="3"/>
      <c r="I250" s="3"/>
      <c r="J250" s="3"/>
      <c r="K250" s="3"/>
      <c r="L250" s="3"/>
      <c r="M250" s="3"/>
      <c r="N250" s="3"/>
      <c r="O250" s="3"/>
      <c r="P250" s="3"/>
      <c r="Q250" s="3"/>
      <c r="R250" s="3"/>
      <c r="S250" s="3"/>
      <c r="T250" s="3"/>
      <c r="U250" s="3"/>
      <c r="V250" s="733"/>
      <c r="W250" s="3"/>
      <c r="X250" s="3"/>
      <c r="Y250" s="3"/>
      <c r="Z250" s="3"/>
      <c r="AA250" s="3"/>
    </row>
    <row r="251" spans="1:27" ht="24.75" customHeight="1">
      <c r="A251" s="3"/>
      <c r="B251" s="3"/>
      <c r="C251" s="3"/>
      <c r="D251" s="3"/>
      <c r="E251" s="3"/>
      <c r="F251" s="3"/>
      <c r="G251" s="3"/>
      <c r="H251" s="3"/>
      <c r="I251" s="3"/>
      <c r="J251" s="3"/>
      <c r="K251" s="3"/>
      <c r="L251" s="3"/>
      <c r="M251" s="3"/>
      <c r="N251" s="3"/>
      <c r="O251" s="3"/>
      <c r="P251" s="3"/>
      <c r="Q251" s="3"/>
      <c r="R251" s="3"/>
      <c r="S251" s="3"/>
      <c r="T251" s="3"/>
      <c r="U251" s="3"/>
      <c r="V251" s="733"/>
      <c r="W251" s="3"/>
      <c r="X251" s="3"/>
      <c r="Y251" s="3"/>
      <c r="Z251" s="3"/>
      <c r="AA251" s="3"/>
    </row>
    <row r="252" spans="1:27" ht="24.75" customHeight="1">
      <c r="A252" s="3"/>
      <c r="B252" s="3"/>
      <c r="C252" s="3"/>
      <c r="D252" s="3"/>
      <c r="E252" s="3"/>
      <c r="F252" s="3"/>
      <c r="G252" s="3"/>
      <c r="H252" s="3"/>
      <c r="I252" s="3"/>
      <c r="J252" s="3"/>
      <c r="K252" s="3"/>
      <c r="L252" s="3"/>
      <c r="M252" s="3"/>
      <c r="N252" s="3"/>
      <c r="O252" s="3"/>
      <c r="P252" s="3"/>
      <c r="Q252" s="3"/>
      <c r="R252" s="3"/>
      <c r="S252" s="3"/>
      <c r="T252" s="3"/>
      <c r="U252" s="3"/>
      <c r="V252" s="733"/>
      <c r="W252" s="3"/>
      <c r="X252" s="3"/>
      <c r="Y252" s="3"/>
      <c r="Z252" s="3"/>
      <c r="AA252" s="3"/>
    </row>
    <row r="253" spans="1:27" ht="24.75" customHeight="1">
      <c r="A253" s="3"/>
      <c r="B253" s="3"/>
      <c r="C253" s="3"/>
      <c r="D253" s="3"/>
      <c r="E253" s="3"/>
      <c r="F253" s="3"/>
      <c r="G253" s="3"/>
      <c r="H253" s="3"/>
      <c r="I253" s="3"/>
      <c r="J253" s="3"/>
      <c r="K253" s="3"/>
      <c r="L253" s="3"/>
      <c r="M253" s="3"/>
      <c r="N253" s="3"/>
      <c r="O253" s="3"/>
      <c r="P253" s="3"/>
      <c r="Q253" s="3"/>
      <c r="R253" s="3"/>
      <c r="S253" s="3"/>
      <c r="T253" s="3"/>
      <c r="U253" s="3"/>
      <c r="V253" s="733"/>
      <c r="W253" s="3"/>
      <c r="X253" s="3"/>
      <c r="Y253" s="3"/>
      <c r="Z253" s="3"/>
      <c r="AA253" s="3"/>
    </row>
    <row r="254" spans="1:27" ht="24.75" customHeight="1">
      <c r="A254" s="3"/>
      <c r="B254" s="3"/>
      <c r="C254" s="3"/>
      <c r="D254" s="3"/>
      <c r="E254" s="3"/>
      <c r="F254" s="3"/>
      <c r="G254" s="3"/>
      <c r="H254" s="3"/>
      <c r="I254" s="3"/>
      <c r="J254" s="3"/>
      <c r="K254" s="3"/>
      <c r="L254" s="3"/>
      <c r="M254" s="3"/>
      <c r="N254" s="3"/>
      <c r="O254" s="3"/>
      <c r="P254" s="3"/>
      <c r="Q254" s="3"/>
      <c r="R254" s="3"/>
      <c r="S254" s="3"/>
      <c r="T254" s="3"/>
      <c r="U254" s="3"/>
      <c r="V254" s="733"/>
      <c r="W254" s="3"/>
      <c r="X254" s="3"/>
      <c r="Y254" s="3"/>
      <c r="Z254" s="3"/>
      <c r="AA254" s="3"/>
    </row>
    <row r="255" spans="1:27" ht="24.75" customHeight="1">
      <c r="A255" s="3"/>
      <c r="B255" s="3"/>
      <c r="C255" s="3"/>
      <c r="D255" s="3"/>
      <c r="E255" s="3"/>
      <c r="F255" s="3"/>
      <c r="G255" s="3"/>
      <c r="H255" s="3"/>
      <c r="I255" s="3"/>
      <c r="J255" s="3"/>
      <c r="K255" s="3"/>
      <c r="L255" s="3"/>
      <c r="M255" s="3"/>
      <c r="N255" s="3"/>
      <c r="O255" s="3"/>
      <c r="P255" s="3"/>
      <c r="Q255" s="3"/>
      <c r="R255" s="3"/>
      <c r="S255" s="3"/>
      <c r="T255" s="3"/>
      <c r="U255" s="3"/>
      <c r="V255" s="733"/>
      <c r="W255" s="3"/>
      <c r="X255" s="3"/>
      <c r="Y255" s="3"/>
      <c r="Z255" s="3"/>
      <c r="AA255" s="3"/>
    </row>
    <row r="256" spans="1:27" ht="24.75" customHeight="1">
      <c r="A256" s="3"/>
      <c r="B256" s="3"/>
      <c r="C256" s="3"/>
      <c r="D256" s="3"/>
      <c r="E256" s="3"/>
      <c r="F256" s="3"/>
      <c r="G256" s="3"/>
      <c r="H256" s="3"/>
      <c r="I256" s="3"/>
      <c r="J256" s="3"/>
      <c r="K256" s="3"/>
      <c r="L256" s="3"/>
      <c r="M256" s="3"/>
      <c r="N256" s="3"/>
      <c r="O256" s="3"/>
      <c r="P256" s="3"/>
      <c r="Q256" s="3"/>
      <c r="R256" s="3"/>
      <c r="S256" s="3"/>
      <c r="T256" s="3"/>
      <c r="U256" s="3"/>
      <c r="V256" s="733"/>
      <c r="W256" s="3"/>
      <c r="X256" s="3"/>
      <c r="Y256" s="3"/>
      <c r="Z256" s="3"/>
      <c r="AA256" s="3"/>
    </row>
    <row r="257" spans="1:27" ht="24.75" customHeight="1">
      <c r="A257" s="3"/>
      <c r="B257" s="3"/>
      <c r="C257" s="3"/>
      <c r="D257" s="3"/>
      <c r="E257" s="3"/>
      <c r="F257" s="3"/>
      <c r="G257" s="3"/>
      <c r="H257" s="3"/>
      <c r="I257" s="3"/>
      <c r="J257" s="3"/>
      <c r="K257" s="3"/>
      <c r="L257" s="3"/>
      <c r="M257" s="3"/>
      <c r="N257" s="3"/>
      <c r="O257" s="3"/>
      <c r="P257" s="3"/>
      <c r="Q257" s="3"/>
      <c r="R257" s="3"/>
      <c r="S257" s="3"/>
      <c r="T257" s="3"/>
      <c r="U257" s="3"/>
      <c r="V257" s="733"/>
      <c r="W257" s="3"/>
      <c r="X257" s="3"/>
      <c r="Y257" s="3"/>
      <c r="Z257" s="3"/>
      <c r="AA257" s="3"/>
    </row>
    <row r="258" spans="1:27" ht="24.75" customHeight="1">
      <c r="A258" s="3"/>
      <c r="B258" s="3"/>
      <c r="C258" s="3"/>
      <c r="D258" s="3"/>
      <c r="E258" s="3"/>
      <c r="F258" s="3"/>
      <c r="G258" s="3"/>
      <c r="H258" s="3"/>
      <c r="I258" s="3"/>
      <c r="J258" s="3"/>
      <c r="K258" s="3"/>
      <c r="L258" s="3"/>
      <c r="M258" s="3"/>
      <c r="N258" s="3"/>
      <c r="O258" s="3"/>
      <c r="P258" s="3"/>
      <c r="Q258" s="3"/>
      <c r="R258" s="3"/>
      <c r="S258" s="3"/>
      <c r="T258" s="3"/>
      <c r="U258" s="3"/>
      <c r="V258" s="733"/>
      <c r="W258" s="3"/>
      <c r="X258" s="3"/>
      <c r="Y258" s="3"/>
      <c r="Z258" s="3"/>
      <c r="AA258" s="3"/>
    </row>
    <row r="259" spans="1:27" ht="24.75" customHeight="1">
      <c r="A259" s="3"/>
      <c r="B259" s="3"/>
      <c r="C259" s="3"/>
      <c r="D259" s="3"/>
      <c r="E259" s="3"/>
      <c r="F259" s="3"/>
      <c r="G259" s="3"/>
      <c r="H259" s="3"/>
      <c r="I259" s="3"/>
      <c r="J259" s="3"/>
      <c r="K259" s="3"/>
      <c r="L259" s="3"/>
      <c r="M259" s="3"/>
      <c r="N259" s="3"/>
      <c r="O259" s="3"/>
      <c r="P259" s="3"/>
      <c r="Q259" s="3"/>
      <c r="R259" s="3"/>
      <c r="S259" s="3"/>
      <c r="T259" s="3"/>
      <c r="U259" s="3"/>
      <c r="V259" s="733"/>
      <c r="W259" s="3"/>
      <c r="X259" s="3"/>
      <c r="Y259" s="3"/>
      <c r="Z259" s="3"/>
      <c r="AA259" s="3"/>
    </row>
    <row r="260" spans="1:27" ht="24.75" customHeight="1">
      <c r="A260" s="3"/>
      <c r="B260" s="3"/>
      <c r="C260" s="3"/>
      <c r="D260" s="3"/>
      <c r="E260" s="3"/>
      <c r="F260" s="3"/>
      <c r="G260" s="3"/>
      <c r="H260" s="3"/>
      <c r="I260" s="3"/>
      <c r="J260" s="3"/>
      <c r="K260" s="3"/>
      <c r="L260" s="3"/>
      <c r="M260" s="3"/>
      <c r="N260" s="3"/>
      <c r="O260" s="3"/>
      <c r="P260" s="3"/>
      <c r="Q260" s="3"/>
      <c r="R260" s="3"/>
      <c r="S260" s="3"/>
      <c r="T260" s="3"/>
      <c r="U260" s="3"/>
      <c r="V260" s="733"/>
      <c r="W260" s="3"/>
      <c r="X260" s="3"/>
      <c r="Y260" s="3"/>
      <c r="Z260" s="3"/>
      <c r="AA260" s="3"/>
    </row>
    <row r="261" spans="1:27" ht="24.75" customHeight="1">
      <c r="A261" s="3"/>
      <c r="B261" s="3"/>
      <c r="C261" s="3"/>
      <c r="D261" s="3"/>
      <c r="E261" s="3"/>
      <c r="F261" s="3"/>
      <c r="G261" s="3"/>
      <c r="H261" s="3"/>
      <c r="I261" s="3"/>
      <c r="J261" s="3"/>
      <c r="K261" s="3"/>
      <c r="L261" s="3"/>
      <c r="M261" s="3"/>
      <c r="N261" s="3"/>
      <c r="O261" s="3"/>
      <c r="P261" s="3"/>
      <c r="Q261" s="3"/>
      <c r="R261" s="3"/>
      <c r="S261" s="3"/>
      <c r="T261" s="3"/>
      <c r="U261" s="3"/>
      <c r="V261" s="733"/>
      <c r="W261" s="3"/>
      <c r="X261" s="3"/>
      <c r="Y261" s="3"/>
      <c r="Z261" s="3"/>
      <c r="AA261" s="3"/>
    </row>
    <row r="262" spans="1:27" ht="24.75" customHeight="1">
      <c r="A262" s="3"/>
      <c r="B262" s="3"/>
      <c r="C262" s="3"/>
      <c r="D262" s="3"/>
      <c r="E262" s="3"/>
      <c r="F262" s="3"/>
      <c r="G262" s="3"/>
      <c r="H262" s="3"/>
      <c r="I262" s="3"/>
      <c r="J262" s="3"/>
      <c r="K262" s="3"/>
      <c r="L262" s="3"/>
      <c r="M262" s="3"/>
      <c r="N262" s="3"/>
      <c r="O262" s="3"/>
      <c r="P262" s="3"/>
      <c r="Q262" s="3"/>
      <c r="R262" s="3"/>
      <c r="S262" s="3"/>
      <c r="T262" s="3"/>
      <c r="U262" s="3"/>
      <c r="V262" s="733"/>
      <c r="W262" s="3"/>
      <c r="X262" s="3"/>
      <c r="Y262" s="3"/>
      <c r="Z262" s="3"/>
      <c r="AA262" s="3"/>
    </row>
    <row r="263" spans="1:27" ht="24.75" customHeight="1">
      <c r="A263" s="3"/>
      <c r="B263" s="3"/>
      <c r="C263" s="3"/>
      <c r="D263" s="3"/>
      <c r="E263" s="3"/>
      <c r="F263" s="3"/>
      <c r="G263" s="3"/>
      <c r="H263" s="3"/>
      <c r="I263" s="3"/>
      <c r="J263" s="3"/>
      <c r="K263" s="3"/>
      <c r="L263" s="3"/>
      <c r="M263" s="3"/>
      <c r="N263" s="3"/>
      <c r="O263" s="3"/>
      <c r="P263" s="3"/>
      <c r="Q263" s="3"/>
      <c r="R263" s="3"/>
      <c r="S263" s="3"/>
      <c r="T263" s="3"/>
      <c r="U263" s="3"/>
      <c r="V263" s="733"/>
      <c r="W263" s="3"/>
      <c r="X263" s="3"/>
      <c r="Y263" s="3"/>
      <c r="Z263" s="3"/>
      <c r="AA263" s="3"/>
    </row>
    <row r="264" spans="1:27" ht="24.75" customHeight="1">
      <c r="A264" s="3"/>
      <c r="B264" s="3"/>
      <c r="C264" s="3"/>
      <c r="D264" s="3"/>
      <c r="E264" s="3"/>
      <c r="F264" s="3"/>
      <c r="G264" s="3"/>
      <c r="H264" s="3"/>
      <c r="I264" s="3"/>
      <c r="J264" s="3"/>
      <c r="K264" s="3"/>
      <c r="L264" s="3"/>
      <c r="M264" s="3"/>
      <c r="N264" s="3"/>
      <c r="O264" s="3"/>
      <c r="P264" s="3"/>
      <c r="Q264" s="3"/>
      <c r="R264" s="3"/>
      <c r="S264" s="3"/>
      <c r="T264" s="3"/>
      <c r="U264" s="3"/>
      <c r="V264" s="733"/>
      <c r="W264" s="3"/>
      <c r="X264" s="3"/>
      <c r="Y264" s="3"/>
      <c r="Z264" s="3"/>
      <c r="AA264" s="3"/>
    </row>
    <row r="265" spans="1:27" ht="24.75" customHeight="1">
      <c r="A265" s="3"/>
      <c r="B265" s="3"/>
      <c r="C265" s="3"/>
      <c r="D265" s="3"/>
      <c r="E265" s="3"/>
      <c r="F265" s="3"/>
      <c r="G265" s="3"/>
      <c r="H265" s="3"/>
      <c r="I265" s="3"/>
      <c r="J265" s="3"/>
      <c r="K265" s="3"/>
      <c r="L265" s="3"/>
      <c r="M265" s="3"/>
      <c r="N265" s="3"/>
      <c r="O265" s="3"/>
      <c r="P265" s="3"/>
      <c r="Q265" s="3"/>
      <c r="R265" s="3"/>
      <c r="S265" s="3"/>
      <c r="T265" s="3"/>
      <c r="U265" s="3"/>
      <c r="V265" s="733"/>
      <c r="W265" s="3"/>
      <c r="X265" s="3"/>
      <c r="Y265" s="3"/>
      <c r="Z265" s="3"/>
      <c r="AA265" s="3"/>
    </row>
    <row r="266" spans="1:27" ht="24.75" customHeight="1">
      <c r="A266" s="3"/>
      <c r="B266" s="3"/>
      <c r="C266" s="3"/>
      <c r="D266" s="3"/>
      <c r="E266" s="3"/>
      <c r="F266" s="3"/>
      <c r="G266" s="3"/>
      <c r="H266" s="3"/>
      <c r="I266" s="3"/>
      <c r="J266" s="3"/>
      <c r="K266" s="3"/>
      <c r="L266" s="3"/>
      <c r="M266" s="3"/>
      <c r="N266" s="3"/>
      <c r="O266" s="3"/>
      <c r="P266" s="3"/>
      <c r="Q266" s="3"/>
      <c r="R266" s="3"/>
      <c r="S266" s="3"/>
      <c r="T266" s="3"/>
      <c r="U266" s="3"/>
      <c r="V266" s="733"/>
      <c r="W266" s="3"/>
      <c r="X266" s="3"/>
      <c r="Y266" s="3"/>
      <c r="Z266" s="3"/>
      <c r="AA266" s="3"/>
    </row>
    <row r="267" spans="1:27" ht="24.75" customHeight="1">
      <c r="A267" s="3"/>
      <c r="B267" s="3"/>
      <c r="C267" s="3"/>
      <c r="D267" s="3"/>
      <c r="E267" s="3"/>
      <c r="F267" s="3"/>
      <c r="G267" s="3"/>
      <c r="H267" s="3"/>
      <c r="I267" s="3"/>
      <c r="J267" s="3"/>
      <c r="K267" s="3"/>
      <c r="L267" s="3"/>
      <c r="M267" s="3"/>
      <c r="N267" s="3"/>
      <c r="O267" s="3"/>
      <c r="P267" s="3"/>
      <c r="Q267" s="3"/>
      <c r="R267" s="3"/>
      <c r="S267" s="3"/>
      <c r="T267" s="3"/>
      <c r="U267" s="3"/>
      <c r="V267" s="733"/>
      <c r="W267" s="3"/>
      <c r="X267" s="3"/>
      <c r="Y267" s="3"/>
      <c r="Z267" s="3"/>
      <c r="AA267" s="3"/>
    </row>
    <row r="268" spans="1:27" ht="24.75" customHeight="1">
      <c r="A268" s="3"/>
      <c r="B268" s="3"/>
      <c r="C268" s="3"/>
      <c r="D268" s="3"/>
      <c r="E268" s="3"/>
      <c r="F268" s="3"/>
      <c r="G268" s="3"/>
      <c r="H268" s="3"/>
      <c r="I268" s="3"/>
      <c r="J268" s="3"/>
      <c r="K268" s="3"/>
      <c r="L268" s="3"/>
      <c r="M268" s="3"/>
      <c r="N268" s="3"/>
      <c r="O268" s="3"/>
      <c r="P268" s="3"/>
      <c r="Q268" s="3"/>
      <c r="R268" s="3"/>
      <c r="S268" s="3"/>
      <c r="T268" s="3"/>
      <c r="U268" s="3"/>
      <c r="V268" s="733"/>
      <c r="W268" s="3"/>
      <c r="X268" s="3"/>
      <c r="Y268" s="3"/>
      <c r="Z268" s="3"/>
      <c r="AA268" s="3"/>
    </row>
    <row r="269" spans="1:27" ht="24.75" customHeight="1">
      <c r="A269" s="3"/>
      <c r="B269" s="3"/>
      <c r="C269" s="3"/>
      <c r="D269" s="3"/>
      <c r="E269" s="3"/>
      <c r="F269" s="3"/>
      <c r="G269" s="3"/>
      <c r="H269" s="3"/>
      <c r="I269" s="3"/>
      <c r="J269" s="3"/>
      <c r="K269" s="3"/>
      <c r="L269" s="3"/>
      <c r="M269" s="3"/>
      <c r="N269" s="3"/>
      <c r="O269" s="3"/>
      <c r="P269" s="3"/>
      <c r="Q269" s="3"/>
      <c r="R269" s="3"/>
      <c r="S269" s="3"/>
      <c r="T269" s="3"/>
      <c r="U269" s="3"/>
      <c r="V269" s="733"/>
      <c r="W269" s="3"/>
      <c r="X269" s="3"/>
      <c r="Y269" s="3"/>
      <c r="Z269" s="3"/>
      <c r="AA269" s="3"/>
    </row>
    <row r="270" spans="1:27" ht="24.75" customHeight="1">
      <c r="A270" s="3"/>
      <c r="B270" s="3"/>
      <c r="C270" s="3"/>
      <c r="D270" s="3"/>
      <c r="E270" s="3"/>
      <c r="F270" s="3"/>
      <c r="G270" s="3"/>
      <c r="H270" s="3"/>
      <c r="I270" s="3"/>
      <c r="J270" s="3"/>
      <c r="K270" s="3"/>
      <c r="L270" s="3"/>
      <c r="M270" s="3"/>
      <c r="N270" s="3"/>
      <c r="O270" s="3"/>
      <c r="P270" s="3"/>
      <c r="Q270" s="3"/>
      <c r="R270" s="3"/>
      <c r="S270" s="3"/>
      <c r="T270" s="3"/>
      <c r="U270" s="3"/>
      <c r="V270" s="733"/>
      <c r="W270" s="3"/>
      <c r="X270" s="3"/>
      <c r="Y270" s="3"/>
      <c r="Z270" s="3"/>
      <c r="AA270" s="3"/>
    </row>
    <row r="271" spans="1:27" ht="24.75" customHeight="1">
      <c r="A271" s="3"/>
      <c r="B271" s="3"/>
      <c r="C271" s="3"/>
      <c r="D271" s="3"/>
      <c r="E271" s="3"/>
      <c r="F271" s="3"/>
      <c r="G271" s="3"/>
      <c r="H271" s="3"/>
      <c r="I271" s="3"/>
      <c r="J271" s="3"/>
      <c r="K271" s="3"/>
      <c r="L271" s="3"/>
      <c r="M271" s="3"/>
      <c r="N271" s="3"/>
      <c r="O271" s="3"/>
      <c r="P271" s="3"/>
      <c r="Q271" s="3"/>
      <c r="R271" s="3"/>
      <c r="S271" s="3"/>
      <c r="T271" s="3"/>
      <c r="U271" s="3"/>
      <c r="V271" s="733"/>
      <c r="W271" s="3"/>
      <c r="X271" s="3"/>
      <c r="Y271" s="3"/>
      <c r="Z271" s="3"/>
      <c r="AA271" s="3"/>
    </row>
    <row r="272" spans="1:27" ht="24.75" customHeight="1">
      <c r="A272" s="3"/>
      <c r="B272" s="3"/>
      <c r="C272" s="3"/>
      <c r="D272" s="3"/>
      <c r="E272" s="3"/>
      <c r="F272" s="3"/>
      <c r="G272" s="3"/>
      <c r="H272" s="3"/>
      <c r="I272" s="3"/>
      <c r="J272" s="3"/>
      <c r="K272" s="3"/>
      <c r="L272" s="3"/>
      <c r="M272" s="3"/>
      <c r="N272" s="3"/>
      <c r="O272" s="3"/>
      <c r="P272" s="3"/>
      <c r="Q272" s="3"/>
      <c r="R272" s="3"/>
      <c r="S272" s="3"/>
      <c r="T272" s="3"/>
      <c r="U272" s="3"/>
      <c r="V272" s="733"/>
      <c r="W272" s="3"/>
      <c r="X272" s="3"/>
      <c r="Y272" s="3"/>
      <c r="Z272" s="3"/>
      <c r="AA272" s="3"/>
    </row>
    <row r="273" spans="1:27" ht="24.75" customHeight="1">
      <c r="A273" s="3"/>
      <c r="B273" s="3"/>
      <c r="C273" s="3"/>
      <c r="D273" s="3"/>
      <c r="E273" s="3"/>
      <c r="F273" s="3"/>
      <c r="G273" s="3"/>
      <c r="H273" s="3"/>
      <c r="I273" s="3"/>
      <c r="J273" s="3"/>
      <c r="K273" s="3"/>
      <c r="L273" s="3"/>
      <c r="M273" s="3"/>
      <c r="N273" s="3"/>
      <c r="O273" s="3"/>
      <c r="P273" s="3"/>
      <c r="Q273" s="3"/>
      <c r="R273" s="3"/>
      <c r="S273" s="3"/>
      <c r="T273" s="3"/>
      <c r="U273" s="3"/>
      <c r="V273" s="733"/>
      <c r="W273" s="3"/>
      <c r="X273" s="3"/>
      <c r="Y273" s="3"/>
      <c r="Z273" s="3"/>
      <c r="AA273" s="3"/>
    </row>
    <row r="274" spans="1:27" ht="24.75" customHeight="1">
      <c r="A274" s="3"/>
      <c r="B274" s="3"/>
      <c r="C274" s="3"/>
      <c r="D274" s="3"/>
      <c r="E274" s="3"/>
      <c r="F274" s="3"/>
      <c r="G274" s="3"/>
      <c r="H274" s="3"/>
      <c r="I274" s="3"/>
      <c r="J274" s="3"/>
      <c r="K274" s="3"/>
      <c r="L274" s="3"/>
      <c r="M274" s="3"/>
      <c r="N274" s="3"/>
      <c r="O274" s="3"/>
      <c r="P274" s="3"/>
      <c r="Q274" s="3"/>
      <c r="R274" s="3"/>
      <c r="S274" s="3"/>
      <c r="T274" s="3"/>
      <c r="U274" s="3"/>
      <c r="V274" s="733"/>
      <c r="W274" s="3"/>
      <c r="X274" s="3"/>
      <c r="Y274" s="3"/>
      <c r="Z274" s="3"/>
      <c r="AA274" s="3"/>
    </row>
    <row r="275" spans="1:27" ht="24.75" customHeight="1">
      <c r="A275" s="3"/>
      <c r="B275" s="3"/>
      <c r="C275" s="3"/>
      <c r="D275" s="3"/>
      <c r="E275" s="3"/>
      <c r="F275" s="3"/>
      <c r="G275" s="3"/>
      <c r="H275" s="3"/>
      <c r="I275" s="3"/>
      <c r="J275" s="3"/>
      <c r="K275" s="3"/>
      <c r="L275" s="3"/>
      <c r="M275" s="3"/>
      <c r="N275" s="3"/>
      <c r="O275" s="3"/>
      <c r="P275" s="3"/>
      <c r="Q275" s="3"/>
      <c r="R275" s="3"/>
      <c r="S275" s="3"/>
      <c r="T275" s="3"/>
      <c r="U275" s="3"/>
      <c r="V275" s="733"/>
      <c r="W275" s="3"/>
      <c r="X275" s="3"/>
      <c r="Y275" s="3"/>
      <c r="Z275" s="3"/>
      <c r="AA275" s="3"/>
    </row>
    <row r="276" spans="1:27" ht="24.75" customHeight="1">
      <c r="A276" s="3"/>
      <c r="B276" s="3"/>
      <c r="C276" s="3"/>
      <c r="D276" s="3"/>
      <c r="E276" s="3"/>
      <c r="F276" s="3"/>
      <c r="G276" s="3"/>
      <c r="H276" s="3"/>
      <c r="I276" s="3"/>
      <c r="J276" s="3"/>
      <c r="K276" s="3"/>
      <c r="L276" s="3"/>
      <c r="M276" s="3"/>
      <c r="N276" s="3"/>
      <c r="O276" s="3"/>
      <c r="P276" s="3"/>
      <c r="Q276" s="3"/>
      <c r="R276" s="3"/>
      <c r="S276" s="3"/>
      <c r="T276" s="3"/>
      <c r="U276" s="3"/>
      <c r="V276" s="733"/>
      <c r="W276" s="3"/>
      <c r="X276" s="3"/>
      <c r="Y276" s="3"/>
      <c r="Z276" s="3"/>
      <c r="AA276" s="3"/>
    </row>
    <row r="277" spans="1:27" ht="24.75" customHeight="1">
      <c r="A277" s="3"/>
      <c r="B277" s="3"/>
      <c r="C277" s="3"/>
      <c r="D277" s="3"/>
      <c r="E277" s="3"/>
      <c r="F277" s="3"/>
      <c r="G277" s="3"/>
      <c r="H277" s="3"/>
      <c r="I277" s="3"/>
      <c r="J277" s="3"/>
      <c r="K277" s="3"/>
      <c r="L277" s="3"/>
      <c r="M277" s="3"/>
      <c r="N277" s="3"/>
      <c r="O277" s="3"/>
      <c r="P277" s="3"/>
      <c r="Q277" s="3"/>
      <c r="R277" s="3"/>
      <c r="S277" s="3"/>
      <c r="T277" s="3"/>
      <c r="U277" s="3"/>
      <c r="V277" s="733"/>
      <c r="W277" s="3"/>
      <c r="X277" s="3"/>
      <c r="Y277" s="3"/>
      <c r="Z277" s="3"/>
      <c r="AA277" s="3"/>
    </row>
    <row r="278" spans="1:27" ht="24.75" customHeight="1">
      <c r="A278" s="3"/>
      <c r="B278" s="3"/>
      <c r="C278" s="3"/>
      <c r="D278" s="3"/>
      <c r="E278" s="3"/>
      <c r="F278" s="3"/>
      <c r="G278" s="3"/>
      <c r="H278" s="3"/>
      <c r="I278" s="3"/>
      <c r="J278" s="3"/>
      <c r="K278" s="3"/>
      <c r="L278" s="3"/>
      <c r="M278" s="3"/>
      <c r="N278" s="3"/>
      <c r="O278" s="3"/>
      <c r="P278" s="3"/>
      <c r="Q278" s="3"/>
      <c r="R278" s="3"/>
      <c r="S278" s="3"/>
      <c r="T278" s="3"/>
      <c r="U278" s="3"/>
      <c r="V278" s="733"/>
      <c r="W278" s="3"/>
      <c r="X278" s="3"/>
      <c r="Y278" s="3"/>
      <c r="Z278" s="3"/>
      <c r="AA278" s="3"/>
    </row>
    <row r="279" spans="1:27" ht="24.75" customHeight="1">
      <c r="A279" s="3"/>
      <c r="B279" s="3"/>
      <c r="C279" s="3"/>
      <c r="D279" s="3"/>
      <c r="E279" s="3"/>
      <c r="F279" s="3"/>
      <c r="G279" s="3"/>
      <c r="H279" s="3"/>
      <c r="I279" s="3"/>
      <c r="J279" s="3"/>
      <c r="K279" s="3"/>
      <c r="L279" s="3"/>
      <c r="M279" s="3"/>
      <c r="N279" s="3"/>
      <c r="O279" s="3"/>
      <c r="P279" s="3"/>
      <c r="Q279" s="3"/>
      <c r="R279" s="3"/>
      <c r="S279" s="3"/>
      <c r="T279" s="3"/>
      <c r="U279" s="3"/>
      <c r="V279" s="733"/>
      <c r="W279" s="3"/>
      <c r="X279" s="3"/>
      <c r="Y279" s="3"/>
      <c r="Z279" s="3"/>
      <c r="AA279" s="3"/>
    </row>
    <row r="280" spans="1:27" ht="24.75" customHeight="1">
      <c r="A280" s="3"/>
      <c r="B280" s="3"/>
      <c r="C280" s="3"/>
      <c r="D280" s="3"/>
      <c r="E280" s="3"/>
      <c r="F280" s="3"/>
      <c r="G280" s="3"/>
      <c r="H280" s="3"/>
      <c r="I280" s="3"/>
      <c r="J280" s="3"/>
      <c r="K280" s="3"/>
      <c r="L280" s="3"/>
      <c r="M280" s="3"/>
      <c r="N280" s="3"/>
      <c r="O280" s="3"/>
      <c r="P280" s="3"/>
      <c r="Q280" s="3"/>
      <c r="R280" s="3"/>
      <c r="S280" s="3"/>
      <c r="T280" s="3"/>
      <c r="U280" s="3"/>
      <c r="V280" s="733"/>
      <c r="W280" s="3"/>
      <c r="X280" s="3"/>
      <c r="Y280" s="3"/>
      <c r="Z280" s="3"/>
      <c r="AA280" s="3"/>
    </row>
    <row r="281" spans="1:27" ht="24.75" customHeight="1">
      <c r="A281" s="3"/>
      <c r="B281" s="3"/>
      <c r="C281" s="3"/>
      <c r="D281" s="3"/>
      <c r="E281" s="3"/>
      <c r="F281" s="3"/>
      <c r="G281" s="3"/>
      <c r="H281" s="3"/>
      <c r="I281" s="3"/>
      <c r="J281" s="3"/>
      <c r="K281" s="3"/>
      <c r="L281" s="3"/>
      <c r="M281" s="3"/>
      <c r="N281" s="3"/>
      <c r="O281" s="3"/>
      <c r="P281" s="3"/>
      <c r="Q281" s="3"/>
      <c r="R281" s="3"/>
      <c r="S281" s="3"/>
      <c r="T281" s="3"/>
      <c r="U281" s="3"/>
      <c r="V281" s="733"/>
      <c r="W281" s="3"/>
      <c r="X281" s="3"/>
      <c r="Y281" s="3"/>
      <c r="Z281" s="3"/>
      <c r="AA281" s="3"/>
    </row>
    <row r="282" spans="1:27" ht="24.75" customHeight="1">
      <c r="A282" s="3"/>
      <c r="B282" s="3"/>
      <c r="C282" s="3"/>
      <c r="D282" s="3"/>
      <c r="E282" s="3"/>
      <c r="F282" s="3"/>
      <c r="G282" s="3"/>
      <c r="H282" s="3"/>
      <c r="I282" s="3"/>
      <c r="J282" s="3"/>
      <c r="K282" s="3"/>
      <c r="L282" s="3"/>
      <c r="M282" s="3"/>
      <c r="N282" s="3"/>
      <c r="O282" s="3"/>
      <c r="P282" s="3"/>
      <c r="Q282" s="3"/>
      <c r="R282" s="3"/>
      <c r="S282" s="3"/>
      <c r="T282" s="3"/>
      <c r="U282" s="3"/>
      <c r="V282" s="733"/>
      <c r="W282" s="3"/>
      <c r="X282" s="3"/>
      <c r="Y282" s="3"/>
      <c r="Z282" s="3"/>
      <c r="AA282" s="3"/>
    </row>
    <row r="283" spans="1:27" ht="24.75" customHeight="1">
      <c r="A283" s="3"/>
      <c r="B283" s="3"/>
      <c r="C283" s="3"/>
      <c r="D283" s="3"/>
      <c r="E283" s="3"/>
      <c r="F283" s="3"/>
      <c r="G283" s="3"/>
      <c r="H283" s="3"/>
      <c r="I283" s="3"/>
      <c r="J283" s="3"/>
      <c r="K283" s="3"/>
      <c r="L283" s="3"/>
      <c r="M283" s="3"/>
      <c r="N283" s="3"/>
      <c r="O283" s="3"/>
      <c r="P283" s="3"/>
      <c r="Q283" s="3"/>
      <c r="R283" s="3"/>
      <c r="S283" s="3"/>
      <c r="T283" s="3"/>
      <c r="U283" s="3"/>
      <c r="V283" s="733"/>
      <c r="W283" s="3"/>
      <c r="X283" s="3"/>
      <c r="Y283" s="3"/>
      <c r="Z283" s="3"/>
      <c r="AA283" s="3"/>
    </row>
    <row r="284" spans="1:27" ht="24.75" customHeight="1">
      <c r="A284" s="3"/>
      <c r="B284" s="3"/>
      <c r="C284" s="3"/>
      <c r="D284" s="3"/>
      <c r="E284" s="3"/>
      <c r="F284" s="3"/>
      <c r="G284" s="3"/>
      <c r="H284" s="3"/>
      <c r="I284" s="3"/>
      <c r="J284" s="3"/>
      <c r="K284" s="3"/>
      <c r="L284" s="3"/>
      <c r="M284" s="3"/>
      <c r="N284" s="3"/>
      <c r="O284" s="3"/>
      <c r="P284" s="3"/>
      <c r="Q284" s="3"/>
      <c r="R284" s="3"/>
      <c r="S284" s="3"/>
      <c r="T284" s="3"/>
      <c r="U284" s="3"/>
      <c r="V284" s="733"/>
      <c r="W284" s="3"/>
      <c r="X284" s="3"/>
      <c r="Y284" s="3"/>
      <c r="Z284" s="3"/>
      <c r="AA284" s="3"/>
    </row>
    <row r="285" spans="1:27" ht="24.75" customHeight="1">
      <c r="A285" s="3"/>
      <c r="B285" s="3"/>
      <c r="C285" s="3"/>
      <c r="D285" s="3"/>
      <c r="E285" s="3"/>
      <c r="F285" s="3"/>
      <c r="G285" s="3"/>
      <c r="H285" s="3"/>
      <c r="I285" s="3"/>
      <c r="J285" s="3"/>
      <c r="K285" s="3"/>
      <c r="L285" s="3"/>
      <c r="M285" s="3"/>
      <c r="N285" s="3"/>
      <c r="O285" s="3"/>
      <c r="P285" s="3"/>
      <c r="Q285" s="3"/>
      <c r="R285" s="3"/>
      <c r="S285" s="3"/>
      <c r="T285" s="3"/>
      <c r="U285" s="3"/>
      <c r="V285" s="733"/>
      <c r="W285" s="3"/>
      <c r="X285" s="3"/>
      <c r="Y285" s="3"/>
      <c r="Z285" s="3"/>
      <c r="AA285" s="3"/>
    </row>
    <row r="286" spans="1:27" ht="24.75" customHeight="1">
      <c r="A286" s="3"/>
      <c r="B286" s="3"/>
      <c r="C286" s="3"/>
      <c r="D286" s="3"/>
      <c r="E286" s="3"/>
      <c r="F286" s="3"/>
      <c r="G286" s="3"/>
      <c r="H286" s="3"/>
      <c r="I286" s="3"/>
      <c r="J286" s="3"/>
      <c r="K286" s="3"/>
      <c r="L286" s="3"/>
      <c r="M286" s="3"/>
      <c r="N286" s="3"/>
      <c r="O286" s="3"/>
      <c r="P286" s="3"/>
      <c r="Q286" s="3"/>
      <c r="R286" s="3"/>
      <c r="S286" s="3"/>
      <c r="T286" s="3"/>
      <c r="U286" s="3"/>
      <c r="V286" s="733"/>
      <c r="W286" s="3"/>
      <c r="X286" s="3"/>
      <c r="Y286" s="3"/>
      <c r="Z286" s="3"/>
      <c r="AA286" s="3"/>
    </row>
    <row r="287" spans="1:27" ht="24.75" customHeight="1">
      <c r="A287" s="3"/>
      <c r="B287" s="3"/>
      <c r="C287" s="3"/>
      <c r="D287" s="3"/>
      <c r="E287" s="3"/>
      <c r="F287" s="3"/>
      <c r="G287" s="3"/>
      <c r="H287" s="3"/>
      <c r="I287" s="3"/>
      <c r="J287" s="3"/>
      <c r="K287" s="3"/>
      <c r="L287" s="3"/>
      <c r="M287" s="3"/>
      <c r="N287" s="3"/>
      <c r="O287" s="3"/>
      <c r="P287" s="3"/>
      <c r="Q287" s="3"/>
      <c r="R287" s="3"/>
      <c r="S287" s="3"/>
      <c r="T287" s="3"/>
      <c r="U287" s="3"/>
      <c r="V287" s="733"/>
      <c r="W287" s="3"/>
      <c r="X287" s="3"/>
      <c r="Y287" s="3"/>
      <c r="Z287" s="3"/>
      <c r="AA287" s="3"/>
    </row>
    <row r="288" spans="1:27" ht="24.75" customHeight="1">
      <c r="A288" s="3"/>
      <c r="B288" s="3"/>
      <c r="C288" s="3"/>
      <c r="D288" s="3"/>
      <c r="E288" s="3"/>
      <c r="F288" s="3"/>
      <c r="G288" s="3"/>
      <c r="H288" s="3"/>
      <c r="I288" s="3"/>
      <c r="J288" s="3"/>
      <c r="K288" s="3"/>
      <c r="L288" s="3"/>
      <c r="M288" s="3"/>
      <c r="N288" s="3"/>
      <c r="O288" s="3"/>
      <c r="P288" s="3"/>
      <c r="Q288" s="3"/>
      <c r="R288" s="3"/>
      <c r="S288" s="3"/>
      <c r="T288" s="3"/>
      <c r="U288" s="3"/>
      <c r="V288" s="733"/>
      <c r="W288" s="3"/>
      <c r="X288" s="3"/>
      <c r="Y288" s="3"/>
      <c r="Z288" s="3"/>
      <c r="AA288" s="3"/>
    </row>
    <row r="289" spans="1:27" ht="24.75" customHeight="1">
      <c r="A289" s="3"/>
      <c r="B289" s="3"/>
      <c r="C289" s="3"/>
      <c r="D289" s="3"/>
      <c r="E289" s="3"/>
      <c r="F289" s="3"/>
      <c r="G289" s="3"/>
      <c r="H289" s="3"/>
      <c r="I289" s="3"/>
      <c r="J289" s="3"/>
      <c r="K289" s="3"/>
      <c r="L289" s="3"/>
      <c r="M289" s="3"/>
      <c r="N289" s="3"/>
      <c r="O289" s="3"/>
      <c r="P289" s="3"/>
      <c r="Q289" s="3"/>
      <c r="R289" s="3"/>
      <c r="S289" s="3"/>
      <c r="T289" s="3"/>
      <c r="U289" s="3"/>
      <c r="V289" s="733"/>
      <c r="W289" s="3"/>
      <c r="X289" s="3"/>
      <c r="Y289" s="3"/>
      <c r="Z289" s="3"/>
      <c r="AA289" s="3"/>
    </row>
    <row r="290" spans="1:27" ht="24.75" customHeight="1">
      <c r="A290" s="3"/>
      <c r="B290" s="3"/>
      <c r="C290" s="3"/>
      <c r="D290" s="3"/>
      <c r="E290" s="3"/>
      <c r="F290" s="3"/>
      <c r="G290" s="3"/>
      <c r="H290" s="3"/>
      <c r="I290" s="3"/>
      <c r="J290" s="3"/>
      <c r="K290" s="3"/>
      <c r="L290" s="3"/>
      <c r="M290" s="3"/>
      <c r="N290" s="3"/>
      <c r="O290" s="3"/>
      <c r="P290" s="3"/>
      <c r="Q290" s="3"/>
      <c r="R290" s="3"/>
      <c r="S290" s="3"/>
      <c r="T290" s="3"/>
      <c r="U290" s="3"/>
      <c r="V290" s="733"/>
      <c r="W290" s="3"/>
      <c r="X290" s="3"/>
      <c r="Y290" s="3"/>
      <c r="Z290" s="3"/>
      <c r="AA290" s="3"/>
    </row>
    <row r="291" spans="1:27" ht="24.75" customHeight="1">
      <c r="A291" s="3"/>
      <c r="B291" s="3"/>
      <c r="C291" s="3"/>
      <c r="D291" s="3"/>
      <c r="E291" s="3"/>
      <c r="F291" s="3"/>
      <c r="G291" s="3"/>
      <c r="H291" s="3"/>
      <c r="I291" s="3"/>
      <c r="J291" s="3"/>
      <c r="K291" s="3"/>
      <c r="L291" s="3"/>
      <c r="M291" s="3"/>
      <c r="N291" s="3"/>
      <c r="O291" s="3"/>
      <c r="P291" s="3"/>
      <c r="Q291" s="3"/>
      <c r="R291" s="3"/>
      <c r="S291" s="3"/>
      <c r="T291" s="3"/>
      <c r="U291" s="3"/>
      <c r="V291" s="733"/>
      <c r="W291" s="3"/>
      <c r="X291" s="3"/>
      <c r="Y291" s="3"/>
      <c r="Z291" s="3"/>
      <c r="AA291" s="3"/>
    </row>
    <row r="292" spans="1:27" ht="24.75" customHeight="1">
      <c r="A292" s="3"/>
      <c r="B292" s="3"/>
      <c r="C292" s="3"/>
      <c r="D292" s="3"/>
      <c r="E292" s="3"/>
      <c r="F292" s="3"/>
      <c r="G292" s="3"/>
      <c r="H292" s="3"/>
      <c r="I292" s="3"/>
      <c r="J292" s="3"/>
      <c r="K292" s="3"/>
      <c r="L292" s="3"/>
      <c r="M292" s="3"/>
      <c r="N292" s="3"/>
      <c r="O292" s="3"/>
      <c r="P292" s="3"/>
      <c r="Q292" s="3"/>
      <c r="R292" s="3"/>
      <c r="S292" s="3"/>
      <c r="T292" s="3"/>
      <c r="U292" s="3"/>
      <c r="V292" s="733"/>
      <c r="W292" s="3"/>
      <c r="X292" s="3"/>
      <c r="Y292" s="3"/>
      <c r="Z292" s="3"/>
      <c r="AA292" s="3"/>
    </row>
    <row r="293" spans="1:27" ht="24.75" customHeight="1">
      <c r="A293" s="3"/>
      <c r="B293" s="3"/>
      <c r="C293" s="3"/>
      <c r="D293" s="3"/>
      <c r="E293" s="3"/>
      <c r="F293" s="3"/>
      <c r="G293" s="3"/>
      <c r="H293" s="3"/>
      <c r="I293" s="3"/>
      <c r="J293" s="3"/>
      <c r="K293" s="3"/>
      <c r="L293" s="3"/>
      <c r="M293" s="3"/>
      <c r="N293" s="3"/>
      <c r="O293" s="3"/>
      <c r="P293" s="3"/>
      <c r="Q293" s="3"/>
      <c r="R293" s="3"/>
      <c r="S293" s="3"/>
      <c r="T293" s="3"/>
      <c r="U293" s="3"/>
      <c r="V293" s="733"/>
      <c r="W293" s="3"/>
      <c r="X293" s="3"/>
      <c r="Y293" s="3"/>
      <c r="Z293" s="3"/>
      <c r="AA293" s="3"/>
    </row>
    <row r="294" spans="1:27" ht="24.75" customHeight="1">
      <c r="A294" s="3"/>
      <c r="B294" s="3"/>
      <c r="C294" s="3"/>
      <c r="D294" s="3"/>
      <c r="E294" s="3"/>
      <c r="F294" s="3"/>
      <c r="G294" s="3"/>
      <c r="H294" s="3"/>
      <c r="I294" s="3"/>
      <c r="J294" s="3"/>
      <c r="K294" s="3"/>
      <c r="L294" s="3"/>
      <c r="M294" s="3"/>
      <c r="N294" s="3"/>
      <c r="O294" s="3"/>
      <c r="P294" s="3"/>
      <c r="Q294" s="3"/>
      <c r="R294" s="3"/>
      <c r="S294" s="3"/>
      <c r="T294" s="3"/>
      <c r="U294" s="3"/>
      <c r="V294" s="733"/>
      <c r="W294" s="3"/>
      <c r="X294" s="3"/>
      <c r="Y294" s="3"/>
      <c r="Z294" s="3"/>
      <c r="AA294" s="3"/>
    </row>
    <row r="295" spans="1:27" ht="24.75" customHeight="1">
      <c r="A295" s="3"/>
      <c r="B295" s="3"/>
      <c r="C295" s="3"/>
      <c r="D295" s="3"/>
      <c r="E295" s="3"/>
      <c r="F295" s="3"/>
      <c r="G295" s="3"/>
      <c r="H295" s="3"/>
      <c r="I295" s="3"/>
      <c r="J295" s="3"/>
      <c r="K295" s="3"/>
      <c r="L295" s="3"/>
      <c r="M295" s="3"/>
      <c r="N295" s="3"/>
      <c r="O295" s="3"/>
      <c r="P295" s="3"/>
      <c r="Q295" s="3"/>
      <c r="R295" s="3"/>
      <c r="S295" s="3"/>
      <c r="T295" s="3"/>
      <c r="U295" s="3"/>
      <c r="V295" s="733"/>
      <c r="W295" s="3"/>
      <c r="X295" s="3"/>
      <c r="Y295" s="3"/>
      <c r="Z295" s="3"/>
      <c r="AA295" s="3"/>
    </row>
    <row r="296" spans="1:27" ht="24.75" customHeight="1">
      <c r="A296" s="3"/>
      <c r="B296" s="3"/>
      <c r="C296" s="3"/>
      <c r="D296" s="3"/>
      <c r="E296" s="3"/>
      <c r="F296" s="3"/>
      <c r="G296" s="3"/>
      <c r="H296" s="3"/>
      <c r="I296" s="3"/>
      <c r="J296" s="3"/>
      <c r="K296" s="3"/>
      <c r="L296" s="3"/>
      <c r="M296" s="3"/>
      <c r="N296" s="3"/>
      <c r="O296" s="3"/>
      <c r="P296" s="3"/>
      <c r="Q296" s="3"/>
      <c r="R296" s="3"/>
      <c r="S296" s="3"/>
      <c r="T296" s="3"/>
      <c r="U296" s="3"/>
      <c r="V296" s="733"/>
      <c r="W296" s="3"/>
      <c r="X296" s="3"/>
      <c r="Y296" s="3"/>
      <c r="Z296" s="3"/>
      <c r="AA296" s="3"/>
    </row>
    <row r="297" spans="1:27" ht="24.75" customHeight="1">
      <c r="A297" s="3"/>
      <c r="B297" s="3"/>
      <c r="C297" s="3"/>
      <c r="D297" s="3"/>
      <c r="E297" s="3"/>
      <c r="F297" s="3"/>
      <c r="G297" s="3"/>
      <c r="H297" s="3"/>
      <c r="I297" s="3"/>
      <c r="J297" s="3"/>
      <c r="K297" s="3"/>
      <c r="L297" s="3"/>
      <c r="M297" s="3"/>
      <c r="N297" s="3"/>
      <c r="O297" s="3"/>
      <c r="P297" s="3"/>
      <c r="Q297" s="3"/>
      <c r="R297" s="3"/>
      <c r="S297" s="3"/>
      <c r="T297" s="3"/>
      <c r="U297" s="3"/>
      <c r="V297" s="733"/>
      <c r="W297" s="3"/>
      <c r="X297" s="3"/>
      <c r="Y297" s="3"/>
      <c r="Z297" s="3"/>
      <c r="AA297" s="3"/>
    </row>
    <row r="298" spans="1:27" ht="24.75" customHeight="1">
      <c r="A298" s="3"/>
      <c r="B298" s="3"/>
      <c r="C298" s="3"/>
      <c r="D298" s="3"/>
      <c r="E298" s="3"/>
      <c r="F298" s="3"/>
      <c r="G298" s="3"/>
      <c r="H298" s="3"/>
      <c r="I298" s="3"/>
      <c r="J298" s="3"/>
      <c r="K298" s="3"/>
      <c r="L298" s="3"/>
      <c r="M298" s="3"/>
      <c r="N298" s="3"/>
      <c r="O298" s="3"/>
      <c r="P298" s="3"/>
      <c r="Q298" s="3"/>
      <c r="R298" s="3"/>
      <c r="S298" s="3"/>
      <c r="T298" s="3"/>
      <c r="U298" s="3"/>
      <c r="V298" s="733"/>
      <c r="W298" s="3"/>
      <c r="X298" s="3"/>
      <c r="Y298" s="3"/>
      <c r="Z298" s="3"/>
      <c r="AA298" s="3"/>
    </row>
    <row r="299" spans="1:27" ht="24.75" customHeight="1">
      <c r="A299" s="3"/>
      <c r="B299" s="3"/>
      <c r="C299" s="3"/>
      <c r="D299" s="3"/>
      <c r="E299" s="3"/>
      <c r="F299" s="3"/>
      <c r="G299" s="3"/>
      <c r="H299" s="3"/>
      <c r="I299" s="3"/>
      <c r="J299" s="3"/>
      <c r="K299" s="3"/>
      <c r="L299" s="3"/>
      <c r="M299" s="3"/>
      <c r="N299" s="3"/>
      <c r="O299" s="3"/>
      <c r="P299" s="3"/>
      <c r="Q299" s="3"/>
      <c r="R299" s="3"/>
      <c r="S299" s="3"/>
      <c r="T299" s="3"/>
      <c r="U299" s="3"/>
      <c r="V299" s="733"/>
      <c r="W299" s="3"/>
      <c r="X299" s="3"/>
      <c r="Y299" s="3"/>
      <c r="Z299" s="3"/>
      <c r="AA299" s="3"/>
    </row>
    <row r="300" spans="1:27" ht="24.75" customHeight="1">
      <c r="A300" s="3"/>
      <c r="B300" s="3"/>
      <c r="C300" s="3"/>
      <c r="D300" s="3"/>
      <c r="E300" s="3"/>
      <c r="F300" s="3"/>
      <c r="G300" s="3"/>
      <c r="H300" s="3"/>
      <c r="I300" s="3"/>
      <c r="J300" s="3"/>
      <c r="K300" s="3"/>
      <c r="L300" s="3"/>
      <c r="M300" s="3"/>
      <c r="N300" s="3"/>
      <c r="O300" s="3"/>
      <c r="P300" s="3"/>
      <c r="Q300" s="3"/>
      <c r="R300" s="3"/>
      <c r="S300" s="3"/>
      <c r="T300" s="3"/>
      <c r="U300" s="3"/>
      <c r="V300" s="733"/>
      <c r="W300" s="3"/>
      <c r="X300" s="3"/>
      <c r="Y300" s="3"/>
      <c r="Z300" s="3"/>
      <c r="AA300" s="3"/>
    </row>
    <row r="301" spans="1:27" ht="24.75" customHeight="1">
      <c r="A301" s="3"/>
      <c r="B301" s="3"/>
      <c r="C301" s="3"/>
      <c r="D301" s="3"/>
      <c r="E301" s="3"/>
      <c r="F301" s="3"/>
      <c r="G301" s="3"/>
      <c r="H301" s="3"/>
      <c r="I301" s="3"/>
      <c r="J301" s="3"/>
      <c r="K301" s="3"/>
      <c r="L301" s="3"/>
      <c r="M301" s="3"/>
      <c r="N301" s="3"/>
      <c r="O301" s="3"/>
      <c r="P301" s="3"/>
      <c r="Q301" s="3"/>
      <c r="R301" s="3"/>
      <c r="S301" s="3"/>
      <c r="T301" s="3"/>
      <c r="U301" s="3"/>
      <c r="V301" s="733"/>
      <c r="W301" s="3"/>
      <c r="X301" s="3"/>
      <c r="Y301" s="3"/>
      <c r="Z301" s="3"/>
      <c r="AA301" s="3"/>
    </row>
    <row r="302" spans="1:27" ht="24.75" customHeight="1">
      <c r="A302" s="3"/>
      <c r="B302" s="3"/>
      <c r="C302" s="3"/>
      <c r="D302" s="3"/>
      <c r="E302" s="3"/>
      <c r="F302" s="3"/>
      <c r="G302" s="3"/>
      <c r="H302" s="3"/>
      <c r="I302" s="3"/>
      <c r="J302" s="3"/>
      <c r="K302" s="3"/>
      <c r="L302" s="3"/>
      <c r="M302" s="3"/>
      <c r="N302" s="3"/>
      <c r="O302" s="3"/>
      <c r="P302" s="3"/>
      <c r="Q302" s="3"/>
      <c r="R302" s="3"/>
      <c r="S302" s="3"/>
      <c r="T302" s="3"/>
      <c r="U302" s="3"/>
      <c r="V302" s="733"/>
      <c r="W302" s="3"/>
      <c r="X302" s="3"/>
      <c r="Y302" s="3"/>
      <c r="Z302" s="3"/>
      <c r="AA302" s="3"/>
    </row>
    <row r="303" spans="1:27" ht="24.75" customHeight="1">
      <c r="A303" s="3"/>
      <c r="B303" s="3"/>
      <c r="C303" s="3"/>
      <c r="D303" s="3"/>
      <c r="E303" s="3"/>
      <c r="F303" s="3"/>
      <c r="G303" s="3"/>
      <c r="H303" s="3"/>
      <c r="I303" s="3"/>
      <c r="J303" s="3"/>
      <c r="K303" s="3"/>
      <c r="L303" s="3"/>
      <c r="M303" s="3"/>
      <c r="N303" s="3"/>
      <c r="O303" s="3"/>
      <c r="P303" s="3"/>
      <c r="Q303" s="3"/>
      <c r="R303" s="3"/>
      <c r="S303" s="3"/>
      <c r="T303" s="3"/>
      <c r="U303" s="3"/>
      <c r="V303" s="733"/>
      <c r="W303" s="3"/>
      <c r="X303" s="3"/>
      <c r="Y303" s="3"/>
      <c r="Z303" s="3"/>
      <c r="AA303" s="3"/>
    </row>
    <row r="304" spans="1:27" ht="24.75" customHeight="1">
      <c r="A304" s="3"/>
      <c r="B304" s="3"/>
      <c r="C304" s="3"/>
      <c r="D304" s="3"/>
      <c r="E304" s="3"/>
      <c r="F304" s="3"/>
      <c r="G304" s="3"/>
      <c r="H304" s="3"/>
      <c r="I304" s="3"/>
      <c r="J304" s="3"/>
      <c r="K304" s="3"/>
      <c r="L304" s="3"/>
      <c r="M304" s="3"/>
      <c r="N304" s="3"/>
      <c r="O304" s="3"/>
      <c r="P304" s="3"/>
      <c r="Q304" s="3"/>
      <c r="R304" s="3"/>
      <c r="S304" s="3"/>
      <c r="T304" s="3"/>
      <c r="U304" s="3"/>
      <c r="V304" s="733"/>
      <c r="W304" s="3"/>
      <c r="X304" s="3"/>
      <c r="Y304" s="3"/>
      <c r="Z304" s="3"/>
      <c r="AA304" s="3"/>
    </row>
    <row r="305" spans="1:27" ht="24.75" customHeight="1">
      <c r="A305" s="3"/>
      <c r="B305" s="3"/>
      <c r="C305" s="3"/>
      <c r="D305" s="3"/>
      <c r="E305" s="3"/>
      <c r="F305" s="3"/>
      <c r="G305" s="3"/>
      <c r="H305" s="3"/>
      <c r="I305" s="3"/>
      <c r="J305" s="3"/>
      <c r="K305" s="3"/>
      <c r="L305" s="3"/>
      <c r="M305" s="3"/>
      <c r="N305" s="3"/>
      <c r="O305" s="3"/>
      <c r="P305" s="3"/>
      <c r="Q305" s="3"/>
      <c r="R305" s="3"/>
      <c r="S305" s="3"/>
      <c r="T305" s="3"/>
      <c r="U305" s="3"/>
      <c r="V305" s="733"/>
      <c r="W305" s="3"/>
      <c r="X305" s="3"/>
      <c r="Y305" s="3"/>
      <c r="Z305" s="3"/>
      <c r="AA305" s="3"/>
    </row>
    <row r="306" spans="1:27" ht="24.75" customHeight="1">
      <c r="A306" s="3"/>
      <c r="B306" s="3"/>
      <c r="C306" s="3"/>
      <c r="D306" s="3"/>
      <c r="E306" s="3"/>
      <c r="F306" s="3"/>
      <c r="G306" s="3"/>
      <c r="H306" s="3"/>
      <c r="I306" s="3"/>
      <c r="J306" s="3"/>
      <c r="K306" s="3"/>
      <c r="L306" s="3"/>
      <c r="M306" s="3"/>
      <c r="N306" s="3"/>
      <c r="O306" s="3"/>
      <c r="P306" s="3"/>
      <c r="Q306" s="3"/>
      <c r="R306" s="3"/>
      <c r="S306" s="3"/>
      <c r="T306" s="3"/>
      <c r="U306" s="3"/>
      <c r="V306" s="733"/>
      <c r="W306" s="3"/>
      <c r="X306" s="3"/>
      <c r="Y306" s="3"/>
      <c r="Z306" s="3"/>
      <c r="AA306" s="3"/>
    </row>
    <row r="307" spans="1:27" ht="24.75" customHeight="1">
      <c r="A307" s="3"/>
      <c r="B307" s="3"/>
      <c r="C307" s="3"/>
      <c r="D307" s="3"/>
      <c r="E307" s="3"/>
      <c r="F307" s="3"/>
      <c r="G307" s="3"/>
      <c r="H307" s="3"/>
      <c r="I307" s="3"/>
      <c r="J307" s="3"/>
      <c r="K307" s="3"/>
      <c r="L307" s="3"/>
      <c r="M307" s="3"/>
      <c r="N307" s="3"/>
      <c r="O307" s="3"/>
      <c r="P307" s="3"/>
      <c r="Q307" s="3"/>
      <c r="R307" s="3"/>
      <c r="S307" s="3"/>
      <c r="T307" s="3"/>
      <c r="U307" s="3"/>
      <c r="V307" s="733"/>
      <c r="W307" s="3"/>
      <c r="X307" s="3"/>
      <c r="Y307" s="3"/>
      <c r="Z307" s="3"/>
      <c r="AA307" s="3"/>
    </row>
    <row r="308" spans="1:27" ht="24.75" customHeight="1">
      <c r="A308" s="3"/>
      <c r="B308" s="3"/>
      <c r="C308" s="3"/>
      <c r="D308" s="3"/>
      <c r="E308" s="3"/>
      <c r="F308" s="3"/>
      <c r="G308" s="3"/>
      <c r="H308" s="3"/>
      <c r="I308" s="3"/>
      <c r="J308" s="3"/>
      <c r="K308" s="3"/>
      <c r="L308" s="3"/>
      <c r="M308" s="3"/>
      <c r="N308" s="3"/>
      <c r="O308" s="3"/>
      <c r="P308" s="3"/>
      <c r="Q308" s="3"/>
      <c r="R308" s="3"/>
      <c r="S308" s="3"/>
      <c r="T308" s="3"/>
      <c r="U308" s="3"/>
      <c r="V308" s="733"/>
      <c r="W308" s="3"/>
      <c r="X308" s="3"/>
      <c r="Y308" s="3"/>
      <c r="Z308" s="3"/>
      <c r="AA308" s="3"/>
    </row>
    <row r="309" spans="1:27" ht="24.75" customHeight="1">
      <c r="A309" s="3"/>
      <c r="B309" s="3"/>
      <c r="C309" s="3"/>
      <c r="D309" s="3"/>
      <c r="E309" s="3"/>
      <c r="F309" s="3"/>
      <c r="G309" s="3"/>
      <c r="H309" s="3"/>
      <c r="I309" s="3"/>
      <c r="J309" s="3"/>
      <c r="K309" s="3"/>
      <c r="L309" s="3"/>
      <c r="M309" s="3"/>
      <c r="N309" s="3"/>
      <c r="O309" s="3"/>
      <c r="P309" s="3"/>
      <c r="Q309" s="3"/>
      <c r="R309" s="3"/>
      <c r="S309" s="3"/>
      <c r="T309" s="3"/>
      <c r="U309" s="3"/>
      <c r="V309" s="733"/>
      <c r="W309" s="3"/>
      <c r="X309" s="3"/>
      <c r="Y309" s="3"/>
      <c r="Z309" s="3"/>
      <c r="AA309" s="3"/>
    </row>
    <row r="310" spans="1:27" ht="24.75" customHeight="1">
      <c r="A310" s="3"/>
      <c r="B310" s="3"/>
      <c r="C310" s="3"/>
      <c r="D310" s="3"/>
      <c r="E310" s="3"/>
      <c r="F310" s="3"/>
      <c r="G310" s="3"/>
      <c r="H310" s="3"/>
      <c r="I310" s="3"/>
      <c r="J310" s="3"/>
      <c r="K310" s="3"/>
      <c r="L310" s="3"/>
      <c r="M310" s="3"/>
      <c r="N310" s="3"/>
      <c r="O310" s="3"/>
      <c r="P310" s="3"/>
      <c r="Q310" s="3"/>
      <c r="R310" s="3"/>
      <c r="S310" s="3"/>
      <c r="T310" s="3"/>
      <c r="U310" s="3"/>
      <c r="V310" s="733"/>
      <c r="W310" s="3"/>
      <c r="X310" s="3"/>
      <c r="Y310" s="3"/>
      <c r="Z310" s="3"/>
      <c r="AA310" s="3"/>
    </row>
    <row r="311" spans="1:27" ht="24.75" customHeight="1">
      <c r="A311" s="3"/>
      <c r="B311" s="3"/>
      <c r="C311" s="3"/>
      <c r="D311" s="3"/>
      <c r="E311" s="3"/>
      <c r="F311" s="3"/>
      <c r="G311" s="3"/>
      <c r="H311" s="3"/>
      <c r="I311" s="3"/>
      <c r="J311" s="3"/>
      <c r="K311" s="3"/>
      <c r="L311" s="3"/>
      <c r="M311" s="3"/>
      <c r="N311" s="3"/>
      <c r="O311" s="3"/>
      <c r="P311" s="3"/>
      <c r="Q311" s="3"/>
      <c r="R311" s="3"/>
      <c r="S311" s="3"/>
      <c r="T311" s="3"/>
      <c r="U311" s="3"/>
      <c r="V311" s="733"/>
      <c r="W311" s="3"/>
      <c r="X311" s="3"/>
      <c r="Y311" s="3"/>
      <c r="Z311" s="3"/>
      <c r="AA311" s="3"/>
    </row>
    <row r="312" spans="1:27" ht="24.75" customHeight="1">
      <c r="A312" s="3"/>
      <c r="B312" s="3"/>
      <c r="C312" s="3"/>
      <c r="D312" s="3"/>
      <c r="E312" s="3"/>
      <c r="F312" s="3"/>
      <c r="G312" s="3"/>
      <c r="H312" s="3"/>
      <c r="I312" s="3"/>
      <c r="J312" s="3"/>
      <c r="K312" s="3"/>
      <c r="L312" s="3"/>
      <c r="M312" s="3"/>
      <c r="N312" s="3"/>
      <c r="O312" s="3"/>
      <c r="P312" s="3"/>
      <c r="Q312" s="3"/>
      <c r="R312" s="3"/>
      <c r="S312" s="3"/>
      <c r="T312" s="3"/>
      <c r="U312" s="3"/>
      <c r="V312" s="733"/>
      <c r="W312" s="3"/>
      <c r="X312" s="3"/>
      <c r="Y312" s="3"/>
      <c r="Z312" s="3"/>
      <c r="AA312" s="3"/>
    </row>
    <row r="313" spans="1:27" ht="24.75" customHeight="1">
      <c r="A313" s="3"/>
      <c r="B313" s="3"/>
      <c r="C313" s="3"/>
      <c r="D313" s="3"/>
      <c r="E313" s="3"/>
      <c r="F313" s="3"/>
      <c r="G313" s="3"/>
      <c r="H313" s="3"/>
      <c r="I313" s="3"/>
      <c r="J313" s="3"/>
      <c r="K313" s="3"/>
      <c r="L313" s="3"/>
      <c r="M313" s="3"/>
      <c r="N313" s="3"/>
      <c r="O313" s="3"/>
      <c r="P313" s="3"/>
      <c r="Q313" s="3"/>
      <c r="R313" s="3"/>
      <c r="S313" s="3"/>
      <c r="T313" s="3"/>
      <c r="U313" s="3"/>
      <c r="V313" s="733"/>
      <c r="W313" s="3"/>
      <c r="X313" s="3"/>
      <c r="Y313" s="3"/>
      <c r="Z313" s="3"/>
      <c r="AA313" s="3"/>
    </row>
    <row r="314" spans="1:27" ht="24.75" customHeight="1">
      <c r="A314" s="3"/>
      <c r="B314" s="3"/>
      <c r="C314" s="3"/>
      <c r="D314" s="3"/>
      <c r="E314" s="3"/>
      <c r="F314" s="3"/>
      <c r="G314" s="3"/>
      <c r="H314" s="3"/>
      <c r="I314" s="3"/>
      <c r="J314" s="3"/>
      <c r="K314" s="3"/>
      <c r="L314" s="3"/>
      <c r="M314" s="3"/>
      <c r="N314" s="3"/>
      <c r="O314" s="3"/>
      <c r="P314" s="3"/>
      <c r="Q314" s="3"/>
      <c r="R314" s="3"/>
      <c r="S314" s="3"/>
      <c r="T314" s="3"/>
      <c r="U314" s="3"/>
      <c r="V314" s="733"/>
      <c r="W314" s="3"/>
      <c r="X314" s="3"/>
      <c r="Y314" s="3"/>
      <c r="Z314" s="3"/>
      <c r="AA314" s="3"/>
    </row>
    <row r="315" spans="1:27" ht="24.75" customHeight="1">
      <c r="A315" s="3"/>
      <c r="B315" s="3"/>
      <c r="C315" s="3"/>
      <c r="D315" s="3"/>
      <c r="E315" s="3"/>
      <c r="F315" s="3"/>
      <c r="G315" s="3"/>
      <c r="H315" s="3"/>
      <c r="I315" s="3"/>
      <c r="J315" s="3"/>
      <c r="K315" s="3"/>
      <c r="L315" s="3"/>
      <c r="M315" s="3"/>
      <c r="N315" s="3"/>
      <c r="O315" s="3"/>
      <c r="P315" s="3"/>
      <c r="Q315" s="3"/>
      <c r="R315" s="3"/>
      <c r="S315" s="3"/>
      <c r="T315" s="3"/>
      <c r="U315" s="3"/>
      <c r="V315" s="733"/>
      <c r="W315" s="3"/>
      <c r="X315" s="3"/>
      <c r="Y315" s="3"/>
      <c r="Z315" s="3"/>
      <c r="AA315" s="3"/>
    </row>
    <row r="316" spans="1:27" ht="24.75" customHeight="1">
      <c r="A316" s="3"/>
      <c r="B316" s="3"/>
      <c r="C316" s="3"/>
      <c r="D316" s="3"/>
      <c r="E316" s="3"/>
      <c r="F316" s="3"/>
      <c r="G316" s="3"/>
      <c r="H316" s="3"/>
      <c r="I316" s="3"/>
      <c r="J316" s="3"/>
      <c r="K316" s="3"/>
      <c r="L316" s="3"/>
      <c r="M316" s="3"/>
      <c r="N316" s="3"/>
      <c r="O316" s="3"/>
      <c r="P316" s="3"/>
      <c r="Q316" s="3"/>
      <c r="R316" s="3"/>
      <c r="S316" s="3"/>
      <c r="T316" s="3"/>
      <c r="U316" s="3"/>
      <c r="V316" s="733"/>
      <c r="W316" s="3"/>
      <c r="X316" s="3"/>
      <c r="Y316" s="3"/>
      <c r="Z316" s="3"/>
      <c r="AA316" s="3"/>
    </row>
    <row r="317" spans="1:27" ht="24.75" customHeight="1">
      <c r="A317" s="3"/>
      <c r="B317" s="3"/>
      <c r="C317" s="3"/>
      <c r="D317" s="3"/>
      <c r="E317" s="3"/>
      <c r="F317" s="3"/>
      <c r="G317" s="3"/>
      <c r="H317" s="3"/>
      <c r="I317" s="3"/>
      <c r="J317" s="3"/>
      <c r="K317" s="3"/>
      <c r="L317" s="3"/>
      <c r="M317" s="3"/>
      <c r="N317" s="3"/>
      <c r="O317" s="3"/>
      <c r="P317" s="3"/>
      <c r="Q317" s="3"/>
      <c r="R317" s="3"/>
      <c r="S317" s="3"/>
      <c r="T317" s="3"/>
      <c r="U317" s="3"/>
      <c r="V317" s="733"/>
      <c r="W317" s="3"/>
      <c r="X317" s="3"/>
      <c r="Y317" s="3"/>
      <c r="Z317" s="3"/>
      <c r="AA317" s="3"/>
    </row>
    <row r="318" spans="1:27" ht="24.75" customHeight="1">
      <c r="A318" s="3"/>
      <c r="B318" s="3"/>
      <c r="C318" s="3"/>
      <c r="D318" s="3"/>
      <c r="E318" s="3"/>
      <c r="F318" s="3"/>
      <c r="G318" s="3"/>
      <c r="H318" s="3"/>
      <c r="I318" s="3"/>
      <c r="J318" s="3"/>
      <c r="K318" s="3"/>
      <c r="L318" s="3"/>
      <c r="M318" s="3"/>
      <c r="N318" s="3"/>
      <c r="O318" s="3"/>
      <c r="P318" s="3"/>
      <c r="Q318" s="3"/>
      <c r="R318" s="3"/>
      <c r="S318" s="3"/>
      <c r="T318" s="3"/>
      <c r="U318" s="3"/>
      <c r="V318" s="733"/>
      <c r="W318" s="3"/>
      <c r="X318" s="3"/>
      <c r="Y318" s="3"/>
      <c r="Z318" s="3"/>
      <c r="AA318" s="3"/>
    </row>
    <row r="319" spans="1:27" ht="24.75" customHeight="1">
      <c r="A319" s="3"/>
      <c r="B319" s="3"/>
      <c r="C319" s="3"/>
      <c r="D319" s="3"/>
      <c r="E319" s="3"/>
      <c r="F319" s="3"/>
      <c r="G319" s="3"/>
      <c r="H319" s="3"/>
      <c r="I319" s="3"/>
      <c r="J319" s="3"/>
      <c r="K319" s="3"/>
      <c r="L319" s="3"/>
      <c r="M319" s="3"/>
      <c r="N319" s="3"/>
      <c r="O319" s="3"/>
      <c r="P319" s="3"/>
      <c r="Q319" s="3"/>
      <c r="R319" s="3"/>
      <c r="S319" s="3"/>
      <c r="T319" s="3"/>
      <c r="U319" s="3"/>
      <c r="V319" s="733"/>
      <c r="W319" s="3"/>
      <c r="X319" s="3"/>
      <c r="Y319" s="3"/>
      <c r="Z319" s="3"/>
      <c r="AA319" s="3"/>
    </row>
    <row r="320" spans="1:27" ht="24.75" customHeight="1">
      <c r="A320" s="3"/>
      <c r="B320" s="3"/>
      <c r="C320" s="3"/>
      <c r="D320" s="3"/>
      <c r="E320" s="3"/>
      <c r="F320" s="3"/>
      <c r="G320" s="3"/>
      <c r="H320" s="3"/>
      <c r="I320" s="3"/>
      <c r="J320" s="3"/>
      <c r="K320" s="3"/>
      <c r="L320" s="3"/>
      <c r="M320" s="3"/>
      <c r="N320" s="3"/>
      <c r="O320" s="3"/>
      <c r="P320" s="3"/>
      <c r="Q320" s="3"/>
      <c r="R320" s="3"/>
      <c r="S320" s="3"/>
      <c r="T320" s="3"/>
      <c r="U320" s="3"/>
      <c r="V320" s="733"/>
      <c r="W320" s="3"/>
      <c r="X320" s="3"/>
      <c r="Y320" s="3"/>
      <c r="Z320" s="3"/>
      <c r="AA320" s="3"/>
    </row>
    <row r="321" spans="1:27" ht="24.75" customHeight="1">
      <c r="A321" s="3"/>
      <c r="B321" s="3"/>
      <c r="C321" s="3"/>
      <c r="D321" s="3"/>
      <c r="E321" s="3"/>
      <c r="F321" s="3"/>
      <c r="G321" s="3"/>
      <c r="H321" s="3"/>
      <c r="I321" s="3"/>
      <c r="J321" s="3"/>
      <c r="K321" s="3"/>
      <c r="L321" s="3"/>
      <c r="M321" s="3"/>
      <c r="N321" s="3"/>
      <c r="O321" s="3"/>
      <c r="P321" s="3"/>
      <c r="Q321" s="3"/>
      <c r="R321" s="3"/>
      <c r="S321" s="3"/>
      <c r="T321" s="3"/>
      <c r="U321" s="3"/>
      <c r="V321" s="733"/>
      <c r="W321" s="3"/>
      <c r="X321" s="3"/>
      <c r="Y321" s="3"/>
      <c r="Z321" s="3"/>
      <c r="AA321" s="3"/>
    </row>
    <row r="322" spans="1:27" ht="24.75" customHeight="1">
      <c r="A322" s="3"/>
      <c r="B322" s="3"/>
      <c r="C322" s="3"/>
      <c r="D322" s="3"/>
      <c r="E322" s="3"/>
      <c r="F322" s="3"/>
      <c r="G322" s="3"/>
      <c r="H322" s="3"/>
      <c r="I322" s="3"/>
      <c r="J322" s="3"/>
      <c r="K322" s="3"/>
      <c r="L322" s="3"/>
      <c r="M322" s="3"/>
      <c r="N322" s="3"/>
      <c r="O322" s="3"/>
      <c r="P322" s="3"/>
      <c r="Q322" s="3"/>
      <c r="R322" s="3"/>
      <c r="S322" s="3"/>
      <c r="T322" s="3"/>
      <c r="U322" s="3"/>
      <c r="V322" s="733"/>
      <c r="W322" s="3"/>
      <c r="X322" s="3"/>
      <c r="Y322" s="3"/>
      <c r="Z322" s="3"/>
      <c r="AA322" s="3"/>
    </row>
    <row r="323" spans="1:27" ht="24.75" customHeight="1">
      <c r="A323" s="3"/>
      <c r="B323" s="3"/>
      <c r="C323" s="3"/>
      <c r="D323" s="3"/>
      <c r="E323" s="3"/>
      <c r="F323" s="3"/>
      <c r="G323" s="3"/>
      <c r="H323" s="3"/>
      <c r="I323" s="3"/>
      <c r="J323" s="3"/>
      <c r="K323" s="3"/>
      <c r="L323" s="3"/>
      <c r="M323" s="3"/>
      <c r="N323" s="3"/>
      <c r="O323" s="3"/>
      <c r="P323" s="3"/>
      <c r="Q323" s="3"/>
      <c r="R323" s="3"/>
      <c r="S323" s="3"/>
      <c r="T323" s="3"/>
      <c r="U323" s="3"/>
      <c r="V323" s="733"/>
      <c r="W323" s="3"/>
      <c r="X323" s="3"/>
      <c r="Y323" s="3"/>
      <c r="Z323" s="3"/>
      <c r="AA323" s="3"/>
    </row>
    <row r="324" spans="1:27" ht="24.75" customHeight="1">
      <c r="A324" s="3"/>
      <c r="B324" s="3"/>
      <c r="C324" s="3"/>
      <c r="D324" s="3"/>
      <c r="E324" s="3"/>
      <c r="F324" s="3"/>
      <c r="G324" s="3"/>
      <c r="H324" s="3"/>
      <c r="I324" s="3"/>
      <c r="J324" s="3"/>
      <c r="K324" s="3"/>
      <c r="L324" s="3"/>
      <c r="M324" s="3"/>
      <c r="N324" s="3"/>
      <c r="O324" s="3"/>
      <c r="P324" s="3"/>
      <c r="Q324" s="3"/>
      <c r="R324" s="3"/>
      <c r="S324" s="3"/>
      <c r="T324" s="3"/>
      <c r="U324" s="3"/>
      <c r="V324" s="733"/>
      <c r="W324" s="3"/>
      <c r="X324" s="3"/>
      <c r="Y324" s="3"/>
      <c r="Z324" s="3"/>
      <c r="AA324" s="3"/>
    </row>
    <row r="325" spans="1:27" ht="24.75" customHeight="1">
      <c r="A325" s="3"/>
      <c r="B325" s="3"/>
      <c r="C325" s="3"/>
      <c r="D325" s="3"/>
      <c r="E325" s="3"/>
      <c r="F325" s="3"/>
      <c r="G325" s="3"/>
      <c r="H325" s="3"/>
      <c r="I325" s="3"/>
      <c r="J325" s="3"/>
      <c r="K325" s="3"/>
      <c r="L325" s="3"/>
      <c r="M325" s="3"/>
      <c r="N325" s="3"/>
      <c r="O325" s="3"/>
      <c r="P325" s="3"/>
      <c r="Q325" s="3"/>
      <c r="R325" s="3"/>
      <c r="S325" s="3"/>
      <c r="T325" s="3"/>
      <c r="U325" s="3"/>
      <c r="V325" s="733"/>
      <c r="W325" s="3"/>
      <c r="X325" s="3"/>
      <c r="Y325" s="3"/>
      <c r="Z325" s="3"/>
      <c r="AA325" s="3"/>
    </row>
    <row r="326" spans="1:27" ht="24.75" customHeight="1">
      <c r="A326" s="3"/>
      <c r="B326" s="3"/>
      <c r="C326" s="3"/>
      <c r="D326" s="3"/>
      <c r="E326" s="3"/>
      <c r="F326" s="3"/>
      <c r="G326" s="3"/>
      <c r="H326" s="3"/>
      <c r="I326" s="3"/>
      <c r="J326" s="3"/>
      <c r="K326" s="3"/>
      <c r="L326" s="3"/>
      <c r="M326" s="3"/>
      <c r="N326" s="3"/>
      <c r="O326" s="3"/>
      <c r="P326" s="3"/>
      <c r="Q326" s="3"/>
      <c r="R326" s="3"/>
      <c r="S326" s="3"/>
      <c r="T326" s="3"/>
      <c r="U326" s="3"/>
      <c r="V326" s="733"/>
      <c r="W326" s="3"/>
      <c r="X326" s="3"/>
      <c r="Y326" s="3"/>
      <c r="Z326" s="3"/>
      <c r="AA326" s="3"/>
    </row>
    <row r="327" spans="1:27" ht="24.75" customHeight="1">
      <c r="A327" s="3"/>
      <c r="B327" s="3"/>
      <c r="C327" s="3"/>
      <c r="D327" s="3"/>
      <c r="E327" s="3"/>
      <c r="F327" s="3"/>
      <c r="G327" s="3"/>
      <c r="H327" s="3"/>
      <c r="I327" s="3"/>
      <c r="J327" s="3"/>
      <c r="K327" s="3"/>
      <c r="L327" s="3"/>
      <c r="M327" s="3"/>
      <c r="N327" s="3"/>
      <c r="O327" s="3"/>
      <c r="P327" s="3"/>
      <c r="Q327" s="3"/>
      <c r="R327" s="3"/>
      <c r="S327" s="3"/>
      <c r="T327" s="3"/>
      <c r="U327" s="3"/>
      <c r="V327" s="733"/>
      <c r="W327" s="3"/>
      <c r="X327" s="3"/>
      <c r="Y327" s="3"/>
      <c r="Z327" s="3"/>
      <c r="AA327" s="3"/>
    </row>
    <row r="328" spans="1:27" ht="24.75" customHeight="1">
      <c r="A328" s="3"/>
      <c r="B328" s="3"/>
      <c r="C328" s="3"/>
      <c r="D328" s="3"/>
      <c r="E328" s="3"/>
      <c r="F328" s="3"/>
      <c r="G328" s="3"/>
      <c r="H328" s="3"/>
      <c r="I328" s="3"/>
      <c r="J328" s="3"/>
      <c r="K328" s="3"/>
      <c r="L328" s="3"/>
      <c r="M328" s="3"/>
      <c r="N328" s="3"/>
      <c r="O328" s="3"/>
      <c r="P328" s="3"/>
      <c r="Q328" s="3"/>
      <c r="R328" s="3"/>
      <c r="S328" s="3"/>
      <c r="T328" s="3"/>
      <c r="U328" s="3"/>
      <c r="V328" s="733"/>
      <c r="W328" s="3"/>
      <c r="X328" s="3"/>
      <c r="Y328" s="3"/>
      <c r="Z328" s="3"/>
      <c r="AA328" s="3"/>
    </row>
    <row r="329" spans="1:27" ht="24.75" customHeight="1">
      <c r="A329" s="3"/>
      <c r="B329" s="3"/>
      <c r="C329" s="3"/>
      <c r="D329" s="3"/>
      <c r="E329" s="3"/>
      <c r="F329" s="3"/>
      <c r="G329" s="3"/>
      <c r="H329" s="3"/>
      <c r="I329" s="3"/>
      <c r="J329" s="3"/>
      <c r="K329" s="3"/>
      <c r="L329" s="3"/>
      <c r="M329" s="3"/>
      <c r="N329" s="3"/>
      <c r="O329" s="3"/>
      <c r="P329" s="3"/>
      <c r="Q329" s="3"/>
      <c r="R329" s="3"/>
      <c r="S329" s="3"/>
      <c r="T329" s="3"/>
      <c r="U329" s="3"/>
      <c r="V329" s="733"/>
      <c r="W329" s="3"/>
      <c r="X329" s="3"/>
      <c r="Y329" s="3"/>
      <c r="Z329" s="3"/>
      <c r="AA329" s="3"/>
    </row>
    <row r="330" spans="1:27" ht="24.75" customHeight="1">
      <c r="A330" s="3"/>
      <c r="B330" s="3"/>
      <c r="C330" s="3"/>
      <c r="D330" s="3"/>
      <c r="E330" s="3"/>
      <c r="F330" s="3"/>
      <c r="G330" s="3"/>
      <c r="H330" s="3"/>
      <c r="I330" s="3"/>
      <c r="J330" s="3"/>
      <c r="K330" s="3"/>
      <c r="L330" s="3"/>
      <c r="M330" s="3"/>
      <c r="N330" s="3"/>
      <c r="O330" s="3"/>
      <c r="P330" s="3"/>
      <c r="Q330" s="3"/>
      <c r="R330" s="3"/>
      <c r="S330" s="3"/>
      <c r="T330" s="3"/>
      <c r="U330" s="3"/>
      <c r="V330" s="733"/>
      <c r="W330" s="3"/>
      <c r="X330" s="3"/>
      <c r="Y330" s="3"/>
      <c r="Z330" s="3"/>
      <c r="AA330" s="3"/>
    </row>
    <row r="331" spans="1:27" ht="24.75" customHeight="1">
      <c r="A331" s="3"/>
      <c r="B331" s="3"/>
      <c r="C331" s="3"/>
      <c r="D331" s="3"/>
      <c r="E331" s="3"/>
      <c r="F331" s="3"/>
      <c r="G331" s="3"/>
      <c r="H331" s="3"/>
      <c r="I331" s="3"/>
      <c r="J331" s="3"/>
      <c r="K331" s="3"/>
      <c r="L331" s="3"/>
      <c r="M331" s="3"/>
      <c r="N331" s="3"/>
      <c r="O331" s="3"/>
      <c r="P331" s="3"/>
      <c r="Q331" s="3"/>
      <c r="R331" s="3"/>
      <c r="S331" s="3"/>
      <c r="T331" s="3"/>
      <c r="U331" s="3"/>
      <c r="V331" s="733"/>
      <c r="W331" s="3"/>
      <c r="X331" s="3"/>
      <c r="Y331" s="3"/>
      <c r="Z331" s="3"/>
      <c r="AA331" s="3"/>
    </row>
    <row r="332" spans="1:27" ht="24.75" customHeight="1">
      <c r="A332" s="3"/>
      <c r="B332" s="3"/>
      <c r="C332" s="3"/>
      <c r="D332" s="3"/>
      <c r="E332" s="3"/>
      <c r="F332" s="3"/>
      <c r="G332" s="3"/>
      <c r="H332" s="3"/>
      <c r="I332" s="3"/>
      <c r="J332" s="3"/>
      <c r="K332" s="3"/>
      <c r="L332" s="3"/>
      <c r="M332" s="3"/>
      <c r="N332" s="3"/>
      <c r="O332" s="3"/>
      <c r="P332" s="3"/>
      <c r="Q332" s="3"/>
      <c r="R332" s="3"/>
      <c r="S332" s="3"/>
      <c r="T332" s="3"/>
      <c r="U332" s="3"/>
      <c r="V332" s="733"/>
      <c r="W332" s="3"/>
      <c r="X332" s="3"/>
      <c r="Y332" s="3"/>
      <c r="Z332" s="3"/>
      <c r="AA332" s="3"/>
    </row>
    <row r="333" spans="1:27" ht="24.75" customHeight="1">
      <c r="A333" s="3"/>
      <c r="B333" s="3"/>
      <c r="C333" s="3"/>
      <c r="D333" s="3"/>
      <c r="E333" s="3"/>
      <c r="F333" s="3"/>
      <c r="G333" s="3"/>
      <c r="H333" s="3"/>
      <c r="I333" s="3"/>
      <c r="J333" s="3"/>
      <c r="K333" s="3"/>
      <c r="L333" s="3"/>
      <c r="M333" s="3"/>
      <c r="N333" s="3"/>
      <c r="O333" s="3"/>
      <c r="P333" s="3"/>
      <c r="Q333" s="3"/>
      <c r="R333" s="3"/>
      <c r="S333" s="3"/>
      <c r="T333" s="3"/>
      <c r="U333" s="3"/>
      <c r="V333" s="733"/>
      <c r="W333" s="3"/>
      <c r="X333" s="3"/>
      <c r="Y333" s="3"/>
      <c r="Z333" s="3"/>
      <c r="AA333" s="3"/>
    </row>
    <row r="334" spans="1:27" ht="24.75" customHeight="1">
      <c r="A334" s="3"/>
      <c r="B334" s="3"/>
      <c r="C334" s="3"/>
      <c r="D334" s="3"/>
      <c r="E334" s="3"/>
      <c r="F334" s="3"/>
      <c r="G334" s="3"/>
      <c r="H334" s="3"/>
      <c r="I334" s="3"/>
      <c r="J334" s="3"/>
      <c r="K334" s="3"/>
      <c r="L334" s="3"/>
      <c r="M334" s="3"/>
      <c r="N334" s="3"/>
      <c r="O334" s="3"/>
      <c r="P334" s="3"/>
      <c r="Q334" s="3"/>
      <c r="R334" s="3"/>
      <c r="S334" s="3"/>
      <c r="T334" s="3"/>
      <c r="U334" s="3"/>
      <c r="V334" s="733"/>
      <c r="W334" s="3"/>
      <c r="X334" s="3"/>
      <c r="Y334" s="3"/>
      <c r="Z334" s="3"/>
      <c r="AA334" s="3"/>
    </row>
    <row r="335" spans="1:27" ht="24.75" customHeight="1">
      <c r="A335" s="3"/>
      <c r="B335" s="3"/>
      <c r="C335" s="3"/>
      <c r="D335" s="3"/>
      <c r="E335" s="3"/>
      <c r="F335" s="3"/>
      <c r="G335" s="3"/>
      <c r="H335" s="3"/>
      <c r="I335" s="3"/>
      <c r="J335" s="3"/>
      <c r="K335" s="3"/>
      <c r="L335" s="3"/>
      <c r="M335" s="3"/>
      <c r="N335" s="3"/>
      <c r="O335" s="3"/>
      <c r="P335" s="3"/>
      <c r="Q335" s="3"/>
      <c r="R335" s="3"/>
      <c r="S335" s="3"/>
      <c r="T335" s="3"/>
      <c r="U335" s="3"/>
      <c r="V335" s="733"/>
      <c r="W335" s="3"/>
      <c r="X335" s="3"/>
      <c r="Y335" s="3"/>
      <c r="Z335" s="3"/>
      <c r="AA335" s="3"/>
    </row>
    <row r="336" spans="1:27" ht="24.75" customHeight="1">
      <c r="A336" s="3"/>
      <c r="B336" s="3"/>
      <c r="C336" s="3"/>
      <c r="D336" s="3"/>
      <c r="E336" s="3"/>
      <c r="F336" s="3"/>
      <c r="G336" s="3"/>
      <c r="H336" s="3"/>
      <c r="I336" s="3"/>
      <c r="J336" s="3"/>
      <c r="K336" s="3"/>
      <c r="L336" s="3"/>
      <c r="M336" s="3"/>
      <c r="N336" s="3"/>
      <c r="O336" s="3"/>
      <c r="P336" s="3"/>
      <c r="Q336" s="3"/>
      <c r="R336" s="3"/>
      <c r="S336" s="3"/>
      <c r="T336" s="3"/>
      <c r="U336" s="3"/>
      <c r="V336" s="733"/>
      <c r="W336" s="3"/>
      <c r="X336" s="3"/>
      <c r="Y336" s="3"/>
      <c r="Z336" s="3"/>
      <c r="AA336" s="3"/>
    </row>
    <row r="337" spans="1:27" ht="24.75" customHeight="1">
      <c r="A337" s="3"/>
      <c r="B337" s="3"/>
      <c r="C337" s="3"/>
      <c r="D337" s="3"/>
      <c r="E337" s="3"/>
      <c r="F337" s="3"/>
      <c r="G337" s="3"/>
      <c r="H337" s="3"/>
      <c r="I337" s="3"/>
      <c r="J337" s="3"/>
      <c r="K337" s="3"/>
      <c r="L337" s="3"/>
      <c r="M337" s="3"/>
      <c r="N337" s="3"/>
      <c r="O337" s="3"/>
      <c r="P337" s="3"/>
      <c r="Q337" s="3"/>
      <c r="R337" s="3"/>
      <c r="S337" s="3"/>
      <c r="T337" s="3"/>
      <c r="U337" s="3"/>
      <c r="V337" s="733"/>
      <c r="W337" s="3"/>
      <c r="X337" s="3"/>
      <c r="Y337" s="3"/>
      <c r="Z337" s="3"/>
      <c r="AA337" s="3"/>
    </row>
    <row r="338" spans="1:27" ht="24.75" customHeight="1">
      <c r="A338" s="3"/>
      <c r="B338" s="3"/>
      <c r="C338" s="3"/>
      <c r="D338" s="3"/>
      <c r="E338" s="3"/>
      <c r="F338" s="3"/>
      <c r="G338" s="3"/>
      <c r="H338" s="3"/>
      <c r="I338" s="3"/>
      <c r="J338" s="3"/>
      <c r="K338" s="3"/>
      <c r="L338" s="3"/>
      <c r="M338" s="3"/>
      <c r="N338" s="3"/>
      <c r="O338" s="3"/>
      <c r="P338" s="3"/>
      <c r="Q338" s="3"/>
      <c r="R338" s="3"/>
      <c r="S338" s="3"/>
      <c r="T338" s="3"/>
      <c r="U338" s="3"/>
      <c r="V338" s="733"/>
      <c r="W338" s="3"/>
      <c r="X338" s="3"/>
      <c r="Y338" s="3"/>
      <c r="Z338" s="3"/>
      <c r="AA338" s="3"/>
    </row>
    <row r="339" spans="1:27" ht="24.75" customHeight="1">
      <c r="A339" s="3"/>
      <c r="B339" s="3"/>
      <c r="C339" s="3"/>
      <c r="D339" s="3"/>
      <c r="E339" s="3"/>
      <c r="F339" s="3"/>
      <c r="G339" s="3"/>
      <c r="H339" s="3"/>
      <c r="I339" s="3"/>
      <c r="J339" s="3"/>
      <c r="K339" s="3"/>
      <c r="L339" s="3"/>
      <c r="M339" s="3"/>
      <c r="N339" s="3"/>
      <c r="O339" s="3"/>
      <c r="P339" s="3"/>
      <c r="Q339" s="3"/>
      <c r="R339" s="3"/>
      <c r="S339" s="3"/>
      <c r="T339" s="3"/>
      <c r="U339" s="3"/>
      <c r="V339" s="733"/>
      <c r="W339" s="3"/>
      <c r="X339" s="3"/>
      <c r="Y339" s="3"/>
      <c r="Z339" s="3"/>
      <c r="AA339" s="3"/>
    </row>
    <row r="340" spans="1:27" ht="24.75" customHeight="1">
      <c r="A340" s="3"/>
      <c r="B340" s="3"/>
      <c r="C340" s="3"/>
      <c r="D340" s="3"/>
      <c r="E340" s="3"/>
      <c r="F340" s="3"/>
      <c r="G340" s="3"/>
      <c r="H340" s="3"/>
      <c r="I340" s="3"/>
      <c r="J340" s="3"/>
      <c r="K340" s="3"/>
      <c r="L340" s="3"/>
      <c r="M340" s="3"/>
      <c r="N340" s="3"/>
      <c r="O340" s="3"/>
      <c r="P340" s="3"/>
      <c r="Q340" s="3"/>
      <c r="R340" s="3"/>
      <c r="S340" s="3"/>
      <c r="T340" s="3"/>
      <c r="U340" s="3"/>
      <c r="V340" s="733"/>
      <c r="W340" s="3"/>
      <c r="X340" s="3"/>
      <c r="Y340" s="3"/>
      <c r="Z340" s="3"/>
      <c r="AA340" s="3"/>
    </row>
    <row r="341" spans="1:27" ht="24.75" customHeight="1">
      <c r="A341" s="3"/>
      <c r="B341" s="3"/>
      <c r="C341" s="3"/>
      <c r="D341" s="3"/>
      <c r="E341" s="3"/>
      <c r="F341" s="3"/>
      <c r="G341" s="3"/>
      <c r="H341" s="3"/>
      <c r="I341" s="3"/>
      <c r="J341" s="3"/>
      <c r="K341" s="3"/>
      <c r="L341" s="3"/>
      <c r="M341" s="3"/>
      <c r="N341" s="3"/>
      <c r="O341" s="3"/>
      <c r="P341" s="3"/>
      <c r="Q341" s="3"/>
      <c r="R341" s="3"/>
      <c r="S341" s="3"/>
      <c r="T341" s="3"/>
      <c r="U341" s="3"/>
      <c r="V341" s="733"/>
      <c r="W341" s="3"/>
      <c r="X341" s="3"/>
      <c r="Y341" s="3"/>
      <c r="Z341" s="3"/>
      <c r="AA341" s="3"/>
    </row>
    <row r="342" spans="1:27" ht="24.75" customHeight="1">
      <c r="A342" s="3"/>
      <c r="B342" s="3"/>
      <c r="C342" s="3"/>
      <c r="D342" s="3"/>
      <c r="E342" s="3"/>
      <c r="F342" s="3"/>
      <c r="G342" s="3"/>
      <c r="H342" s="3"/>
      <c r="I342" s="3"/>
      <c r="J342" s="3"/>
      <c r="K342" s="3"/>
      <c r="L342" s="3"/>
      <c r="M342" s="3"/>
      <c r="N342" s="3"/>
      <c r="O342" s="3"/>
      <c r="P342" s="3"/>
      <c r="Q342" s="3"/>
      <c r="R342" s="3"/>
      <c r="S342" s="3"/>
      <c r="T342" s="3"/>
      <c r="U342" s="3"/>
      <c r="V342" s="733"/>
      <c r="W342" s="3"/>
      <c r="X342" s="3"/>
      <c r="Y342" s="3"/>
      <c r="Z342" s="3"/>
      <c r="AA342" s="3"/>
    </row>
    <row r="343" spans="1:27" ht="24.75" customHeight="1">
      <c r="A343" s="3"/>
      <c r="B343" s="3"/>
      <c r="C343" s="3"/>
      <c r="D343" s="3"/>
      <c r="E343" s="3"/>
      <c r="F343" s="3"/>
      <c r="G343" s="3"/>
      <c r="H343" s="3"/>
      <c r="I343" s="3"/>
      <c r="J343" s="3"/>
      <c r="K343" s="3"/>
      <c r="L343" s="3"/>
      <c r="M343" s="3"/>
      <c r="N343" s="3"/>
      <c r="O343" s="3"/>
      <c r="P343" s="3"/>
      <c r="Q343" s="3"/>
      <c r="R343" s="3"/>
      <c r="S343" s="3"/>
      <c r="T343" s="3"/>
      <c r="U343" s="3"/>
      <c r="V343" s="733"/>
      <c r="W343" s="3"/>
      <c r="X343" s="3"/>
      <c r="Y343" s="3"/>
      <c r="Z343" s="3"/>
      <c r="AA343" s="3"/>
    </row>
    <row r="344" spans="1:27" ht="24.75" customHeight="1">
      <c r="A344" s="3"/>
      <c r="B344" s="3"/>
      <c r="C344" s="3"/>
      <c r="D344" s="3"/>
      <c r="E344" s="3"/>
      <c r="F344" s="3"/>
      <c r="G344" s="3"/>
      <c r="H344" s="3"/>
      <c r="I344" s="3"/>
      <c r="J344" s="3"/>
      <c r="K344" s="3"/>
      <c r="L344" s="3"/>
      <c r="M344" s="3"/>
      <c r="N344" s="3"/>
      <c r="O344" s="3"/>
      <c r="P344" s="3"/>
      <c r="Q344" s="3"/>
      <c r="R344" s="3"/>
      <c r="S344" s="3"/>
      <c r="T344" s="3"/>
      <c r="U344" s="3"/>
      <c r="V344" s="733"/>
      <c r="W344" s="3"/>
      <c r="X344" s="3"/>
      <c r="Y344" s="3"/>
      <c r="Z344" s="3"/>
      <c r="AA344" s="3"/>
    </row>
    <row r="345" spans="1:27" ht="24.75" customHeight="1">
      <c r="A345" s="3"/>
      <c r="B345" s="3"/>
      <c r="C345" s="3"/>
      <c r="D345" s="3"/>
      <c r="E345" s="3"/>
      <c r="F345" s="3"/>
      <c r="G345" s="3"/>
      <c r="H345" s="3"/>
      <c r="I345" s="3"/>
      <c r="J345" s="3"/>
      <c r="K345" s="3"/>
      <c r="L345" s="3"/>
      <c r="M345" s="3"/>
      <c r="N345" s="3"/>
      <c r="O345" s="3"/>
      <c r="P345" s="3"/>
      <c r="Q345" s="3"/>
      <c r="R345" s="3"/>
      <c r="S345" s="3"/>
      <c r="T345" s="3"/>
      <c r="U345" s="3"/>
      <c r="V345" s="733"/>
      <c r="W345" s="3"/>
      <c r="X345" s="3"/>
      <c r="Y345" s="3"/>
      <c r="Z345" s="3"/>
      <c r="AA345" s="3"/>
    </row>
    <row r="346" spans="1:27" ht="24.75" customHeight="1">
      <c r="A346" s="3"/>
      <c r="B346" s="3"/>
      <c r="C346" s="3"/>
      <c r="D346" s="3"/>
      <c r="E346" s="3"/>
      <c r="F346" s="3"/>
      <c r="G346" s="3"/>
      <c r="H346" s="3"/>
      <c r="I346" s="3"/>
      <c r="J346" s="3"/>
      <c r="K346" s="3"/>
      <c r="L346" s="3"/>
      <c r="M346" s="3"/>
      <c r="N346" s="3"/>
      <c r="O346" s="3"/>
      <c r="P346" s="3"/>
      <c r="Q346" s="3"/>
      <c r="R346" s="3"/>
      <c r="S346" s="3"/>
      <c r="T346" s="3"/>
      <c r="U346" s="3"/>
      <c r="V346" s="733"/>
      <c r="W346" s="3"/>
      <c r="X346" s="3"/>
      <c r="Y346" s="3"/>
      <c r="Z346" s="3"/>
      <c r="AA346" s="3"/>
    </row>
    <row r="347" spans="1:27" ht="24.75" customHeight="1">
      <c r="A347" s="3"/>
      <c r="B347" s="3"/>
      <c r="C347" s="3"/>
      <c r="D347" s="3"/>
      <c r="E347" s="3"/>
      <c r="F347" s="3"/>
      <c r="G347" s="3"/>
      <c r="H347" s="3"/>
      <c r="I347" s="3"/>
      <c r="J347" s="3"/>
      <c r="K347" s="3"/>
      <c r="L347" s="3"/>
      <c r="M347" s="3"/>
      <c r="N347" s="3"/>
      <c r="O347" s="3"/>
      <c r="P347" s="3"/>
      <c r="Q347" s="3"/>
      <c r="R347" s="3"/>
      <c r="S347" s="3"/>
      <c r="T347" s="3"/>
      <c r="U347" s="3"/>
      <c r="V347" s="733"/>
      <c r="W347" s="3"/>
      <c r="X347" s="3"/>
      <c r="Y347" s="3"/>
      <c r="Z347" s="3"/>
      <c r="AA347" s="3"/>
    </row>
    <row r="348" spans="1:27" ht="24.75" customHeight="1">
      <c r="A348" s="3"/>
      <c r="B348" s="3"/>
      <c r="C348" s="3"/>
      <c r="D348" s="3"/>
      <c r="E348" s="3"/>
      <c r="F348" s="3"/>
      <c r="G348" s="3"/>
      <c r="H348" s="3"/>
      <c r="I348" s="3"/>
      <c r="J348" s="3"/>
      <c r="K348" s="3"/>
      <c r="L348" s="3"/>
      <c r="M348" s="3"/>
      <c r="N348" s="3"/>
      <c r="O348" s="3"/>
      <c r="P348" s="3"/>
      <c r="Q348" s="3"/>
      <c r="R348" s="3"/>
      <c r="S348" s="3"/>
      <c r="T348" s="3"/>
      <c r="U348" s="3"/>
      <c r="V348" s="733"/>
      <c r="W348" s="3"/>
      <c r="X348" s="3"/>
      <c r="Y348" s="3"/>
      <c r="Z348" s="3"/>
      <c r="AA348" s="3"/>
    </row>
    <row r="349" spans="1:27" ht="24.75" customHeight="1">
      <c r="A349" s="3"/>
      <c r="B349" s="3"/>
      <c r="C349" s="3"/>
      <c r="D349" s="3"/>
      <c r="E349" s="3"/>
      <c r="F349" s="3"/>
      <c r="G349" s="3"/>
      <c r="H349" s="3"/>
      <c r="I349" s="3"/>
      <c r="J349" s="3"/>
      <c r="K349" s="3"/>
      <c r="L349" s="3"/>
      <c r="M349" s="3"/>
      <c r="N349" s="3"/>
      <c r="O349" s="3"/>
      <c r="P349" s="3"/>
      <c r="Q349" s="3"/>
      <c r="R349" s="3"/>
      <c r="S349" s="3"/>
      <c r="T349" s="3"/>
      <c r="U349" s="3"/>
      <c r="V349" s="733"/>
      <c r="W349" s="3"/>
      <c r="X349" s="3"/>
      <c r="Y349" s="3"/>
      <c r="Z349" s="3"/>
      <c r="AA349" s="3"/>
    </row>
    <row r="350" spans="1:27" ht="24.75" customHeight="1">
      <c r="A350" s="3"/>
      <c r="B350" s="3"/>
      <c r="C350" s="3"/>
      <c r="D350" s="3"/>
      <c r="E350" s="3"/>
      <c r="F350" s="3"/>
      <c r="G350" s="3"/>
      <c r="H350" s="3"/>
      <c r="I350" s="3"/>
      <c r="J350" s="3"/>
      <c r="K350" s="3"/>
      <c r="L350" s="3"/>
      <c r="M350" s="3"/>
      <c r="N350" s="3"/>
      <c r="O350" s="3"/>
      <c r="P350" s="3"/>
      <c r="Q350" s="3"/>
      <c r="R350" s="3"/>
      <c r="S350" s="3"/>
      <c r="T350" s="3"/>
      <c r="U350" s="3"/>
      <c r="V350" s="733"/>
      <c r="W350" s="3"/>
      <c r="X350" s="3"/>
      <c r="Y350" s="3"/>
      <c r="Z350" s="3"/>
      <c r="AA350" s="3"/>
    </row>
    <row r="351" spans="1:27" ht="24.75" customHeight="1">
      <c r="A351" s="3"/>
      <c r="B351" s="3"/>
      <c r="C351" s="3"/>
      <c r="D351" s="3"/>
      <c r="E351" s="3"/>
      <c r="F351" s="3"/>
      <c r="G351" s="3"/>
      <c r="H351" s="3"/>
      <c r="I351" s="3"/>
      <c r="J351" s="3"/>
      <c r="K351" s="3"/>
      <c r="L351" s="3"/>
      <c r="M351" s="3"/>
      <c r="N351" s="3"/>
      <c r="O351" s="3"/>
      <c r="P351" s="3"/>
      <c r="Q351" s="3"/>
      <c r="R351" s="3"/>
      <c r="S351" s="3"/>
      <c r="T351" s="3"/>
      <c r="U351" s="3"/>
      <c r="V351" s="733"/>
      <c r="W351" s="3"/>
      <c r="X351" s="3"/>
      <c r="Y351" s="3"/>
      <c r="Z351" s="3"/>
      <c r="AA351" s="3"/>
    </row>
    <row r="352" spans="1:27" ht="24.75" customHeight="1">
      <c r="A352" s="3"/>
      <c r="B352" s="3"/>
      <c r="C352" s="3"/>
      <c r="D352" s="3"/>
      <c r="E352" s="3"/>
      <c r="F352" s="3"/>
      <c r="G352" s="3"/>
      <c r="H352" s="3"/>
      <c r="I352" s="3"/>
      <c r="J352" s="3"/>
      <c r="K352" s="3"/>
      <c r="L352" s="3"/>
      <c r="M352" s="3"/>
      <c r="N352" s="3"/>
      <c r="O352" s="3"/>
      <c r="P352" s="3"/>
      <c r="Q352" s="3"/>
      <c r="R352" s="3"/>
      <c r="S352" s="3"/>
      <c r="T352" s="3"/>
      <c r="U352" s="3"/>
      <c r="V352" s="733"/>
      <c r="W352" s="3"/>
      <c r="X352" s="3"/>
      <c r="Y352" s="3"/>
      <c r="Z352" s="3"/>
      <c r="AA352" s="3"/>
    </row>
    <row r="353" spans="1:27" ht="24.75" customHeight="1">
      <c r="A353" s="3"/>
      <c r="B353" s="3"/>
      <c r="C353" s="3"/>
      <c r="D353" s="3"/>
      <c r="E353" s="3"/>
      <c r="F353" s="3"/>
      <c r="G353" s="3"/>
      <c r="H353" s="3"/>
      <c r="I353" s="3"/>
      <c r="J353" s="3"/>
      <c r="K353" s="3"/>
      <c r="L353" s="3"/>
      <c r="M353" s="3"/>
      <c r="N353" s="3"/>
      <c r="O353" s="3"/>
      <c r="P353" s="3"/>
      <c r="Q353" s="3"/>
      <c r="R353" s="3"/>
      <c r="S353" s="3"/>
      <c r="T353" s="3"/>
      <c r="U353" s="3"/>
      <c r="V353" s="733"/>
      <c r="W353" s="3"/>
      <c r="X353" s="3"/>
      <c r="Y353" s="3"/>
      <c r="Z353" s="3"/>
      <c r="AA353" s="3"/>
    </row>
    <row r="354" spans="1:27" ht="24.75" customHeight="1">
      <c r="A354" s="3"/>
      <c r="B354" s="3"/>
      <c r="C354" s="3"/>
      <c r="D354" s="3"/>
      <c r="E354" s="3"/>
      <c r="F354" s="3"/>
      <c r="G354" s="3"/>
      <c r="H354" s="3"/>
      <c r="I354" s="3"/>
      <c r="J354" s="3"/>
      <c r="K354" s="3"/>
      <c r="L354" s="3"/>
      <c r="M354" s="3"/>
      <c r="N354" s="3"/>
      <c r="O354" s="3"/>
      <c r="P354" s="3"/>
      <c r="Q354" s="3"/>
      <c r="R354" s="3"/>
      <c r="S354" s="3"/>
      <c r="T354" s="3"/>
      <c r="U354" s="3"/>
      <c r="V354" s="733"/>
      <c r="W354" s="3"/>
      <c r="X354" s="3"/>
      <c r="Y354" s="3"/>
      <c r="Z354" s="3"/>
      <c r="AA354" s="3"/>
    </row>
    <row r="355" spans="1:27" ht="24.75" customHeight="1">
      <c r="A355" s="3"/>
      <c r="B355" s="3"/>
      <c r="C355" s="3"/>
      <c r="D355" s="3"/>
      <c r="E355" s="3"/>
      <c r="F355" s="3"/>
      <c r="G355" s="3"/>
      <c r="H355" s="3"/>
      <c r="I355" s="3"/>
      <c r="J355" s="3"/>
      <c r="K355" s="3"/>
      <c r="L355" s="3"/>
      <c r="M355" s="3"/>
      <c r="N355" s="3"/>
      <c r="O355" s="3"/>
      <c r="P355" s="3"/>
      <c r="Q355" s="3"/>
      <c r="R355" s="3"/>
      <c r="S355" s="3"/>
      <c r="T355" s="3"/>
      <c r="U355" s="3"/>
      <c r="V355" s="733"/>
      <c r="W355" s="3"/>
      <c r="X355" s="3"/>
      <c r="Y355" s="3"/>
      <c r="Z355" s="3"/>
      <c r="AA355" s="3"/>
    </row>
    <row r="356" spans="1:27" ht="24.75" customHeight="1">
      <c r="A356" s="3"/>
      <c r="B356" s="3"/>
      <c r="C356" s="3"/>
      <c r="D356" s="3"/>
      <c r="E356" s="3"/>
      <c r="F356" s="3"/>
      <c r="G356" s="3"/>
      <c r="H356" s="3"/>
      <c r="I356" s="3"/>
      <c r="J356" s="3"/>
      <c r="K356" s="3"/>
      <c r="L356" s="3"/>
      <c r="M356" s="3"/>
      <c r="N356" s="3"/>
      <c r="O356" s="3"/>
      <c r="P356" s="3"/>
      <c r="Q356" s="3"/>
      <c r="R356" s="3"/>
      <c r="S356" s="3"/>
      <c r="T356" s="3"/>
      <c r="U356" s="3"/>
      <c r="V356" s="733"/>
      <c r="W356" s="3"/>
      <c r="X356" s="3"/>
      <c r="Y356" s="3"/>
      <c r="Z356" s="3"/>
      <c r="AA356" s="3"/>
    </row>
    <row r="357" spans="1:27" ht="24.75" customHeight="1">
      <c r="A357" s="3"/>
      <c r="B357" s="3"/>
      <c r="C357" s="3"/>
      <c r="D357" s="3"/>
      <c r="E357" s="3"/>
      <c r="F357" s="3"/>
      <c r="G357" s="3"/>
      <c r="H357" s="3"/>
      <c r="I357" s="3"/>
      <c r="J357" s="3"/>
      <c r="K357" s="3"/>
      <c r="L357" s="3"/>
      <c r="M357" s="3"/>
      <c r="N357" s="3"/>
      <c r="O357" s="3"/>
      <c r="P357" s="3"/>
      <c r="Q357" s="3"/>
      <c r="R357" s="3"/>
      <c r="S357" s="3"/>
      <c r="T357" s="3"/>
      <c r="U357" s="3"/>
      <c r="V357" s="733"/>
      <c r="W357" s="3"/>
      <c r="X357" s="3"/>
      <c r="Y357" s="3"/>
      <c r="Z357" s="3"/>
      <c r="AA357" s="3"/>
    </row>
    <row r="358" spans="1:27" ht="24.75" customHeight="1">
      <c r="A358" s="3"/>
      <c r="B358" s="3"/>
      <c r="C358" s="3"/>
      <c r="D358" s="3"/>
      <c r="E358" s="3"/>
      <c r="F358" s="3"/>
      <c r="G358" s="3"/>
      <c r="H358" s="3"/>
      <c r="I358" s="3"/>
      <c r="J358" s="3"/>
      <c r="K358" s="3"/>
      <c r="L358" s="3"/>
      <c r="M358" s="3"/>
      <c r="N358" s="3"/>
      <c r="O358" s="3"/>
      <c r="P358" s="3"/>
      <c r="Q358" s="3"/>
      <c r="R358" s="3"/>
      <c r="S358" s="3"/>
      <c r="T358" s="3"/>
      <c r="U358" s="3"/>
      <c r="V358" s="733"/>
      <c r="W358" s="3"/>
      <c r="X358" s="3"/>
      <c r="Y358" s="3"/>
      <c r="Z358" s="3"/>
      <c r="AA358" s="3"/>
    </row>
    <row r="359" spans="1:27" ht="24.75" customHeight="1">
      <c r="A359" s="3"/>
      <c r="B359" s="3"/>
      <c r="C359" s="3"/>
      <c r="D359" s="3"/>
      <c r="E359" s="3"/>
      <c r="F359" s="3"/>
      <c r="G359" s="3"/>
      <c r="H359" s="3"/>
      <c r="I359" s="3"/>
      <c r="J359" s="3"/>
      <c r="K359" s="3"/>
      <c r="L359" s="3"/>
      <c r="M359" s="3"/>
      <c r="N359" s="3"/>
      <c r="O359" s="3"/>
      <c r="P359" s="3"/>
      <c r="Q359" s="3"/>
      <c r="R359" s="3"/>
      <c r="S359" s="3"/>
      <c r="T359" s="3"/>
      <c r="U359" s="3"/>
      <c r="V359" s="733"/>
      <c r="W359" s="3"/>
      <c r="X359" s="3"/>
      <c r="Y359" s="3"/>
      <c r="Z359" s="3"/>
      <c r="AA359" s="3"/>
    </row>
    <row r="360" spans="1:27" ht="24.75" customHeight="1">
      <c r="A360" s="3"/>
      <c r="B360" s="3"/>
      <c r="C360" s="3"/>
      <c r="D360" s="3"/>
      <c r="E360" s="3"/>
      <c r="F360" s="3"/>
      <c r="G360" s="3"/>
      <c r="H360" s="3"/>
      <c r="I360" s="3"/>
      <c r="J360" s="3"/>
      <c r="K360" s="3"/>
      <c r="L360" s="3"/>
      <c r="M360" s="3"/>
      <c r="N360" s="3"/>
      <c r="O360" s="3"/>
      <c r="P360" s="3"/>
      <c r="Q360" s="3"/>
      <c r="R360" s="3"/>
      <c r="S360" s="3"/>
      <c r="T360" s="3"/>
      <c r="U360" s="3"/>
      <c r="V360" s="733"/>
      <c r="W360" s="3"/>
      <c r="X360" s="3"/>
      <c r="Y360" s="3"/>
      <c r="Z360" s="3"/>
      <c r="AA360" s="3"/>
    </row>
    <row r="361" spans="1:27" ht="24.75" customHeight="1">
      <c r="A361" s="3"/>
      <c r="B361" s="3"/>
      <c r="C361" s="3"/>
      <c r="D361" s="3"/>
      <c r="E361" s="3"/>
      <c r="F361" s="3"/>
      <c r="G361" s="3"/>
      <c r="H361" s="3"/>
      <c r="I361" s="3"/>
      <c r="J361" s="3"/>
      <c r="K361" s="3"/>
      <c r="L361" s="3"/>
      <c r="M361" s="3"/>
      <c r="N361" s="3"/>
      <c r="O361" s="3"/>
      <c r="P361" s="3"/>
      <c r="Q361" s="3"/>
      <c r="R361" s="3"/>
      <c r="S361" s="3"/>
      <c r="T361" s="3"/>
      <c r="U361" s="3"/>
      <c r="V361" s="733"/>
      <c r="W361" s="3"/>
      <c r="X361" s="3"/>
      <c r="Y361" s="3"/>
      <c r="Z361" s="3"/>
      <c r="AA361" s="3"/>
    </row>
    <row r="362" spans="1:27" ht="24.75" customHeight="1">
      <c r="A362" s="3"/>
      <c r="B362" s="3"/>
      <c r="C362" s="3"/>
      <c r="D362" s="3"/>
      <c r="E362" s="3"/>
      <c r="F362" s="3"/>
      <c r="G362" s="3"/>
      <c r="H362" s="3"/>
      <c r="I362" s="3"/>
      <c r="J362" s="3"/>
      <c r="K362" s="3"/>
      <c r="L362" s="3"/>
      <c r="M362" s="3"/>
      <c r="N362" s="3"/>
      <c r="O362" s="3"/>
      <c r="P362" s="3"/>
      <c r="Q362" s="3"/>
      <c r="R362" s="3"/>
      <c r="S362" s="3"/>
      <c r="T362" s="3"/>
      <c r="U362" s="3"/>
      <c r="V362" s="733"/>
      <c r="W362" s="3"/>
      <c r="X362" s="3"/>
      <c r="Y362" s="3"/>
      <c r="Z362" s="3"/>
      <c r="AA362" s="3"/>
    </row>
    <row r="363" spans="1:27" ht="24.75" customHeight="1">
      <c r="A363" s="3"/>
      <c r="B363" s="3"/>
      <c r="C363" s="3"/>
      <c r="D363" s="3"/>
      <c r="E363" s="3"/>
      <c r="F363" s="3"/>
      <c r="G363" s="3"/>
      <c r="H363" s="3"/>
      <c r="I363" s="3"/>
      <c r="J363" s="3"/>
      <c r="K363" s="3"/>
      <c r="L363" s="3"/>
      <c r="M363" s="3"/>
      <c r="N363" s="3"/>
      <c r="O363" s="3"/>
      <c r="P363" s="3"/>
      <c r="Q363" s="3"/>
      <c r="R363" s="3"/>
      <c r="S363" s="3"/>
      <c r="T363" s="3"/>
      <c r="U363" s="3"/>
      <c r="V363" s="733"/>
      <c r="W363" s="3"/>
      <c r="X363" s="3"/>
      <c r="Y363" s="3"/>
      <c r="Z363" s="3"/>
      <c r="AA363" s="3"/>
    </row>
    <row r="364" spans="1:27" ht="24.75" customHeight="1">
      <c r="A364" s="3"/>
      <c r="B364" s="3"/>
      <c r="C364" s="3"/>
      <c r="D364" s="3"/>
      <c r="E364" s="3"/>
      <c r="F364" s="3"/>
      <c r="G364" s="3"/>
      <c r="H364" s="3"/>
      <c r="I364" s="3"/>
      <c r="J364" s="3"/>
      <c r="K364" s="3"/>
      <c r="L364" s="3"/>
      <c r="M364" s="3"/>
      <c r="N364" s="3"/>
      <c r="O364" s="3"/>
      <c r="P364" s="3"/>
      <c r="Q364" s="3"/>
      <c r="R364" s="3"/>
      <c r="S364" s="3"/>
      <c r="T364" s="3"/>
      <c r="U364" s="3"/>
      <c r="V364" s="733"/>
      <c r="W364" s="3"/>
      <c r="X364" s="3"/>
      <c r="Y364" s="3"/>
      <c r="Z364" s="3"/>
      <c r="AA364" s="3"/>
    </row>
    <row r="365" spans="1:27" ht="24.75" customHeight="1">
      <c r="A365" s="3"/>
      <c r="B365" s="3"/>
      <c r="C365" s="3"/>
      <c r="D365" s="3"/>
      <c r="E365" s="3"/>
      <c r="F365" s="3"/>
      <c r="G365" s="3"/>
      <c r="H365" s="3"/>
      <c r="I365" s="3"/>
      <c r="J365" s="3"/>
      <c r="K365" s="3"/>
      <c r="L365" s="3"/>
      <c r="M365" s="3"/>
      <c r="N365" s="3"/>
      <c r="O365" s="3"/>
      <c r="P365" s="3"/>
      <c r="Q365" s="3"/>
      <c r="R365" s="3"/>
      <c r="S365" s="3"/>
      <c r="T365" s="3"/>
      <c r="U365" s="3"/>
      <c r="V365" s="733"/>
      <c r="W365" s="3"/>
      <c r="X365" s="3"/>
      <c r="Y365" s="3"/>
      <c r="Z365" s="3"/>
      <c r="AA365" s="3"/>
    </row>
    <row r="366" spans="1:27" ht="24.75" customHeight="1">
      <c r="A366" s="3"/>
      <c r="B366" s="3"/>
      <c r="C366" s="3"/>
      <c r="D366" s="3"/>
      <c r="E366" s="3"/>
      <c r="F366" s="3"/>
      <c r="G366" s="3"/>
      <c r="H366" s="3"/>
      <c r="I366" s="3"/>
      <c r="J366" s="3"/>
      <c r="K366" s="3"/>
      <c r="L366" s="3"/>
      <c r="M366" s="3"/>
      <c r="N366" s="3"/>
      <c r="O366" s="3"/>
      <c r="P366" s="3"/>
      <c r="Q366" s="3"/>
      <c r="R366" s="3"/>
      <c r="S366" s="3"/>
      <c r="T366" s="3"/>
      <c r="U366" s="3"/>
      <c r="V366" s="733"/>
      <c r="W366" s="3"/>
      <c r="X366" s="3"/>
      <c r="Y366" s="3"/>
      <c r="Z366" s="3"/>
      <c r="AA366" s="3"/>
    </row>
    <row r="367" spans="1:27" ht="24.75" customHeight="1">
      <c r="A367" s="3"/>
      <c r="B367" s="3"/>
      <c r="C367" s="3"/>
      <c r="D367" s="3"/>
      <c r="E367" s="3"/>
      <c r="F367" s="3"/>
      <c r="G367" s="3"/>
      <c r="H367" s="3"/>
      <c r="I367" s="3"/>
      <c r="J367" s="3"/>
      <c r="K367" s="3"/>
      <c r="L367" s="3"/>
      <c r="M367" s="3"/>
      <c r="N367" s="3"/>
      <c r="O367" s="3"/>
      <c r="P367" s="3"/>
      <c r="Q367" s="3"/>
      <c r="R367" s="3"/>
      <c r="S367" s="3"/>
      <c r="T367" s="3"/>
      <c r="U367" s="3"/>
      <c r="V367" s="733"/>
      <c r="W367" s="3"/>
      <c r="X367" s="3"/>
      <c r="Y367" s="3"/>
      <c r="Z367" s="3"/>
      <c r="AA367" s="3"/>
    </row>
    <row r="368" spans="1:27" ht="24.75" customHeight="1">
      <c r="A368" s="3"/>
      <c r="B368" s="3"/>
      <c r="C368" s="3"/>
      <c r="D368" s="3"/>
      <c r="E368" s="3"/>
      <c r="F368" s="3"/>
      <c r="G368" s="3"/>
      <c r="H368" s="3"/>
      <c r="I368" s="3"/>
      <c r="J368" s="3"/>
      <c r="K368" s="3"/>
      <c r="L368" s="3"/>
      <c r="M368" s="3"/>
      <c r="N368" s="3"/>
      <c r="O368" s="3"/>
      <c r="P368" s="3"/>
      <c r="Q368" s="3"/>
      <c r="R368" s="3"/>
      <c r="S368" s="3"/>
      <c r="T368" s="3"/>
      <c r="U368" s="3"/>
      <c r="V368" s="733"/>
      <c r="W368" s="3"/>
      <c r="X368" s="3"/>
      <c r="Y368" s="3"/>
      <c r="Z368" s="3"/>
      <c r="AA368" s="3"/>
    </row>
    <row r="369" spans="1:27" ht="24.75" customHeight="1">
      <c r="A369" s="3"/>
      <c r="B369" s="3"/>
      <c r="C369" s="3"/>
      <c r="D369" s="3"/>
      <c r="E369" s="3"/>
      <c r="F369" s="3"/>
      <c r="G369" s="3"/>
      <c r="H369" s="3"/>
      <c r="I369" s="3"/>
      <c r="J369" s="3"/>
      <c r="K369" s="3"/>
      <c r="L369" s="3"/>
      <c r="M369" s="3"/>
      <c r="N369" s="3"/>
      <c r="O369" s="3"/>
      <c r="P369" s="3"/>
      <c r="Q369" s="3"/>
      <c r="R369" s="3"/>
      <c r="S369" s="3"/>
      <c r="T369" s="3"/>
      <c r="U369" s="3"/>
      <c r="V369" s="733"/>
      <c r="W369" s="3"/>
      <c r="X369" s="3"/>
      <c r="Y369" s="3"/>
      <c r="Z369" s="3"/>
      <c r="AA369" s="3"/>
    </row>
    <row r="370" spans="1:27" ht="24.75" customHeight="1">
      <c r="A370" s="3"/>
      <c r="B370" s="3"/>
      <c r="C370" s="3"/>
      <c r="D370" s="3"/>
      <c r="E370" s="3"/>
      <c r="F370" s="3"/>
      <c r="G370" s="3"/>
      <c r="H370" s="3"/>
      <c r="I370" s="3"/>
      <c r="J370" s="3"/>
      <c r="K370" s="3"/>
      <c r="L370" s="3"/>
      <c r="M370" s="3"/>
      <c r="N370" s="3"/>
      <c r="O370" s="3"/>
      <c r="P370" s="3"/>
      <c r="Q370" s="3"/>
      <c r="R370" s="3"/>
      <c r="S370" s="3"/>
      <c r="T370" s="3"/>
      <c r="U370" s="3"/>
      <c r="V370" s="733"/>
      <c r="W370" s="3"/>
      <c r="X370" s="3"/>
      <c r="Y370" s="3"/>
      <c r="Z370" s="3"/>
      <c r="AA370" s="3"/>
    </row>
    <row r="371" spans="1:27" ht="24.75" customHeight="1">
      <c r="A371" s="3"/>
      <c r="B371" s="3"/>
      <c r="C371" s="3"/>
      <c r="D371" s="3"/>
      <c r="E371" s="3"/>
      <c r="F371" s="3"/>
      <c r="G371" s="3"/>
      <c r="H371" s="3"/>
      <c r="I371" s="3"/>
      <c r="J371" s="3"/>
      <c r="K371" s="3"/>
      <c r="L371" s="3"/>
      <c r="M371" s="3"/>
      <c r="N371" s="3"/>
      <c r="O371" s="3"/>
      <c r="P371" s="3"/>
      <c r="Q371" s="3"/>
      <c r="R371" s="3"/>
      <c r="S371" s="3"/>
      <c r="T371" s="3"/>
      <c r="U371" s="3"/>
      <c r="V371" s="733"/>
      <c r="W371" s="3"/>
      <c r="X371" s="3"/>
      <c r="Y371" s="3"/>
      <c r="Z371" s="3"/>
      <c r="AA371" s="3"/>
    </row>
    <row r="372" spans="1:27" ht="24.75" customHeight="1">
      <c r="A372" s="3"/>
      <c r="B372" s="3"/>
      <c r="C372" s="3"/>
      <c r="D372" s="3"/>
      <c r="E372" s="3"/>
      <c r="F372" s="3"/>
      <c r="G372" s="3"/>
      <c r="H372" s="3"/>
      <c r="I372" s="3"/>
      <c r="J372" s="3"/>
      <c r="K372" s="3"/>
      <c r="L372" s="3"/>
      <c r="M372" s="3"/>
      <c r="N372" s="3"/>
      <c r="O372" s="3"/>
      <c r="P372" s="3"/>
      <c r="Q372" s="3"/>
      <c r="R372" s="3"/>
      <c r="S372" s="3"/>
      <c r="T372" s="3"/>
      <c r="U372" s="3"/>
      <c r="V372" s="733"/>
      <c r="W372" s="3"/>
      <c r="X372" s="3"/>
      <c r="Y372" s="3"/>
      <c r="Z372" s="3"/>
      <c r="AA372" s="3"/>
    </row>
    <row r="373" spans="1:27" ht="24.75" customHeight="1">
      <c r="A373" s="3"/>
      <c r="B373" s="3"/>
      <c r="C373" s="3"/>
      <c r="D373" s="3"/>
      <c r="E373" s="3"/>
      <c r="F373" s="3"/>
      <c r="G373" s="3"/>
      <c r="H373" s="3"/>
      <c r="I373" s="3"/>
      <c r="J373" s="3"/>
      <c r="K373" s="3"/>
      <c r="L373" s="3"/>
      <c r="M373" s="3"/>
      <c r="N373" s="3"/>
      <c r="O373" s="3"/>
      <c r="P373" s="3"/>
      <c r="Q373" s="3"/>
      <c r="R373" s="3"/>
      <c r="S373" s="3"/>
      <c r="T373" s="3"/>
      <c r="U373" s="3"/>
      <c r="V373" s="733"/>
      <c r="W373" s="3"/>
      <c r="X373" s="3"/>
      <c r="Y373" s="3"/>
      <c r="Z373" s="3"/>
      <c r="AA373" s="3"/>
    </row>
    <row r="374" spans="1:27" ht="24.75" customHeight="1">
      <c r="A374" s="3"/>
      <c r="B374" s="3"/>
      <c r="C374" s="3"/>
      <c r="D374" s="3"/>
      <c r="E374" s="3"/>
      <c r="F374" s="3"/>
      <c r="G374" s="3"/>
      <c r="H374" s="3"/>
      <c r="I374" s="3"/>
      <c r="J374" s="3"/>
      <c r="K374" s="3"/>
      <c r="L374" s="3"/>
      <c r="M374" s="3"/>
      <c r="N374" s="3"/>
      <c r="O374" s="3"/>
      <c r="P374" s="3"/>
      <c r="Q374" s="3"/>
      <c r="R374" s="3"/>
      <c r="S374" s="3"/>
      <c r="T374" s="3"/>
      <c r="U374" s="3"/>
      <c r="V374" s="733"/>
      <c r="W374" s="3"/>
      <c r="X374" s="3"/>
      <c r="Y374" s="3"/>
      <c r="Z374" s="3"/>
      <c r="AA374" s="3"/>
    </row>
    <row r="375" spans="1:27" ht="24.75" customHeight="1">
      <c r="A375" s="3"/>
      <c r="B375" s="3"/>
      <c r="C375" s="3"/>
      <c r="D375" s="3"/>
      <c r="E375" s="3"/>
      <c r="F375" s="3"/>
      <c r="G375" s="3"/>
      <c r="H375" s="3"/>
      <c r="I375" s="3"/>
      <c r="J375" s="3"/>
      <c r="K375" s="3"/>
      <c r="L375" s="3"/>
      <c r="M375" s="3"/>
      <c r="N375" s="3"/>
      <c r="O375" s="3"/>
      <c r="P375" s="3"/>
      <c r="Q375" s="3"/>
      <c r="R375" s="3"/>
      <c r="S375" s="3"/>
      <c r="T375" s="3"/>
      <c r="U375" s="3"/>
      <c r="V375" s="733"/>
      <c r="W375" s="3"/>
      <c r="X375" s="3"/>
      <c r="Y375" s="3"/>
      <c r="Z375" s="3"/>
      <c r="AA375" s="3"/>
    </row>
    <row r="376" spans="1:27" ht="24.75" customHeight="1">
      <c r="A376" s="3"/>
      <c r="B376" s="3"/>
      <c r="C376" s="3"/>
      <c r="D376" s="3"/>
      <c r="E376" s="3"/>
      <c r="F376" s="3"/>
      <c r="G376" s="3"/>
      <c r="H376" s="3"/>
      <c r="I376" s="3"/>
      <c r="J376" s="3"/>
      <c r="K376" s="3"/>
      <c r="L376" s="3"/>
      <c r="M376" s="3"/>
      <c r="N376" s="3"/>
      <c r="O376" s="3"/>
      <c r="P376" s="3"/>
      <c r="Q376" s="3"/>
      <c r="R376" s="3"/>
      <c r="S376" s="3"/>
      <c r="T376" s="3"/>
      <c r="U376" s="3"/>
      <c r="V376" s="733"/>
      <c r="W376" s="3"/>
      <c r="X376" s="3"/>
      <c r="Y376" s="3"/>
      <c r="Z376" s="3"/>
      <c r="AA376" s="3"/>
    </row>
    <row r="377" spans="1:27" ht="24.75" customHeight="1">
      <c r="A377" s="3"/>
      <c r="B377" s="3"/>
      <c r="C377" s="3"/>
      <c r="D377" s="3"/>
      <c r="E377" s="3"/>
      <c r="F377" s="3"/>
      <c r="G377" s="3"/>
      <c r="H377" s="3"/>
      <c r="I377" s="3"/>
      <c r="J377" s="3"/>
      <c r="K377" s="3"/>
      <c r="L377" s="3"/>
      <c r="M377" s="3"/>
      <c r="N377" s="3"/>
      <c r="O377" s="3"/>
      <c r="P377" s="3"/>
      <c r="Q377" s="3"/>
      <c r="R377" s="3"/>
      <c r="S377" s="3"/>
      <c r="T377" s="3"/>
      <c r="U377" s="3"/>
      <c r="V377" s="733"/>
      <c r="W377" s="3"/>
      <c r="X377" s="3"/>
      <c r="Y377" s="3"/>
      <c r="Z377" s="3"/>
      <c r="AA377" s="3"/>
    </row>
    <row r="378" spans="1:27" ht="24.75" customHeight="1">
      <c r="A378" s="3"/>
      <c r="B378" s="3"/>
      <c r="C378" s="3"/>
      <c r="D378" s="3"/>
      <c r="E378" s="3"/>
      <c r="F378" s="3"/>
      <c r="G378" s="3"/>
      <c r="H378" s="3"/>
      <c r="I378" s="3"/>
      <c r="J378" s="3"/>
      <c r="K378" s="3"/>
      <c r="L378" s="3"/>
      <c r="M378" s="3"/>
      <c r="N378" s="3"/>
      <c r="O378" s="3"/>
      <c r="P378" s="3"/>
      <c r="Q378" s="3"/>
      <c r="R378" s="3"/>
      <c r="S378" s="3"/>
      <c r="T378" s="3"/>
      <c r="U378" s="3"/>
      <c r="V378" s="733"/>
      <c r="W378" s="3"/>
      <c r="X378" s="3"/>
      <c r="Y378" s="3"/>
      <c r="Z378" s="3"/>
      <c r="AA378" s="3"/>
    </row>
    <row r="379" spans="1:27" ht="24.75" customHeight="1">
      <c r="A379" s="3"/>
      <c r="B379" s="3"/>
      <c r="C379" s="3"/>
      <c r="D379" s="3"/>
      <c r="E379" s="3"/>
      <c r="F379" s="3"/>
      <c r="G379" s="3"/>
      <c r="H379" s="3"/>
      <c r="I379" s="3"/>
      <c r="J379" s="3"/>
      <c r="K379" s="3"/>
      <c r="L379" s="3"/>
      <c r="M379" s="3"/>
      <c r="N379" s="3"/>
      <c r="O379" s="3"/>
      <c r="P379" s="3"/>
      <c r="Q379" s="3"/>
      <c r="R379" s="3"/>
      <c r="S379" s="3"/>
      <c r="T379" s="3"/>
      <c r="U379" s="3"/>
      <c r="V379" s="733"/>
      <c r="W379" s="3"/>
      <c r="X379" s="3"/>
      <c r="Y379" s="3"/>
      <c r="Z379" s="3"/>
      <c r="AA379" s="3"/>
    </row>
    <row r="380" spans="1:27" ht="24.75" customHeight="1">
      <c r="A380" s="3"/>
      <c r="B380" s="3"/>
      <c r="C380" s="3"/>
      <c r="D380" s="3"/>
      <c r="E380" s="3"/>
      <c r="F380" s="3"/>
      <c r="G380" s="3"/>
      <c r="H380" s="3"/>
      <c r="I380" s="3"/>
      <c r="J380" s="3"/>
      <c r="K380" s="3"/>
      <c r="L380" s="3"/>
      <c r="M380" s="3"/>
      <c r="N380" s="3"/>
      <c r="O380" s="3"/>
      <c r="P380" s="3"/>
      <c r="Q380" s="3"/>
      <c r="R380" s="3"/>
      <c r="S380" s="3"/>
      <c r="T380" s="3"/>
      <c r="U380" s="3"/>
      <c r="V380" s="733"/>
      <c r="W380" s="3"/>
      <c r="X380" s="3"/>
      <c r="Y380" s="3"/>
      <c r="Z380" s="3"/>
      <c r="AA380" s="3"/>
    </row>
    <row r="381" spans="1:27" ht="24.75" customHeight="1">
      <c r="A381" s="3"/>
      <c r="B381" s="3"/>
      <c r="C381" s="3"/>
      <c r="D381" s="3"/>
      <c r="E381" s="3"/>
      <c r="F381" s="3"/>
      <c r="G381" s="3"/>
      <c r="H381" s="3"/>
      <c r="I381" s="3"/>
      <c r="J381" s="3"/>
      <c r="K381" s="3"/>
      <c r="L381" s="3"/>
      <c r="M381" s="3"/>
      <c r="N381" s="3"/>
      <c r="O381" s="3"/>
      <c r="P381" s="3"/>
      <c r="Q381" s="3"/>
      <c r="R381" s="3"/>
      <c r="S381" s="3"/>
      <c r="T381" s="3"/>
      <c r="U381" s="3"/>
      <c r="V381" s="733"/>
      <c r="W381" s="3"/>
      <c r="X381" s="3"/>
      <c r="Y381" s="3"/>
      <c r="Z381" s="3"/>
      <c r="AA381" s="3"/>
    </row>
    <row r="382" spans="1:27" ht="24.75" customHeight="1">
      <c r="A382" s="3"/>
      <c r="B382" s="3"/>
      <c r="C382" s="3"/>
      <c r="D382" s="3"/>
      <c r="E382" s="3"/>
      <c r="F382" s="3"/>
      <c r="G382" s="3"/>
      <c r="H382" s="3"/>
      <c r="I382" s="3"/>
      <c r="J382" s="3"/>
      <c r="K382" s="3"/>
      <c r="L382" s="3"/>
      <c r="M382" s="3"/>
      <c r="N382" s="3"/>
      <c r="O382" s="3"/>
      <c r="P382" s="3"/>
      <c r="Q382" s="3"/>
      <c r="R382" s="3"/>
      <c r="S382" s="3"/>
      <c r="T382" s="3"/>
      <c r="U382" s="3"/>
      <c r="V382" s="733"/>
      <c r="W382" s="3"/>
      <c r="X382" s="3"/>
      <c r="Y382" s="3"/>
      <c r="Z382" s="3"/>
      <c r="AA382" s="3"/>
    </row>
    <row r="383" spans="1:27" ht="24.75" customHeight="1">
      <c r="A383" s="3"/>
      <c r="B383" s="3"/>
      <c r="C383" s="3"/>
      <c r="D383" s="3"/>
      <c r="E383" s="3"/>
      <c r="F383" s="3"/>
      <c r="G383" s="3"/>
      <c r="H383" s="3"/>
      <c r="I383" s="3"/>
      <c r="J383" s="3"/>
      <c r="K383" s="3"/>
      <c r="L383" s="3"/>
      <c r="M383" s="3"/>
      <c r="N383" s="3"/>
      <c r="O383" s="3"/>
      <c r="P383" s="3"/>
      <c r="Q383" s="3"/>
      <c r="R383" s="3"/>
      <c r="S383" s="3"/>
      <c r="T383" s="3"/>
      <c r="U383" s="3"/>
      <c r="V383" s="733"/>
      <c r="W383" s="3"/>
      <c r="X383" s="3"/>
      <c r="Y383" s="3"/>
      <c r="Z383" s="3"/>
      <c r="AA383" s="3"/>
    </row>
    <row r="384" spans="1:27" ht="24.75" customHeight="1">
      <c r="A384" s="3"/>
      <c r="B384" s="3"/>
      <c r="C384" s="3"/>
      <c r="D384" s="3"/>
      <c r="E384" s="3"/>
      <c r="F384" s="3"/>
      <c r="G384" s="3"/>
      <c r="H384" s="3"/>
      <c r="I384" s="3"/>
      <c r="J384" s="3"/>
      <c r="K384" s="3"/>
      <c r="L384" s="3"/>
      <c r="M384" s="3"/>
      <c r="N384" s="3"/>
      <c r="O384" s="3"/>
      <c r="P384" s="3"/>
      <c r="Q384" s="3"/>
      <c r="R384" s="3"/>
      <c r="S384" s="3"/>
      <c r="T384" s="3"/>
      <c r="U384" s="3"/>
      <c r="V384" s="733"/>
      <c r="W384" s="3"/>
      <c r="X384" s="3"/>
      <c r="Y384" s="3"/>
      <c r="Z384" s="3"/>
      <c r="AA384" s="3"/>
    </row>
    <row r="385" spans="1:27" ht="24.75" customHeight="1">
      <c r="A385" s="3"/>
      <c r="B385" s="3"/>
      <c r="C385" s="3"/>
      <c r="D385" s="3"/>
      <c r="E385" s="3"/>
      <c r="F385" s="3"/>
      <c r="G385" s="3"/>
      <c r="H385" s="3"/>
      <c r="I385" s="3"/>
      <c r="J385" s="3"/>
      <c r="K385" s="3"/>
      <c r="L385" s="3"/>
      <c r="M385" s="3"/>
      <c r="N385" s="3"/>
      <c r="O385" s="3"/>
      <c r="P385" s="3"/>
      <c r="Q385" s="3"/>
      <c r="R385" s="3"/>
      <c r="S385" s="3"/>
      <c r="T385" s="3"/>
      <c r="U385" s="3"/>
      <c r="V385" s="733"/>
      <c r="W385" s="3"/>
      <c r="X385" s="3"/>
      <c r="Y385" s="3"/>
      <c r="Z385" s="3"/>
      <c r="AA385" s="3"/>
    </row>
    <row r="386" spans="1:27" ht="24.75" customHeight="1">
      <c r="A386" s="3"/>
      <c r="B386" s="3"/>
      <c r="C386" s="3"/>
      <c r="D386" s="3"/>
      <c r="E386" s="3"/>
      <c r="F386" s="3"/>
      <c r="G386" s="3"/>
      <c r="H386" s="3"/>
      <c r="I386" s="3"/>
      <c r="J386" s="3"/>
      <c r="K386" s="3"/>
      <c r="L386" s="3"/>
      <c r="M386" s="3"/>
      <c r="N386" s="3"/>
      <c r="O386" s="3"/>
      <c r="P386" s="3"/>
      <c r="Q386" s="3"/>
      <c r="R386" s="3"/>
      <c r="S386" s="3"/>
      <c r="T386" s="3"/>
      <c r="U386" s="3"/>
      <c r="V386" s="733"/>
      <c r="W386" s="3"/>
      <c r="X386" s="3"/>
      <c r="Y386" s="3"/>
      <c r="Z386" s="3"/>
      <c r="AA386" s="3"/>
    </row>
    <row r="387" spans="1:27" ht="24.75" customHeight="1">
      <c r="A387" s="3"/>
      <c r="B387" s="3"/>
      <c r="C387" s="3"/>
      <c r="D387" s="3"/>
      <c r="E387" s="3"/>
      <c r="F387" s="3"/>
      <c r="G387" s="3"/>
      <c r="H387" s="3"/>
      <c r="I387" s="3"/>
      <c r="J387" s="3"/>
      <c r="K387" s="3"/>
      <c r="L387" s="3"/>
      <c r="M387" s="3"/>
      <c r="N387" s="3"/>
      <c r="O387" s="3"/>
      <c r="P387" s="3"/>
      <c r="Q387" s="3"/>
      <c r="R387" s="3"/>
      <c r="S387" s="3"/>
      <c r="T387" s="3"/>
      <c r="U387" s="3"/>
      <c r="V387" s="733"/>
      <c r="W387" s="3"/>
      <c r="X387" s="3"/>
      <c r="Y387" s="3"/>
      <c r="Z387" s="3"/>
      <c r="AA387" s="3"/>
    </row>
    <row r="388" spans="1:27" ht="24.75" customHeight="1">
      <c r="A388" s="3"/>
      <c r="B388" s="3"/>
      <c r="C388" s="3"/>
      <c r="D388" s="3"/>
      <c r="E388" s="3"/>
      <c r="F388" s="3"/>
      <c r="G388" s="3"/>
      <c r="H388" s="3"/>
      <c r="I388" s="3"/>
      <c r="J388" s="3"/>
      <c r="K388" s="3"/>
      <c r="L388" s="3"/>
      <c r="M388" s="3"/>
      <c r="N388" s="3"/>
      <c r="O388" s="3"/>
      <c r="P388" s="3"/>
      <c r="Q388" s="3"/>
      <c r="R388" s="3"/>
      <c r="S388" s="3"/>
      <c r="T388" s="3"/>
      <c r="U388" s="3"/>
      <c r="V388" s="733"/>
      <c r="W388" s="3"/>
      <c r="X388" s="3"/>
      <c r="Y388" s="3"/>
      <c r="Z388" s="3"/>
      <c r="AA388" s="3"/>
    </row>
    <row r="389" spans="1:27" ht="24.75" customHeight="1">
      <c r="A389" s="3"/>
      <c r="B389" s="3"/>
      <c r="C389" s="3"/>
      <c r="D389" s="3"/>
      <c r="E389" s="3"/>
      <c r="F389" s="3"/>
      <c r="G389" s="3"/>
      <c r="H389" s="3"/>
      <c r="I389" s="3"/>
      <c r="J389" s="3"/>
      <c r="K389" s="3"/>
      <c r="L389" s="3"/>
      <c r="M389" s="3"/>
      <c r="N389" s="3"/>
      <c r="O389" s="3"/>
      <c r="P389" s="3"/>
      <c r="Q389" s="3"/>
      <c r="R389" s="3"/>
      <c r="S389" s="3"/>
      <c r="T389" s="3"/>
      <c r="U389" s="3"/>
      <c r="V389" s="733"/>
      <c r="W389" s="3"/>
      <c r="X389" s="3"/>
      <c r="Y389" s="3"/>
      <c r="Z389" s="3"/>
      <c r="AA389" s="3"/>
    </row>
    <row r="390" spans="1:27" ht="24.75" customHeight="1">
      <c r="A390" s="3"/>
      <c r="B390" s="3"/>
      <c r="C390" s="3"/>
      <c r="D390" s="3"/>
      <c r="E390" s="3"/>
      <c r="F390" s="3"/>
      <c r="G390" s="3"/>
      <c r="H390" s="3"/>
      <c r="I390" s="3"/>
      <c r="J390" s="3"/>
      <c r="K390" s="3"/>
      <c r="L390" s="3"/>
      <c r="M390" s="3"/>
      <c r="N390" s="3"/>
      <c r="O390" s="3"/>
      <c r="P390" s="3"/>
      <c r="Q390" s="3"/>
      <c r="R390" s="3"/>
      <c r="S390" s="3"/>
      <c r="T390" s="3"/>
      <c r="U390" s="3"/>
      <c r="V390" s="733"/>
      <c r="W390" s="3"/>
      <c r="X390" s="3"/>
      <c r="Y390" s="3"/>
      <c r="Z390" s="3"/>
      <c r="AA390" s="3"/>
    </row>
    <row r="391" spans="1:27" ht="24.75" customHeight="1">
      <c r="A391" s="3"/>
      <c r="B391" s="3"/>
      <c r="C391" s="3"/>
      <c r="D391" s="3"/>
      <c r="E391" s="3"/>
      <c r="F391" s="3"/>
      <c r="G391" s="3"/>
      <c r="H391" s="3"/>
      <c r="I391" s="3"/>
      <c r="J391" s="3"/>
      <c r="K391" s="3"/>
      <c r="L391" s="3"/>
      <c r="M391" s="3"/>
      <c r="N391" s="3"/>
      <c r="O391" s="3"/>
      <c r="P391" s="3"/>
      <c r="Q391" s="3"/>
      <c r="R391" s="3"/>
      <c r="S391" s="3"/>
      <c r="T391" s="3"/>
      <c r="U391" s="3"/>
      <c r="V391" s="733"/>
      <c r="W391" s="3"/>
      <c r="X391" s="3"/>
      <c r="Y391" s="3"/>
      <c r="Z391" s="3"/>
      <c r="AA391" s="3"/>
    </row>
    <row r="392" spans="1:27" ht="24.75" customHeight="1">
      <c r="A392" s="3"/>
      <c r="B392" s="3"/>
      <c r="C392" s="3"/>
      <c r="D392" s="3"/>
      <c r="E392" s="3"/>
      <c r="F392" s="3"/>
      <c r="G392" s="3"/>
      <c r="H392" s="3"/>
      <c r="I392" s="3"/>
      <c r="J392" s="3"/>
      <c r="K392" s="3"/>
      <c r="L392" s="3"/>
      <c r="M392" s="3"/>
      <c r="N392" s="3"/>
      <c r="O392" s="3"/>
      <c r="P392" s="3"/>
      <c r="Q392" s="3"/>
      <c r="R392" s="3"/>
      <c r="S392" s="3"/>
      <c r="T392" s="3"/>
      <c r="U392" s="3"/>
      <c r="V392" s="733"/>
      <c r="W392" s="3"/>
      <c r="X392" s="3"/>
      <c r="Y392" s="3"/>
      <c r="Z392" s="3"/>
      <c r="AA392" s="3"/>
    </row>
    <row r="393" spans="1:27" ht="24.75" customHeight="1">
      <c r="A393" s="3"/>
      <c r="B393" s="3"/>
      <c r="C393" s="3"/>
      <c r="D393" s="3"/>
      <c r="E393" s="3"/>
      <c r="F393" s="3"/>
      <c r="G393" s="3"/>
      <c r="H393" s="3"/>
      <c r="I393" s="3"/>
      <c r="J393" s="3"/>
      <c r="K393" s="3"/>
      <c r="L393" s="3"/>
      <c r="M393" s="3"/>
      <c r="N393" s="3"/>
      <c r="O393" s="3"/>
      <c r="P393" s="3"/>
      <c r="Q393" s="3"/>
      <c r="R393" s="3"/>
      <c r="S393" s="3"/>
      <c r="T393" s="3"/>
      <c r="U393" s="3"/>
      <c r="V393" s="733"/>
      <c r="W393" s="3"/>
      <c r="X393" s="3"/>
      <c r="Y393" s="3"/>
      <c r="Z393" s="3"/>
      <c r="AA393" s="3"/>
    </row>
    <row r="394" spans="1:27" ht="24.75" customHeight="1">
      <c r="A394" s="3"/>
      <c r="B394" s="3"/>
      <c r="C394" s="3"/>
      <c r="D394" s="3"/>
      <c r="E394" s="3"/>
      <c r="F394" s="3"/>
      <c r="G394" s="3"/>
      <c r="H394" s="3"/>
      <c r="I394" s="3"/>
      <c r="J394" s="3"/>
      <c r="K394" s="3"/>
      <c r="L394" s="3"/>
      <c r="M394" s="3"/>
      <c r="N394" s="3"/>
      <c r="O394" s="3"/>
      <c r="P394" s="3"/>
      <c r="Q394" s="3"/>
      <c r="R394" s="3"/>
      <c r="S394" s="3"/>
      <c r="T394" s="3"/>
      <c r="U394" s="3"/>
      <c r="V394" s="733"/>
      <c r="W394" s="3"/>
      <c r="X394" s="3"/>
      <c r="Y394" s="3"/>
      <c r="Z394" s="3"/>
      <c r="AA394" s="3"/>
    </row>
    <row r="395" spans="1:27" ht="24.75" customHeight="1">
      <c r="A395" s="3"/>
      <c r="B395" s="3"/>
      <c r="C395" s="3"/>
      <c r="D395" s="3"/>
      <c r="E395" s="3"/>
      <c r="F395" s="3"/>
      <c r="G395" s="3"/>
      <c r="H395" s="3"/>
      <c r="I395" s="3"/>
      <c r="J395" s="3"/>
      <c r="K395" s="3"/>
      <c r="L395" s="3"/>
      <c r="M395" s="3"/>
      <c r="N395" s="3"/>
      <c r="O395" s="3"/>
      <c r="P395" s="3"/>
      <c r="Q395" s="3"/>
      <c r="R395" s="3"/>
      <c r="S395" s="3"/>
      <c r="T395" s="3"/>
      <c r="U395" s="3"/>
      <c r="V395" s="733"/>
      <c r="W395" s="3"/>
      <c r="X395" s="3"/>
      <c r="Y395" s="3"/>
      <c r="Z395" s="3"/>
      <c r="AA395" s="3"/>
    </row>
    <row r="396" spans="1:27" ht="24.75" customHeight="1">
      <c r="A396" s="3"/>
      <c r="B396" s="3"/>
      <c r="C396" s="3"/>
      <c r="D396" s="3"/>
      <c r="E396" s="3"/>
      <c r="F396" s="3"/>
      <c r="G396" s="3"/>
      <c r="H396" s="3"/>
      <c r="I396" s="3"/>
      <c r="J396" s="3"/>
      <c r="K396" s="3"/>
      <c r="L396" s="3"/>
      <c r="M396" s="3"/>
      <c r="N396" s="3"/>
      <c r="O396" s="3"/>
      <c r="P396" s="3"/>
      <c r="Q396" s="3"/>
      <c r="R396" s="3"/>
      <c r="S396" s="3"/>
      <c r="T396" s="3"/>
      <c r="U396" s="3"/>
      <c r="V396" s="733"/>
      <c r="W396" s="3"/>
      <c r="X396" s="3"/>
      <c r="Y396" s="3"/>
      <c r="Z396" s="3"/>
      <c r="AA396" s="3"/>
    </row>
    <row r="397" spans="1:27" ht="24.75" customHeight="1">
      <c r="A397" s="3"/>
      <c r="B397" s="3"/>
      <c r="C397" s="3"/>
      <c r="D397" s="3"/>
      <c r="E397" s="3"/>
      <c r="F397" s="3"/>
      <c r="G397" s="3"/>
      <c r="H397" s="3"/>
      <c r="I397" s="3"/>
      <c r="J397" s="3"/>
      <c r="K397" s="3"/>
      <c r="L397" s="3"/>
      <c r="M397" s="3"/>
      <c r="N397" s="3"/>
      <c r="O397" s="3"/>
      <c r="P397" s="3"/>
      <c r="Q397" s="3"/>
      <c r="R397" s="3"/>
      <c r="S397" s="3"/>
      <c r="T397" s="3"/>
      <c r="U397" s="3"/>
      <c r="V397" s="733"/>
      <c r="W397" s="3"/>
      <c r="X397" s="3"/>
      <c r="Y397" s="3"/>
      <c r="Z397" s="3"/>
      <c r="AA397" s="3"/>
    </row>
    <row r="398" spans="1:27" ht="24.75" customHeight="1">
      <c r="A398" s="3"/>
      <c r="B398" s="3"/>
      <c r="C398" s="3"/>
      <c r="D398" s="3"/>
      <c r="E398" s="3"/>
      <c r="F398" s="3"/>
      <c r="G398" s="3"/>
      <c r="H398" s="3"/>
      <c r="I398" s="3"/>
      <c r="J398" s="3"/>
      <c r="K398" s="3"/>
      <c r="L398" s="3"/>
      <c r="M398" s="3"/>
      <c r="N398" s="3"/>
      <c r="O398" s="3"/>
      <c r="P398" s="3"/>
      <c r="Q398" s="3"/>
      <c r="R398" s="3"/>
      <c r="S398" s="3"/>
      <c r="T398" s="3"/>
      <c r="U398" s="3"/>
      <c r="V398" s="733"/>
      <c r="W398" s="3"/>
      <c r="X398" s="3"/>
      <c r="Y398" s="3"/>
      <c r="Z398" s="3"/>
      <c r="AA398" s="3"/>
    </row>
    <row r="399" spans="1:27" ht="24.75" customHeight="1">
      <c r="A399" s="3"/>
      <c r="B399" s="3"/>
      <c r="C399" s="3"/>
      <c r="D399" s="3"/>
      <c r="E399" s="3"/>
      <c r="F399" s="3"/>
      <c r="G399" s="3"/>
      <c r="H399" s="3"/>
      <c r="I399" s="3"/>
      <c r="J399" s="3"/>
      <c r="K399" s="3"/>
      <c r="L399" s="3"/>
      <c r="M399" s="3"/>
      <c r="N399" s="3"/>
      <c r="O399" s="3"/>
      <c r="P399" s="3"/>
      <c r="Q399" s="3"/>
      <c r="R399" s="3"/>
      <c r="S399" s="3"/>
      <c r="T399" s="3"/>
      <c r="U399" s="3"/>
      <c r="V399" s="733"/>
      <c r="W399" s="3"/>
      <c r="X399" s="3"/>
      <c r="Y399" s="3"/>
      <c r="Z399" s="3"/>
      <c r="AA399" s="3"/>
    </row>
    <row r="400" spans="1:27" ht="24.75" customHeight="1">
      <c r="A400" s="3"/>
      <c r="B400" s="3"/>
      <c r="C400" s="3"/>
      <c r="D400" s="3"/>
      <c r="E400" s="3"/>
      <c r="F400" s="3"/>
      <c r="G400" s="3"/>
      <c r="H400" s="3"/>
      <c r="I400" s="3"/>
      <c r="J400" s="3"/>
      <c r="K400" s="3"/>
      <c r="L400" s="3"/>
      <c r="M400" s="3"/>
      <c r="N400" s="3"/>
      <c r="O400" s="3"/>
      <c r="P400" s="3"/>
      <c r="Q400" s="3"/>
      <c r="R400" s="3"/>
      <c r="S400" s="3"/>
      <c r="T400" s="3"/>
      <c r="U400" s="3"/>
      <c r="V400" s="733"/>
      <c r="W400" s="3"/>
      <c r="X400" s="3"/>
      <c r="Y400" s="3"/>
      <c r="Z400" s="3"/>
      <c r="AA400" s="3"/>
    </row>
    <row r="401" spans="1:27" ht="24.75" customHeight="1">
      <c r="A401" s="3"/>
      <c r="B401" s="3"/>
      <c r="C401" s="3"/>
      <c r="D401" s="3"/>
      <c r="E401" s="3"/>
      <c r="F401" s="3"/>
      <c r="G401" s="3"/>
      <c r="H401" s="3"/>
      <c r="I401" s="3"/>
      <c r="J401" s="3"/>
      <c r="K401" s="3"/>
      <c r="L401" s="3"/>
      <c r="M401" s="3"/>
      <c r="N401" s="3"/>
      <c r="O401" s="3"/>
      <c r="P401" s="3"/>
      <c r="Q401" s="3"/>
      <c r="R401" s="3"/>
      <c r="S401" s="3"/>
      <c r="T401" s="3"/>
      <c r="U401" s="3"/>
      <c r="V401" s="733"/>
      <c r="W401" s="3"/>
      <c r="X401" s="3"/>
      <c r="Y401" s="3"/>
      <c r="Z401" s="3"/>
      <c r="AA401" s="3"/>
    </row>
    <row r="402" spans="1:27" ht="24.75" customHeight="1">
      <c r="A402" s="3"/>
      <c r="B402" s="3"/>
      <c r="C402" s="3"/>
      <c r="D402" s="3"/>
      <c r="E402" s="3"/>
      <c r="F402" s="3"/>
      <c r="G402" s="3"/>
      <c r="H402" s="3"/>
      <c r="I402" s="3"/>
      <c r="J402" s="3"/>
      <c r="K402" s="3"/>
      <c r="L402" s="3"/>
      <c r="M402" s="3"/>
      <c r="N402" s="3"/>
      <c r="O402" s="3"/>
      <c r="P402" s="3"/>
      <c r="Q402" s="3"/>
      <c r="R402" s="3"/>
      <c r="S402" s="3"/>
      <c r="T402" s="3"/>
      <c r="U402" s="3"/>
      <c r="V402" s="733"/>
      <c r="W402" s="3"/>
      <c r="X402" s="3"/>
      <c r="Y402" s="3"/>
      <c r="Z402" s="3"/>
      <c r="AA402" s="3"/>
    </row>
    <row r="403" spans="1:27" ht="24.75" customHeight="1">
      <c r="A403" s="3"/>
      <c r="B403" s="3"/>
      <c r="C403" s="3"/>
      <c r="D403" s="3"/>
      <c r="E403" s="3"/>
      <c r="F403" s="3"/>
      <c r="G403" s="3"/>
      <c r="H403" s="3"/>
      <c r="I403" s="3"/>
      <c r="J403" s="3"/>
      <c r="K403" s="3"/>
      <c r="L403" s="3"/>
      <c r="M403" s="3"/>
      <c r="N403" s="3"/>
      <c r="O403" s="3"/>
      <c r="P403" s="3"/>
      <c r="Q403" s="3"/>
      <c r="R403" s="3"/>
      <c r="S403" s="3"/>
      <c r="T403" s="3"/>
      <c r="U403" s="3"/>
      <c r="V403" s="733"/>
      <c r="W403" s="3"/>
      <c r="X403" s="3"/>
      <c r="Y403" s="3"/>
      <c r="Z403" s="3"/>
      <c r="AA403" s="3"/>
    </row>
    <row r="404" spans="1:27" ht="24.75" customHeight="1">
      <c r="A404" s="3"/>
      <c r="B404" s="3"/>
      <c r="C404" s="3"/>
      <c r="D404" s="3"/>
      <c r="E404" s="3"/>
      <c r="F404" s="3"/>
      <c r="G404" s="3"/>
      <c r="H404" s="3"/>
      <c r="I404" s="3"/>
      <c r="J404" s="3"/>
      <c r="K404" s="3"/>
      <c r="L404" s="3"/>
      <c r="M404" s="3"/>
      <c r="N404" s="3"/>
      <c r="O404" s="3"/>
      <c r="P404" s="3"/>
      <c r="Q404" s="3"/>
      <c r="R404" s="3"/>
      <c r="S404" s="3"/>
      <c r="T404" s="3"/>
      <c r="U404" s="3"/>
      <c r="V404" s="733"/>
      <c r="W404" s="3"/>
      <c r="X404" s="3"/>
      <c r="Y404" s="3"/>
      <c r="Z404" s="3"/>
      <c r="AA404" s="3"/>
    </row>
    <row r="405" spans="1:27" ht="24.75" customHeight="1">
      <c r="A405" s="3"/>
      <c r="B405" s="3"/>
      <c r="C405" s="3"/>
      <c r="D405" s="3"/>
      <c r="E405" s="3"/>
      <c r="F405" s="3"/>
      <c r="G405" s="3"/>
      <c r="H405" s="3"/>
      <c r="I405" s="3"/>
      <c r="J405" s="3"/>
      <c r="K405" s="3"/>
      <c r="L405" s="3"/>
      <c r="M405" s="3"/>
      <c r="N405" s="3"/>
      <c r="O405" s="3"/>
      <c r="P405" s="3"/>
      <c r="Q405" s="3"/>
      <c r="R405" s="3"/>
      <c r="S405" s="3"/>
      <c r="T405" s="3"/>
      <c r="U405" s="3"/>
      <c r="V405" s="733"/>
      <c r="W405" s="3"/>
      <c r="X405" s="3"/>
      <c r="Y405" s="3"/>
      <c r="Z405" s="3"/>
      <c r="AA405" s="3"/>
    </row>
    <row r="406" spans="1:27" ht="24.75" customHeight="1">
      <c r="A406" s="3"/>
      <c r="B406" s="3"/>
      <c r="C406" s="3"/>
      <c r="D406" s="3"/>
      <c r="E406" s="3"/>
      <c r="F406" s="3"/>
      <c r="G406" s="3"/>
      <c r="H406" s="3"/>
      <c r="I406" s="3"/>
      <c r="J406" s="3"/>
      <c r="K406" s="3"/>
      <c r="L406" s="3"/>
      <c r="M406" s="3"/>
      <c r="N406" s="3"/>
      <c r="O406" s="3"/>
      <c r="P406" s="3"/>
      <c r="Q406" s="3"/>
      <c r="R406" s="3"/>
      <c r="S406" s="3"/>
      <c r="T406" s="3"/>
      <c r="U406" s="3"/>
      <c r="V406" s="733"/>
      <c r="W406" s="3"/>
      <c r="X406" s="3"/>
      <c r="Y406" s="3"/>
      <c r="Z406" s="3"/>
      <c r="AA406" s="3"/>
    </row>
    <row r="407" spans="1:27" ht="24.75" customHeight="1">
      <c r="A407" s="3"/>
      <c r="B407" s="3"/>
      <c r="C407" s="3"/>
      <c r="D407" s="3"/>
      <c r="E407" s="3"/>
      <c r="F407" s="3"/>
      <c r="G407" s="3"/>
      <c r="H407" s="3"/>
      <c r="I407" s="3"/>
      <c r="J407" s="3"/>
      <c r="K407" s="3"/>
      <c r="L407" s="3"/>
      <c r="M407" s="3"/>
      <c r="N407" s="3"/>
      <c r="O407" s="3"/>
      <c r="P407" s="3"/>
      <c r="Q407" s="3"/>
      <c r="R407" s="3"/>
      <c r="S407" s="3"/>
      <c r="T407" s="3"/>
      <c r="U407" s="3"/>
      <c r="V407" s="733"/>
      <c r="W407" s="3"/>
      <c r="X407" s="3"/>
      <c r="Y407" s="3"/>
      <c r="Z407" s="3"/>
      <c r="AA407" s="3"/>
    </row>
    <row r="408" spans="1:27" ht="24.75" customHeight="1">
      <c r="A408" s="3"/>
      <c r="B408" s="3"/>
      <c r="C408" s="3"/>
      <c r="D408" s="3"/>
      <c r="E408" s="3"/>
      <c r="F408" s="3"/>
      <c r="G408" s="3"/>
      <c r="H408" s="3"/>
      <c r="I408" s="3"/>
      <c r="J408" s="3"/>
      <c r="K408" s="3"/>
      <c r="L408" s="3"/>
      <c r="M408" s="3"/>
      <c r="N408" s="3"/>
      <c r="O408" s="3"/>
      <c r="P408" s="3"/>
      <c r="Q408" s="3"/>
      <c r="R408" s="3"/>
      <c r="S408" s="3"/>
      <c r="T408" s="3"/>
      <c r="U408" s="3"/>
      <c r="V408" s="733"/>
      <c r="W408" s="3"/>
      <c r="X408" s="3"/>
      <c r="Y408" s="3"/>
      <c r="Z408" s="3"/>
      <c r="AA408" s="3"/>
    </row>
    <row r="409" spans="1:27"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793"/>
      <c r="W409" s="4"/>
      <c r="X409" s="12"/>
      <c r="Y409" s="12"/>
      <c r="Z409" s="12"/>
      <c r="AA409" s="12"/>
    </row>
    <row r="410" spans="1:27"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793"/>
      <c r="W410" s="4"/>
      <c r="X410" s="12"/>
      <c r="Y410" s="12"/>
      <c r="Z410" s="12"/>
      <c r="AA410" s="12"/>
    </row>
    <row r="411" spans="1:27"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793"/>
      <c r="W411" s="4"/>
      <c r="X411" s="12"/>
      <c r="Y411" s="12"/>
      <c r="Z411" s="12"/>
      <c r="AA411" s="12"/>
    </row>
    <row r="412" spans="1:27"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793"/>
      <c r="W412" s="4"/>
      <c r="X412" s="12"/>
      <c r="Y412" s="12"/>
      <c r="Z412" s="12"/>
      <c r="AA412" s="12"/>
    </row>
    <row r="413" spans="1:27"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793"/>
      <c r="W413" s="4"/>
      <c r="X413" s="12"/>
      <c r="Y413" s="12"/>
      <c r="Z413" s="12"/>
      <c r="AA413" s="12"/>
    </row>
    <row r="414" spans="1:27"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793"/>
      <c r="W414" s="4"/>
      <c r="X414" s="12"/>
      <c r="Y414" s="12"/>
      <c r="Z414" s="12"/>
      <c r="AA414" s="12"/>
    </row>
    <row r="415" spans="1:27"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793"/>
      <c r="W415" s="4"/>
      <c r="X415" s="12"/>
      <c r="Y415" s="12"/>
      <c r="Z415" s="12"/>
      <c r="AA415" s="12"/>
    </row>
    <row r="416" spans="1:27"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793"/>
      <c r="W416" s="4"/>
      <c r="X416" s="12"/>
      <c r="Y416" s="12"/>
      <c r="Z416" s="12"/>
      <c r="AA416" s="12"/>
    </row>
    <row r="417" spans="1:27"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793"/>
      <c r="W417" s="4"/>
      <c r="X417" s="12"/>
      <c r="Y417" s="12"/>
      <c r="Z417" s="12"/>
      <c r="AA417" s="12"/>
    </row>
    <row r="418" spans="1:27"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793"/>
      <c r="W418" s="4"/>
      <c r="X418" s="12"/>
      <c r="Y418" s="12"/>
      <c r="Z418" s="12"/>
      <c r="AA418" s="12"/>
    </row>
    <row r="419" spans="1:27"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793"/>
      <c r="W419" s="4"/>
      <c r="X419" s="12"/>
      <c r="Y419" s="12"/>
      <c r="Z419" s="12"/>
      <c r="AA419" s="12"/>
    </row>
    <row r="420" spans="1:27"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793"/>
      <c r="W420" s="4"/>
      <c r="X420" s="12"/>
      <c r="Y420" s="12"/>
      <c r="Z420" s="12"/>
      <c r="AA420" s="12"/>
    </row>
    <row r="421" spans="1:27"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793"/>
      <c r="W421" s="4"/>
      <c r="X421" s="12"/>
      <c r="Y421" s="12"/>
      <c r="Z421" s="12"/>
      <c r="AA421" s="12"/>
    </row>
    <row r="422" spans="1:27"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793"/>
      <c r="W422" s="4"/>
      <c r="X422" s="12"/>
      <c r="Y422" s="12"/>
      <c r="Z422" s="12"/>
      <c r="AA422" s="12"/>
    </row>
    <row r="423" spans="1:27"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793"/>
      <c r="W423" s="4"/>
      <c r="X423" s="12"/>
      <c r="Y423" s="12"/>
      <c r="Z423" s="12"/>
      <c r="AA423" s="12"/>
    </row>
    <row r="424" spans="1:27"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793"/>
      <c r="W424" s="4"/>
      <c r="X424" s="12"/>
      <c r="Y424" s="12"/>
      <c r="Z424" s="12"/>
      <c r="AA424" s="12"/>
    </row>
    <row r="425" spans="1:27"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793"/>
      <c r="W425" s="4"/>
      <c r="X425" s="12"/>
      <c r="Y425" s="12"/>
      <c r="Z425" s="12"/>
      <c r="AA425" s="12"/>
    </row>
    <row r="426" spans="1:27"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793"/>
      <c r="W426" s="4"/>
      <c r="X426" s="12"/>
      <c r="Y426" s="12"/>
      <c r="Z426" s="12"/>
      <c r="AA426" s="12"/>
    </row>
    <row r="427" spans="1:27"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793"/>
      <c r="W427" s="4"/>
      <c r="X427" s="12"/>
      <c r="Y427" s="12"/>
      <c r="Z427" s="12"/>
      <c r="AA427" s="12"/>
    </row>
    <row r="428" spans="1:27"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793"/>
      <c r="W428" s="4"/>
      <c r="X428" s="12"/>
      <c r="Y428" s="12"/>
      <c r="Z428" s="12"/>
      <c r="AA428" s="12"/>
    </row>
    <row r="429" spans="1:27"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793"/>
      <c r="W429" s="4"/>
      <c r="X429" s="12"/>
      <c r="Y429" s="12"/>
      <c r="Z429" s="12"/>
      <c r="AA429" s="12"/>
    </row>
    <row r="430" spans="1:27"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793"/>
      <c r="W430" s="4"/>
      <c r="X430" s="12"/>
      <c r="Y430" s="12"/>
      <c r="Z430" s="12"/>
      <c r="AA430" s="12"/>
    </row>
    <row r="431" spans="1:27"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793"/>
      <c r="W431" s="4"/>
      <c r="X431" s="12"/>
      <c r="Y431" s="12"/>
      <c r="Z431" s="12"/>
      <c r="AA431" s="12"/>
    </row>
    <row r="432" spans="1:27"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793"/>
      <c r="W432" s="4"/>
      <c r="X432" s="12"/>
      <c r="Y432" s="12"/>
      <c r="Z432" s="12"/>
      <c r="AA432" s="12"/>
    </row>
    <row r="433" spans="1:27"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793"/>
      <c r="W433" s="4"/>
      <c r="X433" s="12"/>
      <c r="Y433" s="12"/>
      <c r="Z433" s="12"/>
      <c r="AA433" s="12"/>
    </row>
    <row r="434" spans="1:27"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793"/>
      <c r="W434" s="4"/>
      <c r="X434" s="12"/>
      <c r="Y434" s="12"/>
      <c r="Z434" s="12"/>
      <c r="AA434" s="12"/>
    </row>
    <row r="435" spans="1:27"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793"/>
      <c r="W435" s="4"/>
      <c r="X435" s="12"/>
      <c r="Y435" s="12"/>
      <c r="Z435" s="12"/>
      <c r="AA435" s="12"/>
    </row>
    <row r="436" spans="1:27"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793"/>
      <c r="W436" s="4"/>
      <c r="X436" s="12"/>
      <c r="Y436" s="12"/>
      <c r="Z436" s="12"/>
      <c r="AA436" s="12"/>
    </row>
    <row r="437" spans="1:27"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793"/>
      <c r="W437" s="4"/>
      <c r="X437" s="12"/>
      <c r="Y437" s="12"/>
      <c r="Z437" s="12"/>
      <c r="AA437" s="12"/>
    </row>
    <row r="438" spans="1:27"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793"/>
      <c r="W438" s="4"/>
      <c r="X438" s="12"/>
      <c r="Y438" s="12"/>
      <c r="Z438" s="12"/>
      <c r="AA438" s="12"/>
    </row>
    <row r="439" spans="1:27"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793"/>
      <c r="W439" s="4"/>
      <c r="X439" s="12"/>
      <c r="Y439" s="12"/>
      <c r="Z439" s="12"/>
      <c r="AA439" s="12"/>
    </row>
    <row r="440" spans="1:27"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793"/>
      <c r="W440" s="4"/>
      <c r="X440" s="12"/>
      <c r="Y440" s="12"/>
      <c r="Z440" s="12"/>
      <c r="AA440" s="12"/>
    </row>
    <row r="441" spans="1:27"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793"/>
      <c r="W441" s="4"/>
      <c r="X441" s="12"/>
      <c r="Y441" s="12"/>
      <c r="Z441" s="12"/>
      <c r="AA441" s="12"/>
    </row>
    <row r="442" spans="1:27"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793"/>
      <c r="W442" s="4"/>
      <c r="X442" s="12"/>
      <c r="Y442" s="12"/>
      <c r="Z442" s="12"/>
      <c r="AA442" s="12"/>
    </row>
    <row r="443" spans="1:27"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793"/>
      <c r="W443" s="4"/>
      <c r="X443" s="12"/>
      <c r="Y443" s="12"/>
      <c r="Z443" s="12"/>
      <c r="AA443" s="12"/>
    </row>
    <row r="444" spans="1:27"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793"/>
      <c r="W444" s="4"/>
      <c r="X444" s="12"/>
      <c r="Y444" s="12"/>
      <c r="Z444" s="12"/>
      <c r="AA444" s="12"/>
    </row>
    <row r="445" spans="1:27"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793"/>
      <c r="W445" s="4"/>
      <c r="X445" s="12"/>
      <c r="Y445" s="12"/>
      <c r="Z445" s="12"/>
      <c r="AA445" s="12"/>
    </row>
    <row r="446" spans="1:27"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793"/>
      <c r="W446" s="4"/>
      <c r="X446" s="12"/>
      <c r="Y446" s="12"/>
      <c r="Z446" s="12"/>
      <c r="AA446" s="12"/>
    </row>
    <row r="447" spans="1:27"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793"/>
      <c r="W447" s="4"/>
      <c r="X447" s="12"/>
      <c r="Y447" s="12"/>
      <c r="Z447" s="12"/>
      <c r="AA447" s="12"/>
    </row>
    <row r="448" spans="1:27"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793"/>
      <c r="W448" s="4"/>
      <c r="X448" s="12"/>
      <c r="Y448" s="12"/>
      <c r="Z448" s="12"/>
      <c r="AA448" s="12"/>
    </row>
    <row r="449" spans="1:27"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793"/>
      <c r="W449" s="4"/>
      <c r="X449" s="12"/>
      <c r="Y449" s="12"/>
      <c r="Z449" s="12"/>
      <c r="AA449" s="12"/>
    </row>
    <row r="450" spans="1:27"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793"/>
      <c r="W450" s="4"/>
      <c r="X450" s="12"/>
      <c r="Y450" s="12"/>
      <c r="Z450" s="12"/>
      <c r="AA450" s="12"/>
    </row>
    <row r="451" spans="1:27"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793"/>
      <c r="W451" s="4"/>
      <c r="X451" s="12"/>
      <c r="Y451" s="12"/>
      <c r="Z451" s="12"/>
      <c r="AA451" s="12"/>
    </row>
    <row r="452" spans="1:27"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793"/>
      <c r="W452" s="4"/>
      <c r="X452" s="12"/>
      <c r="Y452" s="12"/>
      <c r="Z452" s="12"/>
      <c r="AA452" s="12"/>
    </row>
    <row r="453" spans="1:27"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793"/>
      <c r="W453" s="4"/>
      <c r="X453" s="12"/>
      <c r="Y453" s="12"/>
      <c r="Z453" s="12"/>
      <c r="AA453" s="12"/>
    </row>
    <row r="454" spans="1:27"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793"/>
      <c r="W454" s="4"/>
      <c r="X454" s="12"/>
      <c r="Y454" s="12"/>
      <c r="Z454" s="12"/>
      <c r="AA454" s="12"/>
    </row>
    <row r="455" spans="1:27"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793"/>
      <c r="W455" s="4"/>
      <c r="X455" s="12"/>
      <c r="Y455" s="12"/>
      <c r="Z455" s="12"/>
      <c r="AA455" s="12"/>
    </row>
    <row r="456" spans="1:27"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793"/>
      <c r="W456" s="4"/>
      <c r="X456" s="12"/>
      <c r="Y456" s="12"/>
      <c r="Z456" s="12"/>
      <c r="AA456" s="12"/>
    </row>
    <row r="457" spans="1:27"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793"/>
      <c r="W457" s="4"/>
      <c r="X457" s="12"/>
      <c r="Y457" s="12"/>
      <c r="Z457" s="12"/>
      <c r="AA457" s="12"/>
    </row>
    <row r="458" spans="1:27"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793"/>
      <c r="W458" s="4"/>
      <c r="X458" s="12"/>
      <c r="Y458" s="12"/>
      <c r="Z458" s="12"/>
      <c r="AA458" s="12"/>
    </row>
    <row r="459" spans="1:27"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793"/>
      <c r="W459" s="4"/>
      <c r="X459" s="12"/>
      <c r="Y459" s="12"/>
      <c r="Z459" s="12"/>
      <c r="AA459" s="12"/>
    </row>
    <row r="460" spans="1:27"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793"/>
      <c r="W460" s="4"/>
      <c r="X460" s="12"/>
      <c r="Y460" s="12"/>
      <c r="Z460" s="12"/>
      <c r="AA460" s="12"/>
    </row>
    <row r="461" spans="1:27"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793"/>
      <c r="W461" s="4"/>
      <c r="X461" s="12"/>
      <c r="Y461" s="12"/>
      <c r="Z461" s="12"/>
      <c r="AA461" s="12"/>
    </row>
    <row r="462" spans="1:27"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793"/>
      <c r="W462" s="4"/>
      <c r="X462" s="12"/>
      <c r="Y462" s="12"/>
      <c r="Z462" s="12"/>
      <c r="AA462" s="12"/>
    </row>
    <row r="463" spans="1:27"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793"/>
      <c r="W463" s="4"/>
      <c r="X463" s="12"/>
      <c r="Y463" s="12"/>
      <c r="Z463" s="12"/>
      <c r="AA463" s="12"/>
    </row>
    <row r="464" spans="1:27"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793"/>
      <c r="W464" s="4"/>
      <c r="X464" s="12"/>
      <c r="Y464" s="12"/>
      <c r="Z464" s="12"/>
      <c r="AA464" s="12"/>
    </row>
    <row r="465" spans="1:27"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793"/>
      <c r="W465" s="4"/>
      <c r="X465" s="12"/>
      <c r="Y465" s="12"/>
      <c r="Z465" s="12"/>
      <c r="AA465" s="12"/>
    </row>
    <row r="466" spans="1:27"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793"/>
      <c r="W466" s="4"/>
      <c r="X466" s="12"/>
      <c r="Y466" s="12"/>
      <c r="Z466" s="12"/>
      <c r="AA466" s="12"/>
    </row>
    <row r="467" spans="1:27"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793"/>
      <c r="W467" s="4"/>
      <c r="X467" s="12"/>
      <c r="Y467" s="12"/>
      <c r="Z467" s="12"/>
      <c r="AA467" s="12"/>
    </row>
    <row r="468" spans="1:27"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793"/>
      <c r="W468" s="4"/>
      <c r="X468" s="12"/>
      <c r="Y468" s="12"/>
      <c r="Z468" s="12"/>
      <c r="AA468" s="12"/>
    </row>
    <row r="469" spans="1:27"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793"/>
      <c r="W469" s="4"/>
      <c r="X469" s="12"/>
      <c r="Y469" s="12"/>
      <c r="Z469" s="12"/>
      <c r="AA469" s="12"/>
    </row>
    <row r="470" spans="1:27"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793"/>
      <c r="W470" s="4"/>
      <c r="X470" s="12"/>
      <c r="Y470" s="12"/>
      <c r="Z470" s="12"/>
      <c r="AA470" s="12"/>
    </row>
    <row r="471" spans="1:27"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793"/>
      <c r="W471" s="4"/>
      <c r="X471" s="12"/>
      <c r="Y471" s="12"/>
      <c r="Z471" s="12"/>
      <c r="AA471" s="12"/>
    </row>
    <row r="472" spans="1:27"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793"/>
      <c r="W472" s="4"/>
      <c r="X472" s="12"/>
      <c r="Y472" s="12"/>
      <c r="Z472" s="12"/>
      <c r="AA472" s="12"/>
    </row>
    <row r="473" spans="1:27"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793"/>
      <c r="W473" s="4"/>
      <c r="X473" s="12"/>
      <c r="Y473" s="12"/>
      <c r="Z473" s="12"/>
      <c r="AA473" s="12"/>
    </row>
    <row r="474" spans="1:27"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793"/>
      <c r="W474" s="4"/>
      <c r="X474" s="12"/>
      <c r="Y474" s="12"/>
      <c r="Z474" s="12"/>
      <c r="AA474" s="12"/>
    </row>
    <row r="475" spans="1:27"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793"/>
      <c r="W475" s="4"/>
      <c r="X475" s="12"/>
      <c r="Y475" s="12"/>
      <c r="Z475" s="12"/>
      <c r="AA475" s="12"/>
    </row>
    <row r="476" spans="1:27"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793"/>
      <c r="W476" s="4"/>
      <c r="X476" s="12"/>
      <c r="Y476" s="12"/>
      <c r="Z476" s="12"/>
      <c r="AA476" s="12"/>
    </row>
    <row r="477" spans="1:27"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793"/>
      <c r="W477" s="4"/>
      <c r="X477" s="12"/>
      <c r="Y477" s="12"/>
      <c r="Z477" s="12"/>
      <c r="AA477" s="12"/>
    </row>
    <row r="478" spans="1:27"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793"/>
      <c r="W478" s="4"/>
      <c r="X478" s="12"/>
      <c r="Y478" s="12"/>
      <c r="Z478" s="12"/>
      <c r="AA478" s="12"/>
    </row>
    <row r="479" spans="1:27"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793"/>
      <c r="W479" s="4"/>
      <c r="X479" s="12"/>
      <c r="Y479" s="12"/>
      <c r="Z479" s="12"/>
      <c r="AA479" s="12"/>
    </row>
    <row r="480" spans="1:27"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793"/>
      <c r="W480" s="4"/>
      <c r="X480" s="12"/>
      <c r="Y480" s="12"/>
      <c r="Z480" s="12"/>
      <c r="AA480" s="12"/>
    </row>
    <row r="481" spans="1:27"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793"/>
      <c r="W481" s="4"/>
      <c r="X481" s="12"/>
      <c r="Y481" s="12"/>
      <c r="Z481" s="12"/>
      <c r="AA481" s="12"/>
    </row>
    <row r="482" spans="1:27"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793"/>
      <c r="W482" s="4"/>
      <c r="X482" s="12"/>
      <c r="Y482" s="12"/>
      <c r="Z482" s="12"/>
      <c r="AA482" s="12"/>
    </row>
    <row r="483" spans="1:27"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793"/>
      <c r="W483" s="4"/>
      <c r="X483" s="12"/>
      <c r="Y483" s="12"/>
      <c r="Z483" s="12"/>
      <c r="AA483" s="12"/>
    </row>
    <row r="484" spans="1:27"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793"/>
      <c r="W484" s="4"/>
      <c r="X484" s="12"/>
      <c r="Y484" s="12"/>
      <c r="Z484" s="12"/>
      <c r="AA484" s="12"/>
    </row>
    <row r="485" spans="1:27"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793"/>
      <c r="W485" s="4"/>
      <c r="X485" s="12"/>
      <c r="Y485" s="12"/>
      <c r="Z485" s="12"/>
      <c r="AA485" s="12"/>
    </row>
    <row r="486" spans="1:27"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793"/>
      <c r="W486" s="4"/>
      <c r="X486" s="12"/>
      <c r="Y486" s="12"/>
      <c r="Z486" s="12"/>
      <c r="AA486" s="12"/>
    </row>
    <row r="487" spans="1:27"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793"/>
      <c r="W487" s="4"/>
      <c r="X487" s="12"/>
      <c r="Y487" s="12"/>
      <c r="Z487" s="12"/>
      <c r="AA487" s="12"/>
    </row>
    <row r="488" spans="1:27"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793"/>
      <c r="W488" s="4"/>
      <c r="X488" s="12"/>
      <c r="Y488" s="12"/>
      <c r="Z488" s="12"/>
      <c r="AA488" s="12"/>
    </row>
    <row r="489" spans="1:27"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793"/>
      <c r="W489" s="4"/>
      <c r="X489" s="12"/>
      <c r="Y489" s="12"/>
      <c r="Z489" s="12"/>
      <c r="AA489" s="12"/>
    </row>
    <row r="490" spans="1:27"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793"/>
      <c r="W490" s="4"/>
      <c r="X490" s="12"/>
      <c r="Y490" s="12"/>
      <c r="Z490" s="12"/>
      <c r="AA490" s="12"/>
    </row>
    <row r="491" spans="1:27"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793"/>
      <c r="W491" s="4"/>
      <c r="X491" s="12"/>
      <c r="Y491" s="12"/>
      <c r="Z491" s="12"/>
      <c r="AA491" s="12"/>
    </row>
    <row r="492" spans="1:27"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793"/>
      <c r="W492" s="4"/>
      <c r="X492" s="12"/>
      <c r="Y492" s="12"/>
      <c r="Z492" s="12"/>
      <c r="AA492" s="12"/>
    </row>
    <row r="493" spans="1:27"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793"/>
      <c r="W493" s="4"/>
      <c r="X493" s="12"/>
      <c r="Y493" s="12"/>
      <c r="Z493" s="12"/>
      <c r="AA493" s="12"/>
    </row>
    <row r="494" spans="1:27"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793"/>
      <c r="W494" s="4"/>
      <c r="X494" s="12"/>
      <c r="Y494" s="12"/>
      <c r="Z494" s="12"/>
      <c r="AA494" s="12"/>
    </row>
    <row r="495" spans="1:27"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793"/>
      <c r="W495" s="4"/>
      <c r="X495" s="12"/>
      <c r="Y495" s="12"/>
      <c r="Z495" s="12"/>
      <c r="AA495" s="12"/>
    </row>
    <row r="496" spans="1:27"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793"/>
      <c r="W496" s="4"/>
      <c r="X496" s="12"/>
      <c r="Y496" s="12"/>
      <c r="Z496" s="12"/>
      <c r="AA496" s="12"/>
    </row>
    <row r="497" spans="1:27"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793"/>
      <c r="W497" s="4"/>
      <c r="X497" s="12"/>
      <c r="Y497" s="12"/>
      <c r="Z497" s="12"/>
      <c r="AA497" s="12"/>
    </row>
    <row r="498" spans="1:27"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793"/>
      <c r="W498" s="4"/>
      <c r="X498" s="12"/>
      <c r="Y498" s="12"/>
      <c r="Z498" s="12"/>
      <c r="AA498" s="12"/>
    </row>
    <row r="499" spans="1:27"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793"/>
      <c r="W499" s="4"/>
      <c r="X499" s="12"/>
      <c r="Y499" s="12"/>
      <c r="Z499" s="12"/>
      <c r="AA499" s="12"/>
    </row>
    <row r="500" spans="1:27"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793"/>
      <c r="W500" s="4"/>
      <c r="X500" s="12"/>
      <c r="Y500" s="12"/>
      <c r="Z500" s="12"/>
      <c r="AA500" s="12"/>
    </row>
    <row r="501" spans="1:27"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793"/>
      <c r="W501" s="4"/>
      <c r="X501" s="12"/>
      <c r="Y501" s="12"/>
      <c r="Z501" s="12"/>
      <c r="AA501" s="12"/>
    </row>
    <row r="502" spans="1:27"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793"/>
      <c r="W502" s="4"/>
      <c r="X502" s="12"/>
      <c r="Y502" s="12"/>
      <c r="Z502" s="12"/>
      <c r="AA502" s="12"/>
    </row>
    <row r="503" spans="1:27"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793"/>
      <c r="W503" s="4"/>
      <c r="X503" s="12"/>
      <c r="Y503" s="12"/>
      <c r="Z503" s="12"/>
      <c r="AA503" s="12"/>
    </row>
    <row r="504" spans="1:27"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793"/>
      <c r="W504" s="4"/>
      <c r="X504" s="12"/>
      <c r="Y504" s="12"/>
      <c r="Z504" s="12"/>
      <c r="AA504" s="12"/>
    </row>
    <row r="505" spans="1:27"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793"/>
      <c r="W505" s="4"/>
      <c r="X505" s="12"/>
      <c r="Y505" s="12"/>
      <c r="Z505" s="12"/>
      <c r="AA505" s="12"/>
    </row>
    <row r="506" spans="1:27"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793"/>
      <c r="W506" s="4"/>
      <c r="X506" s="12"/>
      <c r="Y506" s="12"/>
      <c r="Z506" s="12"/>
      <c r="AA506" s="12"/>
    </row>
    <row r="507" spans="1:27"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793"/>
      <c r="W507" s="4"/>
      <c r="X507" s="12"/>
      <c r="Y507" s="12"/>
      <c r="Z507" s="12"/>
      <c r="AA507" s="12"/>
    </row>
    <row r="508" spans="1:27"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793"/>
      <c r="W508" s="4"/>
      <c r="X508" s="12"/>
      <c r="Y508" s="12"/>
      <c r="Z508" s="12"/>
      <c r="AA508" s="12"/>
    </row>
    <row r="509" spans="1:27"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793"/>
      <c r="W509" s="4"/>
      <c r="X509" s="12"/>
      <c r="Y509" s="12"/>
      <c r="Z509" s="12"/>
      <c r="AA509" s="12"/>
    </row>
    <row r="510" spans="1:27"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793"/>
      <c r="W510" s="4"/>
      <c r="X510" s="12"/>
      <c r="Y510" s="12"/>
      <c r="Z510" s="12"/>
      <c r="AA510" s="12"/>
    </row>
    <row r="511" spans="1:27"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793"/>
      <c r="W511" s="4"/>
      <c r="X511" s="12"/>
      <c r="Y511" s="12"/>
      <c r="Z511" s="12"/>
      <c r="AA511" s="12"/>
    </row>
    <row r="512" spans="1:27"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793"/>
      <c r="W512" s="4"/>
      <c r="X512" s="12"/>
      <c r="Y512" s="12"/>
      <c r="Z512" s="12"/>
      <c r="AA512" s="12"/>
    </row>
    <row r="513" spans="1:27"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793"/>
      <c r="W513" s="4"/>
      <c r="X513" s="12"/>
      <c r="Y513" s="12"/>
      <c r="Z513" s="12"/>
      <c r="AA513" s="12"/>
    </row>
    <row r="514" spans="1:27"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793"/>
      <c r="W514" s="4"/>
      <c r="X514" s="12"/>
      <c r="Y514" s="12"/>
      <c r="Z514" s="12"/>
      <c r="AA514" s="12"/>
    </row>
    <row r="515" spans="1:27"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793"/>
      <c r="W515" s="4"/>
      <c r="X515" s="12"/>
      <c r="Y515" s="12"/>
      <c r="Z515" s="12"/>
      <c r="AA515" s="12"/>
    </row>
    <row r="516" spans="1:27"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793"/>
      <c r="W516" s="4"/>
      <c r="X516" s="12"/>
      <c r="Y516" s="12"/>
      <c r="Z516" s="12"/>
      <c r="AA516" s="12"/>
    </row>
    <row r="517" spans="1:27"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793"/>
      <c r="W517" s="4"/>
      <c r="X517" s="12"/>
      <c r="Y517" s="12"/>
      <c r="Z517" s="12"/>
      <c r="AA517" s="12"/>
    </row>
    <row r="518" spans="1:27"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793"/>
      <c r="W518" s="4"/>
      <c r="X518" s="12"/>
      <c r="Y518" s="12"/>
      <c r="Z518" s="12"/>
      <c r="AA518" s="12"/>
    </row>
    <row r="519" spans="1:27"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793"/>
      <c r="W519" s="4"/>
      <c r="X519" s="12"/>
      <c r="Y519" s="12"/>
      <c r="Z519" s="12"/>
      <c r="AA519" s="12"/>
    </row>
    <row r="520" spans="1:27"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793"/>
      <c r="W520" s="4"/>
      <c r="X520" s="12"/>
      <c r="Y520" s="12"/>
      <c r="Z520" s="12"/>
      <c r="AA520" s="12"/>
    </row>
    <row r="521" spans="1:27"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793"/>
      <c r="W521" s="4"/>
      <c r="X521" s="12"/>
      <c r="Y521" s="12"/>
      <c r="Z521" s="12"/>
      <c r="AA521" s="12"/>
    </row>
    <row r="522" spans="1:27"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793"/>
      <c r="W522" s="4"/>
      <c r="X522" s="12"/>
      <c r="Y522" s="12"/>
      <c r="Z522" s="12"/>
      <c r="AA522" s="12"/>
    </row>
    <row r="523" spans="1:27"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793"/>
      <c r="W523" s="4"/>
      <c r="X523" s="12"/>
      <c r="Y523" s="12"/>
      <c r="Z523" s="12"/>
      <c r="AA523" s="12"/>
    </row>
    <row r="524" spans="1:27"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793"/>
      <c r="W524" s="4"/>
      <c r="X524" s="12"/>
      <c r="Y524" s="12"/>
      <c r="Z524" s="12"/>
      <c r="AA524" s="12"/>
    </row>
    <row r="525" spans="1:27"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793"/>
      <c r="W525" s="4"/>
      <c r="X525" s="12"/>
      <c r="Y525" s="12"/>
      <c r="Z525" s="12"/>
      <c r="AA525" s="12"/>
    </row>
    <row r="526" spans="1:27"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793"/>
      <c r="W526" s="4"/>
      <c r="X526" s="12"/>
      <c r="Y526" s="12"/>
      <c r="Z526" s="12"/>
      <c r="AA526" s="12"/>
    </row>
    <row r="527" spans="1:27"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793"/>
      <c r="W527" s="4"/>
      <c r="X527" s="12"/>
      <c r="Y527" s="12"/>
      <c r="Z527" s="12"/>
      <c r="AA527" s="12"/>
    </row>
    <row r="528" spans="1:27"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793"/>
      <c r="W528" s="4"/>
      <c r="X528" s="12"/>
      <c r="Y528" s="12"/>
      <c r="Z528" s="12"/>
      <c r="AA528" s="12"/>
    </row>
    <row r="529" spans="1:27"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793"/>
      <c r="W529" s="4"/>
      <c r="X529" s="12"/>
      <c r="Y529" s="12"/>
      <c r="Z529" s="12"/>
      <c r="AA529" s="12"/>
    </row>
    <row r="530" spans="1:27"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793"/>
      <c r="W530" s="4"/>
      <c r="X530" s="12"/>
      <c r="Y530" s="12"/>
      <c r="Z530" s="12"/>
      <c r="AA530" s="12"/>
    </row>
    <row r="531" spans="1:27"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793"/>
      <c r="W531" s="4"/>
      <c r="X531" s="12"/>
      <c r="Y531" s="12"/>
      <c r="Z531" s="12"/>
      <c r="AA531" s="12"/>
    </row>
    <row r="532" spans="1:27"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793"/>
      <c r="W532" s="4"/>
      <c r="X532" s="12"/>
      <c r="Y532" s="12"/>
      <c r="Z532" s="12"/>
      <c r="AA532" s="12"/>
    </row>
    <row r="533" spans="1:27"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793"/>
      <c r="W533" s="4"/>
      <c r="X533" s="12"/>
      <c r="Y533" s="12"/>
      <c r="Z533" s="12"/>
      <c r="AA533" s="12"/>
    </row>
    <row r="534" spans="1:27"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793"/>
      <c r="W534" s="4"/>
      <c r="X534" s="12"/>
      <c r="Y534" s="12"/>
      <c r="Z534" s="12"/>
      <c r="AA534" s="12"/>
    </row>
    <row r="535" spans="1:27"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793"/>
      <c r="W535" s="4"/>
      <c r="X535" s="12"/>
      <c r="Y535" s="12"/>
      <c r="Z535" s="12"/>
      <c r="AA535" s="12"/>
    </row>
    <row r="536" spans="1:27"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793"/>
      <c r="W536" s="4"/>
      <c r="X536" s="12"/>
      <c r="Y536" s="12"/>
      <c r="Z536" s="12"/>
      <c r="AA536" s="12"/>
    </row>
    <row r="537" spans="1:27"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793"/>
      <c r="W537" s="4"/>
      <c r="X537" s="12"/>
      <c r="Y537" s="12"/>
      <c r="Z537" s="12"/>
      <c r="AA537" s="12"/>
    </row>
    <row r="538" spans="1:27"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793"/>
      <c r="W538" s="4"/>
      <c r="X538" s="12"/>
      <c r="Y538" s="12"/>
      <c r="Z538" s="12"/>
      <c r="AA538" s="12"/>
    </row>
    <row r="539" spans="1:27"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793"/>
      <c r="W539" s="4"/>
      <c r="X539" s="12"/>
      <c r="Y539" s="12"/>
      <c r="Z539" s="12"/>
      <c r="AA539" s="12"/>
    </row>
    <row r="540" spans="1:27"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793"/>
      <c r="W540" s="4"/>
      <c r="X540" s="12"/>
      <c r="Y540" s="12"/>
      <c r="Z540" s="12"/>
      <c r="AA540" s="12"/>
    </row>
    <row r="541" spans="1:27"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793"/>
      <c r="W541" s="4"/>
      <c r="X541" s="12"/>
      <c r="Y541" s="12"/>
      <c r="Z541" s="12"/>
      <c r="AA541" s="12"/>
    </row>
    <row r="542" spans="1:27"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793"/>
      <c r="W542" s="4"/>
      <c r="X542" s="12"/>
      <c r="Y542" s="12"/>
      <c r="Z542" s="12"/>
      <c r="AA542" s="12"/>
    </row>
    <row r="543" spans="1:27"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793"/>
      <c r="W543" s="4"/>
      <c r="X543" s="12"/>
      <c r="Y543" s="12"/>
      <c r="Z543" s="12"/>
      <c r="AA543" s="12"/>
    </row>
    <row r="544" spans="1:27"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793"/>
      <c r="W544" s="4"/>
      <c r="X544" s="12"/>
      <c r="Y544" s="12"/>
      <c r="Z544" s="12"/>
      <c r="AA544" s="12"/>
    </row>
    <row r="545" spans="1:27"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793"/>
      <c r="W545" s="4"/>
      <c r="X545" s="12"/>
      <c r="Y545" s="12"/>
      <c r="Z545" s="12"/>
      <c r="AA545" s="12"/>
    </row>
    <row r="546" spans="1:27"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793"/>
      <c r="W546" s="4"/>
      <c r="X546" s="12"/>
      <c r="Y546" s="12"/>
      <c r="Z546" s="12"/>
      <c r="AA546" s="12"/>
    </row>
    <row r="547" spans="1:27"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793"/>
      <c r="W547" s="4"/>
      <c r="X547" s="12"/>
      <c r="Y547" s="12"/>
      <c r="Z547" s="12"/>
      <c r="AA547" s="12"/>
    </row>
    <row r="548" spans="1:27"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793"/>
      <c r="W548" s="4"/>
      <c r="X548" s="12"/>
      <c r="Y548" s="12"/>
      <c r="Z548" s="12"/>
      <c r="AA548" s="12"/>
    </row>
    <row r="549" spans="1:27"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793"/>
      <c r="W549" s="4"/>
      <c r="X549" s="12"/>
      <c r="Y549" s="12"/>
      <c r="Z549" s="12"/>
      <c r="AA549" s="12"/>
    </row>
    <row r="550" spans="1:27"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793"/>
      <c r="W550" s="4"/>
      <c r="X550" s="12"/>
      <c r="Y550" s="12"/>
      <c r="Z550" s="12"/>
      <c r="AA550" s="12"/>
    </row>
    <row r="551" spans="1:27"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793"/>
      <c r="W551" s="4"/>
      <c r="X551" s="12"/>
      <c r="Y551" s="12"/>
      <c r="Z551" s="12"/>
      <c r="AA551" s="12"/>
    </row>
    <row r="552" spans="1:27"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793"/>
      <c r="W552" s="4"/>
      <c r="X552" s="12"/>
      <c r="Y552" s="12"/>
      <c r="Z552" s="12"/>
      <c r="AA552" s="12"/>
    </row>
    <row r="553" spans="1:27"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793"/>
      <c r="W553" s="4"/>
      <c r="X553" s="12"/>
      <c r="Y553" s="12"/>
      <c r="Z553" s="12"/>
      <c r="AA553" s="12"/>
    </row>
    <row r="554" spans="1:27"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793"/>
      <c r="W554" s="4"/>
      <c r="X554" s="12"/>
      <c r="Y554" s="12"/>
      <c r="Z554" s="12"/>
      <c r="AA554" s="12"/>
    </row>
    <row r="555" spans="1:27"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793"/>
      <c r="W555" s="4"/>
      <c r="X555" s="12"/>
      <c r="Y555" s="12"/>
      <c r="Z555" s="12"/>
      <c r="AA555" s="12"/>
    </row>
    <row r="556" spans="1:27"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793"/>
      <c r="W556" s="4"/>
      <c r="X556" s="12"/>
      <c r="Y556" s="12"/>
      <c r="Z556" s="12"/>
      <c r="AA556" s="12"/>
    </row>
    <row r="557" spans="1:27"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793"/>
      <c r="W557" s="4"/>
      <c r="X557" s="12"/>
      <c r="Y557" s="12"/>
      <c r="Z557" s="12"/>
      <c r="AA557" s="12"/>
    </row>
    <row r="558" spans="1:27"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793"/>
      <c r="W558" s="4"/>
      <c r="X558" s="12"/>
      <c r="Y558" s="12"/>
      <c r="Z558" s="12"/>
      <c r="AA558" s="12"/>
    </row>
    <row r="559" spans="1:27"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793"/>
      <c r="W559" s="4"/>
      <c r="X559" s="12"/>
      <c r="Y559" s="12"/>
      <c r="Z559" s="12"/>
      <c r="AA559" s="12"/>
    </row>
    <row r="560" spans="1:27"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793"/>
      <c r="W560" s="4"/>
      <c r="X560" s="12"/>
      <c r="Y560" s="12"/>
      <c r="Z560" s="12"/>
      <c r="AA560" s="12"/>
    </row>
    <row r="561" spans="1:27"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793"/>
      <c r="W561" s="4"/>
      <c r="X561" s="12"/>
      <c r="Y561" s="12"/>
      <c r="Z561" s="12"/>
      <c r="AA561" s="12"/>
    </row>
    <row r="562" spans="1:27"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793"/>
      <c r="W562" s="4"/>
      <c r="X562" s="12"/>
      <c r="Y562" s="12"/>
      <c r="Z562" s="12"/>
      <c r="AA562" s="12"/>
    </row>
    <row r="563" spans="1:27"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793"/>
      <c r="W563" s="4"/>
      <c r="X563" s="12"/>
      <c r="Y563" s="12"/>
      <c r="Z563" s="12"/>
      <c r="AA563" s="12"/>
    </row>
    <row r="564" spans="1:27"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793"/>
      <c r="W564" s="4"/>
      <c r="X564" s="12"/>
      <c r="Y564" s="12"/>
      <c r="Z564" s="12"/>
      <c r="AA564" s="12"/>
    </row>
    <row r="565" spans="1:27"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793"/>
      <c r="W565" s="4"/>
      <c r="X565" s="12"/>
      <c r="Y565" s="12"/>
      <c r="Z565" s="12"/>
      <c r="AA565" s="12"/>
    </row>
    <row r="566" spans="1:27"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793"/>
      <c r="W566" s="4"/>
      <c r="X566" s="12"/>
      <c r="Y566" s="12"/>
      <c r="Z566" s="12"/>
      <c r="AA566" s="12"/>
    </row>
    <row r="567" spans="1:27"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793"/>
      <c r="W567" s="4"/>
      <c r="X567" s="12"/>
      <c r="Y567" s="12"/>
      <c r="Z567" s="12"/>
      <c r="AA567" s="12"/>
    </row>
    <row r="568" spans="1:27"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793"/>
      <c r="W568" s="4"/>
      <c r="X568" s="12"/>
      <c r="Y568" s="12"/>
      <c r="Z568" s="12"/>
      <c r="AA568" s="12"/>
    </row>
    <row r="569" spans="1:27"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793"/>
      <c r="W569" s="4"/>
      <c r="X569" s="12"/>
      <c r="Y569" s="12"/>
      <c r="Z569" s="12"/>
      <c r="AA569" s="12"/>
    </row>
    <row r="570" spans="1:27"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793"/>
      <c r="W570" s="4"/>
      <c r="X570" s="12"/>
      <c r="Y570" s="12"/>
      <c r="Z570" s="12"/>
      <c r="AA570" s="12"/>
    </row>
    <row r="571" spans="1:27"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793"/>
      <c r="W571" s="4"/>
      <c r="X571" s="12"/>
      <c r="Y571" s="12"/>
      <c r="Z571" s="12"/>
      <c r="AA571" s="12"/>
    </row>
    <row r="572" spans="1:27"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793"/>
      <c r="W572" s="4"/>
      <c r="X572" s="12"/>
      <c r="Y572" s="12"/>
      <c r="Z572" s="12"/>
      <c r="AA572" s="12"/>
    </row>
    <row r="573" spans="1:27"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793"/>
      <c r="W573" s="4"/>
      <c r="X573" s="12"/>
      <c r="Y573" s="12"/>
      <c r="Z573" s="12"/>
      <c r="AA573" s="12"/>
    </row>
    <row r="574" spans="1:27"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793"/>
      <c r="W574" s="4"/>
      <c r="X574" s="12"/>
      <c r="Y574" s="12"/>
      <c r="Z574" s="12"/>
      <c r="AA574" s="12"/>
    </row>
    <row r="575" spans="1:27"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793"/>
      <c r="W575" s="4"/>
      <c r="X575" s="12"/>
      <c r="Y575" s="12"/>
      <c r="Z575" s="12"/>
      <c r="AA575" s="12"/>
    </row>
    <row r="576" spans="1:27"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793"/>
      <c r="W576" s="4"/>
      <c r="X576" s="12"/>
      <c r="Y576" s="12"/>
      <c r="Z576" s="12"/>
      <c r="AA576" s="12"/>
    </row>
    <row r="577" spans="1:27"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793"/>
      <c r="W577" s="4"/>
      <c r="X577" s="12"/>
      <c r="Y577" s="12"/>
      <c r="Z577" s="12"/>
      <c r="AA577" s="12"/>
    </row>
    <row r="578" spans="1:27"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793"/>
      <c r="W578" s="4"/>
      <c r="X578" s="12"/>
      <c r="Y578" s="12"/>
      <c r="Z578" s="12"/>
      <c r="AA578" s="12"/>
    </row>
    <row r="579" spans="1:27"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793"/>
      <c r="W579" s="4"/>
      <c r="X579" s="12"/>
      <c r="Y579" s="12"/>
      <c r="Z579" s="12"/>
      <c r="AA579" s="12"/>
    </row>
    <row r="580" spans="1:27"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793"/>
      <c r="W580" s="4"/>
      <c r="X580" s="12"/>
      <c r="Y580" s="12"/>
      <c r="Z580" s="12"/>
      <c r="AA580" s="12"/>
    </row>
    <row r="581" spans="1:27"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793"/>
      <c r="W581" s="4"/>
      <c r="X581" s="12"/>
      <c r="Y581" s="12"/>
      <c r="Z581" s="12"/>
      <c r="AA581" s="12"/>
    </row>
    <row r="582" spans="1:27"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793"/>
      <c r="W582" s="4"/>
      <c r="X582" s="12"/>
      <c r="Y582" s="12"/>
      <c r="Z582" s="12"/>
      <c r="AA582" s="12"/>
    </row>
    <row r="583" spans="1:27"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793"/>
      <c r="W583" s="4"/>
      <c r="X583" s="12"/>
      <c r="Y583" s="12"/>
      <c r="Z583" s="12"/>
      <c r="AA583" s="12"/>
    </row>
    <row r="584" spans="1:27"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793"/>
      <c r="W584" s="4"/>
      <c r="X584" s="12"/>
      <c r="Y584" s="12"/>
      <c r="Z584" s="12"/>
      <c r="AA584" s="12"/>
    </row>
    <row r="585" spans="1:27"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793"/>
      <c r="W585" s="4"/>
      <c r="X585" s="12"/>
      <c r="Y585" s="12"/>
      <c r="Z585" s="12"/>
      <c r="AA585" s="12"/>
    </row>
    <row r="586" spans="1:27"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793"/>
      <c r="W586" s="4"/>
      <c r="X586" s="12"/>
      <c r="Y586" s="12"/>
      <c r="Z586" s="12"/>
      <c r="AA586" s="12"/>
    </row>
    <row r="587" spans="1:27"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793"/>
      <c r="W587" s="4"/>
      <c r="X587" s="12"/>
      <c r="Y587" s="12"/>
      <c r="Z587" s="12"/>
      <c r="AA587" s="12"/>
    </row>
    <row r="588" spans="1:27"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793"/>
      <c r="W588" s="4"/>
      <c r="X588" s="12"/>
      <c r="Y588" s="12"/>
      <c r="Z588" s="12"/>
      <c r="AA588" s="12"/>
    </row>
    <row r="589" spans="1:27"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793"/>
      <c r="W589" s="4"/>
      <c r="X589" s="12"/>
      <c r="Y589" s="12"/>
      <c r="Z589" s="12"/>
      <c r="AA589" s="12"/>
    </row>
    <row r="590" spans="1:27"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793"/>
      <c r="W590" s="4"/>
      <c r="X590" s="12"/>
      <c r="Y590" s="12"/>
      <c r="Z590" s="12"/>
      <c r="AA590" s="12"/>
    </row>
    <row r="591" spans="1:27"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793"/>
      <c r="W591" s="4"/>
      <c r="X591" s="12"/>
      <c r="Y591" s="12"/>
      <c r="Z591" s="12"/>
      <c r="AA591" s="12"/>
    </row>
    <row r="592" spans="1:27"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793"/>
      <c r="W592" s="4"/>
      <c r="X592" s="12"/>
      <c r="Y592" s="12"/>
      <c r="Z592" s="12"/>
      <c r="AA592" s="12"/>
    </row>
    <row r="593" spans="1:27"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793"/>
      <c r="W593" s="4"/>
      <c r="X593" s="12"/>
      <c r="Y593" s="12"/>
      <c r="Z593" s="12"/>
      <c r="AA593" s="12"/>
    </row>
    <row r="594" spans="1:27"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793"/>
      <c r="W594" s="4"/>
      <c r="X594" s="12"/>
      <c r="Y594" s="12"/>
      <c r="Z594" s="12"/>
      <c r="AA594" s="12"/>
    </row>
    <row r="595" spans="1:27"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793"/>
      <c r="W595" s="4"/>
      <c r="X595" s="12"/>
      <c r="Y595" s="12"/>
      <c r="Z595" s="12"/>
      <c r="AA595" s="12"/>
    </row>
    <row r="596" spans="1:27"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793"/>
      <c r="W596" s="4"/>
      <c r="X596" s="12"/>
      <c r="Y596" s="12"/>
      <c r="Z596" s="12"/>
      <c r="AA596" s="12"/>
    </row>
    <row r="597" spans="1:27"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793"/>
      <c r="W597" s="4"/>
      <c r="X597" s="12"/>
      <c r="Y597" s="12"/>
      <c r="Z597" s="12"/>
      <c r="AA597" s="12"/>
    </row>
    <row r="598" spans="1:27"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793"/>
      <c r="W598" s="4"/>
      <c r="X598" s="12"/>
      <c r="Y598" s="12"/>
      <c r="Z598" s="12"/>
      <c r="AA598" s="12"/>
    </row>
    <row r="599" spans="1:27"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793"/>
      <c r="W599" s="4"/>
      <c r="X599" s="12"/>
      <c r="Y599" s="12"/>
      <c r="Z599" s="12"/>
      <c r="AA599" s="12"/>
    </row>
    <row r="600" spans="1:27"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793"/>
      <c r="W600" s="4"/>
      <c r="X600" s="12"/>
      <c r="Y600" s="12"/>
      <c r="Z600" s="12"/>
      <c r="AA600" s="12"/>
    </row>
    <row r="601" spans="1:27"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793"/>
      <c r="W601" s="4"/>
      <c r="X601" s="12"/>
      <c r="Y601" s="12"/>
      <c r="Z601" s="12"/>
      <c r="AA601" s="12"/>
    </row>
    <row r="602" spans="1:27"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793"/>
      <c r="W602" s="4"/>
      <c r="X602" s="12"/>
      <c r="Y602" s="12"/>
      <c r="Z602" s="12"/>
      <c r="AA602" s="12"/>
    </row>
    <row r="603" spans="1:27"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793"/>
      <c r="W603" s="4"/>
      <c r="X603" s="12"/>
      <c r="Y603" s="12"/>
      <c r="Z603" s="12"/>
      <c r="AA603" s="12"/>
    </row>
    <row r="604" spans="1:27"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793"/>
      <c r="W604" s="4"/>
      <c r="X604" s="12"/>
      <c r="Y604" s="12"/>
      <c r="Z604" s="12"/>
      <c r="AA604" s="12"/>
    </row>
    <row r="605" spans="1:27"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793"/>
      <c r="W605" s="4"/>
      <c r="X605" s="12"/>
      <c r="Y605" s="12"/>
      <c r="Z605" s="12"/>
      <c r="AA605" s="12"/>
    </row>
    <row r="606" spans="1:27"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793"/>
      <c r="W606" s="4"/>
      <c r="X606" s="12"/>
      <c r="Y606" s="12"/>
      <c r="Z606" s="12"/>
      <c r="AA606" s="12"/>
    </row>
    <row r="607" spans="1:27"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793"/>
      <c r="W607" s="4"/>
      <c r="X607" s="12"/>
      <c r="Y607" s="12"/>
      <c r="Z607" s="12"/>
      <c r="AA607" s="12"/>
    </row>
    <row r="608" spans="1:27"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793"/>
      <c r="W608" s="4"/>
      <c r="X608" s="12"/>
      <c r="Y608" s="12"/>
      <c r="Z608" s="12"/>
      <c r="AA608" s="12"/>
    </row>
    <row r="609" spans="1:27"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793"/>
      <c r="W609" s="4"/>
      <c r="X609" s="12"/>
      <c r="Y609" s="12"/>
      <c r="Z609" s="12"/>
      <c r="AA609" s="12"/>
    </row>
    <row r="610" spans="1:27"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793"/>
      <c r="W610" s="4"/>
      <c r="X610" s="12"/>
      <c r="Y610" s="12"/>
      <c r="Z610" s="12"/>
      <c r="AA610" s="12"/>
    </row>
    <row r="611" spans="1:27"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793"/>
      <c r="W611" s="4"/>
      <c r="X611" s="12"/>
      <c r="Y611" s="12"/>
      <c r="Z611" s="12"/>
      <c r="AA611" s="12"/>
    </row>
    <row r="612" spans="1:27"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793"/>
      <c r="W612" s="4"/>
      <c r="X612" s="12"/>
      <c r="Y612" s="12"/>
      <c r="Z612" s="12"/>
      <c r="AA612" s="12"/>
    </row>
    <row r="613" spans="1:27"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793"/>
      <c r="W613" s="4"/>
      <c r="X613" s="12"/>
      <c r="Y613" s="12"/>
      <c r="Z613" s="12"/>
      <c r="AA613" s="12"/>
    </row>
    <row r="614" spans="1:27"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793"/>
      <c r="W614" s="4"/>
      <c r="X614" s="12"/>
      <c r="Y614" s="12"/>
      <c r="Z614" s="12"/>
      <c r="AA614" s="12"/>
    </row>
    <row r="615" spans="1:27"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793"/>
      <c r="W615" s="4"/>
      <c r="X615" s="12"/>
      <c r="Y615" s="12"/>
      <c r="Z615" s="12"/>
      <c r="AA615" s="12"/>
    </row>
    <row r="616" spans="1:27"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793"/>
      <c r="W616" s="4"/>
      <c r="X616" s="12"/>
      <c r="Y616" s="12"/>
      <c r="Z616" s="12"/>
      <c r="AA616" s="12"/>
    </row>
    <row r="617" spans="1:27"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793"/>
      <c r="W617" s="4"/>
      <c r="X617" s="12"/>
      <c r="Y617" s="12"/>
      <c r="Z617" s="12"/>
      <c r="AA617" s="12"/>
    </row>
    <row r="618" spans="1:27"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793"/>
      <c r="W618" s="4"/>
      <c r="X618" s="12"/>
      <c r="Y618" s="12"/>
      <c r="Z618" s="12"/>
      <c r="AA618" s="12"/>
    </row>
    <row r="619" spans="1:27"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793"/>
      <c r="W619" s="4"/>
      <c r="X619" s="12"/>
      <c r="Y619" s="12"/>
      <c r="Z619" s="12"/>
      <c r="AA619" s="12"/>
    </row>
    <row r="620" spans="1:27"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793"/>
      <c r="W620" s="4"/>
      <c r="X620" s="12"/>
      <c r="Y620" s="12"/>
      <c r="Z620" s="12"/>
      <c r="AA620" s="12"/>
    </row>
    <row r="621" spans="1:27"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793"/>
      <c r="W621" s="4"/>
      <c r="X621" s="12"/>
      <c r="Y621" s="12"/>
      <c r="Z621" s="12"/>
      <c r="AA621" s="12"/>
    </row>
    <row r="622" spans="1:27"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793"/>
      <c r="W622" s="4"/>
      <c r="X622" s="12"/>
      <c r="Y622" s="12"/>
      <c r="Z622" s="12"/>
      <c r="AA622" s="12"/>
    </row>
    <row r="623" spans="1:27"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793"/>
      <c r="W623" s="4"/>
      <c r="X623" s="12"/>
      <c r="Y623" s="12"/>
      <c r="Z623" s="12"/>
      <c r="AA623" s="12"/>
    </row>
    <row r="624" spans="1:27"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793"/>
      <c r="W624" s="4"/>
      <c r="X624" s="12"/>
      <c r="Y624" s="12"/>
      <c r="Z624" s="12"/>
      <c r="AA624" s="12"/>
    </row>
    <row r="625" spans="1:27"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793"/>
      <c r="W625" s="4"/>
      <c r="X625" s="12"/>
      <c r="Y625" s="12"/>
      <c r="Z625" s="12"/>
      <c r="AA625" s="12"/>
    </row>
    <row r="626" spans="1:27"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793"/>
      <c r="W626" s="4"/>
      <c r="X626" s="12"/>
      <c r="Y626" s="12"/>
      <c r="Z626" s="12"/>
      <c r="AA626" s="12"/>
    </row>
    <row r="627" spans="1:27"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793"/>
      <c r="W627" s="4"/>
      <c r="X627" s="12"/>
      <c r="Y627" s="12"/>
      <c r="Z627" s="12"/>
      <c r="AA627" s="12"/>
    </row>
    <row r="628" spans="1:27"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793"/>
      <c r="W628" s="4"/>
      <c r="X628" s="12"/>
      <c r="Y628" s="12"/>
      <c r="Z628" s="12"/>
      <c r="AA628" s="12"/>
    </row>
    <row r="629" spans="1:27"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793"/>
      <c r="W629" s="4"/>
      <c r="X629" s="12"/>
      <c r="Y629" s="12"/>
      <c r="Z629" s="12"/>
      <c r="AA629" s="12"/>
    </row>
    <row r="630" spans="1:27"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793"/>
      <c r="W630" s="4"/>
      <c r="X630" s="12"/>
      <c r="Y630" s="12"/>
      <c r="Z630" s="12"/>
      <c r="AA630" s="12"/>
    </row>
    <row r="631" spans="1:27"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793"/>
      <c r="W631" s="4"/>
      <c r="X631" s="12"/>
      <c r="Y631" s="12"/>
      <c r="Z631" s="12"/>
      <c r="AA631" s="12"/>
    </row>
    <row r="632" spans="1:27"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793"/>
      <c r="W632" s="4"/>
      <c r="X632" s="12"/>
      <c r="Y632" s="12"/>
      <c r="Z632" s="12"/>
      <c r="AA632" s="12"/>
    </row>
    <row r="633" spans="1:27"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793"/>
      <c r="W633" s="4"/>
      <c r="X633" s="12"/>
      <c r="Y633" s="12"/>
      <c r="Z633" s="12"/>
      <c r="AA633" s="12"/>
    </row>
    <row r="634" spans="1:27"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793"/>
      <c r="W634" s="4"/>
      <c r="X634" s="12"/>
      <c r="Y634" s="12"/>
      <c r="Z634" s="12"/>
      <c r="AA634" s="12"/>
    </row>
    <row r="635" spans="1:27"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793"/>
      <c r="W635" s="4"/>
      <c r="X635" s="12"/>
      <c r="Y635" s="12"/>
      <c r="Z635" s="12"/>
      <c r="AA635" s="12"/>
    </row>
    <row r="636" spans="1:27"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793"/>
      <c r="W636" s="4"/>
      <c r="X636" s="12"/>
      <c r="Y636" s="12"/>
      <c r="Z636" s="12"/>
      <c r="AA636" s="12"/>
    </row>
    <row r="637" spans="1:27"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793"/>
      <c r="W637" s="4"/>
      <c r="X637" s="12"/>
      <c r="Y637" s="12"/>
      <c r="Z637" s="12"/>
      <c r="AA637" s="12"/>
    </row>
    <row r="638" spans="1:27"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793"/>
      <c r="W638" s="4"/>
      <c r="X638" s="12"/>
      <c r="Y638" s="12"/>
      <c r="Z638" s="12"/>
      <c r="AA638" s="12"/>
    </row>
    <row r="639" spans="1:27"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793"/>
      <c r="W639" s="4"/>
      <c r="X639" s="12"/>
      <c r="Y639" s="12"/>
      <c r="Z639" s="12"/>
      <c r="AA639" s="12"/>
    </row>
    <row r="640" spans="1:27"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793"/>
      <c r="W640" s="4"/>
      <c r="X640" s="12"/>
      <c r="Y640" s="12"/>
      <c r="Z640" s="12"/>
      <c r="AA640" s="12"/>
    </row>
    <row r="641" spans="1:27"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793"/>
      <c r="W641" s="4"/>
      <c r="X641" s="12"/>
      <c r="Y641" s="12"/>
      <c r="Z641" s="12"/>
      <c r="AA641" s="12"/>
    </row>
    <row r="642" spans="1:27"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793"/>
      <c r="W642" s="4"/>
      <c r="X642" s="12"/>
      <c r="Y642" s="12"/>
      <c r="Z642" s="12"/>
      <c r="AA642" s="12"/>
    </row>
    <row r="643" spans="1:27"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793"/>
      <c r="W643" s="4"/>
      <c r="X643" s="12"/>
      <c r="Y643" s="12"/>
      <c r="Z643" s="12"/>
      <c r="AA643" s="12"/>
    </row>
    <row r="644" spans="1:27"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793"/>
      <c r="W644" s="4"/>
      <c r="X644" s="12"/>
      <c r="Y644" s="12"/>
      <c r="Z644" s="12"/>
      <c r="AA644" s="12"/>
    </row>
    <row r="645" spans="1:27"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793"/>
      <c r="W645" s="4"/>
      <c r="X645" s="12"/>
      <c r="Y645" s="12"/>
      <c r="Z645" s="12"/>
      <c r="AA645" s="12"/>
    </row>
    <row r="646" spans="1:27"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793"/>
      <c r="W646" s="4"/>
      <c r="X646" s="12"/>
      <c r="Y646" s="12"/>
      <c r="Z646" s="12"/>
      <c r="AA646" s="12"/>
    </row>
    <row r="647" spans="1:27"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793"/>
      <c r="W647" s="4"/>
      <c r="X647" s="12"/>
      <c r="Y647" s="12"/>
      <c r="Z647" s="12"/>
      <c r="AA647" s="12"/>
    </row>
    <row r="648" spans="1:27"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793"/>
      <c r="W648" s="4"/>
      <c r="X648" s="12"/>
      <c r="Y648" s="12"/>
      <c r="Z648" s="12"/>
      <c r="AA648" s="12"/>
    </row>
    <row r="649" spans="1:27"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793"/>
      <c r="W649" s="4"/>
      <c r="X649" s="12"/>
      <c r="Y649" s="12"/>
      <c r="Z649" s="12"/>
      <c r="AA649" s="12"/>
    </row>
    <row r="650" spans="1:27"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793"/>
      <c r="W650" s="4"/>
      <c r="X650" s="12"/>
      <c r="Y650" s="12"/>
      <c r="Z650" s="12"/>
      <c r="AA650" s="12"/>
    </row>
    <row r="651" spans="1:27"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793"/>
      <c r="W651" s="4"/>
      <c r="X651" s="12"/>
      <c r="Y651" s="12"/>
      <c r="Z651" s="12"/>
      <c r="AA651" s="12"/>
    </row>
    <row r="652" spans="1:27"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793"/>
      <c r="W652" s="4"/>
      <c r="X652" s="12"/>
      <c r="Y652" s="12"/>
      <c r="Z652" s="12"/>
      <c r="AA652" s="12"/>
    </row>
    <row r="653" spans="1:27"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793"/>
      <c r="W653" s="4"/>
      <c r="X653" s="12"/>
      <c r="Y653" s="12"/>
      <c r="Z653" s="12"/>
      <c r="AA653" s="12"/>
    </row>
    <row r="654" spans="1:27"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793"/>
      <c r="W654" s="4"/>
      <c r="X654" s="12"/>
      <c r="Y654" s="12"/>
      <c r="Z654" s="12"/>
      <c r="AA654" s="12"/>
    </row>
    <row r="655" spans="1:27"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793"/>
      <c r="W655" s="4"/>
      <c r="X655" s="12"/>
      <c r="Y655" s="12"/>
      <c r="Z655" s="12"/>
      <c r="AA655" s="12"/>
    </row>
    <row r="656" spans="1:27"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793"/>
      <c r="W656" s="4"/>
      <c r="X656" s="12"/>
      <c r="Y656" s="12"/>
      <c r="Z656" s="12"/>
      <c r="AA656" s="12"/>
    </row>
    <row r="657" spans="1:27"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793"/>
      <c r="W657" s="4"/>
      <c r="X657" s="12"/>
      <c r="Y657" s="12"/>
      <c r="Z657" s="12"/>
      <c r="AA657" s="12"/>
    </row>
    <row r="658" spans="1:27"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793"/>
      <c r="W658" s="4"/>
      <c r="X658" s="12"/>
      <c r="Y658" s="12"/>
      <c r="Z658" s="12"/>
      <c r="AA658" s="12"/>
    </row>
    <row r="659" spans="1:27"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793"/>
      <c r="W659" s="4"/>
      <c r="X659" s="12"/>
      <c r="Y659" s="12"/>
      <c r="Z659" s="12"/>
      <c r="AA659" s="12"/>
    </row>
    <row r="660" spans="1:27"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793"/>
      <c r="W660" s="4"/>
      <c r="X660" s="12"/>
      <c r="Y660" s="12"/>
      <c r="Z660" s="12"/>
      <c r="AA660" s="12"/>
    </row>
    <row r="661" spans="1:27"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793"/>
      <c r="W661" s="4"/>
      <c r="X661" s="12"/>
      <c r="Y661" s="12"/>
      <c r="Z661" s="12"/>
      <c r="AA661" s="12"/>
    </row>
    <row r="662" spans="1:27"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793"/>
      <c r="W662" s="4"/>
      <c r="X662" s="12"/>
      <c r="Y662" s="12"/>
      <c r="Z662" s="12"/>
      <c r="AA662" s="12"/>
    </row>
    <row r="663" spans="1:27"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793"/>
      <c r="W663" s="4"/>
      <c r="X663" s="12"/>
      <c r="Y663" s="12"/>
      <c r="Z663" s="12"/>
      <c r="AA663" s="12"/>
    </row>
    <row r="664" spans="1:27"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793"/>
      <c r="W664" s="4"/>
      <c r="X664" s="12"/>
      <c r="Y664" s="12"/>
      <c r="Z664" s="12"/>
      <c r="AA664" s="12"/>
    </row>
    <row r="665" spans="1:27"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793"/>
      <c r="W665" s="4"/>
      <c r="X665" s="12"/>
      <c r="Y665" s="12"/>
      <c r="Z665" s="12"/>
      <c r="AA665" s="12"/>
    </row>
    <row r="666" spans="1:27"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793"/>
      <c r="W666" s="4"/>
      <c r="X666" s="12"/>
      <c r="Y666" s="12"/>
      <c r="Z666" s="12"/>
      <c r="AA666" s="12"/>
    </row>
    <row r="667" spans="1:27"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793"/>
      <c r="W667" s="4"/>
      <c r="X667" s="12"/>
      <c r="Y667" s="12"/>
      <c r="Z667" s="12"/>
      <c r="AA667" s="12"/>
    </row>
    <row r="668" spans="1:27"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793"/>
      <c r="W668" s="4"/>
      <c r="X668" s="12"/>
      <c r="Y668" s="12"/>
      <c r="Z668" s="12"/>
      <c r="AA668" s="12"/>
    </row>
    <row r="669" spans="1:27"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793"/>
      <c r="W669" s="4"/>
      <c r="X669" s="12"/>
      <c r="Y669" s="12"/>
      <c r="Z669" s="12"/>
      <c r="AA669" s="12"/>
    </row>
    <row r="670" spans="1:27"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793"/>
      <c r="W670" s="4"/>
      <c r="X670" s="12"/>
      <c r="Y670" s="12"/>
      <c r="Z670" s="12"/>
      <c r="AA670" s="12"/>
    </row>
    <row r="671" spans="1:27"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793"/>
      <c r="W671" s="4"/>
      <c r="X671" s="12"/>
      <c r="Y671" s="12"/>
      <c r="Z671" s="12"/>
      <c r="AA671" s="12"/>
    </row>
    <row r="672" spans="1:27"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793"/>
      <c r="W672" s="4"/>
      <c r="X672" s="12"/>
      <c r="Y672" s="12"/>
      <c r="Z672" s="12"/>
      <c r="AA672" s="12"/>
    </row>
    <row r="673" spans="1:27"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793"/>
      <c r="W673" s="4"/>
      <c r="X673" s="12"/>
      <c r="Y673" s="12"/>
      <c r="Z673" s="12"/>
      <c r="AA673" s="12"/>
    </row>
    <row r="674" spans="1:27"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793"/>
      <c r="W674" s="4"/>
      <c r="X674" s="12"/>
      <c r="Y674" s="12"/>
      <c r="Z674" s="12"/>
      <c r="AA674" s="12"/>
    </row>
    <row r="675" spans="1:27"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793"/>
      <c r="W675" s="4"/>
      <c r="X675" s="12"/>
      <c r="Y675" s="12"/>
      <c r="Z675" s="12"/>
      <c r="AA675" s="12"/>
    </row>
    <row r="676" spans="1:27"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793"/>
      <c r="W676" s="4"/>
      <c r="X676" s="12"/>
      <c r="Y676" s="12"/>
      <c r="Z676" s="12"/>
      <c r="AA676" s="12"/>
    </row>
    <row r="677" spans="1:27"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793"/>
      <c r="W677" s="4"/>
      <c r="X677" s="12"/>
      <c r="Y677" s="12"/>
      <c r="Z677" s="12"/>
      <c r="AA677" s="12"/>
    </row>
    <row r="678" spans="1:27"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793"/>
      <c r="W678" s="4"/>
      <c r="X678" s="12"/>
      <c r="Y678" s="12"/>
      <c r="Z678" s="12"/>
      <c r="AA678" s="12"/>
    </row>
    <row r="679" spans="1:27"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793"/>
      <c r="W679" s="4"/>
      <c r="X679" s="12"/>
      <c r="Y679" s="12"/>
      <c r="Z679" s="12"/>
      <c r="AA679" s="12"/>
    </row>
    <row r="680" spans="1:27"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793"/>
      <c r="W680" s="4"/>
      <c r="X680" s="12"/>
      <c r="Y680" s="12"/>
      <c r="Z680" s="12"/>
      <c r="AA680" s="12"/>
    </row>
    <row r="681" spans="1:27"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793"/>
      <c r="W681" s="4"/>
      <c r="X681" s="12"/>
      <c r="Y681" s="12"/>
      <c r="Z681" s="12"/>
      <c r="AA681" s="12"/>
    </row>
    <row r="682" spans="1:27"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793"/>
      <c r="W682" s="4"/>
      <c r="X682" s="12"/>
      <c r="Y682" s="12"/>
      <c r="Z682" s="12"/>
      <c r="AA682" s="12"/>
    </row>
    <row r="683" spans="1:27"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793"/>
      <c r="W683" s="4"/>
      <c r="X683" s="12"/>
      <c r="Y683" s="12"/>
      <c r="Z683" s="12"/>
      <c r="AA683" s="12"/>
    </row>
    <row r="684" spans="1:27"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793"/>
      <c r="W684" s="4"/>
      <c r="X684" s="12"/>
      <c r="Y684" s="12"/>
      <c r="Z684" s="12"/>
      <c r="AA684" s="12"/>
    </row>
    <row r="685" spans="1:27"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793"/>
      <c r="W685" s="4"/>
      <c r="X685" s="12"/>
      <c r="Y685" s="12"/>
      <c r="Z685" s="12"/>
      <c r="AA685" s="12"/>
    </row>
    <row r="686" spans="1:27"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793"/>
      <c r="W686" s="4"/>
      <c r="X686" s="12"/>
      <c r="Y686" s="12"/>
      <c r="Z686" s="12"/>
      <c r="AA686" s="12"/>
    </row>
    <row r="687" spans="1:27"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793"/>
      <c r="W687" s="4"/>
      <c r="X687" s="12"/>
      <c r="Y687" s="12"/>
      <c r="Z687" s="12"/>
      <c r="AA687" s="12"/>
    </row>
    <row r="688" spans="1:27"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793"/>
      <c r="W688" s="4"/>
      <c r="X688" s="12"/>
      <c r="Y688" s="12"/>
      <c r="Z688" s="12"/>
      <c r="AA688" s="12"/>
    </row>
    <row r="689" spans="1:27"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793"/>
      <c r="W689" s="4"/>
      <c r="X689" s="12"/>
      <c r="Y689" s="12"/>
      <c r="Z689" s="12"/>
      <c r="AA689" s="12"/>
    </row>
    <row r="690" spans="1:27"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793"/>
      <c r="W690" s="4"/>
      <c r="X690" s="12"/>
      <c r="Y690" s="12"/>
      <c r="Z690" s="12"/>
      <c r="AA690" s="12"/>
    </row>
    <row r="691" spans="1:27"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793"/>
      <c r="W691" s="4"/>
      <c r="X691" s="12"/>
      <c r="Y691" s="12"/>
      <c r="Z691" s="12"/>
      <c r="AA691" s="12"/>
    </row>
    <row r="692" spans="1:27"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793"/>
      <c r="W692" s="4"/>
      <c r="X692" s="12"/>
      <c r="Y692" s="12"/>
      <c r="Z692" s="12"/>
      <c r="AA692" s="12"/>
    </row>
    <row r="693" spans="1:27"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793"/>
      <c r="W693" s="4"/>
      <c r="X693" s="12"/>
      <c r="Y693" s="12"/>
      <c r="Z693" s="12"/>
      <c r="AA693" s="12"/>
    </row>
    <row r="694" spans="1:27"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793"/>
      <c r="W694" s="4"/>
      <c r="X694" s="12"/>
      <c r="Y694" s="12"/>
      <c r="Z694" s="12"/>
      <c r="AA694" s="12"/>
    </row>
    <row r="695" spans="1:27"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793"/>
      <c r="W695" s="4"/>
      <c r="X695" s="12"/>
      <c r="Y695" s="12"/>
      <c r="Z695" s="12"/>
      <c r="AA695" s="12"/>
    </row>
    <row r="696" spans="1:27"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793"/>
      <c r="W696" s="4"/>
      <c r="X696" s="12"/>
      <c r="Y696" s="12"/>
      <c r="Z696" s="12"/>
      <c r="AA696" s="12"/>
    </row>
    <row r="697" spans="1:27"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793"/>
      <c r="W697" s="4"/>
      <c r="X697" s="12"/>
      <c r="Y697" s="12"/>
      <c r="Z697" s="12"/>
      <c r="AA697" s="12"/>
    </row>
    <row r="698" spans="1:27"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793"/>
      <c r="W698" s="4"/>
      <c r="X698" s="12"/>
      <c r="Y698" s="12"/>
      <c r="Z698" s="12"/>
      <c r="AA698" s="12"/>
    </row>
    <row r="699" spans="1:27"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793"/>
      <c r="W699" s="4"/>
      <c r="X699" s="12"/>
      <c r="Y699" s="12"/>
      <c r="Z699" s="12"/>
      <c r="AA699" s="12"/>
    </row>
    <row r="700" spans="1:27"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793"/>
      <c r="W700" s="4"/>
      <c r="X700" s="12"/>
      <c r="Y700" s="12"/>
      <c r="Z700" s="12"/>
      <c r="AA700" s="12"/>
    </row>
    <row r="701" spans="1:27"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793"/>
      <c r="W701" s="4"/>
      <c r="X701" s="12"/>
      <c r="Y701" s="12"/>
      <c r="Z701" s="12"/>
      <c r="AA701" s="12"/>
    </row>
    <row r="702" spans="1:27"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793"/>
      <c r="W702" s="4"/>
      <c r="X702" s="12"/>
      <c r="Y702" s="12"/>
      <c r="Z702" s="12"/>
      <c r="AA702" s="12"/>
    </row>
    <row r="703" spans="1:27"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793"/>
      <c r="W703" s="4"/>
      <c r="X703" s="12"/>
      <c r="Y703" s="12"/>
      <c r="Z703" s="12"/>
      <c r="AA703" s="12"/>
    </row>
    <row r="704" spans="1:27"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793"/>
      <c r="W704" s="4"/>
      <c r="X704" s="12"/>
      <c r="Y704" s="12"/>
      <c r="Z704" s="12"/>
      <c r="AA704" s="12"/>
    </row>
    <row r="705" spans="1:27"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793"/>
      <c r="W705" s="4"/>
      <c r="X705" s="12"/>
      <c r="Y705" s="12"/>
      <c r="Z705" s="12"/>
      <c r="AA705" s="12"/>
    </row>
    <row r="706" spans="1:27"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793"/>
      <c r="W706" s="4"/>
      <c r="X706" s="12"/>
      <c r="Y706" s="12"/>
      <c r="Z706" s="12"/>
      <c r="AA706" s="12"/>
    </row>
    <row r="707" spans="1:27"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793"/>
      <c r="W707" s="4"/>
      <c r="X707" s="12"/>
      <c r="Y707" s="12"/>
      <c r="Z707" s="12"/>
      <c r="AA707" s="12"/>
    </row>
    <row r="708" spans="1:27"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793"/>
      <c r="W708" s="4"/>
      <c r="X708" s="12"/>
      <c r="Y708" s="12"/>
      <c r="Z708" s="12"/>
      <c r="AA708" s="12"/>
    </row>
    <row r="709" spans="1:27"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793"/>
      <c r="W709" s="4"/>
      <c r="X709" s="12"/>
      <c r="Y709" s="12"/>
      <c r="Z709" s="12"/>
      <c r="AA709" s="12"/>
    </row>
    <row r="710" spans="1:27"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793"/>
      <c r="W710" s="4"/>
      <c r="X710" s="12"/>
      <c r="Y710" s="12"/>
      <c r="Z710" s="12"/>
      <c r="AA710" s="12"/>
    </row>
    <row r="711" spans="1:27"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793"/>
      <c r="W711" s="4"/>
      <c r="X711" s="12"/>
      <c r="Y711" s="12"/>
      <c r="Z711" s="12"/>
      <c r="AA711" s="12"/>
    </row>
    <row r="712" spans="1:27"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793"/>
      <c r="W712" s="4"/>
      <c r="X712" s="12"/>
      <c r="Y712" s="12"/>
      <c r="Z712" s="12"/>
      <c r="AA712" s="12"/>
    </row>
    <row r="713" spans="1:27"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793"/>
      <c r="W713" s="4"/>
      <c r="X713" s="12"/>
      <c r="Y713" s="12"/>
      <c r="Z713" s="12"/>
      <c r="AA713" s="12"/>
    </row>
    <row r="714" spans="1:27"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793"/>
      <c r="W714" s="4"/>
      <c r="X714" s="12"/>
      <c r="Y714" s="12"/>
      <c r="Z714" s="12"/>
      <c r="AA714" s="12"/>
    </row>
    <row r="715" spans="1:27"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793"/>
      <c r="W715" s="4"/>
      <c r="X715" s="12"/>
      <c r="Y715" s="12"/>
      <c r="Z715" s="12"/>
      <c r="AA715" s="12"/>
    </row>
    <row r="716" spans="1:27"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793"/>
      <c r="W716" s="4"/>
      <c r="X716" s="12"/>
      <c r="Y716" s="12"/>
      <c r="Z716" s="12"/>
      <c r="AA716" s="12"/>
    </row>
    <row r="717" spans="1:27"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793"/>
      <c r="W717" s="4"/>
      <c r="X717" s="12"/>
      <c r="Y717" s="12"/>
      <c r="Z717" s="12"/>
      <c r="AA717" s="12"/>
    </row>
    <row r="718" spans="1:27"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793"/>
      <c r="W718" s="4"/>
      <c r="X718" s="12"/>
      <c r="Y718" s="12"/>
      <c r="Z718" s="12"/>
      <c r="AA718" s="12"/>
    </row>
    <row r="719" spans="1:27"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793"/>
      <c r="W719" s="4"/>
      <c r="X719" s="12"/>
      <c r="Y719" s="12"/>
      <c r="Z719" s="12"/>
      <c r="AA719" s="12"/>
    </row>
    <row r="720" spans="1:27"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793"/>
      <c r="W720" s="4"/>
      <c r="X720" s="12"/>
      <c r="Y720" s="12"/>
      <c r="Z720" s="12"/>
      <c r="AA720" s="12"/>
    </row>
    <row r="721" spans="1:27"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793"/>
      <c r="W721" s="4"/>
      <c r="X721" s="12"/>
      <c r="Y721" s="12"/>
      <c r="Z721" s="12"/>
      <c r="AA721" s="12"/>
    </row>
    <row r="722" spans="1:27"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793"/>
      <c r="W722" s="4"/>
      <c r="X722" s="12"/>
      <c r="Y722" s="12"/>
      <c r="Z722" s="12"/>
      <c r="AA722" s="12"/>
    </row>
    <row r="723" spans="1:27"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793"/>
      <c r="W723" s="4"/>
      <c r="X723" s="12"/>
      <c r="Y723" s="12"/>
      <c r="Z723" s="12"/>
      <c r="AA723" s="12"/>
    </row>
    <row r="724" spans="1:27"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793"/>
      <c r="W724" s="4"/>
      <c r="X724" s="12"/>
      <c r="Y724" s="12"/>
      <c r="Z724" s="12"/>
      <c r="AA724" s="12"/>
    </row>
    <row r="725" spans="1:27"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793"/>
      <c r="W725" s="4"/>
      <c r="X725" s="12"/>
      <c r="Y725" s="12"/>
      <c r="Z725" s="12"/>
      <c r="AA725" s="12"/>
    </row>
    <row r="726" spans="1:27"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793"/>
      <c r="W726" s="4"/>
      <c r="X726" s="12"/>
      <c r="Y726" s="12"/>
      <c r="Z726" s="12"/>
      <c r="AA726" s="12"/>
    </row>
    <row r="727" spans="1:27"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793"/>
      <c r="W727" s="4"/>
      <c r="X727" s="12"/>
      <c r="Y727" s="12"/>
      <c r="Z727" s="12"/>
      <c r="AA727" s="12"/>
    </row>
    <row r="728" spans="1:27"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793"/>
      <c r="W728" s="4"/>
      <c r="X728" s="12"/>
      <c r="Y728" s="12"/>
      <c r="Z728" s="12"/>
      <c r="AA728" s="12"/>
    </row>
    <row r="729" spans="1:27"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793"/>
      <c r="W729" s="4"/>
      <c r="X729" s="12"/>
      <c r="Y729" s="12"/>
      <c r="Z729" s="12"/>
      <c r="AA729" s="12"/>
    </row>
    <row r="730" spans="1:27"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793"/>
      <c r="W730" s="4"/>
      <c r="X730" s="12"/>
      <c r="Y730" s="12"/>
      <c r="Z730" s="12"/>
      <c r="AA730" s="12"/>
    </row>
    <row r="731" spans="1:27"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793"/>
      <c r="W731" s="4"/>
      <c r="X731" s="12"/>
      <c r="Y731" s="12"/>
      <c r="Z731" s="12"/>
      <c r="AA731" s="12"/>
    </row>
    <row r="732" spans="1:27"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793"/>
      <c r="W732" s="4"/>
      <c r="X732" s="12"/>
      <c r="Y732" s="12"/>
      <c r="Z732" s="12"/>
      <c r="AA732" s="12"/>
    </row>
    <row r="733" spans="1:27"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793"/>
      <c r="W733" s="4"/>
      <c r="X733" s="12"/>
      <c r="Y733" s="12"/>
      <c r="Z733" s="12"/>
      <c r="AA733" s="12"/>
    </row>
    <row r="734" spans="1:27"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793"/>
      <c r="W734" s="4"/>
      <c r="X734" s="12"/>
      <c r="Y734" s="12"/>
      <c r="Z734" s="12"/>
      <c r="AA734" s="12"/>
    </row>
    <row r="735" spans="1:27"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793"/>
      <c r="W735" s="4"/>
      <c r="X735" s="12"/>
      <c r="Y735" s="12"/>
      <c r="Z735" s="12"/>
      <c r="AA735" s="12"/>
    </row>
    <row r="736" spans="1:27"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793"/>
      <c r="W736" s="4"/>
      <c r="X736" s="12"/>
      <c r="Y736" s="12"/>
      <c r="Z736" s="12"/>
      <c r="AA736" s="12"/>
    </row>
    <row r="737" spans="1:27"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793"/>
      <c r="W737" s="4"/>
      <c r="X737" s="12"/>
      <c r="Y737" s="12"/>
      <c r="Z737" s="12"/>
      <c r="AA737" s="12"/>
    </row>
    <row r="738" spans="1:27"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793"/>
      <c r="W738" s="4"/>
      <c r="X738" s="12"/>
      <c r="Y738" s="12"/>
      <c r="Z738" s="12"/>
      <c r="AA738" s="12"/>
    </row>
    <row r="739" spans="1:27"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793"/>
      <c r="W739" s="4"/>
      <c r="X739" s="12"/>
      <c r="Y739" s="12"/>
      <c r="Z739" s="12"/>
      <c r="AA739" s="12"/>
    </row>
    <row r="740" spans="1:27"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793"/>
      <c r="W740" s="4"/>
      <c r="X740" s="12"/>
      <c r="Y740" s="12"/>
      <c r="Z740" s="12"/>
      <c r="AA740" s="12"/>
    </row>
    <row r="741" spans="1:27"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793"/>
      <c r="W741" s="4"/>
      <c r="X741" s="12"/>
      <c r="Y741" s="12"/>
      <c r="Z741" s="12"/>
      <c r="AA741" s="12"/>
    </row>
    <row r="742" spans="1:27"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793"/>
      <c r="W742" s="4"/>
      <c r="X742" s="12"/>
      <c r="Y742" s="12"/>
      <c r="Z742" s="12"/>
      <c r="AA742" s="12"/>
    </row>
    <row r="743" spans="1:27"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793"/>
      <c r="W743" s="4"/>
      <c r="X743" s="12"/>
      <c r="Y743" s="12"/>
      <c r="Z743" s="12"/>
      <c r="AA743" s="12"/>
    </row>
    <row r="744" spans="1:27"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793"/>
      <c r="W744" s="4"/>
      <c r="X744" s="12"/>
      <c r="Y744" s="12"/>
      <c r="Z744" s="12"/>
      <c r="AA744" s="12"/>
    </row>
    <row r="745" spans="1:27"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793"/>
      <c r="W745" s="4"/>
      <c r="X745" s="12"/>
      <c r="Y745" s="12"/>
      <c r="Z745" s="12"/>
      <c r="AA745" s="12"/>
    </row>
    <row r="746" spans="1:27"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793"/>
      <c r="W746" s="4"/>
      <c r="X746" s="12"/>
      <c r="Y746" s="12"/>
      <c r="Z746" s="12"/>
      <c r="AA746" s="12"/>
    </row>
    <row r="747" spans="1:27"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793"/>
      <c r="W747" s="4"/>
      <c r="X747" s="12"/>
      <c r="Y747" s="12"/>
      <c r="Z747" s="12"/>
      <c r="AA747" s="12"/>
    </row>
    <row r="748" spans="1:27"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793"/>
      <c r="W748" s="4"/>
      <c r="X748" s="12"/>
      <c r="Y748" s="12"/>
      <c r="Z748" s="12"/>
      <c r="AA748" s="12"/>
    </row>
    <row r="749" spans="1:27"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793"/>
      <c r="W749" s="4"/>
      <c r="X749" s="12"/>
      <c r="Y749" s="12"/>
      <c r="Z749" s="12"/>
      <c r="AA749" s="12"/>
    </row>
    <row r="750" spans="1:27"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793"/>
      <c r="W750" s="4"/>
      <c r="X750" s="12"/>
      <c r="Y750" s="12"/>
      <c r="Z750" s="12"/>
      <c r="AA750" s="12"/>
    </row>
    <row r="751" spans="1:27"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793"/>
      <c r="W751" s="4"/>
      <c r="X751" s="12"/>
      <c r="Y751" s="12"/>
      <c r="Z751" s="12"/>
      <c r="AA751" s="12"/>
    </row>
    <row r="752" spans="1:27"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793"/>
      <c r="W752" s="4"/>
      <c r="X752" s="12"/>
      <c r="Y752" s="12"/>
      <c r="Z752" s="12"/>
      <c r="AA752" s="12"/>
    </row>
    <row r="753" spans="1:27"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793"/>
      <c r="W753" s="4"/>
      <c r="X753" s="12"/>
      <c r="Y753" s="12"/>
      <c r="Z753" s="12"/>
      <c r="AA753" s="12"/>
    </row>
    <row r="754" spans="1:27"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793"/>
      <c r="W754" s="4"/>
      <c r="X754" s="12"/>
      <c r="Y754" s="12"/>
      <c r="Z754" s="12"/>
      <c r="AA754" s="12"/>
    </row>
    <row r="755" spans="1:27"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793"/>
      <c r="W755" s="4"/>
      <c r="X755" s="12"/>
      <c r="Y755" s="12"/>
      <c r="Z755" s="12"/>
      <c r="AA755" s="12"/>
    </row>
    <row r="756" spans="1:27"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793"/>
      <c r="W756" s="4"/>
      <c r="X756" s="12"/>
      <c r="Y756" s="12"/>
      <c r="Z756" s="12"/>
      <c r="AA756" s="12"/>
    </row>
    <row r="757" spans="1:27"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793"/>
      <c r="W757" s="4"/>
      <c r="X757" s="12"/>
      <c r="Y757" s="12"/>
      <c r="Z757" s="12"/>
      <c r="AA757" s="12"/>
    </row>
    <row r="758" spans="1:27"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793"/>
      <c r="W758" s="4"/>
      <c r="X758" s="12"/>
      <c r="Y758" s="12"/>
      <c r="Z758" s="12"/>
      <c r="AA758" s="12"/>
    </row>
    <row r="759" spans="1:27"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793"/>
      <c r="W759" s="4"/>
      <c r="X759" s="12"/>
      <c r="Y759" s="12"/>
      <c r="Z759" s="12"/>
      <c r="AA759" s="12"/>
    </row>
    <row r="760" spans="1:27"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793"/>
      <c r="W760" s="4"/>
      <c r="X760" s="12"/>
      <c r="Y760" s="12"/>
      <c r="Z760" s="12"/>
      <c r="AA760" s="12"/>
    </row>
    <row r="761" spans="1:27"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793"/>
      <c r="W761" s="4"/>
      <c r="X761" s="12"/>
      <c r="Y761" s="12"/>
      <c r="Z761" s="12"/>
      <c r="AA761" s="12"/>
    </row>
    <row r="762" spans="1:27"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793"/>
      <c r="W762" s="4"/>
      <c r="X762" s="12"/>
      <c r="Y762" s="12"/>
      <c r="Z762" s="12"/>
      <c r="AA762" s="12"/>
    </row>
    <row r="763" spans="1:27"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793"/>
      <c r="W763" s="4"/>
      <c r="X763" s="12"/>
      <c r="Y763" s="12"/>
      <c r="Z763" s="12"/>
      <c r="AA763" s="12"/>
    </row>
    <row r="764" spans="1:27"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793"/>
      <c r="W764" s="4"/>
      <c r="X764" s="12"/>
      <c r="Y764" s="12"/>
      <c r="Z764" s="12"/>
      <c r="AA764" s="12"/>
    </row>
    <row r="765" spans="1:27"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793"/>
      <c r="W765" s="4"/>
      <c r="X765" s="12"/>
      <c r="Y765" s="12"/>
      <c r="Z765" s="12"/>
      <c r="AA765" s="12"/>
    </row>
    <row r="766" spans="1:27"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793"/>
      <c r="W766" s="4"/>
      <c r="X766" s="12"/>
      <c r="Y766" s="12"/>
      <c r="Z766" s="12"/>
      <c r="AA766" s="12"/>
    </row>
    <row r="767" spans="1:27"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793"/>
      <c r="W767" s="4"/>
      <c r="X767" s="12"/>
      <c r="Y767" s="12"/>
      <c r="Z767" s="12"/>
      <c r="AA767" s="12"/>
    </row>
    <row r="768" spans="1:27"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793"/>
      <c r="W768" s="4"/>
      <c r="X768" s="12"/>
      <c r="Y768" s="12"/>
      <c r="Z768" s="12"/>
      <c r="AA768" s="12"/>
    </row>
    <row r="769" spans="1:27"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793"/>
      <c r="W769" s="4"/>
      <c r="X769" s="12"/>
      <c r="Y769" s="12"/>
      <c r="Z769" s="12"/>
      <c r="AA769" s="12"/>
    </row>
    <row r="770" spans="1:27"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793"/>
      <c r="W770" s="4"/>
      <c r="X770" s="12"/>
      <c r="Y770" s="12"/>
      <c r="Z770" s="12"/>
      <c r="AA770" s="12"/>
    </row>
    <row r="771" spans="1:27"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793"/>
      <c r="W771" s="4"/>
      <c r="X771" s="12"/>
      <c r="Y771" s="12"/>
      <c r="Z771" s="12"/>
      <c r="AA771" s="12"/>
    </row>
    <row r="772" spans="1:27"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793"/>
      <c r="W772" s="4"/>
      <c r="X772" s="12"/>
      <c r="Y772" s="12"/>
      <c r="Z772" s="12"/>
      <c r="AA772" s="12"/>
    </row>
    <row r="773" spans="1:27"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793"/>
      <c r="W773" s="4"/>
      <c r="X773" s="12"/>
      <c r="Y773" s="12"/>
      <c r="Z773" s="12"/>
      <c r="AA773" s="12"/>
    </row>
    <row r="774" spans="1:27"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793"/>
      <c r="W774" s="4"/>
      <c r="X774" s="12"/>
      <c r="Y774" s="12"/>
      <c r="Z774" s="12"/>
      <c r="AA774" s="12"/>
    </row>
    <row r="775" spans="1:27"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793"/>
      <c r="W775" s="4"/>
      <c r="X775" s="12"/>
      <c r="Y775" s="12"/>
      <c r="Z775" s="12"/>
      <c r="AA775" s="12"/>
    </row>
    <row r="776" spans="1:27"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793"/>
      <c r="W776" s="4"/>
      <c r="X776" s="12"/>
      <c r="Y776" s="12"/>
      <c r="Z776" s="12"/>
      <c r="AA776" s="12"/>
    </row>
    <row r="777" spans="1:27"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793"/>
      <c r="W777" s="4"/>
      <c r="X777" s="12"/>
      <c r="Y777" s="12"/>
      <c r="Z777" s="12"/>
      <c r="AA777" s="12"/>
    </row>
    <row r="778" spans="1:27"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793"/>
      <c r="W778" s="4"/>
      <c r="X778" s="12"/>
      <c r="Y778" s="12"/>
      <c r="Z778" s="12"/>
      <c r="AA778" s="12"/>
    </row>
    <row r="779" spans="1:27"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793"/>
      <c r="W779" s="4"/>
      <c r="X779" s="12"/>
      <c r="Y779" s="12"/>
      <c r="Z779" s="12"/>
      <c r="AA779" s="12"/>
    </row>
    <row r="780" spans="1:27"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793"/>
      <c r="W780" s="4"/>
      <c r="X780" s="12"/>
      <c r="Y780" s="12"/>
      <c r="Z780" s="12"/>
      <c r="AA780" s="12"/>
    </row>
    <row r="781" spans="1:27"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793"/>
      <c r="W781" s="4"/>
      <c r="X781" s="12"/>
      <c r="Y781" s="12"/>
      <c r="Z781" s="12"/>
      <c r="AA781" s="12"/>
    </row>
    <row r="782" spans="1:27"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793"/>
      <c r="W782" s="4"/>
      <c r="X782" s="12"/>
      <c r="Y782" s="12"/>
      <c r="Z782" s="12"/>
      <c r="AA782" s="12"/>
    </row>
    <row r="783" spans="1:27"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793"/>
      <c r="W783" s="4"/>
      <c r="X783" s="12"/>
      <c r="Y783" s="12"/>
      <c r="Z783" s="12"/>
      <c r="AA783" s="12"/>
    </row>
    <row r="784" spans="1:27"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793"/>
      <c r="W784" s="4"/>
      <c r="X784" s="12"/>
      <c r="Y784" s="12"/>
      <c r="Z784" s="12"/>
      <c r="AA784" s="12"/>
    </row>
    <row r="785" spans="1:27"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793"/>
      <c r="W785" s="4"/>
      <c r="X785" s="12"/>
      <c r="Y785" s="12"/>
      <c r="Z785" s="12"/>
      <c r="AA785" s="12"/>
    </row>
    <row r="786" spans="1:27"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793"/>
      <c r="W786" s="4"/>
      <c r="X786" s="12"/>
      <c r="Y786" s="12"/>
      <c r="Z786" s="12"/>
      <c r="AA786" s="12"/>
    </row>
    <row r="787" spans="1:27"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793"/>
      <c r="W787" s="4"/>
      <c r="X787" s="12"/>
      <c r="Y787" s="12"/>
      <c r="Z787" s="12"/>
      <c r="AA787" s="12"/>
    </row>
    <row r="788" spans="1:27"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793"/>
      <c r="W788" s="4"/>
      <c r="X788" s="12"/>
      <c r="Y788" s="12"/>
      <c r="Z788" s="12"/>
      <c r="AA788" s="12"/>
    </row>
    <row r="789" spans="1:27"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793"/>
      <c r="W789" s="4"/>
      <c r="X789" s="12"/>
      <c r="Y789" s="12"/>
      <c r="Z789" s="12"/>
      <c r="AA789" s="12"/>
    </row>
    <row r="790" spans="1:27"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793"/>
      <c r="W790" s="4"/>
      <c r="X790" s="12"/>
      <c r="Y790" s="12"/>
      <c r="Z790" s="12"/>
      <c r="AA790" s="12"/>
    </row>
    <row r="791" spans="1:27"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793"/>
      <c r="W791" s="4"/>
      <c r="X791" s="12"/>
      <c r="Y791" s="12"/>
      <c r="Z791" s="12"/>
      <c r="AA791" s="12"/>
    </row>
    <row r="792" spans="1:27"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793"/>
      <c r="W792" s="4"/>
      <c r="X792" s="12"/>
      <c r="Y792" s="12"/>
      <c r="Z792" s="12"/>
      <c r="AA792" s="12"/>
    </row>
    <row r="793" spans="1:27"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793"/>
      <c r="W793" s="4"/>
      <c r="X793" s="12"/>
      <c r="Y793" s="12"/>
      <c r="Z793" s="12"/>
      <c r="AA793" s="12"/>
    </row>
    <row r="794" spans="1:27"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793"/>
      <c r="W794" s="4"/>
      <c r="X794" s="12"/>
      <c r="Y794" s="12"/>
      <c r="Z794" s="12"/>
      <c r="AA794" s="12"/>
    </row>
    <row r="795" spans="1:27"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793"/>
      <c r="W795" s="4"/>
      <c r="X795" s="12"/>
      <c r="Y795" s="12"/>
      <c r="Z795" s="12"/>
      <c r="AA795" s="12"/>
    </row>
    <row r="796" spans="1:27"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793"/>
      <c r="W796" s="4"/>
      <c r="X796" s="12"/>
      <c r="Y796" s="12"/>
      <c r="Z796" s="12"/>
      <c r="AA796" s="12"/>
    </row>
    <row r="797" spans="1:27"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793"/>
      <c r="W797" s="4"/>
      <c r="X797" s="12"/>
      <c r="Y797" s="12"/>
      <c r="Z797" s="12"/>
      <c r="AA797" s="12"/>
    </row>
    <row r="798" spans="1:27"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793"/>
      <c r="W798" s="4"/>
      <c r="X798" s="12"/>
      <c r="Y798" s="12"/>
      <c r="Z798" s="12"/>
      <c r="AA798" s="12"/>
    </row>
    <row r="799" spans="1:27"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793"/>
      <c r="W799" s="4"/>
      <c r="X799" s="12"/>
      <c r="Y799" s="12"/>
      <c r="Z799" s="12"/>
      <c r="AA799" s="12"/>
    </row>
    <row r="800" spans="1:27"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793"/>
      <c r="W800" s="4"/>
      <c r="X800" s="12"/>
      <c r="Y800" s="12"/>
      <c r="Z800" s="12"/>
      <c r="AA800" s="12"/>
    </row>
    <row r="801" spans="1:27"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793"/>
      <c r="W801" s="4"/>
      <c r="X801" s="12"/>
      <c r="Y801" s="12"/>
      <c r="Z801" s="12"/>
      <c r="AA801" s="12"/>
    </row>
    <row r="802" spans="1:27"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793"/>
      <c r="W802" s="4"/>
      <c r="X802" s="12"/>
      <c r="Y802" s="12"/>
      <c r="Z802" s="12"/>
      <c r="AA802" s="12"/>
    </row>
    <row r="803" spans="1:27"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793"/>
      <c r="W803" s="4"/>
      <c r="X803" s="12"/>
      <c r="Y803" s="12"/>
      <c r="Z803" s="12"/>
      <c r="AA803" s="12"/>
    </row>
    <row r="804" spans="1:27"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793"/>
      <c r="W804" s="4"/>
      <c r="X804" s="12"/>
      <c r="Y804" s="12"/>
      <c r="Z804" s="12"/>
      <c r="AA804" s="12"/>
    </row>
    <row r="805" spans="1:27"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793"/>
      <c r="W805" s="4"/>
      <c r="X805" s="12"/>
      <c r="Y805" s="12"/>
      <c r="Z805" s="12"/>
      <c r="AA805" s="12"/>
    </row>
    <row r="806" spans="1:27"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793"/>
      <c r="W806" s="4"/>
      <c r="X806" s="12"/>
      <c r="Y806" s="12"/>
      <c r="Z806" s="12"/>
      <c r="AA806" s="12"/>
    </row>
    <row r="807" spans="1:27"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793"/>
      <c r="W807" s="4"/>
      <c r="X807" s="12"/>
      <c r="Y807" s="12"/>
      <c r="Z807" s="12"/>
      <c r="AA807" s="12"/>
    </row>
    <row r="808" spans="1:27"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793"/>
      <c r="W808" s="4"/>
      <c r="X808" s="12"/>
      <c r="Y808" s="12"/>
      <c r="Z808" s="12"/>
      <c r="AA808" s="12"/>
    </row>
    <row r="809" spans="1:27"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793"/>
      <c r="W809" s="4"/>
      <c r="X809" s="12"/>
      <c r="Y809" s="12"/>
      <c r="Z809" s="12"/>
      <c r="AA809" s="12"/>
    </row>
    <row r="810" spans="1:27"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793"/>
      <c r="W810" s="4"/>
      <c r="X810" s="12"/>
      <c r="Y810" s="12"/>
      <c r="Z810" s="12"/>
      <c r="AA810" s="12"/>
    </row>
    <row r="811" spans="1:27"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793"/>
      <c r="W811" s="4"/>
      <c r="X811" s="12"/>
      <c r="Y811" s="12"/>
      <c r="Z811" s="12"/>
      <c r="AA811" s="12"/>
    </row>
    <row r="812" spans="1:27"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793"/>
      <c r="W812" s="4"/>
      <c r="X812" s="12"/>
      <c r="Y812" s="12"/>
      <c r="Z812" s="12"/>
      <c r="AA812" s="12"/>
    </row>
    <row r="813" spans="1:27"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793"/>
      <c r="W813" s="4"/>
      <c r="X813" s="12"/>
      <c r="Y813" s="12"/>
      <c r="Z813" s="12"/>
      <c r="AA813" s="12"/>
    </row>
    <row r="814" spans="1:27"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793"/>
      <c r="W814" s="4"/>
      <c r="X814" s="12"/>
      <c r="Y814" s="12"/>
      <c r="Z814" s="12"/>
      <c r="AA814" s="12"/>
    </row>
    <row r="815" spans="1:27"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793"/>
      <c r="W815" s="4"/>
      <c r="X815" s="12"/>
      <c r="Y815" s="12"/>
      <c r="Z815" s="12"/>
      <c r="AA815" s="12"/>
    </row>
    <row r="816" spans="1:27"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793"/>
      <c r="W816" s="4"/>
      <c r="X816" s="12"/>
      <c r="Y816" s="12"/>
      <c r="Z816" s="12"/>
      <c r="AA816" s="12"/>
    </row>
    <row r="817" spans="1:27"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793"/>
      <c r="W817" s="4"/>
      <c r="X817" s="12"/>
      <c r="Y817" s="12"/>
      <c r="Z817" s="12"/>
      <c r="AA817" s="12"/>
    </row>
    <row r="818" spans="1:27"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793"/>
      <c r="W818" s="4"/>
      <c r="X818" s="12"/>
      <c r="Y818" s="12"/>
      <c r="Z818" s="12"/>
      <c r="AA818" s="12"/>
    </row>
    <row r="819" spans="1:27"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793"/>
      <c r="W819" s="4"/>
      <c r="X819" s="12"/>
      <c r="Y819" s="12"/>
      <c r="Z819" s="12"/>
      <c r="AA819" s="12"/>
    </row>
    <row r="820" spans="1:27"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793"/>
      <c r="W820" s="4"/>
      <c r="X820" s="12"/>
      <c r="Y820" s="12"/>
      <c r="Z820" s="12"/>
      <c r="AA820" s="12"/>
    </row>
    <row r="821" spans="1:27"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793"/>
      <c r="W821" s="4"/>
      <c r="X821" s="12"/>
      <c r="Y821" s="12"/>
      <c r="Z821" s="12"/>
      <c r="AA821" s="12"/>
    </row>
    <row r="822" spans="1:27"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793"/>
      <c r="W822" s="4"/>
      <c r="X822" s="12"/>
      <c r="Y822" s="12"/>
      <c r="Z822" s="12"/>
      <c r="AA822" s="12"/>
    </row>
    <row r="823" spans="1:27"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793"/>
      <c r="W823" s="4"/>
      <c r="X823" s="12"/>
      <c r="Y823" s="12"/>
      <c r="Z823" s="12"/>
      <c r="AA823" s="12"/>
    </row>
    <row r="824" spans="1:27"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793"/>
      <c r="W824" s="4"/>
      <c r="X824" s="12"/>
      <c r="Y824" s="12"/>
      <c r="Z824" s="12"/>
      <c r="AA824" s="12"/>
    </row>
    <row r="825" spans="1:27"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793"/>
      <c r="W825" s="4"/>
      <c r="X825" s="12"/>
      <c r="Y825" s="12"/>
      <c r="Z825" s="12"/>
      <c r="AA825" s="12"/>
    </row>
    <row r="826" spans="1:27"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793"/>
      <c r="W826" s="4"/>
      <c r="X826" s="12"/>
      <c r="Y826" s="12"/>
      <c r="Z826" s="12"/>
      <c r="AA826" s="12"/>
    </row>
    <row r="827" spans="1:27"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793"/>
      <c r="W827" s="4"/>
      <c r="X827" s="12"/>
      <c r="Y827" s="12"/>
      <c r="Z827" s="12"/>
      <c r="AA827" s="12"/>
    </row>
    <row r="828" spans="1:27"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793"/>
      <c r="W828" s="4"/>
      <c r="X828" s="12"/>
      <c r="Y828" s="12"/>
      <c r="Z828" s="12"/>
      <c r="AA828" s="12"/>
    </row>
    <row r="829" spans="1:27"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793"/>
      <c r="W829" s="4"/>
      <c r="X829" s="12"/>
      <c r="Y829" s="12"/>
      <c r="Z829" s="12"/>
      <c r="AA829" s="12"/>
    </row>
    <row r="830" spans="1:27"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793"/>
      <c r="W830" s="4"/>
      <c r="X830" s="12"/>
      <c r="Y830" s="12"/>
      <c r="Z830" s="12"/>
      <c r="AA830" s="12"/>
    </row>
    <row r="831" spans="1:27"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793"/>
      <c r="W831" s="4"/>
      <c r="X831" s="12"/>
      <c r="Y831" s="12"/>
      <c r="Z831" s="12"/>
      <c r="AA831" s="12"/>
    </row>
    <row r="832" spans="1:27"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793"/>
      <c r="W832" s="4"/>
      <c r="X832" s="12"/>
      <c r="Y832" s="12"/>
      <c r="Z832" s="12"/>
      <c r="AA832" s="12"/>
    </row>
    <row r="833" spans="1:27"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793"/>
      <c r="W833" s="4"/>
      <c r="X833" s="12"/>
      <c r="Y833" s="12"/>
      <c r="Z833" s="12"/>
      <c r="AA833" s="12"/>
    </row>
    <row r="834" spans="1:27"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793"/>
      <c r="W834" s="4"/>
      <c r="X834" s="12"/>
      <c r="Y834" s="12"/>
      <c r="Z834" s="12"/>
      <c r="AA834" s="12"/>
    </row>
    <row r="835" spans="1:27"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793"/>
      <c r="W835" s="4"/>
      <c r="X835" s="12"/>
      <c r="Y835" s="12"/>
      <c r="Z835" s="12"/>
      <c r="AA835" s="12"/>
    </row>
    <row r="836" spans="1:27"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793"/>
      <c r="W836" s="4"/>
      <c r="X836" s="12"/>
      <c r="Y836" s="12"/>
      <c r="Z836" s="12"/>
      <c r="AA836" s="12"/>
    </row>
    <row r="837" spans="1:27"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793"/>
      <c r="W837" s="4"/>
      <c r="X837" s="12"/>
      <c r="Y837" s="12"/>
      <c r="Z837" s="12"/>
      <c r="AA837" s="12"/>
    </row>
    <row r="838" spans="1:27"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793"/>
      <c r="W838" s="4"/>
      <c r="X838" s="12"/>
      <c r="Y838" s="12"/>
      <c r="Z838" s="12"/>
      <c r="AA838" s="12"/>
    </row>
    <row r="839" spans="1:27"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793"/>
      <c r="W839" s="4"/>
      <c r="X839" s="12"/>
      <c r="Y839" s="12"/>
      <c r="Z839" s="12"/>
      <c r="AA839" s="12"/>
    </row>
    <row r="840" spans="1:27"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793"/>
      <c r="W840" s="4"/>
      <c r="X840" s="12"/>
      <c r="Y840" s="12"/>
      <c r="Z840" s="12"/>
      <c r="AA840" s="12"/>
    </row>
    <row r="841" spans="1:27"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793"/>
      <c r="W841" s="4"/>
      <c r="X841" s="12"/>
      <c r="Y841" s="12"/>
      <c r="Z841" s="12"/>
      <c r="AA841" s="12"/>
    </row>
    <row r="842" spans="1:27"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793"/>
      <c r="W842" s="4"/>
      <c r="X842" s="12"/>
      <c r="Y842" s="12"/>
      <c r="Z842" s="12"/>
      <c r="AA842" s="12"/>
    </row>
    <row r="843" spans="1:27"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793"/>
      <c r="W843" s="4"/>
      <c r="X843" s="12"/>
      <c r="Y843" s="12"/>
      <c r="Z843" s="12"/>
      <c r="AA843" s="12"/>
    </row>
    <row r="844" spans="1:27"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793"/>
      <c r="W844" s="4"/>
      <c r="X844" s="12"/>
      <c r="Y844" s="12"/>
      <c r="Z844" s="12"/>
      <c r="AA844" s="12"/>
    </row>
    <row r="845" spans="1:27"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793"/>
      <c r="W845" s="4"/>
      <c r="X845" s="12"/>
      <c r="Y845" s="12"/>
      <c r="Z845" s="12"/>
      <c r="AA845" s="12"/>
    </row>
    <row r="846" spans="1:27"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793"/>
      <c r="W846" s="4"/>
      <c r="X846" s="12"/>
      <c r="Y846" s="12"/>
      <c r="Z846" s="12"/>
      <c r="AA846" s="12"/>
    </row>
    <row r="847" spans="1:27"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793"/>
      <c r="W847" s="4"/>
      <c r="X847" s="12"/>
      <c r="Y847" s="12"/>
      <c r="Z847" s="12"/>
      <c r="AA847" s="12"/>
    </row>
    <row r="848" spans="1:27"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793"/>
      <c r="W848" s="4"/>
      <c r="X848" s="12"/>
      <c r="Y848" s="12"/>
      <c r="Z848" s="12"/>
      <c r="AA848" s="12"/>
    </row>
    <row r="849" spans="1:27"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793"/>
      <c r="W849" s="4"/>
      <c r="X849" s="12"/>
      <c r="Y849" s="12"/>
      <c r="Z849" s="12"/>
      <c r="AA849" s="12"/>
    </row>
    <row r="850" spans="1:27"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793"/>
      <c r="W850" s="4"/>
      <c r="X850" s="12"/>
      <c r="Y850" s="12"/>
      <c r="Z850" s="12"/>
      <c r="AA850" s="12"/>
    </row>
    <row r="851" spans="1:27"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793"/>
      <c r="W851" s="4"/>
      <c r="X851" s="12"/>
      <c r="Y851" s="12"/>
      <c r="Z851" s="12"/>
      <c r="AA851" s="12"/>
    </row>
    <row r="852" spans="1:27"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793"/>
      <c r="W852" s="4"/>
      <c r="X852" s="12"/>
      <c r="Y852" s="12"/>
      <c r="Z852" s="12"/>
      <c r="AA852" s="12"/>
    </row>
    <row r="853" spans="1:27"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793"/>
      <c r="W853" s="4"/>
      <c r="X853" s="12"/>
      <c r="Y853" s="12"/>
      <c r="Z853" s="12"/>
      <c r="AA853" s="12"/>
    </row>
    <row r="854" spans="1:27"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793"/>
      <c r="W854" s="4"/>
      <c r="X854" s="12"/>
      <c r="Y854" s="12"/>
      <c r="Z854" s="12"/>
      <c r="AA854" s="12"/>
    </row>
    <row r="855" spans="1:27"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793"/>
      <c r="W855" s="4"/>
      <c r="X855" s="12"/>
      <c r="Y855" s="12"/>
      <c r="Z855" s="12"/>
      <c r="AA855" s="12"/>
    </row>
    <row r="856" spans="1:27"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793"/>
      <c r="W856" s="4"/>
      <c r="X856" s="12"/>
      <c r="Y856" s="12"/>
      <c r="Z856" s="12"/>
      <c r="AA856" s="12"/>
    </row>
    <row r="857" spans="1:27"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793"/>
      <c r="W857" s="4"/>
      <c r="X857" s="12"/>
      <c r="Y857" s="12"/>
      <c r="Z857" s="12"/>
      <c r="AA857" s="12"/>
    </row>
    <row r="858" spans="1:27"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793"/>
      <c r="W858" s="4"/>
      <c r="X858" s="12"/>
      <c r="Y858" s="12"/>
      <c r="Z858" s="12"/>
      <c r="AA858" s="12"/>
    </row>
    <row r="859" spans="1:27"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793"/>
      <c r="W859" s="4"/>
      <c r="X859" s="12"/>
      <c r="Y859" s="12"/>
      <c r="Z859" s="12"/>
      <c r="AA859" s="12"/>
    </row>
    <row r="860" spans="1:27"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793"/>
      <c r="W860" s="4"/>
      <c r="X860" s="12"/>
      <c r="Y860" s="12"/>
      <c r="Z860" s="12"/>
      <c r="AA860" s="12"/>
    </row>
    <row r="861" spans="1:27"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793"/>
      <c r="W861" s="4"/>
      <c r="X861" s="12"/>
      <c r="Y861" s="12"/>
      <c r="Z861" s="12"/>
      <c r="AA861" s="12"/>
    </row>
    <row r="862" spans="1:27"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793"/>
      <c r="W862" s="4"/>
      <c r="X862" s="12"/>
      <c r="Y862" s="12"/>
      <c r="Z862" s="12"/>
      <c r="AA862" s="12"/>
    </row>
    <row r="863" spans="1:27"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793"/>
      <c r="W863" s="4"/>
      <c r="X863" s="12"/>
      <c r="Y863" s="12"/>
      <c r="Z863" s="12"/>
      <c r="AA863" s="12"/>
    </row>
    <row r="864" spans="1:27"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793"/>
      <c r="W864" s="4"/>
      <c r="X864" s="12"/>
      <c r="Y864" s="12"/>
      <c r="Z864" s="12"/>
      <c r="AA864" s="12"/>
    </row>
    <row r="865" spans="1:27"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793"/>
      <c r="W865" s="4"/>
      <c r="X865" s="12"/>
      <c r="Y865" s="12"/>
      <c r="Z865" s="12"/>
      <c r="AA865" s="12"/>
    </row>
    <row r="866" spans="1:27"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793"/>
      <c r="W866" s="4"/>
      <c r="X866" s="12"/>
      <c r="Y866" s="12"/>
      <c r="Z866" s="12"/>
      <c r="AA866" s="12"/>
    </row>
    <row r="867" spans="1:27"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793"/>
      <c r="W867" s="4"/>
      <c r="X867" s="12"/>
      <c r="Y867" s="12"/>
      <c r="Z867" s="12"/>
      <c r="AA867" s="12"/>
    </row>
    <row r="868" spans="1:27"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793"/>
      <c r="W868" s="4"/>
      <c r="X868" s="12"/>
      <c r="Y868" s="12"/>
      <c r="Z868" s="12"/>
      <c r="AA868" s="12"/>
    </row>
    <row r="869" spans="1:27"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793"/>
      <c r="W869" s="4"/>
      <c r="X869" s="12"/>
      <c r="Y869" s="12"/>
      <c r="Z869" s="12"/>
      <c r="AA869" s="12"/>
    </row>
    <row r="870" spans="1:27"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793"/>
      <c r="W870" s="4"/>
      <c r="X870" s="12"/>
      <c r="Y870" s="12"/>
      <c r="Z870" s="12"/>
      <c r="AA870" s="12"/>
    </row>
    <row r="871" spans="1:27"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793"/>
      <c r="W871" s="4"/>
      <c r="X871" s="12"/>
      <c r="Y871" s="12"/>
      <c r="Z871" s="12"/>
      <c r="AA871" s="12"/>
    </row>
    <row r="872" spans="1:27"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793"/>
      <c r="W872" s="4"/>
      <c r="X872" s="12"/>
      <c r="Y872" s="12"/>
      <c r="Z872" s="12"/>
      <c r="AA872" s="12"/>
    </row>
    <row r="873" spans="1:27"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793"/>
      <c r="W873" s="4"/>
      <c r="X873" s="12"/>
      <c r="Y873" s="12"/>
      <c r="Z873" s="12"/>
      <c r="AA873" s="12"/>
    </row>
    <row r="874" spans="1:27"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793"/>
      <c r="W874" s="4"/>
      <c r="X874" s="12"/>
      <c r="Y874" s="12"/>
      <c r="Z874" s="12"/>
      <c r="AA874" s="12"/>
    </row>
    <row r="875" spans="1:27"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793"/>
      <c r="W875" s="4"/>
      <c r="X875" s="12"/>
      <c r="Y875" s="12"/>
      <c r="Z875" s="12"/>
      <c r="AA875" s="12"/>
    </row>
    <row r="876" spans="1:27"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793"/>
      <c r="W876" s="4"/>
      <c r="X876" s="12"/>
      <c r="Y876" s="12"/>
      <c r="Z876" s="12"/>
      <c r="AA876" s="12"/>
    </row>
    <row r="877" spans="1:27"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793"/>
      <c r="W877" s="4"/>
      <c r="X877" s="12"/>
      <c r="Y877" s="12"/>
      <c r="Z877" s="12"/>
      <c r="AA877" s="12"/>
    </row>
    <row r="878" spans="1:27"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793"/>
      <c r="W878" s="4"/>
      <c r="X878" s="12"/>
      <c r="Y878" s="12"/>
      <c r="Z878" s="12"/>
      <c r="AA878" s="12"/>
    </row>
    <row r="879" spans="1:27"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793"/>
      <c r="W879" s="4"/>
      <c r="X879" s="12"/>
      <c r="Y879" s="12"/>
      <c r="Z879" s="12"/>
      <c r="AA879" s="12"/>
    </row>
    <row r="880" spans="1:27"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793"/>
      <c r="W880" s="4"/>
      <c r="X880" s="12"/>
      <c r="Y880" s="12"/>
      <c r="Z880" s="12"/>
      <c r="AA880" s="12"/>
    </row>
    <row r="881" spans="1:27"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793"/>
      <c r="W881" s="4"/>
      <c r="X881" s="12"/>
      <c r="Y881" s="12"/>
      <c r="Z881" s="12"/>
      <c r="AA881" s="12"/>
    </row>
    <row r="882" spans="1:27"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793"/>
      <c r="W882" s="4"/>
      <c r="X882" s="12"/>
      <c r="Y882" s="12"/>
      <c r="Z882" s="12"/>
      <c r="AA882" s="12"/>
    </row>
    <row r="883" spans="1:27"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793"/>
      <c r="W883" s="4"/>
      <c r="X883" s="12"/>
      <c r="Y883" s="12"/>
      <c r="Z883" s="12"/>
      <c r="AA883" s="12"/>
    </row>
    <row r="884" spans="1:27"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793"/>
      <c r="W884" s="4"/>
      <c r="X884" s="12"/>
      <c r="Y884" s="12"/>
      <c r="Z884" s="12"/>
      <c r="AA884" s="12"/>
    </row>
    <row r="885" spans="1:27"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793"/>
      <c r="W885" s="4"/>
      <c r="X885" s="12"/>
      <c r="Y885" s="12"/>
      <c r="Z885" s="12"/>
      <c r="AA885" s="12"/>
    </row>
    <row r="886" spans="1:27"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793"/>
      <c r="W886" s="4"/>
      <c r="X886" s="12"/>
      <c r="Y886" s="12"/>
      <c r="Z886" s="12"/>
      <c r="AA886" s="12"/>
    </row>
    <row r="887" spans="1:27"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793"/>
      <c r="W887" s="4"/>
      <c r="X887" s="12"/>
      <c r="Y887" s="12"/>
      <c r="Z887" s="12"/>
      <c r="AA887" s="12"/>
    </row>
    <row r="888" spans="1:27"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793"/>
      <c r="W888" s="4"/>
      <c r="X888" s="12"/>
      <c r="Y888" s="12"/>
      <c r="Z888" s="12"/>
      <c r="AA888" s="12"/>
    </row>
    <row r="889" spans="1:27"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793"/>
      <c r="W889" s="4"/>
      <c r="X889" s="12"/>
      <c r="Y889" s="12"/>
      <c r="Z889" s="12"/>
      <c r="AA889" s="12"/>
    </row>
    <row r="890" spans="1:27"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793"/>
      <c r="W890" s="4"/>
      <c r="X890" s="12"/>
      <c r="Y890" s="12"/>
      <c r="Z890" s="12"/>
      <c r="AA890" s="12"/>
    </row>
    <row r="891" spans="1:27"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793"/>
      <c r="W891" s="4"/>
      <c r="X891" s="12"/>
      <c r="Y891" s="12"/>
      <c r="Z891" s="12"/>
      <c r="AA891" s="12"/>
    </row>
    <row r="892" spans="1:27"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793"/>
      <c r="W892" s="4"/>
      <c r="X892" s="12"/>
      <c r="Y892" s="12"/>
      <c r="Z892" s="12"/>
      <c r="AA892" s="12"/>
    </row>
    <row r="893" spans="1:27"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793"/>
      <c r="W893" s="4"/>
      <c r="X893" s="12"/>
      <c r="Y893" s="12"/>
      <c r="Z893" s="12"/>
      <c r="AA893" s="12"/>
    </row>
    <row r="894" spans="1:27"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793"/>
      <c r="W894" s="4"/>
      <c r="X894" s="12"/>
      <c r="Y894" s="12"/>
      <c r="Z894" s="12"/>
      <c r="AA894" s="12"/>
    </row>
    <row r="895" spans="1:27"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793"/>
      <c r="W895" s="4"/>
      <c r="X895" s="12"/>
      <c r="Y895" s="12"/>
      <c r="Z895" s="12"/>
      <c r="AA895" s="12"/>
    </row>
    <row r="896" spans="1:27"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793"/>
      <c r="W896" s="4"/>
      <c r="X896" s="12"/>
      <c r="Y896" s="12"/>
      <c r="Z896" s="12"/>
      <c r="AA896" s="12"/>
    </row>
    <row r="897" spans="1:27"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793"/>
      <c r="W897" s="4"/>
      <c r="X897" s="12"/>
      <c r="Y897" s="12"/>
      <c r="Z897" s="12"/>
      <c r="AA897" s="12"/>
    </row>
    <row r="898" spans="1:27"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793"/>
      <c r="W898" s="4"/>
      <c r="X898" s="12"/>
      <c r="Y898" s="12"/>
      <c r="Z898" s="12"/>
      <c r="AA898" s="12"/>
    </row>
    <row r="899" spans="1:27"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793"/>
      <c r="W899" s="4"/>
      <c r="X899" s="12"/>
      <c r="Y899" s="12"/>
      <c r="Z899" s="12"/>
      <c r="AA899" s="12"/>
    </row>
    <row r="900" spans="1:27"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793"/>
      <c r="W900" s="4"/>
      <c r="X900" s="12"/>
      <c r="Y900" s="12"/>
      <c r="Z900" s="12"/>
      <c r="AA900" s="12"/>
    </row>
    <row r="901" spans="1:27"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793"/>
      <c r="W901" s="4"/>
      <c r="X901" s="12"/>
      <c r="Y901" s="12"/>
      <c r="Z901" s="12"/>
      <c r="AA901" s="12"/>
    </row>
    <row r="902" spans="1:27"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793"/>
      <c r="W902" s="4"/>
      <c r="X902" s="12"/>
      <c r="Y902" s="12"/>
      <c r="Z902" s="12"/>
      <c r="AA902" s="12"/>
    </row>
    <row r="903" spans="1:27"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793"/>
      <c r="W903" s="4"/>
      <c r="X903" s="12"/>
      <c r="Y903" s="12"/>
      <c r="Z903" s="12"/>
      <c r="AA903" s="12"/>
    </row>
    <row r="904" spans="1:27"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793"/>
      <c r="W904" s="4"/>
      <c r="X904" s="12"/>
      <c r="Y904" s="12"/>
      <c r="Z904" s="12"/>
      <c r="AA904" s="12"/>
    </row>
    <row r="905" spans="1:27"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793"/>
      <c r="W905" s="4"/>
      <c r="X905" s="12"/>
      <c r="Y905" s="12"/>
      <c r="Z905" s="12"/>
      <c r="AA905" s="12"/>
    </row>
    <row r="906" spans="1:27"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793"/>
      <c r="W906" s="4"/>
      <c r="X906" s="12"/>
      <c r="Y906" s="12"/>
      <c r="Z906" s="12"/>
      <c r="AA906" s="12"/>
    </row>
    <row r="907" spans="1:27"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793"/>
      <c r="W907" s="4"/>
      <c r="X907" s="12"/>
      <c r="Y907" s="12"/>
      <c r="Z907" s="12"/>
      <c r="AA907" s="12"/>
    </row>
    <row r="908" spans="1:27"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793"/>
      <c r="W908" s="4"/>
      <c r="X908" s="12"/>
      <c r="Y908" s="12"/>
      <c r="Z908" s="12"/>
      <c r="AA908" s="12"/>
    </row>
    <row r="909" spans="1:27"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793"/>
      <c r="W909" s="4"/>
      <c r="X909" s="12"/>
      <c r="Y909" s="12"/>
      <c r="Z909" s="12"/>
      <c r="AA909" s="12"/>
    </row>
    <row r="910" spans="1:27"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793"/>
      <c r="W910" s="4"/>
      <c r="X910" s="12"/>
      <c r="Y910" s="12"/>
      <c r="Z910" s="12"/>
      <c r="AA910" s="12"/>
    </row>
    <row r="911" spans="1:27"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793"/>
      <c r="W911" s="4"/>
      <c r="X911" s="12"/>
      <c r="Y911" s="12"/>
      <c r="Z911" s="12"/>
      <c r="AA911" s="12"/>
    </row>
    <row r="912" spans="1:27"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793"/>
      <c r="W912" s="4"/>
      <c r="X912" s="12"/>
      <c r="Y912" s="12"/>
      <c r="Z912" s="12"/>
      <c r="AA912" s="12"/>
    </row>
    <row r="913" spans="1:27"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793"/>
      <c r="W913" s="4"/>
      <c r="X913" s="12"/>
      <c r="Y913" s="12"/>
      <c r="Z913" s="12"/>
      <c r="AA913" s="12"/>
    </row>
    <row r="914" spans="1:27"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793"/>
      <c r="W914" s="4"/>
      <c r="X914" s="12"/>
      <c r="Y914" s="12"/>
      <c r="Z914" s="12"/>
      <c r="AA914" s="12"/>
    </row>
    <row r="915" spans="1:27"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793"/>
      <c r="W915" s="4"/>
      <c r="X915" s="12"/>
      <c r="Y915" s="12"/>
      <c r="Z915" s="12"/>
      <c r="AA915" s="12"/>
    </row>
    <row r="916" spans="1:27"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793"/>
      <c r="W916" s="4"/>
      <c r="X916" s="12"/>
      <c r="Y916" s="12"/>
      <c r="Z916" s="12"/>
      <c r="AA916" s="12"/>
    </row>
    <row r="917" spans="1:27"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793"/>
      <c r="W917" s="4"/>
      <c r="X917" s="12"/>
      <c r="Y917" s="12"/>
      <c r="Z917" s="12"/>
      <c r="AA917" s="12"/>
    </row>
    <row r="918" spans="1:27"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793"/>
      <c r="W918" s="4"/>
      <c r="X918" s="12"/>
      <c r="Y918" s="12"/>
      <c r="Z918" s="12"/>
      <c r="AA918" s="12"/>
    </row>
    <row r="919" spans="1:27"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793"/>
      <c r="W919" s="4"/>
      <c r="X919" s="12"/>
      <c r="Y919" s="12"/>
      <c r="Z919" s="12"/>
      <c r="AA919" s="12"/>
    </row>
    <row r="920" spans="1:27"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793"/>
      <c r="W920" s="4"/>
      <c r="X920" s="12"/>
      <c r="Y920" s="12"/>
      <c r="Z920" s="12"/>
      <c r="AA920" s="12"/>
    </row>
    <row r="921" spans="1:27"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793"/>
      <c r="W921" s="4"/>
      <c r="X921" s="12"/>
      <c r="Y921" s="12"/>
      <c r="Z921" s="12"/>
      <c r="AA921" s="12"/>
    </row>
    <row r="922" spans="1:27"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793"/>
      <c r="W922" s="4"/>
      <c r="X922" s="12"/>
      <c r="Y922" s="12"/>
      <c r="Z922" s="12"/>
      <c r="AA922" s="12"/>
    </row>
    <row r="923" spans="1:27"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793"/>
      <c r="W923" s="4"/>
      <c r="X923" s="12"/>
      <c r="Y923" s="12"/>
      <c r="Z923" s="12"/>
      <c r="AA923" s="12"/>
    </row>
    <row r="924" spans="1:27"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793"/>
      <c r="W924" s="4"/>
      <c r="X924" s="12"/>
      <c r="Y924" s="12"/>
      <c r="Z924" s="12"/>
      <c r="AA924" s="12"/>
    </row>
    <row r="925" spans="1:27"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793"/>
      <c r="W925" s="4"/>
      <c r="X925" s="12"/>
      <c r="Y925" s="12"/>
      <c r="Z925" s="12"/>
      <c r="AA925" s="12"/>
    </row>
    <row r="926" spans="1:27"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793"/>
      <c r="W926" s="4"/>
      <c r="X926" s="12"/>
      <c r="Y926" s="12"/>
      <c r="Z926" s="12"/>
      <c r="AA926" s="12"/>
    </row>
    <row r="927" spans="1:27"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793"/>
      <c r="W927" s="4"/>
      <c r="X927" s="12"/>
      <c r="Y927" s="12"/>
      <c r="Z927" s="12"/>
      <c r="AA927" s="12"/>
    </row>
    <row r="928" spans="1:27"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793"/>
      <c r="W928" s="4"/>
      <c r="X928" s="12"/>
      <c r="Y928" s="12"/>
      <c r="Z928" s="12"/>
      <c r="AA928" s="12"/>
    </row>
    <row r="929" spans="1:27"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793"/>
      <c r="W929" s="4"/>
      <c r="X929" s="12"/>
      <c r="Y929" s="12"/>
      <c r="Z929" s="12"/>
      <c r="AA929" s="12"/>
    </row>
    <row r="930" spans="1:27"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793"/>
      <c r="W930" s="4"/>
      <c r="X930" s="12"/>
      <c r="Y930" s="12"/>
      <c r="Z930" s="12"/>
      <c r="AA930" s="12"/>
    </row>
    <row r="931" spans="1:27"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793"/>
      <c r="W931" s="4"/>
      <c r="X931" s="12"/>
      <c r="Y931" s="12"/>
      <c r="Z931" s="12"/>
      <c r="AA931" s="12"/>
    </row>
    <row r="932" spans="1:27"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793"/>
      <c r="W932" s="4"/>
      <c r="X932" s="12"/>
      <c r="Y932" s="12"/>
      <c r="Z932" s="12"/>
      <c r="AA932" s="12"/>
    </row>
    <row r="933" spans="1:27"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793"/>
      <c r="W933" s="4"/>
      <c r="X933" s="12"/>
      <c r="Y933" s="12"/>
      <c r="Z933" s="12"/>
      <c r="AA933" s="12"/>
    </row>
    <row r="934" spans="1:27"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793"/>
      <c r="W934" s="4"/>
      <c r="X934" s="12"/>
      <c r="Y934" s="12"/>
      <c r="Z934" s="12"/>
      <c r="AA934" s="12"/>
    </row>
    <row r="935" spans="1:27"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793"/>
      <c r="W935" s="4"/>
      <c r="X935" s="12"/>
      <c r="Y935" s="12"/>
      <c r="Z935" s="12"/>
      <c r="AA935" s="12"/>
    </row>
    <row r="936" spans="1:27"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793"/>
      <c r="W936" s="4"/>
      <c r="X936" s="12"/>
      <c r="Y936" s="12"/>
      <c r="Z936" s="12"/>
      <c r="AA936" s="12"/>
    </row>
    <row r="937" spans="1:27"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793"/>
      <c r="W937" s="4"/>
      <c r="X937" s="12"/>
      <c r="Y937" s="12"/>
      <c r="Z937" s="12"/>
      <c r="AA937" s="12"/>
    </row>
    <row r="938" spans="1:27"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793"/>
      <c r="W938" s="4"/>
      <c r="X938" s="12"/>
      <c r="Y938" s="12"/>
      <c r="Z938" s="12"/>
      <c r="AA938" s="12"/>
    </row>
    <row r="939" spans="1:27"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793"/>
      <c r="W939" s="4"/>
      <c r="X939" s="12"/>
      <c r="Y939" s="12"/>
      <c r="Z939" s="12"/>
      <c r="AA939" s="12"/>
    </row>
    <row r="940" spans="1:27"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793"/>
      <c r="W940" s="4"/>
      <c r="X940" s="12"/>
      <c r="Y940" s="12"/>
      <c r="Z940" s="12"/>
      <c r="AA940" s="12"/>
    </row>
    <row r="941" spans="1:27"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793"/>
      <c r="W941" s="4"/>
      <c r="X941" s="12"/>
      <c r="Y941" s="12"/>
      <c r="Z941" s="12"/>
      <c r="AA941" s="12"/>
    </row>
    <row r="942" spans="1:27"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793"/>
      <c r="W942" s="4"/>
      <c r="X942" s="12"/>
      <c r="Y942" s="12"/>
      <c r="Z942" s="12"/>
      <c r="AA942" s="12"/>
    </row>
    <row r="943" spans="1:27"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793"/>
      <c r="W943" s="4"/>
      <c r="X943" s="12"/>
      <c r="Y943" s="12"/>
      <c r="Z943" s="12"/>
      <c r="AA943" s="12"/>
    </row>
    <row r="944" spans="1:27"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793"/>
      <c r="W944" s="4"/>
      <c r="X944" s="12"/>
      <c r="Y944" s="12"/>
      <c r="Z944" s="12"/>
      <c r="AA944" s="12"/>
    </row>
    <row r="945" spans="1:27"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793"/>
      <c r="W945" s="4"/>
      <c r="X945" s="12"/>
      <c r="Y945" s="12"/>
      <c r="Z945" s="12"/>
      <c r="AA945" s="12"/>
    </row>
    <row r="946" spans="1:27"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793"/>
      <c r="W946" s="4"/>
      <c r="X946" s="12"/>
      <c r="Y946" s="12"/>
      <c r="Z946" s="12"/>
      <c r="AA946" s="12"/>
    </row>
    <row r="947" spans="1:27"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793"/>
      <c r="W947" s="4"/>
      <c r="X947" s="12"/>
      <c r="Y947" s="12"/>
      <c r="Z947" s="12"/>
      <c r="AA947" s="12"/>
    </row>
    <row r="948" spans="1:27"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793"/>
      <c r="W948" s="4"/>
      <c r="X948" s="12"/>
      <c r="Y948" s="12"/>
      <c r="Z948" s="12"/>
      <c r="AA948" s="12"/>
    </row>
    <row r="949" spans="1:27"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793"/>
      <c r="W949" s="4"/>
      <c r="X949" s="12"/>
      <c r="Y949" s="12"/>
      <c r="Z949" s="12"/>
      <c r="AA949" s="12"/>
    </row>
    <row r="950" spans="1:27"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793"/>
      <c r="W950" s="4"/>
      <c r="X950" s="12"/>
      <c r="Y950" s="12"/>
      <c r="Z950" s="12"/>
      <c r="AA950" s="12"/>
    </row>
    <row r="951" spans="1:27"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793"/>
      <c r="W951" s="4"/>
      <c r="X951" s="12"/>
      <c r="Y951" s="12"/>
      <c r="Z951" s="12"/>
      <c r="AA951" s="12"/>
    </row>
    <row r="952" spans="1:27"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793"/>
      <c r="W952" s="4"/>
      <c r="X952" s="12"/>
      <c r="Y952" s="12"/>
      <c r="Z952" s="12"/>
      <c r="AA952" s="12"/>
    </row>
    <row r="953" spans="1:27"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793"/>
      <c r="W953" s="4"/>
      <c r="X953" s="12"/>
      <c r="Y953" s="12"/>
      <c r="Z953" s="12"/>
      <c r="AA953" s="12"/>
    </row>
    <row r="954" spans="1:27"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793"/>
      <c r="W954" s="4"/>
      <c r="X954" s="12"/>
      <c r="Y954" s="12"/>
      <c r="Z954" s="12"/>
      <c r="AA954" s="12"/>
    </row>
    <row r="955" spans="1:27"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793"/>
      <c r="W955" s="4"/>
      <c r="X955" s="12"/>
      <c r="Y955" s="12"/>
      <c r="Z955" s="12"/>
      <c r="AA955" s="12"/>
    </row>
    <row r="956" spans="1:27"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793"/>
      <c r="W956" s="4"/>
      <c r="X956" s="12"/>
      <c r="Y956" s="12"/>
      <c r="Z956" s="12"/>
      <c r="AA956" s="12"/>
    </row>
    <row r="957" spans="1:27"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793"/>
      <c r="W957" s="4"/>
      <c r="X957" s="12"/>
      <c r="Y957" s="12"/>
      <c r="Z957" s="12"/>
      <c r="AA957" s="12"/>
    </row>
    <row r="958" spans="1:27"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793"/>
      <c r="W958" s="4"/>
      <c r="X958" s="12"/>
      <c r="Y958" s="12"/>
      <c r="Z958" s="12"/>
      <c r="AA958" s="12"/>
    </row>
    <row r="959" spans="1:27"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793"/>
      <c r="W959" s="4"/>
      <c r="X959" s="12"/>
      <c r="Y959" s="12"/>
      <c r="Z959" s="12"/>
      <c r="AA959" s="12"/>
    </row>
    <row r="960" spans="1:27"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793"/>
      <c r="W960" s="4"/>
      <c r="X960" s="12"/>
      <c r="Y960" s="12"/>
      <c r="Z960" s="12"/>
      <c r="AA960" s="12"/>
    </row>
    <row r="961" spans="1:27"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793"/>
      <c r="W961" s="4"/>
      <c r="X961" s="12"/>
      <c r="Y961" s="12"/>
      <c r="Z961" s="12"/>
      <c r="AA961" s="12"/>
    </row>
    <row r="962" spans="1:27"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793"/>
      <c r="W962" s="4"/>
      <c r="X962" s="12"/>
      <c r="Y962" s="12"/>
      <c r="Z962" s="12"/>
      <c r="AA962" s="12"/>
    </row>
    <row r="963" spans="1:27"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793"/>
      <c r="W963" s="4"/>
      <c r="X963" s="12"/>
      <c r="Y963" s="12"/>
      <c r="Z963" s="12"/>
      <c r="AA963" s="12"/>
    </row>
    <row r="964" spans="1:27"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793"/>
      <c r="W964" s="4"/>
      <c r="X964" s="12"/>
      <c r="Y964" s="12"/>
      <c r="Z964" s="12"/>
      <c r="AA964" s="12"/>
    </row>
    <row r="965" spans="1:27"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793"/>
      <c r="W965" s="4"/>
      <c r="X965" s="12"/>
      <c r="Y965" s="12"/>
      <c r="Z965" s="12"/>
      <c r="AA965" s="12"/>
    </row>
    <row r="966" spans="1:27"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793"/>
      <c r="W966" s="4"/>
      <c r="X966" s="12"/>
      <c r="Y966" s="12"/>
      <c r="Z966" s="12"/>
      <c r="AA966" s="12"/>
    </row>
    <row r="967" spans="1:27"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793"/>
      <c r="W967" s="4"/>
      <c r="X967" s="12"/>
      <c r="Y967" s="12"/>
      <c r="Z967" s="12"/>
      <c r="AA967" s="12"/>
    </row>
    <row r="968" spans="1:27"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793"/>
      <c r="W968" s="4"/>
      <c r="X968" s="12"/>
      <c r="Y968" s="12"/>
      <c r="Z968" s="12"/>
      <c r="AA968" s="12"/>
    </row>
    <row r="969" spans="1:27"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793"/>
      <c r="W969" s="4"/>
      <c r="X969" s="12"/>
      <c r="Y969" s="12"/>
      <c r="Z969" s="12"/>
      <c r="AA969" s="12"/>
    </row>
    <row r="970" spans="1:27"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793"/>
      <c r="W970" s="4"/>
      <c r="X970" s="12"/>
      <c r="Y970" s="12"/>
      <c r="Z970" s="12"/>
      <c r="AA970" s="12"/>
    </row>
    <row r="971" spans="1:27"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793"/>
      <c r="W971" s="4"/>
      <c r="X971" s="12"/>
      <c r="Y971" s="12"/>
      <c r="Z971" s="12"/>
      <c r="AA971" s="12"/>
    </row>
    <row r="972" spans="1:27"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793"/>
      <c r="W972" s="4"/>
      <c r="X972" s="12"/>
      <c r="Y972" s="12"/>
      <c r="Z972" s="12"/>
      <c r="AA972" s="12"/>
    </row>
    <row r="973" spans="1:27"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793"/>
      <c r="W973" s="4"/>
      <c r="X973" s="12"/>
      <c r="Y973" s="12"/>
      <c r="Z973" s="12"/>
      <c r="AA973" s="12"/>
    </row>
    <row r="974" spans="1:27"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793"/>
      <c r="W974" s="4"/>
      <c r="X974" s="12"/>
      <c r="Y974" s="12"/>
      <c r="Z974" s="12"/>
      <c r="AA974" s="12"/>
    </row>
    <row r="975" spans="1:27"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793"/>
      <c r="W975" s="4"/>
      <c r="X975" s="12"/>
      <c r="Y975" s="12"/>
      <c r="Z975" s="12"/>
      <c r="AA975" s="12"/>
    </row>
    <row r="976" spans="1:27"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793"/>
      <c r="W976" s="4"/>
      <c r="X976" s="12"/>
      <c r="Y976" s="12"/>
      <c r="Z976" s="12"/>
      <c r="AA976" s="12"/>
    </row>
    <row r="977" spans="1:27"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793"/>
      <c r="W977" s="4"/>
      <c r="X977" s="12"/>
      <c r="Y977" s="12"/>
      <c r="Z977" s="12"/>
      <c r="AA977" s="12"/>
    </row>
    <row r="978" spans="1:27"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793"/>
      <c r="W978" s="4"/>
      <c r="X978" s="12"/>
      <c r="Y978" s="12"/>
      <c r="Z978" s="12"/>
      <c r="AA978" s="12"/>
    </row>
    <row r="979" spans="1:27"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793"/>
      <c r="W979" s="4"/>
      <c r="X979" s="12"/>
      <c r="Y979" s="12"/>
      <c r="Z979" s="12"/>
      <c r="AA979" s="12"/>
    </row>
    <row r="980" spans="1:27"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793"/>
      <c r="W980" s="4"/>
      <c r="X980" s="12"/>
      <c r="Y980" s="12"/>
      <c r="Z980" s="12"/>
      <c r="AA980" s="12"/>
    </row>
    <row r="981" spans="1:27"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793"/>
      <c r="W981" s="4"/>
      <c r="X981" s="12"/>
      <c r="Y981" s="12"/>
      <c r="Z981" s="12"/>
      <c r="AA981" s="12"/>
    </row>
    <row r="982" spans="1:27"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793"/>
      <c r="W982" s="4"/>
      <c r="X982" s="12"/>
      <c r="Y982" s="12"/>
      <c r="Z982" s="12"/>
      <c r="AA982" s="12"/>
    </row>
    <row r="983" spans="1:27"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793"/>
      <c r="W983" s="4"/>
      <c r="X983" s="12"/>
      <c r="Y983" s="12"/>
      <c r="Z983" s="12"/>
      <c r="AA983" s="12"/>
    </row>
    <row r="984" spans="1:27"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793"/>
      <c r="W984" s="4"/>
      <c r="X984" s="12"/>
      <c r="Y984" s="12"/>
      <c r="Z984" s="12"/>
      <c r="AA984" s="12"/>
    </row>
    <row r="985" spans="1:27"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793"/>
      <c r="W985" s="4"/>
      <c r="X985" s="12"/>
      <c r="Y985" s="12"/>
      <c r="Z985" s="12"/>
      <c r="AA985" s="12"/>
    </row>
    <row r="986" spans="1:27"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793"/>
      <c r="W986" s="4"/>
      <c r="X986" s="12"/>
      <c r="Y986" s="12"/>
      <c r="Z986" s="12"/>
      <c r="AA986" s="12"/>
    </row>
    <row r="987" spans="1:27"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793"/>
      <c r="W987" s="4"/>
      <c r="X987" s="12"/>
      <c r="Y987" s="12"/>
      <c r="Z987" s="12"/>
      <c r="AA987" s="12"/>
    </row>
    <row r="988" spans="1:27"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793"/>
      <c r="W988" s="4"/>
      <c r="X988" s="12"/>
      <c r="Y988" s="12"/>
      <c r="Z988" s="12"/>
      <c r="AA988" s="12"/>
    </row>
    <row r="989" spans="1:27"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793"/>
      <c r="W989" s="4"/>
      <c r="X989" s="12"/>
      <c r="Y989" s="12"/>
      <c r="Z989" s="12"/>
      <c r="AA989" s="12"/>
    </row>
    <row r="990" spans="1:27"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793"/>
      <c r="W990" s="4"/>
      <c r="X990" s="12"/>
      <c r="Y990" s="12"/>
      <c r="Z990" s="12"/>
      <c r="AA990" s="12"/>
    </row>
    <row r="991" spans="1:27"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793"/>
      <c r="W991" s="4"/>
      <c r="X991" s="12"/>
      <c r="Y991" s="12"/>
      <c r="Z991" s="12"/>
      <c r="AA991" s="12"/>
    </row>
    <row r="992" spans="1:27"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793"/>
      <c r="W992" s="4"/>
      <c r="X992" s="12"/>
      <c r="Y992" s="12"/>
      <c r="Z992" s="12"/>
      <c r="AA992" s="12"/>
    </row>
    <row r="993" spans="1:27"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793"/>
      <c r="W993" s="4"/>
      <c r="X993" s="12"/>
      <c r="Y993" s="12"/>
      <c r="Z993" s="12"/>
      <c r="AA993" s="12"/>
    </row>
    <row r="994" spans="1:27"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793"/>
      <c r="W994" s="4"/>
      <c r="X994" s="12"/>
      <c r="Y994" s="12"/>
      <c r="Z994" s="12"/>
      <c r="AA994" s="12"/>
    </row>
    <row r="995" spans="1:27"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793"/>
      <c r="W995" s="4"/>
      <c r="X995" s="12"/>
      <c r="Y995" s="12"/>
      <c r="Z995" s="12"/>
      <c r="AA995" s="12"/>
    </row>
    <row r="996" spans="1:27"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793"/>
      <c r="W996" s="4"/>
      <c r="X996" s="12"/>
      <c r="Y996" s="12"/>
      <c r="Z996" s="12"/>
      <c r="AA996" s="12"/>
    </row>
    <row r="997" spans="1:27"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793"/>
      <c r="W997" s="4"/>
      <c r="X997" s="12"/>
      <c r="Y997" s="12"/>
      <c r="Z997" s="12"/>
      <c r="AA997" s="12"/>
    </row>
  </sheetData>
  <mergeCells count="101">
    <mergeCell ref="B204:B206"/>
    <mergeCell ref="C204:C206"/>
    <mergeCell ref="B210:D210"/>
    <mergeCell ref="A211:D211"/>
    <mergeCell ref="A135:A158"/>
    <mergeCell ref="B135:B136"/>
    <mergeCell ref="B138:B144"/>
    <mergeCell ref="B145:B146"/>
    <mergeCell ref="B147:B149"/>
    <mergeCell ref="B158:D158"/>
    <mergeCell ref="A159:A210"/>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C40:C46"/>
    <mergeCell ref="A3:E3"/>
    <mergeCell ref="V4:V5"/>
    <mergeCell ref="G4:H4"/>
    <mergeCell ref="I4:I5"/>
    <mergeCell ref="J4:L4"/>
    <mergeCell ref="M4:M5"/>
    <mergeCell ref="N4:N5"/>
    <mergeCell ref="O4:O5"/>
    <mergeCell ref="P4:P5"/>
  </mergeCells>
  <conditionalFormatting sqref="V22">
    <cfRule type="notContainsBlanks" dxfId="1" priority="1">
      <formula>LEN(TRIM(V22))&gt;0</formula>
    </cfRule>
  </conditionalFormatting>
  <pageMargins left="0.19" right="0.25" top="0.32" bottom="0.15" header="0" footer="0"/>
  <pageSetup scale="85" orientation="portrait" r:id="rId1"/>
</worksheet>
</file>

<file path=xl/worksheets/sheet6.xml><?xml version="1.0" encoding="utf-8"?>
<worksheet xmlns="http://schemas.openxmlformats.org/spreadsheetml/2006/main" xmlns:r="http://schemas.openxmlformats.org/officeDocument/2006/relationships">
  <dimension ref="A1:AA996"/>
  <sheetViews>
    <sheetView zoomScale="115" zoomScaleNormal="115" workbookViewId="0">
      <pane xSplit="3" ySplit="5" topLeftCell="D186" activePane="bottomRight" state="frozen"/>
      <selection pane="topRight" activeCell="D1" sqref="D1"/>
      <selection pane="bottomLeft" activeCell="A6" sqref="A6"/>
      <selection pane="bottomRight" activeCell="P187" sqref="P187:V187"/>
    </sheetView>
  </sheetViews>
  <sheetFormatPr defaultColWidth="14.42578125" defaultRowHeight="15" customHeight="1"/>
  <cols>
    <col min="1" max="1" width="6.7109375" style="731" customWidth="1"/>
    <col min="2" max="2" width="6.28515625" style="731" customWidth="1"/>
    <col min="3" max="3" width="9.140625" style="731" customWidth="1"/>
    <col min="4" max="4" width="5.85546875" style="731" customWidth="1"/>
    <col min="5" max="5" width="12.7109375" style="731" customWidth="1"/>
    <col min="6" max="6" width="7.42578125" style="731" customWidth="1"/>
    <col min="7" max="7" width="6.42578125" style="731" customWidth="1"/>
    <col min="8" max="8" width="8.28515625" style="731" customWidth="1"/>
    <col min="9" max="9" width="10.5703125" style="731" customWidth="1"/>
    <col min="10" max="10" width="5.28515625" style="731" customWidth="1"/>
    <col min="11" max="11" width="7" style="731" customWidth="1"/>
    <col min="12" max="12" width="6.7109375" style="731" customWidth="1"/>
    <col min="13" max="13" width="9" style="731" customWidth="1"/>
    <col min="14" max="14" width="9.7109375" style="731" customWidth="1"/>
    <col min="15" max="15" width="9.5703125" style="731" customWidth="1"/>
    <col min="16" max="16" width="8.85546875" style="731" customWidth="1"/>
    <col min="17" max="17" width="8.28515625" style="731" customWidth="1"/>
    <col min="18" max="18" width="9" style="731" customWidth="1"/>
    <col min="19" max="19" width="10.42578125" style="731" customWidth="1"/>
    <col min="20" max="20" width="13.5703125" style="731" customWidth="1"/>
    <col min="21" max="21" width="9.5703125" style="731" customWidth="1"/>
    <col min="22" max="22" width="59.42578125" style="731" customWidth="1"/>
    <col min="23" max="23" width="72" style="731" customWidth="1"/>
    <col min="24" max="27" width="14.42578125" style="731" customWidth="1"/>
    <col min="28" max="16384" width="14.42578125" style="731"/>
  </cols>
  <sheetData>
    <row r="1" spans="1:27" ht="20.25" customHeight="1">
      <c r="A1" s="522"/>
      <c r="B1" s="730"/>
      <c r="C1" s="730"/>
      <c r="D1" s="730"/>
      <c r="E1" s="523" t="s">
        <v>0</v>
      </c>
      <c r="J1" s="732"/>
      <c r="K1" s="732"/>
      <c r="L1" s="732"/>
      <c r="M1" s="732"/>
      <c r="N1" s="732"/>
      <c r="O1" s="732"/>
      <c r="P1" s="732"/>
      <c r="Q1" s="732"/>
      <c r="R1" s="732"/>
      <c r="S1" s="732"/>
      <c r="T1" s="732"/>
      <c r="U1" s="732"/>
      <c r="V1" s="733"/>
    </row>
    <row r="2" spans="1:27" ht="23.25" customHeight="1">
      <c r="A2" s="732"/>
      <c r="B2" s="732"/>
      <c r="C2" s="732"/>
      <c r="D2" s="732"/>
      <c r="E2" s="732"/>
      <c r="F2" s="732"/>
      <c r="G2" s="732"/>
      <c r="H2" s="732"/>
      <c r="I2" s="732"/>
      <c r="J2" s="732"/>
      <c r="K2" s="732"/>
      <c r="L2" s="732"/>
      <c r="M2" s="732"/>
      <c r="N2" s="732"/>
      <c r="O2" s="732"/>
      <c r="P2" s="732"/>
      <c r="Q2" s="732"/>
      <c r="R2" s="732"/>
      <c r="S2" s="732"/>
      <c r="T2" s="732"/>
      <c r="U2" s="732"/>
      <c r="V2" s="733"/>
    </row>
    <row r="3" spans="1:27" ht="22.5" customHeight="1">
      <c r="A3" s="734" t="s">
        <v>1659</v>
      </c>
      <c r="B3" s="734"/>
      <c r="C3" s="734"/>
      <c r="D3" s="734"/>
      <c r="E3" s="734"/>
      <c r="F3" s="519"/>
      <c r="G3" s="519"/>
      <c r="H3" s="519"/>
      <c r="I3" s="519"/>
      <c r="J3" s="519"/>
      <c r="K3" s="519"/>
      <c r="L3" s="519"/>
      <c r="M3" s="519"/>
      <c r="N3" s="519"/>
      <c r="O3" s="519"/>
      <c r="P3" s="519"/>
      <c r="Q3" s="519"/>
      <c r="R3" s="519"/>
      <c r="S3" s="519"/>
      <c r="T3" s="735"/>
      <c r="U3" s="519"/>
      <c r="V3" s="519" t="s">
        <v>2</v>
      </c>
    </row>
    <row r="4" spans="1:27" ht="24.75" customHeight="1">
      <c r="A4" s="692" t="s">
        <v>3</v>
      </c>
      <c r="B4" s="692" t="s">
        <v>4</v>
      </c>
      <c r="C4" s="692" t="s">
        <v>5</v>
      </c>
      <c r="D4" s="692" t="s">
        <v>6</v>
      </c>
      <c r="E4" s="692" t="s">
        <v>388</v>
      </c>
      <c r="F4" s="692" t="s">
        <v>8</v>
      </c>
      <c r="G4" s="693" t="s">
        <v>9</v>
      </c>
      <c r="H4" s="710"/>
      <c r="I4" s="692" t="s">
        <v>10</v>
      </c>
      <c r="J4" s="693" t="s">
        <v>11</v>
      </c>
      <c r="K4" s="709"/>
      <c r="L4" s="710"/>
      <c r="M4" s="692" t="s">
        <v>12</v>
      </c>
      <c r="N4" s="692" t="s">
        <v>13</v>
      </c>
      <c r="O4" s="692" t="s">
        <v>14</v>
      </c>
      <c r="P4" s="692" t="s">
        <v>445</v>
      </c>
      <c r="Q4" s="692" t="s">
        <v>16</v>
      </c>
      <c r="R4" s="692" t="s">
        <v>17</v>
      </c>
      <c r="S4" s="692" t="s">
        <v>18</v>
      </c>
      <c r="T4" s="537" t="s">
        <v>19</v>
      </c>
      <c r="U4" s="537" t="s">
        <v>19</v>
      </c>
      <c r="V4" s="1061" t="s">
        <v>389</v>
      </c>
      <c r="W4" s="732"/>
      <c r="X4" s="732"/>
      <c r="Y4" s="732"/>
      <c r="Z4" s="732"/>
      <c r="AA4" s="732"/>
    </row>
    <row r="5" spans="1:27" ht="93.75" customHeight="1">
      <c r="A5" s="707"/>
      <c r="B5" s="707"/>
      <c r="C5" s="707"/>
      <c r="D5" s="707"/>
      <c r="E5" s="707"/>
      <c r="F5" s="707"/>
      <c r="G5" s="537" t="s">
        <v>21</v>
      </c>
      <c r="H5" s="537" t="s">
        <v>22</v>
      </c>
      <c r="I5" s="707"/>
      <c r="J5" s="537" t="s">
        <v>1692</v>
      </c>
      <c r="K5" s="537" t="s">
        <v>23</v>
      </c>
      <c r="L5" s="537" t="s">
        <v>24</v>
      </c>
      <c r="M5" s="707"/>
      <c r="N5" s="707"/>
      <c r="O5" s="707"/>
      <c r="P5" s="707"/>
      <c r="Q5" s="707"/>
      <c r="R5" s="707"/>
      <c r="S5" s="707"/>
      <c r="T5" s="537" t="s">
        <v>25</v>
      </c>
      <c r="U5" s="537" t="s">
        <v>26</v>
      </c>
      <c r="V5" s="707"/>
      <c r="W5" s="732"/>
      <c r="X5" s="732"/>
      <c r="Y5" s="732"/>
      <c r="Z5" s="732"/>
      <c r="AA5" s="732"/>
    </row>
    <row r="6" spans="1:27" ht="56.25" customHeight="1">
      <c r="A6" s="694" t="s">
        <v>27</v>
      </c>
      <c r="B6" s="692" t="s">
        <v>28</v>
      </c>
      <c r="C6" s="692" t="s">
        <v>29</v>
      </c>
      <c r="D6" s="537">
        <v>1</v>
      </c>
      <c r="E6" s="537" t="s">
        <v>30</v>
      </c>
      <c r="F6" s="1062"/>
      <c r="G6" s="1063"/>
      <c r="H6" s="638"/>
      <c r="I6" s="638"/>
      <c r="J6" s="638"/>
      <c r="K6" s="638"/>
      <c r="L6" s="638"/>
      <c r="M6" s="638"/>
      <c r="N6" s="638"/>
      <c r="O6" s="638"/>
      <c r="P6" s="638"/>
      <c r="Q6" s="1064"/>
      <c r="R6" s="638"/>
      <c r="S6" s="638"/>
      <c r="T6" s="605">
        <f t="shared" ref="T6:T103" si="0">SUM(F6:S6)</f>
        <v>0</v>
      </c>
      <c r="U6" s="605">
        <f t="shared" ref="U6:U7" si="1">T6+(T6*5/100)</f>
        <v>0</v>
      </c>
      <c r="V6" s="1065"/>
      <c r="W6" s="732"/>
      <c r="X6" s="732"/>
      <c r="Y6" s="732"/>
      <c r="Z6" s="732"/>
      <c r="AA6" s="732"/>
    </row>
    <row r="7" spans="1:27" ht="75">
      <c r="A7" s="712"/>
      <c r="B7" s="712"/>
      <c r="C7" s="712"/>
      <c r="D7" s="537">
        <v>2</v>
      </c>
      <c r="E7" s="537" t="s">
        <v>31</v>
      </c>
      <c r="F7" s="637"/>
      <c r="G7" s="639"/>
      <c r="H7" s="639"/>
      <c r="I7" s="639"/>
      <c r="J7" s="639"/>
      <c r="K7" s="608"/>
      <c r="L7" s="639"/>
      <c r="M7" s="639"/>
      <c r="N7" s="639"/>
      <c r="O7" s="639"/>
      <c r="P7" s="609"/>
      <c r="Q7" s="1066"/>
      <c r="R7" s="639"/>
      <c r="S7" s="639"/>
      <c r="T7" s="605">
        <f t="shared" si="0"/>
        <v>0</v>
      </c>
      <c r="U7" s="608">
        <f t="shared" si="1"/>
        <v>0</v>
      </c>
      <c r="V7" s="1065"/>
      <c r="W7" s="732"/>
      <c r="X7" s="732"/>
      <c r="Y7" s="732"/>
      <c r="Z7" s="732"/>
      <c r="AA7" s="732"/>
    </row>
    <row r="8" spans="1:27" ht="105">
      <c r="A8" s="712"/>
      <c r="B8" s="712"/>
      <c r="C8" s="712"/>
      <c r="D8" s="537">
        <v>3</v>
      </c>
      <c r="E8" s="537" t="s">
        <v>32</v>
      </c>
      <c r="F8" s="1067">
        <v>24.51</v>
      </c>
      <c r="G8" s="639"/>
      <c r="H8" s="639"/>
      <c r="I8" s="639"/>
      <c r="J8" s="639"/>
      <c r="K8" s="639"/>
      <c r="L8" s="639"/>
      <c r="M8" s="639"/>
      <c r="N8" s="639"/>
      <c r="O8" s="609">
        <v>19.89</v>
      </c>
      <c r="P8" s="639"/>
      <c r="Q8" s="1066"/>
      <c r="R8" s="609">
        <v>0.98</v>
      </c>
      <c r="S8" s="639"/>
      <c r="T8" s="605">
        <f t="shared" si="0"/>
        <v>45.38</v>
      </c>
      <c r="U8" s="608">
        <v>45.38</v>
      </c>
      <c r="V8" s="1065" t="s">
        <v>640</v>
      </c>
      <c r="W8" s="732"/>
      <c r="X8" s="732"/>
      <c r="Y8" s="732"/>
      <c r="Z8" s="732"/>
      <c r="AA8" s="732"/>
    </row>
    <row r="9" spans="1:27" ht="165">
      <c r="A9" s="712"/>
      <c r="B9" s="712"/>
      <c r="C9" s="712"/>
      <c r="D9" s="537">
        <v>4</v>
      </c>
      <c r="E9" s="537" t="s">
        <v>34</v>
      </c>
      <c r="F9" s="637"/>
      <c r="G9" s="639"/>
      <c r="H9" s="639"/>
      <c r="I9" s="639"/>
      <c r="J9" s="639"/>
      <c r="K9" s="1068">
        <v>36.270000000000003</v>
      </c>
      <c r="L9" s="639"/>
      <c r="M9" s="608">
        <v>7.1840000000000002</v>
      </c>
      <c r="N9" s="639"/>
      <c r="O9" s="1068">
        <v>0</v>
      </c>
      <c r="P9" s="609">
        <v>19.440000000000001</v>
      </c>
      <c r="Q9" s="1066"/>
      <c r="R9" s="639"/>
      <c r="S9" s="639"/>
      <c r="T9" s="605">
        <f t="shared" si="0"/>
        <v>62.894000000000005</v>
      </c>
      <c r="U9" s="608">
        <v>62.89</v>
      </c>
      <c r="V9" s="1065" t="s">
        <v>641</v>
      </c>
      <c r="W9" s="732"/>
      <c r="X9" s="732"/>
      <c r="Y9" s="732"/>
      <c r="Z9" s="732"/>
      <c r="AA9" s="732"/>
    </row>
    <row r="10" spans="1:27" ht="90">
      <c r="A10" s="712"/>
      <c r="B10" s="712"/>
      <c r="C10" s="712"/>
      <c r="D10" s="537">
        <v>5</v>
      </c>
      <c r="E10" s="537" t="s">
        <v>36</v>
      </c>
      <c r="F10" s="637"/>
      <c r="G10" s="639"/>
      <c r="H10" s="639"/>
      <c r="I10" s="639"/>
      <c r="J10" s="639"/>
      <c r="K10" s="639"/>
      <c r="L10" s="639"/>
      <c r="M10" s="639"/>
      <c r="N10" s="639"/>
      <c r="O10" s="639"/>
      <c r="P10" s="608">
        <v>17.96</v>
      </c>
      <c r="Q10" s="1066"/>
      <c r="R10" s="639"/>
      <c r="S10" s="639"/>
      <c r="T10" s="605">
        <f t="shared" si="0"/>
        <v>17.96</v>
      </c>
      <c r="U10" s="608">
        <v>17.96</v>
      </c>
      <c r="V10" s="1065" t="s">
        <v>642</v>
      </c>
      <c r="W10" s="732"/>
      <c r="X10" s="732"/>
      <c r="Y10" s="732"/>
      <c r="Z10" s="732"/>
      <c r="AA10" s="732"/>
    </row>
    <row r="11" spans="1:27" ht="225">
      <c r="A11" s="712"/>
      <c r="B11" s="712"/>
      <c r="C11" s="712"/>
      <c r="D11" s="537">
        <v>6</v>
      </c>
      <c r="E11" s="537" t="s">
        <v>38</v>
      </c>
      <c r="F11" s="1069">
        <v>0.28000000000000003</v>
      </c>
      <c r="G11" s="639"/>
      <c r="H11" s="639"/>
      <c r="I11" s="639"/>
      <c r="J11" s="639"/>
      <c r="K11" s="639"/>
      <c r="L11" s="639"/>
      <c r="M11" s="639"/>
      <c r="N11" s="609"/>
      <c r="O11" s="1068">
        <v>0.86499999999999999</v>
      </c>
      <c r="P11" s="609">
        <v>1.33</v>
      </c>
      <c r="Q11" s="1066"/>
      <c r="R11" s="639"/>
      <c r="S11" s="639"/>
      <c r="T11" s="605">
        <f t="shared" si="0"/>
        <v>2.4750000000000001</v>
      </c>
      <c r="U11" s="608">
        <f t="shared" ref="U11:U12" si="2">T11</f>
        <v>2.4750000000000001</v>
      </c>
      <c r="V11" s="1065" t="s">
        <v>643</v>
      </c>
      <c r="W11" s="732"/>
      <c r="X11" s="732"/>
      <c r="Y11" s="732"/>
      <c r="Z11" s="732"/>
      <c r="AA11" s="732"/>
    </row>
    <row r="12" spans="1:27" ht="75">
      <c r="A12" s="712"/>
      <c r="B12" s="712"/>
      <c r="C12" s="712"/>
      <c r="D12" s="537">
        <v>7</v>
      </c>
      <c r="E12" s="537" t="s">
        <v>40</v>
      </c>
      <c r="F12" s="637"/>
      <c r="G12" s="639"/>
      <c r="H12" s="639"/>
      <c r="I12" s="639"/>
      <c r="J12" s="639"/>
      <c r="K12" s="639"/>
      <c r="L12" s="639"/>
      <c r="M12" s="639"/>
      <c r="N12" s="639"/>
      <c r="O12" s="639"/>
      <c r="P12" s="609">
        <v>0</v>
      </c>
      <c r="Q12" s="609">
        <v>1.1499999999999999</v>
      </c>
      <c r="R12" s="1068">
        <v>0.1</v>
      </c>
      <c r="S12" s="639"/>
      <c r="T12" s="605">
        <f t="shared" si="0"/>
        <v>1.25</v>
      </c>
      <c r="U12" s="608">
        <f t="shared" si="2"/>
        <v>1.25</v>
      </c>
      <c r="V12" s="1065" t="s">
        <v>644</v>
      </c>
      <c r="W12" s="732"/>
      <c r="X12" s="732"/>
      <c r="Y12" s="732"/>
      <c r="Z12" s="732"/>
      <c r="AA12" s="732"/>
    </row>
    <row r="13" spans="1:27" ht="24.75" customHeight="1">
      <c r="A13" s="712"/>
      <c r="B13" s="712"/>
      <c r="C13" s="712"/>
      <c r="D13" s="537">
        <v>8</v>
      </c>
      <c r="E13" s="537" t="s">
        <v>42</v>
      </c>
      <c r="F13" s="637"/>
      <c r="G13" s="639"/>
      <c r="H13" s="639"/>
      <c r="I13" s="639"/>
      <c r="J13" s="639"/>
      <c r="K13" s="639"/>
      <c r="L13" s="639"/>
      <c r="M13" s="639"/>
      <c r="N13" s="608"/>
      <c r="O13" s="639"/>
      <c r="P13" s="639"/>
      <c r="Q13" s="1066"/>
      <c r="R13" s="639"/>
      <c r="S13" s="639"/>
      <c r="T13" s="605">
        <f t="shared" si="0"/>
        <v>0</v>
      </c>
      <c r="U13" s="608">
        <f>T13+(T13*5/100)</f>
        <v>0</v>
      </c>
      <c r="V13" s="1065"/>
      <c r="W13" s="732"/>
      <c r="X13" s="732"/>
      <c r="Y13" s="732"/>
      <c r="Z13" s="732"/>
      <c r="AA13" s="732"/>
    </row>
    <row r="14" spans="1:27" ht="75">
      <c r="A14" s="712"/>
      <c r="B14" s="712"/>
      <c r="C14" s="712"/>
      <c r="D14" s="537">
        <v>9</v>
      </c>
      <c r="E14" s="537" t="s">
        <v>43</v>
      </c>
      <c r="F14" s="637"/>
      <c r="G14" s="639"/>
      <c r="H14" s="639"/>
      <c r="I14" s="639"/>
      <c r="J14" s="639"/>
      <c r="K14" s="639"/>
      <c r="L14" s="639"/>
      <c r="M14" s="639"/>
      <c r="N14" s="608"/>
      <c r="O14" s="639"/>
      <c r="P14" s="542">
        <v>0.15851999999999999</v>
      </c>
      <c r="Q14" s="543"/>
      <c r="R14" s="543">
        <v>0.18</v>
      </c>
      <c r="S14" s="543"/>
      <c r="T14" s="605">
        <f t="shared" si="0"/>
        <v>0.33851999999999999</v>
      </c>
      <c r="U14" s="608">
        <f>T14</f>
        <v>0.33851999999999999</v>
      </c>
      <c r="V14" s="1065" t="s">
        <v>645</v>
      </c>
      <c r="W14" s="732"/>
      <c r="X14" s="732"/>
      <c r="Y14" s="732"/>
      <c r="Z14" s="732"/>
      <c r="AA14" s="732"/>
    </row>
    <row r="15" spans="1:27" ht="82.9" customHeight="1">
      <c r="A15" s="712"/>
      <c r="B15" s="712"/>
      <c r="C15" s="712"/>
      <c r="D15" s="537">
        <v>10</v>
      </c>
      <c r="E15" s="537" t="s">
        <v>44</v>
      </c>
      <c r="F15" s="637"/>
      <c r="G15" s="639"/>
      <c r="H15" s="639"/>
      <c r="I15" s="608">
        <v>0.02</v>
      </c>
      <c r="J15" s="639"/>
      <c r="K15" s="639"/>
      <c r="L15" s="639"/>
      <c r="M15" s="639"/>
      <c r="N15" s="608">
        <v>0.82</v>
      </c>
      <c r="O15" s="639"/>
      <c r="P15" s="639"/>
      <c r="Q15" s="1066"/>
      <c r="R15" s="639"/>
      <c r="S15" s="639"/>
      <c r="T15" s="605">
        <f t="shared" si="0"/>
        <v>0.84</v>
      </c>
      <c r="U15" s="608">
        <v>0.82</v>
      </c>
      <c r="V15" s="1065" t="s">
        <v>1598</v>
      </c>
      <c r="W15" s="732"/>
      <c r="X15" s="732"/>
      <c r="Y15" s="732"/>
      <c r="Z15" s="732"/>
      <c r="AA15" s="732"/>
    </row>
    <row r="16" spans="1:27" ht="24.75" customHeight="1">
      <c r="A16" s="712"/>
      <c r="B16" s="712"/>
      <c r="C16" s="712"/>
      <c r="D16" s="537">
        <v>11</v>
      </c>
      <c r="E16" s="537" t="s">
        <v>45</v>
      </c>
      <c r="F16" s="637"/>
      <c r="G16" s="609"/>
      <c r="H16" s="609"/>
      <c r="I16" s="639"/>
      <c r="J16" s="639"/>
      <c r="K16" s="639"/>
      <c r="L16" s="639"/>
      <c r="M16" s="639"/>
      <c r="N16" s="639"/>
      <c r="O16" s="639"/>
      <c r="P16" s="639"/>
      <c r="Q16" s="1066"/>
      <c r="R16" s="639"/>
      <c r="S16" s="639"/>
      <c r="T16" s="605">
        <f t="shared" si="0"/>
        <v>0</v>
      </c>
      <c r="U16" s="608">
        <f>T16+(T16*5/100)</f>
        <v>0</v>
      </c>
      <c r="V16" s="1065"/>
      <c r="W16" s="732"/>
      <c r="X16" s="732"/>
      <c r="Y16" s="732"/>
      <c r="Z16" s="732"/>
      <c r="AA16" s="732"/>
    </row>
    <row r="17" spans="1:27" ht="45">
      <c r="A17" s="712"/>
      <c r="B17" s="712"/>
      <c r="C17" s="712"/>
      <c r="D17" s="537">
        <v>12</v>
      </c>
      <c r="E17" s="537" t="s">
        <v>46</v>
      </c>
      <c r="F17" s="637"/>
      <c r="G17" s="639"/>
      <c r="H17" s="639"/>
      <c r="I17" s="639"/>
      <c r="J17" s="639"/>
      <c r="K17" s="639"/>
      <c r="L17" s="639"/>
      <c r="M17" s="639"/>
      <c r="N17" s="608">
        <v>1</v>
      </c>
      <c r="O17" s="639"/>
      <c r="P17" s="639"/>
      <c r="Q17" s="1066"/>
      <c r="R17" s="639"/>
      <c r="S17" s="639"/>
      <c r="T17" s="605">
        <f t="shared" si="0"/>
        <v>1</v>
      </c>
      <c r="U17" s="608">
        <v>1</v>
      </c>
      <c r="V17" s="1065" t="s">
        <v>452</v>
      </c>
      <c r="W17" s="732"/>
      <c r="X17" s="732"/>
      <c r="Y17" s="732"/>
      <c r="Z17" s="732"/>
      <c r="AA17" s="732"/>
    </row>
    <row r="18" spans="1:27" ht="24.75" customHeight="1">
      <c r="A18" s="712"/>
      <c r="B18" s="712"/>
      <c r="C18" s="712"/>
      <c r="D18" s="537">
        <v>13</v>
      </c>
      <c r="E18" s="537" t="s">
        <v>48</v>
      </c>
      <c r="F18" s="637"/>
      <c r="G18" s="639"/>
      <c r="H18" s="639"/>
      <c r="I18" s="639"/>
      <c r="J18" s="639"/>
      <c r="K18" s="639"/>
      <c r="L18" s="639"/>
      <c r="M18" s="639"/>
      <c r="N18" s="639"/>
      <c r="O18" s="639"/>
      <c r="P18" s="609"/>
      <c r="Q18" s="1066"/>
      <c r="R18" s="639"/>
      <c r="S18" s="639"/>
      <c r="T18" s="605">
        <f t="shared" si="0"/>
        <v>0</v>
      </c>
      <c r="U18" s="608">
        <f t="shared" ref="U18:U19" si="3">T18+(T18*5/100)</f>
        <v>0</v>
      </c>
      <c r="V18" s="1065"/>
      <c r="W18" s="732"/>
      <c r="X18" s="732"/>
      <c r="Y18" s="732"/>
      <c r="Z18" s="732"/>
      <c r="AA18" s="732"/>
    </row>
    <row r="19" spans="1:27" ht="24.75" customHeight="1">
      <c r="A19" s="712"/>
      <c r="B19" s="712"/>
      <c r="C19" s="712"/>
      <c r="D19" s="537">
        <v>14</v>
      </c>
      <c r="E19" s="537" t="s">
        <v>49</v>
      </c>
      <c r="F19" s="637"/>
      <c r="G19" s="639"/>
      <c r="H19" s="639"/>
      <c r="I19" s="639"/>
      <c r="J19" s="639"/>
      <c r="K19" s="639"/>
      <c r="L19" s="639"/>
      <c r="M19" s="639"/>
      <c r="N19" s="639"/>
      <c r="O19" s="639"/>
      <c r="P19" s="639"/>
      <c r="Q19" s="1066"/>
      <c r="R19" s="639"/>
      <c r="S19" s="639"/>
      <c r="T19" s="605">
        <f t="shared" si="0"/>
        <v>0</v>
      </c>
      <c r="U19" s="608">
        <f t="shared" si="3"/>
        <v>0</v>
      </c>
      <c r="V19" s="1065"/>
      <c r="W19" s="732"/>
      <c r="X19" s="732"/>
      <c r="Y19" s="732"/>
      <c r="Z19" s="732"/>
      <c r="AA19" s="732"/>
    </row>
    <row r="20" spans="1:27" ht="300">
      <c r="A20" s="712"/>
      <c r="B20" s="712"/>
      <c r="C20" s="712"/>
      <c r="D20" s="537">
        <v>15</v>
      </c>
      <c r="E20" s="537" t="s">
        <v>50</v>
      </c>
      <c r="F20" s="637"/>
      <c r="G20" s="639"/>
      <c r="H20" s="607"/>
      <c r="I20" s="609">
        <v>0.2</v>
      </c>
      <c r="J20" s="639"/>
      <c r="K20" s="639"/>
      <c r="L20" s="639"/>
      <c r="M20" s="639"/>
      <c r="N20" s="608">
        <v>0.75</v>
      </c>
      <c r="O20" s="639"/>
      <c r="P20" s="609">
        <v>3</v>
      </c>
      <c r="Q20" s="609"/>
      <c r="R20" s="639"/>
      <c r="S20" s="639"/>
      <c r="T20" s="605">
        <f t="shared" si="0"/>
        <v>3.95</v>
      </c>
      <c r="U20" s="608">
        <f>0.22+1+1+2</f>
        <v>4.22</v>
      </c>
      <c r="V20" s="1065" t="s">
        <v>646</v>
      </c>
      <c r="W20" s="732"/>
      <c r="X20" s="732"/>
      <c r="Y20" s="732"/>
      <c r="Z20" s="732"/>
      <c r="AA20" s="732"/>
    </row>
    <row r="21" spans="1:27" ht="24.75" customHeight="1">
      <c r="A21" s="712"/>
      <c r="B21" s="712"/>
      <c r="C21" s="712"/>
      <c r="D21" s="537">
        <v>16</v>
      </c>
      <c r="E21" s="537" t="s">
        <v>51</v>
      </c>
      <c r="F21" s="637"/>
      <c r="G21" s="639"/>
      <c r="H21" s="639"/>
      <c r="I21" s="639"/>
      <c r="J21" s="639"/>
      <c r="K21" s="639"/>
      <c r="L21" s="639"/>
      <c r="M21" s="639"/>
      <c r="N21" s="639"/>
      <c r="O21" s="639"/>
      <c r="P21" s="639"/>
      <c r="Q21" s="1066"/>
      <c r="R21" s="639"/>
      <c r="S21" s="639"/>
      <c r="T21" s="605">
        <f t="shared" si="0"/>
        <v>0</v>
      </c>
      <c r="U21" s="608">
        <f>T21+(T21*5/100)</f>
        <v>0</v>
      </c>
      <c r="V21" s="1065"/>
      <c r="W21" s="732"/>
      <c r="X21" s="732"/>
      <c r="Y21" s="732"/>
      <c r="Z21" s="732"/>
      <c r="AA21" s="732"/>
    </row>
    <row r="22" spans="1:27" ht="60">
      <c r="A22" s="712"/>
      <c r="B22" s="712"/>
      <c r="C22" s="712"/>
      <c r="D22" s="537">
        <v>17</v>
      </c>
      <c r="E22" s="537" t="s">
        <v>52</v>
      </c>
      <c r="F22" s="637"/>
      <c r="G22" s="639"/>
      <c r="H22" s="639"/>
      <c r="I22" s="608"/>
      <c r="J22" s="639"/>
      <c r="K22" s="639"/>
      <c r="L22" s="639"/>
      <c r="M22" s="639"/>
      <c r="N22" s="608"/>
      <c r="O22" s="639"/>
      <c r="P22" s="1070">
        <v>2.25</v>
      </c>
      <c r="Q22" s="607">
        <v>3.2</v>
      </c>
      <c r="R22" s="639"/>
      <c r="S22" s="609"/>
      <c r="T22" s="605">
        <f t="shared" si="0"/>
        <v>5.45</v>
      </c>
      <c r="U22" s="544">
        <f>T22+0.5</f>
        <v>5.95</v>
      </c>
      <c r="V22" s="1071" t="s">
        <v>647</v>
      </c>
      <c r="W22" s="732"/>
      <c r="X22" s="732"/>
      <c r="Y22" s="732"/>
      <c r="Z22" s="732"/>
      <c r="AA22" s="732"/>
    </row>
    <row r="23" spans="1:27" ht="60">
      <c r="A23" s="712"/>
      <c r="B23" s="707"/>
      <c r="C23" s="707"/>
      <c r="D23" s="537">
        <v>18</v>
      </c>
      <c r="E23" s="537" t="s">
        <v>53</v>
      </c>
      <c r="F23" s="637"/>
      <c r="G23" s="639"/>
      <c r="H23" s="639"/>
      <c r="I23" s="639"/>
      <c r="J23" s="639"/>
      <c r="K23" s="639"/>
      <c r="L23" s="639"/>
      <c r="M23" s="639"/>
      <c r="N23" s="639"/>
      <c r="O23" s="639"/>
      <c r="P23" s="1072">
        <f>2.025+0.15</f>
        <v>2.1749999999999998</v>
      </c>
      <c r="Q23" s="609"/>
      <c r="R23" s="639"/>
      <c r="S23" s="609"/>
      <c r="T23" s="605">
        <f t="shared" si="0"/>
        <v>2.1749999999999998</v>
      </c>
      <c r="U23" s="608">
        <f>T23</f>
        <v>2.1749999999999998</v>
      </c>
      <c r="V23" s="1065" t="s">
        <v>1800</v>
      </c>
      <c r="W23" s="732"/>
      <c r="X23" s="732"/>
      <c r="Y23" s="732"/>
      <c r="Z23" s="732"/>
      <c r="AA23" s="732"/>
    </row>
    <row r="24" spans="1:27" ht="24.75" customHeight="1">
      <c r="A24" s="712"/>
      <c r="B24" s="692" t="s">
        <v>54</v>
      </c>
      <c r="C24" s="692" t="s">
        <v>55</v>
      </c>
      <c r="D24" s="537">
        <v>19</v>
      </c>
      <c r="E24" s="537" t="s">
        <v>55</v>
      </c>
      <c r="F24" s="637"/>
      <c r="G24" s="639"/>
      <c r="H24" s="639"/>
      <c r="I24" s="639"/>
      <c r="J24" s="639"/>
      <c r="K24" s="639"/>
      <c r="L24" s="639"/>
      <c r="M24" s="639"/>
      <c r="N24" s="639"/>
      <c r="O24" s="639"/>
      <c r="P24" s="639"/>
      <c r="Q24" s="1066"/>
      <c r="R24" s="639"/>
      <c r="S24" s="639"/>
      <c r="T24" s="605">
        <f t="shared" si="0"/>
        <v>0</v>
      </c>
      <c r="U24" s="608">
        <f>T24+(T24*5/100)</f>
        <v>0</v>
      </c>
      <c r="V24" s="1065"/>
      <c r="W24" s="732"/>
      <c r="X24" s="732"/>
      <c r="Y24" s="732"/>
      <c r="Z24" s="732"/>
      <c r="AA24" s="732"/>
    </row>
    <row r="25" spans="1:27" ht="135">
      <c r="A25" s="712"/>
      <c r="B25" s="707"/>
      <c r="C25" s="707"/>
      <c r="D25" s="537">
        <v>20</v>
      </c>
      <c r="E25" s="537" t="s">
        <v>56</v>
      </c>
      <c r="F25" s="637"/>
      <c r="G25" s="639"/>
      <c r="H25" s="639"/>
      <c r="I25" s="639"/>
      <c r="J25" s="639"/>
      <c r="K25" s="639"/>
      <c r="L25" s="639"/>
      <c r="M25" s="639"/>
      <c r="N25" s="639"/>
      <c r="O25" s="639"/>
      <c r="P25" s="639"/>
      <c r="Q25" s="608">
        <v>0.45</v>
      </c>
      <c r="R25" s="639"/>
      <c r="S25" s="639"/>
      <c r="T25" s="605">
        <f t="shared" si="0"/>
        <v>0.45</v>
      </c>
      <c r="U25" s="608">
        <f>0.45</f>
        <v>0.45</v>
      </c>
      <c r="V25" s="1065" t="s">
        <v>648</v>
      </c>
      <c r="W25" s="732"/>
      <c r="X25" s="732"/>
      <c r="Y25" s="732"/>
      <c r="Z25" s="732"/>
      <c r="AA25" s="732"/>
    </row>
    <row r="26" spans="1:27" ht="207" customHeight="1">
      <c r="A26" s="712"/>
      <c r="B26" s="692" t="s">
        <v>58</v>
      </c>
      <c r="C26" s="692" t="s">
        <v>59</v>
      </c>
      <c r="D26" s="537">
        <v>21</v>
      </c>
      <c r="E26" s="537" t="s">
        <v>60</v>
      </c>
      <c r="F26" s="1073"/>
      <c r="G26" s="1074"/>
      <c r="H26" s="1075"/>
      <c r="I26" s="612">
        <v>1.1000000000000001</v>
      </c>
      <c r="J26" s="1074"/>
      <c r="K26" s="1076"/>
      <c r="L26" s="1074"/>
      <c r="M26" s="1074"/>
      <c r="N26" s="612">
        <f>1+0.42+0.175</f>
        <v>1.595</v>
      </c>
      <c r="O26" s="1074"/>
      <c r="P26" s="613">
        <f>18.12+2.088</f>
        <v>20.208000000000002</v>
      </c>
      <c r="Q26" s="613">
        <v>0.13750000000000001</v>
      </c>
      <c r="R26" s="1077">
        <v>0.5</v>
      </c>
      <c r="S26" s="1074"/>
      <c r="T26" s="605">
        <f t="shared" si="0"/>
        <v>23.540500000000002</v>
      </c>
      <c r="U26" s="544">
        <f>I26+N26+P26+Q26+R26</f>
        <v>23.540500000000002</v>
      </c>
      <c r="V26" s="633" t="s">
        <v>1670</v>
      </c>
      <c r="W26" s="732"/>
      <c r="X26" s="732"/>
      <c r="Y26" s="732"/>
      <c r="Z26" s="732"/>
      <c r="AA26" s="732"/>
    </row>
    <row r="27" spans="1:27" ht="135">
      <c r="A27" s="712"/>
      <c r="B27" s="712"/>
      <c r="C27" s="712"/>
      <c r="D27" s="537">
        <v>22</v>
      </c>
      <c r="E27" s="537" t="s">
        <v>62</v>
      </c>
      <c r="F27" s="1078"/>
      <c r="G27" s="1074"/>
      <c r="H27" s="1075"/>
      <c r="I27" s="1079">
        <f>1384904/100000</f>
        <v>13.84904</v>
      </c>
      <c r="J27" s="1074"/>
      <c r="K27" s="1074"/>
      <c r="L27" s="1074"/>
      <c r="M27" s="613">
        <v>1</v>
      </c>
      <c r="N27" s="1074"/>
      <c r="O27" s="1074"/>
      <c r="P27" s="613">
        <f>77.233+1.2</f>
        <v>78.433000000000007</v>
      </c>
      <c r="Q27" s="613">
        <v>1</v>
      </c>
      <c r="R27" s="1076"/>
      <c r="S27" s="1074"/>
      <c r="T27" s="605">
        <f t="shared" si="0"/>
        <v>94.282040000000009</v>
      </c>
      <c r="U27" s="544">
        <f>M27+P27+Q27</f>
        <v>80.433000000000007</v>
      </c>
      <c r="V27" s="1071" t="s">
        <v>1669</v>
      </c>
      <c r="W27" s="732"/>
      <c r="X27" s="732"/>
      <c r="Y27" s="732"/>
      <c r="Z27" s="732"/>
      <c r="AA27" s="732"/>
    </row>
    <row r="28" spans="1:27" ht="85.5" customHeight="1">
      <c r="A28" s="712"/>
      <c r="B28" s="712"/>
      <c r="C28" s="712"/>
      <c r="D28" s="537">
        <v>23</v>
      </c>
      <c r="E28" s="537" t="s">
        <v>64</v>
      </c>
      <c r="F28" s="1073"/>
      <c r="G28" s="1074"/>
      <c r="H28" s="1074"/>
      <c r="I28" s="1074"/>
      <c r="J28" s="1074"/>
      <c r="K28" s="1076"/>
      <c r="L28" s="1074"/>
      <c r="M28" s="1074"/>
      <c r="N28" s="611">
        <v>0.11</v>
      </c>
      <c r="O28" s="1080">
        <v>31.26</v>
      </c>
      <c r="P28" s="1074"/>
      <c r="Q28" s="1081"/>
      <c r="R28" s="1074"/>
      <c r="S28" s="1074"/>
      <c r="T28" s="605">
        <f t="shared" si="0"/>
        <v>31.37</v>
      </c>
      <c r="U28" s="544">
        <f>T28</f>
        <v>31.37</v>
      </c>
      <c r="V28" s="1082" t="s">
        <v>1668</v>
      </c>
      <c r="W28" s="732"/>
      <c r="X28" s="732"/>
      <c r="Y28" s="732"/>
      <c r="Z28" s="732"/>
      <c r="AA28" s="732"/>
    </row>
    <row r="29" spans="1:27" ht="195">
      <c r="A29" s="712"/>
      <c r="B29" s="712"/>
      <c r="C29" s="712"/>
      <c r="D29" s="537">
        <v>24</v>
      </c>
      <c r="E29" s="537" t="s">
        <v>66</v>
      </c>
      <c r="F29" s="1073"/>
      <c r="G29" s="1074"/>
      <c r="H29" s="1075"/>
      <c r="I29" s="1083"/>
      <c r="J29" s="1074"/>
      <c r="K29" s="1074"/>
      <c r="L29" s="1074"/>
      <c r="M29" s="1074"/>
      <c r="N29" s="548">
        <f>1+0.688+0.688+0.5+2</f>
        <v>4.8759999999999994</v>
      </c>
      <c r="O29" s="1075"/>
      <c r="P29" s="1083">
        <v>4.4000000000000004</v>
      </c>
      <c r="Q29" s="1084"/>
      <c r="R29" s="1074"/>
      <c r="S29" s="1074"/>
      <c r="T29" s="605">
        <f t="shared" si="0"/>
        <v>9.2759999999999998</v>
      </c>
      <c r="U29" s="1085">
        <v>11.276</v>
      </c>
      <c r="V29" s="1086" t="s">
        <v>1667</v>
      </c>
      <c r="W29" s="732"/>
      <c r="X29" s="732"/>
      <c r="Y29" s="732"/>
      <c r="Z29" s="732"/>
      <c r="AA29" s="732"/>
    </row>
    <row r="30" spans="1:27" ht="210">
      <c r="A30" s="712"/>
      <c r="B30" s="712"/>
      <c r="C30" s="712"/>
      <c r="D30" s="537">
        <v>25</v>
      </c>
      <c r="E30" s="537" t="s">
        <v>68</v>
      </c>
      <c r="F30" s="1073"/>
      <c r="G30" s="1074"/>
      <c r="H30" s="1074"/>
      <c r="I30" s="1074"/>
      <c r="J30" s="1074"/>
      <c r="K30" s="1074"/>
      <c r="L30" s="1074"/>
      <c r="M30" s="1074"/>
      <c r="N30" s="1076">
        <v>0.5</v>
      </c>
      <c r="O30" s="1087">
        <v>6.4500000000000002E-2</v>
      </c>
      <c r="P30" s="1074">
        <v>0.89600000000000002</v>
      </c>
      <c r="Q30" s="1088"/>
      <c r="R30" s="1074"/>
      <c r="S30" s="1074"/>
      <c r="T30" s="605">
        <f t="shared" si="0"/>
        <v>1.4605000000000001</v>
      </c>
      <c r="U30" s="544">
        <f>T30</f>
        <v>1.4605000000000001</v>
      </c>
      <c r="V30" s="1086" t="s">
        <v>1666</v>
      </c>
      <c r="W30" s="732"/>
      <c r="X30" s="732"/>
      <c r="Y30" s="732"/>
      <c r="Z30" s="732"/>
      <c r="AA30" s="732"/>
    </row>
    <row r="31" spans="1:27" ht="119.25" customHeight="1">
      <c r="A31" s="712"/>
      <c r="B31" s="712"/>
      <c r="C31" s="712"/>
      <c r="D31" s="537">
        <v>26</v>
      </c>
      <c r="E31" s="537" t="s">
        <v>70</v>
      </c>
      <c r="F31" s="1073"/>
      <c r="G31" s="1074"/>
      <c r="H31" s="1074"/>
      <c r="I31" s="1076"/>
      <c r="J31" s="1074"/>
      <c r="K31" s="1074"/>
      <c r="L31" s="1074"/>
      <c r="M31" s="1074"/>
      <c r="N31" s="612">
        <v>2.7</v>
      </c>
      <c r="O31" s="1074"/>
      <c r="P31" s="1074"/>
      <c r="Q31" s="551">
        <v>3.2</v>
      </c>
      <c r="R31" s="552">
        <v>0.2</v>
      </c>
      <c r="S31" s="1074"/>
      <c r="T31" s="605">
        <f t="shared" si="0"/>
        <v>6.1000000000000005</v>
      </c>
      <c r="U31" s="544">
        <f>T31-0.2</f>
        <v>5.9</v>
      </c>
      <c r="V31" s="1086" t="s">
        <v>1665</v>
      </c>
      <c r="W31" s="732"/>
      <c r="X31" s="732"/>
      <c r="Y31" s="732"/>
      <c r="Z31" s="732"/>
      <c r="AA31" s="732"/>
    </row>
    <row r="32" spans="1:27" ht="60">
      <c r="A32" s="712"/>
      <c r="B32" s="712"/>
      <c r="C32" s="712"/>
      <c r="D32" s="537">
        <v>27</v>
      </c>
      <c r="E32" s="537" t="s">
        <v>72</v>
      </c>
      <c r="F32" s="1073"/>
      <c r="G32" s="1074"/>
      <c r="H32" s="1075"/>
      <c r="I32" s="1077"/>
      <c r="J32" s="1074"/>
      <c r="K32" s="1074"/>
      <c r="L32" s="1074"/>
      <c r="M32" s="1074"/>
      <c r="N32" s="1077">
        <v>1</v>
      </c>
      <c r="O32" s="1075"/>
      <c r="P32" s="1080">
        <v>1.5</v>
      </c>
      <c r="Q32" s="1089"/>
      <c r="R32" s="1074"/>
      <c r="S32" s="1074"/>
      <c r="T32" s="605">
        <f t="shared" si="0"/>
        <v>2.5</v>
      </c>
      <c r="U32" s="608">
        <f>T32</f>
        <v>2.5</v>
      </c>
      <c r="V32" s="1090" t="s">
        <v>1664</v>
      </c>
      <c r="W32" s="732"/>
      <c r="X32" s="732"/>
      <c r="Y32" s="732"/>
      <c r="Z32" s="732"/>
      <c r="AA32" s="732"/>
    </row>
    <row r="33" spans="1:27" ht="105">
      <c r="A33" s="712"/>
      <c r="B33" s="712"/>
      <c r="C33" s="712"/>
      <c r="D33" s="537">
        <v>28</v>
      </c>
      <c r="E33" s="537" t="s">
        <v>34</v>
      </c>
      <c r="F33" s="1073"/>
      <c r="G33" s="1074"/>
      <c r="H33" s="1074"/>
      <c r="I33" s="1074"/>
      <c r="J33" s="1074"/>
      <c r="K33" s="1077">
        <v>1.0780000000000001</v>
      </c>
      <c r="L33" s="1074"/>
      <c r="M33" s="1077">
        <v>1.0780000000000001</v>
      </c>
      <c r="N33" s="1074"/>
      <c r="O33" s="1074"/>
      <c r="P33" s="1074"/>
      <c r="Q33" s="1089"/>
      <c r="R33" s="1074"/>
      <c r="S33" s="1074"/>
      <c r="T33" s="605">
        <f t="shared" si="0"/>
        <v>2.1560000000000001</v>
      </c>
      <c r="U33" s="608">
        <f>2.16</f>
        <v>2.16</v>
      </c>
      <c r="V33" s="1065" t="s">
        <v>1801</v>
      </c>
      <c r="W33" s="732"/>
      <c r="X33" s="732"/>
      <c r="Y33" s="732"/>
      <c r="Z33" s="732"/>
      <c r="AA33" s="732"/>
    </row>
    <row r="34" spans="1:27" ht="24.75" customHeight="1">
      <c r="A34" s="712"/>
      <c r="B34" s="712"/>
      <c r="C34" s="712"/>
      <c r="D34" s="537">
        <v>29</v>
      </c>
      <c r="E34" s="537" t="s">
        <v>36</v>
      </c>
      <c r="F34" s="1073"/>
      <c r="G34" s="1074"/>
      <c r="H34" s="1074"/>
      <c r="I34" s="1074"/>
      <c r="J34" s="1074"/>
      <c r="K34" s="1074"/>
      <c r="L34" s="1074"/>
      <c r="M34" s="1074"/>
      <c r="N34" s="1074"/>
      <c r="O34" s="1074"/>
      <c r="P34" s="1077">
        <v>2.6949999999999998</v>
      </c>
      <c r="Q34" s="1089"/>
      <c r="R34" s="1074"/>
      <c r="S34" s="1074"/>
      <c r="T34" s="605">
        <f t="shared" si="0"/>
        <v>2.6949999999999998</v>
      </c>
      <c r="U34" s="608">
        <f t="shared" ref="U34:U35" si="4">T34</f>
        <v>2.6949999999999998</v>
      </c>
      <c r="V34" s="1065" t="s">
        <v>1802</v>
      </c>
      <c r="W34" s="732"/>
      <c r="X34" s="732"/>
      <c r="Y34" s="732"/>
      <c r="Z34" s="732"/>
      <c r="AA34" s="732"/>
    </row>
    <row r="35" spans="1:27" ht="45">
      <c r="A35" s="712"/>
      <c r="B35" s="712"/>
      <c r="C35" s="712"/>
      <c r="D35" s="537">
        <v>30</v>
      </c>
      <c r="E35" s="537" t="s">
        <v>74</v>
      </c>
      <c r="F35" s="1073"/>
      <c r="G35" s="1074"/>
      <c r="H35" s="1074"/>
      <c r="I35" s="1076"/>
      <c r="J35" s="1074"/>
      <c r="K35" s="1074"/>
      <c r="L35" s="1074"/>
      <c r="M35" s="1074"/>
      <c r="N35" s="1074"/>
      <c r="O35" s="1074"/>
      <c r="P35" s="1074"/>
      <c r="Q35" s="612">
        <v>3.96</v>
      </c>
      <c r="R35" s="556">
        <v>1.75</v>
      </c>
      <c r="S35" s="1074"/>
      <c r="T35" s="605">
        <f t="shared" si="0"/>
        <v>5.71</v>
      </c>
      <c r="U35" s="538">
        <f t="shared" si="4"/>
        <v>5.71</v>
      </c>
      <c r="V35" s="1065" t="s">
        <v>1663</v>
      </c>
      <c r="W35" s="732"/>
      <c r="X35" s="732"/>
      <c r="Y35" s="732"/>
      <c r="Z35" s="732"/>
      <c r="AA35" s="732"/>
    </row>
    <row r="36" spans="1:27" ht="24.75" customHeight="1">
      <c r="A36" s="712"/>
      <c r="B36" s="707"/>
      <c r="C36" s="707"/>
      <c r="D36" s="537">
        <v>31</v>
      </c>
      <c r="E36" s="537" t="s">
        <v>53</v>
      </c>
      <c r="F36" s="1073"/>
      <c r="G36" s="1074"/>
      <c r="H36" s="1074"/>
      <c r="I36" s="1074"/>
      <c r="J36" s="1074"/>
      <c r="K36" s="1074"/>
      <c r="L36" s="1074"/>
      <c r="M36" s="1074"/>
      <c r="N36" s="1074"/>
      <c r="O36" s="1074"/>
      <c r="P36" s="1074"/>
      <c r="Q36" s="1089"/>
      <c r="R36" s="1074"/>
      <c r="S36" s="1074"/>
      <c r="T36" s="605">
        <f t="shared" si="0"/>
        <v>0</v>
      </c>
      <c r="U36" s="608">
        <f>T36+(T36*5/100)</f>
        <v>0</v>
      </c>
      <c r="V36" s="1065"/>
      <c r="W36" s="732"/>
      <c r="X36" s="732"/>
      <c r="Y36" s="732"/>
      <c r="Z36" s="732"/>
      <c r="AA36" s="732"/>
    </row>
    <row r="37" spans="1:27" ht="120">
      <c r="A37" s="712"/>
      <c r="B37" s="692" t="s">
        <v>76</v>
      </c>
      <c r="C37" s="692" t="s">
        <v>77</v>
      </c>
      <c r="D37" s="537">
        <v>32</v>
      </c>
      <c r="E37" s="537" t="s">
        <v>78</v>
      </c>
      <c r="F37" s="637"/>
      <c r="G37" s="639"/>
      <c r="H37" s="639"/>
      <c r="I37" s="608"/>
      <c r="J37" s="639"/>
      <c r="K37" s="639"/>
      <c r="L37" s="639"/>
      <c r="M37" s="608"/>
      <c r="N37" s="608">
        <v>4.13</v>
      </c>
      <c r="O37" s="609">
        <v>27.420999999999999</v>
      </c>
      <c r="P37" s="609">
        <v>10.5212</v>
      </c>
      <c r="Q37" s="608">
        <v>2.5</v>
      </c>
      <c r="R37" s="540">
        <v>4.1894999999999998</v>
      </c>
      <c r="S37" s="1091">
        <v>2.78</v>
      </c>
      <c r="T37" s="605">
        <f t="shared" si="0"/>
        <v>51.541699999999999</v>
      </c>
      <c r="U37" s="608">
        <f>T37-0.122</f>
        <v>51.419699999999999</v>
      </c>
      <c r="V37" s="1092" t="s">
        <v>649</v>
      </c>
      <c r="W37" s="732"/>
      <c r="X37" s="732"/>
      <c r="Y37" s="732"/>
      <c r="Z37" s="732"/>
      <c r="AA37" s="732"/>
    </row>
    <row r="38" spans="1:27" ht="24.75" customHeight="1">
      <c r="A38" s="712"/>
      <c r="B38" s="712"/>
      <c r="C38" s="712"/>
      <c r="D38" s="537">
        <v>33</v>
      </c>
      <c r="E38" s="537" t="s">
        <v>80</v>
      </c>
      <c r="F38" s="637"/>
      <c r="G38" s="639"/>
      <c r="H38" s="639"/>
      <c r="I38" s="639"/>
      <c r="J38" s="639"/>
      <c r="K38" s="639"/>
      <c r="L38" s="639"/>
      <c r="M38" s="639"/>
      <c r="N38" s="639"/>
      <c r="O38" s="639"/>
      <c r="P38" s="639"/>
      <c r="Q38" s="1066"/>
      <c r="R38" s="639"/>
      <c r="S38" s="639"/>
      <c r="T38" s="605">
        <f t="shared" si="0"/>
        <v>0</v>
      </c>
      <c r="U38" s="608">
        <f t="shared" ref="U38:U39" si="5">T38+(T38*5/100)</f>
        <v>0</v>
      </c>
      <c r="V38" s="1065"/>
      <c r="W38" s="732"/>
      <c r="X38" s="732"/>
      <c r="Y38" s="732"/>
      <c r="Z38" s="732"/>
      <c r="AA38" s="732"/>
    </row>
    <row r="39" spans="1:27" ht="24.75" customHeight="1">
      <c r="A39" s="712"/>
      <c r="B39" s="707"/>
      <c r="C39" s="707"/>
      <c r="D39" s="537">
        <v>34</v>
      </c>
      <c r="E39" s="537" t="s">
        <v>81</v>
      </c>
      <c r="F39" s="637"/>
      <c r="G39" s="639"/>
      <c r="H39" s="639"/>
      <c r="I39" s="639"/>
      <c r="J39" s="639"/>
      <c r="K39" s="639"/>
      <c r="L39" s="639"/>
      <c r="M39" s="639"/>
      <c r="N39" s="608"/>
      <c r="O39" s="639"/>
      <c r="P39" s="609"/>
      <c r="Q39" s="1066"/>
      <c r="R39" s="639"/>
      <c r="S39" s="639"/>
      <c r="T39" s="605">
        <f t="shared" si="0"/>
        <v>0</v>
      </c>
      <c r="U39" s="608">
        <f t="shared" si="5"/>
        <v>0</v>
      </c>
      <c r="V39" s="1065"/>
      <c r="W39" s="732"/>
      <c r="X39" s="732"/>
      <c r="Y39" s="732"/>
      <c r="Z39" s="732"/>
      <c r="AA39" s="732"/>
    </row>
    <row r="40" spans="1:27" ht="255">
      <c r="A40" s="712"/>
      <c r="B40" s="692" t="s">
        <v>82</v>
      </c>
      <c r="C40" s="692" t="s">
        <v>83</v>
      </c>
      <c r="D40" s="537">
        <v>35</v>
      </c>
      <c r="E40" s="537" t="s">
        <v>84</v>
      </c>
      <c r="F40" s="1069"/>
      <c r="G40" s="1068"/>
      <c r="H40" s="1068"/>
      <c r="I40" s="563"/>
      <c r="J40" s="1068"/>
      <c r="K40" s="1068"/>
      <c r="L40" s="1068"/>
      <c r="M40" s="1068"/>
      <c r="N40" s="563">
        <v>1.2</v>
      </c>
      <c r="O40" s="1068"/>
      <c r="P40" s="565">
        <f>0.96+3.07+0.24+0.1</f>
        <v>4.3699999999999992</v>
      </c>
      <c r="Q40" s="1093">
        <v>0.25</v>
      </c>
      <c r="R40" s="562"/>
      <c r="S40" s="1068"/>
      <c r="T40" s="605">
        <f t="shared" si="0"/>
        <v>5.8199999999999994</v>
      </c>
      <c r="U40" s="608">
        <v>5.82</v>
      </c>
      <c r="V40" s="1094" t="s">
        <v>1803</v>
      </c>
      <c r="W40" s="732"/>
      <c r="X40" s="732"/>
      <c r="Y40" s="732"/>
      <c r="Z40" s="732"/>
      <c r="AA40" s="732"/>
    </row>
    <row r="41" spans="1:27" ht="60">
      <c r="A41" s="712"/>
      <c r="B41" s="712"/>
      <c r="C41" s="712"/>
      <c r="D41" s="537">
        <v>36</v>
      </c>
      <c r="E41" s="537" t="s">
        <v>85</v>
      </c>
      <c r="F41" s="1069"/>
      <c r="G41" s="1068"/>
      <c r="H41" s="1068"/>
      <c r="I41" s="1068"/>
      <c r="J41" s="1068"/>
      <c r="K41" s="563"/>
      <c r="L41" s="1068"/>
      <c r="M41" s="1068"/>
      <c r="N41" s="563">
        <v>0.35</v>
      </c>
      <c r="O41" s="1068"/>
      <c r="P41" s="1068"/>
      <c r="Q41" s="1066"/>
      <c r="R41" s="1068"/>
      <c r="S41" s="1068"/>
      <c r="T41" s="605">
        <f t="shared" si="0"/>
        <v>0.35</v>
      </c>
      <c r="U41" s="608">
        <v>0.35</v>
      </c>
      <c r="V41" s="1094" t="s">
        <v>650</v>
      </c>
      <c r="W41" s="732"/>
      <c r="X41" s="732"/>
      <c r="Y41" s="732"/>
      <c r="Z41" s="732"/>
      <c r="AA41" s="732"/>
    </row>
    <row r="42" spans="1:27" ht="24.75" customHeight="1">
      <c r="A42" s="712"/>
      <c r="B42" s="712"/>
      <c r="C42" s="712"/>
      <c r="D42" s="537">
        <v>37</v>
      </c>
      <c r="E42" s="537" t="s">
        <v>86</v>
      </c>
      <c r="F42" s="1069"/>
      <c r="G42" s="1068"/>
      <c r="H42" s="1068"/>
      <c r="I42" s="1068"/>
      <c r="J42" s="1068"/>
      <c r="K42" s="563"/>
      <c r="L42" s="1068"/>
      <c r="M42" s="1068"/>
      <c r="N42" s="1068"/>
      <c r="O42" s="1068"/>
      <c r="P42" s="1068"/>
      <c r="Q42" s="1066"/>
      <c r="R42" s="1068"/>
      <c r="S42" s="1068"/>
      <c r="T42" s="605">
        <f t="shared" si="0"/>
        <v>0</v>
      </c>
      <c r="U42" s="608">
        <f>T42+(T42*5/100)</f>
        <v>0</v>
      </c>
      <c r="V42" s="1094"/>
      <c r="W42" s="732"/>
      <c r="X42" s="732"/>
      <c r="Y42" s="732"/>
      <c r="Z42" s="732"/>
      <c r="AA42" s="732"/>
    </row>
    <row r="43" spans="1:27" ht="225">
      <c r="A43" s="712"/>
      <c r="B43" s="712"/>
      <c r="C43" s="712"/>
      <c r="D43" s="537">
        <v>38</v>
      </c>
      <c r="E43" s="537" t="s">
        <v>87</v>
      </c>
      <c r="F43" s="1069"/>
      <c r="G43" s="1068"/>
      <c r="H43" s="1068"/>
      <c r="I43" s="1068"/>
      <c r="J43" s="1068"/>
      <c r="K43" s="1068"/>
      <c r="L43" s="1068"/>
      <c r="M43" s="1068"/>
      <c r="N43" s="563">
        <v>7</v>
      </c>
      <c r="O43" s="565">
        <v>0.26</v>
      </c>
      <c r="P43" s="565">
        <v>10.4</v>
      </c>
      <c r="Q43" s="565">
        <v>1.4</v>
      </c>
      <c r="R43" s="562"/>
      <c r="S43" s="1068"/>
      <c r="T43" s="605">
        <f t="shared" si="0"/>
        <v>19.059999999999999</v>
      </c>
      <c r="U43" s="608">
        <v>19.059999999999999</v>
      </c>
      <c r="V43" s="1094" t="s">
        <v>1804</v>
      </c>
      <c r="W43" s="732"/>
      <c r="X43" s="732"/>
      <c r="Y43" s="732"/>
      <c r="Z43" s="732"/>
      <c r="AA43" s="732"/>
    </row>
    <row r="44" spans="1:27" ht="105">
      <c r="A44" s="712"/>
      <c r="B44" s="712"/>
      <c r="C44" s="712"/>
      <c r="D44" s="537">
        <v>39</v>
      </c>
      <c r="E44" s="537" t="s">
        <v>88</v>
      </c>
      <c r="F44" s="1069"/>
      <c r="G44" s="1068"/>
      <c r="H44" s="1068"/>
      <c r="I44" s="1068"/>
      <c r="J44" s="1068"/>
      <c r="K44" s="1068"/>
      <c r="L44" s="1068"/>
      <c r="M44" s="1068"/>
      <c r="N44" s="562">
        <v>1</v>
      </c>
      <c r="O44" s="1068"/>
      <c r="P44" s="565">
        <v>0.4</v>
      </c>
      <c r="Q44" s="565"/>
      <c r="R44" s="1068"/>
      <c r="S44" s="1068"/>
      <c r="T44" s="605">
        <f t="shared" si="0"/>
        <v>1.4</v>
      </c>
      <c r="U44" s="608">
        <v>1.4</v>
      </c>
      <c r="V44" s="1095" t="s">
        <v>651</v>
      </c>
      <c r="W44" s="732"/>
      <c r="X44" s="732"/>
      <c r="Y44" s="732"/>
      <c r="Z44" s="732"/>
      <c r="AA44" s="732"/>
    </row>
    <row r="45" spans="1:27" ht="150">
      <c r="A45" s="712"/>
      <c r="B45" s="712"/>
      <c r="C45" s="712"/>
      <c r="D45" s="537">
        <v>40</v>
      </c>
      <c r="E45" s="537" t="s">
        <v>89</v>
      </c>
      <c r="F45" s="1069"/>
      <c r="G45" s="1068"/>
      <c r="H45" s="1068"/>
      <c r="I45" s="1068"/>
      <c r="J45" s="1068"/>
      <c r="K45" s="1068"/>
      <c r="L45" s="1068"/>
      <c r="M45" s="1068"/>
      <c r="N45" s="566">
        <v>0.11</v>
      </c>
      <c r="O45" s="562"/>
      <c r="P45" s="565"/>
      <c r="Q45" s="563">
        <f>0.48+2.35</f>
        <v>2.83</v>
      </c>
      <c r="R45" s="565"/>
      <c r="S45" s="1068"/>
      <c r="T45" s="605">
        <f t="shared" si="0"/>
        <v>2.94</v>
      </c>
      <c r="U45" s="608">
        <v>2.94</v>
      </c>
      <c r="V45" s="1094" t="s">
        <v>1805</v>
      </c>
      <c r="W45" s="732"/>
      <c r="X45" s="732"/>
      <c r="Y45" s="732"/>
      <c r="Z45" s="732"/>
      <c r="AA45" s="732"/>
    </row>
    <row r="46" spans="1:27" ht="24.75" customHeight="1">
      <c r="A46" s="712"/>
      <c r="B46" s="707"/>
      <c r="C46" s="707"/>
      <c r="D46" s="537">
        <v>41</v>
      </c>
      <c r="E46" s="537" t="s">
        <v>53</v>
      </c>
      <c r="F46" s="1069"/>
      <c r="G46" s="1068"/>
      <c r="H46" s="1068"/>
      <c r="I46" s="1068"/>
      <c r="J46" s="1068"/>
      <c r="K46" s="1068"/>
      <c r="L46" s="1068"/>
      <c r="M46" s="1068"/>
      <c r="N46" s="1068"/>
      <c r="O46" s="1068"/>
      <c r="P46" s="1068"/>
      <c r="Q46" s="1066"/>
      <c r="R46" s="1068"/>
      <c r="S46" s="1068"/>
      <c r="T46" s="605">
        <f t="shared" si="0"/>
        <v>0</v>
      </c>
      <c r="U46" s="608">
        <f>T46+(T46*5/100)</f>
        <v>0</v>
      </c>
      <c r="V46" s="1094"/>
      <c r="W46" s="732"/>
      <c r="X46" s="732"/>
      <c r="Y46" s="732"/>
      <c r="Z46" s="732"/>
      <c r="AA46" s="732"/>
    </row>
    <row r="47" spans="1:27" ht="75">
      <c r="A47" s="712"/>
      <c r="B47" s="692" t="s">
        <v>90</v>
      </c>
      <c r="C47" s="692" t="s">
        <v>91</v>
      </c>
      <c r="D47" s="537">
        <v>42</v>
      </c>
      <c r="E47" s="537" t="s">
        <v>92</v>
      </c>
      <c r="F47" s="1067">
        <v>3.5990000000000002</v>
      </c>
      <c r="G47" s="639"/>
      <c r="H47" s="639"/>
      <c r="I47" s="608"/>
      <c r="J47" s="639"/>
      <c r="K47" s="639"/>
      <c r="L47" s="639"/>
      <c r="M47" s="639"/>
      <c r="N47" s="567">
        <v>1.1000000000000001</v>
      </c>
      <c r="O47" s="1068"/>
      <c r="P47" s="609"/>
      <c r="Q47" s="1066"/>
      <c r="R47" s="639"/>
      <c r="S47" s="639"/>
      <c r="T47" s="605">
        <f t="shared" si="0"/>
        <v>4.6989999999999998</v>
      </c>
      <c r="U47" s="608">
        <f t="shared" ref="U47:U50" si="6">T47</f>
        <v>4.6989999999999998</v>
      </c>
      <c r="V47" s="1065" t="s">
        <v>1806</v>
      </c>
      <c r="W47" s="732"/>
      <c r="X47" s="732"/>
      <c r="Y47" s="732"/>
      <c r="Z47" s="732"/>
      <c r="AA47" s="732"/>
    </row>
    <row r="48" spans="1:27" ht="45">
      <c r="A48" s="712"/>
      <c r="B48" s="712"/>
      <c r="C48" s="712"/>
      <c r="D48" s="537">
        <v>43</v>
      </c>
      <c r="E48" s="537" t="s">
        <v>93</v>
      </c>
      <c r="F48" s="1067">
        <v>0.11550000000000001</v>
      </c>
      <c r="G48" s="639"/>
      <c r="H48" s="639"/>
      <c r="I48" s="608"/>
      <c r="J48" s="639"/>
      <c r="K48" s="639"/>
      <c r="L48" s="639"/>
      <c r="M48" s="639"/>
      <c r="N48" s="567">
        <v>0.34499999999999997</v>
      </c>
      <c r="O48" s="1068"/>
      <c r="P48" s="609"/>
      <c r="Q48" s="1066"/>
      <c r="R48" s="639"/>
      <c r="S48" s="639"/>
      <c r="T48" s="605">
        <f t="shared" si="0"/>
        <v>0.46049999999999996</v>
      </c>
      <c r="U48" s="608">
        <f t="shared" si="6"/>
        <v>0.46049999999999996</v>
      </c>
      <c r="V48" s="1065" t="s">
        <v>652</v>
      </c>
      <c r="W48" s="732"/>
      <c r="X48" s="732"/>
      <c r="Y48" s="732"/>
      <c r="Z48" s="732"/>
      <c r="AA48" s="732"/>
    </row>
    <row r="49" spans="1:27" ht="127.5" customHeight="1">
      <c r="A49" s="712"/>
      <c r="B49" s="712"/>
      <c r="C49" s="712"/>
      <c r="D49" s="537">
        <v>44</v>
      </c>
      <c r="E49" s="537" t="s">
        <v>95</v>
      </c>
      <c r="F49" s="1067">
        <v>0.20180000000000001</v>
      </c>
      <c r="G49" s="639"/>
      <c r="H49" s="639"/>
      <c r="I49" s="608"/>
      <c r="J49" s="639"/>
      <c r="K49" s="639"/>
      <c r="L49" s="639"/>
      <c r="M49" s="639"/>
      <c r="N49" s="1096">
        <v>0.375</v>
      </c>
      <c r="O49" s="609">
        <v>1.0500000000000001E-2</v>
      </c>
      <c r="P49" s="609"/>
      <c r="Q49" s="1066"/>
      <c r="R49" s="639"/>
      <c r="S49" s="639"/>
      <c r="T49" s="605">
        <f t="shared" si="0"/>
        <v>0.58729999999999993</v>
      </c>
      <c r="U49" s="608">
        <f t="shared" si="6"/>
        <v>0.58729999999999993</v>
      </c>
      <c r="V49" s="1065" t="s">
        <v>1807</v>
      </c>
      <c r="W49" s="732"/>
      <c r="X49" s="732"/>
      <c r="Y49" s="732"/>
      <c r="Z49" s="732"/>
      <c r="AA49" s="732"/>
    </row>
    <row r="50" spans="1:27" ht="30">
      <c r="A50" s="712"/>
      <c r="B50" s="712"/>
      <c r="C50" s="712"/>
      <c r="D50" s="537">
        <v>45</v>
      </c>
      <c r="E50" s="537" t="s">
        <v>96</v>
      </c>
      <c r="F50" s="1067">
        <v>0.13</v>
      </c>
      <c r="G50" s="639"/>
      <c r="H50" s="639"/>
      <c r="I50" s="639"/>
      <c r="J50" s="639"/>
      <c r="K50" s="639"/>
      <c r="L50" s="639"/>
      <c r="M50" s="639"/>
      <c r="N50" s="608"/>
      <c r="O50" s="609">
        <v>0.13</v>
      </c>
      <c r="P50" s="639"/>
      <c r="Q50" s="1066"/>
      <c r="R50" s="639"/>
      <c r="S50" s="639"/>
      <c r="T50" s="605">
        <f t="shared" si="0"/>
        <v>0.26</v>
      </c>
      <c r="U50" s="608">
        <f t="shared" si="6"/>
        <v>0.26</v>
      </c>
      <c r="V50" s="1065" t="s">
        <v>653</v>
      </c>
      <c r="W50" s="732"/>
      <c r="X50" s="732"/>
      <c r="Y50" s="732"/>
      <c r="Z50" s="732"/>
      <c r="AA50" s="732"/>
    </row>
    <row r="51" spans="1:27" ht="24.75" customHeight="1">
      <c r="A51" s="712"/>
      <c r="B51" s="712"/>
      <c r="C51" s="712"/>
      <c r="D51" s="537">
        <v>46</v>
      </c>
      <c r="E51" s="537" t="s">
        <v>98</v>
      </c>
      <c r="F51" s="637"/>
      <c r="G51" s="639"/>
      <c r="H51" s="639"/>
      <c r="I51" s="639"/>
      <c r="J51" s="639"/>
      <c r="K51" s="639"/>
      <c r="L51" s="639"/>
      <c r="M51" s="639"/>
      <c r="N51" s="639"/>
      <c r="O51" s="639"/>
      <c r="P51" s="639"/>
      <c r="Q51" s="1066"/>
      <c r="R51" s="639"/>
      <c r="S51" s="639"/>
      <c r="T51" s="605">
        <f t="shared" si="0"/>
        <v>0</v>
      </c>
      <c r="U51" s="608">
        <f>T51+(T51*5/100)</f>
        <v>0</v>
      </c>
      <c r="V51" s="1065"/>
      <c r="W51" s="732"/>
      <c r="X51" s="732"/>
      <c r="Y51" s="732"/>
      <c r="Z51" s="732"/>
      <c r="AA51" s="732"/>
    </row>
    <row r="52" spans="1:27" ht="60">
      <c r="A52" s="712"/>
      <c r="B52" s="712"/>
      <c r="C52" s="712"/>
      <c r="D52" s="537">
        <v>47</v>
      </c>
      <c r="E52" s="537" t="s">
        <v>99</v>
      </c>
      <c r="F52" s="1067">
        <v>0.3</v>
      </c>
      <c r="G52" s="639"/>
      <c r="H52" s="1068">
        <v>0</v>
      </c>
      <c r="I52" s="639"/>
      <c r="J52" s="639"/>
      <c r="K52" s="639"/>
      <c r="L52" s="639"/>
      <c r="M52" s="639"/>
      <c r="N52" s="639"/>
      <c r="O52" s="639"/>
      <c r="P52" s="639"/>
      <c r="Q52" s="1066"/>
      <c r="R52" s="639"/>
      <c r="S52" s="639"/>
      <c r="T52" s="605">
        <f t="shared" si="0"/>
        <v>0.3</v>
      </c>
      <c r="U52" s="608">
        <f t="shared" ref="U52:U55" si="7">T52</f>
        <v>0.3</v>
      </c>
      <c r="V52" s="1065" t="s">
        <v>654</v>
      </c>
      <c r="W52" s="732"/>
      <c r="X52" s="732"/>
      <c r="Y52" s="732"/>
      <c r="Z52" s="732"/>
      <c r="AA52" s="732"/>
    </row>
    <row r="53" spans="1:27" ht="24.75" customHeight="1">
      <c r="A53" s="712"/>
      <c r="B53" s="712"/>
      <c r="C53" s="712"/>
      <c r="D53" s="537">
        <v>48</v>
      </c>
      <c r="E53" s="537" t="s">
        <v>101</v>
      </c>
      <c r="F53" s="637"/>
      <c r="G53" s="639"/>
      <c r="H53" s="639"/>
      <c r="I53" s="639"/>
      <c r="J53" s="639"/>
      <c r="K53" s="639"/>
      <c r="L53" s="639"/>
      <c r="M53" s="639"/>
      <c r="N53" s="538">
        <v>0.28899999999999998</v>
      </c>
      <c r="O53" s="639"/>
      <c r="P53" s="609"/>
      <c r="Q53" s="1066"/>
      <c r="R53" s="639"/>
      <c r="S53" s="639"/>
      <c r="T53" s="605">
        <f t="shared" si="0"/>
        <v>0.28899999999999998</v>
      </c>
      <c r="U53" s="608">
        <f t="shared" si="7"/>
        <v>0.28899999999999998</v>
      </c>
      <c r="V53" s="1065" t="s">
        <v>102</v>
      </c>
      <c r="W53" s="732"/>
      <c r="X53" s="732"/>
      <c r="Y53" s="732"/>
      <c r="Z53" s="732"/>
      <c r="AA53" s="732"/>
    </row>
    <row r="54" spans="1:27" ht="75">
      <c r="A54" s="712"/>
      <c r="B54" s="712"/>
      <c r="C54" s="712"/>
      <c r="D54" s="537">
        <v>49</v>
      </c>
      <c r="E54" s="537" t="s">
        <v>103</v>
      </c>
      <c r="F54" s="637"/>
      <c r="G54" s="639"/>
      <c r="H54" s="639"/>
      <c r="I54" s="639"/>
      <c r="J54" s="639"/>
      <c r="K54" s="639"/>
      <c r="L54" s="639"/>
      <c r="M54" s="639"/>
      <c r="N54" s="639"/>
      <c r="O54" s="639"/>
      <c r="P54" s="639"/>
      <c r="Q54" s="608">
        <v>1.5</v>
      </c>
      <c r="R54" s="609">
        <v>1</v>
      </c>
      <c r="S54" s="639"/>
      <c r="T54" s="605">
        <f t="shared" si="0"/>
        <v>2.5</v>
      </c>
      <c r="U54" s="608">
        <f t="shared" si="7"/>
        <v>2.5</v>
      </c>
      <c r="V54" s="1097" t="s">
        <v>655</v>
      </c>
      <c r="W54" s="732"/>
      <c r="X54" s="732"/>
      <c r="Y54" s="732"/>
      <c r="Z54" s="732"/>
      <c r="AA54" s="732"/>
    </row>
    <row r="55" spans="1:27" ht="90">
      <c r="A55" s="712"/>
      <c r="B55" s="712"/>
      <c r="C55" s="712"/>
      <c r="D55" s="537">
        <v>50</v>
      </c>
      <c r="E55" s="537" t="s">
        <v>105</v>
      </c>
      <c r="F55" s="637"/>
      <c r="G55" s="639"/>
      <c r="H55" s="639"/>
      <c r="I55" s="608"/>
      <c r="J55" s="639"/>
      <c r="K55" s="1068">
        <v>0.3</v>
      </c>
      <c r="L55" s="639"/>
      <c r="M55" s="639"/>
      <c r="N55" s="608"/>
      <c r="O55" s="639"/>
      <c r="P55" s="609"/>
      <c r="Q55" s="608">
        <v>1.1000000000000001</v>
      </c>
      <c r="R55" s="609">
        <v>0.04</v>
      </c>
      <c r="S55" s="639"/>
      <c r="T55" s="605">
        <f t="shared" si="0"/>
        <v>1.4400000000000002</v>
      </c>
      <c r="U55" s="608">
        <f t="shared" si="7"/>
        <v>1.4400000000000002</v>
      </c>
      <c r="V55" s="1071" t="s">
        <v>656</v>
      </c>
      <c r="W55" s="732"/>
      <c r="X55" s="732"/>
      <c r="Y55" s="732"/>
      <c r="Z55" s="732"/>
      <c r="AA55" s="732"/>
    </row>
    <row r="56" spans="1:27" ht="24.75" customHeight="1">
      <c r="A56" s="712"/>
      <c r="B56" s="707"/>
      <c r="C56" s="707"/>
      <c r="D56" s="537">
        <v>51</v>
      </c>
      <c r="E56" s="537" t="s">
        <v>53</v>
      </c>
      <c r="F56" s="637"/>
      <c r="G56" s="639"/>
      <c r="H56" s="639"/>
      <c r="I56" s="639"/>
      <c r="J56" s="639"/>
      <c r="K56" s="639"/>
      <c r="L56" s="639"/>
      <c r="M56" s="639"/>
      <c r="N56" s="609"/>
      <c r="O56" s="639"/>
      <c r="P56" s="639"/>
      <c r="Q56" s="1066"/>
      <c r="R56" s="639"/>
      <c r="S56" s="639"/>
      <c r="T56" s="605">
        <f t="shared" si="0"/>
        <v>0</v>
      </c>
      <c r="U56" s="608">
        <f>T56+(T56*5/100)</f>
        <v>0</v>
      </c>
      <c r="V56" s="1065"/>
      <c r="W56" s="732"/>
      <c r="X56" s="732"/>
      <c r="Y56" s="732"/>
      <c r="Z56" s="732"/>
      <c r="AA56" s="732"/>
    </row>
    <row r="57" spans="1:27" ht="195">
      <c r="A57" s="712"/>
      <c r="B57" s="692" t="s">
        <v>107</v>
      </c>
      <c r="C57" s="692" t="s">
        <v>108</v>
      </c>
      <c r="D57" s="537">
        <v>52</v>
      </c>
      <c r="E57" s="537" t="s">
        <v>109</v>
      </c>
      <c r="F57" s="1073"/>
      <c r="G57" s="1074"/>
      <c r="H57" s="1074"/>
      <c r="I57" s="1076"/>
      <c r="J57" s="1074"/>
      <c r="K57" s="1076"/>
      <c r="L57" s="1074"/>
      <c r="M57" s="1074"/>
      <c r="N57" s="1076">
        <v>2</v>
      </c>
      <c r="O57" s="1075">
        <v>18.756</v>
      </c>
      <c r="P57" s="1074"/>
      <c r="Q57" s="1089"/>
      <c r="R57" s="1074"/>
      <c r="S57" s="1074"/>
      <c r="T57" s="605">
        <f t="shared" si="0"/>
        <v>20.756</v>
      </c>
      <c r="U57" s="544">
        <f>N57+O57</f>
        <v>20.756</v>
      </c>
      <c r="V57" s="1094" t="s">
        <v>1662</v>
      </c>
      <c r="W57" s="732"/>
      <c r="X57" s="732"/>
      <c r="Y57" s="732"/>
      <c r="Z57" s="732"/>
      <c r="AA57" s="732"/>
    </row>
    <row r="58" spans="1:27" ht="135">
      <c r="A58" s="712"/>
      <c r="B58" s="712"/>
      <c r="C58" s="712"/>
      <c r="D58" s="537">
        <v>53</v>
      </c>
      <c r="E58" s="537" t="s">
        <v>111</v>
      </c>
      <c r="F58" s="1073"/>
      <c r="G58" s="1074"/>
      <c r="H58" s="1074"/>
      <c r="I58" s="1074"/>
      <c r="J58" s="1074"/>
      <c r="K58" s="1076"/>
      <c r="L58" s="1074"/>
      <c r="M58" s="1074"/>
      <c r="N58" s="1077">
        <v>3.82</v>
      </c>
      <c r="O58" s="1080">
        <v>2.0840000000000001</v>
      </c>
      <c r="P58" s="1083"/>
      <c r="Q58" s="1081">
        <v>3</v>
      </c>
      <c r="R58" s="1074"/>
      <c r="S58" s="1074"/>
      <c r="T58" s="605">
        <f t="shared" si="0"/>
        <v>8.9039999999999999</v>
      </c>
      <c r="U58" s="544">
        <f>T58</f>
        <v>8.9039999999999999</v>
      </c>
      <c r="V58" s="1098" t="s">
        <v>657</v>
      </c>
      <c r="W58" s="732"/>
      <c r="X58" s="732"/>
      <c r="Y58" s="732"/>
      <c r="Z58" s="732"/>
      <c r="AA58" s="732"/>
    </row>
    <row r="59" spans="1:27" ht="24.75" customHeight="1">
      <c r="A59" s="712"/>
      <c r="B59" s="712"/>
      <c r="C59" s="712"/>
      <c r="D59" s="537">
        <v>54</v>
      </c>
      <c r="E59" s="537" t="s">
        <v>113</v>
      </c>
      <c r="F59" s="1073"/>
      <c r="G59" s="1074"/>
      <c r="H59" s="1075"/>
      <c r="I59" s="1074"/>
      <c r="J59" s="1074"/>
      <c r="K59" s="1074"/>
      <c r="L59" s="1074"/>
      <c r="M59" s="1074"/>
      <c r="N59" s="1074"/>
      <c r="O59" s="1075"/>
      <c r="P59" s="1075"/>
      <c r="Q59" s="1089"/>
      <c r="R59" s="1074"/>
      <c r="S59" s="1074"/>
      <c r="T59" s="605">
        <f t="shared" si="0"/>
        <v>0</v>
      </c>
      <c r="U59" s="608">
        <f t="shared" ref="U59:U60" si="8">T59+(T59*5/100)</f>
        <v>0</v>
      </c>
      <c r="V59" s="1086"/>
      <c r="W59" s="732"/>
      <c r="X59" s="732"/>
      <c r="Y59" s="732"/>
      <c r="Z59" s="732"/>
      <c r="AA59" s="732"/>
    </row>
    <row r="60" spans="1:27" ht="24.75" customHeight="1">
      <c r="A60" s="712"/>
      <c r="B60" s="712"/>
      <c r="C60" s="712"/>
      <c r="D60" s="537">
        <v>55</v>
      </c>
      <c r="E60" s="537" t="s">
        <v>114</v>
      </c>
      <c r="F60" s="1073"/>
      <c r="G60" s="1074"/>
      <c r="H60" s="1074"/>
      <c r="I60" s="1074"/>
      <c r="J60" s="1074"/>
      <c r="K60" s="1076"/>
      <c r="L60" s="1074"/>
      <c r="M60" s="1074"/>
      <c r="N60" s="1074"/>
      <c r="O60" s="1074"/>
      <c r="P60" s="1074"/>
      <c r="Q60" s="1089"/>
      <c r="R60" s="1074"/>
      <c r="S60" s="1074"/>
      <c r="T60" s="605">
        <f t="shared" si="0"/>
        <v>0</v>
      </c>
      <c r="U60" s="608">
        <f t="shared" si="8"/>
        <v>0</v>
      </c>
      <c r="V60" s="1086"/>
      <c r="W60" s="732"/>
      <c r="X60" s="732"/>
      <c r="Y60" s="732"/>
      <c r="Z60" s="732"/>
      <c r="AA60" s="732"/>
    </row>
    <row r="61" spans="1:27" ht="43.5" customHeight="1">
      <c r="A61" s="712"/>
      <c r="B61" s="712"/>
      <c r="C61" s="712"/>
      <c r="D61" s="537">
        <v>56</v>
      </c>
      <c r="E61" s="537" t="s">
        <v>115</v>
      </c>
      <c r="F61" s="1073"/>
      <c r="G61" s="1074"/>
      <c r="H61" s="1074"/>
      <c r="I61" s="1074"/>
      <c r="J61" s="1074"/>
      <c r="K61" s="1074"/>
      <c r="L61" s="1074"/>
      <c r="M61" s="1074"/>
      <c r="N61" s="1074"/>
      <c r="O61" s="613">
        <v>4.17</v>
      </c>
      <c r="P61" s="1074"/>
      <c r="Q61" s="1089">
        <v>0.5</v>
      </c>
      <c r="R61" s="1074"/>
      <c r="S61" s="1074"/>
      <c r="T61" s="605">
        <f t="shared" si="0"/>
        <v>4.67</v>
      </c>
      <c r="U61" s="608">
        <f>T61</f>
        <v>4.67</v>
      </c>
      <c r="V61" s="1094" t="s">
        <v>658</v>
      </c>
      <c r="W61" s="732"/>
      <c r="X61" s="732"/>
      <c r="Y61" s="732"/>
      <c r="Z61" s="732"/>
      <c r="AA61" s="732"/>
    </row>
    <row r="62" spans="1:27" ht="24.75" customHeight="1">
      <c r="A62" s="712"/>
      <c r="B62" s="712"/>
      <c r="C62" s="712"/>
      <c r="D62" s="537">
        <v>57</v>
      </c>
      <c r="E62" s="537" t="s">
        <v>116</v>
      </c>
      <c r="F62" s="1073"/>
      <c r="G62" s="1074"/>
      <c r="H62" s="1075"/>
      <c r="I62" s="1074"/>
      <c r="J62" s="1074"/>
      <c r="K62" s="1074"/>
      <c r="L62" s="1074"/>
      <c r="M62" s="1076"/>
      <c r="N62" s="1074"/>
      <c r="O62" s="1074"/>
      <c r="P62" s="1074"/>
      <c r="Q62" s="1089"/>
      <c r="R62" s="1074"/>
      <c r="S62" s="1074"/>
      <c r="T62" s="605">
        <f t="shared" si="0"/>
        <v>0</v>
      </c>
      <c r="U62" s="608">
        <f>T62+(T62*5/100)</f>
        <v>0</v>
      </c>
      <c r="V62" s="1099"/>
      <c r="W62" s="732"/>
      <c r="X62" s="732"/>
      <c r="Y62" s="732"/>
      <c r="Z62" s="732"/>
      <c r="AA62" s="732"/>
    </row>
    <row r="63" spans="1:27" ht="70.150000000000006" customHeight="1">
      <c r="A63" s="712"/>
      <c r="B63" s="712"/>
      <c r="C63" s="712"/>
      <c r="D63" s="537">
        <v>58</v>
      </c>
      <c r="E63" s="537" t="s">
        <v>117</v>
      </c>
      <c r="F63" s="1073"/>
      <c r="G63" s="1074"/>
      <c r="H63" s="1074"/>
      <c r="I63" s="1074"/>
      <c r="J63" s="1074"/>
      <c r="K63" s="1076"/>
      <c r="L63" s="1074"/>
      <c r="M63" s="1074"/>
      <c r="N63" s="1074"/>
      <c r="O63" s="1100">
        <v>1.042</v>
      </c>
      <c r="P63" s="1074"/>
      <c r="Q63" s="1081">
        <v>0.75</v>
      </c>
      <c r="R63" s="1074"/>
      <c r="S63" s="1074"/>
      <c r="T63" s="605">
        <f t="shared" si="0"/>
        <v>1.792</v>
      </c>
      <c r="U63" s="608">
        <f>T63</f>
        <v>1.792</v>
      </c>
      <c r="V63" s="1090" t="s">
        <v>659</v>
      </c>
      <c r="W63" s="732"/>
      <c r="X63" s="732"/>
      <c r="Y63" s="732"/>
      <c r="Z63" s="732"/>
      <c r="AA63" s="732"/>
    </row>
    <row r="64" spans="1:27" ht="24.75" customHeight="1">
      <c r="A64" s="712"/>
      <c r="B64" s="712"/>
      <c r="C64" s="712"/>
      <c r="D64" s="537">
        <v>59</v>
      </c>
      <c r="E64" s="537" t="s">
        <v>119</v>
      </c>
      <c r="F64" s="1073"/>
      <c r="G64" s="1074"/>
      <c r="H64" s="1074"/>
      <c r="I64" s="1074"/>
      <c r="J64" s="1074"/>
      <c r="K64" s="1074"/>
      <c r="L64" s="1074"/>
      <c r="M64" s="1074"/>
      <c r="N64" s="1074"/>
      <c r="O64" s="1074"/>
      <c r="P64" s="1074"/>
      <c r="Q64" s="1089"/>
      <c r="R64" s="1074"/>
      <c r="S64" s="1074"/>
      <c r="T64" s="605">
        <f t="shared" si="0"/>
        <v>0</v>
      </c>
      <c r="U64" s="608">
        <f t="shared" ref="U64:U66" si="9">T64+(T64*5/100)</f>
        <v>0</v>
      </c>
      <c r="V64" s="1065"/>
      <c r="W64" s="732"/>
      <c r="X64" s="732"/>
      <c r="Y64" s="732"/>
      <c r="Z64" s="732"/>
      <c r="AA64" s="732"/>
    </row>
    <row r="65" spans="1:27" ht="24.75" customHeight="1">
      <c r="A65" s="712"/>
      <c r="B65" s="712"/>
      <c r="C65" s="712"/>
      <c r="D65" s="537">
        <v>60</v>
      </c>
      <c r="E65" s="537" t="s">
        <v>120</v>
      </c>
      <c r="F65" s="1073"/>
      <c r="G65" s="1074"/>
      <c r="H65" s="1074"/>
      <c r="I65" s="1074"/>
      <c r="J65" s="1074"/>
      <c r="K65" s="1074"/>
      <c r="L65" s="1074"/>
      <c r="M65" s="1074"/>
      <c r="N65" s="1074"/>
      <c r="O65" s="1074"/>
      <c r="P65" s="1074"/>
      <c r="Q65" s="1089"/>
      <c r="R65" s="1074"/>
      <c r="S65" s="1074"/>
      <c r="T65" s="605">
        <f t="shared" si="0"/>
        <v>0</v>
      </c>
      <c r="U65" s="608">
        <f t="shared" si="9"/>
        <v>0</v>
      </c>
      <c r="V65" s="1065"/>
      <c r="W65" s="732"/>
      <c r="X65" s="732"/>
      <c r="Y65" s="732"/>
      <c r="Z65" s="732"/>
      <c r="AA65" s="732"/>
    </row>
    <row r="66" spans="1:27" ht="24.75" customHeight="1">
      <c r="A66" s="712"/>
      <c r="B66" s="707"/>
      <c r="C66" s="707"/>
      <c r="D66" s="537">
        <v>61</v>
      </c>
      <c r="E66" s="537" t="s">
        <v>53</v>
      </c>
      <c r="F66" s="1073"/>
      <c r="G66" s="1074"/>
      <c r="H66" s="1074"/>
      <c r="I66" s="1074"/>
      <c r="J66" s="1074"/>
      <c r="K66" s="1074"/>
      <c r="L66" s="1074"/>
      <c r="M66" s="1074"/>
      <c r="N66" s="1074"/>
      <c r="O66" s="1074"/>
      <c r="P66" s="1074"/>
      <c r="Q66" s="1089"/>
      <c r="R66" s="1074"/>
      <c r="S66" s="1074"/>
      <c r="T66" s="605">
        <f t="shared" si="0"/>
        <v>0</v>
      </c>
      <c r="U66" s="608">
        <f t="shared" si="9"/>
        <v>0</v>
      </c>
      <c r="V66" s="1065"/>
      <c r="W66" s="732"/>
      <c r="X66" s="732"/>
      <c r="Y66" s="732"/>
      <c r="Z66" s="732"/>
      <c r="AA66" s="732"/>
    </row>
    <row r="67" spans="1:27" ht="63" customHeight="1">
      <c r="A67" s="712"/>
      <c r="B67" s="537" t="s">
        <v>121</v>
      </c>
      <c r="C67" s="537" t="s">
        <v>122</v>
      </c>
      <c r="D67" s="537">
        <v>62</v>
      </c>
      <c r="E67" s="537" t="s">
        <v>123</v>
      </c>
      <c r="F67" s="637"/>
      <c r="G67" s="639"/>
      <c r="H67" s="639"/>
      <c r="I67" s="639"/>
      <c r="J67" s="639"/>
      <c r="K67" s="639"/>
      <c r="L67" s="639"/>
      <c r="M67" s="608"/>
      <c r="N67" s="639"/>
      <c r="O67" s="609">
        <v>0.5</v>
      </c>
      <c r="P67" s="609"/>
      <c r="Q67" s="608"/>
      <c r="R67" s="639"/>
      <c r="S67" s="609"/>
      <c r="T67" s="605">
        <f t="shared" si="0"/>
        <v>0.5</v>
      </c>
      <c r="U67" s="608">
        <f>T67</f>
        <v>0.5</v>
      </c>
      <c r="V67" s="793" t="s">
        <v>660</v>
      </c>
      <c r="W67" s="732"/>
      <c r="X67" s="732"/>
      <c r="Y67" s="732"/>
      <c r="Z67" s="732"/>
      <c r="AA67" s="732"/>
    </row>
    <row r="68" spans="1:27" ht="24.75" customHeight="1">
      <c r="A68" s="707"/>
      <c r="B68" s="695" t="s">
        <v>125</v>
      </c>
      <c r="C68" s="709"/>
      <c r="D68" s="710"/>
      <c r="E68" s="570"/>
      <c r="F68" s="570">
        <f t="shared" ref="F68:S68" si="10">SUM(F6:F67)</f>
        <v>29.136300000000002</v>
      </c>
      <c r="G68" s="570">
        <f t="shared" si="10"/>
        <v>0</v>
      </c>
      <c r="H68" s="570">
        <f t="shared" si="10"/>
        <v>0</v>
      </c>
      <c r="I68" s="570">
        <f t="shared" si="10"/>
        <v>15.169040000000001</v>
      </c>
      <c r="J68" s="570">
        <f t="shared" si="10"/>
        <v>0</v>
      </c>
      <c r="K68" s="570">
        <f t="shared" si="10"/>
        <v>37.648000000000003</v>
      </c>
      <c r="L68" s="570">
        <f t="shared" si="10"/>
        <v>0</v>
      </c>
      <c r="M68" s="570">
        <f t="shared" si="10"/>
        <v>9.2620000000000005</v>
      </c>
      <c r="N68" s="570">
        <f t="shared" si="10"/>
        <v>35.07</v>
      </c>
      <c r="O68" s="570">
        <f t="shared" si="10"/>
        <v>106.453</v>
      </c>
      <c r="P68" s="570">
        <f t="shared" si="10"/>
        <v>180.13672</v>
      </c>
      <c r="Q68" s="570">
        <f t="shared" si="10"/>
        <v>26.927500000000002</v>
      </c>
      <c r="R68" s="570">
        <f t="shared" si="10"/>
        <v>8.9394999999999989</v>
      </c>
      <c r="S68" s="570">
        <f t="shared" si="10"/>
        <v>2.78</v>
      </c>
      <c r="T68" s="570">
        <f t="shared" si="0"/>
        <v>451.52205999999995</v>
      </c>
      <c r="U68" s="570">
        <f>SUM(U6:U67)</f>
        <v>440.10102000000006</v>
      </c>
      <c r="V68" s="1065"/>
      <c r="W68" s="732"/>
      <c r="X68" s="732"/>
      <c r="Y68" s="732"/>
      <c r="Z68" s="732"/>
      <c r="AA68" s="732"/>
    </row>
    <row r="69" spans="1:27" ht="66" customHeight="1">
      <c r="A69" s="694" t="s">
        <v>126</v>
      </c>
      <c r="B69" s="537" t="s">
        <v>127</v>
      </c>
      <c r="C69" s="537" t="s">
        <v>128</v>
      </c>
      <c r="D69" s="537">
        <v>63</v>
      </c>
      <c r="E69" s="537" t="s">
        <v>129</v>
      </c>
      <c r="F69" s="1062"/>
      <c r="G69" s="638"/>
      <c r="H69" s="638"/>
      <c r="I69" s="638"/>
      <c r="J69" s="638"/>
      <c r="K69" s="638"/>
      <c r="L69" s="638"/>
      <c r="M69" s="1101"/>
      <c r="N69" s="605">
        <v>6.5</v>
      </c>
      <c r="O69" s="638"/>
      <c r="P69" s="1102"/>
      <c r="Q69" s="1064"/>
      <c r="R69" s="1103">
        <v>3.75</v>
      </c>
      <c r="S69" s="1101"/>
      <c r="T69" s="605">
        <f t="shared" si="0"/>
        <v>10.25</v>
      </c>
      <c r="U69" s="1104">
        <f t="shared" ref="U69:U73" si="11">T69</f>
        <v>10.25</v>
      </c>
      <c r="V69" s="793" t="s">
        <v>661</v>
      </c>
      <c r="W69" s="733"/>
      <c r="X69" s="732"/>
      <c r="Y69" s="732"/>
      <c r="Z69" s="732"/>
      <c r="AA69" s="732"/>
    </row>
    <row r="70" spans="1:27" ht="75">
      <c r="A70" s="712"/>
      <c r="B70" s="692" t="s">
        <v>131</v>
      </c>
      <c r="C70" s="692" t="s">
        <v>132</v>
      </c>
      <c r="D70" s="537">
        <v>64</v>
      </c>
      <c r="E70" s="537" t="s">
        <v>133</v>
      </c>
      <c r="F70" s="637"/>
      <c r="G70" s="639"/>
      <c r="H70" s="1105"/>
      <c r="I70" s="1106">
        <v>0.84</v>
      </c>
      <c r="J70" s="639"/>
      <c r="K70" s="603"/>
      <c r="L70" s="602"/>
      <c r="M70" s="602"/>
      <c r="N70" s="603">
        <v>1.1000000000000001</v>
      </c>
      <c r="O70" s="604"/>
      <c r="P70" s="603">
        <v>1.19</v>
      </c>
      <c r="Q70" s="608">
        <v>0.7</v>
      </c>
      <c r="R70" s="604">
        <v>1.6</v>
      </c>
      <c r="S70" s="1105"/>
      <c r="T70" s="605">
        <f t="shared" si="0"/>
        <v>5.43</v>
      </c>
      <c r="U70" s="1107">
        <f t="shared" si="11"/>
        <v>5.43</v>
      </c>
      <c r="V70" s="1065" t="s">
        <v>662</v>
      </c>
      <c r="W70" s="733"/>
      <c r="X70" s="732"/>
      <c r="Y70" s="732"/>
      <c r="Z70" s="732"/>
      <c r="AA70" s="732"/>
    </row>
    <row r="71" spans="1:27" ht="39.75" customHeight="1">
      <c r="A71" s="712"/>
      <c r="B71" s="712"/>
      <c r="C71" s="712"/>
      <c r="D71" s="537">
        <v>65</v>
      </c>
      <c r="E71" s="537" t="s">
        <v>135</v>
      </c>
      <c r="F71" s="637"/>
      <c r="G71" s="639"/>
      <c r="H71" s="639"/>
      <c r="I71" s="639"/>
      <c r="J71" s="639"/>
      <c r="K71" s="639"/>
      <c r="L71" s="639"/>
      <c r="M71" s="639"/>
      <c r="N71" s="1107"/>
      <c r="O71" s="639"/>
      <c r="P71" s="604">
        <v>0.45</v>
      </c>
      <c r="Q71" s="1066"/>
      <c r="R71" s="639"/>
      <c r="S71" s="1105"/>
      <c r="T71" s="605">
        <f t="shared" si="0"/>
        <v>0.45</v>
      </c>
      <c r="U71" s="1107">
        <f t="shared" si="11"/>
        <v>0.45</v>
      </c>
      <c r="V71" s="1065" t="s">
        <v>136</v>
      </c>
      <c r="W71" s="733"/>
      <c r="X71" s="732"/>
      <c r="Y71" s="732"/>
      <c r="Z71" s="732"/>
      <c r="AA71" s="732"/>
    </row>
    <row r="72" spans="1:27" ht="60">
      <c r="A72" s="712"/>
      <c r="B72" s="712"/>
      <c r="C72" s="712"/>
      <c r="D72" s="537">
        <v>66</v>
      </c>
      <c r="E72" s="537" t="s">
        <v>137</v>
      </c>
      <c r="F72" s="637"/>
      <c r="G72" s="639"/>
      <c r="H72" s="639"/>
      <c r="I72" s="639"/>
      <c r="J72" s="639"/>
      <c r="K72" s="1107"/>
      <c r="L72" s="639"/>
      <c r="M72" s="639"/>
      <c r="N72" s="603">
        <v>0.2</v>
      </c>
      <c r="O72" s="639"/>
      <c r="P72" s="1108">
        <v>0.09</v>
      </c>
      <c r="Q72" s="608">
        <v>0.05</v>
      </c>
      <c r="R72" s="1109">
        <v>0.15</v>
      </c>
      <c r="S72" s="639"/>
      <c r="T72" s="605">
        <f t="shared" si="0"/>
        <v>0.49</v>
      </c>
      <c r="U72" s="1107">
        <f t="shared" si="11"/>
        <v>0.49</v>
      </c>
      <c r="V72" s="1065" t="s">
        <v>138</v>
      </c>
      <c r="W72" s="733"/>
      <c r="X72" s="732"/>
      <c r="Y72" s="732"/>
      <c r="Z72" s="732"/>
      <c r="AA72" s="732"/>
    </row>
    <row r="73" spans="1:27" ht="105">
      <c r="A73" s="712"/>
      <c r="B73" s="712"/>
      <c r="C73" s="712"/>
      <c r="D73" s="537">
        <v>67</v>
      </c>
      <c r="E73" s="537" t="s">
        <v>139</v>
      </c>
      <c r="F73" s="637"/>
      <c r="G73" s="639"/>
      <c r="H73" s="639"/>
      <c r="I73" s="602"/>
      <c r="J73" s="639"/>
      <c r="K73" s="603"/>
      <c r="L73" s="602"/>
      <c r="M73" s="639"/>
      <c r="N73" s="603">
        <v>0.4</v>
      </c>
      <c r="O73" s="602">
        <v>0.87</v>
      </c>
      <c r="P73" s="604">
        <v>21.76</v>
      </c>
      <c r="Q73" s="608">
        <v>0.75</v>
      </c>
      <c r="R73" s="604">
        <v>3.5</v>
      </c>
      <c r="S73" s="604">
        <v>2</v>
      </c>
      <c r="T73" s="605">
        <f t="shared" si="0"/>
        <v>29.28</v>
      </c>
      <c r="U73" s="1107">
        <f t="shared" si="11"/>
        <v>29.28</v>
      </c>
      <c r="V73" s="1065" t="s">
        <v>663</v>
      </c>
      <c r="W73" s="733"/>
      <c r="X73" s="732"/>
      <c r="Y73" s="732"/>
      <c r="Z73" s="732"/>
      <c r="AA73" s="732"/>
    </row>
    <row r="74" spans="1:27" ht="75">
      <c r="A74" s="712"/>
      <c r="B74" s="707"/>
      <c r="C74" s="707"/>
      <c r="D74" s="537">
        <v>68</v>
      </c>
      <c r="E74" s="537" t="s">
        <v>141</v>
      </c>
      <c r="F74" s="1110"/>
      <c r="G74" s="639"/>
      <c r="H74" s="639"/>
      <c r="I74" s="1107"/>
      <c r="J74" s="639"/>
      <c r="K74" s="603"/>
      <c r="L74" s="639"/>
      <c r="M74" s="639"/>
      <c r="N74" s="603">
        <v>0.4</v>
      </c>
      <c r="O74" s="1105"/>
      <c r="P74" s="604">
        <v>7.0000000000000007E-2</v>
      </c>
      <c r="Q74" s="608">
        <v>0.25</v>
      </c>
      <c r="R74" s="604"/>
      <c r="S74" s="604">
        <v>0.6</v>
      </c>
      <c r="T74" s="605">
        <f t="shared" si="0"/>
        <v>1.3199999999999998</v>
      </c>
      <c r="U74" s="1107">
        <f>T74-0.6</f>
        <v>0.71999999999999986</v>
      </c>
      <c r="V74" s="1065" t="s">
        <v>664</v>
      </c>
      <c r="W74" s="733"/>
      <c r="X74" s="732"/>
      <c r="Y74" s="732"/>
      <c r="Z74" s="732"/>
      <c r="AA74" s="732"/>
    </row>
    <row r="75" spans="1:27" ht="315">
      <c r="A75" s="712"/>
      <c r="B75" s="692" t="s">
        <v>143</v>
      </c>
      <c r="C75" s="692" t="s">
        <v>144</v>
      </c>
      <c r="D75" s="537">
        <v>69</v>
      </c>
      <c r="E75" s="537" t="s">
        <v>145</v>
      </c>
      <c r="F75" s="571"/>
      <c r="G75" s="572"/>
      <c r="H75" s="572"/>
      <c r="I75" s="572"/>
      <c r="J75" s="572"/>
      <c r="K75" s="572"/>
      <c r="L75" s="572"/>
      <c r="M75" s="576">
        <v>0.68</v>
      </c>
      <c r="N75" s="572"/>
      <c r="O75" s="576">
        <v>27.231999999999999</v>
      </c>
      <c r="P75" s="576">
        <v>0.4</v>
      </c>
      <c r="Q75" s="572"/>
      <c r="R75" s="572"/>
      <c r="S75" s="572"/>
      <c r="T75" s="605">
        <f t="shared" si="0"/>
        <v>28.311999999999998</v>
      </c>
      <c r="U75" s="605">
        <v>28.311999999999998</v>
      </c>
      <c r="V75" s="793" t="s">
        <v>665</v>
      </c>
      <c r="W75" s="524"/>
      <c r="X75" s="732"/>
      <c r="Y75" s="732"/>
      <c r="Z75" s="732"/>
      <c r="AA75" s="732"/>
    </row>
    <row r="76" spans="1:27" ht="120">
      <c r="A76" s="712"/>
      <c r="B76" s="712"/>
      <c r="C76" s="712"/>
      <c r="D76" s="537">
        <v>70</v>
      </c>
      <c r="E76" s="537" t="s">
        <v>147</v>
      </c>
      <c r="F76" s="1111"/>
      <c r="G76" s="580"/>
      <c r="H76" s="580"/>
      <c r="I76" s="1112">
        <v>0.14799999999999999</v>
      </c>
      <c r="J76" s="580"/>
      <c r="K76" s="580"/>
      <c r="L76" s="580"/>
      <c r="M76" s="580"/>
      <c r="N76" s="580"/>
      <c r="O76" s="580"/>
      <c r="P76" s="616">
        <v>1.1000000000000001</v>
      </c>
      <c r="Q76" s="580"/>
      <c r="R76" s="580"/>
      <c r="S76" s="580"/>
      <c r="T76" s="605">
        <f t="shared" si="0"/>
        <v>1.248</v>
      </c>
      <c r="U76" s="605">
        <v>1.248</v>
      </c>
      <c r="V76" s="793" t="s">
        <v>666</v>
      </c>
      <c r="W76" s="524"/>
      <c r="X76" s="732"/>
      <c r="Y76" s="732"/>
      <c r="Z76" s="732"/>
      <c r="AA76" s="732"/>
    </row>
    <row r="77" spans="1:27" ht="39.75" customHeight="1">
      <c r="A77" s="712"/>
      <c r="B77" s="712"/>
      <c r="C77" s="712"/>
      <c r="D77" s="537">
        <v>71</v>
      </c>
      <c r="E77" s="537" t="s">
        <v>149</v>
      </c>
      <c r="F77" s="1111"/>
      <c r="G77" s="580"/>
      <c r="H77" s="580"/>
      <c r="I77" s="580"/>
      <c r="J77" s="580"/>
      <c r="K77" s="580"/>
      <c r="L77" s="580"/>
      <c r="M77" s="580"/>
      <c r="N77" s="580"/>
      <c r="O77" s="580"/>
      <c r="P77" s="580"/>
      <c r="Q77" s="580"/>
      <c r="R77" s="580"/>
      <c r="S77" s="580"/>
      <c r="T77" s="605">
        <f t="shared" si="0"/>
        <v>0</v>
      </c>
      <c r="U77" s="605">
        <v>0</v>
      </c>
      <c r="V77" s="524"/>
      <c r="W77" s="524"/>
      <c r="X77" s="732"/>
      <c r="Y77" s="732"/>
      <c r="Z77" s="732"/>
      <c r="AA77" s="732"/>
    </row>
    <row r="78" spans="1:27" ht="270">
      <c r="A78" s="712"/>
      <c r="B78" s="707"/>
      <c r="C78" s="707"/>
      <c r="D78" s="537">
        <v>72</v>
      </c>
      <c r="E78" s="537" t="s">
        <v>150</v>
      </c>
      <c r="F78" s="1111"/>
      <c r="G78" s="580"/>
      <c r="H78" s="580"/>
      <c r="I78" s="580"/>
      <c r="J78" s="580"/>
      <c r="K78" s="580"/>
      <c r="L78" s="580"/>
      <c r="M78" s="580"/>
      <c r="N78" s="616">
        <v>2.3490000000000002</v>
      </c>
      <c r="O78" s="580"/>
      <c r="P78" s="580"/>
      <c r="Q78" s="616">
        <v>1.7446999999999999</v>
      </c>
      <c r="R78" s="616">
        <v>2.4699</v>
      </c>
      <c r="S78" s="580"/>
      <c r="T78" s="605">
        <f t="shared" si="0"/>
        <v>6.5636000000000001</v>
      </c>
      <c r="U78" s="605">
        <v>6.5636000000000001</v>
      </c>
      <c r="V78" s="1113" t="s">
        <v>667</v>
      </c>
      <c r="W78" s="525"/>
      <c r="X78" s="732"/>
      <c r="Y78" s="732"/>
      <c r="Z78" s="732"/>
      <c r="AA78" s="732"/>
    </row>
    <row r="79" spans="1:27" ht="357.75">
      <c r="A79" s="712"/>
      <c r="B79" s="692" t="s">
        <v>152</v>
      </c>
      <c r="C79" s="692" t="s">
        <v>153</v>
      </c>
      <c r="D79" s="537">
        <v>73</v>
      </c>
      <c r="E79" s="537" t="s">
        <v>154</v>
      </c>
      <c r="F79" s="1114">
        <v>1.84</v>
      </c>
      <c r="G79" s="1115">
        <v>0.5</v>
      </c>
      <c r="H79" s="1116">
        <v>2.5</v>
      </c>
      <c r="I79" s="1116">
        <v>8.4</v>
      </c>
      <c r="J79" s="639"/>
      <c r="K79" s="1115"/>
      <c r="L79" s="1068">
        <v>2.2000000000000002</v>
      </c>
      <c r="M79" s="1116">
        <v>11</v>
      </c>
      <c r="N79" s="1116">
        <v>6.5</v>
      </c>
      <c r="O79" s="1117"/>
      <c r="P79" s="1116">
        <v>3</v>
      </c>
      <c r="Q79" s="1066"/>
      <c r="R79" s="1116">
        <v>8</v>
      </c>
      <c r="S79" s="1116">
        <v>0.5</v>
      </c>
      <c r="T79" s="605">
        <f t="shared" si="0"/>
        <v>44.44</v>
      </c>
      <c r="U79" s="1106">
        <v>62.7</v>
      </c>
      <c r="V79" s="1118" t="s">
        <v>1661</v>
      </c>
      <c r="W79" s="732"/>
      <c r="X79" s="732"/>
      <c r="Y79" s="732"/>
      <c r="Z79" s="732"/>
      <c r="AA79" s="732"/>
    </row>
    <row r="80" spans="1:27" ht="100.15" customHeight="1">
      <c r="A80" s="712"/>
      <c r="B80" s="712"/>
      <c r="C80" s="712"/>
      <c r="D80" s="537">
        <v>74</v>
      </c>
      <c r="E80" s="537" t="s">
        <v>155</v>
      </c>
      <c r="F80" s="1119">
        <v>23</v>
      </c>
      <c r="G80" s="1117"/>
      <c r="H80" s="639"/>
      <c r="I80" s="639"/>
      <c r="J80" s="639"/>
      <c r="K80" s="639"/>
      <c r="L80" s="639"/>
      <c r="M80" s="639"/>
      <c r="N80" s="639"/>
      <c r="O80" s="639"/>
      <c r="P80" s="639"/>
      <c r="Q80" s="1066"/>
      <c r="R80" s="639"/>
      <c r="S80" s="639"/>
      <c r="T80" s="605">
        <f t="shared" si="0"/>
        <v>23</v>
      </c>
      <c r="U80" s="1106">
        <v>29.2</v>
      </c>
      <c r="V80" s="1086" t="s">
        <v>668</v>
      </c>
      <c r="W80" s="732"/>
      <c r="X80" s="732"/>
      <c r="Y80" s="732"/>
      <c r="Z80" s="732"/>
      <c r="AA80" s="732"/>
    </row>
    <row r="81" spans="1:27" ht="165">
      <c r="A81" s="712"/>
      <c r="B81" s="712"/>
      <c r="C81" s="712"/>
      <c r="D81" s="537">
        <v>75</v>
      </c>
      <c r="E81" s="537" t="s">
        <v>157</v>
      </c>
      <c r="F81" s="1119">
        <v>1.06</v>
      </c>
      <c r="G81" s="1117"/>
      <c r="H81" s="639"/>
      <c r="I81" s="639"/>
      <c r="J81" s="639"/>
      <c r="K81" s="639"/>
      <c r="L81" s="639"/>
      <c r="M81" s="639"/>
      <c r="N81" s="639"/>
      <c r="O81" s="639"/>
      <c r="P81" s="1116">
        <v>32</v>
      </c>
      <c r="Q81" s="1066"/>
      <c r="R81" s="639"/>
      <c r="S81" s="639"/>
      <c r="T81" s="605">
        <f t="shared" si="0"/>
        <v>33.06</v>
      </c>
      <c r="U81" s="1106">
        <v>10.1</v>
      </c>
      <c r="V81" s="1086" t="s">
        <v>669</v>
      </c>
      <c r="W81" s="732"/>
      <c r="X81" s="732"/>
      <c r="Y81" s="732"/>
      <c r="Z81" s="732"/>
      <c r="AA81" s="732"/>
    </row>
    <row r="82" spans="1:27" ht="75">
      <c r="A82" s="712"/>
      <c r="B82" s="712"/>
      <c r="C82" s="712"/>
      <c r="D82" s="537">
        <v>76</v>
      </c>
      <c r="E82" s="537" t="s">
        <v>159</v>
      </c>
      <c r="F82" s="637"/>
      <c r="G82" s="639"/>
      <c r="H82" s="639"/>
      <c r="I82" s="639"/>
      <c r="J82" s="639"/>
      <c r="K82" s="1117"/>
      <c r="L82" s="639"/>
      <c r="M82" s="1115">
        <v>1.7</v>
      </c>
      <c r="N82" s="639"/>
      <c r="O82" s="639"/>
      <c r="P82" s="1066"/>
      <c r="Q82" s="1066"/>
      <c r="R82" s="639"/>
      <c r="S82" s="639"/>
      <c r="T82" s="605">
        <f t="shared" si="0"/>
        <v>1.7</v>
      </c>
      <c r="U82" s="1106">
        <v>2.1</v>
      </c>
      <c r="V82" s="1086" t="s">
        <v>670</v>
      </c>
      <c r="W82" s="732"/>
      <c r="X82" s="732"/>
      <c r="Y82" s="732"/>
      <c r="Z82" s="732"/>
      <c r="AA82" s="732"/>
    </row>
    <row r="83" spans="1:27" ht="375">
      <c r="A83" s="712"/>
      <c r="B83" s="712"/>
      <c r="C83" s="712"/>
      <c r="D83" s="537">
        <v>77</v>
      </c>
      <c r="E83" s="537" t="s">
        <v>161</v>
      </c>
      <c r="F83" s="1114">
        <v>1.5</v>
      </c>
      <c r="G83" s="1115">
        <v>2</v>
      </c>
      <c r="H83" s="1115"/>
      <c r="I83" s="1115">
        <v>2</v>
      </c>
      <c r="J83" s="639"/>
      <c r="K83" s="1115"/>
      <c r="L83" s="1068">
        <v>1.1000000000000001</v>
      </c>
      <c r="M83" s="1117"/>
      <c r="N83" s="1115">
        <v>0.4</v>
      </c>
      <c r="O83" s="639"/>
      <c r="P83" s="1066"/>
      <c r="Q83" s="1066"/>
      <c r="R83" s="639"/>
      <c r="S83" s="1115">
        <v>0.5</v>
      </c>
      <c r="T83" s="605">
        <f t="shared" si="0"/>
        <v>7.5</v>
      </c>
      <c r="U83" s="1106">
        <v>10.5</v>
      </c>
      <c r="V83" s="1086" t="s">
        <v>671</v>
      </c>
      <c r="W83" s="732"/>
      <c r="X83" s="732"/>
      <c r="Y83" s="732"/>
      <c r="Z83" s="732"/>
      <c r="AA83" s="732"/>
    </row>
    <row r="84" spans="1:27" ht="135">
      <c r="A84" s="712"/>
      <c r="B84" s="712"/>
      <c r="C84" s="712"/>
      <c r="D84" s="537">
        <v>78</v>
      </c>
      <c r="E84" s="537" t="s">
        <v>163</v>
      </c>
      <c r="F84" s="637"/>
      <c r="G84" s="639"/>
      <c r="H84" s="639"/>
      <c r="I84" s="639"/>
      <c r="J84" s="639"/>
      <c r="K84" s="639"/>
      <c r="L84" s="639"/>
      <c r="M84" s="639"/>
      <c r="N84" s="639"/>
      <c r="O84" s="639"/>
      <c r="P84" s="639"/>
      <c r="Q84" s="1116">
        <v>8.5</v>
      </c>
      <c r="R84" s="639"/>
      <c r="S84" s="1068"/>
      <c r="T84" s="605">
        <f t="shared" si="0"/>
        <v>8.5</v>
      </c>
      <c r="U84" s="1106">
        <v>8.5</v>
      </c>
      <c r="V84" s="1086" t="s">
        <v>672</v>
      </c>
      <c r="W84" s="732"/>
      <c r="X84" s="732"/>
      <c r="Y84" s="732"/>
      <c r="Z84" s="732"/>
      <c r="AA84" s="732"/>
    </row>
    <row r="85" spans="1:27" ht="16.5" customHeight="1">
      <c r="A85" s="712"/>
      <c r="B85" s="707"/>
      <c r="C85" s="707"/>
      <c r="D85" s="537">
        <v>79</v>
      </c>
      <c r="E85" s="537" t="s">
        <v>53</v>
      </c>
      <c r="F85" s="637"/>
      <c r="G85" s="639"/>
      <c r="H85" s="639"/>
      <c r="I85" s="639"/>
      <c r="J85" s="639"/>
      <c r="K85" s="639"/>
      <c r="L85" s="639"/>
      <c r="M85" s="639"/>
      <c r="N85" s="639"/>
      <c r="O85" s="639"/>
      <c r="P85" s="639"/>
      <c r="Q85" s="1066"/>
      <c r="R85" s="639"/>
      <c r="S85" s="639"/>
      <c r="T85" s="605">
        <f t="shared" si="0"/>
        <v>0</v>
      </c>
      <c r="U85" s="1107">
        <f>T85+(T85*5/100)</f>
        <v>0</v>
      </c>
      <c r="V85" s="1120" t="s">
        <v>171</v>
      </c>
      <c r="W85" s="732"/>
      <c r="X85" s="732"/>
      <c r="Y85" s="732"/>
      <c r="Z85" s="732"/>
      <c r="AA85" s="732"/>
    </row>
    <row r="86" spans="1:27" ht="90">
      <c r="A86" s="712"/>
      <c r="B86" s="692" t="s">
        <v>165</v>
      </c>
      <c r="C86" s="692" t="s">
        <v>166</v>
      </c>
      <c r="D86" s="537">
        <v>80</v>
      </c>
      <c r="E86" s="537" t="s">
        <v>167</v>
      </c>
      <c r="F86" s="1121"/>
      <c r="G86" s="1122"/>
      <c r="H86" s="1122"/>
      <c r="I86" s="1122"/>
      <c r="J86" s="1122"/>
      <c r="K86" s="1123"/>
      <c r="L86" s="1122"/>
      <c r="M86" s="1124"/>
      <c r="N86" s="1122"/>
      <c r="O86" s="1122"/>
      <c r="P86" s="1125">
        <v>3.6</v>
      </c>
      <c r="Q86" s="1126">
        <v>1</v>
      </c>
      <c r="R86" s="1127"/>
      <c r="S86" s="1122"/>
      <c r="T86" s="605">
        <f t="shared" si="0"/>
        <v>4.5999999999999996</v>
      </c>
      <c r="U86" s="1128">
        <v>4.5999999999999996</v>
      </c>
      <c r="V86" s="1129" t="s">
        <v>1808</v>
      </c>
      <c r="W86" s="732"/>
      <c r="X86" s="732"/>
      <c r="Y86" s="732"/>
      <c r="Z86" s="732"/>
      <c r="AA86" s="732"/>
    </row>
    <row r="87" spans="1:27" ht="60">
      <c r="A87" s="712"/>
      <c r="B87" s="712"/>
      <c r="C87" s="712"/>
      <c r="D87" s="537">
        <v>81</v>
      </c>
      <c r="E87" s="537" t="s">
        <v>168</v>
      </c>
      <c r="F87" s="1121"/>
      <c r="G87" s="1122"/>
      <c r="H87" s="1122"/>
      <c r="I87" s="1122"/>
      <c r="J87" s="1122"/>
      <c r="K87" s="1122"/>
      <c r="L87" s="1122"/>
      <c r="M87" s="1128"/>
      <c r="N87" s="1128"/>
      <c r="O87" s="1130"/>
      <c r="P87" s="1131">
        <v>0.1</v>
      </c>
      <c r="Q87" s="1131"/>
      <c r="R87" s="1130"/>
      <c r="S87" s="1130"/>
      <c r="T87" s="605">
        <f t="shared" si="0"/>
        <v>0.1</v>
      </c>
      <c r="U87" s="1128">
        <v>0.1</v>
      </c>
      <c r="V87" s="1132" t="s">
        <v>169</v>
      </c>
      <c r="W87" s="732"/>
      <c r="X87" s="732"/>
      <c r="Y87" s="732"/>
      <c r="Z87" s="732"/>
      <c r="AA87" s="732"/>
    </row>
    <row r="88" spans="1:27" ht="39.75" customHeight="1">
      <c r="A88" s="712"/>
      <c r="B88" s="712"/>
      <c r="C88" s="712"/>
      <c r="D88" s="537">
        <v>82</v>
      </c>
      <c r="E88" s="537" t="s">
        <v>170</v>
      </c>
      <c r="F88" s="1121"/>
      <c r="G88" s="1122"/>
      <c r="H88" s="1122"/>
      <c r="I88" s="1122"/>
      <c r="J88" s="1122"/>
      <c r="K88" s="1122"/>
      <c r="L88" s="1122"/>
      <c r="M88" s="1133"/>
      <c r="N88" s="1133"/>
      <c r="O88" s="1133"/>
      <c r="P88" s="1134"/>
      <c r="Q88" s="1133"/>
      <c r="R88" s="1133"/>
      <c r="S88" s="1133"/>
      <c r="T88" s="605">
        <f t="shared" si="0"/>
        <v>0</v>
      </c>
      <c r="U88" s="1135">
        <f>T88+(T88*5/100)</f>
        <v>0</v>
      </c>
      <c r="V88" s="1136"/>
      <c r="W88" s="732"/>
      <c r="X88" s="732"/>
      <c r="Y88" s="732"/>
      <c r="Z88" s="732"/>
      <c r="AA88" s="732"/>
    </row>
    <row r="89" spans="1:27" ht="135">
      <c r="A89" s="712"/>
      <c r="B89" s="707"/>
      <c r="C89" s="707"/>
      <c r="D89" s="537">
        <v>83</v>
      </c>
      <c r="E89" s="537" t="s">
        <v>172</v>
      </c>
      <c r="F89" s="1121"/>
      <c r="G89" s="1122"/>
      <c r="H89" s="1122"/>
      <c r="I89" s="1122"/>
      <c r="J89" s="1122"/>
      <c r="K89" s="1126">
        <v>0.5</v>
      </c>
      <c r="L89" s="1122"/>
      <c r="M89" s="1134"/>
      <c r="N89" s="1135"/>
      <c r="O89" s="1133"/>
      <c r="P89" s="1125">
        <v>1.5</v>
      </c>
      <c r="Q89" s="1135"/>
      <c r="R89" s="1134"/>
      <c r="S89" s="1133"/>
      <c r="T89" s="605">
        <f t="shared" si="0"/>
        <v>2</v>
      </c>
      <c r="U89" s="1128">
        <v>2</v>
      </c>
      <c r="V89" s="1137" t="s">
        <v>1809</v>
      </c>
      <c r="W89" s="732"/>
      <c r="X89" s="732"/>
      <c r="Y89" s="732"/>
      <c r="Z89" s="732"/>
      <c r="AA89" s="732"/>
    </row>
    <row r="90" spans="1:27" ht="99" customHeight="1">
      <c r="A90" s="712"/>
      <c r="B90" s="537" t="s">
        <v>173</v>
      </c>
      <c r="C90" s="537" t="s">
        <v>174</v>
      </c>
      <c r="D90" s="537">
        <v>84</v>
      </c>
      <c r="E90" s="537" t="s">
        <v>175</v>
      </c>
      <c r="F90" s="637"/>
      <c r="G90" s="639"/>
      <c r="H90" s="639"/>
      <c r="I90" s="1107"/>
      <c r="J90" s="639"/>
      <c r="K90" s="1107"/>
      <c r="L90" s="639"/>
      <c r="M90" s="639"/>
      <c r="N90" s="1126">
        <v>1</v>
      </c>
      <c r="O90" s="1130"/>
      <c r="P90" s="1130"/>
      <c r="Q90" s="1126">
        <v>1.5</v>
      </c>
      <c r="R90" s="1125">
        <v>0.5</v>
      </c>
      <c r="S90" s="1122"/>
      <c r="T90" s="1138">
        <f t="shared" si="0"/>
        <v>3</v>
      </c>
      <c r="U90" s="600">
        <v>3</v>
      </c>
      <c r="V90" s="1065" t="s">
        <v>1810</v>
      </c>
      <c r="W90" s="732"/>
      <c r="X90" s="732"/>
      <c r="Y90" s="732"/>
      <c r="Z90" s="732"/>
      <c r="AA90" s="732"/>
    </row>
    <row r="91" spans="1:27" ht="135">
      <c r="A91" s="712"/>
      <c r="B91" s="537" t="s">
        <v>176</v>
      </c>
      <c r="C91" s="537" t="s">
        <v>177</v>
      </c>
      <c r="D91" s="537">
        <v>85</v>
      </c>
      <c r="E91" s="537" t="s">
        <v>178</v>
      </c>
      <c r="F91" s="637"/>
      <c r="G91" s="639"/>
      <c r="H91" s="639"/>
      <c r="I91" s="639"/>
      <c r="J91" s="639"/>
      <c r="K91" s="1107"/>
      <c r="L91" s="639"/>
      <c r="M91" s="639"/>
      <c r="N91" s="608">
        <v>0.5</v>
      </c>
      <c r="O91" s="639"/>
      <c r="P91" s="639"/>
      <c r="Q91" s="608">
        <v>1</v>
      </c>
      <c r="R91" s="1105"/>
      <c r="S91" s="639"/>
      <c r="T91" s="605">
        <f t="shared" si="0"/>
        <v>1.5</v>
      </c>
      <c r="U91" s="1106">
        <v>1.5</v>
      </c>
      <c r="V91" s="1065" t="s">
        <v>424</v>
      </c>
      <c r="W91" s="732"/>
      <c r="X91" s="732"/>
      <c r="Y91" s="732"/>
      <c r="Z91" s="732"/>
      <c r="AA91" s="732"/>
    </row>
    <row r="92" spans="1:27" ht="39.75" customHeight="1">
      <c r="A92" s="712"/>
      <c r="B92" s="537" t="s">
        <v>180</v>
      </c>
      <c r="C92" s="537" t="s">
        <v>53</v>
      </c>
      <c r="D92" s="537">
        <v>86</v>
      </c>
      <c r="E92" s="537" t="s">
        <v>181</v>
      </c>
      <c r="F92" s="637"/>
      <c r="G92" s="639"/>
      <c r="H92" s="639"/>
      <c r="I92" s="639"/>
      <c r="J92" s="639"/>
      <c r="K92" s="639"/>
      <c r="L92" s="639"/>
      <c r="M92" s="639"/>
      <c r="N92" s="639"/>
      <c r="O92" s="639"/>
      <c r="P92" s="639"/>
      <c r="Q92" s="1066"/>
      <c r="R92" s="639"/>
      <c r="S92" s="639"/>
      <c r="T92" s="605">
        <f t="shared" si="0"/>
        <v>0</v>
      </c>
      <c r="U92" s="1107">
        <f>T92+(T92*5/100)</f>
        <v>0</v>
      </c>
      <c r="V92" s="1065"/>
      <c r="W92" s="732"/>
      <c r="X92" s="732"/>
      <c r="Y92" s="732"/>
      <c r="Z92" s="732"/>
      <c r="AA92" s="732"/>
    </row>
    <row r="93" spans="1:27" ht="39.75" customHeight="1">
      <c r="A93" s="707"/>
      <c r="B93" s="695" t="s">
        <v>182</v>
      </c>
      <c r="C93" s="709"/>
      <c r="D93" s="710"/>
      <c r="E93" s="570"/>
      <c r="F93" s="570">
        <f t="shared" ref="F93:S93" si="12">SUM(F69:F92)</f>
        <v>27.4</v>
      </c>
      <c r="G93" s="570">
        <f t="shared" si="12"/>
        <v>2.5</v>
      </c>
      <c r="H93" s="570">
        <f t="shared" si="12"/>
        <v>2.5</v>
      </c>
      <c r="I93" s="570">
        <f t="shared" si="12"/>
        <v>11.388</v>
      </c>
      <c r="J93" s="570">
        <f t="shared" si="12"/>
        <v>0</v>
      </c>
      <c r="K93" s="570">
        <f t="shared" si="12"/>
        <v>0.5</v>
      </c>
      <c r="L93" s="570">
        <f t="shared" si="12"/>
        <v>3.3000000000000003</v>
      </c>
      <c r="M93" s="594">
        <f t="shared" si="12"/>
        <v>13.379999999999999</v>
      </c>
      <c r="N93" s="595">
        <f t="shared" si="12"/>
        <v>19.348999999999997</v>
      </c>
      <c r="O93" s="570">
        <f t="shared" si="12"/>
        <v>28.102</v>
      </c>
      <c r="P93" s="595">
        <f t="shared" si="12"/>
        <v>65.260000000000005</v>
      </c>
      <c r="Q93" s="570">
        <f t="shared" si="12"/>
        <v>15.4947</v>
      </c>
      <c r="R93" s="594">
        <f t="shared" si="12"/>
        <v>19.969899999999999</v>
      </c>
      <c r="S93" s="594">
        <f t="shared" si="12"/>
        <v>3.6</v>
      </c>
      <c r="T93" s="570">
        <f t="shared" si="0"/>
        <v>212.74359999999996</v>
      </c>
      <c r="U93" s="595">
        <f t="shared" ref="U93" si="13">SUM(U69:U92)</f>
        <v>217.04359999999997</v>
      </c>
      <c r="V93" s="570"/>
      <c r="W93" s="732"/>
      <c r="X93" s="732"/>
      <c r="Y93" s="732"/>
      <c r="Z93" s="732"/>
      <c r="AA93" s="732"/>
    </row>
    <row r="94" spans="1:27" ht="60">
      <c r="A94" s="694" t="s">
        <v>183</v>
      </c>
      <c r="B94" s="692" t="s">
        <v>184</v>
      </c>
      <c r="C94" s="692" t="s">
        <v>185</v>
      </c>
      <c r="D94" s="537">
        <v>87</v>
      </c>
      <c r="E94" s="537" t="s">
        <v>186</v>
      </c>
      <c r="F94" s="571"/>
      <c r="G94" s="572"/>
      <c r="H94" s="572"/>
      <c r="I94" s="572"/>
      <c r="J94" s="572"/>
      <c r="K94" s="577">
        <v>3</v>
      </c>
      <c r="L94" s="572"/>
      <c r="M94" s="572"/>
      <c r="N94" s="572"/>
      <c r="O94" s="572"/>
      <c r="P94" s="572"/>
      <c r="Q94" s="572"/>
      <c r="R94" s="572"/>
      <c r="S94" s="572"/>
      <c r="T94" s="605">
        <f t="shared" si="0"/>
        <v>3</v>
      </c>
      <c r="U94" s="597">
        <v>0</v>
      </c>
      <c r="V94" s="1132" t="s">
        <v>673</v>
      </c>
      <c r="W94" s="526"/>
      <c r="X94" s="732"/>
      <c r="Y94" s="732"/>
      <c r="Z94" s="732"/>
      <c r="AA94" s="732"/>
    </row>
    <row r="95" spans="1:27" ht="39.75" customHeight="1">
      <c r="A95" s="712"/>
      <c r="B95" s="712"/>
      <c r="C95" s="712"/>
      <c r="D95" s="537">
        <v>88</v>
      </c>
      <c r="E95" s="537" t="s">
        <v>188</v>
      </c>
      <c r="F95" s="1111"/>
      <c r="G95" s="580"/>
      <c r="H95" s="580"/>
      <c r="I95" s="580"/>
      <c r="J95" s="580"/>
      <c r="K95" s="580"/>
      <c r="L95" s="580"/>
      <c r="M95" s="580"/>
      <c r="N95" s="580"/>
      <c r="O95" s="580"/>
      <c r="P95" s="584">
        <v>7</v>
      </c>
      <c r="Q95" s="580"/>
      <c r="R95" s="580"/>
      <c r="S95" s="580"/>
      <c r="T95" s="605">
        <f t="shared" si="0"/>
        <v>7</v>
      </c>
      <c r="U95" s="599">
        <v>7</v>
      </c>
      <c r="V95" s="1139" t="s">
        <v>674</v>
      </c>
      <c r="W95" s="527"/>
      <c r="X95" s="732"/>
      <c r="Y95" s="732"/>
      <c r="Z95" s="732"/>
      <c r="AA95" s="732"/>
    </row>
    <row r="96" spans="1:27" ht="39.75" customHeight="1">
      <c r="A96" s="712"/>
      <c r="B96" s="712"/>
      <c r="C96" s="712"/>
      <c r="D96" s="537">
        <v>89</v>
      </c>
      <c r="E96" s="537" t="s">
        <v>190</v>
      </c>
      <c r="F96" s="1111"/>
      <c r="G96" s="580"/>
      <c r="H96" s="580"/>
      <c r="I96" s="580"/>
      <c r="J96" s="580"/>
      <c r="K96" s="580"/>
      <c r="L96" s="580"/>
      <c r="M96" s="580"/>
      <c r="N96" s="580"/>
      <c r="O96" s="580"/>
      <c r="P96" s="580"/>
      <c r="Q96" s="580"/>
      <c r="R96" s="580"/>
      <c r="S96" s="580"/>
      <c r="T96" s="605">
        <f t="shared" si="0"/>
        <v>0</v>
      </c>
      <c r="U96" s="599">
        <v>0</v>
      </c>
      <c r="V96" s="527"/>
      <c r="W96" s="527"/>
      <c r="X96" s="732"/>
      <c r="Y96" s="732"/>
      <c r="Z96" s="732"/>
      <c r="AA96" s="732"/>
    </row>
    <row r="97" spans="1:27" ht="39.75" customHeight="1">
      <c r="A97" s="712"/>
      <c r="B97" s="712"/>
      <c r="C97" s="712"/>
      <c r="D97" s="537">
        <v>90</v>
      </c>
      <c r="E97" s="537" t="s">
        <v>191</v>
      </c>
      <c r="F97" s="1111"/>
      <c r="G97" s="580"/>
      <c r="H97" s="580"/>
      <c r="I97" s="580"/>
      <c r="J97" s="580"/>
      <c r="K97" s="580"/>
      <c r="L97" s="580"/>
      <c r="M97" s="580"/>
      <c r="N97" s="580"/>
      <c r="O97" s="580"/>
      <c r="P97" s="583"/>
      <c r="Q97" s="580"/>
      <c r="R97" s="580"/>
      <c r="S97" s="580"/>
      <c r="T97" s="605">
        <f t="shared" si="0"/>
        <v>0</v>
      </c>
      <c r="U97" s="599">
        <v>0</v>
      </c>
      <c r="V97" s="527"/>
      <c r="W97" s="527"/>
      <c r="X97" s="732"/>
      <c r="Y97" s="732"/>
      <c r="Z97" s="732"/>
      <c r="AA97" s="732"/>
    </row>
    <row r="98" spans="1:27" ht="39.75" customHeight="1">
      <c r="A98" s="712"/>
      <c r="B98" s="712"/>
      <c r="C98" s="712"/>
      <c r="D98" s="537">
        <v>91</v>
      </c>
      <c r="E98" s="537" t="s">
        <v>192</v>
      </c>
      <c r="F98" s="1111"/>
      <c r="G98" s="580"/>
      <c r="H98" s="580"/>
      <c r="I98" s="580"/>
      <c r="J98" s="580"/>
      <c r="K98" s="582">
        <v>0</v>
      </c>
      <c r="L98" s="580"/>
      <c r="M98" s="580"/>
      <c r="N98" s="580"/>
      <c r="O98" s="580"/>
      <c r="P98" s="584">
        <v>0</v>
      </c>
      <c r="Q98" s="580"/>
      <c r="R98" s="580"/>
      <c r="S98" s="580"/>
      <c r="T98" s="605">
        <f t="shared" si="0"/>
        <v>0</v>
      </c>
      <c r="U98" s="599">
        <v>0</v>
      </c>
      <c r="V98" s="528"/>
      <c r="W98" s="528"/>
      <c r="X98" s="732"/>
      <c r="Y98" s="732"/>
      <c r="Z98" s="732"/>
      <c r="AA98" s="732"/>
    </row>
    <row r="99" spans="1:27" ht="39.75" customHeight="1">
      <c r="A99" s="712"/>
      <c r="B99" s="712"/>
      <c r="C99" s="712"/>
      <c r="D99" s="537">
        <v>92</v>
      </c>
      <c r="E99" s="537" t="s">
        <v>193</v>
      </c>
      <c r="F99" s="1111"/>
      <c r="G99" s="580"/>
      <c r="H99" s="580"/>
      <c r="I99" s="580"/>
      <c r="J99" s="580"/>
      <c r="K99" s="580"/>
      <c r="L99" s="580"/>
      <c r="M99" s="580"/>
      <c r="N99" s="580"/>
      <c r="O99" s="580"/>
      <c r="P99" s="584">
        <v>0</v>
      </c>
      <c r="Q99" s="580"/>
      <c r="R99" s="580"/>
      <c r="S99" s="580"/>
      <c r="T99" s="605">
        <f t="shared" si="0"/>
        <v>0</v>
      </c>
      <c r="U99" s="599">
        <v>0</v>
      </c>
      <c r="V99" s="528"/>
      <c r="W99" s="528"/>
      <c r="X99" s="732"/>
      <c r="Y99" s="732"/>
      <c r="Z99" s="732"/>
      <c r="AA99" s="732"/>
    </row>
    <row r="100" spans="1:27" ht="39.75" customHeight="1">
      <c r="A100" s="712"/>
      <c r="B100" s="712"/>
      <c r="C100" s="712"/>
      <c r="D100" s="537">
        <v>93</v>
      </c>
      <c r="E100" s="537" t="s">
        <v>195</v>
      </c>
      <c r="F100" s="1111"/>
      <c r="G100" s="580"/>
      <c r="H100" s="580"/>
      <c r="I100" s="583"/>
      <c r="J100" s="580"/>
      <c r="K100" s="580"/>
      <c r="L100" s="580"/>
      <c r="M100" s="580"/>
      <c r="N100" s="580"/>
      <c r="O100" s="580"/>
      <c r="P100" s="580"/>
      <c r="Q100" s="580"/>
      <c r="R100" s="580"/>
      <c r="S100" s="580"/>
      <c r="T100" s="605">
        <f t="shared" si="0"/>
        <v>0</v>
      </c>
      <c r="U100" s="599">
        <v>0</v>
      </c>
      <c r="V100" s="528"/>
      <c r="W100" s="528"/>
      <c r="X100" s="732"/>
      <c r="Y100" s="732"/>
      <c r="Z100" s="732"/>
      <c r="AA100" s="732"/>
    </row>
    <row r="101" spans="1:27" ht="39.75" customHeight="1">
      <c r="A101" s="712"/>
      <c r="B101" s="712"/>
      <c r="C101" s="712"/>
      <c r="D101" s="537">
        <v>94</v>
      </c>
      <c r="E101" s="537" t="s">
        <v>196</v>
      </c>
      <c r="F101" s="1111"/>
      <c r="G101" s="580"/>
      <c r="H101" s="580"/>
      <c r="I101" s="583"/>
      <c r="J101" s="580"/>
      <c r="K101" s="580"/>
      <c r="L101" s="580"/>
      <c r="M101" s="580"/>
      <c r="N101" s="580"/>
      <c r="O101" s="580"/>
      <c r="P101" s="580"/>
      <c r="Q101" s="580"/>
      <c r="R101" s="580"/>
      <c r="S101" s="580"/>
      <c r="T101" s="605">
        <f t="shared" si="0"/>
        <v>0</v>
      </c>
      <c r="U101" s="599">
        <v>0</v>
      </c>
      <c r="V101" s="528"/>
      <c r="W101" s="528"/>
      <c r="X101" s="732"/>
      <c r="Y101" s="732"/>
      <c r="Z101" s="732"/>
      <c r="AA101" s="732"/>
    </row>
    <row r="102" spans="1:27" ht="39.75" customHeight="1">
      <c r="A102" s="712"/>
      <c r="B102" s="712"/>
      <c r="C102" s="712"/>
      <c r="D102" s="537">
        <v>95</v>
      </c>
      <c r="E102" s="537" t="s">
        <v>197</v>
      </c>
      <c r="F102" s="1111"/>
      <c r="G102" s="580"/>
      <c r="H102" s="583"/>
      <c r="I102" s="582">
        <v>0</v>
      </c>
      <c r="J102" s="580"/>
      <c r="K102" s="580"/>
      <c r="L102" s="580"/>
      <c r="M102" s="580"/>
      <c r="N102" s="580"/>
      <c r="O102" s="580"/>
      <c r="P102" s="580"/>
      <c r="Q102" s="580"/>
      <c r="R102" s="580"/>
      <c r="S102" s="580"/>
      <c r="T102" s="605">
        <f t="shared" si="0"/>
        <v>0</v>
      </c>
      <c r="U102" s="599">
        <v>0</v>
      </c>
      <c r="V102" s="527"/>
      <c r="W102" s="527"/>
      <c r="X102" s="732"/>
      <c r="Y102" s="732"/>
      <c r="Z102" s="732"/>
      <c r="AA102" s="732"/>
    </row>
    <row r="103" spans="1:27" ht="150">
      <c r="A103" s="712"/>
      <c r="B103" s="707"/>
      <c r="C103" s="707"/>
      <c r="D103" s="537">
        <v>96</v>
      </c>
      <c r="E103" s="537" t="s">
        <v>199</v>
      </c>
      <c r="F103" s="1111"/>
      <c r="G103" s="580"/>
      <c r="H103" s="580"/>
      <c r="I103" s="580"/>
      <c r="J103" s="580"/>
      <c r="K103" s="580"/>
      <c r="L103" s="580"/>
      <c r="M103" s="580"/>
      <c r="N103" s="582">
        <v>0</v>
      </c>
      <c r="O103" s="580"/>
      <c r="P103" s="616">
        <v>2</v>
      </c>
      <c r="Q103" s="582">
        <v>1</v>
      </c>
      <c r="R103" s="584">
        <v>1</v>
      </c>
      <c r="S103" s="580"/>
      <c r="T103" s="605">
        <f t="shared" si="0"/>
        <v>4</v>
      </c>
      <c r="U103" s="599">
        <v>4</v>
      </c>
      <c r="V103" s="1139" t="s">
        <v>200</v>
      </c>
      <c r="W103" s="527"/>
      <c r="X103" s="732"/>
      <c r="Y103" s="732"/>
      <c r="Z103" s="732"/>
      <c r="AA103" s="732"/>
    </row>
    <row r="104" spans="1:27" ht="166.15" customHeight="1">
      <c r="A104" s="712"/>
      <c r="B104" s="692" t="s">
        <v>201</v>
      </c>
      <c r="C104" s="692" t="s">
        <v>202</v>
      </c>
      <c r="D104" s="537">
        <v>97</v>
      </c>
      <c r="E104" s="537" t="s">
        <v>203</v>
      </c>
      <c r="F104" s="615"/>
      <c r="G104" s="616"/>
      <c r="H104" s="616"/>
      <c r="I104" s="582">
        <v>1</v>
      </c>
      <c r="J104" s="616"/>
      <c r="K104" s="582">
        <v>0</v>
      </c>
      <c r="L104" s="616"/>
      <c r="M104" s="582"/>
      <c r="N104" s="582">
        <v>3.75</v>
      </c>
      <c r="O104" s="616">
        <v>3</v>
      </c>
      <c r="P104" s="617">
        <v>13.05</v>
      </c>
      <c r="Q104" s="582">
        <v>2.5</v>
      </c>
      <c r="R104" s="617">
        <v>12</v>
      </c>
      <c r="S104" s="616"/>
      <c r="T104" s="559">
        <v>35.299999999999997</v>
      </c>
      <c r="U104" s="563">
        <v>35.299999999999997</v>
      </c>
      <c r="V104" s="1140" t="s">
        <v>204</v>
      </c>
      <c r="W104" s="1141"/>
      <c r="X104" s="732"/>
      <c r="Y104" s="732"/>
      <c r="Z104" s="732"/>
      <c r="AA104" s="732"/>
    </row>
    <row r="105" spans="1:27" ht="39.75" customHeight="1">
      <c r="A105" s="712"/>
      <c r="B105" s="707"/>
      <c r="C105" s="707"/>
      <c r="D105" s="537">
        <v>98</v>
      </c>
      <c r="E105" s="537" t="s">
        <v>53</v>
      </c>
      <c r="F105" s="1069"/>
      <c r="G105" s="1068"/>
      <c r="H105" s="1068"/>
      <c r="I105" s="1068"/>
      <c r="J105" s="1068"/>
      <c r="K105" s="1068"/>
      <c r="L105" s="1068"/>
      <c r="M105" s="1068"/>
      <c r="N105" s="1068"/>
      <c r="O105" s="1068"/>
      <c r="P105" s="1068"/>
      <c r="Q105" s="1066"/>
      <c r="R105" s="1068"/>
      <c r="S105" s="1068"/>
      <c r="T105" s="563">
        <v>0</v>
      </c>
      <c r="U105" s="563">
        <v>0</v>
      </c>
      <c r="V105" s="1142"/>
      <c r="W105" s="1143"/>
      <c r="X105" s="732"/>
      <c r="Y105" s="732"/>
      <c r="Z105" s="732"/>
      <c r="AA105" s="732"/>
    </row>
    <row r="106" spans="1:27" ht="39.75" customHeight="1">
      <c r="A106" s="712"/>
      <c r="B106" s="692" t="s">
        <v>205</v>
      </c>
      <c r="C106" s="692" t="s">
        <v>206</v>
      </c>
      <c r="D106" s="537">
        <v>99</v>
      </c>
      <c r="E106" s="537" t="s">
        <v>207</v>
      </c>
      <c r="F106" s="561"/>
      <c r="G106" s="562"/>
      <c r="H106" s="565"/>
      <c r="I106" s="563">
        <v>2</v>
      </c>
      <c r="J106" s="562"/>
      <c r="K106" s="563"/>
      <c r="L106" s="562"/>
      <c r="M106" s="562"/>
      <c r="N106" s="563">
        <v>1</v>
      </c>
      <c r="O106" s="562"/>
      <c r="P106" s="562"/>
      <c r="Q106" s="563">
        <v>1</v>
      </c>
      <c r="R106" s="562"/>
      <c r="S106" s="562"/>
      <c r="T106" s="563">
        <v>4</v>
      </c>
      <c r="U106" s="563">
        <v>3</v>
      </c>
      <c r="V106" s="1144" t="s">
        <v>625</v>
      </c>
      <c r="W106" s="1145"/>
      <c r="X106" s="732"/>
      <c r="Y106" s="732"/>
      <c r="Z106" s="732"/>
      <c r="AA106" s="732"/>
    </row>
    <row r="107" spans="1:27" ht="39.75" customHeight="1">
      <c r="A107" s="712"/>
      <c r="B107" s="712"/>
      <c r="C107" s="712"/>
      <c r="D107" s="537">
        <v>100</v>
      </c>
      <c r="E107" s="537" t="s">
        <v>209</v>
      </c>
      <c r="F107" s="1069"/>
      <c r="G107" s="1068"/>
      <c r="H107" s="1068"/>
      <c r="I107" s="563"/>
      <c r="J107" s="1068"/>
      <c r="K107" s="563"/>
      <c r="L107" s="1068"/>
      <c r="M107" s="1068"/>
      <c r="N107" s="1068"/>
      <c r="O107" s="1068"/>
      <c r="P107" s="1068"/>
      <c r="Q107" s="1066"/>
      <c r="R107" s="1068"/>
      <c r="S107" s="1068"/>
      <c r="T107" s="563">
        <v>0</v>
      </c>
      <c r="U107" s="563">
        <v>0</v>
      </c>
      <c r="V107" s="1144"/>
      <c r="W107" s="1143"/>
      <c r="X107" s="732"/>
      <c r="Y107" s="732"/>
      <c r="Z107" s="732"/>
      <c r="AA107" s="732"/>
    </row>
    <row r="108" spans="1:27" ht="39.75" customHeight="1">
      <c r="A108" s="712"/>
      <c r="B108" s="712"/>
      <c r="C108" s="712"/>
      <c r="D108" s="537">
        <v>101</v>
      </c>
      <c r="E108" s="537" t="s">
        <v>210</v>
      </c>
      <c r="F108" s="1069"/>
      <c r="G108" s="1068"/>
      <c r="H108" s="1068"/>
      <c r="I108" s="1068"/>
      <c r="J108" s="1068"/>
      <c r="K108" s="1068"/>
      <c r="L108" s="1068"/>
      <c r="M108" s="1068"/>
      <c r="N108" s="1068"/>
      <c r="O108" s="1068"/>
      <c r="P108" s="1068"/>
      <c r="Q108" s="1066"/>
      <c r="R108" s="1068"/>
      <c r="S108" s="1068"/>
      <c r="T108" s="563">
        <v>0</v>
      </c>
      <c r="U108" s="563">
        <v>0</v>
      </c>
      <c r="V108" s="1142"/>
      <c r="W108" s="1143"/>
      <c r="X108" s="732"/>
      <c r="Y108" s="732"/>
      <c r="Z108" s="732"/>
      <c r="AA108" s="732"/>
    </row>
    <row r="109" spans="1:27" ht="39.75" customHeight="1">
      <c r="A109" s="712"/>
      <c r="B109" s="712"/>
      <c r="C109" s="712"/>
      <c r="D109" s="537">
        <v>102</v>
      </c>
      <c r="E109" s="537" t="s">
        <v>211</v>
      </c>
      <c r="F109" s="1069"/>
      <c r="G109" s="1068"/>
      <c r="H109" s="1068"/>
      <c r="I109" s="1068"/>
      <c r="J109" s="1068"/>
      <c r="K109" s="1068"/>
      <c r="L109" s="1068"/>
      <c r="M109" s="1068"/>
      <c r="N109" s="1068"/>
      <c r="O109" s="1068"/>
      <c r="P109" s="1068"/>
      <c r="Q109" s="563"/>
      <c r="R109" s="1068"/>
      <c r="S109" s="1068"/>
      <c r="T109" s="563">
        <v>0</v>
      </c>
      <c r="U109" s="563">
        <v>0</v>
      </c>
      <c r="V109" s="1142"/>
      <c r="W109" s="1143"/>
      <c r="X109" s="732"/>
      <c r="Y109" s="732"/>
      <c r="Z109" s="732"/>
      <c r="AA109" s="732"/>
    </row>
    <row r="110" spans="1:27" ht="60">
      <c r="A110" s="712"/>
      <c r="B110" s="707"/>
      <c r="C110" s="707"/>
      <c r="D110" s="537">
        <v>103</v>
      </c>
      <c r="E110" s="537" t="s">
        <v>53</v>
      </c>
      <c r="F110" s="1069"/>
      <c r="G110" s="1068"/>
      <c r="H110" s="1068"/>
      <c r="I110" s="1068"/>
      <c r="J110" s="1068"/>
      <c r="K110" s="1068"/>
      <c r="L110" s="1068"/>
      <c r="M110" s="1068"/>
      <c r="N110" s="1068"/>
      <c r="O110" s="1068"/>
      <c r="P110" s="565">
        <v>2.6</v>
      </c>
      <c r="Q110" s="1066"/>
      <c r="R110" s="1108">
        <v>0</v>
      </c>
      <c r="S110" s="1108"/>
      <c r="T110" s="563">
        <v>2.6</v>
      </c>
      <c r="U110" s="563">
        <v>2.6</v>
      </c>
      <c r="V110" s="1144" t="s">
        <v>212</v>
      </c>
      <c r="W110" s="1143"/>
      <c r="X110" s="732"/>
      <c r="Y110" s="732"/>
      <c r="Z110" s="732"/>
      <c r="AA110" s="732"/>
    </row>
    <row r="111" spans="1:27" ht="255">
      <c r="A111" s="712"/>
      <c r="B111" s="692" t="s">
        <v>213</v>
      </c>
      <c r="C111" s="692" t="s">
        <v>214</v>
      </c>
      <c r="D111" s="537">
        <v>104</v>
      </c>
      <c r="E111" s="537" t="s">
        <v>215</v>
      </c>
      <c r="F111" s="615"/>
      <c r="G111" s="616"/>
      <c r="H111" s="616"/>
      <c r="I111" s="616"/>
      <c r="J111" s="616"/>
      <c r="K111" s="616"/>
      <c r="L111" s="616"/>
      <c r="M111" s="616"/>
      <c r="N111" s="617">
        <v>0.8</v>
      </c>
      <c r="O111" s="616"/>
      <c r="P111" s="617"/>
      <c r="Q111" s="617">
        <v>1.5</v>
      </c>
      <c r="R111" s="617">
        <v>1.5</v>
      </c>
      <c r="S111" s="617"/>
      <c r="T111" s="563">
        <v>3.8</v>
      </c>
      <c r="U111" s="563">
        <v>3.8</v>
      </c>
      <c r="V111" s="1144" t="s">
        <v>1639</v>
      </c>
      <c r="W111" s="1143"/>
      <c r="X111" s="732"/>
      <c r="Y111" s="732"/>
      <c r="Z111" s="732"/>
      <c r="AA111" s="732"/>
    </row>
    <row r="112" spans="1:27" ht="39.75" customHeight="1">
      <c r="A112" s="712"/>
      <c r="B112" s="712"/>
      <c r="C112" s="712"/>
      <c r="D112" s="537">
        <v>105</v>
      </c>
      <c r="E112" s="537" t="s">
        <v>216</v>
      </c>
      <c r="F112" s="615"/>
      <c r="G112" s="616"/>
      <c r="H112" s="616"/>
      <c r="I112" s="616"/>
      <c r="J112" s="616"/>
      <c r="K112" s="616"/>
      <c r="L112" s="616"/>
      <c r="M112" s="616"/>
      <c r="N112" s="616"/>
      <c r="O112" s="616"/>
      <c r="P112" s="616">
        <v>2</v>
      </c>
      <c r="Q112" s="616"/>
      <c r="R112" s="616"/>
      <c r="S112" s="616"/>
      <c r="T112" s="563">
        <v>2</v>
      </c>
      <c r="U112" s="563">
        <v>2</v>
      </c>
      <c r="V112" s="1142" t="s">
        <v>217</v>
      </c>
      <c r="W112" s="1143"/>
      <c r="X112" s="732"/>
      <c r="Y112" s="732"/>
      <c r="Z112" s="732"/>
      <c r="AA112" s="732"/>
    </row>
    <row r="113" spans="1:27" ht="46.9" customHeight="1">
      <c r="A113" s="712"/>
      <c r="B113" s="707"/>
      <c r="C113" s="707"/>
      <c r="D113" s="537">
        <v>106</v>
      </c>
      <c r="E113" s="537" t="s">
        <v>218</v>
      </c>
      <c r="F113" s="615"/>
      <c r="G113" s="616"/>
      <c r="H113" s="616"/>
      <c r="I113" s="582"/>
      <c r="J113" s="616"/>
      <c r="K113" s="582"/>
      <c r="L113" s="616"/>
      <c r="M113" s="616"/>
      <c r="N113" s="582">
        <v>0.2</v>
      </c>
      <c r="O113" s="616"/>
      <c r="P113" s="617"/>
      <c r="Q113" s="1146"/>
      <c r="R113" s="1146"/>
      <c r="S113" s="1146"/>
      <c r="T113" s="563">
        <v>0.2</v>
      </c>
      <c r="U113" s="563">
        <v>0.2</v>
      </c>
      <c r="V113" s="1144" t="s">
        <v>219</v>
      </c>
      <c r="W113" s="1143"/>
      <c r="X113" s="732"/>
      <c r="Y113" s="732"/>
      <c r="Z113" s="732"/>
      <c r="AA113" s="732"/>
    </row>
    <row r="114" spans="1:27" ht="60">
      <c r="A114" s="712"/>
      <c r="B114" s="692" t="s">
        <v>220</v>
      </c>
      <c r="C114" s="692" t="s">
        <v>221</v>
      </c>
      <c r="D114" s="537">
        <v>107</v>
      </c>
      <c r="E114" s="537" t="s">
        <v>222</v>
      </c>
      <c r="F114" s="1069"/>
      <c r="G114" s="1068"/>
      <c r="H114" s="1068"/>
      <c r="I114" s="563"/>
      <c r="J114" s="1068"/>
      <c r="K114" s="563"/>
      <c r="L114" s="1068"/>
      <c r="M114" s="562"/>
      <c r="N114" s="563"/>
      <c r="O114" s="1068"/>
      <c r="P114" s="617">
        <v>2.5</v>
      </c>
      <c r="Q114" s="616"/>
      <c r="R114" s="617">
        <v>1</v>
      </c>
      <c r="S114" s="1068"/>
      <c r="T114" s="563">
        <v>3.5</v>
      </c>
      <c r="U114" s="563">
        <v>3.5</v>
      </c>
      <c r="V114" s="1144" t="s">
        <v>223</v>
      </c>
      <c r="W114" s="1143"/>
      <c r="X114" s="732"/>
      <c r="Y114" s="732"/>
      <c r="Z114" s="732"/>
      <c r="AA114" s="732"/>
    </row>
    <row r="115" spans="1:27" ht="39.75" customHeight="1">
      <c r="A115" s="712"/>
      <c r="B115" s="712"/>
      <c r="C115" s="712"/>
      <c r="D115" s="537">
        <v>108</v>
      </c>
      <c r="E115" s="537" t="s">
        <v>224</v>
      </c>
      <c r="F115" s="1069"/>
      <c r="G115" s="1068"/>
      <c r="H115" s="1068"/>
      <c r="I115" s="563"/>
      <c r="J115" s="1068"/>
      <c r="K115" s="563"/>
      <c r="L115" s="1068"/>
      <c r="M115" s="1068"/>
      <c r="N115" s="1068"/>
      <c r="O115" s="1068"/>
      <c r="P115" s="565">
        <v>3.25</v>
      </c>
      <c r="Q115" s="1066"/>
      <c r="R115" s="1068"/>
      <c r="S115" s="1068"/>
      <c r="T115" s="563">
        <v>3.25</v>
      </c>
      <c r="U115" s="563">
        <v>3.25</v>
      </c>
      <c r="V115" s="1144" t="s">
        <v>225</v>
      </c>
      <c r="W115" s="1143"/>
      <c r="X115" s="732"/>
      <c r="Y115" s="732"/>
      <c r="Z115" s="732"/>
      <c r="AA115" s="732"/>
    </row>
    <row r="116" spans="1:27" ht="39.75" customHeight="1">
      <c r="A116" s="712"/>
      <c r="B116" s="712"/>
      <c r="C116" s="712"/>
      <c r="D116" s="537">
        <v>109</v>
      </c>
      <c r="E116" s="537" t="s">
        <v>226</v>
      </c>
      <c r="F116" s="1069"/>
      <c r="G116" s="1068"/>
      <c r="H116" s="1108"/>
      <c r="I116" s="563"/>
      <c r="J116" s="1068"/>
      <c r="K116" s="563"/>
      <c r="L116" s="1068"/>
      <c r="M116" s="1068"/>
      <c r="N116" s="1068"/>
      <c r="O116" s="1068"/>
      <c r="P116" s="1068"/>
      <c r="Q116" s="1066"/>
      <c r="R116" s="1068"/>
      <c r="S116" s="1068"/>
      <c r="T116" s="563">
        <v>0</v>
      </c>
      <c r="U116" s="563">
        <v>0</v>
      </c>
      <c r="V116" s="1142"/>
      <c r="W116" s="1143"/>
      <c r="X116" s="732"/>
      <c r="Y116" s="732"/>
      <c r="Z116" s="732"/>
      <c r="AA116" s="732"/>
    </row>
    <row r="117" spans="1:27" ht="135">
      <c r="A117" s="712"/>
      <c r="B117" s="712"/>
      <c r="C117" s="712"/>
      <c r="D117" s="537">
        <v>110</v>
      </c>
      <c r="E117" s="537" t="s">
        <v>227</v>
      </c>
      <c r="F117" s="1069"/>
      <c r="G117" s="1068"/>
      <c r="H117" s="1068"/>
      <c r="I117" s="563"/>
      <c r="J117" s="1068"/>
      <c r="K117" s="563"/>
      <c r="L117" s="1068"/>
      <c r="M117" s="1108"/>
      <c r="N117" s="563">
        <v>3</v>
      </c>
      <c r="O117" s="565">
        <v>29.26</v>
      </c>
      <c r="P117" s="563"/>
      <c r="Q117" s="565">
        <v>4.97</v>
      </c>
      <c r="R117" s="565">
        <v>3</v>
      </c>
      <c r="S117" s="1068"/>
      <c r="T117" s="538">
        <f>SUM(F117:S117)</f>
        <v>40.230000000000004</v>
      </c>
      <c r="U117" s="563">
        <f>T117</f>
        <v>40.230000000000004</v>
      </c>
      <c r="V117" s="1147" t="s">
        <v>675</v>
      </c>
      <c r="W117" s="1143"/>
      <c r="X117" s="732"/>
      <c r="Y117" s="732"/>
      <c r="Z117" s="732"/>
      <c r="AA117" s="732"/>
    </row>
    <row r="118" spans="1:27" ht="39.75" customHeight="1">
      <c r="A118" s="712"/>
      <c r="B118" s="707"/>
      <c r="C118" s="707"/>
      <c r="D118" s="537">
        <v>111</v>
      </c>
      <c r="E118" s="537" t="s">
        <v>53</v>
      </c>
      <c r="F118" s="1069"/>
      <c r="G118" s="1068"/>
      <c r="H118" s="1068"/>
      <c r="I118" s="1108"/>
      <c r="J118" s="1068"/>
      <c r="K118" s="1108"/>
      <c r="L118" s="1068"/>
      <c r="M118" s="562"/>
      <c r="N118" s="1068"/>
      <c r="O118" s="1068"/>
      <c r="P118" s="1108"/>
      <c r="Q118" s="563"/>
      <c r="R118" s="1068"/>
      <c r="S118" s="1108"/>
      <c r="T118" s="563">
        <v>0</v>
      </c>
      <c r="U118" s="563">
        <v>0</v>
      </c>
      <c r="V118" s="1144"/>
      <c r="W118" s="1143"/>
      <c r="X118" s="732"/>
      <c r="Y118" s="732"/>
      <c r="Z118" s="732"/>
      <c r="AA118" s="732"/>
    </row>
    <row r="119" spans="1:27" ht="39.75" customHeight="1">
      <c r="A119" s="712"/>
      <c r="B119" s="692" t="s">
        <v>229</v>
      </c>
      <c r="C119" s="692" t="s">
        <v>230</v>
      </c>
      <c r="D119" s="537">
        <v>112</v>
      </c>
      <c r="E119" s="537" t="s">
        <v>231</v>
      </c>
      <c r="F119" s="1069"/>
      <c r="G119" s="1068"/>
      <c r="H119" s="1068"/>
      <c r="I119" s="563">
        <v>0</v>
      </c>
      <c r="J119" s="1068"/>
      <c r="K119" s="563"/>
      <c r="L119" s="1068"/>
      <c r="M119" s="1068"/>
      <c r="N119" s="1068"/>
      <c r="O119" s="1068"/>
      <c r="P119" s="1068"/>
      <c r="Q119" s="563"/>
      <c r="R119" s="1068"/>
      <c r="S119" s="1068"/>
      <c r="T119" s="563">
        <v>0</v>
      </c>
      <c r="U119" s="563">
        <v>0</v>
      </c>
      <c r="V119" s="1142"/>
      <c r="W119" s="1143"/>
      <c r="X119" s="732"/>
      <c r="Y119" s="732"/>
      <c r="Z119" s="732"/>
      <c r="AA119" s="732"/>
    </row>
    <row r="120" spans="1:27" ht="39.75" customHeight="1">
      <c r="A120" s="712"/>
      <c r="B120" s="707"/>
      <c r="C120" s="707"/>
      <c r="D120" s="537">
        <v>113</v>
      </c>
      <c r="E120" s="537" t="s">
        <v>232</v>
      </c>
      <c r="F120" s="615"/>
      <c r="G120" s="616"/>
      <c r="H120" s="616"/>
      <c r="I120" s="582"/>
      <c r="J120" s="616"/>
      <c r="K120" s="582"/>
      <c r="L120" s="616"/>
      <c r="M120" s="582"/>
      <c r="N120" s="582">
        <v>0.5</v>
      </c>
      <c r="O120" s="616"/>
      <c r="P120" s="616"/>
      <c r="Q120" s="582">
        <v>0.3</v>
      </c>
      <c r="R120" s="616"/>
      <c r="S120" s="616"/>
      <c r="T120" s="563">
        <v>0.8</v>
      </c>
      <c r="U120" s="563">
        <v>0.8</v>
      </c>
      <c r="V120" s="1144" t="s">
        <v>676</v>
      </c>
      <c r="W120" s="1143"/>
      <c r="X120" s="732"/>
      <c r="Y120" s="732"/>
      <c r="Z120" s="732"/>
      <c r="AA120" s="732"/>
    </row>
    <row r="121" spans="1:27" ht="79.150000000000006" customHeight="1">
      <c r="A121" s="712"/>
      <c r="B121" s="537" t="s">
        <v>234</v>
      </c>
      <c r="C121" s="537" t="s">
        <v>235</v>
      </c>
      <c r="D121" s="537">
        <v>114</v>
      </c>
      <c r="E121" s="537" t="s">
        <v>236</v>
      </c>
      <c r="F121" s="1069"/>
      <c r="G121" s="1068"/>
      <c r="H121" s="1108">
        <v>5</v>
      </c>
      <c r="I121" s="562">
        <v>0.14000000000000001</v>
      </c>
      <c r="J121" s="1068"/>
      <c r="K121" s="1068"/>
      <c r="L121" s="1068"/>
      <c r="M121" s="1068"/>
      <c r="N121" s="565">
        <v>0.5</v>
      </c>
      <c r="O121" s="1068"/>
      <c r="P121" s="565">
        <v>32.9</v>
      </c>
      <c r="Q121" s="563">
        <v>0.5</v>
      </c>
      <c r="R121" s="565">
        <v>0.5</v>
      </c>
      <c r="S121" s="1108">
        <v>0</v>
      </c>
      <c r="T121" s="563">
        <v>39.54</v>
      </c>
      <c r="U121" s="563">
        <v>16.54</v>
      </c>
      <c r="V121" s="1148" t="s">
        <v>677</v>
      </c>
      <c r="W121" s="1143"/>
      <c r="X121" s="732"/>
      <c r="Y121" s="732"/>
      <c r="Z121" s="732"/>
      <c r="AA121" s="732"/>
    </row>
    <row r="122" spans="1:27" ht="60">
      <c r="A122" s="712"/>
      <c r="B122" s="692" t="s">
        <v>238</v>
      </c>
      <c r="C122" s="692" t="s">
        <v>239</v>
      </c>
      <c r="D122" s="537">
        <v>115</v>
      </c>
      <c r="E122" s="537" t="s">
        <v>240</v>
      </c>
      <c r="F122" s="1069"/>
      <c r="G122" s="1068"/>
      <c r="H122" s="1068"/>
      <c r="I122" s="1068"/>
      <c r="J122" s="1068"/>
      <c r="K122" s="1068"/>
      <c r="L122" s="1068"/>
      <c r="M122" s="563">
        <v>1</v>
      </c>
      <c r="N122" s="1068"/>
      <c r="O122" s="1068"/>
      <c r="P122" s="1068"/>
      <c r="Q122" s="1066">
        <v>6.9</v>
      </c>
      <c r="R122" s="1068"/>
      <c r="S122" s="1068"/>
      <c r="T122" s="563">
        <v>7.9</v>
      </c>
      <c r="U122" s="563">
        <v>7.9</v>
      </c>
      <c r="V122" s="1144" t="s">
        <v>241</v>
      </c>
      <c r="W122" s="1143"/>
      <c r="X122" s="732"/>
      <c r="Y122" s="732"/>
      <c r="Z122" s="732"/>
      <c r="AA122" s="732"/>
    </row>
    <row r="123" spans="1:27" ht="39.75" customHeight="1">
      <c r="A123" s="712"/>
      <c r="B123" s="712"/>
      <c r="C123" s="712"/>
      <c r="D123" s="537">
        <v>116</v>
      </c>
      <c r="E123" s="537" t="s">
        <v>242</v>
      </c>
      <c r="F123" s="1069"/>
      <c r="G123" s="1068"/>
      <c r="H123" s="1068"/>
      <c r="I123" s="1068"/>
      <c r="J123" s="1068"/>
      <c r="K123" s="1068"/>
      <c r="L123" s="1068"/>
      <c r="M123" s="563">
        <v>6.3</v>
      </c>
      <c r="N123" s="1068"/>
      <c r="O123" s="1068"/>
      <c r="P123" s="1068"/>
      <c r="Q123" s="563"/>
      <c r="R123" s="1068"/>
      <c r="S123" s="1068"/>
      <c r="T123" s="563">
        <v>6.3</v>
      </c>
      <c r="U123" s="563">
        <v>6.3</v>
      </c>
      <c r="V123" s="1144" t="s">
        <v>243</v>
      </c>
      <c r="W123" s="1143"/>
      <c r="X123" s="732"/>
      <c r="Y123" s="732"/>
      <c r="Z123" s="732"/>
      <c r="AA123" s="732"/>
    </row>
    <row r="124" spans="1:27" ht="39.75" customHeight="1">
      <c r="A124" s="712"/>
      <c r="B124" s="712"/>
      <c r="C124" s="712"/>
      <c r="D124" s="537">
        <v>117</v>
      </c>
      <c r="E124" s="537" t="s">
        <v>244</v>
      </c>
      <c r="F124" s="1069"/>
      <c r="G124" s="1068"/>
      <c r="H124" s="1068"/>
      <c r="I124" s="1068"/>
      <c r="J124" s="1068"/>
      <c r="K124" s="1068"/>
      <c r="L124" s="1068"/>
      <c r="M124" s="1068"/>
      <c r="N124" s="1068"/>
      <c r="O124" s="1068"/>
      <c r="P124" s="1068"/>
      <c r="Q124" s="1066"/>
      <c r="R124" s="1068"/>
      <c r="S124" s="1068"/>
      <c r="T124" s="563">
        <v>0</v>
      </c>
      <c r="U124" s="563">
        <v>0</v>
      </c>
      <c r="V124" s="1142"/>
      <c r="W124" s="1143"/>
      <c r="X124" s="732"/>
      <c r="Y124" s="732"/>
      <c r="Z124" s="732"/>
      <c r="AA124" s="732"/>
    </row>
    <row r="125" spans="1:27" ht="39.75" customHeight="1">
      <c r="A125" s="712"/>
      <c r="B125" s="707"/>
      <c r="C125" s="707"/>
      <c r="D125" s="537">
        <v>118</v>
      </c>
      <c r="E125" s="537" t="s">
        <v>53</v>
      </c>
      <c r="F125" s="1069"/>
      <c r="G125" s="1068"/>
      <c r="H125" s="1068"/>
      <c r="I125" s="1068"/>
      <c r="J125" s="1068"/>
      <c r="K125" s="1068"/>
      <c r="L125" s="1068"/>
      <c r="M125" s="1068"/>
      <c r="N125" s="1068"/>
      <c r="O125" s="1068"/>
      <c r="P125" s="1068"/>
      <c r="Q125" s="563"/>
      <c r="R125" s="1068"/>
      <c r="S125" s="1068"/>
      <c r="T125" s="563">
        <v>0</v>
      </c>
      <c r="U125" s="563">
        <v>0</v>
      </c>
      <c r="V125" s="1142"/>
      <c r="W125" s="1143"/>
      <c r="X125" s="732"/>
      <c r="Y125" s="732"/>
      <c r="Z125" s="732"/>
      <c r="AA125" s="732"/>
    </row>
    <row r="126" spans="1:27" ht="90">
      <c r="A126" s="712"/>
      <c r="B126" s="537" t="s">
        <v>245</v>
      </c>
      <c r="C126" s="537" t="s">
        <v>246</v>
      </c>
      <c r="D126" s="537">
        <v>119</v>
      </c>
      <c r="E126" s="537" t="s">
        <v>247</v>
      </c>
      <c r="F126" s="615"/>
      <c r="G126" s="616"/>
      <c r="H126" s="617"/>
      <c r="I126" s="582"/>
      <c r="J126" s="616"/>
      <c r="K126" s="616"/>
      <c r="L126" s="616"/>
      <c r="M126" s="616"/>
      <c r="N126" s="582">
        <v>2</v>
      </c>
      <c r="O126" s="616"/>
      <c r="P126" s="617">
        <v>8</v>
      </c>
      <c r="Q126" s="582"/>
      <c r="R126" s="616"/>
      <c r="S126" s="616">
        <v>0</v>
      </c>
      <c r="T126" s="563">
        <v>10</v>
      </c>
      <c r="U126" s="563">
        <v>10</v>
      </c>
      <c r="V126" s="1148" t="s">
        <v>248</v>
      </c>
      <c r="W126" s="1143"/>
      <c r="X126" s="732"/>
      <c r="Y126" s="732"/>
      <c r="Z126" s="732"/>
      <c r="AA126" s="732"/>
    </row>
    <row r="127" spans="1:27" ht="39.75" customHeight="1">
      <c r="A127" s="712"/>
      <c r="B127" s="537" t="s">
        <v>249</v>
      </c>
      <c r="C127" s="537" t="s">
        <v>250</v>
      </c>
      <c r="D127" s="537">
        <v>120</v>
      </c>
      <c r="E127" s="537" t="s">
        <v>251</v>
      </c>
      <c r="F127" s="1069"/>
      <c r="G127" s="1068"/>
      <c r="H127" s="1068"/>
      <c r="I127" s="1068"/>
      <c r="J127" s="1068"/>
      <c r="K127" s="1108"/>
      <c r="L127" s="1068"/>
      <c r="M127" s="1108"/>
      <c r="N127" s="563"/>
      <c r="O127" s="1068"/>
      <c r="P127" s="1108"/>
      <c r="Q127" s="563"/>
      <c r="R127" s="1108"/>
      <c r="S127" s="1068"/>
      <c r="T127" s="563">
        <v>0</v>
      </c>
      <c r="U127" s="563">
        <v>0</v>
      </c>
      <c r="V127" s="1149"/>
      <c r="W127" s="1150"/>
      <c r="X127" s="732"/>
      <c r="Y127" s="732"/>
      <c r="Z127" s="732"/>
      <c r="AA127" s="732"/>
    </row>
    <row r="128" spans="1:27" ht="60">
      <c r="A128" s="712"/>
      <c r="B128" s="692" t="s">
        <v>252</v>
      </c>
      <c r="C128" s="692" t="s">
        <v>253</v>
      </c>
      <c r="D128" s="537">
        <v>121</v>
      </c>
      <c r="E128" s="537" t="s">
        <v>254</v>
      </c>
      <c r="F128" s="596">
        <v>0</v>
      </c>
      <c r="G128" s="576">
        <v>0</v>
      </c>
      <c r="H128" s="576">
        <v>0</v>
      </c>
      <c r="I128" s="577">
        <v>0</v>
      </c>
      <c r="J128" s="576">
        <v>0</v>
      </c>
      <c r="K128" s="576">
        <v>0</v>
      </c>
      <c r="L128" s="576">
        <v>0</v>
      </c>
      <c r="M128" s="576">
        <v>0</v>
      </c>
      <c r="N128" s="576">
        <v>0.48</v>
      </c>
      <c r="O128" s="576">
        <v>0</v>
      </c>
      <c r="P128" s="576">
        <v>0</v>
      </c>
      <c r="Q128" s="576">
        <v>0</v>
      </c>
      <c r="R128" s="576">
        <v>0</v>
      </c>
      <c r="S128" s="576">
        <v>0</v>
      </c>
      <c r="T128" s="605">
        <f t="shared" ref="T128:T130" si="14">SUM(F128:S128)</f>
        <v>0.48</v>
      </c>
      <c r="U128" s="597">
        <v>0.66249999999999998</v>
      </c>
      <c r="V128" s="1113" t="s">
        <v>499</v>
      </c>
      <c r="W128" s="525"/>
      <c r="X128" s="732"/>
      <c r="Y128" s="732"/>
      <c r="Z128" s="732"/>
      <c r="AA128" s="732"/>
    </row>
    <row r="129" spans="1:27" ht="39.75" customHeight="1">
      <c r="A129" s="712"/>
      <c r="B129" s="712"/>
      <c r="C129" s="712"/>
      <c r="D129" s="537">
        <v>122</v>
      </c>
      <c r="E129" s="537" t="s">
        <v>256</v>
      </c>
      <c r="F129" s="615">
        <v>0</v>
      </c>
      <c r="G129" s="616">
        <v>0</v>
      </c>
      <c r="H129" s="616">
        <v>0</v>
      </c>
      <c r="I129" s="616">
        <v>0</v>
      </c>
      <c r="J129" s="616">
        <v>0</v>
      </c>
      <c r="K129" s="616">
        <v>0</v>
      </c>
      <c r="L129" s="616">
        <v>0</v>
      </c>
      <c r="M129" s="616">
        <v>0</v>
      </c>
      <c r="N129" s="616">
        <v>0</v>
      </c>
      <c r="O129" s="616">
        <v>0</v>
      </c>
      <c r="P129" s="616">
        <v>0</v>
      </c>
      <c r="Q129" s="616">
        <v>0</v>
      </c>
      <c r="R129" s="616">
        <v>0</v>
      </c>
      <c r="S129" s="616">
        <v>0</v>
      </c>
      <c r="T129" s="605">
        <f t="shared" si="14"/>
        <v>0</v>
      </c>
      <c r="U129" s="599">
        <v>0</v>
      </c>
      <c r="V129" s="529"/>
      <c r="W129" s="529"/>
      <c r="X129" s="732"/>
      <c r="Y129" s="732"/>
      <c r="Z129" s="732"/>
      <c r="AA129" s="732"/>
    </row>
    <row r="130" spans="1:27" ht="75">
      <c r="A130" s="712"/>
      <c r="B130" s="707"/>
      <c r="C130" s="707"/>
      <c r="D130" s="537">
        <v>123</v>
      </c>
      <c r="E130" s="537" t="s">
        <v>257</v>
      </c>
      <c r="F130" s="615">
        <v>0</v>
      </c>
      <c r="G130" s="616">
        <v>0</v>
      </c>
      <c r="H130" s="616">
        <v>0</v>
      </c>
      <c r="I130" s="616">
        <v>0</v>
      </c>
      <c r="J130" s="616">
        <v>0</v>
      </c>
      <c r="K130" s="616">
        <v>0</v>
      </c>
      <c r="L130" s="616">
        <v>0</v>
      </c>
      <c r="M130" s="616">
        <v>0</v>
      </c>
      <c r="N130" s="616">
        <v>0</v>
      </c>
      <c r="O130" s="616">
        <v>0</v>
      </c>
      <c r="P130" s="617">
        <v>0</v>
      </c>
      <c r="Q130" s="582">
        <v>1.5</v>
      </c>
      <c r="R130" s="616">
        <v>0</v>
      </c>
      <c r="S130" s="616">
        <v>0</v>
      </c>
      <c r="T130" s="605">
        <f t="shared" si="14"/>
        <v>1.5</v>
      </c>
      <c r="U130" s="599">
        <v>1.5</v>
      </c>
      <c r="V130" s="1151" t="s">
        <v>258</v>
      </c>
      <c r="W130" s="529"/>
      <c r="X130" s="732"/>
      <c r="Y130" s="732"/>
      <c r="Z130" s="732"/>
      <c r="AA130" s="732"/>
    </row>
    <row r="131" spans="1:27" ht="30">
      <c r="A131" s="712"/>
      <c r="B131" s="692" t="s">
        <v>259</v>
      </c>
      <c r="C131" s="692" t="s">
        <v>260</v>
      </c>
      <c r="D131" s="537">
        <v>124</v>
      </c>
      <c r="E131" s="537" t="s">
        <v>261</v>
      </c>
      <c r="F131" s="601"/>
      <c r="G131" s="602"/>
      <c r="H131" s="604"/>
      <c r="I131" s="602"/>
      <c r="J131" s="602"/>
      <c r="K131" s="602"/>
      <c r="L131" s="602"/>
      <c r="M131" s="602"/>
      <c r="N131" s="602">
        <v>1</v>
      </c>
      <c r="O131" s="602"/>
      <c r="P131" s="602"/>
      <c r="Q131" s="604">
        <v>0.5</v>
      </c>
      <c r="R131" s="602"/>
      <c r="S131" s="602"/>
      <c r="T131" s="605">
        <v>1.5</v>
      </c>
      <c r="U131" s="605">
        <v>1.5</v>
      </c>
      <c r="V131" s="1140" t="s">
        <v>262</v>
      </c>
      <c r="W131" s="732"/>
      <c r="X131" s="732"/>
      <c r="Y131" s="732"/>
      <c r="Z131" s="732"/>
      <c r="AA131" s="732"/>
    </row>
    <row r="132" spans="1:27" ht="45">
      <c r="A132" s="712"/>
      <c r="B132" s="707"/>
      <c r="C132" s="707"/>
      <c r="D132" s="537">
        <v>125</v>
      </c>
      <c r="E132" s="537" t="s">
        <v>263</v>
      </c>
      <c r="F132" s="601"/>
      <c r="G132" s="602"/>
      <c r="H132" s="604"/>
      <c r="I132" s="602"/>
      <c r="J132" s="602"/>
      <c r="K132" s="602"/>
      <c r="L132" s="602"/>
      <c r="M132" s="602"/>
      <c r="N132" s="602">
        <v>1</v>
      </c>
      <c r="O132" s="602"/>
      <c r="P132" s="602"/>
      <c r="Q132" s="604">
        <v>0.5</v>
      </c>
      <c r="R132" s="602"/>
      <c r="S132" s="602"/>
      <c r="T132" s="608">
        <v>1.5</v>
      </c>
      <c r="U132" s="608">
        <v>1.5</v>
      </c>
      <c r="V132" s="1148" t="s">
        <v>262</v>
      </c>
      <c r="W132" s="732"/>
      <c r="X132" s="732"/>
      <c r="Y132" s="732"/>
      <c r="Z132" s="732"/>
      <c r="AA132" s="732"/>
    </row>
    <row r="133" spans="1:27" ht="39.75" customHeight="1">
      <c r="A133" s="712"/>
      <c r="B133" s="537" t="s">
        <v>264</v>
      </c>
      <c r="C133" s="537" t="s">
        <v>265</v>
      </c>
      <c r="D133" s="537">
        <v>126</v>
      </c>
      <c r="E133" s="537" t="s">
        <v>181</v>
      </c>
      <c r="F133" s="637"/>
      <c r="G133" s="639"/>
      <c r="H133" s="639"/>
      <c r="I133" s="639"/>
      <c r="J133" s="639"/>
      <c r="K133" s="639"/>
      <c r="L133" s="639"/>
      <c r="M133" s="639"/>
      <c r="N133" s="639"/>
      <c r="O133" s="639"/>
      <c r="P133" s="639"/>
      <c r="Q133" s="1066"/>
      <c r="R133" s="639"/>
      <c r="S133" s="639"/>
      <c r="T133" s="605">
        <f t="shared" ref="T133:T205" si="15">SUM(F133:S133)</f>
        <v>0</v>
      </c>
      <c r="U133" s="608">
        <f>T133+(T133*5/100)</f>
        <v>0</v>
      </c>
      <c r="V133" s="1065"/>
      <c r="W133" s="732"/>
      <c r="X133" s="732"/>
      <c r="Y133" s="732"/>
      <c r="Z133" s="732"/>
      <c r="AA133" s="732"/>
    </row>
    <row r="134" spans="1:27" ht="39.75" customHeight="1">
      <c r="A134" s="707"/>
      <c r="B134" s="695" t="s">
        <v>266</v>
      </c>
      <c r="C134" s="709"/>
      <c r="D134" s="710"/>
      <c r="E134" s="570"/>
      <c r="F134" s="570">
        <f t="shared" ref="F134:S134" si="16">SUM(F94:F133)</f>
        <v>0</v>
      </c>
      <c r="G134" s="570">
        <f t="shared" si="16"/>
        <v>0</v>
      </c>
      <c r="H134" s="570">
        <f t="shared" si="16"/>
        <v>5</v>
      </c>
      <c r="I134" s="570">
        <f t="shared" si="16"/>
        <v>3.14</v>
      </c>
      <c r="J134" s="570">
        <f t="shared" si="16"/>
        <v>0</v>
      </c>
      <c r="K134" s="595">
        <f t="shared" si="16"/>
        <v>3</v>
      </c>
      <c r="L134" s="570">
        <f t="shared" si="16"/>
        <v>0</v>
      </c>
      <c r="M134" s="570">
        <f t="shared" si="16"/>
        <v>7.3</v>
      </c>
      <c r="N134" s="570">
        <f t="shared" si="16"/>
        <v>14.23</v>
      </c>
      <c r="O134" s="570">
        <f t="shared" si="16"/>
        <v>32.260000000000005</v>
      </c>
      <c r="P134" s="570">
        <f t="shared" si="16"/>
        <v>73.300000000000011</v>
      </c>
      <c r="Q134" s="570">
        <f t="shared" si="16"/>
        <v>21.17</v>
      </c>
      <c r="R134" s="570">
        <f t="shared" si="16"/>
        <v>19</v>
      </c>
      <c r="S134" s="570">
        <f t="shared" si="16"/>
        <v>0</v>
      </c>
      <c r="T134" s="570">
        <f t="shared" si="15"/>
        <v>178.40000000000003</v>
      </c>
      <c r="U134" s="595">
        <f>SUM(U94:U133)</f>
        <v>151.58250000000001</v>
      </c>
      <c r="V134" s="1065"/>
      <c r="W134" s="732"/>
      <c r="X134" s="732"/>
      <c r="Y134" s="732"/>
      <c r="Z134" s="732"/>
      <c r="AA134" s="732"/>
    </row>
    <row r="135" spans="1:27" ht="39.75" customHeight="1">
      <c r="A135" s="694" t="s">
        <v>267</v>
      </c>
      <c r="B135" s="692" t="s">
        <v>268</v>
      </c>
      <c r="C135" s="692" t="s">
        <v>269</v>
      </c>
      <c r="D135" s="537">
        <v>127</v>
      </c>
      <c r="E135" s="537" t="s">
        <v>270</v>
      </c>
      <c r="F135" s="1062"/>
      <c r="G135" s="638"/>
      <c r="H135" s="638"/>
      <c r="I135" s="638"/>
      <c r="J135" s="638"/>
      <c r="K135" s="638"/>
      <c r="L135" s="638"/>
      <c r="M135" s="638"/>
      <c r="N135" s="638"/>
      <c r="O135" s="638"/>
      <c r="P135" s="638"/>
      <c r="Q135" s="1064"/>
      <c r="R135" s="638"/>
      <c r="S135" s="638"/>
      <c r="T135" s="605">
        <f t="shared" si="15"/>
        <v>0</v>
      </c>
      <c r="U135" s="605">
        <f>T135+(T135*5/100)</f>
        <v>0</v>
      </c>
      <c r="V135" s="618"/>
      <c r="W135" s="732"/>
      <c r="X135" s="732"/>
      <c r="Y135" s="732"/>
      <c r="Z135" s="732"/>
      <c r="AA135" s="732"/>
    </row>
    <row r="136" spans="1:27" ht="39.75" customHeight="1">
      <c r="A136" s="712"/>
      <c r="B136" s="707"/>
      <c r="C136" s="707"/>
      <c r="D136" s="537">
        <v>128</v>
      </c>
      <c r="E136" s="537" t="s">
        <v>271</v>
      </c>
      <c r="F136" s="637"/>
      <c r="G136" s="639"/>
      <c r="H136" s="639"/>
      <c r="I136" s="639"/>
      <c r="J136" s="639"/>
      <c r="K136" s="1107"/>
      <c r="L136" s="639"/>
      <c r="M136" s="639"/>
      <c r="N136" s="1107"/>
      <c r="O136" s="639"/>
      <c r="P136" s="538"/>
      <c r="Q136" s="567">
        <f>(0.75*2)</f>
        <v>1.5</v>
      </c>
      <c r="R136" s="542"/>
      <c r="S136" s="542"/>
      <c r="T136" s="605">
        <f t="shared" si="15"/>
        <v>1.5</v>
      </c>
      <c r="U136" s="567">
        <f>T136</f>
        <v>1.5</v>
      </c>
      <c r="V136" s="1152" t="s">
        <v>272</v>
      </c>
      <c r="W136" s="732"/>
      <c r="X136" s="732"/>
      <c r="Y136" s="732"/>
      <c r="Z136" s="732"/>
      <c r="AA136" s="732"/>
    </row>
    <row r="137" spans="1:27" ht="39.75" customHeight="1">
      <c r="A137" s="712"/>
      <c r="B137" s="619"/>
      <c r="C137" s="619"/>
      <c r="D137" s="537">
        <v>129</v>
      </c>
      <c r="E137" s="537" t="s">
        <v>273</v>
      </c>
      <c r="F137" s="637"/>
      <c r="G137" s="639"/>
      <c r="H137" s="639"/>
      <c r="I137" s="639"/>
      <c r="J137" s="639"/>
      <c r="K137" s="639"/>
      <c r="L137" s="639"/>
      <c r="M137" s="639"/>
      <c r="N137" s="639"/>
      <c r="O137" s="639"/>
      <c r="P137" s="639"/>
      <c r="Q137" s="1066"/>
      <c r="R137" s="639"/>
      <c r="S137" s="639"/>
      <c r="T137" s="605">
        <f t="shared" si="15"/>
        <v>0</v>
      </c>
      <c r="U137" s="608">
        <f t="shared" ref="U137:U141" si="17">T137+(T137*5/100)</f>
        <v>0</v>
      </c>
      <c r="V137" s="618"/>
      <c r="W137" s="732"/>
      <c r="X137" s="732"/>
      <c r="Y137" s="732"/>
      <c r="Z137" s="732"/>
      <c r="AA137" s="732"/>
    </row>
    <row r="138" spans="1:27" ht="39.75" customHeight="1">
      <c r="A138" s="712"/>
      <c r="B138" s="692" t="s">
        <v>274</v>
      </c>
      <c r="C138" s="692" t="s">
        <v>275</v>
      </c>
      <c r="D138" s="537">
        <v>130</v>
      </c>
      <c r="E138" s="537" t="s">
        <v>276</v>
      </c>
      <c r="F138" s="637"/>
      <c r="G138" s="639"/>
      <c r="H138" s="639"/>
      <c r="I138" s="639"/>
      <c r="J138" s="639"/>
      <c r="K138" s="639"/>
      <c r="L138" s="639"/>
      <c r="M138" s="639"/>
      <c r="N138" s="639"/>
      <c r="O138" s="639"/>
      <c r="P138" s="639"/>
      <c r="Q138" s="1066"/>
      <c r="R138" s="639"/>
      <c r="S138" s="639"/>
      <c r="T138" s="605">
        <f t="shared" si="15"/>
        <v>0</v>
      </c>
      <c r="U138" s="608">
        <f t="shared" si="17"/>
        <v>0</v>
      </c>
      <c r="V138" s="618"/>
      <c r="W138" s="732"/>
      <c r="X138" s="732"/>
      <c r="Y138" s="732"/>
      <c r="Z138" s="732"/>
      <c r="AA138" s="732"/>
    </row>
    <row r="139" spans="1:27" ht="39.75" customHeight="1">
      <c r="A139" s="712"/>
      <c r="B139" s="712"/>
      <c r="C139" s="712"/>
      <c r="D139" s="537">
        <v>131</v>
      </c>
      <c r="E139" s="537" t="s">
        <v>277</v>
      </c>
      <c r="F139" s="637"/>
      <c r="G139" s="639"/>
      <c r="H139" s="639"/>
      <c r="I139" s="639"/>
      <c r="J139" s="639"/>
      <c r="K139" s="639"/>
      <c r="L139" s="639"/>
      <c r="M139" s="639"/>
      <c r="N139" s="608">
        <v>0.3</v>
      </c>
      <c r="O139" s="639"/>
      <c r="P139" s="639"/>
      <c r="Q139" s="1066"/>
      <c r="R139" s="639"/>
      <c r="S139" s="639"/>
      <c r="T139" s="605">
        <f t="shared" si="15"/>
        <v>0.3</v>
      </c>
      <c r="U139" s="608">
        <f t="shared" si="17"/>
        <v>0.315</v>
      </c>
      <c r="V139" s="1152" t="s">
        <v>629</v>
      </c>
      <c r="W139" s="732"/>
      <c r="X139" s="732"/>
      <c r="Y139" s="732"/>
      <c r="Z139" s="732"/>
      <c r="AA139" s="732"/>
    </row>
    <row r="140" spans="1:27" ht="39.75" customHeight="1">
      <c r="A140" s="712"/>
      <c r="B140" s="712"/>
      <c r="C140" s="712"/>
      <c r="D140" s="537">
        <v>132</v>
      </c>
      <c r="E140" s="537" t="s">
        <v>279</v>
      </c>
      <c r="F140" s="637"/>
      <c r="G140" s="639"/>
      <c r="H140" s="639"/>
      <c r="I140" s="639"/>
      <c r="J140" s="639"/>
      <c r="K140" s="639"/>
      <c r="L140" s="639"/>
      <c r="M140" s="639"/>
      <c r="N140" s="639"/>
      <c r="O140" s="639"/>
      <c r="P140" s="639"/>
      <c r="Q140" s="1066"/>
      <c r="R140" s="639"/>
      <c r="S140" s="639"/>
      <c r="T140" s="605">
        <f t="shared" si="15"/>
        <v>0</v>
      </c>
      <c r="U140" s="608">
        <f t="shared" si="17"/>
        <v>0</v>
      </c>
      <c r="V140" s="618"/>
      <c r="W140" s="732"/>
      <c r="X140" s="732"/>
      <c r="Y140" s="732"/>
      <c r="Z140" s="732"/>
      <c r="AA140" s="732"/>
    </row>
    <row r="141" spans="1:27" ht="39.75" customHeight="1">
      <c r="A141" s="712"/>
      <c r="B141" s="712"/>
      <c r="C141" s="712"/>
      <c r="D141" s="537">
        <v>133</v>
      </c>
      <c r="E141" s="537" t="s">
        <v>280</v>
      </c>
      <c r="F141" s="637"/>
      <c r="G141" s="639"/>
      <c r="H141" s="639"/>
      <c r="I141" s="639"/>
      <c r="J141" s="639"/>
      <c r="K141" s="639"/>
      <c r="L141" s="639"/>
      <c r="M141" s="639"/>
      <c r="N141" s="639"/>
      <c r="O141" s="639"/>
      <c r="P141" s="639"/>
      <c r="Q141" s="1066"/>
      <c r="R141" s="639"/>
      <c r="S141" s="639"/>
      <c r="T141" s="605">
        <f t="shared" si="15"/>
        <v>0</v>
      </c>
      <c r="U141" s="608">
        <f t="shared" si="17"/>
        <v>0</v>
      </c>
      <c r="V141" s="618"/>
      <c r="W141" s="732"/>
      <c r="X141" s="732"/>
      <c r="Y141" s="732"/>
      <c r="Z141" s="732"/>
      <c r="AA141" s="732"/>
    </row>
    <row r="142" spans="1:27" ht="39.75" customHeight="1">
      <c r="A142" s="712"/>
      <c r="B142" s="712"/>
      <c r="C142" s="712"/>
      <c r="D142" s="537">
        <v>134</v>
      </c>
      <c r="E142" s="537" t="s">
        <v>281</v>
      </c>
      <c r="F142" s="637"/>
      <c r="G142" s="639"/>
      <c r="H142" s="639"/>
      <c r="I142" s="639"/>
      <c r="J142" s="639"/>
      <c r="K142" s="639"/>
      <c r="L142" s="639"/>
      <c r="M142" s="639"/>
      <c r="N142" s="639"/>
      <c r="O142" s="639"/>
      <c r="P142" s="1153">
        <f>(10*0.005*12)+(10*0.0025*12)</f>
        <v>0.90000000000000013</v>
      </c>
      <c r="Q142" s="1066"/>
      <c r="R142" s="639"/>
      <c r="S142" s="639"/>
      <c r="T142" s="605">
        <f t="shared" si="15"/>
        <v>0.90000000000000013</v>
      </c>
      <c r="U142" s="538">
        <f>T142</f>
        <v>0.90000000000000013</v>
      </c>
      <c r="V142" s="1065" t="s">
        <v>630</v>
      </c>
      <c r="W142" s="732"/>
      <c r="X142" s="732"/>
      <c r="Y142" s="732"/>
      <c r="Z142" s="732"/>
      <c r="AA142" s="732"/>
    </row>
    <row r="143" spans="1:27" ht="39.75" customHeight="1">
      <c r="A143" s="712"/>
      <c r="B143" s="712"/>
      <c r="C143" s="712"/>
      <c r="D143" s="537">
        <v>135</v>
      </c>
      <c r="E143" s="537" t="s">
        <v>283</v>
      </c>
      <c r="F143" s="637"/>
      <c r="G143" s="639"/>
      <c r="H143" s="639"/>
      <c r="I143" s="639"/>
      <c r="J143" s="639"/>
      <c r="K143" s="639"/>
      <c r="L143" s="639"/>
      <c r="M143" s="639"/>
      <c r="N143" s="639"/>
      <c r="O143" s="639"/>
      <c r="P143" s="639"/>
      <c r="Q143" s="1066"/>
      <c r="R143" s="639"/>
      <c r="S143" s="639"/>
      <c r="T143" s="605">
        <f t="shared" si="15"/>
        <v>0</v>
      </c>
      <c r="U143" s="608">
        <f t="shared" ref="U143:U144" si="18">T143+(T143*5/100)</f>
        <v>0</v>
      </c>
      <c r="V143" s="618"/>
      <c r="W143" s="732"/>
      <c r="X143" s="732"/>
      <c r="Y143" s="732"/>
      <c r="Z143" s="732"/>
      <c r="AA143" s="732"/>
    </row>
    <row r="144" spans="1:27" ht="39.75" customHeight="1">
      <c r="A144" s="712"/>
      <c r="B144" s="707"/>
      <c r="C144" s="707"/>
      <c r="D144" s="537">
        <v>136</v>
      </c>
      <c r="E144" s="537" t="s">
        <v>284</v>
      </c>
      <c r="F144" s="637"/>
      <c r="G144" s="639"/>
      <c r="H144" s="639"/>
      <c r="I144" s="639"/>
      <c r="J144" s="639"/>
      <c r="K144" s="639"/>
      <c r="L144" s="639"/>
      <c r="M144" s="639"/>
      <c r="N144" s="639"/>
      <c r="O144" s="639"/>
      <c r="P144" s="1107"/>
      <c r="Q144" s="1066"/>
      <c r="R144" s="639"/>
      <c r="S144" s="639"/>
      <c r="T144" s="605">
        <f t="shared" si="15"/>
        <v>0</v>
      </c>
      <c r="U144" s="608">
        <f t="shared" si="18"/>
        <v>0</v>
      </c>
      <c r="V144" s="1152"/>
      <c r="W144" s="732"/>
      <c r="X144" s="732"/>
      <c r="Y144" s="732"/>
      <c r="Z144" s="732"/>
      <c r="AA144" s="732"/>
    </row>
    <row r="145" spans="1:27" ht="39.75" customHeight="1">
      <c r="A145" s="712"/>
      <c r="B145" s="692" t="s">
        <v>285</v>
      </c>
      <c r="C145" s="692" t="s">
        <v>286</v>
      </c>
      <c r="D145" s="537">
        <v>137</v>
      </c>
      <c r="E145" s="537" t="s">
        <v>287</v>
      </c>
      <c r="F145" s="637"/>
      <c r="G145" s="607"/>
      <c r="H145" s="639"/>
      <c r="I145" s="639"/>
      <c r="J145" s="639"/>
      <c r="K145" s="639"/>
      <c r="L145" s="639"/>
      <c r="M145" s="1107"/>
      <c r="N145" s="639"/>
      <c r="O145" s="639"/>
      <c r="P145" s="567"/>
      <c r="Q145" s="1066"/>
      <c r="R145" s="639"/>
      <c r="S145" s="639"/>
      <c r="T145" s="605">
        <f t="shared" si="15"/>
        <v>0</v>
      </c>
      <c r="U145" s="538">
        <f>T145</f>
        <v>0</v>
      </c>
      <c r="V145" s="1152"/>
      <c r="W145" s="732"/>
      <c r="X145" s="732"/>
      <c r="Y145" s="732"/>
      <c r="Z145" s="732"/>
      <c r="AA145" s="732"/>
    </row>
    <row r="146" spans="1:27" ht="39.75" customHeight="1">
      <c r="A146" s="712"/>
      <c r="B146" s="707"/>
      <c r="C146" s="707"/>
      <c r="D146" s="537">
        <v>138</v>
      </c>
      <c r="E146" s="537" t="s">
        <v>288</v>
      </c>
      <c r="F146" s="637"/>
      <c r="G146" s="639"/>
      <c r="H146" s="608"/>
      <c r="I146" s="608"/>
      <c r="J146" s="639"/>
      <c r="K146" s="608"/>
      <c r="L146" s="639"/>
      <c r="M146" s="608"/>
      <c r="N146" s="639"/>
      <c r="O146" s="639"/>
      <c r="P146" s="639"/>
      <c r="Q146" s="1066"/>
      <c r="R146" s="639"/>
      <c r="S146" s="639"/>
      <c r="T146" s="605">
        <f t="shared" si="15"/>
        <v>0</v>
      </c>
      <c r="U146" s="608">
        <f>T146+(T146*5/100)</f>
        <v>0</v>
      </c>
      <c r="V146" s="1152"/>
      <c r="W146" s="732"/>
      <c r="X146" s="732"/>
      <c r="Y146" s="732"/>
      <c r="Z146" s="732"/>
      <c r="AA146" s="732"/>
    </row>
    <row r="147" spans="1:27" ht="39.75" customHeight="1">
      <c r="A147" s="712"/>
      <c r="B147" s="692" t="s">
        <v>289</v>
      </c>
      <c r="C147" s="692" t="s">
        <v>290</v>
      </c>
      <c r="D147" s="537">
        <v>139</v>
      </c>
      <c r="E147" s="537" t="s">
        <v>291</v>
      </c>
      <c r="F147" s="637"/>
      <c r="G147" s="639"/>
      <c r="H147" s="639"/>
      <c r="I147" s="639"/>
      <c r="J147" s="639"/>
      <c r="K147" s="639"/>
      <c r="L147" s="639"/>
      <c r="M147" s="639"/>
      <c r="N147" s="1107"/>
      <c r="O147" s="639"/>
      <c r="P147" s="567">
        <v>2</v>
      </c>
      <c r="Q147" s="542"/>
      <c r="R147" s="567"/>
      <c r="S147" s="542"/>
      <c r="T147" s="605">
        <f t="shared" si="15"/>
        <v>2</v>
      </c>
      <c r="U147" s="544">
        <f t="shared" ref="U147:U148" si="19">T147</f>
        <v>2</v>
      </c>
      <c r="V147" s="1152" t="s">
        <v>436</v>
      </c>
      <c r="W147" s="732"/>
      <c r="X147" s="732"/>
      <c r="Y147" s="732"/>
      <c r="Z147" s="732"/>
      <c r="AA147" s="732"/>
    </row>
    <row r="148" spans="1:27" ht="58.15" customHeight="1">
      <c r="A148" s="712"/>
      <c r="B148" s="712"/>
      <c r="C148" s="712"/>
      <c r="D148" s="537">
        <v>140</v>
      </c>
      <c r="E148" s="537" t="s">
        <v>293</v>
      </c>
      <c r="F148" s="637"/>
      <c r="G148" s="639"/>
      <c r="H148" s="639"/>
      <c r="I148" s="639"/>
      <c r="J148" s="639"/>
      <c r="K148" s="639"/>
      <c r="L148" s="639"/>
      <c r="M148" s="639"/>
      <c r="N148" s="639"/>
      <c r="O148" s="639"/>
      <c r="P148" s="567">
        <f>2+( 2* 0.235)</f>
        <v>2.4699999999999998</v>
      </c>
      <c r="Q148" s="542"/>
      <c r="R148" s="542"/>
      <c r="S148" s="542"/>
      <c r="T148" s="605">
        <f t="shared" si="15"/>
        <v>2.4699999999999998</v>
      </c>
      <c r="U148" s="544">
        <f t="shared" si="19"/>
        <v>2.4699999999999998</v>
      </c>
      <c r="V148" s="1152" t="s">
        <v>294</v>
      </c>
      <c r="W148" s="732"/>
      <c r="X148" s="732"/>
      <c r="Y148" s="732"/>
      <c r="Z148" s="732"/>
      <c r="AA148" s="732"/>
    </row>
    <row r="149" spans="1:27" ht="39.75" customHeight="1">
      <c r="A149" s="712"/>
      <c r="B149" s="707"/>
      <c r="C149" s="707"/>
      <c r="D149" s="537">
        <v>141</v>
      </c>
      <c r="E149" s="537" t="s">
        <v>295</v>
      </c>
      <c r="F149" s="637"/>
      <c r="G149" s="639"/>
      <c r="H149" s="639"/>
      <c r="I149" s="639"/>
      <c r="J149" s="639"/>
      <c r="K149" s="639"/>
      <c r="L149" s="639"/>
      <c r="M149" s="639"/>
      <c r="N149" s="639"/>
      <c r="O149" s="639"/>
      <c r="P149" s="639"/>
      <c r="Q149" s="1066"/>
      <c r="R149" s="639"/>
      <c r="S149" s="639"/>
      <c r="T149" s="605">
        <f t="shared" si="15"/>
        <v>0</v>
      </c>
      <c r="U149" s="608">
        <f>T149+(T149*5/100)</f>
        <v>0</v>
      </c>
      <c r="V149" s="618"/>
      <c r="W149" s="732"/>
      <c r="X149" s="732"/>
      <c r="Y149" s="732"/>
      <c r="Z149" s="732"/>
      <c r="AA149" s="732"/>
    </row>
    <row r="150" spans="1:27" ht="39.75" customHeight="1">
      <c r="A150" s="712"/>
      <c r="B150" s="692" t="s">
        <v>296</v>
      </c>
      <c r="C150" s="692" t="s">
        <v>297</v>
      </c>
      <c r="D150" s="537">
        <v>142</v>
      </c>
      <c r="E150" s="537" t="s">
        <v>298</v>
      </c>
      <c r="F150" s="637"/>
      <c r="G150" s="639"/>
      <c r="H150" s="639"/>
      <c r="I150" s="639"/>
      <c r="J150" s="639"/>
      <c r="K150" s="639"/>
      <c r="L150" s="639"/>
      <c r="M150" s="639"/>
      <c r="N150" s="639"/>
      <c r="O150" s="639"/>
      <c r="P150" s="783">
        <v>345.78969000000006</v>
      </c>
      <c r="Q150" s="1066"/>
      <c r="R150" s="607"/>
      <c r="S150" s="639"/>
      <c r="T150" s="605">
        <f t="shared" si="15"/>
        <v>345.78969000000006</v>
      </c>
      <c r="U150" s="887">
        <v>368.16228294300004</v>
      </c>
      <c r="V150" s="1206" t="s">
        <v>1732</v>
      </c>
      <c r="W150" s="732"/>
      <c r="X150" s="732"/>
      <c r="Y150" s="732"/>
      <c r="Z150" s="732"/>
      <c r="AA150" s="732"/>
    </row>
    <row r="151" spans="1:27" ht="39.75" customHeight="1">
      <c r="A151" s="712"/>
      <c r="B151" s="712"/>
      <c r="C151" s="712"/>
      <c r="D151" s="537">
        <v>143</v>
      </c>
      <c r="E151" s="537" t="s">
        <v>299</v>
      </c>
      <c r="F151" s="637"/>
      <c r="G151" s="639"/>
      <c r="H151" s="639"/>
      <c r="I151" s="639"/>
      <c r="J151" s="639"/>
      <c r="K151" s="639"/>
      <c r="L151" s="639"/>
      <c r="M151" s="639"/>
      <c r="N151" s="639"/>
      <c r="O151" s="639"/>
      <c r="P151" s="639"/>
      <c r="Q151" s="1066"/>
      <c r="R151" s="607"/>
      <c r="S151" s="639"/>
      <c r="T151" s="605">
        <f t="shared" si="15"/>
        <v>0</v>
      </c>
      <c r="U151" s="608">
        <f t="shared" ref="U151:U153" si="20">T151+(T151*5/100)</f>
        <v>0</v>
      </c>
      <c r="V151" s="618"/>
      <c r="W151" s="732"/>
      <c r="X151" s="732"/>
      <c r="Y151" s="732"/>
      <c r="Z151" s="732"/>
      <c r="AA151" s="732"/>
    </row>
    <row r="152" spans="1:27" ht="39.75" customHeight="1">
      <c r="A152" s="712"/>
      <c r="B152" s="712"/>
      <c r="C152" s="712"/>
      <c r="D152" s="537">
        <v>144</v>
      </c>
      <c r="E152" s="537" t="s">
        <v>300</v>
      </c>
      <c r="F152" s="637"/>
      <c r="G152" s="639"/>
      <c r="H152" s="639"/>
      <c r="I152" s="639"/>
      <c r="J152" s="639"/>
      <c r="K152" s="639"/>
      <c r="L152" s="639"/>
      <c r="M152" s="639"/>
      <c r="N152" s="639"/>
      <c r="O152" s="639"/>
      <c r="P152" s="639"/>
      <c r="Q152" s="1066"/>
      <c r="R152" s="639"/>
      <c r="S152" s="639"/>
      <c r="T152" s="605">
        <f t="shared" si="15"/>
        <v>0</v>
      </c>
      <c r="U152" s="608">
        <f t="shared" si="20"/>
        <v>0</v>
      </c>
      <c r="V152" s="618"/>
      <c r="W152" s="732"/>
      <c r="X152" s="732"/>
      <c r="Y152" s="732"/>
      <c r="Z152" s="732"/>
      <c r="AA152" s="732"/>
    </row>
    <row r="153" spans="1:27" ht="39.75" customHeight="1">
      <c r="A153" s="712"/>
      <c r="B153" s="707"/>
      <c r="C153" s="707"/>
      <c r="D153" s="537">
        <v>145</v>
      </c>
      <c r="E153" s="537" t="s">
        <v>301</v>
      </c>
      <c r="F153" s="637"/>
      <c r="G153" s="639"/>
      <c r="H153" s="639"/>
      <c r="I153" s="639"/>
      <c r="J153" s="639"/>
      <c r="K153" s="639"/>
      <c r="L153" s="639"/>
      <c r="M153" s="639"/>
      <c r="N153" s="639"/>
      <c r="O153" s="639"/>
      <c r="P153" s="639"/>
      <c r="Q153" s="1066"/>
      <c r="R153" s="639"/>
      <c r="S153" s="639"/>
      <c r="T153" s="605">
        <f t="shared" si="15"/>
        <v>0</v>
      </c>
      <c r="U153" s="608">
        <f t="shared" si="20"/>
        <v>0</v>
      </c>
      <c r="V153" s="618"/>
      <c r="W153" s="732"/>
      <c r="X153" s="732"/>
      <c r="Y153" s="732"/>
      <c r="Z153" s="732"/>
      <c r="AA153" s="732"/>
    </row>
    <row r="154" spans="1:27" ht="105">
      <c r="A154" s="712"/>
      <c r="B154" s="537" t="s">
        <v>302</v>
      </c>
      <c r="C154" s="537" t="s">
        <v>303</v>
      </c>
      <c r="D154" s="537">
        <v>146</v>
      </c>
      <c r="E154" s="537" t="s">
        <v>304</v>
      </c>
      <c r="F154" s="637"/>
      <c r="G154" s="639"/>
      <c r="H154" s="639"/>
      <c r="I154" s="639"/>
      <c r="J154" s="639"/>
      <c r="K154" s="639"/>
      <c r="L154" s="639"/>
      <c r="M154" s="639"/>
      <c r="N154" s="639"/>
      <c r="O154" s="639"/>
      <c r="P154" s="639"/>
      <c r="Q154" s="1066"/>
      <c r="R154" s="567">
        <f>(0.4*12)+(12*0.1)</f>
        <v>6.0000000000000009</v>
      </c>
      <c r="S154" s="542"/>
      <c r="T154" s="605">
        <f t="shared" si="15"/>
        <v>6.0000000000000009</v>
      </c>
      <c r="U154" s="567">
        <f>T154</f>
        <v>6.0000000000000009</v>
      </c>
      <c r="V154" s="1152" t="s">
        <v>571</v>
      </c>
      <c r="W154" s="732"/>
      <c r="X154" s="732"/>
      <c r="Y154" s="732"/>
      <c r="Z154" s="732"/>
      <c r="AA154" s="732"/>
    </row>
    <row r="155" spans="1:27" ht="39.75" customHeight="1">
      <c r="A155" s="712"/>
      <c r="B155" s="537" t="s">
        <v>306</v>
      </c>
      <c r="C155" s="537" t="s">
        <v>307</v>
      </c>
      <c r="D155" s="537">
        <v>147</v>
      </c>
      <c r="E155" s="537" t="s">
        <v>157</v>
      </c>
      <c r="F155" s="637"/>
      <c r="G155" s="639"/>
      <c r="H155" s="639"/>
      <c r="I155" s="639"/>
      <c r="J155" s="639"/>
      <c r="K155" s="639"/>
      <c r="L155" s="639"/>
      <c r="M155" s="639"/>
      <c r="N155" s="639"/>
      <c r="O155" s="639"/>
      <c r="P155" s="639"/>
      <c r="Q155" s="1066"/>
      <c r="R155" s="639"/>
      <c r="S155" s="639"/>
      <c r="T155" s="605">
        <f t="shared" si="15"/>
        <v>0</v>
      </c>
      <c r="U155" s="608">
        <f t="shared" ref="U155:U156" si="21">T155+(T155*5/100)</f>
        <v>0</v>
      </c>
      <c r="V155" s="618"/>
      <c r="W155" s="732"/>
      <c r="X155" s="732"/>
      <c r="Y155" s="732"/>
      <c r="Z155" s="732"/>
      <c r="AA155" s="732"/>
    </row>
    <row r="156" spans="1:27" ht="39.75" customHeight="1">
      <c r="A156" s="712"/>
      <c r="B156" s="537" t="s">
        <v>308</v>
      </c>
      <c r="C156" s="537" t="s">
        <v>309</v>
      </c>
      <c r="D156" s="537">
        <v>148</v>
      </c>
      <c r="E156" s="537" t="s">
        <v>310</v>
      </c>
      <c r="F156" s="637"/>
      <c r="G156" s="639"/>
      <c r="H156" s="639"/>
      <c r="I156" s="639"/>
      <c r="J156" s="639"/>
      <c r="K156" s="639"/>
      <c r="L156" s="639"/>
      <c r="M156" s="639"/>
      <c r="N156" s="1107"/>
      <c r="O156" s="639"/>
      <c r="P156" s="1107"/>
      <c r="Q156" s="1066"/>
      <c r="R156" s="639"/>
      <c r="S156" s="639"/>
      <c r="T156" s="605">
        <f t="shared" si="15"/>
        <v>0</v>
      </c>
      <c r="U156" s="608">
        <f t="shared" si="21"/>
        <v>0</v>
      </c>
      <c r="V156" s="1152"/>
      <c r="W156" s="732"/>
      <c r="X156" s="732"/>
      <c r="Y156" s="732"/>
      <c r="Z156" s="732"/>
      <c r="AA156" s="732"/>
    </row>
    <row r="157" spans="1:27" ht="39.75" customHeight="1">
      <c r="A157" s="712"/>
      <c r="B157" s="537" t="s">
        <v>311</v>
      </c>
      <c r="C157" s="537" t="s">
        <v>312</v>
      </c>
      <c r="D157" s="537">
        <v>149</v>
      </c>
      <c r="E157" s="537" t="s">
        <v>313</v>
      </c>
      <c r="F157" s="637"/>
      <c r="G157" s="639"/>
      <c r="H157" s="639"/>
      <c r="I157" s="639"/>
      <c r="J157" s="639"/>
      <c r="K157" s="639"/>
      <c r="L157" s="639"/>
      <c r="M157" s="639"/>
      <c r="N157" s="639"/>
      <c r="O157" s="639"/>
      <c r="P157" s="608">
        <f>(2*1.75)+(0.05*30)</f>
        <v>5</v>
      </c>
      <c r="Q157" s="1066"/>
      <c r="R157" s="639"/>
      <c r="S157" s="639"/>
      <c r="T157" s="605">
        <f t="shared" si="15"/>
        <v>5</v>
      </c>
      <c r="U157" s="608">
        <f>(2*1.75)+(0.05*32)</f>
        <v>5.0999999999999996</v>
      </c>
      <c r="V157" s="1152" t="s">
        <v>1660</v>
      </c>
      <c r="W157" s="732"/>
      <c r="X157" s="732"/>
      <c r="Y157" s="732"/>
      <c r="Z157" s="732"/>
      <c r="AA157" s="732"/>
    </row>
    <row r="158" spans="1:27" ht="39.75" customHeight="1">
      <c r="A158" s="707"/>
      <c r="B158" s="695" t="s">
        <v>315</v>
      </c>
      <c r="C158" s="709"/>
      <c r="D158" s="710"/>
      <c r="E158" s="570"/>
      <c r="F158" s="570">
        <f t="shared" ref="F158:S158" si="22">SUM(F135:F157)</f>
        <v>0</v>
      </c>
      <c r="G158" s="570">
        <f t="shared" si="22"/>
        <v>0</v>
      </c>
      <c r="H158" s="570">
        <f t="shared" si="22"/>
        <v>0</v>
      </c>
      <c r="I158" s="570">
        <f t="shared" si="22"/>
        <v>0</v>
      </c>
      <c r="J158" s="570">
        <f t="shared" si="22"/>
        <v>0</v>
      </c>
      <c r="K158" s="570">
        <f t="shared" si="22"/>
        <v>0</v>
      </c>
      <c r="L158" s="570">
        <f t="shared" si="22"/>
        <v>0</v>
      </c>
      <c r="M158" s="570">
        <f t="shared" si="22"/>
        <v>0</v>
      </c>
      <c r="N158" s="570">
        <f t="shared" si="22"/>
        <v>0.3</v>
      </c>
      <c r="O158" s="570">
        <f t="shared" si="22"/>
        <v>0</v>
      </c>
      <c r="P158" s="570">
        <f t="shared" si="22"/>
        <v>356.15969000000007</v>
      </c>
      <c r="Q158" s="570">
        <f t="shared" si="22"/>
        <v>1.5</v>
      </c>
      <c r="R158" s="570">
        <f t="shared" si="22"/>
        <v>6.0000000000000009</v>
      </c>
      <c r="S158" s="570">
        <f t="shared" si="22"/>
        <v>0</v>
      </c>
      <c r="T158" s="605">
        <f t="shared" si="15"/>
        <v>363.95969000000008</v>
      </c>
      <c r="U158" s="595">
        <f t="shared" ref="U158:V158" si="23">SUM(U135:U157)</f>
        <v>386.44728294300006</v>
      </c>
      <c r="V158" s="570">
        <f t="shared" si="23"/>
        <v>0</v>
      </c>
      <c r="W158" s="622"/>
      <c r="X158" s="622"/>
      <c r="Y158" s="622"/>
      <c r="Z158" s="622"/>
      <c r="AA158" s="622"/>
    </row>
    <row r="159" spans="1:27" ht="165">
      <c r="A159" s="694" t="s">
        <v>316</v>
      </c>
      <c r="B159" s="692" t="s">
        <v>317</v>
      </c>
      <c r="C159" s="692" t="s">
        <v>269</v>
      </c>
      <c r="D159" s="537">
        <v>150</v>
      </c>
      <c r="E159" s="537" t="s">
        <v>318</v>
      </c>
      <c r="F159" s="623"/>
      <c r="G159" s="624"/>
      <c r="H159" s="624"/>
      <c r="I159" s="587"/>
      <c r="J159" s="587"/>
      <c r="K159" s="587"/>
      <c r="L159" s="587"/>
      <c r="M159" s="587"/>
      <c r="N159" s="625">
        <v>9.8000000000000007</v>
      </c>
      <c r="O159" s="587">
        <v>125.04</v>
      </c>
      <c r="P159" s="624"/>
      <c r="Q159" s="587">
        <v>1</v>
      </c>
      <c r="R159" s="587"/>
      <c r="S159" s="587"/>
      <c r="T159" s="605">
        <f t="shared" si="15"/>
        <v>135.84</v>
      </c>
      <c r="U159" s="605">
        <f t="shared" ref="U159:U160" si="24">T159</f>
        <v>135.84</v>
      </c>
      <c r="V159" s="1154" t="s">
        <v>1811</v>
      </c>
      <c r="W159" s="732"/>
      <c r="X159" s="732"/>
      <c r="Y159" s="732"/>
      <c r="Z159" s="732"/>
      <c r="AA159" s="732"/>
    </row>
    <row r="160" spans="1:27" ht="93.75" customHeight="1">
      <c r="A160" s="712"/>
      <c r="B160" s="712"/>
      <c r="C160" s="712"/>
      <c r="D160" s="537">
        <v>151</v>
      </c>
      <c r="E160" s="537" t="s">
        <v>319</v>
      </c>
      <c r="F160" s="626"/>
      <c r="G160" s="543"/>
      <c r="H160" s="543"/>
      <c r="I160" s="567"/>
      <c r="J160" s="542"/>
      <c r="K160" s="542"/>
      <c r="L160" s="542"/>
      <c r="M160" s="542"/>
      <c r="N160" s="567"/>
      <c r="O160" s="543"/>
      <c r="P160" s="543">
        <v>10.5</v>
      </c>
      <c r="Q160" s="567"/>
      <c r="R160" s="543">
        <v>2</v>
      </c>
      <c r="S160" s="542"/>
      <c r="T160" s="605">
        <f t="shared" si="15"/>
        <v>12.5</v>
      </c>
      <c r="U160" s="608">
        <f t="shared" si="24"/>
        <v>12.5</v>
      </c>
      <c r="V160" s="1065" t="s">
        <v>678</v>
      </c>
      <c r="W160" s="732"/>
      <c r="X160" s="732"/>
      <c r="Y160" s="732"/>
      <c r="Z160" s="732"/>
      <c r="AA160" s="732"/>
    </row>
    <row r="161" spans="1:27" ht="39.75" customHeight="1">
      <c r="A161" s="712"/>
      <c r="B161" s="712"/>
      <c r="C161" s="712"/>
      <c r="D161" s="537">
        <v>152</v>
      </c>
      <c r="E161" s="537" t="s">
        <v>321</v>
      </c>
      <c r="F161" s="626"/>
      <c r="G161" s="542"/>
      <c r="H161" s="542"/>
      <c r="I161" s="542"/>
      <c r="J161" s="542"/>
      <c r="K161" s="542"/>
      <c r="L161" s="542"/>
      <c r="M161" s="542"/>
      <c r="N161" s="542"/>
      <c r="O161" s="542"/>
      <c r="P161" s="543"/>
      <c r="Q161" s="542"/>
      <c r="R161" s="542"/>
      <c r="S161" s="542"/>
      <c r="T161" s="605">
        <f t="shared" si="15"/>
        <v>0</v>
      </c>
      <c r="U161" s="608">
        <f t="shared" ref="U161:U162" si="25">T161+(T161*5/100)</f>
        <v>0</v>
      </c>
      <c r="V161" s="1065"/>
      <c r="W161" s="732"/>
      <c r="X161" s="732"/>
      <c r="Y161" s="732"/>
      <c r="Z161" s="732"/>
      <c r="AA161" s="732"/>
    </row>
    <row r="162" spans="1:27" ht="39.75" customHeight="1">
      <c r="A162" s="712"/>
      <c r="B162" s="712"/>
      <c r="C162" s="712"/>
      <c r="D162" s="537">
        <v>153</v>
      </c>
      <c r="E162" s="537" t="s">
        <v>322</v>
      </c>
      <c r="F162" s="1155"/>
      <c r="G162" s="1156"/>
      <c r="H162" s="1156"/>
      <c r="I162" s="1156"/>
      <c r="J162" s="1156"/>
      <c r="K162" s="1156"/>
      <c r="L162" s="1156"/>
      <c r="M162" s="1156"/>
      <c r="N162" s="567"/>
      <c r="O162" s="1156"/>
      <c r="P162" s="1156"/>
      <c r="Q162" s="1156"/>
      <c r="R162" s="1156"/>
      <c r="S162" s="1156"/>
      <c r="T162" s="605">
        <f t="shared" si="15"/>
        <v>0</v>
      </c>
      <c r="U162" s="608">
        <f t="shared" si="25"/>
        <v>0</v>
      </c>
      <c r="V162" s="1065"/>
      <c r="W162" s="732"/>
      <c r="X162" s="732"/>
      <c r="Y162" s="732"/>
      <c r="Z162" s="732"/>
      <c r="AA162" s="732"/>
    </row>
    <row r="163" spans="1:27" ht="45">
      <c r="A163" s="712"/>
      <c r="B163" s="692" t="s">
        <v>324</v>
      </c>
      <c r="C163" s="692" t="s">
        <v>325</v>
      </c>
      <c r="D163" s="537">
        <v>154</v>
      </c>
      <c r="E163" s="537" t="s">
        <v>326</v>
      </c>
      <c r="F163" s="637"/>
      <c r="G163" s="639"/>
      <c r="H163" s="639"/>
      <c r="I163" s="639"/>
      <c r="J163" s="639"/>
      <c r="K163" s="608"/>
      <c r="L163" s="639"/>
      <c r="M163" s="608"/>
      <c r="N163" s="639"/>
      <c r="O163" s="639"/>
      <c r="P163" s="639"/>
      <c r="Q163" s="1093">
        <v>0.1</v>
      </c>
      <c r="R163" s="639"/>
      <c r="S163" s="639"/>
      <c r="T163" s="605">
        <f t="shared" si="15"/>
        <v>0.1</v>
      </c>
      <c r="U163" s="608">
        <f>T163</f>
        <v>0.1</v>
      </c>
      <c r="V163" s="1065" t="s">
        <v>679</v>
      </c>
      <c r="W163" s="732"/>
      <c r="X163" s="732"/>
      <c r="Y163" s="732"/>
      <c r="Z163" s="732"/>
      <c r="AA163" s="732"/>
    </row>
    <row r="164" spans="1:27" ht="39.75" customHeight="1">
      <c r="A164" s="712"/>
      <c r="B164" s="712"/>
      <c r="C164" s="712"/>
      <c r="D164" s="537">
        <v>155</v>
      </c>
      <c r="E164" s="537" t="s">
        <v>328</v>
      </c>
      <c r="F164" s="637"/>
      <c r="G164" s="639"/>
      <c r="H164" s="639"/>
      <c r="I164" s="639"/>
      <c r="J164" s="639"/>
      <c r="K164" s="639"/>
      <c r="L164" s="639"/>
      <c r="M164" s="639"/>
      <c r="N164" s="542"/>
      <c r="O164" s="639"/>
      <c r="P164" s="1105"/>
      <c r="Q164" s="1066"/>
      <c r="R164" s="639"/>
      <c r="S164" s="639"/>
      <c r="T164" s="605">
        <f t="shared" si="15"/>
        <v>0</v>
      </c>
      <c r="U164" s="608">
        <f>T164+(T164*5/100)</f>
        <v>0</v>
      </c>
      <c r="V164" s="1065"/>
      <c r="W164" s="732"/>
      <c r="X164" s="732"/>
      <c r="Y164" s="732"/>
      <c r="Z164" s="732"/>
      <c r="AA164" s="732"/>
    </row>
    <row r="165" spans="1:27" ht="39.75" customHeight="1">
      <c r="A165" s="712"/>
      <c r="B165" s="712"/>
      <c r="C165" s="712"/>
      <c r="D165" s="537">
        <v>156</v>
      </c>
      <c r="E165" s="537" t="s">
        <v>329</v>
      </c>
      <c r="F165" s="637"/>
      <c r="G165" s="639"/>
      <c r="H165" s="1105"/>
      <c r="I165" s="608"/>
      <c r="J165" s="639"/>
      <c r="K165" s="639"/>
      <c r="L165" s="639"/>
      <c r="M165" s="639"/>
      <c r="N165" s="639"/>
      <c r="O165" s="639"/>
      <c r="P165" s="609">
        <v>1</v>
      </c>
      <c r="Q165" s="1066"/>
      <c r="R165" s="639"/>
      <c r="S165" s="639"/>
      <c r="T165" s="605">
        <f t="shared" si="15"/>
        <v>1</v>
      </c>
      <c r="U165" s="608">
        <f>T165</f>
        <v>1</v>
      </c>
      <c r="V165" s="1065" t="s">
        <v>680</v>
      </c>
      <c r="W165" s="732"/>
      <c r="X165" s="732"/>
      <c r="Y165" s="732"/>
      <c r="Z165" s="732"/>
      <c r="AA165" s="732"/>
    </row>
    <row r="166" spans="1:27" ht="39.75" customHeight="1">
      <c r="A166" s="712"/>
      <c r="B166" s="712"/>
      <c r="C166" s="712"/>
      <c r="D166" s="537">
        <v>157</v>
      </c>
      <c r="E166" s="537" t="s">
        <v>331</v>
      </c>
      <c r="F166" s="637"/>
      <c r="G166" s="639"/>
      <c r="H166" s="639"/>
      <c r="I166" s="639"/>
      <c r="J166" s="639"/>
      <c r="K166" s="639"/>
      <c r="L166" s="639"/>
      <c r="M166" s="639"/>
      <c r="N166" s="639"/>
      <c r="O166" s="639"/>
      <c r="P166" s="639"/>
      <c r="Q166" s="1066"/>
      <c r="R166" s="639"/>
      <c r="S166" s="639"/>
      <c r="T166" s="605">
        <f t="shared" si="15"/>
        <v>0</v>
      </c>
      <c r="U166" s="608">
        <f t="shared" ref="U166:U167" si="26">T166+(T166*5/100)</f>
        <v>0</v>
      </c>
      <c r="V166" s="1065"/>
      <c r="W166" s="732"/>
      <c r="X166" s="732"/>
      <c r="Y166" s="732"/>
      <c r="Z166" s="732"/>
      <c r="AA166" s="732"/>
    </row>
    <row r="167" spans="1:27" ht="39.75" customHeight="1">
      <c r="A167" s="712"/>
      <c r="B167" s="707"/>
      <c r="C167" s="707"/>
      <c r="D167" s="537">
        <v>158</v>
      </c>
      <c r="E167" s="537" t="s">
        <v>332</v>
      </c>
      <c r="F167" s="637"/>
      <c r="G167" s="639"/>
      <c r="H167" s="639"/>
      <c r="I167" s="639"/>
      <c r="J167" s="639"/>
      <c r="K167" s="639"/>
      <c r="L167" s="639"/>
      <c r="M167" s="639"/>
      <c r="N167" s="639"/>
      <c r="O167" s="639"/>
      <c r="P167" s="639"/>
      <c r="Q167" s="608"/>
      <c r="R167" s="639"/>
      <c r="S167" s="639"/>
      <c r="T167" s="605">
        <f t="shared" si="15"/>
        <v>0</v>
      </c>
      <c r="U167" s="608">
        <f t="shared" si="26"/>
        <v>0</v>
      </c>
      <c r="V167" s="1065"/>
      <c r="W167" s="732"/>
      <c r="X167" s="732"/>
      <c r="Y167" s="732"/>
      <c r="Z167" s="732"/>
      <c r="AA167" s="732"/>
    </row>
    <row r="168" spans="1:27" ht="330">
      <c r="A168" s="712"/>
      <c r="B168" s="692" t="s">
        <v>333</v>
      </c>
      <c r="C168" s="692" t="s">
        <v>275</v>
      </c>
      <c r="D168" s="537">
        <v>159</v>
      </c>
      <c r="E168" s="537" t="s">
        <v>276</v>
      </c>
      <c r="F168" s="637"/>
      <c r="G168" s="639"/>
      <c r="H168" s="639"/>
      <c r="I168" s="639"/>
      <c r="J168" s="639"/>
      <c r="K168" s="608"/>
      <c r="L168" s="639"/>
      <c r="M168" s="639"/>
      <c r="N168" s="609">
        <v>18.89</v>
      </c>
      <c r="O168" s="609">
        <v>269.93</v>
      </c>
      <c r="P168" s="609">
        <v>26.09</v>
      </c>
      <c r="Q168" s="1085">
        <v>3.0419999999999998</v>
      </c>
      <c r="R168" s="639"/>
      <c r="S168" s="639"/>
      <c r="T168" s="605">
        <f t="shared" si="15"/>
        <v>317.95199999999994</v>
      </c>
      <c r="U168" s="544">
        <f>T168+2</f>
        <v>319.95199999999994</v>
      </c>
      <c r="V168" s="1065" t="s">
        <v>1812</v>
      </c>
      <c r="W168" s="732"/>
      <c r="X168" s="732"/>
      <c r="Y168" s="732"/>
      <c r="Z168" s="732"/>
      <c r="AA168" s="732"/>
    </row>
    <row r="169" spans="1:27" ht="39.75" customHeight="1">
      <c r="A169" s="712"/>
      <c r="B169" s="712"/>
      <c r="C169" s="712"/>
      <c r="D169" s="537">
        <v>160</v>
      </c>
      <c r="E169" s="537" t="s">
        <v>334</v>
      </c>
      <c r="F169" s="637"/>
      <c r="G169" s="639"/>
      <c r="H169" s="639"/>
      <c r="I169" s="639"/>
      <c r="J169" s="639"/>
      <c r="K169" s="639"/>
      <c r="L169" s="639"/>
      <c r="M169" s="639"/>
      <c r="N169" s="639"/>
      <c r="O169" s="639"/>
      <c r="P169" s="639"/>
      <c r="Q169" s="1066"/>
      <c r="R169" s="639"/>
      <c r="S169" s="639"/>
      <c r="T169" s="605">
        <f t="shared" si="15"/>
        <v>0</v>
      </c>
      <c r="U169" s="608">
        <f t="shared" ref="U169:U171" si="27">T169+(T169*5/100)</f>
        <v>0</v>
      </c>
      <c r="V169" s="1065"/>
      <c r="W169" s="732"/>
      <c r="X169" s="732"/>
      <c r="Y169" s="732"/>
      <c r="Z169" s="732"/>
      <c r="AA169" s="732"/>
    </row>
    <row r="170" spans="1:27" ht="39.75" customHeight="1">
      <c r="A170" s="712"/>
      <c r="B170" s="712"/>
      <c r="C170" s="712"/>
      <c r="D170" s="537">
        <v>161</v>
      </c>
      <c r="E170" s="537" t="s">
        <v>279</v>
      </c>
      <c r="F170" s="637"/>
      <c r="G170" s="639"/>
      <c r="H170" s="639"/>
      <c r="I170" s="639"/>
      <c r="J170" s="639"/>
      <c r="K170" s="639"/>
      <c r="L170" s="639"/>
      <c r="M170" s="639"/>
      <c r="N170" s="639"/>
      <c r="O170" s="639"/>
      <c r="P170" s="639"/>
      <c r="Q170" s="1066"/>
      <c r="R170" s="639"/>
      <c r="S170" s="639"/>
      <c r="T170" s="605">
        <f t="shared" si="15"/>
        <v>0</v>
      </c>
      <c r="U170" s="608">
        <f t="shared" si="27"/>
        <v>0</v>
      </c>
      <c r="V170" s="1065"/>
      <c r="W170" s="732"/>
      <c r="X170" s="732"/>
      <c r="Y170" s="732"/>
      <c r="Z170" s="732"/>
      <c r="AA170" s="732"/>
    </row>
    <row r="171" spans="1:27" ht="39.75" customHeight="1">
      <c r="A171" s="712"/>
      <c r="B171" s="712"/>
      <c r="C171" s="712"/>
      <c r="D171" s="537">
        <v>162</v>
      </c>
      <c r="E171" s="537" t="s">
        <v>280</v>
      </c>
      <c r="F171" s="637"/>
      <c r="G171" s="639"/>
      <c r="H171" s="639"/>
      <c r="I171" s="639"/>
      <c r="J171" s="639"/>
      <c r="K171" s="639"/>
      <c r="L171" s="639"/>
      <c r="M171" s="639"/>
      <c r="N171" s="639"/>
      <c r="O171" s="1105"/>
      <c r="P171" s="639"/>
      <c r="Q171" s="1066"/>
      <c r="R171" s="639"/>
      <c r="S171" s="639"/>
      <c r="T171" s="605">
        <f t="shared" si="15"/>
        <v>0</v>
      </c>
      <c r="U171" s="608">
        <f t="shared" si="27"/>
        <v>0</v>
      </c>
      <c r="V171" s="1065"/>
      <c r="W171" s="732"/>
      <c r="X171" s="732"/>
      <c r="Y171" s="732"/>
      <c r="Z171" s="732"/>
      <c r="AA171" s="732"/>
    </row>
    <row r="172" spans="1:27" ht="103.15" customHeight="1">
      <c r="A172" s="712"/>
      <c r="B172" s="707"/>
      <c r="C172" s="707"/>
      <c r="D172" s="537">
        <v>163</v>
      </c>
      <c r="E172" s="537" t="s">
        <v>335</v>
      </c>
      <c r="F172" s="637"/>
      <c r="G172" s="639"/>
      <c r="H172" s="639"/>
      <c r="I172" s="639"/>
      <c r="J172" s="639"/>
      <c r="K172" s="639"/>
      <c r="L172" s="639"/>
      <c r="M172" s="639"/>
      <c r="N172" s="639"/>
      <c r="O172" s="1108">
        <v>6.11</v>
      </c>
      <c r="P172" s="1108"/>
      <c r="Q172" s="608">
        <v>2.5</v>
      </c>
      <c r="R172" s="639"/>
      <c r="S172" s="639"/>
      <c r="T172" s="605">
        <f t="shared" si="15"/>
        <v>8.61</v>
      </c>
      <c r="U172" s="608">
        <f>6.2+2.5</f>
        <v>8.6999999999999993</v>
      </c>
      <c r="V172" s="1065" t="s">
        <v>1813</v>
      </c>
      <c r="W172" s="732"/>
      <c r="X172" s="732"/>
      <c r="Y172" s="732"/>
      <c r="Z172" s="732"/>
      <c r="AA172" s="732"/>
    </row>
    <row r="173" spans="1:27" ht="39.75" customHeight="1">
      <c r="A173" s="712"/>
      <c r="B173" s="692" t="s">
        <v>336</v>
      </c>
      <c r="C173" s="692" t="s">
        <v>337</v>
      </c>
      <c r="D173" s="537">
        <v>164</v>
      </c>
      <c r="E173" s="537" t="s">
        <v>338</v>
      </c>
      <c r="F173" s="637"/>
      <c r="G173" s="1105"/>
      <c r="H173" s="1105"/>
      <c r="I173" s="639"/>
      <c r="J173" s="639"/>
      <c r="K173" s="639"/>
      <c r="L173" s="639"/>
      <c r="M173" s="639"/>
      <c r="N173" s="639"/>
      <c r="O173" s="639"/>
      <c r="P173" s="639"/>
      <c r="Q173" s="1066"/>
      <c r="R173" s="639"/>
      <c r="S173" s="639"/>
      <c r="T173" s="605">
        <f t="shared" si="15"/>
        <v>0</v>
      </c>
      <c r="U173" s="608">
        <f t="shared" ref="U173:U183" si="28">T173+(T173*5/100)</f>
        <v>0</v>
      </c>
      <c r="V173" s="1065"/>
      <c r="W173" s="732"/>
      <c r="X173" s="732"/>
      <c r="Y173" s="732"/>
      <c r="Z173" s="732"/>
      <c r="AA173" s="732"/>
    </row>
    <row r="174" spans="1:27" ht="39.75" customHeight="1">
      <c r="A174" s="712"/>
      <c r="B174" s="712"/>
      <c r="C174" s="712"/>
      <c r="D174" s="537">
        <v>165</v>
      </c>
      <c r="E174" s="537" t="s">
        <v>339</v>
      </c>
      <c r="F174" s="637"/>
      <c r="G174" s="1105"/>
      <c r="H174" s="1105"/>
      <c r="I174" s="639"/>
      <c r="J174" s="639"/>
      <c r="K174" s="639"/>
      <c r="L174" s="639"/>
      <c r="M174" s="639"/>
      <c r="N174" s="639"/>
      <c r="O174" s="639"/>
      <c r="P174" s="639"/>
      <c r="Q174" s="1066"/>
      <c r="R174" s="639"/>
      <c r="S174" s="639"/>
      <c r="T174" s="605">
        <f t="shared" si="15"/>
        <v>0</v>
      </c>
      <c r="U174" s="608">
        <f t="shared" si="28"/>
        <v>0</v>
      </c>
      <c r="V174" s="1065"/>
      <c r="W174" s="732"/>
      <c r="X174" s="732"/>
      <c r="Y174" s="732"/>
      <c r="Z174" s="732"/>
      <c r="AA174" s="732"/>
    </row>
    <row r="175" spans="1:27" ht="39.75" customHeight="1">
      <c r="A175" s="712"/>
      <c r="B175" s="712"/>
      <c r="C175" s="712"/>
      <c r="D175" s="537">
        <v>166</v>
      </c>
      <c r="E175" s="537" t="s">
        <v>340</v>
      </c>
      <c r="F175" s="637"/>
      <c r="G175" s="1105"/>
      <c r="H175" s="1105"/>
      <c r="I175" s="639"/>
      <c r="J175" s="639"/>
      <c r="K175" s="639"/>
      <c r="L175" s="639"/>
      <c r="M175" s="639"/>
      <c r="N175" s="639"/>
      <c r="O175" s="639"/>
      <c r="P175" s="639"/>
      <c r="Q175" s="1066"/>
      <c r="R175" s="639"/>
      <c r="S175" s="639"/>
      <c r="T175" s="605">
        <f t="shared" si="15"/>
        <v>0</v>
      </c>
      <c r="U175" s="608">
        <f t="shared" si="28"/>
        <v>0</v>
      </c>
      <c r="V175" s="1065"/>
      <c r="W175" s="732"/>
      <c r="X175" s="732"/>
      <c r="Y175" s="732"/>
      <c r="Z175" s="732"/>
      <c r="AA175" s="732"/>
    </row>
    <row r="176" spans="1:27" ht="39.75" customHeight="1">
      <c r="A176" s="712"/>
      <c r="B176" s="712"/>
      <c r="C176" s="712"/>
      <c r="D176" s="537">
        <v>167</v>
      </c>
      <c r="E176" s="537" t="s">
        <v>341</v>
      </c>
      <c r="F176" s="637"/>
      <c r="G176" s="1105"/>
      <c r="H176" s="1105"/>
      <c r="I176" s="639"/>
      <c r="J176" s="639"/>
      <c r="K176" s="639"/>
      <c r="L176" s="639"/>
      <c r="M176" s="639"/>
      <c r="N176" s="639"/>
      <c r="O176" s="639"/>
      <c r="P176" s="639"/>
      <c r="Q176" s="1066"/>
      <c r="R176" s="639"/>
      <c r="S176" s="639"/>
      <c r="T176" s="605">
        <f t="shared" si="15"/>
        <v>0</v>
      </c>
      <c r="U176" s="608">
        <f t="shared" si="28"/>
        <v>0</v>
      </c>
      <c r="V176" s="1065"/>
      <c r="W176" s="732"/>
      <c r="X176" s="732"/>
      <c r="Y176" s="732"/>
      <c r="Z176" s="732"/>
      <c r="AA176" s="732"/>
    </row>
    <row r="177" spans="1:27" ht="39.75" customHeight="1">
      <c r="A177" s="712"/>
      <c r="B177" s="712"/>
      <c r="C177" s="712"/>
      <c r="D177" s="537">
        <v>168</v>
      </c>
      <c r="E177" s="537" t="s">
        <v>342</v>
      </c>
      <c r="F177" s="637"/>
      <c r="G177" s="1105"/>
      <c r="H177" s="1105"/>
      <c r="I177" s="639"/>
      <c r="J177" s="639"/>
      <c r="K177" s="639"/>
      <c r="L177" s="639"/>
      <c r="M177" s="639"/>
      <c r="N177" s="639"/>
      <c r="O177" s="639"/>
      <c r="P177" s="639"/>
      <c r="Q177" s="1066"/>
      <c r="R177" s="639"/>
      <c r="S177" s="639"/>
      <c r="T177" s="605">
        <f t="shared" si="15"/>
        <v>0</v>
      </c>
      <c r="U177" s="608">
        <f t="shared" si="28"/>
        <v>0</v>
      </c>
      <c r="V177" s="1065"/>
      <c r="W177" s="732"/>
      <c r="X177" s="732"/>
      <c r="Y177" s="732"/>
      <c r="Z177" s="732"/>
      <c r="AA177" s="732"/>
    </row>
    <row r="178" spans="1:27" ht="39.75" customHeight="1">
      <c r="A178" s="712"/>
      <c r="B178" s="712"/>
      <c r="C178" s="712"/>
      <c r="D178" s="537">
        <v>169</v>
      </c>
      <c r="E178" s="537" t="s">
        <v>343</v>
      </c>
      <c r="F178" s="637"/>
      <c r="G178" s="1105"/>
      <c r="H178" s="1105"/>
      <c r="I178" s="608"/>
      <c r="J178" s="639"/>
      <c r="K178" s="639"/>
      <c r="L178" s="639"/>
      <c r="M178" s="639"/>
      <c r="N178" s="639"/>
      <c r="O178" s="639"/>
      <c r="P178" s="639"/>
      <c r="Q178" s="1066"/>
      <c r="R178" s="639"/>
      <c r="S178" s="639"/>
      <c r="T178" s="605">
        <f t="shared" si="15"/>
        <v>0</v>
      </c>
      <c r="U178" s="608">
        <f t="shared" si="28"/>
        <v>0</v>
      </c>
      <c r="V178" s="1065"/>
      <c r="W178" s="732"/>
      <c r="X178" s="732"/>
      <c r="Y178" s="732"/>
      <c r="Z178" s="732"/>
      <c r="AA178" s="732"/>
    </row>
    <row r="179" spans="1:27" ht="39.75" customHeight="1">
      <c r="A179" s="712"/>
      <c r="B179" s="707"/>
      <c r="C179" s="707"/>
      <c r="D179" s="537">
        <v>170</v>
      </c>
      <c r="E179" s="537" t="s">
        <v>344</v>
      </c>
      <c r="F179" s="637"/>
      <c r="G179" s="639"/>
      <c r="H179" s="639"/>
      <c r="I179" s="639"/>
      <c r="J179" s="639"/>
      <c r="K179" s="639"/>
      <c r="L179" s="639"/>
      <c r="M179" s="639"/>
      <c r="N179" s="639"/>
      <c r="O179" s="639"/>
      <c r="P179" s="639"/>
      <c r="Q179" s="1066"/>
      <c r="R179" s="639"/>
      <c r="S179" s="639"/>
      <c r="T179" s="605">
        <f t="shared" si="15"/>
        <v>0</v>
      </c>
      <c r="U179" s="608">
        <f t="shared" si="28"/>
        <v>0</v>
      </c>
      <c r="V179" s="1065"/>
      <c r="W179" s="732"/>
      <c r="X179" s="732"/>
      <c r="Y179" s="732"/>
      <c r="Z179" s="732"/>
      <c r="AA179" s="732"/>
    </row>
    <row r="180" spans="1:27" ht="39.75" customHeight="1">
      <c r="A180" s="712"/>
      <c r="B180" s="692" t="s">
        <v>345</v>
      </c>
      <c r="C180" s="692" t="s">
        <v>346</v>
      </c>
      <c r="D180" s="537">
        <v>171</v>
      </c>
      <c r="E180" s="537" t="s">
        <v>347</v>
      </c>
      <c r="F180" s="637"/>
      <c r="G180" s="639"/>
      <c r="H180" s="639"/>
      <c r="I180" s="639"/>
      <c r="J180" s="639"/>
      <c r="K180" s="639"/>
      <c r="L180" s="639"/>
      <c r="M180" s="639"/>
      <c r="N180" s="639"/>
      <c r="O180" s="639"/>
      <c r="P180" s="639"/>
      <c r="Q180" s="1066"/>
      <c r="R180" s="639"/>
      <c r="S180" s="639"/>
      <c r="T180" s="605">
        <f t="shared" si="15"/>
        <v>0</v>
      </c>
      <c r="U180" s="608">
        <f t="shared" si="28"/>
        <v>0</v>
      </c>
      <c r="V180" s="1065"/>
      <c r="W180" s="732"/>
      <c r="X180" s="732"/>
      <c r="Y180" s="732"/>
      <c r="Z180" s="732"/>
      <c r="AA180" s="732"/>
    </row>
    <row r="181" spans="1:27" ht="39.75" customHeight="1">
      <c r="A181" s="712"/>
      <c r="B181" s="712"/>
      <c r="C181" s="712"/>
      <c r="D181" s="537">
        <v>172</v>
      </c>
      <c r="E181" s="537" t="s">
        <v>348</v>
      </c>
      <c r="F181" s="637"/>
      <c r="G181" s="639"/>
      <c r="H181" s="639"/>
      <c r="I181" s="639"/>
      <c r="J181" s="639"/>
      <c r="K181" s="639"/>
      <c r="L181" s="639"/>
      <c r="M181" s="639"/>
      <c r="N181" s="639"/>
      <c r="O181" s="639"/>
      <c r="P181" s="608"/>
      <c r="Q181" s="1066"/>
      <c r="R181" s="639"/>
      <c r="S181" s="639"/>
      <c r="T181" s="605">
        <f t="shared" si="15"/>
        <v>0</v>
      </c>
      <c r="U181" s="608">
        <f t="shared" si="28"/>
        <v>0</v>
      </c>
      <c r="V181" s="1065"/>
      <c r="W181" s="732"/>
      <c r="X181" s="732"/>
      <c r="Y181" s="732"/>
      <c r="Z181" s="732"/>
      <c r="AA181" s="732"/>
    </row>
    <row r="182" spans="1:27" ht="39.75" customHeight="1">
      <c r="A182" s="712"/>
      <c r="B182" s="712"/>
      <c r="C182" s="712"/>
      <c r="D182" s="537">
        <v>173</v>
      </c>
      <c r="E182" s="537" t="s">
        <v>349</v>
      </c>
      <c r="F182" s="637"/>
      <c r="G182" s="639"/>
      <c r="H182" s="639"/>
      <c r="I182" s="639"/>
      <c r="J182" s="639"/>
      <c r="K182" s="639"/>
      <c r="L182" s="639"/>
      <c r="M182" s="639"/>
      <c r="N182" s="639"/>
      <c r="O182" s="639"/>
      <c r="P182" s="639"/>
      <c r="Q182" s="1066"/>
      <c r="R182" s="639"/>
      <c r="S182" s="639"/>
      <c r="T182" s="605">
        <f t="shared" si="15"/>
        <v>0</v>
      </c>
      <c r="U182" s="608">
        <f t="shared" si="28"/>
        <v>0</v>
      </c>
      <c r="V182" s="1065"/>
      <c r="W182" s="732"/>
      <c r="X182" s="732"/>
      <c r="Y182" s="732"/>
      <c r="Z182" s="732"/>
      <c r="AA182" s="732"/>
    </row>
    <row r="183" spans="1:27" ht="39.75" customHeight="1">
      <c r="A183" s="712"/>
      <c r="B183" s="707"/>
      <c r="C183" s="707"/>
      <c r="D183" s="537">
        <v>174</v>
      </c>
      <c r="E183" s="537" t="s">
        <v>350</v>
      </c>
      <c r="F183" s="637"/>
      <c r="G183" s="639"/>
      <c r="H183" s="639"/>
      <c r="I183" s="639"/>
      <c r="J183" s="639"/>
      <c r="K183" s="639"/>
      <c r="L183" s="639"/>
      <c r="M183" s="639"/>
      <c r="N183" s="639"/>
      <c r="O183" s="639"/>
      <c r="P183" s="608"/>
      <c r="Q183" s="1066"/>
      <c r="R183" s="639"/>
      <c r="S183" s="639"/>
      <c r="T183" s="605">
        <f t="shared" si="15"/>
        <v>0</v>
      </c>
      <c r="U183" s="608">
        <f t="shared" si="28"/>
        <v>0</v>
      </c>
      <c r="V183" s="1065"/>
      <c r="W183" s="732"/>
      <c r="X183" s="732"/>
      <c r="Y183" s="732"/>
      <c r="Z183" s="732"/>
      <c r="AA183" s="732"/>
    </row>
    <row r="184" spans="1:27" ht="409.5">
      <c r="A184" s="712"/>
      <c r="B184" s="692" t="s">
        <v>351</v>
      </c>
      <c r="C184" s="692" t="s">
        <v>290</v>
      </c>
      <c r="D184" s="537">
        <v>175</v>
      </c>
      <c r="E184" s="537" t="s">
        <v>291</v>
      </c>
      <c r="F184" s="1073"/>
      <c r="G184" s="1074"/>
      <c r="H184" s="1083">
        <v>0</v>
      </c>
      <c r="I184" s="613">
        <v>6.4</v>
      </c>
      <c r="J184" s="1074"/>
      <c r="K184" s="1074"/>
      <c r="L184" s="1074"/>
      <c r="M184" s="613"/>
      <c r="N184" s="1077">
        <v>9.0399999999999991</v>
      </c>
      <c r="O184" s="1074"/>
      <c r="P184" s="627">
        <f>5+27.08</f>
        <v>32.08</v>
      </c>
      <c r="Q184" s="1084">
        <v>1</v>
      </c>
      <c r="R184" s="613">
        <v>0.79</v>
      </c>
      <c r="S184" s="1075"/>
      <c r="T184" s="605">
        <f t="shared" si="15"/>
        <v>49.309999999999995</v>
      </c>
      <c r="U184" s="608">
        <f t="shared" ref="U184:U186" si="29">T184</f>
        <v>49.309999999999995</v>
      </c>
      <c r="V184" s="1157" t="s">
        <v>681</v>
      </c>
      <c r="W184" s="732"/>
      <c r="X184" s="732"/>
      <c r="Y184" s="732"/>
      <c r="Z184" s="732"/>
      <c r="AA184" s="732"/>
    </row>
    <row r="185" spans="1:27" ht="409.5">
      <c r="A185" s="712"/>
      <c r="B185" s="712"/>
      <c r="C185" s="712"/>
      <c r="D185" s="537">
        <v>176</v>
      </c>
      <c r="E185" s="537" t="s">
        <v>293</v>
      </c>
      <c r="F185" s="1073"/>
      <c r="G185" s="1074"/>
      <c r="H185" s="1074"/>
      <c r="I185" s="1074"/>
      <c r="J185" s="1074"/>
      <c r="K185" s="1074"/>
      <c r="L185" s="1074"/>
      <c r="M185" s="613">
        <v>15.1</v>
      </c>
      <c r="N185" s="1074"/>
      <c r="O185" s="1074"/>
      <c r="P185" s="613">
        <v>47.91</v>
      </c>
      <c r="Q185" s="1081">
        <v>5.4</v>
      </c>
      <c r="R185" s="1074"/>
      <c r="S185" s="1074"/>
      <c r="T185" s="605">
        <f t="shared" si="15"/>
        <v>68.41</v>
      </c>
      <c r="U185" s="608">
        <f t="shared" si="29"/>
        <v>68.41</v>
      </c>
      <c r="V185" s="1157" t="s">
        <v>682</v>
      </c>
      <c r="W185" s="732"/>
      <c r="X185" s="732"/>
      <c r="Y185" s="732"/>
      <c r="Z185" s="732"/>
      <c r="AA185" s="732"/>
    </row>
    <row r="186" spans="1:27" ht="60">
      <c r="A186" s="712"/>
      <c r="B186" s="707"/>
      <c r="C186" s="707"/>
      <c r="D186" s="537">
        <v>177</v>
      </c>
      <c r="E186" s="537" t="s">
        <v>295</v>
      </c>
      <c r="F186" s="1073"/>
      <c r="G186" s="1074"/>
      <c r="H186" s="1074"/>
      <c r="I186" s="1074"/>
      <c r="J186" s="1074"/>
      <c r="K186" s="1074"/>
      <c r="L186" s="1074"/>
      <c r="M186" s="1074"/>
      <c r="N186" s="1077">
        <v>1</v>
      </c>
      <c r="O186" s="1074"/>
      <c r="P186" s="1074"/>
      <c r="Q186" s="1089"/>
      <c r="R186" s="1074"/>
      <c r="S186" s="1074"/>
      <c r="T186" s="605">
        <f t="shared" si="15"/>
        <v>1</v>
      </c>
      <c r="U186" s="608">
        <f t="shared" si="29"/>
        <v>1</v>
      </c>
      <c r="V186" s="1071" t="s">
        <v>352</v>
      </c>
      <c r="W186" s="732"/>
      <c r="X186" s="732"/>
      <c r="Y186" s="732"/>
      <c r="Z186" s="732"/>
      <c r="AA186" s="732"/>
    </row>
    <row r="187" spans="1:27" ht="39.75" customHeight="1">
      <c r="A187" s="712"/>
      <c r="B187" s="692" t="s">
        <v>353</v>
      </c>
      <c r="C187" s="692" t="s">
        <v>354</v>
      </c>
      <c r="D187" s="537">
        <v>178</v>
      </c>
      <c r="E187" s="537" t="s">
        <v>355</v>
      </c>
      <c r="F187" s="637"/>
      <c r="G187" s="639"/>
      <c r="H187" s="639"/>
      <c r="I187" s="639"/>
      <c r="J187" s="639"/>
      <c r="K187" s="639"/>
      <c r="L187" s="639"/>
      <c r="M187" s="639"/>
      <c r="N187" s="639"/>
      <c r="O187" s="639"/>
      <c r="P187" s="847">
        <v>1.5</v>
      </c>
      <c r="Q187" s="829"/>
      <c r="R187" s="829"/>
      <c r="S187" s="829"/>
      <c r="T187" s="847">
        <f t="shared" ref="T187" si="30">SUM(F187:S187)</f>
        <v>1.5</v>
      </c>
      <c r="U187" s="847">
        <f>T187</f>
        <v>1.5</v>
      </c>
      <c r="V187" s="744" t="s">
        <v>1857</v>
      </c>
      <c r="W187" s="732"/>
      <c r="X187" s="732"/>
      <c r="Y187" s="732"/>
      <c r="Z187" s="732"/>
      <c r="AA187" s="732"/>
    </row>
    <row r="188" spans="1:27" ht="39.75" customHeight="1">
      <c r="A188" s="712"/>
      <c r="B188" s="712"/>
      <c r="C188" s="712"/>
      <c r="D188" s="537">
        <v>179</v>
      </c>
      <c r="E188" s="537" t="s">
        <v>157</v>
      </c>
      <c r="F188" s="637"/>
      <c r="G188" s="639"/>
      <c r="H188" s="639"/>
      <c r="I188" s="639"/>
      <c r="J188" s="639"/>
      <c r="K188" s="639"/>
      <c r="L188" s="639"/>
      <c r="M188" s="639"/>
      <c r="N188" s="639"/>
      <c r="O188" s="639"/>
      <c r="P188" s="639"/>
      <c r="Q188" s="1066"/>
      <c r="R188" s="639"/>
      <c r="S188" s="639"/>
      <c r="T188" s="605">
        <f t="shared" si="15"/>
        <v>0</v>
      </c>
      <c r="U188" s="608">
        <f t="shared" ref="U187:U190" si="31">T188+(T188*5/100)</f>
        <v>0</v>
      </c>
      <c r="V188" s="1065"/>
      <c r="W188" s="732"/>
      <c r="X188" s="732"/>
      <c r="Y188" s="732"/>
      <c r="Z188" s="732"/>
      <c r="AA188" s="732"/>
    </row>
    <row r="189" spans="1:27" ht="39.75" customHeight="1">
      <c r="A189" s="712"/>
      <c r="B189" s="712"/>
      <c r="C189" s="712"/>
      <c r="D189" s="537">
        <v>180</v>
      </c>
      <c r="E189" s="537" t="s">
        <v>356</v>
      </c>
      <c r="F189" s="637"/>
      <c r="G189" s="639"/>
      <c r="H189" s="639"/>
      <c r="I189" s="639"/>
      <c r="J189" s="639"/>
      <c r="K189" s="608"/>
      <c r="L189" s="639"/>
      <c r="M189" s="639"/>
      <c r="N189" s="639"/>
      <c r="O189" s="639"/>
      <c r="P189" s="1105"/>
      <c r="Q189" s="1066"/>
      <c r="R189" s="639"/>
      <c r="S189" s="639"/>
      <c r="T189" s="605">
        <f t="shared" si="15"/>
        <v>0</v>
      </c>
      <c r="U189" s="608">
        <f t="shared" si="31"/>
        <v>0</v>
      </c>
      <c r="V189" s="1065"/>
      <c r="W189" s="732"/>
      <c r="X189" s="732"/>
      <c r="Y189" s="732"/>
      <c r="Z189" s="732"/>
      <c r="AA189" s="732"/>
    </row>
    <row r="190" spans="1:27" ht="39.75" customHeight="1">
      <c r="A190" s="712"/>
      <c r="B190" s="712"/>
      <c r="C190" s="712"/>
      <c r="D190" s="537">
        <v>181</v>
      </c>
      <c r="E190" s="537" t="s">
        <v>357</v>
      </c>
      <c r="F190" s="637"/>
      <c r="G190" s="639"/>
      <c r="H190" s="639"/>
      <c r="I190" s="639"/>
      <c r="J190" s="639"/>
      <c r="K190" s="639"/>
      <c r="L190" s="639"/>
      <c r="M190" s="639"/>
      <c r="N190" s="639"/>
      <c r="O190" s="639"/>
      <c r="P190" s="639"/>
      <c r="Q190" s="1066"/>
      <c r="R190" s="639"/>
      <c r="S190" s="639"/>
      <c r="T190" s="605">
        <f t="shared" si="15"/>
        <v>0</v>
      </c>
      <c r="U190" s="608">
        <f t="shared" si="31"/>
        <v>0</v>
      </c>
      <c r="V190" s="1065"/>
      <c r="W190" s="732"/>
      <c r="X190" s="732"/>
      <c r="Y190" s="732"/>
      <c r="Z190" s="732"/>
      <c r="AA190" s="732"/>
    </row>
    <row r="191" spans="1:27" ht="66" customHeight="1">
      <c r="A191" s="712"/>
      <c r="B191" s="712"/>
      <c r="C191" s="712"/>
      <c r="D191" s="537">
        <v>182</v>
      </c>
      <c r="E191" s="537" t="s">
        <v>358</v>
      </c>
      <c r="F191" s="637"/>
      <c r="G191" s="639"/>
      <c r="H191" s="639"/>
      <c r="I191" s="639"/>
      <c r="J191" s="639"/>
      <c r="K191" s="639"/>
      <c r="L191" s="639"/>
      <c r="M191" s="639"/>
      <c r="N191" s="639"/>
      <c r="O191" s="639"/>
      <c r="P191" s="608">
        <v>19.8</v>
      </c>
      <c r="Q191" s="1066"/>
      <c r="R191" s="639"/>
      <c r="S191" s="639"/>
      <c r="T191" s="605">
        <f t="shared" si="15"/>
        <v>19.8</v>
      </c>
      <c r="U191" s="544">
        <f>T191*1.05</f>
        <v>20.790000000000003</v>
      </c>
      <c r="V191" s="1065" t="s">
        <v>683</v>
      </c>
      <c r="W191" s="732"/>
      <c r="X191" s="732"/>
      <c r="Y191" s="732"/>
      <c r="Z191" s="732"/>
      <c r="AA191" s="732"/>
    </row>
    <row r="192" spans="1:27" ht="39.75" customHeight="1">
      <c r="A192" s="712"/>
      <c r="B192" s="707"/>
      <c r="C192" s="707"/>
      <c r="D192" s="537">
        <v>183</v>
      </c>
      <c r="E192" s="537" t="s">
        <v>360</v>
      </c>
      <c r="F192" s="637"/>
      <c r="G192" s="639"/>
      <c r="H192" s="639"/>
      <c r="I192" s="639"/>
      <c r="J192" s="639"/>
      <c r="K192" s="639"/>
      <c r="L192" s="639"/>
      <c r="M192" s="639"/>
      <c r="N192" s="639"/>
      <c r="O192" s="639"/>
      <c r="P192" s="1105"/>
      <c r="Q192" s="1066"/>
      <c r="R192" s="639"/>
      <c r="S192" s="639"/>
      <c r="T192" s="605">
        <f t="shared" si="15"/>
        <v>0</v>
      </c>
      <c r="U192" s="608">
        <f t="shared" ref="U192:U193" si="32">T192+(T192*5/100)</f>
        <v>0</v>
      </c>
      <c r="V192" s="1065"/>
      <c r="W192" s="732"/>
      <c r="X192" s="732"/>
      <c r="Y192" s="732"/>
      <c r="Z192" s="732"/>
      <c r="AA192" s="732"/>
    </row>
    <row r="193" spans="1:27" ht="39.75" customHeight="1">
      <c r="A193" s="712"/>
      <c r="B193" s="537" t="s">
        <v>361</v>
      </c>
      <c r="C193" s="537" t="s">
        <v>362</v>
      </c>
      <c r="D193" s="537">
        <v>184</v>
      </c>
      <c r="E193" s="537" t="s">
        <v>363</v>
      </c>
      <c r="F193" s="637"/>
      <c r="G193" s="639"/>
      <c r="H193" s="639"/>
      <c r="I193" s="639"/>
      <c r="J193" s="639"/>
      <c r="K193" s="639"/>
      <c r="L193" s="639"/>
      <c r="M193" s="639"/>
      <c r="N193" s="639"/>
      <c r="O193" s="639"/>
      <c r="P193" s="608"/>
      <c r="Q193" s="1066"/>
      <c r="R193" s="639"/>
      <c r="S193" s="639"/>
      <c r="T193" s="605">
        <f t="shared" si="15"/>
        <v>0</v>
      </c>
      <c r="U193" s="608">
        <f t="shared" si="32"/>
        <v>0</v>
      </c>
      <c r="V193" s="1065"/>
      <c r="W193" s="732"/>
      <c r="X193" s="732"/>
      <c r="Y193" s="732"/>
      <c r="Z193" s="732"/>
      <c r="AA193" s="732"/>
    </row>
    <row r="194" spans="1:27" ht="39.75" customHeight="1">
      <c r="A194" s="712"/>
      <c r="B194" s="692" t="s">
        <v>364</v>
      </c>
      <c r="C194" s="692" t="s">
        <v>297</v>
      </c>
      <c r="D194" s="537">
        <v>185</v>
      </c>
      <c r="E194" s="537" t="s">
        <v>298</v>
      </c>
      <c r="F194" s="637"/>
      <c r="G194" s="639"/>
      <c r="H194" s="639"/>
      <c r="I194" s="639"/>
      <c r="J194" s="639"/>
      <c r="K194" s="639"/>
      <c r="L194" s="639"/>
      <c r="M194" s="639"/>
      <c r="N194" s="639"/>
      <c r="O194" s="639"/>
      <c r="P194" s="783">
        <v>2131.5782399999998</v>
      </c>
      <c r="Q194" s="1066"/>
      <c r="R194" s="607"/>
      <c r="S194" s="639"/>
      <c r="T194" s="605">
        <f t="shared" si="15"/>
        <v>2131.5782399999998</v>
      </c>
      <c r="U194" s="887">
        <v>2290.1676610559998</v>
      </c>
      <c r="V194" s="1206" t="s">
        <v>1732</v>
      </c>
      <c r="W194" s="732"/>
      <c r="X194" s="732"/>
      <c r="Y194" s="732"/>
      <c r="Z194" s="732"/>
      <c r="AA194" s="732"/>
    </row>
    <row r="195" spans="1:27" ht="75">
      <c r="A195" s="712"/>
      <c r="B195" s="712"/>
      <c r="C195" s="712"/>
      <c r="D195" s="537">
        <v>186</v>
      </c>
      <c r="E195" s="537" t="s">
        <v>299</v>
      </c>
      <c r="F195" s="637"/>
      <c r="G195" s="639"/>
      <c r="H195" s="639"/>
      <c r="I195" s="639"/>
      <c r="J195" s="639"/>
      <c r="K195" s="639"/>
      <c r="L195" s="639"/>
      <c r="M195" s="639"/>
      <c r="N195" s="639"/>
      <c r="O195" s="639"/>
      <c r="P195" s="609">
        <f>20.01+4.025</f>
        <v>24.035000000000004</v>
      </c>
      <c r="Q195" s="608"/>
      <c r="R195" s="639"/>
      <c r="S195" s="639"/>
      <c r="T195" s="605">
        <f t="shared" si="15"/>
        <v>24.035000000000004</v>
      </c>
      <c r="U195" s="608">
        <f>T195</f>
        <v>24.035000000000004</v>
      </c>
      <c r="V195" s="1065" t="s">
        <v>684</v>
      </c>
      <c r="W195" s="732"/>
      <c r="X195" s="732"/>
      <c r="Y195" s="732"/>
      <c r="Z195" s="732"/>
      <c r="AA195" s="732"/>
    </row>
    <row r="196" spans="1:27" ht="39.75" customHeight="1">
      <c r="A196" s="712"/>
      <c r="B196" s="712"/>
      <c r="C196" s="712"/>
      <c r="D196" s="537">
        <v>187</v>
      </c>
      <c r="E196" s="537" t="s">
        <v>367</v>
      </c>
      <c r="F196" s="637"/>
      <c r="G196" s="639"/>
      <c r="H196" s="639"/>
      <c r="I196" s="639"/>
      <c r="J196" s="639"/>
      <c r="K196" s="639"/>
      <c r="L196" s="639"/>
      <c r="M196" s="639"/>
      <c r="N196" s="639"/>
      <c r="O196" s="639"/>
      <c r="P196" s="783">
        <v>848.84771999999987</v>
      </c>
      <c r="Q196" s="1066"/>
      <c r="R196" s="639"/>
      <c r="S196" s="639"/>
      <c r="T196" s="605">
        <f t="shared" si="15"/>
        <v>848.84771999999987</v>
      </c>
      <c r="U196" s="887">
        <v>919.641619848</v>
      </c>
      <c r="V196" s="1206" t="s">
        <v>1732</v>
      </c>
      <c r="W196" s="732"/>
      <c r="X196" s="732"/>
      <c r="Y196" s="732"/>
      <c r="Z196" s="732"/>
      <c r="AA196" s="732"/>
    </row>
    <row r="197" spans="1:27" ht="39.75" customHeight="1">
      <c r="A197" s="712"/>
      <c r="B197" s="712"/>
      <c r="C197" s="712"/>
      <c r="D197" s="537">
        <v>188</v>
      </c>
      <c r="E197" s="537" t="s">
        <v>300</v>
      </c>
      <c r="F197" s="637"/>
      <c r="G197" s="639"/>
      <c r="H197" s="639"/>
      <c r="I197" s="639"/>
      <c r="J197" s="639"/>
      <c r="K197" s="639"/>
      <c r="L197" s="639"/>
      <c r="M197" s="639"/>
      <c r="N197" s="639"/>
      <c r="O197" s="639"/>
      <c r="P197" s="639"/>
      <c r="Q197" s="1066"/>
      <c r="R197" s="639"/>
      <c r="S197" s="639"/>
      <c r="T197" s="605">
        <f t="shared" si="15"/>
        <v>0</v>
      </c>
      <c r="U197" s="608">
        <f t="shared" ref="U197:U202" si="33">T197+(T197*5/100)</f>
        <v>0</v>
      </c>
      <c r="V197" s="1065"/>
      <c r="W197" s="732"/>
      <c r="X197" s="732"/>
      <c r="Y197" s="732"/>
      <c r="Z197" s="732"/>
      <c r="AA197" s="732"/>
    </row>
    <row r="198" spans="1:27" ht="39.75" customHeight="1">
      <c r="A198" s="712"/>
      <c r="B198" s="712"/>
      <c r="C198" s="712"/>
      <c r="D198" s="537">
        <v>189</v>
      </c>
      <c r="E198" s="537" t="s">
        <v>301</v>
      </c>
      <c r="F198" s="637"/>
      <c r="G198" s="639"/>
      <c r="H198" s="639"/>
      <c r="I198" s="639"/>
      <c r="J198" s="639"/>
      <c r="K198" s="639"/>
      <c r="L198" s="639"/>
      <c r="M198" s="639"/>
      <c r="N198" s="639"/>
      <c r="O198" s="639"/>
      <c r="P198" s="639"/>
      <c r="Q198" s="1066"/>
      <c r="R198" s="639"/>
      <c r="S198" s="639"/>
      <c r="T198" s="605">
        <f t="shared" si="15"/>
        <v>0</v>
      </c>
      <c r="U198" s="608">
        <f t="shared" si="33"/>
        <v>0</v>
      </c>
      <c r="V198" s="1065"/>
      <c r="W198" s="732"/>
      <c r="X198" s="732"/>
      <c r="Y198" s="732"/>
      <c r="Z198" s="732"/>
      <c r="AA198" s="732"/>
    </row>
    <row r="199" spans="1:27" ht="39.75" customHeight="1">
      <c r="A199" s="712"/>
      <c r="B199" s="707"/>
      <c r="C199" s="707"/>
      <c r="D199" s="537">
        <v>190</v>
      </c>
      <c r="E199" s="537" t="s">
        <v>368</v>
      </c>
      <c r="F199" s="637"/>
      <c r="G199" s="639"/>
      <c r="H199" s="639"/>
      <c r="I199" s="639"/>
      <c r="J199" s="639"/>
      <c r="K199" s="639"/>
      <c r="L199" s="639"/>
      <c r="M199" s="639"/>
      <c r="N199" s="639"/>
      <c r="O199" s="639"/>
      <c r="P199" s="1105"/>
      <c r="Q199" s="1066"/>
      <c r="R199" s="639"/>
      <c r="S199" s="639"/>
      <c r="T199" s="605">
        <f t="shared" si="15"/>
        <v>0</v>
      </c>
      <c r="U199" s="608">
        <f t="shared" si="33"/>
        <v>0</v>
      </c>
      <c r="V199" s="1065"/>
      <c r="W199" s="732"/>
      <c r="X199" s="732"/>
      <c r="Y199" s="732"/>
      <c r="Z199" s="732"/>
      <c r="AA199" s="732"/>
    </row>
    <row r="200" spans="1:27" ht="39.75" customHeight="1">
      <c r="A200" s="712"/>
      <c r="B200" s="692" t="s">
        <v>370</v>
      </c>
      <c r="C200" s="692" t="s">
        <v>371</v>
      </c>
      <c r="D200" s="537">
        <v>191</v>
      </c>
      <c r="E200" s="537" t="s">
        <v>372</v>
      </c>
      <c r="F200" s="637"/>
      <c r="G200" s="639"/>
      <c r="H200" s="639"/>
      <c r="I200" s="639"/>
      <c r="J200" s="639"/>
      <c r="K200" s="639"/>
      <c r="L200" s="639"/>
      <c r="M200" s="639"/>
      <c r="N200" s="608"/>
      <c r="O200" s="639"/>
      <c r="P200" s="639"/>
      <c r="Q200" s="1066"/>
      <c r="R200" s="639"/>
      <c r="S200" s="639"/>
      <c r="T200" s="605">
        <f t="shared" si="15"/>
        <v>0</v>
      </c>
      <c r="U200" s="608">
        <f t="shared" si="33"/>
        <v>0</v>
      </c>
      <c r="V200" s="1065"/>
      <c r="W200" s="732"/>
      <c r="X200" s="732"/>
      <c r="Y200" s="732"/>
      <c r="Z200" s="732"/>
      <c r="AA200" s="732"/>
    </row>
    <row r="201" spans="1:27" ht="39.75" customHeight="1">
      <c r="A201" s="712"/>
      <c r="B201" s="707"/>
      <c r="C201" s="707"/>
      <c r="D201" s="537">
        <v>192</v>
      </c>
      <c r="E201" s="537" t="s">
        <v>373</v>
      </c>
      <c r="F201" s="637"/>
      <c r="G201" s="639"/>
      <c r="H201" s="1105"/>
      <c r="I201" s="639"/>
      <c r="J201" s="639"/>
      <c r="K201" s="639"/>
      <c r="L201" s="639"/>
      <c r="M201" s="639"/>
      <c r="N201" s="608">
        <v>0</v>
      </c>
      <c r="O201" s="607"/>
      <c r="P201" s="608"/>
      <c r="Q201" s="1093"/>
      <c r="R201" s="639"/>
      <c r="S201" s="639"/>
      <c r="T201" s="605">
        <f t="shared" si="15"/>
        <v>0</v>
      </c>
      <c r="U201" s="608">
        <f t="shared" si="33"/>
        <v>0</v>
      </c>
      <c r="V201" s="793"/>
      <c r="W201" s="732"/>
      <c r="X201" s="732"/>
      <c r="Y201" s="732"/>
      <c r="Z201" s="732"/>
      <c r="AA201" s="732"/>
    </row>
    <row r="202" spans="1:27" ht="39.75" customHeight="1">
      <c r="A202" s="712"/>
      <c r="B202" s="692" t="s">
        <v>374</v>
      </c>
      <c r="C202" s="692" t="s">
        <v>303</v>
      </c>
      <c r="D202" s="537">
        <v>193</v>
      </c>
      <c r="E202" s="537" t="s">
        <v>375</v>
      </c>
      <c r="F202" s="637"/>
      <c r="G202" s="639"/>
      <c r="H202" s="639"/>
      <c r="I202" s="639"/>
      <c r="J202" s="639"/>
      <c r="K202" s="639"/>
      <c r="L202" s="639"/>
      <c r="M202" s="639"/>
      <c r="N202" s="639"/>
      <c r="O202" s="639"/>
      <c r="P202" s="608"/>
      <c r="Q202" s="1066"/>
      <c r="R202" s="639"/>
      <c r="S202" s="1105"/>
      <c r="T202" s="605">
        <f t="shared" si="15"/>
        <v>0</v>
      </c>
      <c r="U202" s="608">
        <f t="shared" si="33"/>
        <v>0</v>
      </c>
      <c r="V202" s="1065"/>
      <c r="W202" s="732"/>
      <c r="X202" s="732"/>
      <c r="Y202" s="732"/>
      <c r="Z202" s="732"/>
      <c r="AA202" s="732"/>
    </row>
    <row r="203" spans="1:27" ht="195" customHeight="1">
      <c r="A203" s="712"/>
      <c r="B203" s="707"/>
      <c r="C203" s="707"/>
      <c r="D203" s="537">
        <v>194</v>
      </c>
      <c r="E203" s="537" t="s">
        <v>304</v>
      </c>
      <c r="F203" s="637"/>
      <c r="G203" s="639"/>
      <c r="H203" s="639"/>
      <c r="I203" s="639"/>
      <c r="J203" s="639"/>
      <c r="K203" s="639"/>
      <c r="L203" s="639"/>
      <c r="M203" s="639"/>
      <c r="N203" s="608">
        <v>1.2</v>
      </c>
      <c r="O203" s="639"/>
      <c r="P203" s="639"/>
      <c r="Q203" s="608"/>
      <c r="R203" s="608">
        <v>50</v>
      </c>
      <c r="S203" s="639"/>
      <c r="T203" s="605">
        <f t="shared" si="15"/>
        <v>51.2</v>
      </c>
      <c r="U203" s="544">
        <f>R203*1.05+N203</f>
        <v>53.7</v>
      </c>
      <c r="V203" s="1065" t="s">
        <v>1604</v>
      </c>
      <c r="W203" s="732"/>
      <c r="X203" s="732"/>
      <c r="Y203" s="732"/>
      <c r="Z203" s="732"/>
      <c r="AA203" s="732"/>
    </row>
    <row r="204" spans="1:27" ht="126.6" customHeight="1">
      <c r="A204" s="712"/>
      <c r="B204" s="692" t="s">
        <v>376</v>
      </c>
      <c r="C204" s="692" t="s">
        <v>377</v>
      </c>
      <c r="D204" s="537">
        <v>195</v>
      </c>
      <c r="E204" s="537" t="s">
        <v>378</v>
      </c>
      <c r="F204" s="637"/>
      <c r="G204" s="639"/>
      <c r="H204" s="639"/>
      <c r="I204" s="639"/>
      <c r="J204" s="639"/>
      <c r="K204" s="639"/>
      <c r="L204" s="639"/>
      <c r="M204" s="639"/>
      <c r="N204" s="639"/>
      <c r="O204" s="639"/>
      <c r="P204" s="608"/>
      <c r="Q204" s="1093">
        <v>1.22</v>
      </c>
      <c r="R204" s="608">
        <v>1.7</v>
      </c>
      <c r="S204" s="1068">
        <v>0.7</v>
      </c>
      <c r="T204" s="605">
        <f t="shared" si="15"/>
        <v>3.62</v>
      </c>
      <c r="U204" s="608">
        <f>T204</f>
        <v>3.62</v>
      </c>
      <c r="V204" s="1158" t="s">
        <v>685</v>
      </c>
      <c r="W204" s="732"/>
      <c r="X204" s="732"/>
      <c r="Y204" s="732"/>
      <c r="Z204" s="732"/>
      <c r="AA204" s="732"/>
    </row>
    <row r="205" spans="1:27" ht="39.75" customHeight="1">
      <c r="A205" s="712"/>
      <c r="B205" s="712"/>
      <c r="C205" s="712"/>
      <c r="D205" s="537">
        <v>196</v>
      </c>
      <c r="E205" s="537" t="s">
        <v>379</v>
      </c>
      <c r="F205" s="637"/>
      <c r="G205" s="639"/>
      <c r="H205" s="639"/>
      <c r="I205" s="639"/>
      <c r="J205" s="639"/>
      <c r="K205" s="639"/>
      <c r="L205" s="639"/>
      <c r="M205" s="639"/>
      <c r="N205" s="639"/>
      <c r="O205" s="639"/>
      <c r="P205" s="639"/>
      <c r="Q205" s="1066"/>
      <c r="R205" s="639"/>
      <c r="S205" s="639"/>
      <c r="T205" s="605">
        <f t="shared" si="15"/>
        <v>0</v>
      </c>
      <c r="U205" s="608">
        <f>T205+(T205*5/100)</f>
        <v>0</v>
      </c>
      <c r="V205" s="1065"/>
      <c r="W205" s="732"/>
      <c r="X205" s="732"/>
      <c r="Y205" s="732"/>
      <c r="Z205" s="732"/>
      <c r="AA205" s="732"/>
    </row>
    <row r="206" spans="1:27" ht="409.6">
      <c r="A206" s="712"/>
      <c r="B206" s="707"/>
      <c r="C206" s="707"/>
      <c r="D206" s="537">
        <v>197</v>
      </c>
      <c r="E206" s="537" t="s">
        <v>380</v>
      </c>
      <c r="F206" s="1159"/>
      <c r="G206" s="1063"/>
      <c r="H206" s="1063"/>
      <c r="I206" s="1063"/>
      <c r="J206" s="1063"/>
      <c r="K206" s="1063"/>
      <c r="L206" s="1063"/>
      <c r="M206" s="1063"/>
      <c r="N206" s="1160">
        <v>0.25</v>
      </c>
      <c r="O206" s="1063"/>
      <c r="P206" s="1161">
        <v>41.06</v>
      </c>
      <c r="Q206" s="1064"/>
      <c r="R206" s="1064">
        <v>0.05</v>
      </c>
      <c r="S206" s="1064"/>
      <c r="T206" s="555">
        <f>SUM(N206:S206)</f>
        <v>41.36</v>
      </c>
      <c r="U206" s="1161">
        <v>41.11</v>
      </c>
      <c r="V206" s="1162" t="s">
        <v>515</v>
      </c>
      <c r="W206" s="732"/>
      <c r="X206" s="732"/>
      <c r="Y206" s="732"/>
      <c r="Z206" s="732"/>
      <c r="AA206" s="732"/>
    </row>
    <row r="207" spans="1:27" ht="39.75" customHeight="1">
      <c r="A207" s="712"/>
      <c r="B207" s="537" t="s">
        <v>381</v>
      </c>
      <c r="C207" s="537" t="s">
        <v>309</v>
      </c>
      <c r="D207" s="537">
        <v>198</v>
      </c>
      <c r="E207" s="537" t="s">
        <v>310</v>
      </c>
      <c r="F207" s="637"/>
      <c r="G207" s="639"/>
      <c r="H207" s="639"/>
      <c r="I207" s="639"/>
      <c r="J207" s="639"/>
      <c r="K207" s="639"/>
      <c r="L207" s="639"/>
      <c r="M207" s="639"/>
      <c r="N207" s="639"/>
      <c r="O207" s="639"/>
      <c r="P207" s="639"/>
      <c r="Q207" s="1066"/>
      <c r="R207" s="639"/>
      <c r="S207" s="639"/>
      <c r="T207" s="605">
        <f t="shared" ref="T207:T211" si="34">SUM(F207:S207)</f>
        <v>0</v>
      </c>
      <c r="U207" s="608">
        <f>T207+(T207*5/100)</f>
        <v>0</v>
      </c>
      <c r="V207" s="1065"/>
      <c r="W207" s="732"/>
      <c r="X207" s="732"/>
      <c r="Y207" s="732"/>
      <c r="Z207" s="732"/>
      <c r="AA207" s="732"/>
    </row>
    <row r="208" spans="1:27" ht="111" customHeight="1">
      <c r="A208" s="712"/>
      <c r="B208" s="537" t="s">
        <v>382</v>
      </c>
      <c r="C208" s="537" t="s">
        <v>312</v>
      </c>
      <c r="D208" s="537">
        <v>199</v>
      </c>
      <c r="E208" s="537" t="s">
        <v>313</v>
      </c>
      <c r="F208" s="637"/>
      <c r="G208" s="639"/>
      <c r="H208" s="639"/>
      <c r="I208" s="639"/>
      <c r="J208" s="639"/>
      <c r="K208" s="639"/>
      <c r="L208" s="639"/>
      <c r="M208" s="639"/>
      <c r="N208" s="639"/>
      <c r="O208" s="639"/>
      <c r="Q208" s="1066"/>
      <c r="R208" s="608">
        <v>156.25</v>
      </c>
      <c r="S208" s="639"/>
      <c r="T208" s="605">
        <f t="shared" si="34"/>
        <v>156.25</v>
      </c>
      <c r="U208" s="608">
        <f>T208</f>
        <v>156.25</v>
      </c>
      <c r="V208" s="1065" t="s">
        <v>1814</v>
      </c>
      <c r="W208" s="732"/>
      <c r="X208" s="732"/>
      <c r="Y208" s="732"/>
      <c r="Z208" s="732"/>
      <c r="AA208" s="732"/>
    </row>
    <row r="209" spans="1:27" ht="60">
      <c r="A209" s="712"/>
      <c r="B209" s="636" t="s">
        <v>383</v>
      </c>
      <c r="C209" s="628"/>
      <c r="D209" s="629">
        <v>200</v>
      </c>
      <c r="E209" s="537" t="s">
        <v>384</v>
      </c>
      <c r="F209" s="637"/>
      <c r="G209" s="639"/>
      <c r="H209" s="639"/>
      <c r="I209" s="639"/>
      <c r="J209" s="639"/>
      <c r="K209" s="639"/>
      <c r="L209" s="639"/>
      <c r="M209" s="639"/>
      <c r="N209" s="1163">
        <v>0.1956</v>
      </c>
      <c r="O209" s="1163"/>
      <c r="P209" s="1163"/>
      <c r="Q209" s="1163"/>
      <c r="R209" s="1163">
        <v>1</v>
      </c>
      <c r="S209" s="1163"/>
      <c r="T209" s="605">
        <f t="shared" si="34"/>
        <v>1.1956</v>
      </c>
      <c r="U209" s="544">
        <v>1.1956</v>
      </c>
      <c r="V209" s="1113" t="s">
        <v>385</v>
      </c>
      <c r="W209" s="525"/>
      <c r="X209" s="732"/>
      <c r="Y209" s="732"/>
      <c r="Z209" s="732"/>
      <c r="AA209" s="732"/>
    </row>
    <row r="210" spans="1:27" ht="39.75" customHeight="1">
      <c r="A210" s="707"/>
      <c r="B210" s="695" t="s">
        <v>386</v>
      </c>
      <c r="C210" s="709"/>
      <c r="D210" s="710"/>
      <c r="E210" s="570"/>
      <c r="F210" s="570">
        <f t="shared" ref="F210:S210" si="35">SUM(F159:F209)</f>
        <v>0</v>
      </c>
      <c r="G210" s="594">
        <f t="shared" si="35"/>
        <v>0</v>
      </c>
      <c r="H210" s="594">
        <f t="shared" si="35"/>
        <v>0</v>
      </c>
      <c r="I210" s="570">
        <f t="shared" si="35"/>
        <v>6.4</v>
      </c>
      <c r="J210" s="570">
        <f t="shared" si="35"/>
        <v>0</v>
      </c>
      <c r="K210" s="570">
        <f t="shared" si="35"/>
        <v>0</v>
      </c>
      <c r="L210" s="570">
        <f t="shared" si="35"/>
        <v>0</v>
      </c>
      <c r="M210" s="570">
        <f t="shared" si="35"/>
        <v>15.1</v>
      </c>
      <c r="N210" s="595">
        <f t="shared" si="35"/>
        <v>40.375600000000006</v>
      </c>
      <c r="O210" s="570">
        <f t="shared" si="35"/>
        <v>401.08000000000004</v>
      </c>
      <c r="P210" s="594">
        <f t="shared" si="35"/>
        <v>3184.4009599999995</v>
      </c>
      <c r="Q210" s="570">
        <f t="shared" si="35"/>
        <v>14.262</v>
      </c>
      <c r="R210" s="570">
        <f t="shared" si="35"/>
        <v>211.79</v>
      </c>
      <c r="S210" s="570">
        <f t="shared" si="35"/>
        <v>0.7</v>
      </c>
      <c r="T210" s="1164">
        <f t="shared" si="34"/>
        <v>3874.1085599999997</v>
      </c>
      <c r="U210" s="1165">
        <f>SUM(U159:U209)</f>
        <v>4108.821880904</v>
      </c>
      <c r="V210" s="1065"/>
      <c r="W210" s="732"/>
      <c r="X210" s="732"/>
      <c r="Y210" s="732"/>
      <c r="Z210" s="732"/>
      <c r="AA210" s="732"/>
    </row>
    <row r="211" spans="1:27" ht="39.75" customHeight="1">
      <c r="A211" s="696" t="s">
        <v>387</v>
      </c>
      <c r="B211" s="709"/>
      <c r="C211" s="709"/>
      <c r="D211" s="710"/>
      <c r="E211" s="1166"/>
      <c r="F211" s="630">
        <f t="shared" ref="F211:S211" si="36">F210+F158+F134+F93+F68</f>
        <v>56.536299999999997</v>
      </c>
      <c r="G211" s="631">
        <f t="shared" si="36"/>
        <v>2.5</v>
      </c>
      <c r="H211" s="631">
        <f t="shared" si="36"/>
        <v>7.5</v>
      </c>
      <c r="I211" s="630">
        <f t="shared" si="36"/>
        <v>36.09704</v>
      </c>
      <c r="J211" s="630">
        <f t="shared" si="36"/>
        <v>0</v>
      </c>
      <c r="K211" s="632">
        <f t="shared" si="36"/>
        <v>41.148000000000003</v>
      </c>
      <c r="L211" s="630">
        <f t="shared" si="36"/>
        <v>3.3000000000000003</v>
      </c>
      <c r="M211" s="631">
        <f t="shared" si="36"/>
        <v>45.042000000000002</v>
      </c>
      <c r="N211" s="632">
        <f t="shared" si="36"/>
        <v>109.3246</v>
      </c>
      <c r="O211" s="630">
        <f t="shared" si="36"/>
        <v>567.89499999999998</v>
      </c>
      <c r="P211" s="631">
        <f t="shared" si="36"/>
        <v>3859.2573699999998</v>
      </c>
      <c r="Q211" s="630">
        <f t="shared" si="36"/>
        <v>79.354200000000006</v>
      </c>
      <c r="R211" s="631">
        <f t="shared" si="36"/>
        <v>265.69940000000003</v>
      </c>
      <c r="S211" s="631">
        <f t="shared" si="36"/>
        <v>7.08</v>
      </c>
      <c r="T211" s="1167">
        <f t="shared" si="34"/>
        <v>5080.7339099999999</v>
      </c>
      <c r="U211" s="1168">
        <f>U210+U158+U134+U93+U68</f>
        <v>5303.9962838470001</v>
      </c>
      <c r="V211" s="1065"/>
      <c r="W211" s="732"/>
      <c r="X211" s="732"/>
      <c r="Y211" s="732"/>
      <c r="Z211" s="732"/>
      <c r="AA211" s="732"/>
    </row>
    <row r="212" spans="1:27" ht="24.75" customHeight="1">
      <c r="A212" s="732"/>
      <c r="B212" s="732"/>
      <c r="C212" s="732"/>
      <c r="D212" s="732"/>
      <c r="E212" s="732"/>
      <c r="F212" s="732"/>
      <c r="G212" s="732"/>
      <c r="H212" s="732"/>
      <c r="I212" s="732"/>
      <c r="J212" s="732"/>
      <c r="K212" s="732"/>
      <c r="L212" s="732"/>
      <c r="M212" s="732"/>
      <c r="N212" s="732"/>
      <c r="O212" s="732"/>
      <c r="P212" s="732"/>
      <c r="Q212" s="732"/>
      <c r="R212" s="732"/>
      <c r="S212" s="732"/>
      <c r="T212" s="732"/>
      <c r="U212" s="732"/>
      <c r="V212" s="733"/>
      <c r="W212" s="732"/>
      <c r="X212" s="732"/>
      <c r="Y212" s="732"/>
      <c r="Z212" s="732"/>
      <c r="AA212" s="732"/>
    </row>
    <row r="213" spans="1:27" ht="24.75" customHeight="1">
      <c r="A213" s="732"/>
      <c r="B213" s="732"/>
      <c r="C213" s="732"/>
      <c r="D213" s="732"/>
      <c r="E213" s="732"/>
      <c r="F213" s="732"/>
      <c r="G213" s="732"/>
      <c r="H213" s="732"/>
      <c r="I213" s="732"/>
      <c r="J213" s="732"/>
      <c r="K213" s="732"/>
      <c r="L213" s="732"/>
      <c r="M213" s="732"/>
      <c r="N213" s="732"/>
      <c r="O213" s="732"/>
      <c r="P213" s="732"/>
      <c r="Q213" s="732"/>
      <c r="R213" s="732"/>
      <c r="S213" s="732"/>
      <c r="T213" s="732"/>
      <c r="U213" s="732"/>
      <c r="V213" s="733"/>
      <c r="W213" s="732"/>
      <c r="X213" s="732"/>
      <c r="Y213" s="732"/>
      <c r="Z213" s="732"/>
      <c r="AA213" s="732"/>
    </row>
    <row r="214" spans="1:27" ht="24.75" customHeight="1">
      <c r="A214" s="732"/>
      <c r="B214" s="732"/>
      <c r="C214" s="732"/>
      <c r="D214" s="732"/>
      <c r="E214" s="732"/>
      <c r="F214" s="732"/>
      <c r="G214" s="732"/>
      <c r="H214" s="732"/>
      <c r="I214" s="732"/>
      <c r="J214" s="732"/>
      <c r="K214" s="732"/>
      <c r="L214" s="732"/>
      <c r="M214" s="732"/>
      <c r="N214" s="732"/>
      <c r="O214" s="732"/>
      <c r="P214" s="732"/>
      <c r="Q214" s="732"/>
      <c r="R214" s="732"/>
      <c r="S214" s="732"/>
      <c r="T214" s="732"/>
      <c r="U214" s="732"/>
      <c r="V214" s="733"/>
      <c r="W214" s="732"/>
      <c r="X214" s="732"/>
      <c r="Y214" s="732"/>
      <c r="Z214" s="732"/>
      <c r="AA214" s="732"/>
    </row>
    <row r="215" spans="1:27" ht="24.75" customHeight="1">
      <c r="A215" s="732"/>
      <c r="B215" s="732"/>
      <c r="C215" s="732"/>
      <c r="D215" s="732"/>
      <c r="E215" s="732"/>
      <c r="F215" s="732"/>
      <c r="G215" s="732"/>
      <c r="H215" s="732"/>
      <c r="I215" s="732"/>
      <c r="J215" s="732"/>
      <c r="K215" s="732"/>
      <c r="L215" s="732"/>
      <c r="M215" s="732"/>
      <c r="N215" s="732"/>
      <c r="O215" s="732"/>
      <c r="P215" s="732"/>
      <c r="Q215" s="732"/>
      <c r="R215" s="732"/>
      <c r="S215" s="732"/>
      <c r="T215" s="732"/>
      <c r="U215" s="732"/>
      <c r="V215" s="733"/>
      <c r="W215" s="732"/>
      <c r="X215" s="732"/>
      <c r="Y215" s="732"/>
      <c r="Z215" s="732"/>
      <c r="AA215" s="732"/>
    </row>
    <row r="216" spans="1:27" ht="24.75" customHeight="1">
      <c r="A216" s="732"/>
      <c r="B216" s="732"/>
      <c r="C216" s="732"/>
      <c r="D216" s="732"/>
      <c r="E216" s="732"/>
      <c r="F216" s="732"/>
      <c r="G216" s="732"/>
      <c r="H216" s="732"/>
      <c r="I216" s="732"/>
      <c r="J216" s="732"/>
      <c r="K216" s="732"/>
      <c r="L216" s="732"/>
      <c r="M216" s="732"/>
      <c r="N216" s="732"/>
      <c r="O216" s="732"/>
      <c r="P216" s="732"/>
      <c r="Q216" s="732"/>
      <c r="R216" s="732"/>
      <c r="S216" s="732"/>
      <c r="T216" s="732"/>
      <c r="U216" s="732"/>
      <c r="V216" s="733"/>
      <c r="W216" s="732"/>
      <c r="X216" s="732"/>
      <c r="Y216" s="732"/>
      <c r="Z216" s="732"/>
      <c r="AA216" s="732"/>
    </row>
    <row r="217" spans="1:27" ht="24.75" customHeight="1">
      <c r="A217" s="732"/>
      <c r="B217" s="732"/>
      <c r="C217" s="732"/>
      <c r="D217" s="732"/>
      <c r="E217" s="732"/>
      <c r="F217" s="732"/>
      <c r="G217" s="732"/>
      <c r="H217" s="732"/>
      <c r="I217" s="732"/>
      <c r="J217" s="732"/>
      <c r="K217" s="732"/>
      <c r="L217" s="732"/>
      <c r="M217" s="732"/>
      <c r="N217" s="732"/>
      <c r="O217" s="732"/>
      <c r="P217" s="732"/>
      <c r="Q217" s="732"/>
      <c r="R217" s="732"/>
      <c r="S217" s="732"/>
      <c r="T217" s="732"/>
      <c r="U217" s="732"/>
      <c r="V217" s="733"/>
      <c r="W217" s="732"/>
      <c r="X217" s="732"/>
      <c r="Y217" s="732"/>
      <c r="Z217" s="732"/>
      <c r="AA217" s="732"/>
    </row>
    <row r="218" spans="1:27" ht="24.75" customHeight="1">
      <c r="A218" s="732"/>
      <c r="B218" s="732"/>
      <c r="C218" s="732"/>
      <c r="D218" s="732"/>
      <c r="E218" s="732"/>
      <c r="F218" s="732"/>
      <c r="G218" s="732"/>
      <c r="H218" s="732"/>
      <c r="I218" s="732"/>
      <c r="J218" s="732"/>
      <c r="K218" s="732"/>
      <c r="L218" s="732"/>
      <c r="M218" s="732"/>
      <c r="N218" s="732"/>
      <c r="O218" s="732"/>
      <c r="P218" s="732"/>
      <c r="Q218" s="732"/>
      <c r="R218" s="732"/>
      <c r="S218" s="732"/>
      <c r="T218" s="732"/>
      <c r="U218" s="732"/>
      <c r="V218" s="733"/>
      <c r="W218" s="732"/>
      <c r="X218" s="732"/>
      <c r="Y218" s="732"/>
      <c r="Z218" s="732"/>
      <c r="AA218" s="732"/>
    </row>
    <row r="219" spans="1:27" ht="24.75" customHeight="1">
      <c r="A219" s="732"/>
      <c r="B219" s="732"/>
      <c r="C219" s="732"/>
      <c r="D219" s="732"/>
      <c r="E219" s="732"/>
      <c r="F219" s="732"/>
      <c r="G219" s="732"/>
      <c r="H219" s="732"/>
      <c r="I219" s="732"/>
      <c r="J219" s="732"/>
      <c r="K219" s="732"/>
      <c r="L219" s="732"/>
      <c r="M219" s="732"/>
      <c r="N219" s="732"/>
      <c r="O219" s="732"/>
      <c r="P219" s="732"/>
      <c r="Q219" s="732"/>
      <c r="R219" s="732"/>
      <c r="S219" s="732"/>
      <c r="T219" s="732"/>
      <c r="U219" s="732"/>
      <c r="V219" s="733"/>
      <c r="W219" s="732"/>
      <c r="X219" s="732"/>
      <c r="Y219" s="732"/>
      <c r="Z219" s="732"/>
      <c r="AA219" s="732"/>
    </row>
    <row r="220" spans="1:27" ht="24.75" customHeight="1">
      <c r="A220" s="732"/>
      <c r="B220" s="732"/>
      <c r="C220" s="732"/>
      <c r="D220" s="732"/>
      <c r="E220" s="732"/>
      <c r="F220" s="732"/>
      <c r="G220" s="732"/>
      <c r="H220" s="732"/>
      <c r="I220" s="732"/>
      <c r="J220" s="732"/>
      <c r="K220" s="732"/>
      <c r="L220" s="732"/>
      <c r="M220" s="732"/>
      <c r="N220" s="732"/>
      <c r="O220" s="732"/>
      <c r="P220" s="732"/>
      <c r="Q220" s="732"/>
      <c r="R220" s="732"/>
      <c r="S220" s="732"/>
      <c r="T220" s="732"/>
      <c r="U220" s="732"/>
      <c r="V220" s="733"/>
      <c r="W220" s="732"/>
      <c r="X220" s="732"/>
      <c r="Y220" s="732"/>
      <c r="Z220" s="732"/>
      <c r="AA220" s="732"/>
    </row>
    <row r="221" spans="1:27" ht="24.75" customHeight="1">
      <c r="A221" s="732"/>
      <c r="B221" s="732"/>
      <c r="C221" s="732"/>
      <c r="D221" s="732"/>
      <c r="E221" s="732"/>
      <c r="F221" s="732"/>
      <c r="G221" s="732"/>
      <c r="H221" s="732"/>
      <c r="I221" s="732"/>
      <c r="J221" s="732"/>
      <c r="K221" s="732"/>
      <c r="L221" s="732"/>
      <c r="M221" s="732"/>
      <c r="N221" s="732"/>
      <c r="O221" s="732"/>
      <c r="P221" s="732"/>
      <c r="Q221" s="732"/>
      <c r="R221" s="732"/>
      <c r="S221" s="732"/>
      <c r="T221" s="732"/>
      <c r="U221" s="732"/>
      <c r="V221" s="733"/>
      <c r="W221" s="732"/>
      <c r="X221" s="732"/>
      <c r="Y221" s="732"/>
      <c r="Z221" s="732"/>
      <c r="AA221" s="732"/>
    </row>
    <row r="222" spans="1:27" ht="24.75" customHeight="1">
      <c r="A222" s="732"/>
      <c r="B222" s="732"/>
      <c r="C222" s="732"/>
      <c r="D222" s="732"/>
      <c r="E222" s="732"/>
      <c r="F222" s="732"/>
      <c r="G222" s="732"/>
      <c r="H222" s="732"/>
      <c r="I222" s="732"/>
      <c r="J222" s="732"/>
      <c r="K222" s="732"/>
      <c r="L222" s="732"/>
      <c r="M222" s="732"/>
      <c r="N222" s="732"/>
      <c r="O222" s="732"/>
      <c r="P222" s="732"/>
      <c r="Q222" s="732"/>
      <c r="R222" s="732"/>
      <c r="S222" s="732"/>
      <c r="T222" s="732"/>
      <c r="U222" s="732"/>
      <c r="V222" s="733"/>
      <c r="W222" s="732"/>
      <c r="X222" s="732"/>
      <c r="Y222" s="732"/>
      <c r="Z222" s="732"/>
      <c r="AA222" s="732"/>
    </row>
    <row r="223" spans="1:27" ht="24.75" customHeight="1">
      <c r="A223" s="732"/>
      <c r="B223" s="732"/>
      <c r="C223" s="732"/>
      <c r="D223" s="732"/>
      <c r="E223" s="732"/>
      <c r="F223" s="732"/>
      <c r="G223" s="732"/>
      <c r="H223" s="732"/>
      <c r="I223" s="732"/>
      <c r="J223" s="732"/>
      <c r="K223" s="732"/>
      <c r="L223" s="732"/>
      <c r="M223" s="732"/>
      <c r="N223" s="732"/>
      <c r="O223" s="732"/>
      <c r="P223" s="732"/>
      <c r="Q223" s="732"/>
      <c r="R223" s="732"/>
      <c r="S223" s="732"/>
      <c r="T223" s="732"/>
      <c r="U223" s="732"/>
      <c r="V223" s="733"/>
      <c r="W223" s="732"/>
      <c r="X223" s="732"/>
      <c r="Y223" s="732"/>
      <c r="Z223" s="732"/>
      <c r="AA223" s="732"/>
    </row>
    <row r="224" spans="1:27" ht="24.75" customHeight="1">
      <c r="A224" s="732"/>
      <c r="B224" s="732"/>
      <c r="C224" s="732"/>
      <c r="D224" s="732"/>
      <c r="E224" s="732"/>
      <c r="F224" s="732"/>
      <c r="G224" s="732"/>
      <c r="H224" s="732"/>
      <c r="I224" s="732"/>
      <c r="J224" s="732"/>
      <c r="K224" s="732"/>
      <c r="L224" s="732"/>
      <c r="M224" s="732"/>
      <c r="N224" s="732"/>
      <c r="O224" s="732"/>
      <c r="P224" s="732"/>
      <c r="Q224" s="732"/>
      <c r="R224" s="732"/>
      <c r="S224" s="732"/>
      <c r="T224" s="732"/>
      <c r="U224" s="732"/>
      <c r="V224" s="733"/>
      <c r="W224" s="732"/>
      <c r="X224" s="732"/>
      <c r="Y224" s="732"/>
      <c r="Z224" s="732"/>
      <c r="AA224" s="732"/>
    </row>
    <row r="225" spans="1:27" ht="24.75" customHeight="1">
      <c r="A225" s="732"/>
      <c r="B225" s="732"/>
      <c r="C225" s="732"/>
      <c r="D225" s="732"/>
      <c r="E225" s="732"/>
      <c r="F225" s="732"/>
      <c r="G225" s="732"/>
      <c r="H225" s="732"/>
      <c r="I225" s="732"/>
      <c r="J225" s="732"/>
      <c r="K225" s="732"/>
      <c r="L225" s="732"/>
      <c r="M225" s="732"/>
      <c r="N225" s="732"/>
      <c r="O225" s="732"/>
      <c r="P225" s="732"/>
      <c r="Q225" s="732"/>
      <c r="R225" s="732"/>
      <c r="S225" s="732"/>
      <c r="T225" s="732"/>
      <c r="U225" s="732"/>
      <c r="V225" s="733"/>
      <c r="W225" s="732"/>
      <c r="X225" s="732"/>
      <c r="Y225" s="732"/>
      <c r="Z225" s="732"/>
      <c r="AA225" s="732"/>
    </row>
    <row r="226" spans="1:27" ht="24.75" customHeight="1">
      <c r="A226" s="732"/>
      <c r="B226" s="732"/>
      <c r="C226" s="732"/>
      <c r="D226" s="732"/>
      <c r="E226" s="732"/>
      <c r="F226" s="732"/>
      <c r="G226" s="732"/>
      <c r="H226" s="732"/>
      <c r="I226" s="732"/>
      <c r="J226" s="732"/>
      <c r="K226" s="732"/>
      <c r="L226" s="732"/>
      <c r="M226" s="732"/>
      <c r="N226" s="732"/>
      <c r="O226" s="732"/>
      <c r="P226" s="732"/>
      <c r="Q226" s="732"/>
      <c r="R226" s="732"/>
      <c r="S226" s="732"/>
      <c r="T226" s="732"/>
      <c r="U226" s="732"/>
      <c r="V226" s="733"/>
      <c r="W226" s="732"/>
      <c r="X226" s="732"/>
      <c r="Y226" s="732"/>
      <c r="Z226" s="732"/>
      <c r="AA226" s="732"/>
    </row>
    <row r="227" spans="1:27" ht="24.75" customHeight="1">
      <c r="A227" s="732"/>
      <c r="B227" s="732"/>
      <c r="C227" s="732"/>
      <c r="D227" s="732"/>
      <c r="E227" s="732"/>
      <c r="F227" s="732"/>
      <c r="G227" s="732"/>
      <c r="H227" s="732"/>
      <c r="I227" s="732"/>
      <c r="J227" s="732"/>
      <c r="K227" s="732"/>
      <c r="L227" s="732"/>
      <c r="M227" s="732"/>
      <c r="N227" s="732"/>
      <c r="O227" s="732"/>
      <c r="P227" s="732"/>
      <c r="Q227" s="732"/>
      <c r="R227" s="732"/>
      <c r="S227" s="732"/>
      <c r="T227" s="732"/>
      <c r="U227" s="732"/>
      <c r="V227" s="733"/>
      <c r="W227" s="732"/>
      <c r="X227" s="732"/>
      <c r="Y227" s="732"/>
      <c r="Z227" s="732"/>
      <c r="AA227" s="732"/>
    </row>
    <row r="228" spans="1:27" ht="24.75" customHeight="1">
      <c r="A228" s="732"/>
      <c r="B228" s="732"/>
      <c r="C228" s="732"/>
      <c r="D228" s="732"/>
      <c r="E228" s="732"/>
      <c r="F228" s="732"/>
      <c r="G228" s="732"/>
      <c r="H228" s="732"/>
      <c r="I228" s="732"/>
      <c r="J228" s="732"/>
      <c r="K228" s="732"/>
      <c r="L228" s="732"/>
      <c r="M228" s="732"/>
      <c r="N228" s="732"/>
      <c r="O228" s="732"/>
      <c r="P228" s="732"/>
      <c r="Q228" s="732"/>
      <c r="R228" s="732"/>
      <c r="S228" s="732"/>
      <c r="T228" s="732"/>
      <c r="U228" s="732"/>
      <c r="V228" s="733"/>
      <c r="W228" s="732"/>
      <c r="X228" s="732"/>
      <c r="Y228" s="732"/>
      <c r="Z228" s="732"/>
      <c r="AA228" s="732"/>
    </row>
    <row r="229" spans="1:27" ht="24.75" customHeight="1">
      <c r="A229" s="732"/>
      <c r="B229" s="732"/>
      <c r="C229" s="732"/>
      <c r="D229" s="732"/>
      <c r="E229" s="732"/>
      <c r="F229" s="732"/>
      <c r="G229" s="732"/>
      <c r="H229" s="732"/>
      <c r="I229" s="732"/>
      <c r="J229" s="732"/>
      <c r="K229" s="732"/>
      <c r="L229" s="732"/>
      <c r="M229" s="732"/>
      <c r="N229" s="732"/>
      <c r="O229" s="732"/>
      <c r="P229" s="732"/>
      <c r="Q229" s="732"/>
      <c r="R229" s="732"/>
      <c r="S229" s="732"/>
      <c r="T229" s="732"/>
      <c r="U229" s="732"/>
      <c r="V229" s="733"/>
      <c r="W229" s="732"/>
      <c r="X229" s="732"/>
      <c r="Y229" s="732"/>
      <c r="Z229" s="732"/>
      <c r="AA229" s="732"/>
    </row>
    <row r="230" spans="1:27" ht="24.75" customHeight="1">
      <c r="A230" s="732"/>
      <c r="B230" s="732"/>
      <c r="C230" s="732"/>
      <c r="D230" s="732"/>
      <c r="E230" s="732"/>
      <c r="F230" s="732"/>
      <c r="G230" s="732"/>
      <c r="H230" s="732"/>
      <c r="I230" s="732"/>
      <c r="J230" s="732"/>
      <c r="K230" s="732"/>
      <c r="L230" s="732"/>
      <c r="M230" s="732"/>
      <c r="N230" s="732"/>
      <c r="O230" s="732"/>
      <c r="P230" s="732"/>
      <c r="Q230" s="732"/>
      <c r="R230" s="732"/>
      <c r="S230" s="732"/>
      <c r="T230" s="732"/>
      <c r="U230" s="732"/>
      <c r="V230" s="733"/>
      <c r="W230" s="732"/>
      <c r="X230" s="732"/>
      <c r="Y230" s="732"/>
      <c r="Z230" s="732"/>
      <c r="AA230" s="732"/>
    </row>
    <row r="231" spans="1:27" ht="24.75" customHeight="1">
      <c r="A231" s="732"/>
      <c r="B231" s="732"/>
      <c r="C231" s="732"/>
      <c r="D231" s="732"/>
      <c r="E231" s="732"/>
      <c r="F231" s="732"/>
      <c r="G231" s="732"/>
      <c r="H231" s="732"/>
      <c r="I231" s="732"/>
      <c r="J231" s="732"/>
      <c r="K231" s="732"/>
      <c r="L231" s="732"/>
      <c r="M231" s="732"/>
      <c r="N231" s="732"/>
      <c r="O231" s="732"/>
      <c r="P231" s="732"/>
      <c r="Q231" s="732"/>
      <c r="R231" s="732"/>
      <c r="S231" s="732"/>
      <c r="T231" s="732"/>
      <c r="U231" s="732"/>
      <c r="V231" s="733"/>
      <c r="W231" s="732"/>
      <c r="X231" s="732"/>
      <c r="Y231" s="732"/>
      <c r="Z231" s="732"/>
      <c r="AA231" s="732"/>
    </row>
    <row r="232" spans="1:27" ht="24.75" customHeight="1">
      <c r="A232" s="732"/>
      <c r="B232" s="732"/>
      <c r="C232" s="732"/>
      <c r="D232" s="732"/>
      <c r="E232" s="732"/>
      <c r="F232" s="732"/>
      <c r="G232" s="732"/>
      <c r="H232" s="732"/>
      <c r="I232" s="732"/>
      <c r="J232" s="732"/>
      <c r="K232" s="732"/>
      <c r="L232" s="732"/>
      <c r="M232" s="732"/>
      <c r="N232" s="732"/>
      <c r="O232" s="732"/>
      <c r="P232" s="732"/>
      <c r="Q232" s="732"/>
      <c r="R232" s="732"/>
      <c r="S232" s="732"/>
      <c r="T232" s="732"/>
      <c r="U232" s="732"/>
      <c r="V232" s="733"/>
      <c r="W232" s="732"/>
      <c r="X232" s="732"/>
      <c r="Y232" s="732"/>
      <c r="Z232" s="732"/>
      <c r="AA232" s="732"/>
    </row>
    <row r="233" spans="1:27" ht="24.75" customHeight="1">
      <c r="A233" s="732"/>
      <c r="B233" s="732"/>
      <c r="C233" s="732"/>
      <c r="D233" s="732"/>
      <c r="E233" s="732"/>
      <c r="F233" s="732"/>
      <c r="G233" s="732"/>
      <c r="H233" s="732"/>
      <c r="I233" s="732"/>
      <c r="J233" s="732"/>
      <c r="K233" s="732"/>
      <c r="L233" s="732"/>
      <c r="M233" s="732"/>
      <c r="N233" s="732"/>
      <c r="O233" s="732"/>
      <c r="P233" s="732"/>
      <c r="Q233" s="732"/>
      <c r="R233" s="732"/>
      <c r="S233" s="732"/>
      <c r="T233" s="732"/>
      <c r="U233" s="732"/>
      <c r="V233" s="733"/>
      <c r="W233" s="732"/>
      <c r="X233" s="732"/>
      <c r="Y233" s="732"/>
      <c r="Z233" s="732"/>
      <c r="AA233" s="732"/>
    </row>
    <row r="234" spans="1:27" ht="24.75" customHeight="1">
      <c r="A234" s="732"/>
      <c r="B234" s="732"/>
      <c r="C234" s="732"/>
      <c r="D234" s="732"/>
      <c r="E234" s="732"/>
      <c r="F234" s="732"/>
      <c r="G234" s="732"/>
      <c r="H234" s="732"/>
      <c r="I234" s="732"/>
      <c r="J234" s="732"/>
      <c r="K234" s="732"/>
      <c r="L234" s="732"/>
      <c r="M234" s="732"/>
      <c r="N234" s="732"/>
      <c r="O234" s="732"/>
      <c r="P234" s="732"/>
      <c r="Q234" s="732"/>
      <c r="R234" s="732"/>
      <c r="S234" s="732"/>
      <c r="T234" s="732"/>
      <c r="U234" s="732"/>
      <c r="V234" s="733"/>
      <c r="W234" s="732"/>
      <c r="X234" s="732"/>
      <c r="Y234" s="732"/>
      <c r="Z234" s="732"/>
      <c r="AA234" s="732"/>
    </row>
    <row r="235" spans="1:27" ht="24.75" customHeight="1">
      <c r="A235" s="732"/>
      <c r="B235" s="732"/>
      <c r="C235" s="732"/>
      <c r="D235" s="732"/>
      <c r="E235" s="732"/>
      <c r="F235" s="732"/>
      <c r="G235" s="732"/>
      <c r="H235" s="732"/>
      <c r="I235" s="732"/>
      <c r="J235" s="732"/>
      <c r="K235" s="732"/>
      <c r="L235" s="732"/>
      <c r="M235" s="732"/>
      <c r="N235" s="732"/>
      <c r="O235" s="732"/>
      <c r="P235" s="732"/>
      <c r="Q235" s="732"/>
      <c r="R235" s="732"/>
      <c r="S235" s="732"/>
      <c r="T235" s="732"/>
      <c r="U235" s="732"/>
      <c r="V235" s="733"/>
      <c r="W235" s="732"/>
      <c r="X235" s="732"/>
      <c r="Y235" s="732"/>
      <c r="Z235" s="732"/>
      <c r="AA235" s="732"/>
    </row>
    <row r="236" spans="1:27" ht="24.75" customHeight="1">
      <c r="A236" s="732"/>
      <c r="B236" s="732"/>
      <c r="C236" s="732"/>
      <c r="D236" s="732"/>
      <c r="E236" s="732"/>
      <c r="F236" s="732"/>
      <c r="G236" s="732"/>
      <c r="H236" s="732"/>
      <c r="I236" s="732"/>
      <c r="J236" s="732"/>
      <c r="K236" s="732"/>
      <c r="L236" s="732"/>
      <c r="M236" s="732"/>
      <c r="N236" s="732"/>
      <c r="O236" s="732"/>
      <c r="P236" s="732"/>
      <c r="Q236" s="732"/>
      <c r="R236" s="732"/>
      <c r="S236" s="732"/>
      <c r="T236" s="732"/>
      <c r="U236" s="732"/>
      <c r="V236" s="733"/>
      <c r="W236" s="732"/>
      <c r="X236" s="732"/>
      <c r="Y236" s="732"/>
      <c r="Z236" s="732"/>
      <c r="AA236" s="732"/>
    </row>
    <row r="237" spans="1:27" ht="24.75" customHeight="1">
      <c r="A237" s="732"/>
      <c r="B237" s="732"/>
      <c r="C237" s="732"/>
      <c r="D237" s="732"/>
      <c r="E237" s="732"/>
      <c r="F237" s="732"/>
      <c r="G237" s="732"/>
      <c r="H237" s="732"/>
      <c r="I237" s="732"/>
      <c r="J237" s="732"/>
      <c r="K237" s="732"/>
      <c r="L237" s="732"/>
      <c r="M237" s="732"/>
      <c r="N237" s="732"/>
      <c r="O237" s="732"/>
      <c r="P237" s="732"/>
      <c r="Q237" s="732"/>
      <c r="R237" s="732"/>
      <c r="S237" s="732"/>
      <c r="T237" s="732"/>
      <c r="U237" s="732"/>
      <c r="V237" s="733"/>
      <c r="W237" s="732"/>
      <c r="X237" s="732"/>
      <c r="Y237" s="732"/>
      <c r="Z237" s="732"/>
      <c r="AA237" s="732"/>
    </row>
    <row r="238" spans="1:27" ht="24.75" customHeight="1">
      <c r="A238" s="732"/>
      <c r="B238" s="732"/>
      <c r="C238" s="732"/>
      <c r="D238" s="732"/>
      <c r="E238" s="732"/>
      <c r="F238" s="732"/>
      <c r="G238" s="732"/>
      <c r="H238" s="732"/>
      <c r="I238" s="732"/>
      <c r="J238" s="732"/>
      <c r="K238" s="732"/>
      <c r="L238" s="732"/>
      <c r="M238" s="732"/>
      <c r="N238" s="732"/>
      <c r="O238" s="732"/>
      <c r="P238" s="732"/>
      <c r="Q238" s="732"/>
      <c r="R238" s="732"/>
      <c r="S238" s="732"/>
      <c r="T238" s="732"/>
      <c r="U238" s="732"/>
      <c r="V238" s="733"/>
      <c r="W238" s="732"/>
      <c r="X238" s="732"/>
      <c r="Y238" s="732"/>
      <c r="Z238" s="732"/>
      <c r="AA238" s="732"/>
    </row>
    <row r="239" spans="1:27" ht="24.75" customHeight="1">
      <c r="A239" s="732"/>
      <c r="B239" s="732"/>
      <c r="C239" s="732"/>
      <c r="D239" s="732"/>
      <c r="E239" s="732"/>
      <c r="F239" s="732"/>
      <c r="G239" s="732"/>
      <c r="H239" s="732"/>
      <c r="I239" s="732"/>
      <c r="J239" s="732"/>
      <c r="K239" s="732"/>
      <c r="L239" s="732"/>
      <c r="M239" s="732"/>
      <c r="N239" s="732"/>
      <c r="O239" s="732"/>
      <c r="P239" s="732"/>
      <c r="Q239" s="732"/>
      <c r="R239" s="732"/>
      <c r="S239" s="732"/>
      <c r="T239" s="732"/>
      <c r="U239" s="732"/>
      <c r="V239" s="733"/>
      <c r="W239" s="732"/>
      <c r="X239" s="732"/>
      <c r="Y239" s="732"/>
      <c r="Z239" s="732"/>
      <c r="AA239" s="732"/>
    </row>
    <row r="240" spans="1:27" ht="24.75" customHeight="1">
      <c r="A240" s="732"/>
      <c r="B240" s="732"/>
      <c r="C240" s="732"/>
      <c r="D240" s="732"/>
      <c r="E240" s="732"/>
      <c r="F240" s="732"/>
      <c r="G240" s="732"/>
      <c r="H240" s="732"/>
      <c r="I240" s="732"/>
      <c r="J240" s="732"/>
      <c r="K240" s="732"/>
      <c r="L240" s="732"/>
      <c r="M240" s="732"/>
      <c r="N240" s="732"/>
      <c r="O240" s="732"/>
      <c r="P240" s="732"/>
      <c r="Q240" s="732"/>
      <c r="R240" s="732"/>
      <c r="S240" s="732"/>
      <c r="T240" s="732"/>
      <c r="U240" s="732"/>
      <c r="V240" s="733"/>
      <c r="W240" s="732"/>
      <c r="X240" s="732"/>
      <c r="Y240" s="732"/>
      <c r="Z240" s="732"/>
      <c r="AA240" s="732"/>
    </row>
    <row r="241" spans="1:27" ht="24.75" customHeight="1">
      <c r="A241" s="732"/>
      <c r="B241" s="732"/>
      <c r="C241" s="732"/>
      <c r="D241" s="732"/>
      <c r="E241" s="732"/>
      <c r="F241" s="732"/>
      <c r="G241" s="732"/>
      <c r="H241" s="732"/>
      <c r="I241" s="732"/>
      <c r="J241" s="732"/>
      <c r="K241" s="732"/>
      <c r="L241" s="732"/>
      <c r="M241" s="732"/>
      <c r="N241" s="732"/>
      <c r="O241" s="732"/>
      <c r="P241" s="732"/>
      <c r="Q241" s="732"/>
      <c r="R241" s="732"/>
      <c r="S241" s="732"/>
      <c r="T241" s="732"/>
      <c r="U241" s="732"/>
      <c r="V241" s="733"/>
      <c r="W241" s="732"/>
      <c r="X241" s="732"/>
      <c r="Y241" s="732"/>
      <c r="Z241" s="732"/>
      <c r="AA241" s="732"/>
    </row>
    <row r="242" spans="1:27" ht="24.75" customHeight="1">
      <c r="A242" s="732"/>
      <c r="B242" s="732"/>
      <c r="C242" s="732"/>
      <c r="D242" s="732"/>
      <c r="E242" s="732"/>
      <c r="F242" s="732"/>
      <c r="G242" s="732"/>
      <c r="H242" s="732"/>
      <c r="I242" s="732"/>
      <c r="J242" s="732"/>
      <c r="K242" s="732"/>
      <c r="L242" s="732"/>
      <c r="M242" s="732"/>
      <c r="N242" s="732"/>
      <c r="O242" s="732"/>
      <c r="P242" s="732"/>
      <c r="Q242" s="732"/>
      <c r="R242" s="732"/>
      <c r="S242" s="732"/>
      <c r="T242" s="732"/>
      <c r="U242" s="732"/>
      <c r="V242" s="733"/>
      <c r="W242" s="732"/>
      <c r="X242" s="732"/>
      <c r="Y242" s="732"/>
      <c r="Z242" s="732"/>
      <c r="AA242" s="732"/>
    </row>
    <row r="243" spans="1:27" ht="24.75" customHeight="1">
      <c r="A243" s="732"/>
      <c r="B243" s="732"/>
      <c r="C243" s="732"/>
      <c r="D243" s="732"/>
      <c r="E243" s="732"/>
      <c r="F243" s="732"/>
      <c r="G243" s="732"/>
      <c r="H243" s="732"/>
      <c r="I243" s="732"/>
      <c r="J243" s="732"/>
      <c r="K243" s="732"/>
      <c r="L243" s="732"/>
      <c r="M243" s="732"/>
      <c r="N243" s="732"/>
      <c r="O243" s="732"/>
      <c r="P243" s="732"/>
      <c r="Q243" s="732"/>
      <c r="R243" s="732"/>
      <c r="S243" s="732"/>
      <c r="T243" s="732"/>
      <c r="U243" s="732"/>
      <c r="V243" s="733"/>
      <c r="W243" s="732"/>
      <c r="X243" s="732"/>
      <c r="Y243" s="732"/>
      <c r="Z243" s="732"/>
      <c r="AA243" s="732"/>
    </row>
    <row r="244" spans="1:27" ht="24.75" customHeight="1">
      <c r="A244" s="732"/>
      <c r="B244" s="732"/>
      <c r="C244" s="732"/>
      <c r="D244" s="732"/>
      <c r="E244" s="732"/>
      <c r="F244" s="732"/>
      <c r="G244" s="732"/>
      <c r="H244" s="732"/>
      <c r="I244" s="732"/>
      <c r="J244" s="732"/>
      <c r="K244" s="732"/>
      <c r="L244" s="732"/>
      <c r="M244" s="732"/>
      <c r="N244" s="732"/>
      <c r="O244" s="732"/>
      <c r="P244" s="732"/>
      <c r="Q244" s="732"/>
      <c r="R244" s="732"/>
      <c r="S244" s="732"/>
      <c r="T244" s="732"/>
      <c r="U244" s="732"/>
      <c r="V244" s="733"/>
      <c r="W244" s="732"/>
      <c r="X244" s="732"/>
      <c r="Y244" s="732"/>
      <c r="Z244" s="732"/>
      <c r="AA244" s="732"/>
    </row>
    <row r="245" spans="1:27" ht="24.75" customHeight="1">
      <c r="A245" s="732"/>
      <c r="B245" s="732"/>
      <c r="C245" s="732"/>
      <c r="D245" s="732"/>
      <c r="E245" s="732"/>
      <c r="F245" s="732"/>
      <c r="G245" s="732"/>
      <c r="H245" s="732"/>
      <c r="I245" s="732"/>
      <c r="J245" s="732"/>
      <c r="K245" s="732"/>
      <c r="L245" s="732"/>
      <c r="M245" s="732"/>
      <c r="N245" s="732"/>
      <c r="O245" s="732"/>
      <c r="P245" s="732"/>
      <c r="Q245" s="732"/>
      <c r="R245" s="732"/>
      <c r="S245" s="732"/>
      <c r="T245" s="732"/>
      <c r="U245" s="732"/>
      <c r="V245" s="733"/>
      <c r="W245" s="732"/>
      <c r="X245" s="732"/>
      <c r="Y245" s="732"/>
      <c r="Z245" s="732"/>
      <c r="AA245" s="732"/>
    </row>
    <row r="246" spans="1:27" ht="24.75" customHeight="1">
      <c r="A246" s="732"/>
      <c r="B246" s="732"/>
      <c r="C246" s="732"/>
      <c r="D246" s="732"/>
      <c r="E246" s="732"/>
      <c r="F246" s="732"/>
      <c r="G246" s="732"/>
      <c r="H246" s="732"/>
      <c r="I246" s="732"/>
      <c r="J246" s="732"/>
      <c r="K246" s="732"/>
      <c r="L246" s="732"/>
      <c r="M246" s="732"/>
      <c r="N246" s="732"/>
      <c r="O246" s="732"/>
      <c r="P246" s="732"/>
      <c r="Q246" s="732"/>
      <c r="R246" s="732"/>
      <c r="S246" s="732"/>
      <c r="T246" s="732"/>
      <c r="U246" s="732"/>
      <c r="V246" s="733"/>
      <c r="W246" s="732"/>
      <c r="X246" s="732"/>
      <c r="Y246" s="732"/>
      <c r="Z246" s="732"/>
      <c r="AA246" s="732"/>
    </row>
    <row r="247" spans="1:27" ht="24.75" customHeight="1">
      <c r="A247" s="732"/>
      <c r="B247" s="732"/>
      <c r="C247" s="732"/>
      <c r="D247" s="732"/>
      <c r="E247" s="732"/>
      <c r="F247" s="732"/>
      <c r="G247" s="732"/>
      <c r="H247" s="732"/>
      <c r="I247" s="732"/>
      <c r="J247" s="732"/>
      <c r="K247" s="732"/>
      <c r="L247" s="732"/>
      <c r="M247" s="732"/>
      <c r="N247" s="732"/>
      <c r="O247" s="732"/>
      <c r="P247" s="732"/>
      <c r="Q247" s="732"/>
      <c r="R247" s="732"/>
      <c r="S247" s="732"/>
      <c r="T247" s="732"/>
      <c r="U247" s="732"/>
      <c r="V247" s="733"/>
      <c r="W247" s="732"/>
      <c r="X247" s="732"/>
      <c r="Y247" s="732"/>
      <c r="Z247" s="732"/>
      <c r="AA247" s="732"/>
    </row>
    <row r="248" spans="1:27" ht="24.75" customHeight="1">
      <c r="A248" s="732"/>
      <c r="B248" s="732"/>
      <c r="C248" s="732"/>
      <c r="D248" s="732"/>
      <c r="E248" s="732"/>
      <c r="F248" s="732"/>
      <c r="G248" s="732"/>
      <c r="H248" s="732"/>
      <c r="I248" s="732"/>
      <c r="J248" s="732"/>
      <c r="K248" s="732"/>
      <c r="L248" s="732"/>
      <c r="M248" s="732"/>
      <c r="N248" s="732"/>
      <c r="O248" s="732"/>
      <c r="P248" s="732"/>
      <c r="Q248" s="732"/>
      <c r="R248" s="732"/>
      <c r="S248" s="732"/>
      <c r="T248" s="732"/>
      <c r="U248" s="732"/>
      <c r="V248" s="733"/>
      <c r="W248" s="732"/>
      <c r="X248" s="732"/>
      <c r="Y248" s="732"/>
      <c r="Z248" s="732"/>
      <c r="AA248" s="732"/>
    </row>
    <row r="249" spans="1:27" ht="24.75" customHeight="1">
      <c r="A249" s="732"/>
      <c r="B249" s="732"/>
      <c r="C249" s="732"/>
      <c r="D249" s="732"/>
      <c r="E249" s="732"/>
      <c r="F249" s="732"/>
      <c r="G249" s="732"/>
      <c r="H249" s="732"/>
      <c r="I249" s="732"/>
      <c r="J249" s="732"/>
      <c r="K249" s="732"/>
      <c r="L249" s="732"/>
      <c r="M249" s="732"/>
      <c r="N249" s="732"/>
      <c r="O249" s="732"/>
      <c r="P249" s="732"/>
      <c r="Q249" s="732"/>
      <c r="R249" s="732"/>
      <c r="S249" s="732"/>
      <c r="T249" s="732"/>
      <c r="U249" s="732"/>
      <c r="V249" s="733"/>
      <c r="W249" s="732"/>
      <c r="X249" s="732"/>
      <c r="Y249" s="732"/>
      <c r="Z249" s="732"/>
      <c r="AA249" s="732"/>
    </row>
    <row r="250" spans="1:27" ht="24.75" customHeight="1">
      <c r="A250" s="732"/>
      <c r="B250" s="732"/>
      <c r="C250" s="732"/>
      <c r="D250" s="732"/>
      <c r="E250" s="732"/>
      <c r="F250" s="732"/>
      <c r="G250" s="732"/>
      <c r="H250" s="732"/>
      <c r="I250" s="732"/>
      <c r="J250" s="732"/>
      <c r="K250" s="732"/>
      <c r="L250" s="732"/>
      <c r="M250" s="732"/>
      <c r="N250" s="732"/>
      <c r="O250" s="732"/>
      <c r="P250" s="732"/>
      <c r="Q250" s="732"/>
      <c r="R250" s="732"/>
      <c r="S250" s="732"/>
      <c r="T250" s="732"/>
      <c r="U250" s="732"/>
      <c r="V250" s="733"/>
      <c r="W250" s="732"/>
      <c r="X250" s="732"/>
      <c r="Y250" s="732"/>
      <c r="Z250" s="732"/>
      <c r="AA250" s="732"/>
    </row>
    <row r="251" spans="1:27" ht="24.75" customHeight="1">
      <c r="A251" s="732"/>
      <c r="B251" s="732"/>
      <c r="C251" s="732"/>
      <c r="D251" s="732"/>
      <c r="E251" s="732"/>
      <c r="F251" s="732"/>
      <c r="G251" s="732"/>
      <c r="H251" s="732"/>
      <c r="I251" s="732"/>
      <c r="J251" s="732"/>
      <c r="K251" s="732"/>
      <c r="L251" s="732"/>
      <c r="M251" s="732"/>
      <c r="N251" s="732"/>
      <c r="O251" s="732"/>
      <c r="P251" s="732"/>
      <c r="Q251" s="732"/>
      <c r="R251" s="732"/>
      <c r="S251" s="732"/>
      <c r="T251" s="732"/>
      <c r="U251" s="732"/>
      <c r="V251" s="733"/>
      <c r="W251" s="732"/>
      <c r="X251" s="732"/>
      <c r="Y251" s="732"/>
      <c r="Z251" s="732"/>
      <c r="AA251" s="732"/>
    </row>
    <row r="252" spans="1:27" ht="24.75" customHeight="1">
      <c r="A252" s="732"/>
      <c r="B252" s="732"/>
      <c r="C252" s="732"/>
      <c r="D252" s="732"/>
      <c r="E252" s="732"/>
      <c r="F252" s="732"/>
      <c r="G252" s="732"/>
      <c r="H252" s="732"/>
      <c r="I252" s="732"/>
      <c r="J252" s="732"/>
      <c r="K252" s="732"/>
      <c r="L252" s="732"/>
      <c r="M252" s="732"/>
      <c r="N252" s="732"/>
      <c r="O252" s="732"/>
      <c r="P252" s="732"/>
      <c r="Q252" s="732"/>
      <c r="R252" s="732"/>
      <c r="S252" s="732"/>
      <c r="T252" s="732"/>
      <c r="U252" s="732"/>
      <c r="V252" s="733"/>
      <c r="W252" s="732"/>
      <c r="X252" s="732"/>
      <c r="Y252" s="732"/>
      <c r="Z252" s="732"/>
      <c r="AA252" s="732"/>
    </row>
    <row r="253" spans="1:27" ht="24.75" customHeight="1">
      <c r="A253" s="732"/>
      <c r="B253" s="732"/>
      <c r="C253" s="732"/>
      <c r="D253" s="732"/>
      <c r="E253" s="732"/>
      <c r="F253" s="732"/>
      <c r="G253" s="732"/>
      <c r="H253" s="732"/>
      <c r="I253" s="732"/>
      <c r="J253" s="732"/>
      <c r="K253" s="732"/>
      <c r="L253" s="732"/>
      <c r="M253" s="732"/>
      <c r="N253" s="732"/>
      <c r="O253" s="732"/>
      <c r="P253" s="732"/>
      <c r="Q253" s="732"/>
      <c r="R253" s="732"/>
      <c r="S253" s="732"/>
      <c r="T253" s="732"/>
      <c r="U253" s="732"/>
      <c r="V253" s="733"/>
      <c r="W253" s="732"/>
      <c r="X253" s="732"/>
      <c r="Y253" s="732"/>
      <c r="Z253" s="732"/>
      <c r="AA253" s="732"/>
    </row>
    <row r="254" spans="1:27" ht="24.75" customHeight="1">
      <c r="A254" s="732"/>
      <c r="B254" s="732"/>
      <c r="C254" s="732"/>
      <c r="D254" s="732"/>
      <c r="E254" s="732"/>
      <c r="F254" s="732"/>
      <c r="G254" s="732"/>
      <c r="H254" s="732"/>
      <c r="I254" s="732"/>
      <c r="J254" s="732"/>
      <c r="K254" s="732"/>
      <c r="L254" s="732"/>
      <c r="M254" s="732"/>
      <c r="N254" s="732"/>
      <c r="O254" s="732"/>
      <c r="P254" s="732"/>
      <c r="Q254" s="732"/>
      <c r="R254" s="732"/>
      <c r="S254" s="732"/>
      <c r="T254" s="732"/>
      <c r="U254" s="732"/>
      <c r="V254" s="733"/>
      <c r="W254" s="732"/>
      <c r="X254" s="732"/>
      <c r="Y254" s="732"/>
      <c r="Z254" s="732"/>
      <c r="AA254" s="732"/>
    </row>
    <row r="255" spans="1:27" ht="24.75" customHeight="1">
      <c r="A255" s="732"/>
      <c r="B255" s="732"/>
      <c r="C255" s="732"/>
      <c r="D255" s="732"/>
      <c r="E255" s="732"/>
      <c r="F255" s="732"/>
      <c r="G255" s="732"/>
      <c r="H255" s="732"/>
      <c r="I255" s="732"/>
      <c r="J255" s="732"/>
      <c r="K255" s="732"/>
      <c r="L255" s="732"/>
      <c r="M255" s="732"/>
      <c r="N255" s="732"/>
      <c r="O255" s="732"/>
      <c r="P255" s="732"/>
      <c r="Q255" s="732"/>
      <c r="R255" s="732"/>
      <c r="S255" s="732"/>
      <c r="T255" s="732"/>
      <c r="U255" s="732"/>
      <c r="V255" s="733"/>
      <c r="W255" s="732"/>
      <c r="X255" s="732"/>
      <c r="Y255" s="732"/>
      <c r="Z255" s="732"/>
      <c r="AA255" s="732"/>
    </row>
    <row r="256" spans="1:27" ht="24.75" customHeight="1">
      <c r="A256" s="732"/>
      <c r="B256" s="732"/>
      <c r="C256" s="732"/>
      <c r="D256" s="732"/>
      <c r="E256" s="732"/>
      <c r="F256" s="732"/>
      <c r="G256" s="732"/>
      <c r="H256" s="732"/>
      <c r="I256" s="732"/>
      <c r="J256" s="732"/>
      <c r="K256" s="732"/>
      <c r="L256" s="732"/>
      <c r="M256" s="732"/>
      <c r="N256" s="732"/>
      <c r="O256" s="732"/>
      <c r="P256" s="732"/>
      <c r="Q256" s="732"/>
      <c r="R256" s="732"/>
      <c r="S256" s="732"/>
      <c r="T256" s="732"/>
      <c r="U256" s="732"/>
      <c r="V256" s="733"/>
      <c r="W256" s="732"/>
      <c r="X256" s="732"/>
      <c r="Y256" s="732"/>
      <c r="Z256" s="732"/>
      <c r="AA256" s="732"/>
    </row>
    <row r="257" spans="1:27" ht="24.75" customHeight="1">
      <c r="A257" s="732"/>
      <c r="B257" s="732"/>
      <c r="C257" s="732"/>
      <c r="D257" s="732"/>
      <c r="E257" s="732"/>
      <c r="F257" s="732"/>
      <c r="G257" s="732"/>
      <c r="H257" s="732"/>
      <c r="I257" s="732"/>
      <c r="J257" s="732"/>
      <c r="K257" s="732"/>
      <c r="L257" s="732"/>
      <c r="M257" s="732"/>
      <c r="N257" s="732"/>
      <c r="O257" s="732"/>
      <c r="P257" s="732"/>
      <c r="Q257" s="732"/>
      <c r="R257" s="732"/>
      <c r="S257" s="732"/>
      <c r="T257" s="732"/>
      <c r="U257" s="732"/>
      <c r="V257" s="733"/>
      <c r="W257" s="732"/>
      <c r="X257" s="732"/>
      <c r="Y257" s="732"/>
      <c r="Z257" s="732"/>
      <c r="AA257" s="732"/>
    </row>
    <row r="258" spans="1:27" ht="24.75" customHeight="1">
      <c r="A258" s="732"/>
      <c r="B258" s="732"/>
      <c r="C258" s="732"/>
      <c r="D258" s="732"/>
      <c r="E258" s="732"/>
      <c r="F258" s="732"/>
      <c r="G258" s="732"/>
      <c r="H258" s="732"/>
      <c r="I258" s="732"/>
      <c r="J258" s="732"/>
      <c r="K258" s="732"/>
      <c r="L258" s="732"/>
      <c r="M258" s="732"/>
      <c r="N258" s="732"/>
      <c r="O258" s="732"/>
      <c r="P258" s="732"/>
      <c r="Q258" s="732"/>
      <c r="R258" s="732"/>
      <c r="S258" s="732"/>
      <c r="T258" s="732"/>
      <c r="U258" s="732"/>
      <c r="V258" s="733"/>
      <c r="W258" s="732"/>
      <c r="X258" s="732"/>
      <c r="Y258" s="732"/>
      <c r="Z258" s="732"/>
      <c r="AA258" s="732"/>
    </row>
    <row r="259" spans="1:27" ht="24.75" customHeight="1">
      <c r="A259" s="732"/>
      <c r="B259" s="732"/>
      <c r="C259" s="732"/>
      <c r="D259" s="732"/>
      <c r="E259" s="732"/>
      <c r="F259" s="732"/>
      <c r="G259" s="732"/>
      <c r="H259" s="732"/>
      <c r="I259" s="732"/>
      <c r="J259" s="732"/>
      <c r="K259" s="732"/>
      <c r="L259" s="732"/>
      <c r="M259" s="732"/>
      <c r="N259" s="732"/>
      <c r="O259" s="732"/>
      <c r="P259" s="732"/>
      <c r="Q259" s="732"/>
      <c r="R259" s="732"/>
      <c r="S259" s="732"/>
      <c r="T259" s="732"/>
      <c r="U259" s="732"/>
      <c r="V259" s="733"/>
      <c r="W259" s="732"/>
      <c r="X259" s="732"/>
      <c r="Y259" s="732"/>
      <c r="Z259" s="732"/>
      <c r="AA259" s="732"/>
    </row>
    <row r="260" spans="1:27" ht="24.75" customHeight="1">
      <c r="A260" s="732"/>
      <c r="B260" s="732"/>
      <c r="C260" s="732"/>
      <c r="D260" s="732"/>
      <c r="E260" s="732"/>
      <c r="F260" s="732"/>
      <c r="G260" s="732"/>
      <c r="H260" s="732"/>
      <c r="I260" s="732"/>
      <c r="J260" s="732"/>
      <c r="K260" s="732"/>
      <c r="L260" s="732"/>
      <c r="M260" s="732"/>
      <c r="N260" s="732"/>
      <c r="O260" s="732"/>
      <c r="P260" s="732"/>
      <c r="Q260" s="732"/>
      <c r="R260" s="732"/>
      <c r="S260" s="732"/>
      <c r="T260" s="732"/>
      <c r="U260" s="732"/>
      <c r="V260" s="733"/>
      <c r="W260" s="732"/>
      <c r="X260" s="732"/>
      <c r="Y260" s="732"/>
      <c r="Z260" s="732"/>
      <c r="AA260" s="732"/>
    </row>
    <row r="261" spans="1:27" ht="24.75" customHeight="1">
      <c r="A261" s="732"/>
      <c r="B261" s="732"/>
      <c r="C261" s="732"/>
      <c r="D261" s="732"/>
      <c r="E261" s="732"/>
      <c r="F261" s="732"/>
      <c r="G261" s="732"/>
      <c r="H261" s="732"/>
      <c r="I261" s="732"/>
      <c r="J261" s="732"/>
      <c r="K261" s="732"/>
      <c r="L261" s="732"/>
      <c r="M261" s="732"/>
      <c r="N261" s="732"/>
      <c r="O261" s="732"/>
      <c r="P261" s="732"/>
      <c r="Q261" s="732"/>
      <c r="R261" s="732"/>
      <c r="S261" s="732"/>
      <c r="T261" s="732"/>
      <c r="U261" s="732"/>
      <c r="V261" s="733"/>
      <c r="W261" s="732"/>
      <c r="X261" s="732"/>
      <c r="Y261" s="732"/>
      <c r="Z261" s="732"/>
      <c r="AA261" s="732"/>
    </row>
    <row r="262" spans="1:27" ht="24.75" customHeight="1">
      <c r="A262" s="732"/>
      <c r="B262" s="732"/>
      <c r="C262" s="732"/>
      <c r="D262" s="732"/>
      <c r="E262" s="732"/>
      <c r="F262" s="732"/>
      <c r="G262" s="732"/>
      <c r="H262" s="732"/>
      <c r="I262" s="732"/>
      <c r="J262" s="732"/>
      <c r="K262" s="732"/>
      <c r="L262" s="732"/>
      <c r="M262" s="732"/>
      <c r="N262" s="732"/>
      <c r="O262" s="732"/>
      <c r="P262" s="732"/>
      <c r="Q262" s="732"/>
      <c r="R262" s="732"/>
      <c r="S262" s="732"/>
      <c r="T262" s="732"/>
      <c r="U262" s="732"/>
      <c r="V262" s="733"/>
      <c r="W262" s="732"/>
      <c r="X262" s="732"/>
      <c r="Y262" s="732"/>
      <c r="Z262" s="732"/>
      <c r="AA262" s="732"/>
    </row>
    <row r="263" spans="1:27" ht="24.75" customHeight="1">
      <c r="A263" s="732"/>
      <c r="B263" s="732"/>
      <c r="C263" s="732"/>
      <c r="D263" s="732"/>
      <c r="E263" s="732"/>
      <c r="F263" s="732"/>
      <c r="G263" s="732"/>
      <c r="H263" s="732"/>
      <c r="I263" s="732"/>
      <c r="J263" s="732"/>
      <c r="K263" s="732"/>
      <c r="L263" s="732"/>
      <c r="M263" s="732"/>
      <c r="N263" s="732"/>
      <c r="O263" s="732"/>
      <c r="P263" s="732"/>
      <c r="Q263" s="732"/>
      <c r="R263" s="732"/>
      <c r="S263" s="732"/>
      <c r="T263" s="732"/>
      <c r="U263" s="732"/>
      <c r="V263" s="733"/>
      <c r="W263" s="732"/>
      <c r="X263" s="732"/>
      <c r="Y263" s="732"/>
      <c r="Z263" s="732"/>
      <c r="AA263" s="732"/>
    </row>
    <row r="264" spans="1:27" ht="24.75" customHeight="1">
      <c r="A264" s="732"/>
      <c r="B264" s="732"/>
      <c r="C264" s="732"/>
      <c r="D264" s="732"/>
      <c r="E264" s="732"/>
      <c r="F264" s="732"/>
      <c r="G264" s="732"/>
      <c r="H264" s="732"/>
      <c r="I264" s="732"/>
      <c r="J264" s="732"/>
      <c r="K264" s="732"/>
      <c r="L264" s="732"/>
      <c r="M264" s="732"/>
      <c r="N264" s="732"/>
      <c r="O264" s="732"/>
      <c r="P264" s="732"/>
      <c r="Q264" s="732"/>
      <c r="R264" s="732"/>
      <c r="S264" s="732"/>
      <c r="T264" s="732"/>
      <c r="U264" s="732"/>
      <c r="V264" s="733"/>
      <c r="W264" s="732"/>
      <c r="X264" s="732"/>
      <c r="Y264" s="732"/>
      <c r="Z264" s="732"/>
      <c r="AA264" s="732"/>
    </row>
    <row r="265" spans="1:27" ht="24.75" customHeight="1">
      <c r="A265" s="732"/>
      <c r="B265" s="732"/>
      <c r="C265" s="732"/>
      <c r="D265" s="732"/>
      <c r="E265" s="732"/>
      <c r="F265" s="732"/>
      <c r="G265" s="732"/>
      <c r="H265" s="732"/>
      <c r="I265" s="732"/>
      <c r="J265" s="732"/>
      <c r="K265" s="732"/>
      <c r="L265" s="732"/>
      <c r="M265" s="732"/>
      <c r="N265" s="732"/>
      <c r="O265" s="732"/>
      <c r="P265" s="732"/>
      <c r="Q265" s="732"/>
      <c r="R265" s="732"/>
      <c r="S265" s="732"/>
      <c r="T265" s="732"/>
      <c r="U265" s="732"/>
      <c r="V265" s="733"/>
      <c r="W265" s="732"/>
      <c r="X265" s="732"/>
      <c r="Y265" s="732"/>
      <c r="Z265" s="732"/>
      <c r="AA265" s="732"/>
    </row>
    <row r="266" spans="1:27" ht="24.75" customHeight="1">
      <c r="A266" s="732"/>
      <c r="B266" s="732"/>
      <c r="C266" s="732"/>
      <c r="D266" s="732"/>
      <c r="E266" s="732"/>
      <c r="F266" s="732"/>
      <c r="G266" s="732"/>
      <c r="H266" s="732"/>
      <c r="I266" s="732"/>
      <c r="J266" s="732"/>
      <c r="K266" s="732"/>
      <c r="L266" s="732"/>
      <c r="M266" s="732"/>
      <c r="N266" s="732"/>
      <c r="O266" s="732"/>
      <c r="P266" s="732"/>
      <c r="Q266" s="732"/>
      <c r="R266" s="732"/>
      <c r="S266" s="732"/>
      <c r="T266" s="732"/>
      <c r="U266" s="732"/>
      <c r="V266" s="733"/>
      <c r="W266" s="732"/>
      <c r="X266" s="732"/>
      <c r="Y266" s="732"/>
      <c r="Z266" s="732"/>
      <c r="AA266" s="732"/>
    </row>
    <row r="267" spans="1:27" ht="24.75" customHeight="1">
      <c r="A267" s="732"/>
      <c r="B267" s="732"/>
      <c r="C267" s="732"/>
      <c r="D267" s="732"/>
      <c r="E267" s="732"/>
      <c r="F267" s="732"/>
      <c r="G267" s="732"/>
      <c r="H267" s="732"/>
      <c r="I267" s="732"/>
      <c r="J267" s="732"/>
      <c r="K267" s="732"/>
      <c r="L267" s="732"/>
      <c r="M267" s="732"/>
      <c r="N267" s="732"/>
      <c r="O267" s="732"/>
      <c r="P267" s="732"/>
      <c r="Q267" s="732"/>
      <c r="R267" s="732"/>
      <c r="S267" s="732"/>
      <c r="T267" s="732"/>
      <c r="U267" s="732"/>
      <c r="V267" s="733"/>
      <c r="W267" s="732"/>
      <c r="X267" s="732"/>
      <c r="Y267" s="732"/>
      <c r="Z267" s="732"/>
      <c r="AA267" s="732"/>
    </row>
    <row r="268" spans="1:27" ht="24.75" customHeight="1">
      <c r="A268" s="732"/>
      <c r="B268" s="732"/>
      <c r="C268" s="732"/>
      <c r="D268" s="732"/>
      <c r="E268" s="732"/>
      <c r="F268" s="732"/>
      <c r="G268" s="732"/>
      <c r="H268" s="732"/>
      <c r="I268" s="732"/>
      <c r="J268" s="732"/>
      <c r="K268" s="732"/>
      <c r="L268" s="732"/>
      <c r="M268" s="732"/>
      <c r="N268" s="732"/>
      <c r="O268" s="732"/>
      <c r="P268" s="732"/>
      <c r="Q268" s="732"/>
      <c r="R268" s="732"/>
      <c r="S268" s="732"/>
      <c r="T268" s="732"/>
      <c r="U268" s="732"/>
      <c r="V268" s="733"/>
      <c r="W268" s="732"/>
      <c r="X268" s="732"/>
      <c r="Y268" s="732"/>
      <c r="Z268" s="732"/>
      <c r="AA268" s="732"/>
    </row>
    <row r="269" spans="1:27" ht="24.75" customHeight="1">
      <c r="A269" s="732"/>
      <c r="B269" s="732"/>
      <c r="C269" s="732"/>
      <c r="D269" s="732"/>
      <c r="E269" s="732"/>
      <c r="F269" s="732"/>
      <c r="G269" s="732"/>
      <c r="H269" s="732"/>
      <c r="I269" s="732"/>
      <c r="J269" s="732"/>
      <c r="K269" s="732"/>
      <c r="L269" s="732"/>
      <c r="M269" s="732"/>
      <c r="N269" s="732"/>
      <c r="O269" s="732"/>
      <c r="P269" s="732"/>
      <c r="Q269" s="732"/>
      <c r="R269" s="732"/>
      <c r="S269" s="732"/>
      <c r="T269" s="732"/>
      <c r="U269" s="732"/>
      <c r="V269" s="733"/>
      <c r="W269" s="732"/>
      <c r="X269" s="732"/>
      <c r="Y269" s="732"/>
      <c r="Z269" s="732"/>
      <c r="AA269" s="732"/>
    </row>
    <row r="270" spans="1:27" ht="24.75" customHeight="1">
      <c r="A270" s="732"/>
      <c r="B270" s="732"/>
      <c r="C270" s="732"/>
      <c r="D270" s="732"/>
      <c r="E270" s="732"/>
      <c r="F270" s="732"/>
      <c r="G270" s="732"/>
      <c r="H270" s="732"/>
      <c r="I270" s="732"/>
      <c r="J270" s="732"/>
      <c r="K270" s="732"/>
      <c r="L270" s="732"/>
      <c r="M270" s="732"/>
      <c r="N270" s="732"/>
      <c r="O270" s="732"/>
      <c r="P270" s="732"/>
      <c r="Q270" s="732"/>
      <c r="R270" s="732"/>
      <c r="S270" s="732"/>
      <c r="T270" s="732"/>
      <c r="U270" s="732"/>
      <c r="V270" s="733"/>
      <c r="W270" s="732"/>
      <c r="X270" s="732"/>
      <c r="Y270" s="732"/>
      <c r="Z270" s="732"/>
      <c r="AA270" s="732"/>
    </row>
    <row r="271" spans="1:27" ht="24.75" customHeight="1">
      <c r="A271" s="732"/>
      <c r="B271" s="732"/>
      <c r="C271" s="732"/>
      <c r="D271" s="732"/>
      <c r="E271" s="732"/>
      <c r="F271" s="732"/>
      <c r="G271" s="732"/>
      <c r="H271" s="732"/>
      <c r="I271" s="732"/>
      <c r="J271" s="732"/>
      <c r="K271" s="732"/>
      <c r="L271" s="732"/>
      <c r="M271" s="732"/>
      <c r="N271" s="732"/>
      <c r="O271" s="732"/>
      <c r="P271" s="732"/>
      <c r="Q271" s="732"/>
      <c r="R271" s="732"/>
      <c r="S271" s="732"/>
      <c r="T271" s="732"/>
      <c r="U271" s="732"/>
      <c r="V271" s="733"/>
      <c r="W271" s="732"/>
      <c r="X271" s="732"/>
      <c r="Y271" s="732"/>
      <c r="Z271" s="732"/>
      <c r="AA271" s="732"/>
    </row>
    <row r="272" spans="1:27" ht="24.75" customHeight="1">
      <c r="A272" s="732"/>
      <c r="B272" s="732"/>
      <c r="C272" s="732"/>
      <c r="D272" s="732"/>
      <c r="E272" s="732"/>
      <c r="F272" s="732"/>
      <c r="G272" s="732"/>
      <c r="H272" s="732"/>
      <c r="I272" s="732"/>
      <c r="J272" s="732"/>
      <c r="K272" s="732"/>
      <c r="L272" s="732"/>
      <c r="M272" s="732"/>
      <c r="N272" s="732"/>
      <c r="O272" s="732"/>
      <c r="P272" s="732"/>
      <c r="Q272" s="732"/>
      <c r="R272" s="732"/>
      <c r="S272" s="732"/>
      <c r="T272" s="732"/>
      <c r="U272" s="732"/>
      <c r="V272" s="733"/>
      <c r="W272" s="732"/>
      <c r="X272" s="732"/>
      <c r="Y272" s="732"/>
      <c r="Z272" s="732"/>
      <c r="AA272" s="732"/>
    </row>
    <row r="273" spans="1:27" ht="24.75" customHeight="1">
      <c r="A273" s="732"/>
      <c r="B273" s="732"/>
      <c r="C273" s="732"/>
      <c r="D273" s="732"/>
      <c r="E273" s="732"/>
      <c r="F273" s="732"/>
      <c r="G273" s="732"/>
      <c r="H273" s="732"/>
      <c r="I273" s="732"/>
      <c r="J273" s="732"/>
      <c r="K273" s="732"/>
      <c r="L273" s="732"/>
      <c r="M273" s="732"/>
      <c r="N273" s="732"/>
      <c r="O273" s="732"/>
      <c r="P273" s="732"/>
      <c r="Q273" s="732"/>
      <c r="R273" s="732"/>
      <c r="S273" s="732"/>
      <c r="T273" s="732"/>
      <c r="U273" s="732"/>
      <c r="V273" s="733"/>
      <c r="W273" s="732"/>
      <c r="X273" s="732"/>
      <c r="Y273" s="732"/>
      <c r="Z273" s="732"/>
      <c r="AA273" s="732"/>
    </row>
    <row r="274" spans="1:27" ht="24.75" customHeight="1">
      <c r="A274" s="732"/>
      <c r="B274" s="732"/>
      <c r="C274" s="732"/>
      <c r="D274" s="732"/>
      <c r="E274" s="732"/>
      <c r="F274" s="732"/>
      <c r="G274" s="732"/>
      <c r="H274" s="732"/>
      <c r="I274" s="732"/>
      <c r="J274" s="732"/>
      <c r="K274" s="732"/>
      <c r="L274" s="732"/>
      <c r="M274" s="732"/>
      <c r="N274" s="732"/>
      <c r="O274" s="732"/>
      <c r="P274" s="732"/>
      <c r="Q274" s="732"/>
      <c r="R274" s="732"/>
      <c r="S274" s="732"/>
      <c r="T274" s="732"/>
      <c r="U274" s="732"/>
      <c r="V274" s="733"/>
      <c r="W274" s="732"/>
      <c r="X274" s="732"/>
      <c r="Y274" s="732"/>
      <c r="Z274" s="732"/>
      <c r="AA274" s="732"/>
    </row>
    <row r="275" spans="1:27" ht="24.75" customHeight="1">
      <c r="A275" s="732"/>
      <c r="B275" s="732"/>
      <c r="C275" s="732"/>
      <c r="D275" s="732"/>
      <c r="E275" s="732"/>
      <c r="F275" s="732"/>
      <c r="G275" s="732"/>
      <c r="H275" s="732"/>
      <c r="I275" s="732"/>
      <c r="J275" s="732"/>
      <c r="K275" s="732"/>
      <c r="L275" s="732"/>
      <c r="M275" s="732"/>
      <c r="N275" s="732"/>
      <c r="O275" s="732"/>
      <c r="P275" s="732"/>
      <c r="Q275" s="732"/>
      <c r="R275" s="732"/>
      <c r="S275" s="732"/>
      <c r="T275" s="732"/>
      <c r="U275" s="732"/>
      <c r="V275" s="733"/>
      <c r="W275" s="732"/>
      <c r="X275" s="732"/>
      <c r="Y275" s="732"/>
      <c r="Z275" s="732"/>
      <c r="AA275" s="732"/>
    </row>
    <row r="276" spans="1:27" ht="24.75" customHeight="1">
      <c r="A276" s="732"/>
      <c r="B276" s="732"/>
      <c r="C276" s="732"/>
      <c r="D276" s="732"/>
      <c r="E276" s="732"/>
      <c r="F276" s="732"/>
      <c r="G276" s="732"/>
      <c r="H276" s="732"/>
      <c r="I276" s="732"/>
      <c r="J276" s="732"/>
      <c r="K276" s="732"/>
      <c r="L276" s="732"/>
      <c r="M276" s="732"/>
      <c r="N276" s="732"/>
      <c r="O276" s="732"/>
      <c r="P276" s="732"/>
      <c r="Q276" s="732"/>
      <c r="R276" s="732"/>
      <c r="S276" s="732"/>
      <c r="T276" s="732"/>
      <c r="U276" s="732"/>
      <c r="V276" s="733"/>
      <c r="W276" s="732"/>
      <c r="X276" s="732"/>
      <c r="Y276" s="732"/>
      <c r="Z276" s="732"/>
      <c r="AA276" s="732"/>
    </row>
    <row r="277" spans="1:27" ht="24.75" customHeight="1">
      <c r="A277" s="732"/>
      <c r="B277" s="732"/>
      <c r="C277" s="732"/>
      <c r="D277" s="732"/>
      <c r="E277" s="732"/>
      <c r="F277" s="732"/>
      <c r="G277" s="732"/>
      <c r="H277" s="732"/>
      <c r="I277" s="732"/>
      <c r="J277" s="732"/>
      <c r="K277" s="732"/>
      <c r="L277" s="732"/>
      <c r="M277" s="732"/>
      <c r="N277" s="732"/>
      <c r="O277" s="732"/>
      <c r="P277" s="732"/>
      <c r="Q277" s="732"/>
      <c r="R277" s="732"/>
      <c r="S277" s="732"/>
      <c r="T277" s="732"/>
      <c r="U277" s="732"/>
      <c r="V277" s="733"/>
      <c r="W277" s="732"/>
      <c r="X277" s="732"/>
      <c r="Y277" s="732"/>
      <c r="Z277" s="732"/>
      <c r="AA277" s="732"/>
    </row>
    <row r="278" spans="1:27" ht="24.75" customHeight="1">
      <c r="A278" s="732"/>
      <c r="B278" s="732"/>
      <c r="C278" s="732"/>
      <c r="D278" s="732"/>
      <c r="E278" s="732"/>
      <c r="F278" s="732"/>
      <c r="G278" s="732"/>
      <c r="H278" s="732"/>
      <c r="I278" s="732"/>
      <c r="J278" s="732"/>
      <c r="K278" s="732"/>
      <c r="L278" s="732"/>
      <c r="M278" s="732"/>
      <c r="N278" s="732"/>
      <c r="O278" s="732"/>
      <c r="P278" s="732"/>
      <c r="Q278" s="732"/>
      <c r="R278" s="732"/>
      <c r="S278" s="732"/>
      <c r="T278" s="732"/>
      <c r="U278" s="732"/>
      <c r="V278" s="733"/>
      <c r="W278" s="732"/>
      <c r="X278" s="732"/>
      <c r="Y278" s="732"/>
      <c r="Z278" s="732"/>
      <c r="AA278" s="732"/>
    </row>
    <row r="279" spans="1:27" ht="24.75" customHeight="1">
      <c r="A279" s="732"/>
      <c r="B279" s="732"/>
      <c r="C279" s="732"/>
      <c r="D279" s="732"/>
      <c r="E279" s="732"/>
      <c r="F279" s="732"/>
      <c r="G279" s="732"/>
      <c r="H279" s="732"/>
      <c r="I279" s="732"/>
      <c r="J279" s="732"/>
      <c r="K279" s="732"/>
      <c r="L279" s="732"/>
      <c r="M279" s="732"/>
      <c r="N279" s="732"/>
      <c r="O279" s="732"/>
      <c r="P279" s="732"/>
      <c r="Q279" s="732"/>
      <c r="R279" s="732"/>
      <c r="S279" s="732"/>
      <c r="T279" s="732"/>
      <c r="U279" s="732"/>
      <c r="V279" s="733"/>
      <c r="W279" s="732"/>
      <c r="X279" s="732"/>
      <c r="Y279" s="732"/>
      <c r="Z279" s="732"/>
      <c r="AA279" s="732"/>
    </row>
    <row r="280" spans="1:27" ht="24.75" customHeight="1">
      <c r="A280" s="732"/>
      <c r="B280" s="732"/>
      <c r="C280" s="732"/>
      <c r="D280" s="732"/>
      <c r="E280" s="732"/>
      <c r="F280" s="732"/>
      <c r="G280" s="732"/>
      <c r="H280" s="732"/>
      <c r="I280" s="732"/>
      <c r="J280" s="732"/>
      <c r="K280" s="732"/>
      <c r="L280" s="732"/>
      <c r="M280" s="732"/>
      <c r="N280" s="732"/>
      <c r="O280" s="732"/>
      <c r="P280" s="732"/>
      <c r="Q280" s="732"/>
      <c r="R280" s="732"/>
      <c r="S280" s="732"/>
      <c r="T280" s="732"/>
      <c r="U280" s="732"/>
      <c r="V280" s="733"/>
      <c r="W280" s="732"/>
      <c r="X280" s="732"/>
      <c r="Y280" s="732"/>
      <c r="Z280" s="732"/>
      <c r="AA280" s="732"/>
    </row>
    <row r="281" spans="1:27" ht="24.75" customHeight="1">
      <c r="A281" s="732"/>
      <c r="B281" s="732"/>
      <c r="C281" s="732"/>
      <c r="D281" s="732"/>
      <c r="E281" s="732"/>
      <c r="F281" s="732"/>
      <c r="G281" s="732"/>
      <c r="H281" s="732"/>
      <c r="I281" s="732"/>
      <c r="J281" s="732"/>
      <c r="K281" s="732"/>
      <c r="L281" s="732"/>
      <c r="M281" s="732"/>
      <c r="N281" s="732"/>
      <c r="O281" s="732"/>
      <c r="P281" s="732"/>
      <c r="Q281" s="732"/>
      <c r="R281" s="732"/>
      <c r="S281" s="732"/>
      <c r="T281" s="732"/>
      <c r="U281" s="732"/>
      <c r="V281" s="733"/>
      <c r="W281" s="732"/>
      <c r="X281" s="732"/>
      <c r="Y281" s="732"/>
      <c r="Z281" s="732"/>
      <c r="AA281" s="732"/>
    </row>
    <row r="282" spans="1:27" ht="24.75" customHeight="1">
      <c r="A282" s="732"/>
      <c r="B282" s="732"/>
      <c r="C282" s="732"/>
      <c r="D282" s="732"/>
      <c r="E282" s="732"/>
      <c r="F282" s="732"/>
      <c r="G282" s="732"/>
      <c r="H282" s="732"/>
      <c r="I282" s="732"/>
      <c r="J282" s="732"/>
      <c r="K282" s="732"/>
      <c r="L282" s="732"/>
      <c r="M282" s="732"/>
      <c r="N282" s="732"/>
      <c r="O282" s="732"/>
      <c r="P282" s="732"/>
      <c r="Q282" s="732"/>
      <c r="R282" s="732"/>
      <c r="S282" s="732"/>
      <c r="T282" s="732"/>
      <c r="U282" s="732"/>
      <c r="V282" s="733"/>
      <c r="W282" s="732"/>
      <c r="X282" s="732"/>
      <c r="Y282" s="732"/>
      <c r="Z282" s="732"/>
      <c r="AA282" s="732"/>
    </row>
    <row r="283" spans="1:27" ht="24.75" customHeight="1">
      <c r="A283" s="732"/>
      <c r="B283" s="732"/>
      <c r="C283" s="732"/>
      <c r="D283" s="732"/>
      <c r="E283" s="732"/>
      <c r="F283" s="732"/>
      <c r="G283" s="732"/>
      <c r="H283" s="732"/>
      <c r="I283" s="732"/>
      <c r="J283" s="732"/>
      <c r="K283" s="732"/>
      <c r="L283" s="732"/>
      <c r="M283" s="732"/>
      <c r="N283" s="732"/>
      <c r="O283" s="732"/>
      <c r="P283" s="732"/>
      <c r="Q283" s="732"/>
      <c r="R283" s="732"/>
      <c r="S283" s="732"/>
      <c r="T283" s="732"/>
      <c r="U283" s="732"/>
      <c r="V283" s="733"/>
      <c r="W283" s="732"/>
      <c r="X283" s="732"/>
      <c r="Y283" s="732"/>
      <c r="Z283" s="732"/>
      <c r="AA283" s="732"/>
    </row>
    <row r="284" spans="1:27" ht="24.75" customHeight="1">
      <c r="A284" s="732"/>
      <c r="B284" s="732"/>
      <c r="C284" s="732"/>
      <c r="D284" s="732"/>
      <c r="E284" s="732"/>
      <c r="F284" s="732"/>
      <c r="G284" s="732"/>
      <c r="H284" s="732"/>
      <c r="I284" s="732"/>
      <c r="J284" s="732"/>
      <c r="K284" s="732"/>
      <c r="L284" s="732"/>
      <c r="M284" s="732"/>
      <c r="N284" s="732"/>
      <c r="O284" s="732"/>
      <c r="P284" s="732"/>
      <c r="Q284" s="732"/>
      <c r="R284" s="732"/>
      <c r="S284" s="732"/>
      <c r="T284" s="732"/>
      <c r="U284" s="732"/>
      <c r="V284" s="733"/>
      <c r="W284" s="732"/>
      <c r="X284" s="732"/>
      <c r="Y284" s="732"/>
      <c r="Z284" s="732"/>
      <c r="AA284" s="732"/>
    </row>
    <row r="285" spans="1:27" ht="24.75" customHeight="1">
      <c r="A285" s="732"/>
      <c r="B285" s="732"/>
      <c r="C285" s="732"/>
      <c r="D285" s="732"/>
      <c r="E285" s="732"/>
      <c r="F285" s="732"/>
      <c r="G285" s="732"/>
      <c r="H285" s="732"/>
      <c r="I285" s="732"/>
      <c r="J285" s="732"/>
      <c r="K285" s="732"/>
      <c r="L285" s="732"/>
      <c r="M285" s="732"/>
      <c r="N285" s="732"/>
      <c r="O285" s="732"/>
      <c r="P285" s="732"/>
      <c r="Q285" s="732"/>
      <c r="R285" s="732"/>
      <c r="S285" s="732"/>
      <c r="T285" s="732"/>
      <c r="U285" s="732"/>
      <c r="V285" s="733"/>
      <c r="W285" s="732"/>
      <c r="X285" s="732"/>
      <c r="Y285" s="732"/>
      <c r="Z285" s="732"/>
      <c r="AA285" s="732"/>
    </row>
    <row r="286" spans="1:27" ht="24.75" customHeight="1">
      <c r="A286" s="732"/>
      <c r="B286" s="732"/>
      <c r="C286" s="732"/>
      <c r="D286" s="732"/>
      <c r="E286" s="732"/>
      <c r="F286" s="732"/>
      <c r="G286" s="732"/>
      <c r="H286" s="732"/>
      <c r="I286" s="732"/>
      <c r="J286" s="732"/>
      <c r="K286" s="732"/>
      <c r="L286" s="732"/>
      <c r="M286" s="732"/>
      <c r="N286" s="732"/>
      <c r="O286" s="732"/>
      <c r="P286" s="732"/>
      <c r="Q286" s="732"/>
      <c r="R286" s="732"/>
      <c r="S286" s="732"/>
      <c r="T286" s="732"/>
      <c r="U286" s="732"/>
      <c r="V286" s="733"/>
      <c r="W286" s="732"/>
      <c r="X286" s="732"/>
      <c r="Y286" s="732"/>
      <c r="Z286" s="732"/>
      <c r="AA286" s="732"/>
    </row>
    <row r="287" spans="1:27" ht="24.75" customHeight="1">
      <c r="A287" s="732"/>
      <c r="B287" s="732"/>
      <c r="C287" s="732"/>
      <c r="D287" s="732"/>
      <c r="E287" s="732"/>
      <c r="F287" s="732"/>
      <c r="G287" s="732"/>
      <c r="H287" s="732"/>
      <c r="I287" s="732"/>
      <c r="J287" s="732"/>
      <c r="K287" s="732"/>
      <c r="L287" s="732"/>
      <c r="M287" s="732"/>
      <c r="N287" s="732"/>
      <c r="O287" s="732"/>
      <c r="P287" s="732"/>
      <c r="Q287" s="732"/>
      <c r="R287" s="732"/>
      <c r="S287" s="732"/>
      <c r="T287" s="732"/>
      <c r="U287" s="732"/>
      <c r="V287" s="733"/>
      <c r="W287" s="732"/>
      <c r="X287" s="732"/>
      <c r="Y287" s="732"/>
      <c r="Z287" s="732"/>
      <c r="AA287" s="732"/>
    </row>
    <row r="288" spans="1:27" ht="24.75" customHeight="1">
      <c r="A288" s="732"/>
      <c r="B288" s="732"/>
      <c r="C288" s="732"/>
      <c r="D288" s="732"/>
      <c r="E288" s="732"/>
      <c r="F288" s="732"/>
      <c r="G288" s="732"/>
      <c r="H288" s="732"/>
      <c r="I288" s="732"/>
      <c r="J288" s="732"/>
      <c r="K288" s="732"/>
      <c r="L288" s="732"/>
      <c r="M288" s="732"/>
      <c r="N288" s="732"/>
      <c r="O288" s="732"/>
      <c r="P288" s="732"/>
      <c r="Q288" s="732"/>
      <c r="R288" s="732"/>
      <c r="S288" s="732"/>
      <c r="T288" s="732"/>
      <c r="U288" s="732"/>
      <c r="V288" s="733"/>
      <c r="W288" s="732"/>
      <c r="X288" s="732"/>
      <c r="Y288" s="732"/>
      <c r="Z288" s="732"/>
      <c r="AA288" s="732"/>
    </row>
    <row r="289" spans="1:27" ht="24.75" customHeight="1">
      <c r="A289" s="732"/>
      <c r="B289" s="732"/>
      <c r="C289" s="732"/>
      <c r="D289" s="732"/>
      <c r="E289" s="732"/>
      <c r="F289" s="732"/>
      <c r="G289" s="732"/>
      <c r="H289" s="732"/>
      <c r="I289" s="732"/>
      <c r="J289" s="732"/>
      <c r="K289" s="732"/>
      <c r="L289" s="732"/>
      <c r="M289" s="732"/>
      <c r="N289" s="732"/>
      <c r="O289" s="732"/>
      <c r="P289" s="732"/>
      <c r="Q289" s="732"/>
      <c r="R289" s="732"/>
      <c r="S289" s="732"/>
      <c r="T289" s="732"/>
      <c r="U289" s="732"/>
      <c r="V289" s="733"/>
      <c r="W289" s="732"/>
      <c r="X289" s="732"/>
      <c r="Y289" s="732"/>
      <c r="Z289" s="732"/>
      <c r="AA289" s="732"/>
    </row>
    <row r="290" spans="1:27" ht="24.75" customHeight="1">
      <c r="A290" s="732"/>
      <c r="B290" s="732"/>
      <c r="C290" s="732"/>
      <c r="D290" s="732"/>
      <c r="E290" s="732"/>
      <c r="F290" s="732"/>
      <c r="G290" s="732"/>
      <c r="H290" s="732"/>
      <c r="I290" s="732"/>
      <c r="J290" s="732"/>
      <c r="K290" s="732"/>
      <c r="L290" s="732"/>
      <c r="M290" s="732"/>
      <c r="N290" s="732"/>
      <c r="O290" s="732"/>
      <c r="P290" s="732"/>
      <c r="Q290" s="732"/>
      <c r="R290" s="732"/>
      <c r="S290" s="732"/>
      <c r="T290" s="732"/>
      <c r="U290" s="732"/>
      <c r="V290" s="733"/>
      <c r="W290" s="732"/>
      <c r="X290" s="732"/>
      <c r="Y290" s="732"/>
      <c r="Z290" s="732"/>
      <c r="AA290" s="732"/>
    </row>
    <row r="291" spans="1:27" ht="24.75" customHeight="1">
      <c r="A291" s="732"/>
      <c r="B291" s="732"/>
      <c r="C291" s="732"/>
      <c r="D291" s="732"/>
      <c r="E291" s="732"/>
      <c r="F291" s="732"/>
      <c r="G291" s="732"/>
      <c r="H291" s="732"/>
      <c r="I291" s="732"/>
      <c r="J291" s="732"/>
      <c r="K291" s="732"/>
      <c r="L291" s="732"/>
      <c r="M291" s="732"/>
      <c r="N291" s="732"/>
      <c r="O291" s="732"/>
      <c r="P291" s="732"/>
      <c r="Q291" s="732"/>
      <c r="R291" s="732"/>
      <c r="S291" s="732"/>
      <c r="T291" s="732"/>
      <c r="U291" s="732"/>
      <c r="V291" s="733"/>
      <c r="W291" s="732"/>
      <c r="X291" s="732"/>
      <c r="Y291" s="732"/>
      <c r="Z291" s="732"/>
      <c r="AA291" s="732"/>
    </row>
    <row r="292" spans="1:27" ht="24.75" customHeight="1">
      <c r="A292" s="732"/>
      <c r="B292" s="732"/>
      <c r="C292" s="732"/>
      <c r="D292" s="732"/>
      <c r="E292" s="732"/>
      <c r="F292" s="732"/>
      <c r="G292" s="732"/>
      <c r="H292" s="732"/>
      <c r="I292" s="732"/>
      <c r="J292" s="732"/>
      <c r="K292" s="732"/>
      <c r="L292" s="732"/>
      <c r="M292" s="732"/>
      <c r="N292" s="732"/>
      <c r="O292" s="732"/>
      <c r="P292" s="732"/>
      <c r="Q292" s="732"/>
      <c r="R292" s="732"/>
      <c r="S292" s="732"/>
      <c r="T292" s="732"/>
      <c r="U292" s="732"/>
      <c r="V292" s="733"/>
      <c r="W292" s="732"/>
      <c r="X292" s="732"/>
      <c r="Y292" s="732"/>
      <c r="Z292" s="732"/>
      <c r="AA292" s="732"/>
    </row>
    <row r="293" spans="1:27" ht="24.75" customHeight="1">
      <c r="A293" s="732"/>
      <c r="B293" s="732"/>
      <c r="C293" s="732"/>
      <c r="D293" s="732"/>
      <c r="E293" s="732"/>
      <c r="F293" s="732"/>
      <c r="G293" s="732"/>
      <c r="H293" s="732"/>
      <c r="I293" s="732"/>
      <c r="J293" s="732"/>
      <c r="K293" s="732"/>
      <c r="L293" s="732"/>
      <c r="M293" s="732"/>
      <c r="N293" s="732"/>
      <c r="O293" s="732"/>
      <c r="P293" s="732"/>
      <c r="Q293" s="732"/>
      <c r="R293" s="732"/>
      <c r="S293" s="732"/>
      <c r="T293" s="732"/>
      <c r="U293" s="732"/>
      <c r="V293" s="733"/>
      <c r="W293" s="732"/>
      <c r="X293" s="732"/>
      <c r="Y293" s="732"/>
      <c r="Z293" s="732"/>
      <c r="AA293" s="732"/>
    </row>
    <row r="294" spans="1:27" ht="24.75" customHeight="1">
      <c r="A294" s="732"/>
      <c r="B294" s="732"/>
      <c r="C294" s="732"/>
      <c r="D294" s="732"/>
      <c r="E294" s="732"/>
      <c r="F294" s="732"/>
      <c r="G294" s="732"/>
      <c r="H294" s="732"/>
      <c r="I294" s="732"/>
      <c r="J294" s="732"/>
      <c r="K294" s="732"/>
      <c r="L294" s="732"/>
      <c r="M294" s="732"/>
      <c r="N294" s="732"/>
      <c r="O294" s="732"/>
      <c r="P294" s="732"/>
      <c r="Q294" s="732"/>
      <c r="R294" s="732"/>
      <c r="S294" s="732"/>
      <c r="T294" s="732"/>
      <c r="U294" s="732"/>
      <c r="V294" s="733"/>
      <c r="W294" s="732"/>
      <c r="X294" s="732"/>
      <c r="Y294" s="732"/>
      <c r="Z294" s="732"/>
      <c r="AA294" s="732"/>
    </row>
    <row r="295" spans="1:27" ht="24.75" customHeight="1">
      <c r="A295" s="732"/>
      <c r="B295" s="732"/>
      <c r="C295" s="732"/>
      <c r="D295" s="732"/>
      <c r="E295" s="732"/>
      <c r="F295" s="732"/>
      <c r="G295" s="732"/>
      <c r="H295" s="732"/>
      <c r="I295" s="732"/>
      <c r="J295" s="732"/>
      <c r="K295" s="732"/>
      <c r="L295" s="732"/>
      <c r="M295" s="732"/>
      <c r="N295" s="732"/>
      <c r="O295" s="732"/>
      <c r="P295" s="732"/>
      <c r="Q295" s="732"/>
      <c r="R295" s="732"/>
      <c r="S295" s="732"/>
      <c r="T295" s="732"/>
      <c r="U295" s="732"/>
      <c r="V295" s="733"/>
      <c r="W295" s="732"/>
      <c r="X295" s="732"/>
      <c r="Y295" s="732"/>
      <c r="Z295" s="732"/>
      <c r="AA295" s="732"/>
    </row>
    <row r="296" spans="1:27" ht="24.75" customHeight="1">
      <c r="A296" s="732"/>
      <c r="B296" s="732"/>
      <c r="C296" s="732"/>
      <c r="D296" s="732"/>
      <c r="E296" s="732"/>
      <c r="F296" s="732"/>
      <c r="G296" s="732"/>
      <c r="H296" s="732"/>
      <c r="I296" s="732"/>
      <c r="J296" s="732"/>
      <c r="K296" s="732"/>
      <c r="L296" s="732"/>
      <c r="M296" s="732"/>
      <c r="N296" s="732"/>
      <c r="O296" s="732"/>
      <c r="P296" s="732"/>
      <c r="Q296" s="732"/>
      <c r="R296" s="732"/>
      <c r="S296" s="732"/>
      <c r="T296" s="732"/>
      <c r="U296" s="732"/>
      <c r="V296" s="733"/>
      <c r="W296" s="732"/>
      <c r="X296" s="732"/>
      <c r="Y296" s="732"/>
      <c r="Z296" s="732"/>
      <c r="AA296" s="732"/>
    </row>
    <row r="297" spans="1:27" ht="24.75" customHeight="1">
      <c r="A297" s="732"/>
      <c r="B297" s="732"/>
      <c r="C297" s="732"/>
      <c r="D297" s="732"/>
      <c r="E297" s="732"/>
      <c r="F297" s="732"/>
      <c r="G297" s="732"/>
      <c r="H297" s="732"/>
      <c r="I297" s="732"/>
      <c r="J297" s="732"/>
      <c r="K297" s="732"/>
      <c r="L297" s="732"/>
      <c r="M297" s="732"/>
      <c r="N297" s="732"/>
      <c r="O297" s="732"/>
      <c r="P297" s="732"/>
      <c r="Q297" s="732"/>
      <c r="R297" s="732"/>
      <c r="S297" s="732"/>
      <c r="T297" s="732"/>
      <c r="U297" s="732"/>
      <c r="V297" s="733"/>
      <c r="W297" s="732"/>
      <c r="X297" s="732"/>
      <c r="Y297" s="732"/>
      <c r="Z297" s="732"/>
      <c r="AA297" s="732"/>
    </row>
    <row r="298" spans="1:27" ht="24.75" customHeight="1">
      <c r="A298" s="732"/>
      <c r="B298" s="732"/>
      <c r="C298" s="732"/>
      <c r="D298" s="732"/>
      <c r="E298" s="732"/>
      <c r="F298" s="732"/>
      <c r="G298" s="732"/>
      <c r="H298" s="732"/>
      <c r="I298" s="732"/>
      <c r="J298" s="732"/>
      <c r="K298" s="732"/>
      <c r="L298" s="732"/>
      <c r="M298" s="732"/>
      <c r="N298" s="732"/>
      <c r="O298" s="732"/>
      <c r="P298" s="732"/>
      <c r="Q298" s="732"/>
      <c r="R298" s="732"/>
      <c r="S298" s="732"/>
      <c r="T298" s="732"/>
      <c r="U298" s="732"/>
      <c r="V298" s="733"/>
      <c r="W298" s="732"/>
      <c r="X298" s="732"/>
      <c r="Y298" s="732"/>
      <c r="Z298" s="732"/>
      <c r="AA298" s="732"/>
    </row>
    <row r="299" spans="1:27" ht="24.75" customHeight="1">
      <c r="A299" s="732"/>
      <c r="B299" s="732"/>
      <c r="C299" s="732"/>
      <c r="D299" s="732"/>
      <c r="E299" s="732"/>
      <c r="F299" s="732"/>
      <c r="G299" s="732"/>
      <c r="H299" s="732"/>
      <c r="I299" s="732"/>
      <c r="J299" s="732"/>
      <c r="K299" s="732"/>
      <c r="L299" s="732"/>
      <c r="M299" s="732"/>
      <c r="N299" s="732"/>
      <c r="O299" s="732"/>
      <c r="P299" s="732"/>
      <c r="Q299" s="732"/>
      <c r="R299" s="732"/>
      <c r="S299" s="732"/>
      <c r="T299" s="732"/>
      <c r="U299" s="732"/>
      <c r="V299" s="733"/>
      <c r="W299" s="732"/>
      <c r="X299" s="732"/>
      <c r="Y299" s="732"/>
      <c r="Z299" s="732"/>
      <c r="AA299" s="732"/>
    </row>
    <row r="300" spans="1:27" ht="24.75" customHeight="1">
      <c r="A300" s="732"/>
      <c r="B300" s="732"/>
      <c r="C300" s="732"/>
      <c r="D300" s="732"/>
      <c r="E300" s="732"/>
      <c r="F300" s="732"/>
      <c r="G300" s="732"/>
      <c r="H300" s="732"/>
      <c r="I300" s="732"/>
      <c r="J300" s="732"/>
      <c r="K300" s="732"/>
      <c r="L300" s="732"/>
      <c r="M300" s="732"/>
      <c r="N300" s="732"/>
      <c r="O300" s="732"/>
      <c r="P300" s="732"/>
      <c r="Q300" s="732"/>
      <c r="R300" s="732"/>
      <c r="S300" s="732"/>
      <c r="T300" s="732"/>
      <c r="U300" s="732"/>
      <c r="V300" s="733"/>
      <c r="W300" s="732"/>
      <c r="X300" s="732"/>
      <c r="Y300" s="732"/>
      <c r="Z300" s="732"/>
      <c r="AA300" s="732"/>
    </row>
    <row r="301" spans="1:27" ht="24.75" customHeight="1">
      <c r="A301" s="732"/>
      <c r="B301" s="732"/>
      <c r="C301" s="732"/>
      <c r="D301" s="732"/>
      <c r="E301" s="732"/>
      <c r="F301" s="732"/>
      <c r="G301" s="732"/>
      <c r="H301" s="732"/>
      <c r="I301" s="732"/>
      <c r="J301" s="732"/>
      <c r="K301" s="732"/>
      <c r="L301" s="732"/>
      <c r="M301" s="732"/>
      <c r="N301" s="732"/>
      <c r="O301" s="732"/>
      <c r="P301" s="732"/>
      <c r="Q301" s="732"/>
      <c r="R301" s="732"/>
      <c r="S301" s="732"/>
      <c r="T301" s="732"/>
      <c r="U301" s="732"/>
      <c r="V301" s="733"/>
      <c r="W301" s="732"/>
      <c r="X301" s="732"/>
      <c r="Y301" s="732"/>
      <c r="Z301" s="732"/>
      <c r="AA301" s="732"/>
    </row>
    <row r="302" spans="1:27" ht="24.75" customHeight="1">
      <c r="A302" s="732"/>
      <c r="B302" s="732"/>
      <c r="C302" s="732"/>
      <c r="D302" s="732"/>
      <c r="E302" s="732"/>
      <c r="F302" s="732"/>
      <c r="G302" s="732"/>
      <c r="H302" s="732"/>
      <c r="I302" s="732"/>
      <c r="J302" s="732"/>
      <c r="K302" s="732"/>
      <c r="L302" s="732"/>
      <c r="M302" s="732"/>
      <c r="N302" s="732"/>
      <c r="O302" s="732"/>
      <c r="P302" s="732"/>
      <c r="Q302" s="732"/>
      <c r="R302" s="732"/>
      <c r="S302" s="732"/>
      <c r="T302" s="732"/>
      <c r="U302" s="732"/>
      <c r="V302" s="733"/>
      <c r="W302" s="732"/>
      <c r="X302" s="732"/>
      <c r="Y302" s="732"/>
      <c r="Z302" s="732"/>
      <c r="AA302" s="732"/>
    </row>
    <row r="303" spans="1:27" ht="24.75" customHeight="1">
      <c r="A303" s="732"/>
      <c r="B303" s="732"/>
      <c r="C303" s="732"/>
      <c r="D303" s="732"/>
      <c r="E303" s="732"/>
      <c r="F303" s="732"/>
      <c r="G303" s="732"/>
      <c r="H303" s="732"/>
      <c r="I303" s="732"/>
      <c r="J303" s="732"/>
      <c r="K303" s="732"/>
      <c r="L303" s="732"/>
      <c r="M303" s="732"/>
      <c r="N303" s="732"/>
      <c r="O303" s="732"/>
      <c r="P303" s="732"/>
      <c r="Q303" s="732"/>
      <c r="R303" s="732"/>
      <c r="S303" s="732"/>
      <c r="T303" s="732"/>
      <c r="U303" s="732"/>
      <c r="V303" s="733"/>
      <c r="W303" s="732"/>
      <c r="X303" s="732"/>
      <c r="Y303" s="732"/>
      <c r="Z303" s="732"/>
      <c r="AA303" s="732"/>
    </row>
    <row r="304" spans="1:27" ht="24.75" customHeight="1">
      <c r="A304" s="732"/>
      <c r="B304" s="732"/>
      <c r="C304" s="732"/>
      <c r="D304" s="732"/>
      <c r="E304" s="732"/>
      <c r="F304" s="732"/>
      <c r="G304" s="732"/>
      <c r="H304" s="732"/>
      <c r="I304" s="732"/>
      <c r="J304" s="732"/>
      <c r="K304" s="732"/>
      <c r="L304" s="732"/>
      <c r="M304" s="732"/>
      <c r="N304" s="732"/>
      <c r="O304" s="732"/>
      <c r="P304" s="732"/>
      <c r="Q304" s="732"/>
      <c r="R304" s="732"/>
      <c r="S304" s="732"/>
      <c r="T304" s="732"/>
      <c r="U304" s="732"/>
      <c r="V304" s="733"/>
      <c r="W304" s="732"/>
      <c r="X304" s="732"/>
      <c r="Y304" s="732"/>
      <c r="Z304" s="732"/>
      <c r="AA304" s="732"/>
    </row>
    <row r="305" spans="1:27" ht="24.75" customHeight="1">
      <c r="A305" s="732"/>
      <c r="B305" s="732"/>
      <c r="C305" s="732"/>
      <c r="D305" s="732"/>
      <c r="E305" s="732"/>
      <c r="F305" s="732"/>
      <c r="G305" s="732"/>
      <c r="H305" s="732"/>
      <c r="I305" s="732"/>
      <c r="J305" s="732"/>
      <c r="K305" s="732"/>
      <c r="L305" s="732"/>
      <c r="M305" s="732"/>
      <c r="N305" s="732"/>
      <c r="O305" s="732"/>
      <c r="P305" s="732"/>
      <c r="Q305" s="732"/>
      <c r="R305" s="732"/>
      <c r="S305" s="732"/>
      <c r="T305" s="732"/>
      <c r="U305" s="732"/>
      <c r="V305" s="733"/>
      <c r="W305" s="732"/>
      <c r="X305" s="732"/>
      <c r="Y305" s="732"/>
      <c r="Z305" s="732"/>
      <c r="AA305" s="732"/>
    </row>
    <row r="306" spans="1:27" ht="24.75" customHeight="1">
      <c r="A306" s="732"/>
      <c r="B306" s="732"/>
      <c r="C306" s="732"/>
      <c r="D306" s="732"/>
      <c r="E306" s="732"/>
      <c r="F306" s="732"/>
      <c r="G306" s="732"/>
      <c r="H306" s="732"/>
      <c r="I306" s="732"/>
      <c r="J306" s="732"/>
      <c r="K306" s="732"/>
      <c r="L306" s="732"/>
      <c r="M306" s="732"/>
      <c r="N306" s="732"/>
      <c r="O306" s="732"/>
      <c r="P306" s="732"/>
      <c r="Q306" s="732"/>
      <c r="R306" s="732"/>
      <c r="S306" s="732"/>
      <c r="T306" s="732"/>
      <c r="U306" s="732"/>
      <c r="V306" s="733"/>
      <c r="W306" s="732"/>
      <c r="X306" s="732"/>
      <c r="Y306" s="732"/>
      <c r="Z306" s="732"/>
      <c r="AA306" s="732"/>
    </row>
    <row r="307" spans="1:27" ht="24.75" customHeight="1">
      <c r="A307" s="732"/>
      <c r="B307" s="732"/>
      <c r="C307" s="732"/>
      <c r="D307" s="732"/>
      <c r="E307" s="732"/>
      <c r="F307" s="732"/>
      <c r="G307" s="732"/>
      <c r="H307" s="732"/>
      <c r="I307" s="732"/>
      <c r="J307" s="732"/>
      <c r="K307" s="732"/>
      <c r="L307" s="732"/>
      <c r="M307" s="732"/>
      <c r="N307" s="732"/>
      <c r="O307" s="732"/>
      <c r="P307" s="732"/>
      <c r="Q307" s="732"/>
      <c r="R307" s="732"/>
      <c r="S307" s="732"/>
      <c r="T307" s="732"/>
      <c r="U307" s="732"/>
      <c r="V307" s="733"/>
      <c r="W307" s="732"/>
      <c r="X307" s="732"/>
      <c r="Y307" s="732"/>
      <c r="Z307" s="732"/>
      <c r="AA307" s="732"/>
    </row>
    <row r="308" spans="1:27" ht="24.75" customHeight="1">
      <c r="A308" s="732"/>
      <c r="B308" s="732"/>
      <c r="C308" s="732"/>
      <c r="D308" s="732"/>
      <c r="E308" s="732"/>
      <c r="F308" s="732"/>
      <c r="G308" s="732"/>
      <c r="H308" s="732"/>
      <c r="I308" s="732"/>
      <c r="J308" s="732"/>
      <c r="K308" s="732"/>
      <c r="L308" s="732"/>
      <c r="M308" s="732"/>
      <c r="N308" s="732"/>
      <c r="O308" s="732"/>
      <c r="P308" s="732"/>
      <c r="Q308" s="732"/>
      <c r="R308" s="732"/>
      <c r="S308" s="732"/>
      <c r="T308" s="732"/>
      <c r="U308" s="732"/>
      <c r="V308" s="733"/>
      <c r="W308" s="732"/>
      <c r="X308" s="732"/>
      <c r="Y308" s="732"/>
      <c r="Z308" s="732"/>
      <c r="AA308" s="732"/>
    </row>
    <row r="309" spans="1:27" ht="24.75" customHeight="1">
      <c r="A309" s="732"/>
      <c r="B309" s="732"/>
      <c r="C309" s="732"/>
      <c r="D309" s="732"/>
      <c r="E309" s="732"/>
      <c r="F309" s="732"/>
      <c r="G309" s="732"/>
      <c r="H309" s="732"/>
      <c r="I309" s="732"/>
      <c r="J309" s="732"/>
      <c r="K309" s="732"/>
      <c r="L309" s="732"/>
      <c r="M309" s="732"/>
      <c r="N309" s="732"/>
      <c r="O309" s="732"/>
      <c r="P309" s="732"/>
      <c r="Q309" s="732"/>
      <c r="R309" s="732"/>
      <c r="S309" s="732"/>
      <c r="T309" s="732"/>
      <c r="U309" s="732"/>
      <c r="V309" s="733"/>
      <c r="W309" s="732"/>
      <c r="X309" s="732"/>
      <c r="Y309" s="732"/>
      <c r="Z309" s="732"/>
      <c r="AA309" s="732"/>
    </row>
    <row r="310" spans="1:27" ht="24.75" customHeight="1">
      <c r="A310" s="732"/>
      <c r="B310" s="732"/>
      <c r="C310" s="732"/>
      <c r="D310" s="732"/>
      <c r="E310" s="732"/>
      <c r="F310" s="732"/>
      <c r="G310" s="732"/>
      <c r="H310" s="732"/>
      <c r="I310" s="732"/>
      <c r="J310" s="732"/>
      <c r="K310" s="732"/>
      <c r="L310" s="732"/>
      <c r="M310" s="732"/>
      <c r="N310" s="732"/>
      <c r="O310" s="732"/>
      <c r="P310" s="732"/>
      <c r="Q310" s="732"/>
      <c r="R310" s="732"/>
      <c r="S310" s="732"/>
      <c r="T310" s="732"/>
      <c r="U310" s="732"/>
      <c r="V310" s="733"/>
      <c r="W310" s="732"/>
      <c r="X310" s="732"/>
      <c r="Y310" s="732"/>
      <c r="Z310" s="732"/>
      <c r="AA310" s="732"/>
    </row>
    <row r="311" spans="1:27" ht="24.75" customHeight="1">
      <c r="A311" s="732"/>
      <c r="B311" s="732"/>
      <c r="C311" s="732"/>
      <c r="D311" s="732"/>
      <c r="E311" s="732"/>
      <c r="F311" s="732"/>
      <c r="G311" s="732"/>
      <c r="H311" s="732"/>
      <c r="I311" s="732"/>
      <c r="J311" s="732"/>
      <c r="K311" s="732"/>
      <c r="L311" s="732"/>
      <c r="M311" s="732"/>
      <c r="N311" s="732"/>
      <c r="O311" s="732"/>
      <c r="P311" s="732"/>
      <c r="Q311" s="732"/>
      <c r="R311" s="732"/>
      <c r="S311" s="732"/>
      <c r="T311" s="732"/>
      <c r="U311" s="732"/>
      <c r="V311" s="733"/>
      <c r="W311" s="732"/>
      <c r="X311" s="732"/>
      <c r="Y311" s="732"/>
      <c r="Z311" s="732"/>
      <c r="AA311" s="732"/>
    </row>
    <row r="312" spans="1:27" ht="24.75" customHeight="1">
      <c r="A312" s="732"/>
      <c r="B312" s="732"/>
      <c r="C312" s="732"/>
      <c r="D312" s="732"/>
      <c r="E312" s="732"/>
      <c r="F312" s="732"/>
      <c r="G312" s="732"/>
      <c r="H312" s="732"/>
      <c r="I312" s="732"/>
      <c r="J312" s="732"/>
      <c r="K312" s="732"/>
      <c r="L312" s="732"/>
      <c r="M312" s="732"/>
      <c r="N312" s="732"/>
      <c r="O312" s="732"/>
      <c r="P312" s="732"/>
      <c r="Q312" s="732"/>
      <c r="R312" s="732"/>
      <c r="S312" s="732"/>
      <c r="T312" s="732"/>
      <c r="U312" s="732"/>
      <c r="V312" s="733"/>
      <c r="W312" s="732"/>
      <c r="X312" s="732"/>
      <c r="Y312" s="732"/>
      <c r="Z312" s="732"/>
      <c r="AA312" s="732"/>
    </row>
    <row r="313" spans="1:27" ht="24.75" customHeight="1">
      <c r="A313" s="732"/>
      <c r="B313" s="732"/>
      <c r="C313" s="732"/>
      <c r="D313" s="732"/>
      <c r="E313" s="732"/>
      <c r="F313" s="732"/>
      <c r="G313" s="732"/>
      <c r="H313" s="732"/>
      <c r="I313" s="732"/>
      <c r="J313" s="732"/>
      <c r="K313" s="732"/>
      <c r="L313" s="732"/>
      <c r="M313" s="732"/>
      <c r="N313" s="732"/>
      <c r="O313" s="732"/>
      <c r="P313" s="732"/>
      <c r="Q313" s="732"/>
      <c r="R313" s="732"/>
      <c r="S313" s="732"/>
      <c r="T313" s="732"/>
      <c r="U313" s="732"/>
      <c r="V313" s="733"/>
      <c r="W313" s="732"/>
      <c r="X313" s="732"/>
      <c r="Y313" s="732"/>
      <c r="Z313" s="732"/>
      <c r="AA313" s="732"/>
    </row>
    <row r="314" spans="1:27" ht="24.75" customHeight="1">
      <c r="A314" s="732"/>
      <c r="B314" s="732"/>
      <c r="C314" s="732"/>
      <c r="D314" s="732"/>
      <c r="E314" s="732"/>
      <c r="F314" s="732"/>
      <c r="G314" s="732"/>
      <c r="H314" s="732"/>
      <c r="I314" s="732"/>
      <c r="J314" s="732"/>
      <c r="K314" s="732"/>
      <c r="L314" s="732"/>
      <c r="M314" s="732"/>
      <c r="N314" s="732"/>
      <c r="O314" s="732"/>
      <c r="P314" s="732"/>
      <c r="Q314" s="732"/>
      <c r="R314" s="732"/>
      <c r="S314" s="732"/>
      <c r="T314" s="732"/>
      <c r="U314" s="732"/>
      <c r="V314" s="733"/>
      <c r="W314" s="732"/>
      <c r="X314" s="732"/>
      <c r="Y314" s="732"/>
      <c r="Z314" s="732"/>
      <c r="AA314" s="732"/>
    </row>
    <row r="315" spans="1:27" ht="24.75" customHeight="1">
      <c r="A315" s="732"/>
      <c r="B315" s="732"/>
      <c r="C315" s="732"/>
      <c r="D315" s="732"/>
      <c r="E315" s="732"/>
      <c r="F315" s="732"/>
      <c r="G315" s="732"/>
      <c r="H315" s="732"/>
      <c r="I315" s="732"/>
      <c r="J315" s="732"/>
      <c r="K315" s="732"/>
      <c r="L315" s="732"/>
      <c r="M315" s="732"/>
      <c r="N315" s="732"/>
      <c r="O315" s="732"/>
      <c r="P315" s="732"/>
      <c r="Q315" s="732"/>
      <c r="R315" s="732"/>
      <c r="S315" s="732"/>
      <c r="T315" s="732"/>
      <c r="U315" s="732"/>
      <c r="V315" s="733"/>
      <c r="W315" s="732"/>
      <c r="X315" s="732"/>
      <c r="Y315" s="732"/>
      <c r="Z315" s="732"/>
      <c r="AA315" s="732"/>
    </row>
    <row r="316" spans="1:27" ht="24.75" customHeight="1">
      <c r="A316" s="732"/>
      <c r="B316" s="732"/>
      <c r="C316" s="732"/>
      <c r="D316" s="732"/>
      <c r="E316" s="732"/>
      <c r="F316" s="732"/>
      <c r="G316" s="732"/>
      <c r="H316" s="732"/>
      <c r="I316" s="732"/>
      <c r="J316" s="732"/>
      <c r="K316" s="732"/>
      <c r="L316" s="732"/>
      <c r="M316" s="732"/>
      <c r="N316" s="732"/>
      <c r="O316" s="732"/>
      <c r="P316" s="732"/>
      <c r="Q316" s="732"/>
      <c r="R316" s="732"/>
      <c r="S316" s="732"/>
      <c r="T316" s="732"/>
      <c r="U316" s="732"/>
      <c r="V316" s="733"/>
      <c r="W316" s="732"/>
      <c r="X316" s="732"/>
      <c r="Y316" s="732"/>
      <c r="Z316" s="732"/>
      <c r="AA316" s="732"/>
    </row>
    <row r="317" spans="1:27" ht="24.75" customHeight="1">
      <c r="A317" s="732"/>
      <c r="B317" s="732"/>
      <c r="C317" s="732"/>
      <c r="D317" s="732"/>
      <c r="E317" s="732"/>
      <c r="F317" s="732"/>
      <c r="G317" s="732"/>
      <c r="H317" s="732"/>
      <c r="I317" s="732"/>
      <c r="J317" s="732"/>
      <c r="K317" s="732"/>
      <c r="L317" s="732"/>
      <c r="M317" s="732"/>
      <c r="N317" s="732"/>
      <c r="O317" s="732"/>
      <c r="P317" s="732"/>
      <c r="Q317" s="732"/>
      <c r="R317" s="732"/>
      <c r="S317" s="732"/>
      <c r="T317" s="732"/>
      <c r="U317" s="732"/>
      <c r="V317" s="733"/>
      <c r="W317" s="732"/>
      <c r="X317" s="732"/>
      <c r="Y317" s="732"/>
      <c r="Z317" s="732"/>
      <c r="AA317" s="732"/>
    </row>
    <row r="318" spans="1:27" ht="24.75" customHeight="1">
      <c r="A318" s="732"/>
      <c r="B318" s="732"/>
      <c r="C318" s="732"/>
      <c r="D318" s="732"/>
      <c r="E318" s="732"/>
      <c r="F318" s="732"/>
      <c r="G318" s="732"/>
      <c r="H318" s="732"/>
      <c r="I318" s="732"/>
      <c r="J318" s="732"/>
      <c r="K318" s="732"/>
      <c r="L318" s="732"/>
      <c r="M318" s="732"/>
      <c r="N318" s="732"/>
      <c r="O318" s="732"/>
      <c r="P318" s="732"/>
      <c r="Q318" s="732"/>
      <c r="R318" s="732"/>
      <c r="S318" s="732"/>
      <c r="T318" s="732"/>
      <c r="U318" s="732"/>
      <c r="V318" s="733"/>
      <c r="W318" s="732"/>
      <c r="X318" s="732"/>
      <c r="Y318" s="732"/>
      <c r="Z318" s="732"/>
      <c r="AA318" s="732"/>
    </row>
    <row r="319" spans="1:27" ht="24.75" customHeight="1">
      <c r="A319" s="732"/>
      <c r="B319" s="732"/>
      <c r="C319" s="732"/>
      <c r="D319" s="732"/>
      <c r="E319" s="732"/>
      <c r="F319" s="732"/>
      <c r="G319" s="732"/>
      <c r="H319" s="732"/>
      <c r="I319" s="732"/>
      <c r="J319" s="732"/>
      <c r="K319" s="732"/>
      <c r="L319" s="732"/>
      <c r="M319" s="732"/>
      <c r="N319" s="732"/>
      <c r="O319" s="732"/>
      <c r="P319" s="732"/>
      <c r="Q319" s="732"/>
      <c r="R319" s="732"/>
      <c r="S319" s="732"/>
      <c r="T319" s="732"/>
      <c r="U319" s="732"/>
      <c r="V319" s="733"/>
      <c r="W319" s="732"/>
      <c r="X319" s="732"/>
      <c r="Y319" s="732"/>
      <c r="Z319" s="732"/>
      <c r="AA319" s="732"/>
    </row>
    <row r="320" spans="1:27" ht="24.75" customHeight="1">
      <c r="A320" s="732"/>
      <c r="B320" s="732"/>
      <c r="C320" s="732"/>
      <c r="D320" s="732"/>
      <c r="E320" s="732"/>
      <c r="F320" s="732"/>
      <c r="G320" s="732"/>
      <c r="H320" s="732"/>
      <c r="I320" s="732"/>
      <c r="J320" s="732"/>
      <c r="K320" s="732"/>
      <c r="L320" s="732"/>
      <c r="M320" s="732"/>
      <c r="N320" s="732"/>
      <c r="O320" s="732"/>
      <c r="P320" s="732"/>
      <c r="Q320" s="732"/>
      <c r="R320" s="732"/>
      <c r="S320" s="732"/>
      <c r="T320" s="732"/>
      <c r="U320" s="732"/>
      <c r="V320" s="733"/>
      <c r="W320" s="732"/>
      <c r="X320" s="732"/>
      <c r="Y320" s="732"/>
      <c r="Z320" s="732"/>
      <c r="AA320" s="732"/>
    </row>
    <row r="321" spans="1:27" ht="24.75" customHeight="1">
      <c r="A321" s="732"/>
      <c r="B321" s="732"/>
      <c r="C321" s="732"/>
      <c r="D321" s="732"/>
      <c r="E321" s="732"/>
      <c r="F321" s="732"/>
      <c r="G321" s="732"/>
      <c r="H321" s="732"/>
      <c r="I321" s="732"/>
      <c r="J321" s="732"/>
      <c r="K321" s="732"/>
      <c r="L321" s="732"/>
      <c r="M321" s="732"/>
      <c r="N321" s="732"/>
      <c r="O321" s="732"/>
      <c r="P321" s="732"/>
      <c r="Q321" s="732"/>
      <c r="R321" s="732"/>
      <c r="S321" s="732"/>
      <c r="T321" s="732"/>
      <c r="U321" s="732"/>
      <c r="V321" s="733"/>
      <c r="W321" s="732"/>
      <c r="X321" s="732"/>
      <c r="Y321" s="732"/>
      <c r="Z321" s="732"/>
      <c r="AA321" s="732"/>
    </row>
    <row r="322" spans="1:27" ht="24.75" customHeight="1">
      <c r="A322" s="732"/>
      <c r="B322" s="732"/>
      <c r="C322" s="732"/>
      <c r="D322" s="732"/>
      <c r="E322" s="732"/>
      <c r="F322" s="732"/>
      <c r="G322" s="732"/>
      <c r="H322" s="732"/>
      <c r="I322" s="732"/>
      <c r="J322" s="732"/>
      <c r="K322" s="732"/>
      <c r="L322" s="732"/>
      <c r="M322" s="732"/>
      <c r="N322" s="732"/>
      <c r="O322" s="732"/>
      <c r="P322" s="732"/>
      <c r="Q322" s="732"/>
      <c r="R322" s="732"/>
      <c r="S322" s="732"/>
      <c r="T322" s="732"/>
      <c r="U322" s="732"/>
      <c r="V322" s="733"/>
      <c r="W322" s="732"/>
      <c r="X322" s="732"/>
      <c r="Y322" s="732"/>
      <c r="Z322" s="732"/>
      <c r="AA322" s="732"/>
    </row>
    <row r="323" spans="1:27" ht="24.75" customHeight="1">
      <c r="A323" s="732"/>
      <c r="B323" s="732"/>
      <c r="C323" s="732"/>
      <c r="D323" s="732"/>
      <c r="E323" s="732"/>
      <c r="F323" s="732"/>
      <c r="G323" s="732"/>
      <c r="H323" s="732"/>
      <c r="I323" s="732"/>
      <c r="J323" s="732"/>
      <c r="K323" s="732"/>
      <c r="L323" s="732"/>
      <c r="M323" s="732"/>
      <c r="N323" s="732"/>
      <c r="O323" s="732"/>
      <c r="P323" s="732"/>
      <c r="Q323" s="732"/>
      <c r="R323" s="732"/>
      <c r="S323" s="732"/>
      <c r="T323" s="732"/>
      <c r="U323" s="732"/>
      <c r="V323" s="733"/>
      <c r="W323" s="732"/>
      <c r="X323" s="732"/>
      <c r="Y323" s="732"/>
      <c r="Z323" s="732"/>
      <c r="AA323" s="732"/>
    </row>
    <row r="324" spans="1:27" ht="24.75" customHeight="1">
      <c r="A324" s="732"/>
      <c r="B324" s="732"/>
      <c r="C324" s="732"/>
      <c r="D324" s="732"/>
      <c r="E324" s="732"/>
      <c r="F324" s="732"/>
      <c r="G324" s="732"/>
      <c r="H324" s="732"/>
      <c r="I324" s="732"/>
      <c r="J324" s="732"/>
      <c r="K324" s="732"/>
      <c r="L324" s="732"/>
      <c r="M324" s="732"/>
      <c r="N324" s="732"/>
      <c r="O324" s="732"/>
      <c r="P324" s="732"/>
      <c r="Q324" s="732"/>
      <c r="R324" s="732"/>
      <c r="S324" s="732"/>
      <c r="T324" s="732"/>
      <c r="U324" s="732"/>
      <c r="V324" s="733"/>
      <c r="W324" s="732"/>
      <c r="X324" s="732"/>
      <c r="Y324" s="732"/>
      <c r="Z324" s="732"/>
      <c r="AA324" s="732"/>
    </row>
    <row r="325" spans="1:27" ht="24.75" customHeight="1">
      <c r="A325" s="732"/>
      <c r="B325" s="732"/>
      <c r="C325" s="732"/>
      <c r="D325" s="732"/>
      <c r="E325" s="732"/>
      <c r="F325" s="732"/>
      <c r="G325" s="732"/>
      <c r="H325" s="732"/>
      <c r="I325" s="732"/>
      <c r="J325" s="732"/>
      <c r="K325" s="732"/>
      <c r="L325" s="732"/>
      <c r="M325" s="732"/>
      <c r="N325" s="732"/>
      <c r="O325" s="732"/>
      <c r="P325" s="732"/>
      <c r="Q325" s="732"/>
      <c r="R325" s="732"/>
      <c r="S325" s="732"/>
      <c r="T325" s="732"/>
      <c r="U325" s="732"/>
      <c r="V325" s="733"/>
      <c r="W325" s="732"/>
      <c r="X325" s="732"/>
      <c r="Y325" s="732"/>
      <c r="Z325" s="732"/>
      <c r="AA325" s="732"/>
    </row>
    <row r="326" spans="1:27" ht="24.75" customHeight="1">
      <c r="A326" s="732"/>
      <c r="B326" s="732"/>
      <c r="C326" s="732"/>
      <c r="D326" s="732"/>
      <c r="E326" s="732"/>
      <c r="F326" s="732"/>
      <c r="G326" s="732"/>
      <c r="H326" s="732"/>
      <c r="I326" s="732"/>
      <c r="J326" s="732"/>
      <c r="K326" s="732"/>
      <c r="L326" s="732"/>
      <c r="M326" s="732"/>
      <c r="N326" s="732"/>
      <c r="O326" s="732"/>
      <c r="P326" s="732"/>
      <c r="Q326" s="732"/>
      <c r="R326" s="732"/>
      <c r="S326" s="732"/>
      <c r="T326" s="732"/>
      <c r="U326" s="732"/>
      <c r="V326" s="733"/>
      <c r="W326" s="732"/>
      <c r="X326" s="732"/>
      <c r="Y326" s="732"/>
      <c r="Z326" s="732"/>
      <c r="AA326" s="732"/>
    </row>
    <row r="327" spans="1:27" ht="24.75" customHeight="1">
      <c r="A327" s="732"/>
      <c r="B327" s="732"/>
      <c r="C327" s="732"/>
      <c r="D327" s="732"/>
      <c r="E327" s="732"/>
      <c r="F327" s="732"/>
      <c r="G327" s="732"/>
      <c r="H327" s="732"/>
      <c r="I327" s="732"/>
      <c r="J327" s="732"/>
      <c r="K327" s="732"/>
      <c r="L327" s="732"/>
      <c r="M327" s="732"/>
      <c r="N327" s="732"/>
      <c r="O327" s="732"/>
      <c r="P327" s="732"/>
      <c r="Q327" s="732"/>
      <c r="R327" s="732"/>
      <c r="S327" s="732"/>
      <c r="T327" s="732"/>
      <c r="U327" s="732"/>
      <c r="V327" s="733"/>
      <c r="W327" s="732"/>
      <c r="X327" s="732"/>
      <c r="Y327" s="732"/>
      <c r="Z327" s="732"/>
      <c r="AA327" s="732"/>
    </row>
    <row r="328" spans="1:27" ht="24.75" customHeight="1">
      <c r="A328" s="732"/>
      <c r="B328" s="732"/>
      <c r="C328" s="732"/>
      <c r="D328" s="732"/>
      <c r="E328" s="732"/>
      <c r="F328" s="732"/>
      <c r="G328" s="732"/>
      <c r="H328" s="732"/>
      <c r="I328" s="732"/>
      <c r="J328" s="732"/>
      <c r="K328" s="732"/>
      <c r="L328" s="732"/>
      <c r="M328" s="732"/>
      <c r="N328" s="732"/>
      <c r="O328" s="732"/>
      <c r="P328" s="732"/>
      <c r="Q328" s="732"/>
      <c r="R328" s="732"/>
      <c r="S328" s="732"/>
      <c r="T328" s="732"/>
      <c r="U328" s="732"/>
      <c r="V328" s="733"/>
      <c r="W328" s="732"/>
      <c r="X328" s="732"/>
      <c r="Y328" s="732"/>
      <c r="Z328" s="732"/>
      <c r="AA328" s="732"/>
    </row>
    <row r="329" spans="1:27" ht="24.75" customHeight="1">
      <c r="A329" s="732"/>
      <c r="B329" s="732"/>
      <c r="C329" s="732"/>
      <c r="D329" s="732"/>
      <c r="E329" s="732"/>
      <c r="F329" s="732"/>
      <c r="G329" s="732"/>
      <c r="H329" s="732"/>
      <c r="I329" s="732"/>
      <c r="J329" s="732"/>
      <c r="K329" s="732"/>
      <c r="L329" s="732"/>
      <c r="M329" s="732"/>
      <c r="N329" s="732"/>
      <c r="O329" s="732"/>
      <c r="P329" s="732"/>
      <c r="Q329" s="732"/>
      <c r="R329" s="732"/>
      <c r="S329" s="732"/>
      <c r="T329" s="732"/>
      <c r="U329" s="732"/>
      <c r="V329" s="733"/>
      <c r="W329" s="732"/>
      <c r="X329" s="732"/>
      <c r="Y329" s="732"/>
      <c r="Z329" s="732"/>
      <c r="AA329" s="732"/>
    </row>
    <row r="330" spans="1:27" ht="24.75" customHeight="1">
      <c r="A330" s="732"/>
      <c r="B330" s="732"/>
      <c r="C330" s="732"/>
      <c r="D330" s="732"/>
      <c r="E330" s="732"/>
      <c r="F330" s="732"/>
      <c r="G330" s="732"/>
      <c r="H330" s="732"/>
      <c r="I330" s="732"/>
      <c r="J330" s="732"/>
      <c r="K330" s="732"/>
      <c r="L330" s="732"/>
      <c r="M330" s="732"/>
      <c r="N330" s="732"/>
      <c r="O330" s="732"/>
      <c r="P330" s="732"/>
      <c r="Q330" s="732"/>
      <c r="R330" s="732"/>
      <c r="S330" s="732"/>
      <c r="T330" s="732"/>
      <c r="U330" s="732"/>
      <c r="V330" s="733"/>
      <c r="W330" s="732"/>
      <c r="X330" s="732"/>
      <c r="Y330" s="732"/>
      <c r="Z330" s="732"/>
      <c r="AA330" s="732"/>
    </row>
    <row r="331" spans="1:27" ht="24.75" customHeight="1">
      <c r="A331" s="732"/>
      <c r="B331" s="732"/>
      <c r="C331" s="732"/>
      <c r="D331" s="732"/>
      <c r="E331" s="732"/>
      <c r="F331" s="732"/>
      <c r="G331" s="732"/>
      <c r="H331" s="732"/>
      <c r="I331" s="732"/>
      <c r="J331" s="732"/>
      <c r="K331" s="732"/>
      <c r="L331" s="732"/>
      <c r="M331" s="732"/>
      <c r="N331" s="732"/>
      <c r="O331" s="732"/>
      <c r="P331" s="732"/>
      <c r="Q331" s="732"/>
      <c r="R331" s="732"/>
      <c r="S331" s="732"/>
      <c r="T331" s="732"/>
      <c r="U331" s="732"/>
      <c r="V331" s="733"/>
      <c r="W331" s="732"/>
      <c r="X331" s="732"/>
      <c r="Y331" s="732"/>
      <c r="Z331" s="732"/>
      <c r="AA331" s="732"/>
    </row>
    <row r="332" spans="1:27" ht="24.75" customHeight="1">
      <c r="A332" s="732"/>
      <c r="B332" s="732"/>
      <c r="C332" s="732"/>
      <c r="D332" s="732"/>
      <c r="E332" s="732"/>
      <c r="F332" s="732"/>
      <c r="G332" s="732"/>
      <c r="H332" s="732"/>
      <c r="I332" s="732"/>
      <c r="J332" s="732"/>
      <c r="K332" s="732"/>
      <c r="L332" s="732"/>
      <c r="M332" s="732"/>
      <c r="N332" s="732"/>
      <c r="O332" s="732"/>
      <c r="P332" s="732"/>
      <c r="Q332" s="732"/>
      <c r="R332" s="732"/>
      <c r="S332" s="732"/>
      <c r="T332" s="732"/>
      <c r="U332" s="732"/>
      <c r="V332" s="733"/>
      <c r="W332" s="732"/>
      <c r="X332" s="732"/>
      <c r="Y332" s="732"/>
      <c r="Z332" s="732"/>
      <c r="AA332" s="732"/>
    </row>
    <row r="333" spans="1:27" ht="24.75" customHeight="1">
      <c r="A333" s="732"/>
      <c r="B333" s="732"/>
      <c r="C333" s="732"/>
      <c r="D333" s="732"/>
      <c r="E333" s="732"/>
      <c r="F333" s="732"/>
      <c r="G333" s="732"/>
      <c r="H333" s="732"/>
      <c r="I333" s="732"/>
      <c r="J333" s="732"/>
      <c r="K333" s="732"/>
      <c r="L333" s="732"/>
      <c r="M333" s="732"/>
      <c r="N333" s="732"/>
      <c r="O333" s="732"/>
      <c r="P333" s="732"/>
      <c r="Q333" s="732"/>
      <c r="R333" s="732"/>
      <c r="S333" s="732"/>
      <c r="T333" s="732"/>
      <c r="U333" s="732"/>
      <c r="V333" s="733"/>
      <c r="W333" s="732"/>
      <c r="X333" s="732"/>
      <c r="Y333" s="732"/>
      <c r="Z333" s="732"/>
      <c r="AA333" s="732"/>
    </row>
    <row r="334" spans="1:27" ht="24.75" customHeight="1">
      <c r="A334" s="732"/>
      <c r="B334" s="732"/>
      <c r="C334" s="732"/>
      <c r="D334" s="732"/>
      <c r="E334" s="732"/>
      <c r="F334" s="732"/>
      <c r="G334" s="732"/>
      <c r="H334" s="732"/>
      <c r="I334" s="732"/>
      <c r="J334" s="732"/>
      <c r="K334" s="732"/>
      <c r="L334" s="732"/>
      <c r="M334" s="732"/>
      <c r="N334" s="732"/>
      <c r="O334" s="732"/>
      <c r="P334" s="732"/>
      <c r="Q334" s="732"/>
      <c r="R334" s="732"/>
      <c r="S334" s="732"/>
      <c r="T334" s="732"/>
      <c r="U334" s="732"/>
      <c r="V334" s="733"/>
      <c r="W334" s="732"/>
      <c r="X334" s="732"/>
      <c r="Y334" s="732"/>
      <c r="Z334" s="732"/>
      <c r="AA334" s="732"/>
    </row>
    <row r="335" spans="1:27" ht="24.75" customHeight="1">
      <c r="A335" s="732"/>
      <c r="B335" s="732"/>
      <c r="C335" s="732"/>
      <c r="D335" s="732"/>
      <c r="E335" s="732"/>
      <c r="F335" s="732"/>
      <c r="G335" s="732"/>
      <c r="H335" s="732"/>
      <c r="I335" s="732"/>
      <c r="J335" s="732"/>
      <c r="K335" s="732"/>
      <c r="L335" s="732"/>
      <c r="M335" s="732"/>
      <c r="N335" s="732"/>
      <c r="O335" s="732"/>
      <c r="P335" s="732"/>
      <c r="Q335" s="732"/>
      <c r="R335" s="732"/>
      <c r="S335" s="732"/>
      <c r="T335" s="732"/>
      <c r="U335" s="732"/>
      <c r="V335" s="733"/>
      <c r="W335" s="732"/>
      <c r="X335" s="732"/>
      <c r="Y335" s="732"/>
      <c r="Z335" s="732"/>
      <c r="AA335" s="732"/>
    </row>
    <row r="336" spans="1:27" ht="24.75" customHeight="1">
      <c r="A336" s="732"/>
      <c r="B336" s="732"/>
      <c r="C336" s="732"/>
      <c r="D336" s="732"/>
      <c r="E336" s="732"/>
      <c r="F336" s="732"/>
      <c r="G336" s="732"/>
      <c r="H336" s="732"/>
      <c r="I336" s="732"/>
      <c r="J336" s="732"/>
      <c r="K336" s="732"/>
      <c r="L336" s="732"/>
      <c r="M336" s="732"/>
      <c r="N336" s="732"/>
      <c r="O336" s="732"/>
      <c r="P336" s="732"/>
      <c r="Q336" s="732"/>
      <c r="R336" s="732"/>
      <c r="S336" s="732"/>
      <c r="T336" s="732"/>
      <c r="U336" s="732"/>
      <c r="V336" s="733"/>
      <c r="W336" s="732"/>
      <c r="X336" s="732"/>
      <c r="Y336" s="732"/>
      <c r="Z336" s="732"/>
      <c r="AA336" s="732"/>
    </row>
    <row r="337" spans="1:27" ht="24.75" customHeight="1">
      <c r="A337" s="732"/>
      <c r="B337" s="732"/>
      <c r="C337" s="732"/>
      <c r="D337" s="732"/>
      <c r="E337" s="732"/>
      <c r="F337" s="732"/>
      <c r="G337" s="732"/>
      <c r="H337" s="732"/>
      <c r="I337" s="732"/>
      <c r="J337" s="732"/>
      <c r="K337" s="732"/>
      <c r="L337" s="732"/>
      <c r="M337" s="732"/>
      <c r="N337" s="732"/>
      <c r="O337" s="732"/>
      <c r="P337" s="732"/>
      <c r="Q337" s="732"/>
      <c r="R337" s="732"/>
      <c r="S337" s="732"/>
      <c r="T337" s="732"/>
      <c r="U337" s="732"/>
      <c r="V337" s="733"/>
      <c r="W337" s="732"/>
      <c r="X337" s="732"/>
      <c r="Y337" s="732"/>
      <c r="Z337" s="732"/>
      <c r="AA337" s="732"/>
    </row>
    <row r="338" spans="1:27" ht="24.75" customHeight="1">
      <c r="A338" s="732"/>
      <c r="B338" s="732"/>
      <c r="C338" s="732"/>
      <c r="D338" s="732"/>
      <c r="E338" s="732"/>
      <c r="F338" s="732"/>
      <c r="G338" s="732"/>
      <c r="H338" s="732"/>
      <c r="I338" s="732"/>
      <c r="J338" s="732"/>
      <c r="K338" s="732"/>
      <c r="L338" s="732"/>
      <c r="M338" s="732"/>
      <c r="N338" s="732"/>
      <c r="O338" s="732"/>
      <c r="P338" s="732"/>
      <c r="Q338" s="732"/>
      <c r="R338" s="732"/>
      <c r="S338" s="732"/>
      <c r="T338" s="732"/>
      <c r="U338" s="732"/>
      <c r="V338" s="733"/>
      <c r="W338" s="732"/>
      <c r="X338" s="732"/>
      <c r="Y338" s="732"/>
      <c r="Z338" s="732"/>
      <c r="AA338" s="732"/>
    </row>
    <row r="339" spans="1:27" ht="24.75" customHeight="1">
      <c r="A339" s="732"/>
      <c r="B339" s="732"/>
      <c r="C339" s="732"/>
      <c r="D339" s="732"/>
      <c r="E339" s="732"/>
      <c r="F339" s="732"/>
      <c r="G339" s="732"/>
      <c r="H339" s="732"/>
      <c r="I339" s="732"/>
      <c r="J339" s="732"/>
      <c r="K339" s="732"/>
      <c r="L339" s="732"/>
      <c r="M339" s="732"/>
      <c r="N339" s="732"/>
      <c r="O339" s="732"/>
      <c r="P339" s="732"/>
      <c r="Q339" s="732"/>
      <c r="R339" s="732"/>
      <c r="S339" s="732"/>
      <c r="T339" s="732"/>
      <c r="U339" s="732"/>
      <c r="V339" s="733"/>
      <c r="W339" s="732"/>
      <c r="X339" s="732"/>
      <c r="Y339" s="732"/>
      <c r="Z339" s="732"/>
      <c r="AA339" s="732"/>
    </row>
    <row r="340" spans="1:27" ht="24.75" customHeight="1">
      <c r="A340" s="732"/>
      <c r="B340" s="732"/>
      <c r="C340" s="732"/>
      <c r="D340" s="732"/>
      <c r="E340" s="732"/>
      <c r="F340" s="732"/>
      <c r="G340" s="732"/>
      <c r="H340" s="732"/>
      <c r="I340" s="732"/>
      <c r="J340" s="732"/>
      <c r="K340" s="732"/>
      <c r="L340" s="732"/>
      <c r="M340" s="732"/>
      <c r="N340" s="732"/>
      <c r="O340" s="732"/>
      <c r="P340" s="732"/>
      <c r="Q340" s="732"/>
      <c r="R340" s="732"/>
      <c r="S340" s="732"/>
      <c r="T340" s="732"/>
      <c r="U340" s="732"/>
      <c r="V340" s="733"/>
      <c r="W340" s="732"/>
      <c r="X340" s="732"/>
      <c r="Y340" s="732"/>
      <c r="Z340" s="732"/>
      <c r="AA340" s="732"/>
    </row>
    <row r="341" spans="1:27" ht="24.75" customHeight="1">
      <c r="A341" s="732"/>
      <c r="B341" s="732"/>
      <c r="C341" s="732"/>
      <c r="D341" s="732"/>
      <c r="E341" s="732"/>
      <c r="F341" s="732"/>
      <c r="G341" s="732"/>
      <c r="H341" s="732"/>
      <c r="I341" s="732"/>
      <c r="J341" s="732"/>
      <c r="K341" s="732"/>
      <c r="L341" s="732"/>
      <c r="M341" s="732"/>
      <c r="N341" s="732"/>
      <c r="O341" s="732"/>
      <c r="P341" s="732"/>
      <c r="Q341" s="732"/>
      <c r="R341" s="732"/>
      <c r="S341" s="732"/>
      <c r="T341" s="732"/>
      <c r="U341" s="732"/>
      <c r="V341" s="733"/>
      <c r="W341" s="732"/>
      <c r="X341" s="732"/>
      <c r="Y341" s="732"/>
      <c r="Z341" s="732"/>
      <c r="AA341" s="732"/>
    </row>
    <row r="342" spans="1:27" ht="24.75" customHeight="1">
      <c r="A342" s="732"/>
      <c r="B342" s="732"/>
      <c r="C342" s="732"/>
      <c r="D342" s="732"/>
      <c r="E342" s="732"/>
      <c r="F342" s="732"/>
      <c r="G342" s="732"/>
      <c r="H342" s="732"/>
      <c r="I342" s="732"/>
      <c r="J342" s="732"/>
      <c r="K342" s="732"/>
      <c r="L342" s="732"/>
      <c r="M342" s="732"/>
      <c r="N342" s="732"/>
      <c r="O342" s="732"/>
      <c r="P342" s="732"/>
      <c r="Q342" s="732"/>
      <c r="R342" s="732"/>
      <c r="S342" s="732"/>
      <c r="T342" s="732"/>
      <c r="U342" s="732"/>
      <c r="V342" s="733"/>
      <c r="W342" s="732"/>
      <c r="X342" s="732"/>
      <c r="Y342" s="732"/>
      <c r="Z342" s="732"/>
      <c r="AA342" s="732"/>
    </row>
    <row r="343" spans="1:27" ht="24.75" customHeight="1">
      <c r="A343" s="732"/>
      <c r="B343" s="732"/>
      <c r="C343" s="732"/>
      <c r="D343" s="732"/>
      <c r="E343" s="732"/>
      <c r="F343" s="732"/>
      <c r="G343" s="732"/>
      <c r="H343" s="732"/>
      <c r="I343" s="732"/>
      <c r="J343" s="732"/>
      <c r="K343" s="732"/>
      <c r="L343" s="732"/>
      <c r="M343" s="732"/>
      <c r="N343" s="732"/>
      <c r="O343" s="732"/>
      <c r="P343" s="732"/>
      <c r="Q343" s="732"/>
      <c r="R343" s="732"/>
      <c r="S343" s="732"/>
      <c r="T343" s="732"/>
      <c r="U343" s="732"/>
      <c r="V343" s="733"/>
      <c r="W343" s="732"/>
      <c r="X343" s="732"/>
      <c r="Y343" s="732"/>
      <c r="Z343" s="732"/>
      <c r="AA343" s="732"/>
    </row>
    <row r="344" spans="1:27" ht="24.75" customHeight="1">
      <c r="A344" s="732"/>
      <c r="B344" s="732"/>
      <c r="C344" s="732"/>
      <c r="D344" s="732"/>
      <c r="E344" s="732"/>
      <c r="F344" s="732"/>
      <c r="G344" s="732"/>
      <c r="H344" s="732"/>
      <c r="I344" s="732"/>
      <c r="J344" s="732"/>
      <c r="K344" s="732"/>
      <c r="L344" s="732"/>
      <c r="M344" s="732"/>
      <c r="N344" s="732"/>
      <c r="O344" s="732"/>
      <c r="P344" s="732"/>
      <c r="Q344" s="732"/>
      <c r="R344" s="732"/>
      <c r="S344" s="732"/>
      <c r="T344" s="732"/>
      <c r="U344" s="732"/>
      <c r="V344" s="733"/>
      <c r="W344" s="732"/>
      <c r="X344" s="732"/>
      <c r="Y344" s="732"/>
      <c r="Z344" s="732"/>
      <c r="AA344" s="732"/>
    </row>
    <row r="345" spans="1:27" ht="24.75" customHeight="1">
      <c r="A345" s="732"/>
      <c r="B345" s="732"/>
      <c r="C345" s="732"/>
      <c r="D345" s="732"/>
      <c r="E345" s="732"/>
      <c r="F345" s="732"/>
      <c r="G345" s="732"/>
      <c r="H345" s="732"/>
      <c r="I345" s="732"/>
      <c r="J345" s="732"/>
      <c r="K345" s="732"/>
      <c r="L345" s="732"/>
      <c r="M345" s="732"/>
      <c r="N345" s="732"/>
      <c r="O345" s="732"/>
      <c r="P345" s="732"/>
      <c r="Q345" s="732"/>
      <c r="R345" s="732"/>
      <c r="S345" s="732"/>
      <c r="T345" s="732"/>
      <c r="U345" s="732"/>
      <c r="V345" s="733"/>
      <c r="W345" s="732"/>
      <c r="X345" s="732"/>
      <c r="Y345" s="732"/>
      <c r="Z345" s="732"/>
      <c r="AA345" s="732"/>
    </row>
    <row r="346" spans="1:27" ht="24.75" customHeight="1">
      <c r="A346" s="732"/>
      <c r="B346" s="732"/>
      <c r="C346" s="732"/>
      <c r="D346" s="732"/>
      <c r="E346" s="732"/>
      <c r="F346" s="732"/>
      <c r="G346" s="732"/>
      <c r="H346" s="732"/>
      <c r="I346" s="732"/>
      <c r="J346" s="732"/>
      <c r="K346" s="732"/>
      <c r="L346" s="732"/>
      <c r="M346" s="732"/>
      <c r="N346" s="732"/>
      <c r="O346" s="732"/>
      <c r="P346" s="732"/>
      <c r="Q346" s="732"/>
      <c r="R346" s="732"/>
      <c r="S346" s="732"/>
      <c r="T346" s="732"/>
      <c r="U346" s="732"/>
      <c r="V346" s="733"/>
      <c r="W346" s="732"/>
      <c r="X346" s="732"/>
      <c r="Y346" s="732"/>
      <c r="Z346" s="732"/>
      <c r="AA346" s="732"/>
    </row>
    <row r="347" spans="1:27" ht="24.75" customHeight="1">
      <c r="A347" s="732"/>
      <c r="B347" s="732"/>
      <c r="C347" s="732"/>
      <c r="D347" s="732"/>
      <c r="E347" s="732"/>
      <c r="F347" s="732"/>
      <c r="G347" s="732"/>
      <c r="H347" s="732"/>
      <c r="I347" s="732"/>
      <c r="J347" s="732"/>
      <c r="K347" s="732"/>
      <c r="L347" s="732"/>
      <c r="M347" s="732"/>
      <c r="N347" s="732"/>
      <c r="O347" s="732"/>
      <c r="P347" s="732"/>
      <c r="Q347" s="732"/>
      <c r="R347" s="732"/>
      <c r="S347" s="732"/>
      <c r="T347" s="732"/>
      <c r="U347" s="732"/>
      <c r="V347" s="733"/>
      <c r="W347" s="732"/>
      <c r="X347" s="732"/>
      <c r="Y347" s="732"/>
      <c r="Z347" s="732"/>
      <c r="AA347" s="732"/>
    </row>
    <row r="348" spans="1:27" ht="24.75" customHeight="1">
      <c r="A348" s="732"/>
      <c r="B348" s="732"/>
      <c r="C348" s="732"/>
      <c r="D348" s="732"/>
      <c r="E348" s="732"/>
      <c r="F348" s="732"/>
      <c r="G348" s="732"/>
      <c r="H348" s="732"/>
      <c r="I348" s="732"/>
      <c r="J348" s="732"/>
      <c r="K348" s="732"/>
      <c r="L348" s="732"/>
      <c r="M348" s="732"/>
      <c r="N348" s="732"/>
      <c r="O348" s="732"/>
      <c r="P348" s="732"/>
      <c r="Q348" s="732"/>
      <c r="R348" s="732"/>
      <c r="S348" s="732"/>
      <c r="T348" s="732"/>
      <c r="U348" s="732"/>
      <c r="V348" s="733"/>
      <c r="W348" s="732"/>
      <c r="X348" s="732"/>
      <c r="Y348" s="732"/>
      <c r="Z348" s="732"/>
      <c r="AA348" s="732"/>
    </row>
    <row r="349" spans="1:27" ht="24.75" customHeight="1">
      <c r="A349" s="732"/>
      <c r="B349" s="732"/>
      <c r="C349" s="732"/>
      <c r="D349" s="732"/>
      <c r="E349" s="732"/>
      <c r="F349" s="732"/>
      <c r="G349" s="732"/>
      <c r="H349" s="732"/>
      <c r="I349" s="732"/>
      <c r="J349" s="732"/>
      <c r="K349" s="732"/>
      <c r="L349" s="732"/>
      <c r="M349" s="732"/>
      <c r="N349" s="732"/>
      <c r="O349" s="732"/>
      <c r="P349" s="732"/>
      <c r="Q349" s="732"/>
      <c r="R349" s="732"/>
      <c r="S349" s="732"/>
      <c r="T349" s="732"/>
      <c r="U349" s="732"/>
      <c r="V349" s="733"/>
      <c r="W349" s="732"/>
      <c r="X349" s="732"/>
      <c r="Y349" s="732"/>
      <c r="Z349" s="732"/>
      <c r="AA349" s="732"/>
    </row>
    <row r="350" spans="1:27" ht="24.75" customHeight="1">
      <c r="A350" s="732"/>
      <c r="B350" s="732"/>
      <c r="C350" s="732"/>
      <c r="D350" s="732"/>
      <c r="E350" s="732"/>
      <c r="F350" s="732"/>
      <c r="G350" s="732"/>
      <c r="H350" s="732"/>
      <c r="I350" s="732"/>
      <c r="J350" s="732"/>
      <c r="K350" s="732"/>
      <c r="L350" s="732"/>
      <c r="M350" s="732"/>
      <c r="N350" s="732"/>
      <c r="O350" s="732"/>
      <c r="P350" s="732"/>
      <c r="Q350" s="732"/>
      <c r="R350" s="732"/>
      <c r="S350" s="732"/>
      <c r="T350" s="732"/>
      <c r="U350" s="732"/>
      <c r="V350" s="733"/>
      <c r="W350" s="732"/>
      <c r="X350" s="732"/>
      <c r="Y350" s="732"/>
      <c r="Z350" s="732"/>
      <c r="AA350" s="732"/>
    </row>
    <row r="351" spans="1:27" ht="24.75" customHeight="1">
      <c r="A351" s="732"/>
      <c r="B351" s="732"/>
      <c r="C351" s="732"/>
      <c r="D351" s="732"/>
      <c r="E351" s="732"/>
      <c r="F351" s="732"/>
      <c r="G351" s="732"/>
      <c r="H351" s="732"/>
      <c r="I351" s="732"/>
      <c r="J351" s="732"/>
      <c r="K351" s="732"/>
      <c r="L351" s="732"/>
      <c r="M351" s="732"/>
      <c r="N351" s="732"/>
      <c r="O351" s="732"/>
      <c r="P351" s="732"/>
      <c r="Q351" s="732"/>
      <c r="R351" s="732"/>
      <c r="S351" s="732"/>
      <c r="T351" s="732"/>
      <c r="U351" s="732"/>
      <c r="V351" s="733"/>
      <c r="W351" s="732"/>
      <c r="X351" s="732"/>
      <c r="Y351" s="732"/>
      <c r="Z351" s="732"/>
      <c r="AA351" s="732"/>
    </row>
    <row r="352" spans="1:27" ht="24.75" customHeight="1">
      <c r="A352" s="732"/>
      <c r="B352" s="732"/>
      <c r="C352" s="732"/>
      <c r="D352" s="732"/>
      <c r="E352" s="732"/>
      <c r="F352" s="732"/>
      <c r="G352" s="732"/>
      <c r="H352" s="732"/>
      <c r="I352" s="732"/>
      <c r="J352" s="732"/>
      <c r="K352" s="732"/>
      <c r="L352" s="732"/>
      <c r="M352" s="732"/>
      <c r="N352" s="732"/>
      <c r="O352" s="732"/>
      <c r="P352" s="732"/>
      <c r="Q352" s="732"/>
      <c r="R352" s="732"/>
      <c r="S352" s="732"/>
      <c r="T352" s="732"/>
      <c r="U352" s="732"/>
      <c r="V352" s="733"/>
      <c r="W352" s="732"/>
      <c r="X352" s="732"/>
      <c r="Y352" s="732"/>
      <c r="Z352" s="732"/>
      <c r="AA352" s="732"/>
    </row>
    <row r="353" spans="1:27" ht="24.75" customHeight="1">
      <c r="A353" s="732"/>
      <c r="B353" s="732"/>
      <c r="C353" s="732"/>
      <c r="D353" s="732"/>
      <c r="E353" s="732"/>
      <c r="F353" s="732"/>
      <c r="G353" s="732"/>
      <c r="H353" s="732"/>
      <c r="I353" s="732"/>
      <c r="J353" s="732"/>
      <c r="K353" s="732"/>
      <c r="L353" s="732"/>
      <c r="M353" s="732"/>
      <c r="N353" s="732"/>
      <c r="O353" s="732"/>
      <c r="P353" s="732"/>
      <c r="Q353" s="732"/>
      <c r="R353" s="732"/>
      <c r="S353" s="732"/>
      <c r="T353" s="732"/>
      <c r="U353" s="732"/>
      <c r="V353" s="733"/>
      <c r="W353" s="732"/>
      <c r="X353" s="732"/>
      <c r="Y353" s="732"/>
      <c r="Z353" s="732"/>
      <c r="AA353" s="732"/>
    </row>
    <row r="354" spans="1:27" ht="24.75" customHeight="1">
      <c r="A354" s="732"/>
      <c r="B354" s="732"/>
      <c r="C354" s="732"/>
      <c r="D354" s="732"/>
      <c r="E354" s="732"/>
      <c r="F354" s="732"/>
      <c r="G354" s="732"/>
      <c r="H354" s="732"/>
      <c r="I354" s="732"/>
      <c r="J354" s="732"/>
      <c r="K354" s="732"/>
      <c r="L354" s="732"/>
      <c r="M354" s="732"/>
      <c r="N354" s="732"/>
      <c r="O354" s="732"/>
      <c r="P354" s="732"/>
      <c r="Q354" s="732"/>
      <c r="R354" s="732"/>
      <c r="S354" s="732"/>
      <c r="T354" s="732"/>
      <c r="U354" s="732"/>
      <c r="V354" s="733"/>
      <c r="W354" s="732"/>
      <c r="X354" s="732"/>
      <c r="Y354" s="732"/>
      <c r="Z354" s="732"/>
      <c r="AA354" s="732"/>
    </row>
    <row r="355" spans="1:27" ht="24.75" customHeight="1">
      <c r="A355" s="732"/>
      <c r="B355" s="732"/>
      <c r="C355" s="732"/>
      <c r="D355" s="732"/>
      <c r="E355" s="732"/>
      <c r="F355" s="732"/>
      <c r="G355" s="732"/>
      <c r="H355" s="732"/>
      <c r="I355" s="732"/>
      <c r="J355" s="732"/>
      <c r="K355" s="732"/>
      <c r="L355" s="732"/>
      <c r="M355" s="732"/>
      <c r="N355" s="732"/>
      <c r="O355" s="732"/>
      <c r="P355" s="732"/>
      <c r="Q355" s="732"/>
      <c r="R355" s="732"/>
      <c r="S355" s="732"/>
      <c r="T355" s="732"/>
      <c r="U355" s="732"/>
      <c r="V355" s="733"/>
      <c r="W355" s="732"/>
      <c r="X355" s="732"/>
      <c r="Y355" s="732"/>
      <c r="Z355" s="732"/>
      <c r="AA355" s="732"/>
    </row>
    <row r="356" spans="1:27" ht="24.75" customHeight="1">
      <c r="A356" s="732"/>
      <c r="B356" s="732"/>
      <c r="C356" s="732"/>
      <c r="D356" s="732"/>
      <c r="E356" s="732"/>
      <c r="F356" s="732"/>
      <c r="G356" s="732"/>
      <c r="H356" s="732"/>
      <c r="I356" s="732"/>
      <c r="J356" s="732"/>
      <c r="K356" s="732"/>
      <c r="L356" s="732"/>
      <c r="M356" s="732"/>
      <c r="N356" s="732"/>
      <c r="O356" s="732"/>
      <c r="P356" s="732"/>
      <c r="Q356" s="732"/>
      <c r="R356" s="732"/>
      <c r="S356" s="732"/>
      <c r="T356" s="732"/>
      <c r="U356" s="732"/>
      <c r="V356" s="733"/>
      <c r="W356" s="732"/>
      <c r="X356" s="732"/>
      <c r="Y356" s="732"/>
      <c r="Z356" s="732"/>
      <c r="AA356" s="732"/>
    </row>
    <row r="357" spans="1:27" ht="24.75" customHeight="1">
      <c r="A357" s="732"/>
      <c r="B357" s="732"/>
      <c r="C357" s="732"/>
      <c r="D357" s="732"/>
      <c r="E357" s="732"/>
      <c r="F357" s="732"/>
      <c r="G357" s="732"/>
      <c r="H357" s="732"/>
      <c r="I357" s="732"/>
      <c r="J357" s="732"/>
      <c r="K357" s="732"/>
      <c r="L357" s="732"/>
      <c r="M357" s="732"/>
      <c r="N357" s="732"/>
      <c r="O357" s="732"/>
      <c r="P357" s="732"/>
      <c r="Q357" s="732"/>
      <c r="R357" s="732"/>
      <c r="S357" s="732"/>
      <c r="T357" s="732"/>
      <c r="U357" s="732"/>
      <c r="V357" s="733"/>
      <c r="W357" s="732"/>
      <c r="X357" s="732"/>
      <c r="Y357" s="732"/>
      <c r="Z357" s="732"/>
      <c r="AA357" s="732"/>
    </row>
    <row r="358" spans="1:27" ht="24.75" customHeight="1">
      <c r="A358" s="732"/>
      <c r="B358" s="732"/>
      <c r="C358" s="732"/>
      <c r="D358" s="732"/>
      <c r="E358" s="732"/>
      <c r="F358" s="732"/>
      <c r="G358" s="732"/>
      <c r="H358" s="732"/>
      <c r="I358" s="732"/>
      <c r="J358" s="732"/>
      <c r="K358" s="732"/>
      <c r="L358" s="732"/>
      <c r="M358" s="732"/>
      <c r="N358" s="732"/>
      <c r="O358" s="732"/>
      <c r="P358" s="732"/>
      <c r="Q358" s="732"/>
      <c r="R358" s="732"/>
      <c r="S358" s="732"/>
      <c r="T358" s="732"/>
      <c r="U358" s="732"/>
      <c r="V358" s="733"/>
      <c r="W358" s="732"/>
      <c r="X358" s="732"/>
      <c r="Y358" s="732"/>
      <c r="Z358" s="732"/>
      <c r="AA358" s="732"/>
    </row>
    <row r="359" spans="1:27" ht="24.75" customHeight="1">
      <c r="A359" s="732"/>
      <c r="B359" s="732"/>
      <c r="C359" s="732"/>
      <c r="D359" s="732"/>
      <c r="E359" s="732"/>
      <c r="F359" s="732"/>
      <c r="G359" s="732"/>
      <c r="H359" s="732"/>
      <c r="I359" s="732"/>
      <c r="J359" s="732"/>
      <c r="K359" s="732"/>
      <c r="L359" s="732"/>
      <c r="M359" s="732"/>
      <c r="N359" s="732"/>
      <c r="O359" s="732"/>
      <c r="P359" s="732"/>
      <c r="Q359" s="732"/>
      <c r="R359" s="732"/>
      <c r="S359" s="732"/>
      <c r="T359" s="732"/>
      <c r="U359" s="732"/>
      <c r="V359" s="733"/>
      <c r="W359" s="732"/>
      <c r="X359" s="732"/>
      <c r="Y359" s="732"/>
      <c r="Z359" s="732"/>
      <c r="AA359" s="732"/>
    </row>
    <row r="360" spans="1:27" ht="24.75" customHeight="1">
      <c r="A360" s="732"/>
      <c r="B360" s="732"/>
      <c r="C360" s="732"/>
      <c r="D360" s="732"/>
      <c r="E360" s="732"/>
      <c r="F360" s="732"/>
      <c r="G360" s="732"/>
      <c r="H360" s="732"/>
      <c r="I360" s="732"/>
      <c r="J360" s="732"/>
      <c r="K360" s="732"/>
      <c r="L360" s="732"/>
      <c r="M360" s="732"/>
      <c r="N360" s="732"/>
      <c r="O360" s="732"/>
      <c r="P360" s="732"/>
      <c r="Q360" s="732"/>
      <c r="R360" s="732"/>
      <c r="S360" s="732"/>
      <c r="T360" s="732"/>
      <c r="U360" s="732"/>
      <c r="V360" s="733"/>
      <c r="W360" s="732"/>
      <c r="X360" s="732"/>
      <c r="Y360" s="732"/>
      <c r="Z360" s="732"/>
      <c r="AA360" s="732"/>
    </row>
    <row r="361" spans="1:27" ht="24.75" customHeight="1">
      <c r="A361" s="732"/>
      <c r="B361" s="732"/>
      <c r="C361" s="732"/>
      <c r="D361" s="732"/>
      <c r="E361" s="732"/>
      <c r="F361" s="732"/>
      <c r="G361" s="732"/>
      <c r="H361" s="732"/>
      <c r="I361" s="732"/>
      <c r="J361" s="732"/>
      <c r="K361" s="732"/>
      <c r="L361" s="732"/>
      <c r="M361" s="732"/>
      <c r="N361" s="732"/>
      <c r="O361" s="732"/>
      <c r="P361" s="732"/>
      <c r="Q361" s="732"/>
      <c r="R361" s="732"/>
      <c r="S361" s="732"/>
      <c r="T361" s="732"/>
      <c r="U361" s="732"/>
      <c r="V361" s="733"/>
      <c r="W361" s="732"/>
      <c r="X361" s="732"/>
      <c r="Y361" s="732"/>
      <c r="Z361" s="732"/>
      <c r="AA361" s="732"/>
    </row>
    <row r="362" spans="1:27" ht="24.75" customHeight="1">
      <c r="A362" s="732"/>
      <c r="B362" s="732"/>
      <c r="C362" s="732"/>
      <c r="D362" s="732"/>
      <c r="E362" s="732"/>
      <c r="F362" s="732"/>
      <c r="G362" s="732"/>
      <c r="H362" s="732"/>
      <c r="I362" s="732"/>
      <c r="J362" s="732"/>
      <c r="K362" s="732"/>
      <c r="L362" s="732"/>
      <c r="M362" s="732"/>
      <c r="N362" s="732"/>
      <c r="O362" s="732"/>
      <c r="P362" s="732"/>
      <c r="Q362" s="732"/>
      <c r="R362" s="732"/>
      <c r="S362" s="732"/>
      <c r="T362" s="732"/>
      <c r="U362" s="732"/>
      <c r="V362" s="733"/>
      <c r="W362" s="732"/>
      <c r="X362" s="732"/>
      <c r="Y362" s="732"/>
      <c r="Z362" s="732"/>
      <c r="AA362" s="732"/>
    </row>
    <row r="363" spans="1:27" ht="24.75" customHeight="1">
      <c r="A363" s="732"/>
      <c r="B363" s="732"/>
      <c r="C363" s="732"/>
      <c r="D363" s="732"/>
      <c r="E363" s="732"/>
      <c r="F363" s="732"/>
      <c r="G363" s="732"/>
      <c r="H363" s="732"/>
      <c r="I363" s="732"/>
      <c r="J363" s="732"/>
      <c r="K363" s="732"/>
      <c r="L363" s="732"/>
      <c r="M363" s="732"/>
      <c r="N363" s="732"/>
      <c r="O363" s="732"/>
      <c r="P363" s="732"/>
      <c r="Q363" s="732"/>
      <c r="R363" s="732"/>
      <c r="S363" s="732"/>
      <c r="T363" s="732"/>
      <c r="U363" s="732"/>
      <c r="V363" s="733"/>
      <c r="W363" s="732"/>
      <c r="X363" s="732"/>
      <c r="Y363" s="732"/>
      <c r="Z363" s="732"/>
      <c r="AA363" s="732"/>
    </row>
    <row r="364" spans="1:27" ht="24.75" customHeight="1">
      <c r="A364" s="732"/>
      <c r="B364" s="732"/>
      <c r="C364" s="732"/>
      <c r="D364" s="732"/>
      <c r="E364" s="732"/>
      <c r="F364" s="732"/>
      <c r="G364" s="732"/>
      <c r="H364" s="732"/>
      <c r="I364" s="732"/>
      <c r="J364" s="732"/>
      <c r="K364" s="732"/>
      <c r="L364" s="732"/>
      <c r="M364" s="732"/>
      <c r="N364" s="732"/>
      <c r="O364" s="732"/>
      <c r="P364" s="732"/>
      <c r="Q364" s="732"/>
      <c r="R364" s="732"/>
      <c r="S364" s="732"/>
      <c r="T364" s="732"/>
      <c r="U364" s="732"/>
      <c r="V364" s="733"/>
      <c r="W364" s="732"/>
      <c r="X364" s="732"/>
      <c r="Y364" s="732"/>
      <c r="Z364" s="732"/>
      <c r="AA364" s="732"/>
    </row>
    <row r="365" spans="1:27" ht="24.75" customHeight="1">
      <c r="A365" s="732"/>
      <c r="B365" s="732"/>
      <c r="C365" s="732"/>
      <c r="D365" s="732"/>
      <c r="E365" s="732"/>
      <c r="F365" s="732"/>
      <c r="G365" s="732"/>
      <c r="H365" s="732"/>
      <c r="I365" s="732"/>
      <c r="J365" s="732"/>
      <c r="K365" s="732"/>
      <c r="L365" s="732"/>
      <c r="M365" s="732"/>
      <c r="N365" s="732"/>
      <c r="O365" s="732"/>
      <c r="P365" s="732"/>
      <c r="Q365" s="732"/>
      <c r="R365" s="732"/>
      <c r="S365" s="732"/>
      <c r="T365" s="732"/>
      <c r="U365" s="732"/>
      <c r="V365" s="733"/>
      <c r="W365" s="732"/>
      <c r="X365" s="732"/>
      <c r="Y365" s="732"/>
      <c r="Z365" s="732"/>
      <c r="AA365" s="732"/>
    </row>
    <row r="366" spans="1:27" ht="24.75" customHeight="1">
      <c r="A366" s="732"/>
      <c r="B366" s="732"/>
      <c r="C366" s="732"/>
      <c r="D366" s="732"/>
      <c r="E366" s="732"/>
      <c r="F366" s="732"/>
      <c r="G366" s="732"/>
      <c r="H366" s="732"/>
      <c r="I366" s="732"/>
      <c r="J366" s="732"/>
      <c r="K366" s="732"/>
      <c r="L366" s="732"/>
      <c r="M366" s="732"/>
      <c r="N366" s="732"/>
      <c r="O366" s="732"/>
      <c r="P366" s="732"/>
      <c r="Q366" s="732"/>
      <c r="R366" s="732"/>
      <c r="S366" s="732"/>
      <c r="T366" s="732"/>
      <c r="U366" s="732"/>
      <c r="V366" s="733"/>
      <c r="W366" s="732"/>
      <c r="X366" s="732"/>
      <c r="Y366" s="732"/>
      <c r="Z366" s="732"/>
      <c r="AA366" s="732"/>
    </row>
    <row r="367" spans="1:27" ht="24.75" customHeight="1">
      <c r="A367" s="732"/>
      <c r="B367" s="732"/>
      <c r="C367" s="732"/>
      <c r="D367" s="732"/>
      <c r="E367" s="732"/>
      <c r="F367" s="732"/>
      <c r="G367" s="732"/>
      <c r="H367" s="732"/>
      <c r="I367" s="732"/>
      <c r="J367" s="732"/>
      <c r="K367" s="732"/>
      <c r="L367" s="732"/>
      <c r="M367" s="732"/>
      <c r="N367" s="732"/>
      <c r="O367" s="732"/>
      <c r="P367" s="732"/>
      <c r="Q367" s="732"/>
      <c r="R367" s="732"/>
      <c r="S367" s="732"/>
      <c r="T367" s="732"/>
      <c r="U367" s="732"/>
      <c r="V367" s="733"/>
      <c r="W367" s="732"/>
      <c r="X367" s="732"/>
      <c r="Y367" s="732"/>
      <c r="Z367" s="732"/>
      <c r="AA367" s="732"/>
    </row>
    <row r="368" spans="1:27" ht="24.75" customHeight="1">
      <c r="A368" s="732"/>
      <c r="B368" s="732"/>
      <c r="C368" s="732"/>
      <c r="D368" s="732"/>
      <c r="E368" s="732"/>
      <c r="F368" s="732"/>
      <c r="G368" s="732"/>
      <c r="H368" s="732"/>
      <c r="I368" s="732"/>
      <c r="J368" s="732"/>
      <c r="K368" s="732"/>
      <c r="L368" s="732"/>
      <c r="M368" s="732"/>
      <c r="N368" s="732"/>
      <c r="O368" s="732"/>
      <c r="P368" s="732"/>
      <c r="Q368" s="732"/>
      <c r="R368" s="732"/>
      <c r="S368" s="732"/>
      <c r="T368" s="732"/>
      <c r="U368" s="732"/>
      <c r="V368" s="733"/>
      <c r="W368" s="732"/>
      <c r="X368" s="732"/>
      <c r="Y368" s="732"/>
      <c r="Z368" s="732"/>
      <c r="AA368" s="732"/>
    </row>
    <row r="369" spans="1:27" ht="24.75" customHeight="1">
      <c r="A369" s="732"/>
      <c r="B369" s="732"/>
      <c r="C369" s="732"/>
      <c r="D369" s="732"/>
      <c r="E369" s="732"/>
      <c r="F369" s="732"/>
      <c r="G369" s="732"/>
      <c r="H369" s="732"/>
      <c r="I369" s="732"/>
      <c r="J369" s="732"/>
      <c r="K369" s="732"/>
      <c r="L369" s="732"/>
      <c r="M369" s="732"/>
      <c r="N369" s="732"/>
      <c r="O369" s="732"/>
      <c r="P369" s="732"/>
      <c r="Q369" s="732"/>
      <c r="R369" s="732"/>
      <c r="S369" s="732"/>
      <c r="T369" s="732"/>
      <c r="U369" s="732"/>
      <c r="V369" s="733"/>
      <c r="W369" s="732"/>
      <c r="X369" s="732"/>
      <c r="Y369" s="732"/>
      <c r="Z369" s="732"/>
      <c r="AA369" s="732"/>
    </row>
    <row r="370" spans="1:27" ht="24.75" customHeight="1">
      <c r="A370" s="732"/>
      <c r="B370" s="732"/>
      <c r="C370" s="732"/>
      <c r="D370" s="732"/>
      <c r="E370" s="732"/>
      <c r="F370" s="732"/>
      <c r="G370" s="732"/>
      <c r="H370" s="732"/>
      <c r="I370" s="732"/>
      <c r="J370" s="732"/>
      <c r="K370" s="732"/>
      <c r="L370" s="732"/>
      <c r="M370" s="732"/>
      <c r="N370" s="732"/>
      <c r="O370" s="732"/>
      <c r="P370" s="732"/>
      <c r="Q370" s="732"/>
      <c r="R370" s="732"/>
      <c r="S370" s="732"/>
      <c r="T370" s="732"/>
      <c r="U370" s="732"/>
      <c r="V370" s="733"/>
      <c r="W370" s="732"/>
      <c r="X370" s="732"/>
      <c r="Y370" s="732"/>
      <c r="Z370" s="732"/>
      <c r="AA370" s="732"/>
    </row>
    <row r="371" spans="1:27" ht="24.75" customHeight="1">
      <c r="A371" s="732"/>
      <c r="B371" s="732"/>
      <c r="C371" s="732"/>
      <c r="D371" s="732"/>
      <c r="E371" s="732"/>
      <c r="F371" s="732"/>
      <c r="G371" s="732"/>
      <c r="H371" s="732"/>
      <c r="I371" s="732"/>
      <c r="J371" s="732"/>
      <c r="K371" s="732"/>
      <c r="L371" s="732"/>
      <c r="M371" s="732"/>
      <c r="N371" s="732"/>
      <c r="O371" s="732"/>
      <c r="P371" s="732"/>
      <c r="Q371" s="732"/>
      <c r="R371" s="732"/>
      <c r="S371" s="732"/>
      <c r="T371" s="732"/>
      <c r="U371" s="732"/>
      <c r="V371" s="733"/>
      <c r="W371" s="732"/>
      <c r="X371" s="732"/>
      <c r="Y371" s="732"/>
      <c r="Z371" s="732"/>
      <c r="AA371" s="732"/>
    </row>
    <row r="372" spans="1:27" ht="24.75" customHeight="1">
      <c r="A372" s="732"/>
      <c r="B372" s="732"/>
      <c r="C372" s="732"/>
      <c r="D372" s="732"/>
      <c r="E372" s="732"/>
      <c r="F372" s="732"/>
      <c r="G372" s="732"/>
      <c r="H372" s="732"/>
      <c r="I372" s="732"/>
      <c r="J372" s="732"/>
      <c r="K372" s="732"/>
      <c r="L372" s="732"/>
      <c r="M372" s="732"/>
      <c r="N372" s="732"/>
      <c r="O372" s="732"/>
      <c r="P372" s="732"/>
      <c r="Q372" s="732"/>
      <c r="R372" s="732"/>
      <c r="S372" s="732"/>
      <c r="T372" s="732"/>
      <c r="U372" s="732"/>
      <c r="V372" s="733"/>
      <c r="W372" s="732"/>
      <c r="X372" s="732"/>
      <c r="Y372" s="732"/>
      <c r="Z372" s="732"/>
      <c r="AA372" s="732"/>
    </row>
    <row r="373" spans="1:27" ht="24.75" customHeight="1">
      <c r="A373" s="732"/>
      <c r="B373" s="732"/>
      <c r="C373" s="732"/>
      <c r="D373" s="732"/>
      <c r="E373" s="732"/>
      <c r="F373" s="732"/>
      <c r="G373" s="732"/>
      <c r="H373" s="732"/>
      <c r="I373" s="732"/>
      <c r="J373" s="732"/>
      <c r="K373" s="732"/>
      <c r="L373" s="732"/>
      <c r="M373" s="732"/>
      <c r="N373" s="732"/>
      <c r="O373" s="732"/>
      <c r="P373" s="732"/>
      <c r="Q373" s="732"/>
      <c r="R373" s="732"/>
      <c r="S373" s="732"/>
      <c r="T373" s="732"/>
      <c r="U373" s="732"/>
      <c r="V373" s="733"/>
      <c r="W373" s="732"/>
      <c r="X373" s="732"/>
      <c r="Y373" s="732"/>
      <c r="Z373" s="732"/>
      <c r="AA373" s="732"/>
    </row>
    <row r="374" spans="1:27" ht="24.75" customHeight="1">
      <c r="A374" s="732"/>
      <c r="B374" s="732"/>
      <c r="C374" s="732"/>
      <c r="D374" s="732"/>
      <c r="E374" s="732"/>
      <c r="F374" s="732"/>
      <c r="G374" s="732"/>
      <c r="H374" s="732"/>
      <c r="I374" s="732"/>
      <c r="J374" s="732"/>
      <c r="K374" s="732"/>
      <c r="L374" s="732"/>
      <c r="M374" s="732"/>
      <c r="N374" s="732"/>
      <c r="O374" s="732"/>
      <c r="P374" s="732"/>
      <c r="Q374" s="732"/>
      <c r="R374" s="732"/>
      <c r="S374" s="732"/>
      <c r="T374" s="732"/>
      <c r="U374" s="732"/>
      <c r="V374" s="733"/>
      <c r="W374" s="732"/>
      <c r="X374" s="732"/>
      <c r="Y374" s="732"/>
      <c r="Z374" s="732"/>
      <c r="AA374" s="732"/>
    </row>
    <row r="375" spans="1:27" ht="24.75" customHeight="1">
      <c r="A375" s="732"/>
      <c r="B375" s="732"/>
      <c r="C375" s="732"/>
      <c r="D375" s="732"/>
      <c r="E375" s="732"/>
      <c r="F375" s="732"/>
      <c r="G375" s="732"/>
      <c r="H375" s="732"/>
      <c r="I375" s="732"/>
      <c r="J375" s="732"/>
      <c r="K375" s="732"/>
      <c r="L375" s="732"/>
      <c r="M375" s="732"/>
      <c r="N375" s="732"/>
      <c r="O375" s="732"/>
      <c r="P375" s="732"/>
      <c r="Q375" s="732"/>
      <c r="R375" s="732"/>
      <c r="S375" s="732"/>
      <c r="T375" s="732"/>
      <c r="U375" s="732"/>
      <c r="V375" s="733"/>
      <c r="W375" s="732"/>
      <c r="X375" s="732"/>
      <c r="Y375" s="732"/>
      <c r="Z375" s="732"/>
      <c r="AA375" s="732"/>
    </row>
    <row r="376" spans="1:27" ht="24.75" customHeight="1">
      <c r="A376" s="732"/>
      <c r="B376" s="732"/>
      <c r="C376" s="732"/>
      <c r="D376" s="732"/>
      <c r="E376" s="732"/>
      <c r="F376" s="732"/>
      <c r="G376" s="732"/>
      <c r="H376" s="732"/>
      <c r="I376" s="732"/>
      <c r="J376" s="732"/>
      <c r="K376" s="732"/>
      <c r="L376" s="732"/>
      <c r="M376" s="732"/>
      <c r="N376" s="732"/>
      <c r="O376" s="732"/>
      <c r="P376" s="732"/>
      <c r="Q376" s="732"/>
      <c r="R376" s="732"/>
      <c r="S376" s="732"/>
      <c r="T376" s="732"/>
      <c r="U376" s="732"/>
      <c r="V376" s="733"/>
      <c r="W376" s="732"/>
      <c r="X376" s="732"/>
      <c r="Y376" s="732"/>
      <c r="Z376" s="732"/>
      <c r="AA376" s="732"/>
    </row>
    <row r="377" spans="1:27" ht="24.75" customHeight="1">
      <c r="A377" s="732"/>
      <c r="B377" s="732"/>
      <c r="C377" s="732"/>
      <c r="D377" s="732"/>
      <c r="E377" s="732"/>
      <c r="F377" s="732"/>
      <c r="G377" s="732"/>
      <c r="H377" s="732"/>
      <c r="I377" s="732"/>
      <c r="J377" s="732"/>
      <c r="K377" s="732"/>
      <c r="L377" s="732"/>
      <c r="M377" s="732"/>
      <c r="N377" s="732"/>
      <c r="O377" s="732"/>
      <c r="P377" s="732"/>
      <c r="Q377" s="732"/>
      <c r="R377" s="732"/>
      <c r="S377" s="732"/>
      <c r="T377" s="732"/>
      <c r="U377" s="732"/>
      <c r="V377" s="733"/>
      <c r="W377" s="732"/>
      <c r="X377" s="732"/>
      <c r="Y377" s="732"/>
      <c r="Z377" s="732"/>
      <c r="AA377" s="732"/>
    </row>
    <row r="378" spans="1:27" ht="24.75" customHeight="1">
      <c r="A378" s="732"/>
      <c r="B378" s="732"/>
      <c r="C378" s="732"/>
      <c r="D378" s="732"/>
      <c r="E378" s="732"/>
      <c r="F378" s="732"/>
      <c r="G378" s="732"/>
      <c r="H378" s="732"/>
      <c r="I378" s="732"/>
      <c r="J378" s="732"/>
      <c r="K378" s="732"/>
      <c r="L378" s="732"/>
      <c r="M378" s="732"/>
      <c r="N378" s="732"/>
      <c r="O378" s="732"/>
      <c r="P378" s="732"/>
      <c r="Q378" s="732"/>
      <c r="R378" s="732"/>
      <c r="S378" s="732"/>
      <c r="T378" s="732"/>
      <c r="U378" s="732"/>
      <c r="V378" s="733"/>
      <c r="W378" s="732"/>
      <c r="X378" s="732"/>
      <c r="Y378" s="732"/>
      <c r="Z378" s="732"/>
      <c r="AA378" s="732"/>
    </row>
    <row r="379" spans="1:27" ht="24.75" customHeight="1">
      <c r="A379" s="732"/>
      <c r="B379" s="732"/>
      <c r="C379" s="732"/>
      <c r="D379" s="732"/>
      <c r="E379" s="732"/>
      <c r="F379" s="732"/>
      <c r="G379" s="732"/>
      <c r="H379" s="732"/>
      <c r="I379" s="732"/>
      <c r="J379" s="732"/>
      <c r="K379" s="732"/>
      <c r="L379" s="732"/>
      <c r="M379" s="732"/>
      <c r="N379" s="732"/>
      <c r="O379" s="732"/>
      <c r="P379" s="732"/>
      <c r="Q379" s="732"/>
      <c r="R379" s="732"/>
      <c r="S379" s="732"/>
      <c r="T379" s="732"/>
      <c r="U379" s="732"/>
      <c r="V379" s="733"/>
      <c r="W379" s="732"/>
      <c r="X379" s="732"/>
      <c r="Y379" s="732"/>
      <c r="Z379" s="732"/>
      <c r="AA379" s="732"/>
    </row>
    <row r="380" spans="1:27" ht="24.75" customHeight="1">
      <c r="A380" s="732"/>
      <c r="B380" s="732"/>
      <c r="C380" s="732"/>
      <c r="D380" s="732"/>
      <c r="E380" s="732"/>
      <c r="F380" s="732"/>
      <c r="G380" s="732"/>
      <c r="H380" s="732"/>
      <c r="I380" s="732"/>
      <c r="J380" s="732"/>
      <c r="K380" s="732"/>
      <c r="L380" s="732"/>
      <c r="M380" s="732"/>
      <c r="N380" s="732"/>
      <c r="O380" s="732"/>
      <c r="P380" s="732"/>
      <c r="Q380" s="732"/>
      <c r="R380" s="732"/>
      <c r="S380" s="732"/>
      <c r="T380" s="732"/>
      <c r="U380" s="732"/>
      <c r="V380" s="733"/>
      <c r="W380" s="732"/>
      <c r="X380" s="732"/>
      <c r="Y380" s="732"/>
      <c r="Z380" s="732"/>
      <c r="AA380" s="732"/>
    </row>
    <row r="381" spans="1:27" ht="24.75" customHeight="1">
      <c r="A381" s="732"/>
      <c r="B381" s="732"/>
      <c r="C381" s="732"/>
      <c r="D381" s="732"/>
      <c r="E381" s="732"/>
      <c r="F381" s="732"/>
      <c r="G381" s="732"/>
      <c r="H381" s="732"/>
      <c r="I381" s="732"/>
      <c r="J381" s="732"/>
      <c r="K381" s="732"/>
      <c r="L381" s="732"/>
      <c r="M381" s="732"/>
      <c r="N381" s="732"/>
      <c r="O381" s="732"/>
      <c r="P381" s="732"/>
      <c r="Q381" s="732"/>
      <c r="R381" s="732"/>
      <c r="S381" s="732"/>
      <c r="T381" s="732"/>
      <c r="U381" s="732"/>
      <c r="V381" s="733"/>
      <c r="W381" s="732"/>
      <c r="X381" s="732"/>
      <c r="Y381" s="732"/>
      <c r="Z381" s="732"/>
      <c r="AA381" s="732"/>
    </row>
    <row r="382" spans="1:27" ht="24.75" customHeight="1">
      <c r="A382" s="732"/>
      <c r="B382" s="732"/>
      <c r="C382" s="732"/>
      <c r="D382" s="732"/>
      <c r="E382" s="732"/>
      <c r="F382" s="732"/>
      <c r="G382" s="732"/>
      <c r="H382" s="732"/>
      <c r="I382" s="732"/>
      <c r="J382" s="732"/>
      <c r="K382" s="732"/>
      <c r="L382" s="732"/>
      <c r="M382" s="732"/>
      <c r="N382" s="732"/>
      <c r="O382" s="732"/>
      <c r="P382" s="732"/>
      <c r="Q382" s="732"/>
      <c r="R382" s="732"/>
      <c r="S382" s="732"/>
      <c r="T382" s="732"/>
      <c r="U382" s="732"/>
      <c r="V382" s="733"/>
      <c r="W382" s="732"/>
      <c r="X382" s="732"/>
      <c r="Y382" s="732"/>
      <c r="Z382" s="732"/>
      <c r="AA382" s="732"/>
    </row>
    <row r="383" spans="1:27" ht="24.75" customHeight="1">
      <c r="A383" s="732"/>
      <c r="B383" s="732"/>
      <c r="C383" s="732"/>
      <c r="D383" s="732"/>
      <c r="E383" s="732"/>
      <c r="F383" s="732"/>
      <c r="G383" s="732"/>
      <c r="H383" s="732"/>
      <c r="I383" s="732"/>
      <c r="J383" s="732"/>
      <c r="K383" s="732"/>
      <c r="L383" s="732"/>
      <c r="M383" s="732"/>
      <c r="N383" s="732"/>
      <c r="O383" s="732"/>
      <c r="P383" s="732"/>
      <c r="Q383" s="732"/>
      <c r="R383" s="732"/>
      <c r="S383" s="732"/>
      <c r="T383" s="732"/>
      <c r="U383" s="732"/>
      <c r="V383" s="733"/>
      <c r="W383" s="732"/>
      <c r="X383" s="732"/>
      <c r="Y383" s="732"/>
      <c r="Z383" s="732"/>
      <c r="AA383" s="732"/>
    </row>
    <row r="384" spans="1:27" ht="24.75" customHeight="1">
      <c r="A384" s="732"/>
      <c r="B384" s="732"/>
      <c r="C384" s="732"/>
      <c r="D384" s="732"/>
      <c r="E384" s="732"/>
      <c r="F384" s="732"/>
      <c r="G384" s="732"/>
      <c r="H384" s="732"/>
      <c r="I384" s="732"/>
      <c r="J384" s="732"/>
      <c r="K384" s="732"/>
      <c r="L384" s="732"/>
      <c r="M384" s="732"/>
      <c r="N384" s="732"/>
      <c r="O384" s="732"/>
      <c r="P384" s="732"/>
      <c r="Q384" s="732"/>
      <c r="R384" s="732"/>
      <c r="S384" s="732"/>
      <c r="T384" s="732"/>
      <c r="U384" s="732"/>
      <c r="V384" s="733"/>
      <c r="W384" s="732"/>
      <c r="X384" s="732"/>
      <c r="Y384" s="732"/>
      <c r="Z384" s="732"/>
      <c r="AA384" s="732"/>
    </row>
    <row r="385" spans="1:27" ht="24.75" customHeight="1">
      <c r="A385" s="732"/>
      <c r="B385" s="732"/>
      <c r="C385" s="732"/>
      <c r="D385" s="732"/>
      <c r="E385" s="732"/>
      <c r="F385" s="732"/>
      <c r="G385" s="732"/>
      <c r="H385" s="732"/>
      <c r="I385" s="732"/>
      <c r="J385" s="732"/>
      <c r="K385" s="732"/>
      <c r="L385" s="732"/>
      <c r="M385" s="732"/>
      <c r="N385" s="732"/>
      <c r="O385" s="732"/>
      <c r="P385" s="732"/>
      <c r="Q385" s="732"/>
      <c r="R385" s="732"/>
      <c r="S385" s="732"/>
      <c r="T385" s="732"/>
      <c r="U385" s="732"/>
      <c r="V385" s="733"/>
      <c r="W385" s="732"/>
      <c r="X385" s="732"/>
      <c r="Y385" s="732"/>
      <c r="Z385" s="732"/>
      <c r="AA385" s="732"/>
    </row>
    <row r="386" spans="1:27" ht="24.75" customHeight="1">
      <c r="A386" s="732"/>
      <c r="B386" s="732"/>
      <c r="C386" s="732"/>
      <c r="D386" s="732"/>
      <c r="E386" s="732"/>
      <c r="F386" s="732"/>
      <c r="G386" s="732"/>
      <c r="H386" s="732"/>
      <c r="I386" s="732"/>
      <c r="J386" s="732"/>
      <c r="K386" s="732"/>
      <c r="L386" s="732"/>
      <c r="M386" s="732"/>
      <c r="N386" s="732"/>
      <c r="O386" s="732"/>
      <c r="P386" s="732"/>
      <c r="Q386" s="732"/>
      <c r="R386" s="732"/>
      <c r="S386" s="732"/>
      <c r="T386" s="732"/>
      <c r="U386" s="732"/>
      <c r="V386" s="733"/>
      <c r="W386" s="732"/>
      <c r="X386" s="732"/>
      <c r="Y386" s="732"/>
      <c r="Z386" s="732"/>
      <c r="AA386" s="732"/>
    </row>
    <row r="387" spans="1:27" ht="24.75" customHeight="1">
      <c r="A387" s="732"/>
      <c r="B387" s="732"/>
      <c r="C387" s="732"/>
      <c r="D387" s="732"/>
      <c r="E387" s="732"/>
      <c r="F387" s="732"/>
      <c r="G387" s="732"/>
      <c r="H387" s="732"/>
      <c r="I387" s="732"/>
      <c r="J387" s="732"/>
      <c r="K387" s="732"/>
      <c r="L387" s="732"/>
      <c r="M387" s="732"/>
      <c r="N387" s="732"/>
      <c r="O387" s="732"/>
      <c r="P387" s="732"/>
      <c r="Q387" s="732"/>
      <c r="R387" s="732"/>
      <c r="S387" s="732"/>
      <c r="T387" s="732"/>
      <c r="U387" s="732"/>
      <c r="V387" s="733"/>
      <c r="W387" s="732"/>
      <c r="X387" s="732"/>
      <c r="Y387" s="732"/>
      <c r="Z387" s="732"/>
      <c r="AA387" s="732"/>
    </row>
    <row r="388" spans="1:27" ht="24.75" customHeight="1">
      <c r="A388" s="732"/>
      <c r="B388" s="732"/>
      <c r="C388" s="732"/>
      <c r="D388" s="732"/>
      <c r="E388" s="732"/>
      <c r="F388" s="732"/>
      <c r="G388" s="732"/>
      <c r="H388" s="732"/>
      <c r="I388" s="732"/>
      <c r="J388" s="732"/>
      <c r="K388" s="732"/>
      <c r="L388" s="732"/>
      <c r="M388" s="732"/>
      <c r="N388" s="732"/>
      <c r="O388" s="732"/>
      <c r="P388" s="732"/>
      <c r="Q388" s="732"/>
      <c r="R388" s="732"/>
      <c r="S388" s="732"/>
      <c r="T388" s="732"/>
      <c r="U388" s="732"/>
      <c r="V388" s="733"/>
      <c r="W388" s="732"/>
      <c r="X388" s="732"/>
      <c r="Y388" s="732"/>
      <c r="Z388" s="732"/>
      <c r="AA388" s="732"/>
    </row>
    <row r="389" spans="1:27" ht="24.75" customHeight="1">
      <c r="A389" s="732"/>
      <c r="B389" s="732"/>
      <c r="C389" s="732"/>
      <c r="D389" s="732"/>
      <c r="E389" s="732"/>
      <c r="F389" s="732"/>
      <c r="G389" s="732"/>
      <c r="H389" s="732"/>
      <c r="I389" s="732"/>
      <c r="J389" s="732"/>
      <c r="K389" s="732"/>
      <c r="L389" s="732"/>
      <c r="M389" s="732"/>
      <c r="N389" s="732"/>
      <c r="O389" s="732"/>
      <c r="P389" s="732"/>
      <c r="Q389" s="732"/>
      <c r="R389" s="732"/>
      <c r="S389" s="732"/>
      <c r="T389" s="732"/>
      <c r="U389" s="732"/>
      <c r="V389" s="733"/>
      <c r="W389" s="732"/>
      <c r="X389" s="732"/>
      <c r="Y389" s="732"/>
      <c r="Z389" s="732"/>
      <c r="AA389" s="732"/>
    </row>
    <row r="390" spans="1:27" ht="24.75" customHeight="1">
      <c r="A390" s="732"/>
      <c r="B390" s="732"/>
      <c r="C390" s="732"/>
      <c r="D390" s="732"/>
      <c r="E390" s="732"/>
      <c r="F390" s="732"/>
      <c r="G390" s="732"/>
      <c r="H390" s="732"/>
      <c r="I390" s="732"/>
      <c r="J390" s="732"/>
      <c r="K390" s="732"/>
      <c r="L390" s="732"/>
      <c r="M390" s="732"/>
      <c r="N390" s="732"/>
      <c r="O390" s="732"/>
      <c r="P390" s="732"/>
      <c r="Q390" s="732"/>
      <c r="R390" s="732"/>
      <c r="S390" s="732"/>
      <c r="T390" s="732"/>
      <c r="U390" s="732"/>
      <c r="V390" s="733"/>
      <c r="W390" s="732"/>
      <c r="X390" s="732"/>
      <c r="Y390" s="732"/>
      <c r="Z390" s="732"/>
      <c r="AA390" s="732"/>
    </row>
    <row r="391" spans="1:27" ht="24.75" customHeight="1">
      <c r="A391" s="732"/>
      <c r="B391" s="732"/>
      <c r="C391" s="732"/>
      <c r="D391" s="732"/>
      <c r="E391" s="732"/>
      <c r="F391" s="732"/>
      <c r="G391" s="732"/>
      <c r="H391" s="732"/>
      <c r="I391" s="732"/>
      <c r="J391" s="732"/>
      <c r="K391" s="732"/>
      <c r="L391" s="732"/>
      <c r="M391" s="732"/>
      <c r="N391" s="732"/>
      <c r="O391" s="732"/>
      <c r="P391" s="732"/>
      <c r="Q391" s="732"/>
      <c r="R391" s="732"/>
      <c r="S391" s="732"/>
      <c r="T391" s="732"/>
      <c r="U391" s="732"/>
      <c r="V391" s="733"/>
      <c r="W391" s="732"/>
      <c r="X391" s="732"/>
      <c r="Y391" s="732"/>
      <c r="Z391" s="732"/>
      <c r="AA391" s="732"/>
    </row>
    <row r="392" spans="1:27" ht="24.75" customHeight="1">
      <c r="A392" s="732"/>
      <c r="B392" s="732"/>
      <c r="C392" s="732"/>
      <c r="D392" s="732"/>
      <c r="E392" s="732"/>
      <c r="F392" s="732"/>
      <c r="G392" s="732"/>
      <c r="H392" s="732"/>
      <c r="I392" s="732"/>
      <c r="J392" s="732"/>
      <c r="K392" s="732"/>
      <c r="L392" s="732"/>
      <c r="M392" s="732"/>
      <c r="N392" s="732"/>
      <c r="O392" s="732"/>
      <c r="P392" s="732"/>
      <c r="Q392" s="732"/>
      <c r="R392" s="732"/>
      <c r="S392" s="732"/>
      <c r="T392" s="732"/>
      <c r="U392" s="732"/>
      <c r="V392" s="733"/>
      <c r="W392" s="732"/>
      <c r="X392" s="732"/>
      <c r="Y392" s="732"/>
      <c r="Z392" s="732"/>
      <c r="AA392" s="732"/>
    </row>
    <row r="393" spans="1:27" ht="24.75" customHeight="1">
      <c r="A393" s="732"/>
      <c r="B393" s="732"/>
      <c r="C393" s="732"/>
      <c r="D393" s="732"/>
      <c r="E393" s="732"/>
      <c r="F393" s="732"/>
      <c r="G393" s="732"/>
      <c r="H393" s="732"/>
      <c r="I393" s="732"/>
      <c r="J393" s="732"/>
      <c r="K393" s="732"/>
      <c r="L393" s="732"/>
      <c r="M393" s="732"/>
      <c r="N393" s="732"/>
      <c r="O393" s="732"/>
      <c r="P393" s="732"/>
      <c r="Q393" s="732"/>
      <c r="R393" s="732"/>
      <c r="S393" s="732"/>
      <c r="T393" s="732"/>
      <c r="U393" s="732"/>
      <c r="V393" s="733"/>
      <c r="W393" s="732"/>
      <c r="X393" s="732"/>
      <c r="Y393" s="732"/>
      <c r="Z393" s="732"/>
      <c r="AA393" s="732"/>
    </row>
    <row r="394" spans="1:27" ht="24.75" customHeight="1">
      <c r="A394" s="732"/>
      <c r="B394" s="732"/>
      <c r="C394" s="732"/>
      <c r="D394" s="732"/>
      <c r="E394" s="732"/>
      <c r="F394" s="732"/>
      <c r="G394" s="732"/>
      <c r="H394" s="732"/>
      <c r="I394" s="732"/>
      <c r="J394" s="732"/>
      <c r="K394" s="732"/>
      <c r="L394" s="732"/>
      <c r="M394" s="732"/>
      <c r="N394" s="732"/>
      <c r="O394" s="732"/>
      <c r="P394" s="732"/>
      <c r="Q394" s="732"/>
      <c r="R394" s="732"/>
      <c r="S394" s="732"/>
      <c r="T394" s="732"/>
      <c r="U394" s="732"/>
      <c r="V394" s="733"/>
      <c r="W394" s="732"/>
      <c r="X394" s="732"/>
      <c r="Y394" s="732"/>
      <c r="Z394" s="732"/>
      <c r="AA394" s="732"/>
    </row>
    <row r="395" spans="1:27" ht="24.75" customHeight="1">
      <c r="A395" s="732"/>
      <c r="B395" s="732"/>
      <c r="C395" s="732"/>
      <c r="D395" s="732"/>
      <c r="E395" s="732"/>
      <c r="F395" s="732"/>
      <c r="G395" s="732"/>
      <c r="H395" s="732"/>
      <c r="I395" s="732"/>
      <c r="J395" s="732"/>
      <c r="K395" s="732"/>
      <c r="L395" s="732"/>
      <c r="M395" s="732"/>
      <c r="N395" s="732"/>
      <c r="O395" s="732"/>
      <c r="P395" s="732"/>
      <c r="Q395" s="732"/>
      <c r="R395" s="732"/>
      <c r="S395" s="732"/>
      <c r="T395" s="732"/>
      <c r="U395" s="732"/>
      <c r="V395" s="733"/>
      <c r="W395" s="732"/>
      <c r="X395" s="732"/>
      <c r="Y395" s="732"/>
      <c r="Z395" s="732"/>
      <c r="AA395" s="732"/>
    </row>
    <row r="396" spans="1:27" ht="24.75" customHeight="1">
      <c r="A396" s="732"/>
      <c r="B396" s="732"/>
      <c r="C396" s="732"/>
      <c r="D396" s="732"/>
      <c r="E396" s="732"/>
      <c r="F396" s="732"/>
      <c r="G396" s="732"/>
      <c r="H396" s="732"/>
      <c r="I396" s="732"/>
      <c r="J396" s="732"/>
      <c r="K396" s="732"/>
      <c r="L396" s="732"/>
      <c r="M396" s="732"/>
      <c r="N396" s="732"/>
      <c r="O396" s="732"/>
      <c r="P396" s="732"/>
      <c r="Q396" s="732"/>
      <c r="R396" s="732"/>
      <c r="S396" s="732"/>
      <c r="T396" s="732"/>
      <c r="U396" s="732"/>
      <c r="V396" s="733"/>
      <c r="W396" s="732"/>
      <c r="X396" s="732"/>
      <c r="Y396" s="732"/>
      <c r="Z396" s="732"/>
      <c r="AA396" s="732"/>
    </row>
    <row r="397" spans="1:27" ht="24.75" customHeight="1">
      <c r="A397" s="732"/>
      <c r="B397" s="732"/>
      <c r="C397" s="732"/>
      <c r="D397" s="732"/>
      <c r="E397" s="732"/>
      <c r="F397" s="732"/>
      <c r="G397" s="732"/>
      <c r="H397" s="732"/>
      <c r="I397" s="732"/>
      <c r="J397" s="732"/>
      <c r="K397" s="732"/>
      <c r="L397" s="732"/>
      <c r="M397" s="732"/>
      <c r="N397" s="732"/>
      <c r="O397" s="732"/>
      <c r="P397" s="732"/>
      <c r="Q397" s="732"/>
      <c r="R397" s="732"/>
      <c r="S397" s="732"/>
      <c r="T397" s="732"/>
      <c r="U397" s="732"/>
      <c r="V397" s="733"/>
      <c r="W397" s="732"/>
      <c r="X397" s="732"/>
      <c r="Y397" s="732"/>
      <c r="Z397" s="732"/>
      <c r="AA397" s="732"/>
    </row>
    <row r="398" spans="1:27" ht="24.75" customHeight="1">
      <c r="A398" s="732"/>
      <c r="B398" s="732"/>
      <c r="C398" s="732"/>
      <c r="D398" s="732"/>
      <c r="E398" s="732"/>
      <c r="F398" s="732"/>
      <c r="G398" s="732"/>
      <c r="H398" s="732"/>
      <c r="I398" s="732"/>
      <c r="J398" s="732"/>
      <c r="K398" s="732"/>
      <c r="L398" s="732"/>
      <c r="M398" s="732"/>
      <c r="N398" s="732"/>
      <c r="O398" s="732"/>
      <c r="P398" s="732"/>
      <c r="Q398" s="732"/>
      <c r="R398" s="732"/>
      <c r="S398" s="732"/>
      <c r="T398" s="732"/>
      <c r="U398" s="732"/>
      <c r="V398" s="733"/>
      <c r="W398" s="732"/>
      <c r="X398" s="732"/>
      <c r="Y398" s="732"/>
      <c r="Z398" s="732"/>
      <c r="AA398" s="732"/>
    </row>
    <row r="399" spans="1:27" ht="24.75" customHeight="1">
      <c r="A399" s="732"/>
      <c r="B399" s="732"/>
      <c r="C399" s="732"/>
      <c r="D399" s="732"/>
      <c r="E399" s="732"/>
      <c r="F399" s="732"/>
      <c r="G399" s="732"/>
      <c r="H399" s="732"/>
      <c r="I399" s="732"/>
      <c r="J399" s="732"/>
      <c r="K399" s="732"/>
      <c r="L399" s="732"/>
      <c r="M399" s="732"/>
      <c r="N399" s="732"/>
      <c r="O399" s="732"/>
      <c r="P399" s="732"/>
      <c r="Q399" s="732"/>
      <c r="R399" s="732"/>
      <c r="S399" s="732"/>
      <c r="T399" s="732"/>
      <c r="U399" s="732"/>
      <c r="V399" s="733"/>
      <c r="W399" s="732"/>
      <c r="X399" s="732"/>
      <c r="Y399" s="732"/>
      <c r="Z399" s="732"/>
      <c r="AA399" s="732"/>
    </row>
    <row r="400" spans="1:27" ht="24.75" customHeight="1">
      <c r="A400" s="732"/>
      <c r="B400" s="732"/>
      <c r="C400" s="732"/>
      <c r="D400" s="732"/>
      <c r="E400" s="732"/>
      <c r="F400" s="732"/>
      <c r="G400" s="732"/>
      <c r="H400" s="732"/>
      <c r="I400" s="732"/>
      <c r="J400" s="732"/>
      <c r="K400" s="732"/>
      <c r="L400" s="732"/>
      <c r="M400" s="732"/>
      <c r="N400" s="732"/>
      <c r="O400" s="732"/>
      <c r="P400" s="732"/>
      <c r="Q400" s="732"/>
      <c r="R400" s="732"/>
      <c r="S400" s="732"/>
      <c r="T400" s="732"/>
      <c r="U400" s="732"/>
      <c r="V400" s="733"/>
      <c r="W400" s="732"/>
      <c r="X400" s="732"/>
      <c r="Y400" s="732"/>
      <c r="Z400" s="732"/>
      <c r="AA400" s="732"/>
    </row>
    <row r="401" spans="1:27" ht="24.75" customHeight="1">
      <c r="A401" s="732"/>
      <c r="B401" s="732"/>
      <c r="C401" s="732"/>
      <c r="D401" s="732"/>
      <c r="E401" s="732"/>
      <c r="F401" s="732"/>
      <c r="G401" s="732"/>
      <c r="H401" s="732"/>
      <c r="I401" s="732"/>
      <c r="J401" s="732"/>
      <c r="K401" s="732"/>
      <c r="L401" s="732"/>
      <c r="M401" s="732"/>
      <c r="N401" s="732"/>
      <c r="O401" s="732"/>
      <c r="P401" s="732"/>
      <c r="Q401" s="732"/>
      <c r="R401" s="732"/>
      <c r="S401" s="732"/>
      <c r="T401" s="732"/>
      <c r="U401" s="732"/>
      <c r="V401" s="733"/>
      <c r="W401" s="732"/>
      <c r="X401" s="732"/>
      <c r="Y401" s="732"/>
      <c r="Z401" s="732"/>
      <c r="AA401" s="732"/>
    </row>
    <row r="402" spans="1:27" ht="24.75" customHeight="1">
      <c r="A402" s="732"/>
      <c r="B402" s="732"/>
      <c r="C402" s="732"/>
      <c r="D402" s="732"/>
      <c r="E402" s="732"/>
      <c r="F402" s="732"/>
      <c r="G402" s="732"/>
      <c r="H402" s="732"/>
      <c r="I402" s="732"/>
      <c r="J402" s="732"/>
      <c r="K402" s="732"/>
      <c r="L402" s="732"/>
      <c r="M402" s="732"/>
      <c r="N402" s="732"/>
      <c r="O402" s="732"/>
      <c r="P402" s="732"/>
      <c r="Q402" s="732"/>
      <c r="R402" s="732"/>
      <c r="S402" s="732"/>
      <c r="T402" s="732"/>
      <c r="U402" s="732"/>
      <c r="V402" s="733"/>
      <c r="W402" s="732"/>
      <c r="X402" s="732"/>
      <c r="Y402" s="732"/>
      <c r="Z402" s="732"/>
      <c r="AA402" s="732"/>
    </row>
    <row r="403" spans="1:27" ht="24.75" customHeight="1">
      <c r="A403" s="732"/>
      <c r="B403" s="732"/>
      <c r="C403" s="732"/>
      <c r="D403" s="732"/>
      <c r="E403" s="732"/>
      <c r="F403" s="732"/>
      <c r="G403" s="732"/>
      <c r="H403" s="732"/>
      <c r="I403" s="732"/>
      <c r="J403" s="732"/>
      <c r="K403" s="732"/>
      <c r="L403" s="732"/>
      <c r="M403" s="732"/>
      <c r="N403" s="732"/>
      <c r="O403" s="732"/>
      <c r="P403" s="732"/>
      <c r="Q403" s="732"/>
      <c r="R403" s="732"/>
      <c r="S403" s="732"/>
      <c r="T403" s="732"/>
      <c r="U403" s="732"/>
      <c r="V403" s="733"/>
      <c r="W403" s="732"/>
      <c r="X403" s="732"/>
      <c r="Y403" s="732"/>
      <c r="Z403" s="732"/>
      <c r="AA403" s="732"/>
    </row>
    <row r="404" spans="1:27" ht="24.75" customHeight="1">
      <c r="A404" s="732"/>
      <c r="B404" s="732"/>
      <c r="C404" s="732"/>
      <c r="D404" s="732"/>
      <c r="E404" s="732"/>
      <c r="F404" s="732"/>
      <c r="G404" s="732"/>
      <c r="H404" s="732"/>
      <c r="I404" s="732"/>
      <c r="J404" s="732"/>
      <c r="K404" s="732"/>
      <c r="L404" s="732"/>
      <c r="M404" s="732"/>
      <c r="N404" s="732"/>
      <c r="O404" s="732"/>
      <c r="P404" s="732"/>
      <c r="Q404" s="732"/>
      <c r="R404" s="732"/>
      <c r="S404" s="732"/>
      <c r="T404" s="732"/>
      <c r="U404" s="732"/>
      <c r="V404" s="733"/>
      <c r="W404" s="732"/>
      <c r="X404" s="732"/>
      <c r="Y404" s="732"/>
      <c r="Z404" s="732"/>
      <c r="AA404" s="732"/>
    </row>
    <row r="405" spans="1:27" ht="24.75" customHeight="1">
      <c r="A405" s="732"/>
      <c r="B405" s="732"/>
      <c r="C405" s="732"/>
      <c r="D405" s="732"/>
      <c r="E405" s="732"/>
      <c r="F405" s="732"/>
      <c r="G405" s="732"/>
      <c r="H405" s="732"/>
      <c r="I405" s="732"/>
      <c r="J405" s="732"/>
      <c r="K405" s="732"/>
      <c r="L405" s="732"/>
      <c r="M405" s="732"/>
      <c r="N405" s="732"/>
      <c r="O405" s="732"/>
      <c r="P405" s="732"/>
      <c r="Q405" s="732"/>
      <c r="R405" s="732"/>
      <c r="S405" s="732"/>
      <c r="T405" s="732"/>
      <c r="U405" s="732"/>
      <c r="V405" s="733"/>
      <c r="W405" s="732"/>
      <c r="X405" s="732"/>
      <c r="Y405" s="732"/>
      <c r="Z405" s="732"/>
      <c r="AA405" s="732"/>
    </row>
    <row r="406" spans="1:27" ht="24.75" customHeight="1">
      <c r="A406" s="732"/>
      <c r="B406" s="732"/>
      <c r="C406" s="732"/>
      <c r="D406" s="732"/>
      <c r="E406" s="732"/>
      <c r="F406" s="732"/>
      <c r="G406" s="732"/>
      <c r="H406" s="732"/>
      <c r="I406" s="732"/>
      <c r="J406" s="732"/>
      <c r="K406" s="732"/>
      <c r="L406" s="732"/>
      <c r="M406" s="732"/>
      <c r="N406" s="732"/>
      <c r="O406" s="732"/>
      <c r="P406" s="732"/>
      <c r="Q406" s="732"/>
      <c r="R406" s="732"/>
      <c r="S406" s="732"/>
      <c r="T406" s="732"/>
      <c r="U406" s="732"/>
      <c r="V406" s="733"/>
      <c r="W406" s="732"/>
      <c r="X406" s="732"/>
      <c r="Y406" s="732"/>
      <c r="Z406" s="732"/>
      <c r="AA406" s="732"/>
    </row>
    <row r="407" spans="1:27" ht="24.75" customHeight="1">
      <c r="A407" s="732"/>
      <c r="B407" s="732"/>
      <c r="C407" s="732"/>
      <c r="D407" s="732"/>
      <c r="E407" s="732"/>
      <c r="F407" s="732"/>
      <c r="G407" s="732"/>
      <c r="H407" s="732"/>
      <c r="I407" s="732"/>
      <c r="J407" s="732"/>
      <c r="K407" s="732"/>
      <c r="L407" s="732"/>
      <c r="M407" s="732"/>
      <c r="N407" s="732"/>
      <c r="O407" s="732"/>
      <c r="P407" s="732"/>
      <c r="Q407" s="732"/>
      <c r="R407" s="732"/>
      <c r="S407" s="732"/>
      <c r="T407" s="732"/>
      <c r="U407" s="732"/>
      <c r="V407" s="733"/>
      <c r="W407" s="732"/>
      <c r="X407" s="732"/>
      <c r="Y407" s="732"/>
      <c r="Z407" s="732"/>
      <c r="AA407" s="732"/>
    </row>
    <row r="408" spans="1:27" ht="15.75" customHeight="1">
      <c r="A408" s="792"/>
      <c r="B408" s="792"/>
      <c r="C408" s="792"/>
      <c r="D408" s="792"/>
      <c r="E408" s="792"/>
      <c r="F408" s="792"/>
      <c r="G408" s="792"/>
      <c r="H408" s="792"/>
      <c r="I408" s="792"/>
      <c r="J408" s="792"/>
      <c r="K408" s="792"/>
      <c r="L408" s="792"/>
      <c r="M408" s="792"/>
      <c r="N408" s="792"/>
      <c r="O408" s="792"/>
      <c r="P408" s="792"/>
      <c r="Q408" s="1169"/>
      <c r="R408" s="792"/>
      <c r="S408" s="792"/>
      <c r="T408" s="792"/>
      <c r="U408" s="792"/>
      <c r="V408" s="793"/>
      <c r="W408" s="793"/>
      <c r="X408" s="792"/>
      <c r="Y408" s="792"/>
      <c r="Z408" s="792"/>
      <c r="AA408" s="792"/>
    </row>
    <row r="409" spans="1:27" ht="15.75" customHeight="1">
      <c r="A409" s="792"/>
      <c r="B409" s="792"/>
      <c r="C409" s="792"/>
      <c r="D409" s="792"/>
      <c r="E409" s="792"/>
      <c r="F409" s="792"/>
      <c r="G409" s="792"/>
      <c r="H409" s="792"/>
      <c r="I409" s="792"/>
      <c r="J409" s="792"/>
      <c r="K409" s="792"/>
      <c r="L409" s="792"/>
      <c r="M409" s="792"/>
      <c r="N409" s="792"/>
      <c r="O409" s="792"/>
      <c r="P409" s="792"/>
      <c r="Q409" s="1169"/>
      <c r="R409" s="792"/>
      <c r="S409" s="792"/>
      <c r="T409" s="792"/>
      <c r="U409" s="792"/>
      <c r="V409" s="793"/>
      <c r="W409" s="793"/>
      <c r="X409" s="792"/>
      <c r="Y409" s="792"/>
      <c r="Z409" s="792"/>
      <c r="AA409" s="792"/>
    </row>
    <row r="410" spans="1:27" ht="15.75" customHeight="1">
      <c r="A410" s="792"/>
      <c r="B410" s="792"/>
      <c r="C410" s="792"/>
      <c r="D410" s="792"/>
      <c r="E410" s="792"/>
      <c r="F410" s="792"/>
      <c r="G410" s="792"/>
      <c r="H410" s="792"/>
      <c r="I410" s="792"/>
      <c r="J410" s="792"/>
      <c r="K410" s="792"/>
      <c r="L410" s="792"/>
      <c r="M410" s="792"/>
      <c r="N410" s="792"/>
      <c r="O410" s="792"/>
      <c r="P410" s="792"/>
      <c r="Q410" s="1169"/>
      <c r="R410" s="792"/>
      <c r="S410" s="792"/>
      <c r="T410" s="792"/>
      <c r="U410" s="792"/>
      <c r="V410" s="793"/>
      <c r="W410" s="793"/>
      <c r="X410" s="792"/>
      <c r="Y410" s="792"/>
      <c r="Z410" s="792"/>
      <c r="AA410" s="792"/>
    </row>
    <row r="411" spans="1:27" ht="15.75" customHeight="1">
      <c r="A411" s="792"/>
      <c r="B411" s="792"/>
      <c r="C411" s="792"/>
      <c r="D411" s="792"/>
      <c r="E411" s="792"/>
      <c r="F411" s="792"/>
      <c r="G411" s="792"/>
      <c r="H411" s="792"/>
      <c r="I411" s="792"/>
      <c r="J411" s="792"/>
      <c r="K411" s="792"/>
      <c r="L411" s="792"/>
      <c r="M411" s="792"/>
      <c r="N411" s="792"/>
      <c r="O411" s="792"/>
      <c r="P411" s="792"/>
      <c r="Q411" s="1169"/>
      <c r="R411" s="792"/>
      <c r="S411" s="792"/>
      <c r="T411" s="792"/>
      <c r="U411" s="792"/>
      <c r="V411" s="793"/>
      <c r="W411" s="793"/>
      <c r="X411" s="792"/>
      <c r="Y411" s="792"/>
      <c r="Z411" s="792"/>
      <c r="AA411" s="792"/>
    </row>
    <row r="412" spans="1:27" ht="15.75" customHeight="1">
      <c r="A412" s="792"/>
      <c r="B412" s="792"/>
      <c r="C412" s="792"/>
      <c r="D412" s="792"/>
      <c r="E412" s="792"/>
      <c r="F412" s="792"/>
      <c r="G412" s="792"/>
      <c r="H412" s="792"/>
      <c r="I412" s="792"/>
      <c r="J412" s="792"/>
      <c r="K412" s="792"/>
      <c r="L412" s="792"/>
      <c r="M412" s="792"/>
      <c r="N412" s="792"/>
      <c r="O412" s="792"/>
      <c r="P412" s="792"/>
      <c r="Q412" s="1169"/>
      <c r="R412" s="792"/>
      <c r="S412" s="792"/>
      <c r="T412" s="792"/>
      <c r="U412" s="792"/>
      <c r="V412" s="793"/>
      <c r="W412" s="793"/>
      <c r="X412" s="792"/>
      <c r="Y412" s="792"/>
      <c r="Z412" s="792"/>
      <c r="AA412" s="792"/>
    </row>
    <row r="413" spans="1:27" ht="15.75" customHeight="1">
      <c r="A413" s="792"/>
      <c r="B413" s="792"/>
      <c r="C413" s="792"/>
      <c r="D413" s="792"/>
      <c r="E413" s="792"/>
      <c r="F413" s="792"/>
      <c r="G413" s="792"/>
      <c r="H413" s="792"/>
      <c r="I413" s="792"/>
      <c r="J413" s="792"/>
      <c r="K413" s="792"/>
      <c r="L413" s="792"/>
      <c r="M413" s="792"/>
      <c r="N413" s="792"/>
      <c r="O413" s="792"/>
      <c r="P413" s="792"/>
      <c r="Q413" s="1169"/>
      <c r="R413" s="792"/>
      <c r="S413" s="792"/>
      <c r="T413" s="792"/>
      <c r="U413" s="792"/>
      <c r="V413" s="793"/>
      <c r="W413" s="793"/>
      <c r="X413" s="792"/>
      <c r="Y413" s="792"/>
      <c r="Z413" s="792"/>
      <c r="AA413" s="792"/>
    </row>
    <row r="414" spans="1:27" ht="15.75" customHeight="1">
      <c r="A414" s="792"/>
      <c r="B414" s="792"/>
      <c r="C414" s="792"/>
      <c r="D414" s="792"/>
      <c r="E414" s="792"/>
      <c r="F414" s="792"/>
      <c r="G414" s="792"/>
      <c r="H414" s="792"/>
      <c r="I414" s="792"/>
      <c r="J414" s="792"/>
      <c r="K414" s="792"/>
      <c r="L414" s="792"/>
      <c r="M414" s="792"/>
      <c r="N414" s="792"/>
      <c r="O414" s="792"/>
      <c r="P414" s="792"/>
      <c r="Q414" s="1169"/>
      <c r="R414" s="792"/>
      <c r="S414" s="792"/>
      <c r="T414" s="792"/>
      <c r="U414" s="792"/>
      <c r="V414" s="793"/>
      <c r="W414" s="793"/>
      <c r="X414" s="792"/>
      <c r="Y414" s="792"/>
      <c r="Z414" s="792"/>
      <c r="AA414" s="792"/>
    </row>
    <row r="415" spans="1:27" ht="15.75" customHeight="1">
      <c r="A415" s="792"/>
      <c r="B415" s="792"/>
      <c r="C415" s="792"/>
      <c r="D415" s="792"/>
      <c r="E415" s="792"/>
      <c r="F415" s="792"/>
      <c r="G415" s="792"/>
      <c r="H415" s="792"/>
      <c r="I415" s="792"/>
      <c r="J415" s="792"/>
      <c r="K415" s="792"/>
      <c r="L415" s="792"/>
      <c r="M415" s="792"/>
      <c r="N415" s="792"/>
      <c r="O415" s="792"/>
      <c r="P415" s="792"/>
      <c r="Q415" s="1169"/>
      <c r="R415" s="792"/>
      <c r="S415" s="792"/>
      <c r="T415" s="792"/>
      <c r="U415" s="792"/>
      <c r="V415" s="793"/>
      <c r="W415" s="793"/>
      <c r="X415" s="792"/>
      <c r="Y415" s="792"/>
      <c r="Z415" s="792"/>
      <c r="AA415" s="792"/>
    </row>
    <row r="416" spans="1:27" ht="15.75" customHeight="1">
      <c r="A416" s="792"/>
      <c r="B416" s="792"/>
      <c r="C416" s="792"/>
      <c r="D416" s="792"/>
      <c r="E416" s="792"/>
      <c r="F416" s="792"/>
      <c r="G416" s="792"/>
      <c r="H416" s="792"/>
      <c r="I416" s="792"/>
      <c r="J416" s="792"/>
      <c r="K416" s="792"/>
      <c r="L416" s="792"/>
      <c r="M416" s="792"/>
      <c r="N416" s="792"/>
      <c r="O416" s="792"/>
      <c r="P416" s="792"/>
      <c r="Q416" s="1169"/>
      <c r="R416" s="792"/>
      <c r="S416" s="792"/>
      <c r="T416" s="792"/>
      <c r="U416" s="792"/>
      <c r="V416" s="793"/>
      <c r="W416" s="793"/>
      <c r="X416" s="792"/>
      <c r="Y416" s="792"/>
      <c r="Z416" s="792"/>
      <c r="AA416" s="792"/>
    </row>
    <row r="417" spans="1:27" ht="15.75" customHeight="1">
      <c r="A417" s="792"/>
      <c r="B417" s="792"/>
      <c r="C417" s="792"/>
      <c r="D417" s="792"/>
      <c r="E417" s="792"/>
      <c r="F417" s="792"/>
      <c r="G417" s="792"/>
      <c r="H417" s="792"/>
      <c r="I417" s="792"/>
      <c r="J417" s="792"/>
      <c r="K417" s="792"/>
      <c r="L417" s="792"/>
      <c r="M417" s="792"/>
      <c r="N417" s="792"/>
      <c r="O417" s="792"/>
      <c r="P417" s="792"/>
      <c r="Q417" s="1169"/>
      <c r="R417" s="792"/>
      <c r="S417" s="792"/>
      <c r="T417" s="792"/>
      <c r="U417" s="792"/>
      <c r="V417" s="793"/>
      <c r="W417" s="793"/>
      <c r="X417" s="792"/>
      <c r="Y417" s="792"/>
      <c r="Z417" s="792"/>
      <c r="AA417" s="792"/>
    </row>
    <row r="418" spans="1:27" ht="15.75" customHeight="1">
      <c r="A418" s="792"/>
      <c r="B418" s="792"/>
      <c r="C418" s="792"/>
      <c r="D418" s="792"/>
      <c r="E418" s="792"/>
      <c r="F418" s="792"/>
      <c r="G418" s="792"/>
      <c r="H418" s="792"/>
      <c r="I418" s="792"/>
      <c r="J418" s="792"/>
      <c r="K418" s="792"/>
      <c r="L418" s="792"/>
      <c r="M418" s="792"/>
      <c r="N418" s="792"/>
      <c r="O418" s="792"/>
      <c r="P418" s="792"/>
      <c r="Q418" s="1169"/>
      <c r="R418" s="792"/>
      <c r="S418" s="792"/>
      <c r="T418" s="792"/>
      <c r="U418" s="792"/>
      <c r="V418" s="793"/>
      <c r="W418" s="793"/>
      <c r="X418" s="792"/>
      <c r="Y418" s="792"/>
      <c r="Z418" s="792"/>
      <c r="AA418" s="792"/>
    </row>
    <row r="419" spans="1:27" ht="15.75" customHeight="1">
      <c r="A419" s="792"/>
      <c r="B419" s="792"/>
      <c r="C419" s="792"/>
      <c r="D419" s="792"/>
      <c r="E419" s="792"/>
      <c r="F419" s="792"/>
      <c r="G419" s="792"/>
      <c r="H419" s="792"/>
      <c r="I419" s="792"/>
      <c r="J419" s="792"/>
      <c r="K419" s="792"/>
      <c r="L419" s="792"/>
      <c r="M419" s="792"/>
      <c r="N419" s="792"/>
      <c r="O419" s="792"/>
      <c r="P419" s="792"/>
      <c r="Q419" s="1169"/>
      <c r="R419" s="792"/>
      <c r="S419" s="792"/>
      <c r="T419" s="792"/>
      <c r="U419" s="792"/>
      <c r="V419" s="793"/>
      <c r="W419" s="793"/>
      <c r="X419" s="792"/>
      <c r="Y419" s="792"/>
      <c r="Z419" s="792"/>
      <c r="AA419" s="792"/>
    </row>
    <row r="420" spans="1:27" ht="15.75" customHeight="1">
      <c r="A420" s="792"/>
      <c r="B420" s="792"/>
      <c r="C420" s="792"/>
      <c r="D420" s="792"/>
      <c r="E420" s="792"/>
      <c r="F420" s="792"/>
      <c r="G420" s="792"/>
      <c r="H420" s="792"/>
      <c r="I420" s="792"/>
      <c r="J420" s="792"/>
      <c r="K420" s="792"/>
      <c r="L420" s="792"/>
      <c r="M420" s="792"/>
      <c r="N420" s="792"/>
      <c r="O420" s="792"/>
      <c r="P420" s="792"/>
      <c r="Q420" s="1169"/>
      <c r="R420" s="792"/>
      <c r="S420" s="792"/>
      <c r="T420" s="792"/>
      <c r="U420" s="792"/>
      <c r="V420" s="793"/>
      <c r="W420" s="793"/>
      <c r="X420" s="792"/>
      <c r="Y420" s="792"/>
      <c r="Z420" s="792"/>
      <c r="AA420" s="792"/>
    </row>
    <row r="421" spans="1:27" ht="15.75" customHeight="1">
      <c r="A421" s="792"/>
      <c r="B421" s="792"/>
      <c r="C421" s="792"/>
      <c r="D421" s="792"/>
      <c r="E421" s="792"/>
      <c r="F421" s="792"/>
      <c r="G421" s="792"/>
      <c r="H421" s="792"/>
      <c r="I421" s="792"/>
      <c r="J421" s="792"/>
      <c r="K421" s="792"/>
      <c r="L421" s="792"/>
      <c r="M421" s="792"/>
      <c r="N421" s="792"/>
      <c r="O421" s="792"/>
      <c r="P421" s="792"/>
      <c r="Q421" s="1169"/>
      <c r="R421" s="792"/>
      <c r="S421" s="792"/>
      <c r="T421" s="792"/>
      <c r="U421" s="792"/>
      <c r="V421" s="793"/>
      <c r="W421" s="793"/>
      <c r="X421" s="792"/>
      <c r="Y421" s="792"/>
      <c r="Z421" s="792"/>
      <c r="AA421" s="792"/>
    </row>
    <row r="422" spans="1:27" ht="15.75" customHeight="1">
      <c r="A422" s="792"/>
      <c r="B422" s="792"/>
      <c r="C422" s="792"/>
      <c r="D422" s="792"/>
      <c r="E422" s="792"/>
      <c r="F422" s="792"/>
      <c r="G422" s="792"/>
      <c r="H422" s="792"/>
      <c r="I422" s="792"/>
      <c r="J422" s="792"/>
      <c r="K422" s="792"/>
      <c r="L422" s="792"/>
      <c r="M422" s="792"/>
      <c r="N422" s="792"/>
      <c r="O422" s="792"/>
      <c r="P422" s="792"/>
      <c r="Q422" s="1169"/>
      <c r="R422" s="792"/>
      <c r="S422" s="792"/>
      <c r="T422" s="792"/>
      <c r="U422" s="792"/>
      <c r="V422" s="793"/>
      <c r="W422" s="793"/>
      <c r="X422" s="792"/>
      <c r="Y422" s="792"/>
      <c r="Z422" s="792"/>
      <c r="AA422" s="792"/>
    </row>
    <row r="423" spans="1:27" ht="15.75" customHeight="1">
      <c r="A423" s="792"/>
      <c r="B423" s="792"/>
      <c r="C423" s="792"/>
      <c r="D423" s="792"/>
      <c r="E423" s="792"/>
      <c r="F423" s="792"/>
      <c r="G423" s="792"/>
      <c r="H423" s="792"/>
      <c r="I423" s="792"/>
      <c r="J423" s="792"/>
      <c r="K423" s="792"/>
      <c r="L423" s="792"/>
      <c r="M423" s="792"/>
      <c r="N423" s="792"/>
      <c r="O423" s="792"/>
      <c r="P423" s="792"/>
      <c r="Q423" s="1169"/>
      <c r="R423" s="792"/>
      <c r="S423" s="792"/>
      <c r="T423" s="792"/>
      <c r="U423" s="792"/>
      <c r="V423" s="793"/>
      <c r="W423" s="793"/>
      <c r="X423" s="792"/>
      <c r="Y423" s="792"/>
      <c r="Z423" s="792"/>
      <c r="AA423" s="792"/>
    </row>
    <row r="424" spans="1:27" ht="15.75" customHeight="1">
      <c r="A424" s="792"/>
      <c r="B424" s="792"/>
      <c r="C424" s="792"/>
      <c r="D424" s="792"/>
      <c r="E424" s="792"/>
      <c r="F424" s="792"/>
      <c r="G424" s="792"/>
      <c r="H424" s="792"/>
      <c r="I424" s="792"/>
      <c r="J424" s="792"/>
      <c r="K424" s="792"/>
      <c r="L424" s="792"/>
      <c r="M424" s="792"/>
      <c r="N424" s="792"/>
      <c r="O424" s="792"/>
      <c r="P424" s="792"/>
      <c r="Q424" s="1169"/>
      <c r="R424" s="792"/>
      <c r="S424" s="792"/>
      <c r="T424" s="792"/>
      <c r="U424" s="792"/>
      <c r="V424" s="793"/>
      <c r="W424" s="793"/>
      <c r="X424" s="792"/>
      <c r="Y424" s="792"/>
      <c r="Z424" s="792"/>
      <c r="AA424" s="792"/>
    </row>
    <row r="425" spans="1:27" ht="15.75" customHeight="1">
      <c r="A425" s="792"/>
      <c r="B425" s="792"/>
      <c r="C425" s="792"/>
      <c r="D425" s="792"/>
      <c r="E425" s="792"/>
      <c r="F425" s="792"/>
      <c r="G425" s="792"/>
      <c r="H425" s="792"/>
      <c r="I425" s="792"/>
      <c r="J425" s="792"/>
      <c r="K425" s="792"/>
      <c r="L425" s="792"/>
      <c r="M425" s="792"/>
      <c r="N425" s="792"/>
      <c r="O425" s="792"/>
      <c r="P425" s="792"/>
      <c r="Q425" s="1169"/>
      <c r="R425" s="792"/>
      <c r="S425" s="792"/>
      <c r="T425" s="792"/>
      <c r="U425" s="792"/>
      <c r="V425" s="793"/>
      <c r="W425" s="793"/>
      <c r="X425" s="792"/>
      <c r="Y425" s="792"/>
      <c r="Z425" s="792"/>
      <c r="AA425" s="792"/>
    </row>
    <row r="426" spans="1:27" ht="15.75" customHeight="1">
      <c r="A426" s="792"/>
      <c r="B426" s="792"/>
      <c r="C426" s="792"/>
      <c r="D426" s="792"/>
      <c r="E426" s="792"/>
      <c r="F426" s="792"/>
      <c r="G426" s="792"/>
      <c r="H426" s="792"/>
      <c r="I426" s="792"/>
      <c r="J426" s="792"/>
      <c r="K426" s="792"/>
      <c r="L426" s="792"/>
      <c r="M426" s="792"/>
      <c r="N426" s="792"/>
      <c r="O426" s="792"/>
      <c r="P426" s="792"/>
      <c r="Q426" s="1169"/>
      <c r="R426" s="792"/>
      <c r="S426" s="792"/>
      <c r="T426" s="792"/>
      <c r="U426" s="792"/>
      <c r="V426" s="793"/>
      <c r="W426" s="793"/>
      <c r="X426" s="792"/>
      <c r="Y426" s="792"/>
      <c r="Z426" s="792"/>
      <c r="AA426" s="792"/>
    </row>
    <row r="427" spans="1:27" ht="15.75" customHeight="1">
      <c r="A427" s="792"/>
      <c r="B427" s="792"/>
      <c r="C427" s="792"/>
      <c r="D427" s="792"/>
      <c r="E427" s="792"/>
      <c r="F427" s="792"/>
      <c r="G427" s="792"/>
      <c r="H427" s="792"/>
      <c r="I427" s="792"/>
      <c r="J427" s="792"/>
      <c r="K427" s="792"/>
      <c r="L427" s="792"/>
      <c r="M427" s="792"/>
      <c r="N427" s="792"/>
      <c r="O427" s="792"/>
      <c r="P427" s="792"/>
      <c r="Q427" s="1169"/>
      <c r="R427" s="792"/>
      <c r="S427" s="792"/>
      <c r="T427" s="792"/>
      <c r="U427" s="792"/>
      <c r="V427" s="793"/>
      <c r="W427" s="793"/>
      <c r="X427" s="792"/>
      <c r="Y427" s="792"/>
      <c r="Z427" s="792"/>
      <c r="AA427" s="792"/>
    </row>
    <row r="428" spans="1:27" ht="15.75" customHeight="1">
      <c r="A428" s="792"/>
      <c r="B428" s="792"/>
      <c r="C428" s="792"/>
      <c r="D428" s="792"/>
      <c r="E428" s="792"/>
      <c r="F428" s="792"/>
      <c r="G428" s="792"/>
      <c r="H428" s="792"/>
      <c r="I428" s="792"/>
      <c r="J428" s="792"/>
      <c r="K428" s="792"/>
      <c r="L428" s="792"/>
      <c r="M428" s="792"/>
      <c r="N428" s="792"/>
      <c r="O428" s="792"/>
      <c r="P428" s="792"/>
      <c r="Q428" s="1169"/>
      <c r="R428" s="792"/>
      <c r="S428" s="792"/>
      <c r="T428" s="792"/>
      <c r="U428" s="792"/>
      <c r="V428" s="793"/>
      <c r="W428" s="793"/>
      <c r="X428" s="792"/>
      <c r="Y428" s="792"/>
      <c r="Z428" s="792"/>
      <c r="AA428" s="792"/>
    </row>
    <row r="429" spans="1:27" ht="15.75" customHeight="1">
      <c r="A429" s="792"/>
      <c r="B429" s="792"/>
      <c r="C429" s="792"/>
      <c r="D429" s="792"/>
      <c r="E429" s="792"/>
      <c r="F429" s="792"/>
      <c r="G429" s="792"/>
      <c r="H429" s="792"/>
      <c r="I429" s="792"/>
      <c r="J429" s="792"/>
      <c r="K429" s="792"/>
      <c r="L429" s="792"/>
      <c r="M429" s="792"/>
      <c r="N429" s="792"/>
      <c r="O429" s="792"/>
      <c r="P429" s="792"/>
      <c r="Q429" s="1169"/>
      <c r="R429" s="792"/>
      <c r="S429" s="792"/>
      <c r="T429" s="792"/>
      <c r="U429" s="792"/>
      <c r="V429" s="793"/>
      <c r="W429" s="793"/>
      <c r="X429" s="792"/>
      <c r="Y429" s="792"/>
      <c r="Z429" s="792"/>
      <c r="AA429" s="792"/>
    </row>
    <row r="430" spans="1:27" ht="15.75" customHeight="1">
      <c r="A430" s="792"/>
      <c r="B430" s="792"/>
      <c r="C430" s="792"/>
      <c r="D430" s="792"/>
      <c r="E430" s="792"/>
      <c r="F430" s="792"/>
      <c r="G430" s="792"/>
      <c r="H430" s="792"/>
      <c r="I430" s="792"/>
      <c r="J430" s="792"/>
      <c r="K430" s="792"/>
      <c r="L430" s="792"/>
      <c r="M430" s="792"/>
      <c r="N430" s="792"/>
      <c r="O430" s="792"/>
      <c r="P430" s="792"/>
      <c r="Q430" s="1169"/>
      <c r="R430" s="792"/>
      <c r="S430" s="792"/>
      <c r="T430" s="792"/>
      <c r="U430" s="792"/>
      <c r="V430" s="793"/>
      <c r="W430" s="793"/>
      <c r="X430" s="792"/>
      <c r="Y430" s="792"/>
      <c r="Z430" s="792"/>
      <c r="AA430" s="792"/>
    </row>
    <row r="431" spans="1:27" ht="15.75" customHeight="1">
      <c r="A431" s="792"/>
      <c r="B431" s="792"/>
      <c r="C431" s="792"/>
      <c r="D431" s="792"/>
      <c r="E431" s="792"/>
      <c r="F431" s="792"/>
      <c r="G431" s="792"/>
      <c r="H431" s="792"/>
      <c r="I431" s="792"/>
      <c r="J431" s="792"/>
      <c r="K431" s="792"/>
      <c r="L431" s="792"/>
      <c r="M431" s="792"/>
      <c r="N431" s="792"/>
      <c r="O431" s="792"/>
      <c r="P431" s="792"/>
      <c r="Q431" s="1169"/>
      <c r="R431" s="792"/>
      <c r="S431" s="792"/>
      <c r="T431" s="792"/>
      <c r="U431" s="792"/>
      <c r="V431" s="793"/>
      <c r="W431" s="793"/>
      <c r="X431" s="792"/>
      <c r="Y431" s="792"/>
      <c r="Z431" s="792"/>
      <c r="AA431" s="792"/>
    </row>
    <row r="432" spans="1:27" ht="15.75" customHeight="1">
      <c r="A432" s="792"/>
      <c r="B432" s="792"/>
      <c r="C432" s="792"/>
      <c r="D432" s="792"/>
      <c r="E432" s="792"/>
      <c r="F432" s="792"/>
      <c r="G432" s="792"/>
      <c r="H432" s="792"/>
      <c r="I432" s="792"/>
      <c r="J432" s="792"/>
      <c r="K432" s="792"/>
      <c r="L432" s="792"/>
      <c r="M432" s="792"/>
      <c r="N432" s="792"/>
      <c r="O432" s="792"/>
      <c r="P432" s="792"/>
      <c r="Q432" s="1169"/>
      <c r="R432" s="792"/>
      <c r="S432" s="792"/>
      <c r="T432" s="792"/>
      <c r="U432" s="792"/>
      <c r="V432" s="793"/>
      <c r="W432" s="793"/>
      <c r="X432" s="792"/>
      <c r="Y432" s="792"/>
      <c r="Z432" s="792"/>
      <c r="AA432" s="792"/>
    </row>
    <row r="433" spans="1:27" ht="15.75" customHeight="1">
      <c r="A433" s="792"/>
      <c r="B433" s="792"/>
      <c r="C433" s="792"/>
      <c r="D433" s="792"/>
      <c r="E433" s="792"/>
      <c r="F433" s="792"/>
      <c r="G433" s="792"/>
      <c r="H433" s="792"/>
      <c r="I433" s="792"/>
      <c r="J433" s="792"/>
      <c r="K433" s="792"/>
      <c r="L433" s="792"/>
      <c r="M433" s="792"/>
      <c r="N433" s="792"/>
      <c r="O433" s="792"/>
      <c r="P433" s="792"/>
      <c r="Q433" s="1169"/>
      <c r="R433" s="792"/>
      <c r="S433" s="792"/>
      <c r="T433" s="792"/>
      <c r="U433" s="792"/>
      <c r="V433" s="793"/>
      <c r="W433" s="793"/>
      <c r="X433" s="792"/>
      <c r="Y433" s="792"/>
      <c r="Z433" s="792"/>
      <c r="AA433" s="792"/>
    </row>
    <row r="434" spans="1:27" ht="15.75" customHeight="1">
      <c r="A434" s="792"/>
      <c r="B434" s="792"/>
      <c r="C434" s="792"/>
      <c r="D434" s="792"/>
      <c r="E434" s="792"/>
      <c r="F434" s="792"/>
      <c r="G434" s="792"/>
      <c r="H434" s="792"/>
      <c r="I434" s="792"/>
      <c r="J434" s="792"/>
      <c r="K434" s="792"/>
      <c r="L434" s="792"/>
      <c r="M434" s="792"/>
      <c r="N434" s="792"/>
      <c r="O434" s="792"/>
      <c r="P434" s="792"/>
      <c r="Q434" s="1169"/>
      <c r="R434" s="792"/>
      <c r="S434" s="792"/>
      <c r="T434" s="792"/>
      <c r="U434" s="792"/>
      <c r="V434" s="793"/>
      <c r="W434" s="793"/>
      <c r="X434" s="792"/>
      <c r="Y434" s="792"/>
      <c r="Z434" s="792"/>
      <c r="AA434" s="792"/>
    </row>
    <row r="435" spans="1:27" ht="15.75" customHeight="1">
      <c r="A435" s="792"/>
      <c r="B435" s="792"/>
      <c r="C435" s="792"/>
      <c r="D435" s="792"/>
      <c r="E435" s="792"/>
      <c r="F435" s="792"/>
      <c r="G435" s="792"/>
      <c r="H435" s="792"/>
      <c r="I435" s="792"/>
      <c r="J435" s="792"/>
      <c r="K435" s="792"/>
      <c r="L435" s="792"/>
      <c r="M435" s="792"/>
      <c r="N435" s="792"/>
      <c r="O435" s="792"/>
      <c r="P435" s="792"/>
      <c r="Q435" s="1169"/>
      <c r="R435" s="792"/>
      <c r="S435" s="792"/>
      <c r="T435" s="792"/>
      <c r="U435" s="792"/>
      <c r="V435" s="793"/>
      <c r="W435" s="793"/>
      <c r="X435" s="792"/>
      <c r="Y435" s="792"/>
      <c r="Z435" s="792"/>
      <c r="AA435" s="792"/>
    </row>
    <row r="436" spans="1:27" ht="15.75" customHeight="1">
      <c r="A436" s="792"/>
      <c r="B436" s="792"/>
      <c r="C436" s="792"/>
      <c r="D436" s="792"/>
      <c r="E436" s="792"/>
      <c r="F436" s="792"/>
      <c r="G436" s="792"/>
      <c r="H436" s="792"/>
      <c r="I436" s="792"/>
      <c r="J436" s="792"/>
      <c r="K436" s="792"/>
      <c r="L436" s="792"/>
      <c r="M436" s="792"/>
      <c r="N436" s="792"/>
      <c r="O436" s="792"/>
      <c r="P436" s="792"/>
      <c r="Q436" s="1169"/>
      <c r="R436" s="792"/>
      <c r="S436" s="792"/>
      <c r="T436" s="792"/>
      <c r="U436" s="792"/>
      <c r="V436" s="793"/>
      <c r="W436" s="793"/>
      <c r="X436" s="792"/>
      <c r="Y436" s="792"/>
      <c r="Z436" s="792"/>
      <c r="AA436" s="792"/>
    </row>
    <row r="437" spans="1:27" ht="15.75" customHeight="1">
      <c r="A437" s="792"/>
      <c r="B437" s="792"/>
      <c r="C437" s="792"/>
      <c r="D437" s="792"/>
      <c r="E437" s="792"/>
      <c r="F437" s="792"/>
      <c r="G437" s="792"/>
      <c r="H437" s="792"/>
      <c r="I437" s="792"/>
      <c r="J437" s="792"/>
      <c r="K437" s="792"/>
      <c r="L437" s="792"/>
      <c r="M437" s="792"/>
      <c r="N437" s="792"/>
      <c r="O437" s="792"/>
      <c r="P437" s="792"/>
      <c r="Q437" s="1169"/>
      <c r="R437" s="792"/>
      <c r="S437" s="792"/>
      <c r="T437" s="792"/>
      <c r="U437" s="792"/>
      <c r="V437" s="793"/>
      <c r="W437" s="793"/>
      <c r="X437" s="792"/>
      <c r="Y437" s="792"/>
      <c r="Z437" s="792"/>
      <c r="AA437" s="792"/>
    </row>
    <row r="438" spans="1:27" ht="15.75" customHeight="1">
      <c r="A438" s="792"/>
      <c r="B438" s="792"/>
      <c r="C438" s="792"/>
      <c r="D438" s="792"/>
      <c r="E438" s="792"/>
      <c r="F438" s="792"/>
      <c r="G438" s="792"/>
      <c r="H438" s="792"/>
      <c r="I438" s="792"/>
      <c r="J438" s="792"/>
      <c r="K438" s="792"/>
      <c r="L438" s="792"/>
      <c r="M438" s="792"/>
      <c r="N438" s="792"/>
      <c r="O438" s="792"/>
      <c r="P438" s="792"/>
      <c r="Q438" s="1169"/>
      <c r="R438" s="792"/>
      <c r="S438" s="792"/>
      <c r="T438" s="792"/>
      <c r="U438" s="792"/>
      <c r="V438" s="793"/>
      <c r="W438" s="793"/>
      <c r="X438" s="792"/>
      <c r="Y438" s="792"/>
      <c r="Z438" s="792"/>
      <c r="AA438" s="792"/>
    </row>
    <row r="439" spans="1:27" ht="15.75" customHeight="1">
      <c r="A439" s="792"/>
      <c r="B439" s="792"/>
      <c r="C439" s="792"/>
      <c r="D439" s="792"/>
      <c r="E439" s="792"/>
      <c r="F439" s="792"/>
      <c r="G439" s="792"/>
      <c r="H439" s="792"/>
      <c r="I439" s="792"/>
      <c r="J439" s="792"/>
      <c r="K439" s="792"/>
      <c r="L439" s="792"/>
      <c r="M439" s="792"/>
      <c r="N439" s="792"/>
      <c r="O439" s="792"/>
      <c r="P439" s="792"/>
      <c r="Q439" s="1169"/>
      <c r="R439" s="792"/>
      <c r="S439" s="792"/>
      <c r="T439" s="792"/>
      <c r="U439" s="792"/>
      <c r="V439" s="793"/>
      <c r="W439" s="793"/>
      <c r="X439" s="792"/>
      <c r="Y439" s="792"/>
      <c r="Z439" s="792"/>
      <c r="AA439" s="792"/>
    </row>
    <row r="440" spans="1:27" ht="15.75" customHeight="1">
      <c r="A440" s="792"/>
      <c r="B440" s="792"/>
      <c r="C440" s="792"/>
      <c r="D440" s="792"/>
      <c r="E440" s="792"/>
      <c r="F440" s="792"/>
      <c r="G440" s="792"/>
      <c r="H440" s="792"/>
      <c r="I440" s="792"/>
      <c r="J440" s="792"/>
      <c r="K440" s="792"/>
      <c r="L440" s="792"/>
      <c r="M440" s="792"/>
      <c r="N440" s="792"/>
      <c r="O440" s="792"/>
      <c r="P440" s="792"/>
      <c r="Q440" s="1169"/>
      <c r="R440" s="792"/>
      <c r="S440" s="792"/>
      <c r="T440" s="792"/>
      <c r="U440" s="792"/>
      <c r="V440" s="793"/>
      <c r="W440" s="793"/>
      <c r="X440" s="792"/>
      <c r="Y440" s="792"/>
      <c r="Z440" s="792"/>
      <c r="AA440" s="792"/>
    </row>
    <row r="441" spans="1:27" ht="15.75" customHeight="1">
      <c r="A441" s="792"/>
      <c r="B441" s="792"/>
      <c r="C441" s="792"/>
      <c r="D441" s="792"/>
      <c r="E441" s="792"/>
      <c r="F441" s="792"/>
      <c r="G441" s="792"/>
      <c r="H441" s="792"/>
      <c r="I441" s="792"/>
      <c r="J441" s="792"/>
      <c r="K441" s="792"/>
      <c r="L441" s="792"/>
      <c r="M441" s="792"/>
      <c r="N441" s="792"/>
      <c r="O441" s="792"/>
      <c r="P441" s="792"/>
      <c r="Q441" s="1169"/>
      <c r="R441" s="792"/>
      <c r="S441" s="792"/>
      <c r="T441" s="792"/>
      <c r="U441" s="792"/>
      <c r="V441" s="793"/>
      <c r="W441" s="793"/>
      <c r="X441" s="792"/>
      <c r="Y441" s="792"/>
      <c r="Z441" s="792"/>
      <c r="AA441" s="792"/>
    </row>
    <row r="442" spans="1:27" ht="15.75" customHeight="1">
      <c r="A442" s="792"/>
      <c r="B442" s="792"/>
      <c r="C442" s="792"/>
      <c r="D442" s="792"/>
      <c r="E442" s="792"/>
      <c r="F442" s="792"/>
      <c r="G442" s="792"/>
      <c r="H442" s="792"/>
      <c r="I442" s="792"/>
      <c r="J442" s="792"/>
      <c r="K442" s="792"/>
      <c r="L442" s="792"/>
      <c r="M442" s="792"/>
      <c r="N442" s="792"/>
      <c r="O442" s="792"/>
      <c r="P442" s="792"/>
      <c r="Q442" s="1169"/>
      <c r="R442" s="792"/>
      <c r="S442" s="792"/>
      <c r="T442" s="792"/>
      <c r="U442" s="792"/>
      <c r="V442" s="793"/>
      <c r="W442" s="793"/>
      <c r="X442" s="792"/>
      <c r="Y442" s="792"/>
      <c r="Z442" s="792"/>
      <c r="AA442" s="792"/>
    </row>
    <row r="443" spans="1:27" ht="15.75" customHeight="1">
      <c r="A443" s="792"/>
      <c r="B443" s="792"/>
      <c r="C443" s="792"/>
      <c r="D443" s="792"/>
      <c r="E443" s="792"/>
      <c r="F443" s="792"/>
      <c r="G443" s="792"/>
      <c r="H443" s="792"/>
      <c r="I443" s="792"/>
      <c r="J443" s="792"/>
      <c r="K443" s="792"/>
      <c r="L443" s="792"/>
      <c r="M443" s="792"/>
      <c r="N443" s="792"/>
      <c r="O443" s="792"/>
      <c r="P443" s="792"/>
      <c r="Q443" s="1169"/>
      <c r="R443" s="792"/>
      <c r="S443" s="792"/>
      <c r="T443" s="792"/>
      <c r="U443" s="792"/>
      <c r="V443" s="793"/>
      <c r="W443" s="793"/>
      <c r="X443" s="792"/>
      <c r="Y443" s="792"/>
      <c r="Z443" s="792"/>
      <c r="AA443" s="792"/>
    </row>
    <row r="444" spans="1:27" ht="15.75" customHeight="1">
      <c r="A444" s="792"/>
      <c r="B444" s="792"/>
      <c r="C444" s="792"/>
      <c r="D444" s="792"/>
      <c r="E444" s="792"/>
      <c r="F444" s="792"/>
      <c r="G444" s="792"/>
      <c r="H444" s="792"/>
      <c r="I444" s="792"/>
      <c r="J444" s="792"/>
      <c r="K444" s="792"/>
      <c r="L444" s="792"/>
      <c r="M444" s="792"/>
      <c r="N444" s="792"/>
      <c r="O444" s="792"/>
      <c r="P444" s="792"/>
      <c r="Q444" s="1169"/>
      <c r="R444" s="792"/>
      <c r="S444" s="792"/>
      <c r="T444" s="792"/>
      <c r="U444" s="792"/>
      <c r="V444" s="793"/>
      <c r="W444" s="793"/>
      <c r="X444" s="792"/>
      <c r="Y444" s="792"/>
      <c r="Z444" s="792"/>
      <c r="AA444" s="792"/>
    </row>
    <row r="445" spans="1:27" ht="15.75" customHeight="1">
      <c r="A445" s="792"/>
      <c r="B445" s="792"/>
      <c r="C445" s="792"/>
      <c r="D445" s="792"/>
      <c r="E445" s="792"/>
      <c r="F445" s="792"/>
      <c r="G445" s="792"/>
      <c r="H445" s="792"/>
      <c r="I445" s="792"/>
      <c r="J445" s="792"/>
      <c r="K445" s="792"/>
      <c r="L445" s="792"/>
      <c r="M445" s="792"/>
      <c r="N445" s="792"/>
      <c r="O445" s="792"/>
      <c r="P445" s="792"/>
      <c r="Q445" s="1169"/>
      <c r="R445" s="792"/>
      <c r="S445" s="792"/>
      <c r="T445" s="792"/>
      <c r="U445" s="792"/>
      <c r="V445" s="793"/>
      <c r="W445" s="793"/>
      <c r="X445" s="792"/>
      <c r="Y445" s="792"/>
      <c r="Z445" s="792"/>
      <c r="AA445" s="792"/>
    </row>
    <row r="446" spans="1:27" ht="15.75" customHeight="1">
      <c r="A446" s="792"/>
      <c r="B446" s="792"/>
      <c r="C446" s="792"/>
      <c r="D446" s="792"/>
      <c r="E446" s="792"/>
      <c r="F446" s="792"/>
      <c r="G446" s="792"/>
      <c r="H446" s="792"/>
      <c r="I446" s="792"/>
      <c r="J446" s="792"/>
      <c r="K446" s="792"/>
      <c r="L446" s="792"/>
      <c r="M446" s="792"/>
      <c r="N446" s="792"/>
      <c r="O446" s="792"/>
      <c r="P446" s="792"/>
      <c r="Q446" s="1169"/>
      <c r="R446" s="792"/>
      <c r="S446" s="792"/>
      <c r="T446" s="792"/>
      <c r="U446" s="792"/>
      <c r="V446" s="793"/>
      <c r="W446" s="793"/>
      <c r="X446" s="792"/>
      <c r="Y446" s="792"/>
      <c r="Z446" s="792"/>
      <c r="AA446" s="792"/>
    </row>
    <row r="447" spans="1:27" ht="15.75" customHeight="1">
      <c r="A447" s="792"/>
      <c r="B447" s="792"/>
      <c r="C447" s="792"/>
      <c r="D447" s="792"/>
      <c r="E447" s="792"/>
      <c r="F447" s="792"/>
      <c r="G447" s="792"/>
      <c r="H447" s="792"/>
      <c r="I447" s="792"/>
      <c r="J447" s="792"/>
      <c r="K447" s="792"/>
      <c r="L447" s="792"/>
      <c r="M447" s="792"/>
      <c r="N447" s="792"/>
      <c r="O447" s="792"/>
      <c r="P447" s="792"/>
      <c r="Q447" s="1169"/>
      <c r="R447" s="792"/>
      <c r="S447" s="792"/>
      <c r="T447" s="792"/>
      <c r="U447" s="792"/>
      <c r="V447" s="793"/>
      <c r="W447" s="793"/>
      <c r="X447" s="792"/>
      <c r="Y447" s="792"/>
      <c r="Z447" s="792"/>
      <c r="AA447" s="792"/>
    </row>
    <row r="448" spans="1:27" ht="15.75" customHeight="1">
      <c r="A448" s="792"/>
      <c r="B448" s="792"/>
      <c r="C448" s="792"/>
      <c r="D448" s="792"/>
      <c r="E448" s="792"/>
      <c r="F448" s="792"/>
      <c r="G448" s="792"/>
      <c r="H448" s="792"/>
      <c r="I448" s="792"/>
      <c r="J448" s="792"/>
      <c r="K448" s="792"/>
      <c r="L448" s="792"/>
      <c r="M448" s="792"/>
      <c r="N448" s="792"/>
      <c r="O448" s="792"/>
      <c r="P448" s="792"/>
      <c r="Q448" s="1169"/>
      <c r="R448" s="792"/>
      <c r="S448" s="792"/>
      <c r="T448" s="792"/>
      <c r="U448" s="792"/>
      <c r="V448" s="793"/>
      <c r="W448" s="793"/>
      <c r="X448" s="792"/>
      <c r="Y448" s="792"/>
      <c r="Z448" s="792"/>
      <c r="AA448" s="792"/>
    </row>
    <row r="449" spans="1:27" ht="15.75" customHeight="1">
      <c r="A449" s="792"/>
      <c r="B449" s="792"/>
      <c r="C449" s="792"/>
      <c r="D449" s="792"/>
      <c r="E449" s="792"/>
      <c r="F449" s="792"/>
      <c r="G449" s="792"/>
      <c r="H449" s="792"/>
      <c r="I449" s="792"/>
      <c r="J449" s="792"/>
      <c r="K449" s="792"/>
      <c r="L449" s="792"/>
      <c r="M449" s="792"/>
      <c r="N449" s="792"/>
      <c r="O449" s="792"/>
      <c r="P449" s="792"/>
      <c r="Q449" s="1169"/>
      <c r="R449" s="792"/>
      <c r="S449" s="792"/>
      <c r="T449" s="792"/>
      <c r="U449" s="792"/>
      <c r="V449" s="793"/>
      <c r="W449" s="793"/>
      <c r="X449" s="792"/>
      <c r="Y449" s="792"/>
      <c r="Z449" s="792"/>
      <c r="AA449" s="792"/>
    </row>
    <row r="450" spans="1:27" ht="15.75" customHeight="1">
      <c r="A450" s="792"/>
      <c r="B450" s="792"/>
      <c r="C450" s="792"/>
      <c r="D450" s="792"/>
      <c r="E450" s="792"/>
      <c r="F450" s="792"/>
      <c r="G450" s="792"/>
      <c r="H450" s="792"/>
      <c r="I450" s="792"/>
      <c r="J450" s="792"/>
      <c r="K450" s="792"/>
      <c r="L450" s="792"/>
      <c r="M450" s="792"/>
      <c r="N450" s="792"/>
      <c r="O450" s="792"/>
      <c r="P450" s="792"/>
      <c r="Q450" s="1169"/>
      <c r="R450" s="792"/>
      <c r="S450" s="792"/>
      <c r="T450" s="792"/>
      <c r="U450" s="792"/>
      <c r="V450" s="793"/>
      <c r="W450" s="793"/>
      <c r="X450" s="792"/>
      <c r="Y450" s="792"/>
      <c r="Z450" s="792"/>
      <c r="AA450" s="792"/>
    </row>
    <row r="451" spans="1:27" ht="15.75" customHeight="1">
      <c r="A451" s="792"/>
      <c r="B451" s="792"/>
      <c r="C451" s="792"/>
      <c r="D451" s="792"/>
      <c r="E451" s="792"/>
      <c r="F451" s="792"/>
      <c r="G451" s="792"/>
      <c r="H451" s="792"/>
      <c r="I451" s="792"/>
      <c r="J451" s="792"/>
      <c r="K451" s="792"/>
      <c r="L451" s="792"/>
      <c r="M451" s="792"/>
      <c r="N451" s="792"/>
      <c r="O451" s="792"/>
      <c r="P451" s="792"/>
      <c r="Q451" s="1169"/>
      <c r="R451" s="792"/>
      <c r="S451" s="792"/>
      <c r="T451" s="792"/>
      <c r="U451" s="792"/>
      <c r="V451" s="793"/>
      <c r="W451" s="793"/>
      <c r="X451" s="792"/>
      <c r="Y451" s="792"/>
      <c r="Z451" s="792"/>
      <c r="AA451" s="792"/>
    </row>
    <row r="452" spans="1:27" ht="15.75" customHeight="1">
      <c r="A452" s="792"/>
      <c r="B452" s="792"/>
      <c r="C452" s="792"/>
      <c r="D452" s="792"/>
      <c r="E452" s="792"/>
      <c r="F452" s="792"/>
      <c r="G452" s="792"/>
      <c r="H452" s="792"/>
      <c r="I452" s="792"/>
      <c r="J452" s="792"/>
      <c r="K452" s="792"/>
      <c r="L452" s="792"/>
      <c r="M452" s="792"/>
      <c r="N452" s="792"/>
      <c r="O452" s="792"/>
      <c r="P452" s="792"/>
      <c r="Q452" s="1169"/>
      <c r="R452" s="792"/>
      <c r="S452" s="792"/>
      <c r="T452" s="792"/>
      <c r="U452" s="792"/>
      <c r="V452" s="793"/>
      <c r="W452" s="793"/>
      <c r="X452" s="792"/>
      <c r="Y452" s="792"/>
      <c r="Z452" s="792"/>
      <c r="AA452" s="792"/>
    </row>
    <row r="453" spans="1:27" ht="15.75" customHeight="1">
      <c r="A453" s="792"/>
      <c r="B453" s="792"/>
      <c r="C453" s="792"/>
      <c r="D453" s="792"/>
      <c r="E453" s="792"/>
      <c r="F453" s="792"/>
      <c r="G453" s="792"/>
      <c r="H453" s="792"/>
      <c r="I453" s="792"/>
      <c r="J453" s="792"/>
      <c r="K453" s="792"/>
      <c r="L453" s="792"/>
      <c r="M453" s="792"/>
      <c r="N453" s="792"/>
      <c r="O453" s="792"/>
      <c r="P453" s="792"/>
      <c r="Q453" s="1169"/>
      <c r="R453" s="792"/>
      <c r="S453" s="792"/>
      <c r="T453" s="792"/>
      <c r="U453" s="792"/>
      <c r="V453" s="793"/>
      <c r="W453" s="793"/>
      <c r="X453" s="792"/>
      <c r="Y453" s="792"/>
      <c r="Z453" s="792"/>
      <c r="AA453" s="792"/>
    </row>
    <row r="454" spans="1:27" ht="15.75" customHeight="1">
      <c r="A454" s="792"/>
      <c r="B454" s="792"/>
      <c r="C454" s="792"/>
      <c r="D454" s="792"/>
      <c r="E454" s="792"/>
      <c r="F454" s="792"/>
      <c r="G454" s="792"/>
      <c r="H454" s="792"/>
      <c r="I454" s="792"/>
      <c r="J454" s="792"/>
      <c r="K454" s="792"/>
      <c r="L454" s="792"/>
      <c r="M454" s="792"/>
      <c r="N454" s="792"/>
      <c r="O454" s="792"/>
      <c r="P454" s="792"/>
      <c r="Q454" s="1169"/>
      <c r="R454" s="792"/>
      <c r="S454" s="792"/>
      <c r="T454" s="792"/>
      <c r="U454" s="792"/>
      <c r="V454" s="793"/>
      <c r="W454" s="793"/>
      <c r="X454" s="792"/>
      <c r="Y454" s="792"/>
      <c r="Z454" s="792"/>
      <c r="AA454" s="792"/>
    </row>
    <row r="455" spans="1:27" ht="15.75" customHeight="1">
      <c r="A455" s="792"/>
      <c r="B455" s="792"/>
      <c r="C455" s="792"/>
      <c r="D455" s="792"/>
      <c r="E455" s="792"/>
      <c r="F455" s="792"/>
      <c r="G455" s="792"/>
      <c r="H455" s="792"/>
      <c r="I455" s="792"/>
      <c r="J455" s="792"/>
      <c r="K455" s="792"/>
      <c r="L455" s="792"/>
      <c r="M455" s="792"/>
      <c r="N455" s="792"/>
      <c r="O455" s="792"/>
      <c r="P455" s="792"/>
      <c r="Q455" s="1169"/>
      <c r="R455" s="792"/>
      <c r="S455" s="792"/>
      <c r="T455" s="792"/>
      <c r="U455" s="792"/>
      <c r="V455" s="793"/>
      <c r="W455" s="793"/>
      <c r="X455" s="792"/>
      <c r="Y455" s="792"/>
      <c r="Z455" s="792"/>
      <c r="AA455" s="792"/>
    </row>
    <row r="456" spans="1:27" ht="15.75" customHeight="1">
      <c r="A456" s="792"/>
      <c r="B456" s="792"/>
      <c r="C456" s="792"/>
      <c r="D456" s="792"/>
      <c r="E456" s="792"/>
      <c r="F456" s="792"/>
      <c r="G456" s="792"/>
      <c r="H456" s="792"/>
      <c r="I456" s="792"/>
      <c r="J456" s="792"/>
      <c r="K456" s="792"/>
      <c r="L456" s="792"/>
      <c r="M456" s="792"/>
      <c r="N456" s="792"/>
      <c r="O456" s="792"/>
      <c r="P456" s="792"/>
      <c r="Q456" s="1169"/>
      <c r="R456" s="792"/>
      <c r="S456" s="792"/>
      <c r="T456" s="792"/>
      <c r="U456" s="792"/>
      <c r="V456" s="793"/>
      <c r="W456" s="793"/>
      <c r="X456" s="792"/>
      <c r="Y456" s="792"/>
      <c r="Z456" s="792"/>
      <c r="AA456" s="792"/>
    </row>
    <row r="457" spans="1:27" ht="15.75" customHeight="1">
      <c r="A457" s="792"/>
      <c r="B457" s="792"/>
      <c r="C457" s="792"/>
      <c r="D457" s="792"/>
      <c r="E457" s="792"/>
      <c r="F457" s="792"/>
      <c r="G457" s="792"/>
      <c r="H457" s="792"/>
      <c r="I457" s="792"/>
      <c r="J457" s="792"/>
      <c r="K457" s="792"/>
      <c r="L457" s="792"/>
      <c r="M457" s="792"/>
      <c r="N457" s="792"/>
      <c r="O457" s="792"/>
      <c r="P457" s="792"/>
      <c r="Q457" s="1169"/>
      <c r="R457" s="792"/>
      <c r="S457" s="792"/>
      <c r="T457" s="792"/>
      <c r="U457" s="792"/>
      <c r="V457" s="793"/>
      <c r="W457" s="793"/>
      <c r="X457" s="792"/>
      <c r="Y457" s="792"/>
      <c r="Z457" s="792"/>
      <c r="AA457" s="792"/>
    </row>
    <row r="458" spans="1:27" ht="15.75" customHeight="1">
      <c r="A458" s="792"/>
      <c r="B458" s="792"/>
      <c r="C458" s="792"/>
      <c r="D458" s="792"/>
      <c r="E458" s="792"/>
      <c r="F458" s="792"/>
      <c r="G458" s="792"/>
      <c r="H458" s="792"/>
      <c r="I458" s="792"/>
      <c r="J458" s="792"/>
      <c r="K458" s="792"/>
      <c r="L458" s="792"/>
      <c r="M458" s="792"/>
      <c r="N458" s="792"/>
      <c r="O458" s="792"/>
      <c r="P458" s="792"/>
      <c r="Q458" s="1169"/>
      <c r="R458" s="792"/>
      <c r="S458" s="792"/>
      <c r="T458" s="792"/>
      <c r="U458" s="792"/>
      <c r="V458" s="793"/>
      <c r="W458" s="793"/>
      <c r="X458" s="792"/>
      <c r="Y458" s="792"/>
      <c r="Z458" s="792"/>
      <c r="AA458" s="792"/>
    </row>
    <row r="459" spans="1:27" ht="15.75" customHeight="1">
      <c r="A459" s="792"/>
      <c r="B459" s="792"/>
      <c r="C459" s="792"/>
      <c r="D459" s="792"/>
      <c r="E459" s="792"/>
      <c r="F459" s="792"/>
      <c r="G459" s="792"/>
      <c r="H459" s="792"/>
      <c r="I459" s="792"/>
      <c r="J459" s="792"/>
      <c r="K459" s="792"/>
      <c r="L459" s="792"/>
      <c r="M459" s="792"/>
      <c r="N459" s="792"/>
      <c r="O459" s="792"/>
      <c r="P459" s="792"/>
      <c r="Q459" s="1169"/>
      <c r="R459" s="792"/>
      <c r="S459" s="792"/>
      <c r="T459" s="792"/>
      <c r="U459" s="792"/>
      <c r="V459" s="793"/>
      <c r="W459" s="793"/>
      <c r="X459" s="792"/>
      <c r="Y459" s="792"/>
      <c r="Z459" s="792"/>
      <c r="AA459" s="792"/>
    </row>
    <row r="460" spans="1:27" ht="15.75" customHeight="1">
      <c r="A460" s="792"/>
      <c r="B460" s="792"/>
      <c r="C460" s="792"/>
      <c r="D460" s="792"/>
      <c r="E460" s="792"/>
      <c r="F460" s="792"/>
      <c r="G460" s="792"/>
      <c r="H460" s="792"/>
      <c r="I460" s="792"/>
      <c r="J460" s="792"/>
      <c r="K460" s="792"/>
      <c r="L460" s="792"/>
      <c r="M460" s="792"/>
      <c r="N460" s="792"/>
      <c r="O460" s="792"/>
      <c r="P460" s="792"/>
      <c r="Q460" s="1169"/>
      <c r="R460" s="792"/>
      <c r="S460" s="792"/>
      <c r="T460" s="792"/>
      <c r="U460" s="792"/>
      <c r="V460" s="793"/>
      <c r="W460" s="793"/>
      <c r="X460" s="792"/>
      <c r="Y460" s="792"/>
      <c r="Z460" s="792"/>
      <c r="AA460" s="792"/>
    </row>
    <row r="461" spans="1:27" ht="15.75" customHeight="1">
      <c r="A461" s="792"/>
      <c r="B461" s="792"/>
      <c r="C461" s="792"/>
      <c r="D461" s="792"/>
      <c r="E461" s="792"/>
      <c r="F461" s="792"/>
      <c r="G461" s="792"/>
      <c r="H461" s="792"/>
      <c r="I461" s="792"/>
      <c r="J461" s="792"/>
      <c r="K461" s="792"/>
      <c r="L461" s="792"/>
      <c r="M461" s="792"/>
      <c r="N461" s="792"/>
      <c r="O461" s="792"/>
      <c r="P461" s="792"/>
      <c r="Q461" s="1169"/>
      <c r="R461" s="792"/>
      <c r="S461" s="792"/>
      <c r="T461" s="792"/>
      <c r="U461" s="792"/>
      <c r="V461" s="793"/>
      <c r="W461" s="793"/>
      <c r="X461" s="792"/>
      <c r="Y461" s="792"/>
      <c r="Z461" s="792"/>
      <c r="AA461" s="792"/>
    </row>
    <row r="462" spans="1:27" ht="15.75" customHeight="1">
      <c r="A462" s="792"/>
      <c r="B462" s="792"/>
      <c r="C462" s="792"/>
      <c r="D462" s="792"/>
      <c r="E462" s="792"/>
      <c r="F462" s="792"/>
      <c r="G462" s="792"/>
      <c r="H462" s="792"/>
      <c r="I462" s="792"/>
      <c r="J462" s="792"/>
      <c r="K462" s="792"/>
      <c r="L462" s="792"/>
      <c r="M462" s="792"/>
      <c r="N462" s="792"/>
      <c r="O462" s="792"/>
      <c r="P462" s="792"/>
      <c r="Q462" s="1169"/>
      <c r="R462" s="792"/>
      <c r="S462" s="792"/>
      <c r="T462" s="792"/>
      <c r="U462" s="792"/>
      <c r="V462" s="793"/>
      <c r="W462" s="793"/>
      <c r="X462" s="792"/>
      <c r="Y462" s="792"/>
      <c r="Z462" s="792"/>
      <c r="AA462" s="792"/>
    </row>
    <row r="463" spans="1:27" ht="15.75" customHeight="1">
      <c r="A463" s="792"/>
      <c r="B463" s="792"/>
      <c r="C463" s="792"/>
      <c r="D463" s="792"/>
      <c r="E463" s="792"/>
      <c r="F463" s="792"/>
      <c r="G463" s="792"/>
      <c r="H463" s="792"/>
      <c r="I463" s="792"/>
      <c r="J463" s="792"/>
      <c r="K463" s="792"/>
      <c r="L463" s="792"/>
      <c r="M463" s="792"/>
      <c r="N463" s="792"/>
      <c r="O463" s="792"/>
      <c r="P463" s="792"/>
      <c r="Q463" s="1169"/>
      <c r="R463" s="792"/>
      <c r="S463" s="792"/>
      <c r="T463" s="792"/>
      <c r="U463" s="792"/>
      <c r="V463" s="793"/>
      <c r="W463" s="793"/>
      <c r="X463" s="792"/>
      <c r="Y463" s="792"/>
      <c r="Z463" s="792"/>
      <c r="AA463" s="792"/>
    </row>
    <row r="464" spans="1:27" ht="15.75" customHeight="1">
      <c r="A464" s="792"/>
      <c r="B464" s="792"/>
      <c r="C464" s="792"/>
      <c r="D464" s="792"/>
      <c r="E464" s="792"/>
      <c r="F464" s="792"/>
      <c r="G464" s="792"/>
      <c r="H464" s="792"/>
      <c r="I464" s="792"/>
      <c r="J464" s="792"/>
      <c r="K464" s="792"/>
      <c r="L464" s="792"/>
      <c r="M464" s="792"/>
      <c r="N464" s="792"/>
      <c r="O464" s="792"/>
      <c r="P464" s="792"/>
      <c r="Q464" s="1169"/>
      <c r="R464" s="792"/>
      <c r="S464" s="792"/>
      <c r="T464" s="792"/>
      <c r="U464" s="792"/>
      <c r="V464" s="793"/>
      <c r="W464" s="793"/>
      <c r="X464" s="792"/>
      <c r="Y464" s="792"/>
      <c r="Z464" s="792"/>
      <c r="AA464" s="792"/>
    </row>
    <row r="465" spans="1:27" ht="15.75" customHeight="1">
      <c r="A465" s="792"/>
      <c r="B465" s="792"/>
      <c r="C465" s="792"/>
      <c r="D465" s="792"/>
      <c r="E465" s="792"/>
      <c r="F465" s="792"/>
      <c r="G465" s="792"/>
      <c r="H465" s="792"/>
      <c r="I465" s="792"/>
      <c r="J465" s="792"/>
      <c r="K465" s="792"/>
      <c r="L465" s="792"/>
      <c r="M465" s="792"/>
      <c r="N465" s="792"/>
      <c r="O465" s="792"/>
      <c r="P465" s="792"/>
      <c r="Q465" s="1169"/>
      <c r="R465" s="792"/>
      <c r="S465" s="792"/>
      <c r="T465" s="792"/>
      <c r="U465" s="792"/>
      <c r="V465" s="793"/>
      <c r="W465" s="793"/>
      <c r="X465" s="792"/>
      <c r="Y465" s="792"/>
      <c r="Z465" s="792"/>
      <c r="AA465" s="792"/>
    </row>
    <row r="466" spans="1:27" ht="15.75" customHeight="1">
      <c r="A466" s="792"/>
      <c r="B466" s="792"/>
      <c r="C466" s="792"/>
      <c r="D466" s="792"/>
      <c r="E466" s="792"/>
      <c r="F466" s="792"/>
      <c r="G466" s="792"/>
      <c r="H466" s="792"/>
      <c r="I466" s="792"/>
      <c r="J466" s="792"/>
      <c r="K466" s="792"/>
      <c r="L466" s="792"/>
      <c r="M466" s="792"/>
      <c r="N466" s="792"/>
      <c r="O466" s="792"/>
      <c r="P466" s="792"/>
      <c r="Q466" s="1169"/>
      <c r="R466" s="792"/>
      <c r="S466" s="792"/>
      <c r="T466" s="792"/>
      <c r="U466" s="792"/>
      <c r="V466" s="793"/>
      <c r="W466" s="793"/>
      <c r="X466" s="792"/>
      <c r="Y466" s="792"/>
      <c r="Z466" s="792"/>
      <c r="AA466" s="792"/>
    </row>
    <row r="467" spans="1:27" ht="15.75" customHeight="1">
      <c r="A467" s="792"/>
      <c r="B467" s="792"/>
      <c r="C467" s="792"/>
      <c r="D467" s="792"/>
      <c r="E467" s="792"/>
      <c r="F467" s="792"/>
      <c r="G467" s="792"/>
      <c r="H467" s="792"/>
      <c r="I467" s="792"/>
      <c r="J467" s="792"/>
      <c r="K467" s="792"/>
      <c r="L467" s="792"/>
      <c r="M467" s="792"/>
      <c r="N467" s="792"/>
      <c r="O467" s="792"/>
      <c r="P467" s="792"/>
      <c r="Q467" s="1169"/>
      <c r="R467" s="792"/>
      <c r="S467" s="792"/>
      <c r="T467" s="792"/>
      <c r="U467" s="792"/>
      <c r="V467" s="793"/>
      <c r="W467" s="793"/>
      <c r="X467" s="792"/>
      <c r="Y467" s="792"/>
      <c r="Z467" s="792"/>
      <c r="AA467" s="792"/>
    </row>
    <row r="468" spans="1:27" ht="15.75" customHeight="1">
      <c r="A468" s="792"/>
      <c r="B468" s="792"/>
      <c r="C468" s="792"/>
      <c r="D468" s="792"/>
      <c r="E468" s="792"/>
      <c r="F468" s="792"/>
      <c r="G468" s="792"/>
      <c r="H468" s="792"/>
      <c r="I468" s="792"/>
      <c r="J468" s="792"/>
      <c r="K468" s="792"/>
      <c r="L468" s="792"/>
      <c r="M468" s="792"/>
      <c r="N468" s="792"/>
      <c r="O468" s="792"/>
      <c r="P468" s="792"/>
      <c r="Q468" s="1169"/>
      <c r="R468" s="792"/>
      <c r="S468" s="792"/>
      <c r="T468" s="792"/>
      <c r="U468" s="792"/>
      <c r="V468" s="793"/>
      <c r="W468" s="793"/>
      <c r="X468" s="792"/>
      <c r="Y468" s="792"/>
      <c r="Z468" s="792"/>
      <c r="AA468" s="792"/>
    </row>
    <row r="469" spans="1:27" ht="15.75" customHeight="1">
      <c r="A469" s="792"/>
      <c r="B469" s="792"/>
      <c r="C469" s="792"/>
      <c r="D469" s="792"/>
      <c r="E469" s="792"/>
      <c r="F469" s="792"/>
      <c r="G469" s="792"/>
      <c r="H469" s="792"/>
      <c r="I469" s="792"/>
      <c r="J469" s="792"/>
      <c r="K469" s="792"/>
      <c r="L469" s="792"/>
      <c r="M469" s="792"/>
      <c r="N469" s="792"/>
      <c r="O469" s="792"/>
      <c r="P469" s="792"/>
      <c r="Q469" s="1169"/>
      <c r="R469" s="792"/>
      <c r="S469" s="792"/>
      <c r="T469" s="792"/>
      <c r="U469" s="792"/>
      <c r="V469" s="793"/>
      <c r="W469" s="793"/>
      <c r="X469" s="792"/>
      <c r="Y469" s="792"/>
      <c r="Z469" s="792"/>
      <c r="AA469" s="792"/>
    </row>
    <row r="470" spans="1:27" ht="15.75" customHeight="1">
      <c r="A470" s="792"/>
      <c r="B470" s="792"/>
      <c r="C470" s="792"/>
      <c r="D470" s="792"/>
      <c r="E470" s="792"/>
      <c r="F470" s="792"/>
      <c r="G470" s="792"/>
      <c r="H470" s="792"/>
      <c r="I470" s="792"/>
      <c r="J470" s="792"/>
      <c r="K470" s="792"/>
      <c r="L470" s="792"/>
      <c r="M470" s="792"/>
      <c r="N470" s="792"/>
      <c r="O470" s="792"/>
      <c r="P470" s="792"/>
      <c r="Q470" s="1169"/>
      <c r="R470" s="792"/>
      <c r="S470" s="792"/>
      <c r="T470" s="792"/>
      <c r="U470" s="792"/>
      <c r="V470" s="793"/>
      <c r="W470" s="793"/>
      <c r="X470" s="792"/>
      <c r="Y470" s="792"/>
      <c r="Z470" s="792"/>
      <c r="AA470" s="792"/>
    </row>
    <row r="471" spans="1:27" ht="15.75" customHeight="1">
      <c r="A471" s="792"/>
      <c r="B471" s="792"/>
      <c r="C471" s="792"/>
      <c r="D471" s="792"/>
      <c r="E471" s="792"/>
      <c r="F471" s="792"/>
      <c r="G471" s="792"/>
      <c r="H471" s="792"/>
      <c r="I471" s="792"/>
      <c r="J471" s="792"/>
      <c r="K471" s="792"/>
      <c r="L471" s="792"/>
      <c r="M471" s="792"/>
      <c r="N471" s="792"/>
      <c r="O471" s="792"/>
      <c r="P471" s="792"/>
      <c r="Q471" s="1169"/>
      <c r="R471" s="792"/>
      <c r="S471" s="792"/>
      <c r="T471" s="792"/>
      <c r="U471" s="792"/>
      <c r="V471" s="793"/>
      <c r="W471" s="793"/>
      <c r="X471" s="792"/>
      <c r="Y471" s="792"/>
      <c r="Z471" s="792"/>
      <c r="AA471" s="792"/>
    </row>
    <row r="472" spans="1:27" ht="15.75" customHeight="1">
      <c r="A472" s="792"/>
      <c r="B472" s="792"/>
      <c r="C472" s="792"/>
      <c r="D472" s="792"/>
      <c r="E472" s="792"/>
      <c r="F472" s="792"/>
      <c r="G472" s="792"/>
      <c r="H472" s="792"/>
      <c r="I472" s="792"/>
      <c r="J472" s="792"/>
      <c r="K472" s="792"/>
      <c r="L472" s="792"/>
      <c r="M472" s="792"/>
      <c r="N472" s="792"/>
      <c r="O472" s="792"/>
      <c r="P472" s="792"/>
      <c r="Q472" s="1169"/>
      <c r="R472" s="792"/>
      <c r="S472" s="792"/>
      <c r="T472" s="792"/>
      <c r="U472" s="792"/>
      <c r="V472" s="793"/>
      <c r="W472" s="793"/>
      <c r="X472" s="792"/>
      <c r="Y472" s="792"/>
      <c r="Z472" s="792"/>
      <c r="AA472" s="792"/>
    </row>
    <row r="473" spans="1:27" ht="15.75" customHeight="1">
      <c r="A473" s="792"/>
      <c r="B473" s="792"/>
      <c r="C473" s="792"/>
      <c r="D473" s="792"/>
      <c r="E473" s="792"/>
      <c r="F473" s="792"/>
      <c r="G473" s="792"/>
      <c r="H473" s="792"/>
      <c r="I473" s="792"/>
      <c r="J473" s="792"/>
      <c r="K473" s="792"/>
      <c r="L473" s="792"/>
      <c r="M473" s="792"/>
      <c r="N473" s="792"/>
      <c r="O473" s="792"/>
      <c r="P473" s="792"/>
      <c r="Q473" s="1169"/>
      <c r="R473" s="792"/>
      <c r="S473" s="792"/>
      <c r="T473" s="792"/>
      <c r="U473" s="792"/>
      <c r="V473" s="793"/>
      <c r="W473" s="793"/>
      <c r="X473" s="792"/>
      <c r="Y473" s="792"/>
      <c r="Z473" s="792"/>
      <c r="AA473" s="792"/>
    </row>
    <row r="474" spans="1:27" ht="15.75" customHeight="1">
      <c r="A474" s="792"/>
      <c r="B474" s="792"/>
      <c r="C474" s="792"/>
      <c r="D474" s="792"/>
      <c r="E474" s="792"/>
      <c r="F474" s="792"/>
      <c r="G474" s="792"/>
      <c r="H474" s="792"/>
      <c r="I474" s="792"/>
      <c r="J474" s="792"/>
      <c r="K474" s="792"/>
      <c r="L474" s="792"/>
      <c r="M474" s="792"/>
      <c r="N474" s="792"/>
      <c r="O474" s="792"/>
      <c r="P474" s="792"/>
      <c r="Q474" s="1169"/>
      <c r="R474" s="792"/>
      <c r="S474" s="792"/>
      <c r="T474" s="792"/>
      <c r="U474" s="792"/>
      <c r="V474" s="793"/>
      <c r="W474" s="793"/>
      <c r="X474" s="792"/>
      <c r="Y474" s="792"/>
      <c r="Z474" s="792"/>
      <c r="AA474" s="792"/>
    </row>
    <row r="475" spans="1:27" ht="15.75" customHeight="1">
      <c r="A475" s="792"/>
      <c r="B475" s="792"/>
      <c r="C475" s="792"/>
      <c r="D475" s="792"/>
      <c r="E475" s="792"/>
      <c r="F475" s="792"/>
      <c r="G475" s="792"/>
      <c r="H475" s="792"/>
      <c r="I475" s="792"/>
      <c r="J475" s="792"/>
      <c r="K475" s="792"/>
      <c r="L475" s="792"/>
      <c r="M475" s="792"/>
      <c r="N475" s="792"/>
      <c r="O475" s="792"/>
      <c r="P475" s="792"/>
      <c r="Q475" s="1169"/>
      <c r="R475" s="792"/>
      <c r="S475" s="792"/>
      <c r="T475" s="792"/>
      <c r="U475" s="792"/>
      <c r="V475" s="793"/>
      <c r="W475" s="793"/>
      <c r="X475" s="792"/>
      <c r="Y475" s="792"/>
      <c r="Z475" s="792"/>
      <c r="AA475" s="792"/>
    </row>
    <row r="476" spans="1:27" ht="15.75" customHeight="1">
      <c r="A476" s="792"/>
      <c r="B476" s="792"/>
      <c r="C476" s="792"/>
      <c r="D476" s="792"/>
      <c r="E476" s="792"/>
      <c r="F476" s="792"/>
      <c r="G476" s="792"/>
      <c r="H476" s="792"/>
      <c r="I476" s="792"/>
      <c r="J476" s="792"/>
      <c r="K476" s="792"/>
      <c r="L476" s="792"/>
      <c r="M476" s="792"/>
      <c r="N476" s="792"/>
      <c r="O476" s="792"/>
      <c r="P476" s="792"/>
      <c r="Q476" s="1169"/>
      <c r="R476" s="792"/>
      <c r="S476" s="792"/>
      <c r="T476" s="792"/>
      <c r="U476" s="792"/>
      <c r="V476" s="793"/>
      <c r="W476" s="793"/>
      <c r="X476" s="792"/>
      <c r="Y476" s="792"/>
      <c r="Z476" s="792"/>
      <c r="AA476" s="792"/>
    </row>
    <row r="477" spans="1:27" ht="15.75" customHeight="1">
      <c r="A477" s="792"/>
      <c r="B477" s="792"/>
      <c r="C477" s="792"/>
      <c r="D477" s="792"/>
      <c r="E477" s="792"/>
      <c r="F477" s="792"/>
      <c r="G477" s="792"/>
      <c r="H477" s="792"/>
      <c r="I477" s="792"/>
      <c r="J477" s="792"/>
      <c r="K477" s="792"/>
      <c r="L477" s="792"/>
      <c r="M477" s="792"/>
      <c r="N477" s="792"/>
      <c r="O477" s="792"/>
      <c r="P477" s="792"/>
      <c r="Q477" s="1169"/>
      <c r="R477" s="792"/>
      <c r="S477" s="792"/>
      <c r="T477" s="792"/>
      <c r="U477" s="792"/>
      <c r="V477" s="793"/>
      <c r="W477" s="793"/>
      <c r="X477" s="792"/>
      <c r="Y477" s="792"/>
      <c r="Z477" s="792"/>
      <c r="AA477" s="792"/>
    </row>
    <row r="478" spans="1:27" ht="15.75" customHeight="1">
      <c r="A478" s="792"/>
      <c r="B478" s="792"/>
      <c r="C478" s="792"/>
      <c r="D478" s="792"/>
      <c r="E478" s="792"/>
      <c r="F478" s="792"/>
      <c r="G478" s="792"/>
      <c r="H478" s="792"/>
      <c r="I478" s="792"/>
      <c r="J478" s="792"/>
      <c r="K478" s="792"/>
      <c r="L478" s="792"/>
      <c r="M478" s="792"/>
      <c r="N478" s="792"/>
      <c r="O478" s="792"/>
      <c r="P478" s="792"/>
      <c r="Q478" s="1169"/>
      <c r="R478" s="792"/>
      <c r="S478" s="792"/>
      <c r="T478" s="792"/>
      <c r="U478" s="792"/>
      <c r="V478" s="793"/>
      <c r="W478" s="793"/>
      <c r="X478" s="792"/>
      <c r="Y478" s="792"/>
      <c r="Z478" s="792"/>
      <c r="AA478" s="792"/>
    </row>
    <row r="479" spans="1:27" ht="15.75" customHeight="1">
      <c r="A479" s="792"/>
      <c r="B479" s="792"/>
      <c r="C479" s="792"/>
      <c r="D479" s="792"/>
      <c r="E479" s="792"/>
      <c r="F479" s="792"/>
      <c r="G479" s="792"/>
      <c r="H479" s="792"/>
      <c r="I479" s="792"/>
      <c r="J479" s="792"/>
      <c r="K479" s="792"/>
      <c r="L479" s="792"/>
      <c r="M479" s="792"/>
      <c r="N479" s="792"/>
      <c r="O479" s="792"/>
      <c r="P479" s="792"/>
      <c r="Q479" s="1169"/>
      <c r="R479" s="792"/>
      <c r="S479" s="792"/>
      <c r="T479" s="792"/>
      <c r="U479" s="792"/>
      <c r="V479" s="793"/>
      <c r="W479" s="793"/>
      <c r="X479" s="792"/>
      <c r="Y479" s="792"/>
      <c r="Z479" s="792"/>
      <c r="AA479" s="792"/>
    </row>
    <row r="480" spans="1:27" ht="15.75" customHeight="1">
      <c r="A480" s="792"/>
      <c r="B480" s="792"/>
      <c r="C480" s="792"/>
      <c r="D480" s="792"/>
      <c r="E480" s="792"/>
      <c r="F480" s="792"/>
      <c r="G480" s="792"/>
      <c r="H480" s="792"/>
      <c r="I480" s="792"/>
      <c r="J480" s="792"/>
      <c r="K480" s="792"/>
      <c r="L480" s="792"/>
      <c r="M480" s="792"/>
      <c r="N480" s="792"/>
      <c r="O480" s="792"/>
      <c r="P480" s="792"/>
      <c r="Q480" s="1169"/>
      <c r="R480" s="792"/>
      <c r="S480" s="792"/>
      <c r="T480" s="792"/>
      <c r="U480" s="792"/>
      <c r="V480" s="793"/>
      <c r="W480" s="793"/>
      <c r="X480" s="792"/>
      <c r="Y480" s="792"/>
      <c r="Z480" s="792"/>
      <c r="AA480" s="792"/>
    </row>
    <row r="481" spans="1:27" ht="15.75" customHeight="1">
      <c r="A481" s="792"/>
      <c r="B481" s="792"/>
      <c r="C481" s="792"/>
      <c r="D481" s="792"/>
      <c r="E481" s="792"/>
      <c r="F481" s="792"/>
      <c r="G481" s="792"/>
      <c r="H481" s="792"/>
      <c r="I481" s="792"/>
      <c r="J481" s="792"/>
      <c r="K481" s="792"/>
      <c r="L481" s="792"/>
      <c r="M481" s="792"/>
      <c r="N481" s="792"/>
      <c r="O481" s="792"/>
      <c r="P481" s="792"/>
      <c r="Q481" s="1169"/>
      <c r="R481" s="792"/>
      <c r="S481" s="792"/>
      <c r="T481" s="792"/>
      <c r="U481" s="792"/>
      <c r="V481" s="793"/>
      <c r="W481" s="793"/>
      <c r="X481" s="792"/>
      <c r="Y481" s="792"/>
      <c r="Z481" s="792"/>
      <c r="AA481" s="792"/>
    </row>
    <row r="482" spans="1:27" ht="15.75" customHeight="1">
      <c r="A482" s="792"/>
      <c r="B482" s="792"/>
      <c r="C482" s="792"/>
      <c r="D482" s="792"/>
      <c r="E482" s="792"/>
      <c r="F482" s="792"/>
      <c r="G482" s="792"/>
      <c r="H482" s="792"/>
      <c r="I482" s="792"/>
      <c r="J482" s="792"/>
      <c r="K482" s="792"/>
      <c r="L482" s="792"/>
      <c r="M482" s="792"/>
      <c r="N482" s="792"/>
      <c r="O482" s="792"/>
      <c r="P482" s="792"/>
      <c r="Q482" s="1169"/>
      <c r="R482" s="792"/>
      <c r="S482" s="792"/>
      <c r="T482" s="792"/>
      <c r="U482" s="792"/>
      <c r="V482" s="793"/>
      <c r="W482" s="793"/>
      <c r="X482" s="792"/>
      <c r="Y482" s="792"/>
      <c r="Z482" s="792"/>
      <c r="AA482" s="792"/>
    </row>
    <row r="483" spans="1:27" ht="15.75" customHeight="1">
      <c r="A483" s="792"/>
      <c r="B483" s="792"/>
      <c r="C483" s="792"/>
      <c r="D483" s="792"/>
      <c r="E483" s="792"/>
      <c r="F483" s="792"/>
      <c r="G483" s="792"/>
      <c r="H483" s="792"/>
      <c r="I483" s="792"/>
      <c r="J483" s="792"/>
      <c r="K483" s="792"/>
      <c r="L483" s="792"/>
      <c r="M483" s="792"/>
      <c r="N483" s="792"/>
      <c r="O483" s="792"/>
      <c r="P483" s="792"/>
      <c r="Q483" s="1169"/>
      <c r="R483" s="792"/>
      <c r="S483" s="792"/>
      <c r="T483" s="792"/>
      <c r="U483" s="792"/>
      <c r="V483" s="793"/>
      <c r="W483" s="793"/>
      <c r="X483" s="792"/>
      <c r="Y483" s="792"/>
      <c r="Z483" s="792"/>
      <c r="AA483" s="792"/>
    </row>
    <row r="484" spans="1:27" ht="15.75" customHeight="1">
      <c r="A484" s="792"/>
      <c r="B484" s="792"/>
      <c r="C484" s="792"/>
      <c r="D484" s="792"/>
      <c r="E484" s="792"/>
      <c r="F484" s="792"/>
      <c r="G484" s="792"/>
      <c r="H484" s="792"/>
      <c r="I484" s="792"/>
      <c r="J484" s="792"/>
      <c r="K484" s="792"/>
      <c r="L484" s="792"/>
      <c r="M484" s="792"/>
      <c r="N484" s="792"/>
      <c r="O484" s="792"/>
      <c r="P484" s="792"/>
      <c r="Q484" s="1169"/>
      <c r="R484" s="792"/>
      <c r="S484" s="792"/>
      <c r="T484" s="792"/>
      <c r="U484" s="792"/>
      <c r="V484" s="793"/>
      <c r="W484" s="793"/>
      <c r="X484" s="792"/>
      <c r="Y484" s="792"/>
      <c r="Z484" s="792"/>
      <c r="AA484" s="792"/>
    </row>
    <row r="485" spans="1:27" ht="15.75" customHeight="1">
      <c r="A485" s="792"/>
      <c r="B485" s="792"/>
      <c r="C485" s="792"/>
      <c r="D485" s="792"/>
      <c r="E485" s="792"/>
      <c r="F485" s="792"/>
      <c r="G485" s="792"/>
      <c r="H485" s="792"/>
      <c r="I485" s="792"/>
      <c r="J485" s="792"/>
      <c r="K485" s="792"/>
      <c r="L485" s="792"/>
      <c r="M485" s="792"/>
      <c r="N485" s="792"/>
      <c r="O485" s="792"/>
      <c r="P485" s="792"/>
      <c r="Q485" s="1169"/>
      <c r="R485" s="792"/>
      <c r="S485" s="792"/>
      <c r="T485" s="792"/>
      <c r="U485" s="792"/>
      <c r="V485" s="793"/>
      <c r="W485" s="793"/>
      <c r="X485" s="792"/>
      <c r="Y485" s="792"/>
      <c r="Z485" s="792"/>
      <c r="AA485" s="792"/>
    </row>
    <row r="486" spans="1:27" ht="15.75" customHeight="1">
      <c r="A486" s="792"/>
      <c r="B486" s="792"/>
      <c r="C486" s="792"/>
      <c r="D486" s="792"/>
      <c r="E486" s="792"/>
      <c r="F486" s="792"/>
      <c r="G486" s="792"/>
      <c r="H486" s="792"/>
      <c r="I486" s="792"/>
      <c r="J486" s="792"/>
      <c r="K486" s="792"/>
      <c r="L486" s="792"/>
      <c r="M486" s="792"/>
      <c r="N486" s="792"/>
      <c r="O486" s="792"/>
      <c r="P486" s="792"/>
      <c r="Q486" s="1169"/>
      <c r="R486" s="792"/>
      <c r="S486" s="792"/>
      <c r="T486" s="792"/>
      <c r="U486" s="792"/>
      <c r="V486" s="793"/>
      <c r="W486" s="793"/>
      <c r="X486" s="792"/>
      <c r="Y486" s="792"/>
      <c r="Z486" s="792"/>
      <c r="AA486" s="792"/>
    </row>
    <row r="487" spans="1:27" ht="15.75" customHeight="1">
      <c r="A487" s="792"/>
      <c r="B487" s="792"/>
      <c r="C487" s="792"/>
      <c r="D487" s="792"/>
      <c r="E487" s="792"/>
      <c r="F487" s="792"/>
      <c r="G487" s="792"/>
      <c r="H487" s="792"/>
      <c r="I487" s="792"/>
      <c r="J487" s="792"/>
      <c r="K487" s="792"/>
      <c r="L487" s="792"/>
      <c r="M487" s="792"/>
      <c r="N487" s="792"/>
      <c r="O487" s="792"/>
      <c r="P487" s="792"/>
      <c r="Q487" s="1169"/>
      <c r="R487" s="792"/>
      <c r="S487" s="792"/>
      <c r="T487" s="792"/>
      <c r="U487" s="792"/>
      <c r="V487" s="793"/>
      <c r="W487" s="793"/>
      <c r="X487" s="792"/>
      <c r="Y487" s="792"/>
      <c r="Z487" s="792"/>
      <c r="AA487" s="792"/>
    </row>
    <row r="488" spans="1:27" ht="15.75" customHeight="1">
      <c r="A488" s="792"/>
      <c r="B488" s="792"/>
      <c r="C488" s="792"/>
      <c r="D488" s="792"/>
      <c r="E488" s="792"/>
      <c r="F488" s="792"/>
      <c r="G488" s="792"/>
      <c r="H488" s="792"/>
      <c r="I488" s="792"/>
      <c r="J488" s="792"/>
      <c r="K488" s="792"/>
      <c r="L488" s="792"/>
      <c r="M488" s="792"/>
      <c r="N488" s="792"/>
      <c r="O488" s="792"/>
      <c r="P488" s="792"/>
      <c r="Q488" s="1169"/>
      <c r="R488" s="792"/>
      <c r="S488" s="792"/>
      <c r="T488" s="792"/>
      <c r="U488" s="792"/>
      <c r="V488" s="793"/>
      <c r="W488" s="793"/>
      <c r="X488" s="792"/>
      <c r="Y488" s="792"/>
      <c r="Z488" s="792"/>
      <c r="AA488" s="792"/>
    </row>
    <row r="489" spans="1:27" ht="15.75" customHeight="1">
      <c r="A489" s="792"/>
      <c r="B489" s="792"/>
      <c r="C489" s="792"/>
      <c r="D489" s="792"/>
      <c r="E489" s="792"/>
      <c r="F489" s="792"/>
      <c r="G489" s="792"/>
      <c r="H489" s="792"/>
      <c r="I489" s="792"/>
      <c r="J489" s="792"/>
      <c r="K489" s="792"/>
      <c r="L489" s="792"/>
      <c r="M489" s="792"/>
      <c r="N489" s="792"/>
      <c r="O489" s="792"/>
      <c r="P489" s="792"/>
      <c r="Q489" s="1169"/>
      <c r="R489" s="792"/>
      <c r="S489" s="792"/>
      <c r="T489" s="792"/>
      <c r="U489" s="792"/>
      <c r="V489" s="793"/>
      <c r="W489" s="793"/>
      <c r="X489" s="792"/>
      <c r="Y489" s="792"/>
      <c r="Z489" s="792"/>
      <c r="AA489" s="792"/>
    </row>
    <row r="490" spans="1:27" ht="15.75" customHeight="1">
      <c r="A490" s="792"/>
      <c r="B490" s="792"/>
      <c r="C490" s="792"/>
      <c r="D490" s="792"/>
      <c r="E490" s="792"/>
      <c r="F490" s="792"/>
      <c r="G490" s="792"/>
      <c r="H490" s="792"/>
      <c r="I490" s="792"/>
      <c r="J490" s="792"/>
      <c r="K490" s="792"/>
      <c r="L490" s="792"/>
      <c r="M490" s="792"/>
      <c r="N490" s="792"/>
      <c r="O490" s="792"/>
      <c r="P490" s="792"/>
      <c r="Q490" s="1169"/>
      <c r="R490" s="792"/>
      <c r="S490" s="792"/>
      <c r="T490" s="792"/>
      <c r="U490" s="792"/>
      <c r="V490" s="793"/>
      <c r="W490" s="793"/>
      <c r="X490" s="792"/>
      <c r="Y490" s="792"/>
      <c r="Z490" s="792"/>
      <c r="AA490" s="792"/>
    </row>
    <row r="491" spans="1:27" ht="15.75" customHeight="1">
      <c r="A491" s="792"/>
      <c r="B491" s="792"/>
      <c r="C491" s="792"/>
      <c r="D491" s="792"/>
      <c r="E491" s="792"/>
      <c r="F491" s="792"/>
      <c r="G491" s="792"/>
      <c r="H491" s="792"/>
      <c r="I491" s="792"/>
      <c r="J491" s="792"/>
      <c r="K491" s="792"/>
      <c r="L491" s="792"/>
      <c r="M491" s="792"/>
      <c r="N491" s="792"/>
      <c r="O491" s="792"/>
      <c r="P491" s="792"/>
      <c r="Q491" s="1169"/>
      <c r="R491" s="792"/>
      <c r="S491" s="792"/>
      <c r="T491" s="792"/>
      <c r="U491" s="792"/>
      <c r="V491" s="793"/>
      <c r="W491" s="793"/>
      <c r="X491" s="792"/>
      <c r="Y491" s="792"/>
      <c r="Z491" s="792"/>
      <c r="AA491" s="792"/>
    </row>
    <row r="492" spans="1:27" ht="15.75" customHeight="1">
      <c r="A492" s="792"/>
      <c r="B492" s="792"/>
      <c r="C492" s="792"/>
      <c r="D492" s="792"/>
      <c r="E492" s="792"/>
      <c r="F492" s="792"/>
      <c r="G492" s="792"/>
      <c r="H492" s="792"/>
      <c r="I492" s="792"/>
      <c r="J492" s="792"/>
      <c r="K492" s="792"/>
      <c r="L492" s="792"/>
      <c r="M492" s="792"/>
      <c r="N492" s="792"/>
      <c r="O492" s="792"/>
      <c r="P492" s="792"/>
      <c r="Q492" s="1169"/>
      <c r="R492" s="792"/>
      <c r="S492" s="792"/>
      <c r="T492" s="792"/>
      <c r="U492" s="792"/>
      <c r="V492" s="793"/>
      <c r="W492" s="793"/>
      <c r="X492" s="792"/>
      <c r="Y492" s="792"/>
      <c r="Z492" s="792"/>
      <c r="AA492" s="792"/>
    </row>
    <row r="493" spans="1:27" ht="15.75" customHeight="1">
      <c r="A493" s="792"/>
      <c r="B493" s="792"/>
      <c r="C493" s="792"/>
      <c r="D493" s="792"/>
      <c r="E493" s="792"/>
      <c r="F493" s="792"/>
      <c r="G493" s="792"/>
      <c r="H493" s="792"/>
      <c r="I493" s="792"/>
      <c r="J493" s="792"/>
      <c r="K493" s="792"/>
      <c r="L493" s="792"/>
      <c r="M493" s="792"/>
      <c r="N493" s="792"/>
      <c r="O493" s="792"/>
      <c r="P493" s="792"/>
      <c r="Q493" s="1169"/>
      <c r="R493" s="792"/>
      <c r="S493" s="792"/>
      <c r="T493" s="792"/>
      <c r="U493" s="792"/>
      <c r="V493" s="793"/>
      <c r="W493" s="793"/>
      <c r="X493" s="792"/>
      <c r="Y493" s="792"/>
      <c r="Z493" s="792"/>
      <c r="AA493" s="792"/>
    </row>
    <row r="494" spans="1:27" ht="15.75" customHeight="1">
      <c r="A494" s="792"/>
      <c r="B494" s="792"/>
      <c r="C494" s="792"/>
      <c r="D494" s="792"/>
      <c r="E494" s="792"/>
      <c r="F494" s="792"/>
      <c r="G494" s="792"/>
      <c r="H494" s="792"/>
      <c r="I494" s="792"/>
      <c r="J494" s="792"/>
      <c r="K494" s="792"/>
      <c r="L494" s="792"/>
      <c r="M494" s="792"/>
      <c r="N494" s="792"/>
      <c r="O494" s="792"/>
      <c r="P494" s="792"/>
      <c r="Q494" s="1169"/>
      <c r="R494" s="792"/>
      <c r="S494" s="792"/>
      <c r="T494" s="792"/>
      <c r="U494" s="792"/>
      <c r="V494" s="793"/>
      <c r="W494" s="793"/>
      <c r="X494" s="792"/>
      <c r="Y494" s="792"/>
      <c r="Z494" s="792"/>
      <c r="AA494" s="792"/>
    </row>
    <row r="495" spans="1:27" ht="15.75" customHeight="1">
      <c r="A495" s="792"/>
      <c r="B495" s="792"/>
      <c r="C495" s="792"/>
      <c r="D495" s="792"/>
      <c r="E495" s="792"/>
      <c r="F495" s="792"/>
      <c r="G495" s="792"/>
      <c r="H495" s="792"/>
      <c r="I495" s="792"/>
      <c r="J495" s="792"/>
      <c r="K495" s="792"/>
      <c r="L495" s="792"/>
      <c r="M495" s="792"/>
      <c r="N495" s="792"/>
      <c r="O495" s="792"/>
      <c r="P495" s="792"/>
      <c r="Q495" s="1169"/>
      <c r="R495" s="792"/>
      <c r="S495" s="792"/>
      <c r="T495" s="792"/>
      <c r="U495" s="792"/>
      <c r="V495" s="793"/>
      <c r="W495" s="793"/>
      <c r="X495" s="792"/>
      <c r="Y495" s="792"/>
      <c r="Z495" s="792"/>
      <c r="AA495" s="792"/>
    </row>
    <row r="496" spans="1:27" ht="15.75" customHeight="1">
      <c r="A496" s="792"/>
      <c r="B496" s="792"/>
      <c r="C496" s="792"/>
      <c r="D496" s="792"/>
      <c r="E496" s="792"/>
      <c r="F496" s="792"/>
      <c r="G496" s="792"/>
      <c r="H496" s="792"/>
      <c r="I496" s="792"/>
      <c r="J496" s="792"/>
      <c r="K496" s="792"/>
      <c r="L496" s="792"/>
      <c r="M496" s="792"/>
      <c r="N496" s="792"/>
      <c r="O496" s="792"/>
      <c r="P496" s="792"/>
      <c r="Q496" s="1169"/>
      <c r="R496" s="792"/>
      <c r="S496" s="792"/>
      <c r="T496" s="792"/>
      <c r="U496" s="792"/>
      <c r="V496" s="793"/>
      <c r="W496" s="793"/>
      <c r="X496" s="792"/>
      <c r="Y496" s="792"/>
      <c r="Z496" s="792"/>
      <c r="AA496" s="792"/>
    </row>
    <row r="497" spans="1:27" ht="15.75" customHeight="1">
      <c r="A497" s="792"/>
      <c r="B497" s="792"/>
      <c r="C497" s="792"/>
      <c r="D497" s="792"/>
      <c r="E497" s="792"/>
      <c r="F497" s="792"/>
      <c r="G497" s="792"/>
      <c r="H497" s="792"/>
      <c r="I497" s="792"/>
      <c r="J497" s="792"/>
      <c r="K497" s="792"/>
      <c r="L497" s="792"/>
      <c r="M497" s="792"/>
      <c r="N497" s="792"/>
      <c r="O497" s="792"/>
      <c r="P497" s="792"/>
      <c r="Q497" s="1169"/>
      <c r="R497" s="792"/>
      <c r="S497" s="792"/>
      <c r="T497" s="792"/>
      <c r="U497" s="792"/>
      <c r="V497" s="793"/>
      <c r="W497" s="793"/>
      <c r="X497" s="792"/>
      <c r="Y497" s="792"/>
      <c r="Z497" s="792"/>
      <c r="AA497" s="792"/>
    </row>
    <row r="498" spans="1:27" ht="15.75" customHeight="1">
      <c r="A498" s="792"/>
      <c r="B498" s="792"/>
      <c r="C498" s="792"/>
      <c r="D498" s="792"/>
      <c r="E498" s="792"/>
      <c r="F498" s="792"/>
      <c r="G498" s="792"/>
      <c r="H498" s="792"/>
      <c r="I498" s="792"/>
      <c r="J498" s="792"/>
      <c r="K498" s="792"/>
      <c r="L498" s="792"/>
      <c r="M498" s="792"/>
      <c r="N498" s="792"/>
      <c r="O498" s="792"/>
      <c r="P498" s="792"/>
      <c r="Q498" s="1169"/>
      <c r="R498" s="792"/>
      <c r="S498" s="792"/>
      <c r="T498" s="792"/>
      <c r="U498" s="792"/>
      <c r="V498" s="793"/>
      <c r="W498" s="793"/>
      <c r="X498" s="792"/>
      <c r="Y498" s="792"/>
      <c r="Z498" s="792"/>
      <c r="AA498" s="792"/>
    </row>
    <row r="499" spans="1:27" ht="15.75" customHeight="1">
      <c r="A499" s="792"/>
      <c r="B499" s="792"/>
      <c r="C499" s="792"/>
      <c r="D499" s="792"/>
      <c r="E499" s="792"/>
      <c r="F499" s="792"/>
      <c r="G499" s="792"/>
      <c r="H499" s="792"/>
      <c r="I499" s="792"/>
      <c r="J499" s="792"/>
      <c r="K499" s="792"/>
      <c r="L499" s="792"/>
      <c r="M499" s="792"/>
      <c r="N499" s="792"/>
      <c r="O499" s="792"/>
      <c r="P499" s="792"/>
      <c r="Q499" s="1169"/>
      <c r="R499" s="792"/>
      <c r="S499" s="792"/>
      <c r="T499" s="792"/>
      <c r="U499" s="792"/>
      <c r="V499" s="793"/>
      <c r="W499" s="793"/>
      <c r="X499" s="792"/>
      <c r="Y499" s="792"/>
      <c r="Z499" s="792"/>
      <c r="AA499" s="792"/>
    </row>
    <row r="500" spans="1:27" ht="15.75" customHeight="1">
      <c r="A500" s="792"/>
      <c r="B500" s="792"/>
      <c r="C500" s="792"/>
      <c r="D500" s="792"/>
      <c r="E500" s="792"/>
      <c r="F500" s="792"/>
      <c r="G500" s="792"/>
      <c r="H500" s="792"/>
      <c r="I500" s="792"/>
      <c r="J500" s="792"/>
      <c r="K500" s="792"/>
      <c r="L500" s="792"/>
      <c r="M500" s="792"/>
      <c r="N500" s="792"/>
      <c r="O500" s="792"/>
      <c r="P500" s="792"/>
      <c r="Q500" s="1169"/>
      <c r="R500" s="792"/>
      <c r="S500" s="792"/>
      <c r="T500" s="792"/>
      <c r="U500" s="792"/>
      <c r="V500" s="793"/>
      <c r="W500" s="793"/>
      <c r="X500" s="792"/>
      <c r="Y500" s="792"/>
      <c r="Z500" s="792"/>
      <c r="AA500" s="792"/>
    </row>
    <row r="501" spans="1:27" ht="15.75" customHeight="1">
      <c r="A501" s="792"/>
      <c r="B501" s="792"/>
      <c r="C501" s="792"/>
      <c r="D501" s="792"/>
      <c r="E501" s="792"/>
      <c r="F501" s="792"/>
      <c r="G501" s="792"/>
      <c r="H501" s="792"/>
      <c r="I501" s="792"/>
      <c r="J501" s="792"/>
      <c r="K501" s="792"/>
      <c r="L501" s="792"/>
      <c r="M501" s="792"/>
      <c r="N501" s="792"/>
      <c r="O501" s="792"/>
      <c r="P501" s="792"/>
      <c r="Q501" s="1169"/>
      <c r="R501" s="792"/>
      <c r="S501" s="792"/>
      <c r="T501" s="792"/>
      <c r="U501" s="792"/>
      <c r="V501" s="793"/>
      <c r="W501" s="793"/>
      <c r="X501" s="792"/>
      <c r="Y501" s="792"/>
      <c r="Z501" s="792"/>
      <c r="AA501" s="792"/>
    </row>
    <row r="502" spans="1:27" ht="15.75" customHeight="1">
      <c r="A502" s="792"/>
      <c r="B502" s="792"/>
      <c r="C502" s="792"/>
      <c r="D502" s="792"/>
      <c r="E502" s="792"/>
      <c r="F502" s="792"/>
      <c r="G502" s="792"/>
      <c r="H502" s="792"/>
      <c r="I502" s="792"/>
      <c r="J502" s="792"/>
      <c r="K502" s="792"/>
      <c r="L502" s="792"/>
      <c r="M502" s="792"/>
      <c r="N502" s="792"/>
      <c r="O502" s="792"/>
      <c r="P502" s="792"/>
      <c r="Q502" s="1169"/>
      <c r="R502" s="792"/>
      <c r="S502" s="792"/>
      <c r="T502" s="792"/>
      <c r="U502" s="792"/>
      <c r="V502" s="793"/>
      <c r="W502" s="793"/>
      <c r="X502" s="792"/>
      <c r="Y502" s="792"/>
      <c r="Z502" s="792"/>
      <c r="AA502" s="792"/>
    </row>
    <row r="503" spans="1:27" ht="15.75" customHeight="1">
      <c r="A503" s="792"/>
      <c r="B503" s="792"/>
      <c r="C503" s="792"/>
      <c r="D503" s="792"/>
      <c r="E503" s="792"/>
      <c r="F503" s="792"/>
      <c r="G503" s="792"/>
      <c r="H503" s="792"/>
      <c r="I503" s="792"/>
      <c r="J503" s="792"/>
      <c r="K503" s="792"/>
      <c r="L503" s="792"/>
      <c r="M503" s="792"/>
      <c r="N503" s="792"/>
      <c r="O503" s="792"/>
      <c r="P503" s="792"/>
      <c r="Q503" s="1169"/>
      <c r="R503" s="792"/>
      <c r="S503" s="792"/>
      <c r="T503" s="792"/>
      <c r="U503" s="792"/>
      <c r="V503" s="793"/>
      <c r="W503" s="793"/>
      <c r="X503" s="792"/>
      <c r="Y503" s="792"/>
      <c r="Z503" s="792"/>
      <c r="AA503" s="792"/>
    </row>
    <row r="504" spans="1:27" ht="15.75" customHeight="1">
      <c r="A504" s="792"/>
      <c r="B504" s="792"/>
      <c r="C504" s="792"/>
      <c r="D504" s="792"/>
      <c r="E504" s="792"/>
      <c r="F504" s="792"/>
      <c r="G504" s="792"/>
      <c r="H504" s="792"/>
      <c r="I504" s="792"/>
      <c r="J504" s="792"/>
      <c r="K504" s="792"/>
      <c r="L504" s="792"/>
      <c r="M504" s="792"/>
      <c r="N504" s="792"/>
      <c r="O504" s="792"/>
      <c r="P504" s="792"/>
      <c r="Q504" s="1169"/>
      <c r="R504" s="792"/>
      <c r="S504" s="792"/>
      <c r="T504" s="792"/>
      <c r="U504" s="792"/>
      <c r="V504" s="793"/>
      <c r="W504" s="793"/>
      <c r="X504" s="792"/>
      <c r="Y504" s="792"/>
      <c r="Z504" s="792"/>
      <c r="AA504" s="792"/>
    </row>
    <row r="505" spans="1:27" ht="15.75" customHeight="1">
      <c r="A505" s="792"/>
      <c r="B505" s="792"/>
      <c r="C505" s="792"/>
      <c r="D505" s="792"/>
      <c r="E505" s="792"/>
      <c r="F505" s="792"/>
      <c r="G505" s="792"/>
      <c r="H505" s="792"/>
      <c r="I505" s="792"/>
      <c r="J505" s="792"/>
      <c r="K505" s="792"/>
      <c r="L505" s="792"/>
      <c r="M505" s="792"/>
      <c r="N505" s="792"/>
      <c r="O505" s="792"/>
      <c r="P505" s="792"/>
      <c r="Q505" s="1169"/>
      <c r="R505" s="792"/>
      <c r="S505" s="792"/>
      <c r="T505" s="792"/>
      <c r="U505" s="792"/>
      <c r="V505" s="793"/>
      <c r="W505" s="793"/>
      <c r="X505" s="792"/>
      <c r="Y505" s="792"/>
      <c r="Z505" s="792"/>
      <c r="AA505" s="792"/>
    </row>
    <row r="506" spans="1:27" ht="15.75" customHeight="1">
      <c r="A506" s="792"/>
      <c r="B506" s="792"/>
      <c r="C506" s="792"/>
      <c r="D506" s="792"/>
      <c r="E506" s="792"/>
      <c r="F506" s="792"/>
      <c r="G506" s="792"/>
      <c r="H506" s="792"/>
      <c r="I506" s="792"/>
      <c r="J506" s="792"/>
      <c r="K506" s="792"/>
      <c r="L506" s="792"/>
      <c r="M506" s="792"/>
      <c r="N506" s="792"/>
      <c r="O506" s="792"/>
      <c r="P506" s="792"/>
      <c r="Q506" s="1169"/>
      <c r="R506" s="792"/>
      <c r="S506" s="792"/>
      <c r="T506" s="792"/>
      <c r="U506" s="792"/>
      <c r="V506" s="793"/>
      <c r="W506" s="793"/>
      <c r="X506" s="792"/>
      <c r="Y506" s="792"/>
      <c r="Z506" s="792"/>
      <c r="AA506" s="792"/>
    </row>
    <row r="507" spans="1:27" ht="15.75" customHeight="1">
      <c r="A507" s="792"/>
      <c r="B507" s="792"/>
      <c r="C507" s="792"/>
      <c r="D507" s="792"/>
      <c r="E507" s="792"/>
      <c r="F507" s="792"/>
      <c r="G507" s="792"/>
      <c r="H507" s="792"/>
      <c r="I507" s="792"/>
      <c r="J507" s="792"/>
      <c r="K507" s="792"/>
      <c r="L507" s="792"/>
      <c r="M507" s="792"/>
      <c r="N507" s="792"/>
      <c r="O507" s="792"/>
      <c r="P507" s="792"/>
      <c r="Q507" s="1169"/>
      <c r="R507" s="792"/>
      <c r="S507" s="792"/>
      <c r="T507" s="792"/>
      <c r="U507" s="792"/>
      <c r="V507" s="793"/>
      <c r="W507" s="793"/>
      <c r="X507" s="792"/>
      <c r="Y507" s="792"/>
      <c r="Z507" s="792"/>
      <c r="AA507" s="792"/>
    </row>
    <row r="508" spans="1:27" ht="15.75" customHeight="1">
      <c r="A508" s="792"/>
      <c r="B508" s="792"/>
      <c r="C508" s="792"/>
      <c r="D508" s="792"/>
      <c r="E508" s="792"/>
      <c r="F508" s="792"/>
      <c r="G508" s="792"/>
      <c r="H508" s="792"/>
      <c r="I508" s="792"/>
      <c r="J508" s="792"/>
      <c r="K508" s="792"/>
      <c r="L508" s="792"/>
      <c r="M508" s="792"/>
      <c r="N508" s="792"/>
      <c r="O508" s="792"/>
      <c r="P508" s="792"/>
      <c r="Q508" s="1169"/>
      <c r="R508" s="792"/>
      <c r="S508" s="792"/>
      <c r="T508" s="792"/>
      <c r="U508" s="792"/>
      <c r="V508" s="793"/>
      <c r="W508" s="793"/>
      <c r="X508" s="792"/>
      <c r="Y508" s="792"/>
      <c r="Z508" s="792"/>
      <c r="AA508" s="792"/>
    </row>
    <row r="509" spans="1:27" ht="15.75" customHeight="1">
      <c r="A509" s="792"/>
      <c r="B509" s="792"/>
      <c r="C509" s="792"/>
      <c r="D509" s="792"/>
      <c r="E509" s="792"/>
      <c r="F509" s="792"/>
      <c r="G509" s="792"/>
      <c r="H509" s="792"/>
      <c r="I509" s="792"/>
      <c r="J509" s="792"/>
      <c r="K509" s="792"/>
      <c r="L509" s="792"/>
      <c r="M509" s="792"/>
      <c r="N509" s="792"/>
      <c r="O509" s="792"/>
      <c r="P509" s="792"/>
      <c r="Q509" s="1169"/>
      <c r="R509" s="792"/>
      <c r="S509" s="792"/>
      <c r="T509" s="792"/>
      <c r="U509" s="792"/>
      <c r="V509" s="793"/>
      <c r="W509" s="793"/>
      <c r="X509" s="792"/>
      <c r="Y509" s="792"/>
      <c r="Z509" s="792"/>
      <c r="AA509" s="792"/>
    </row>
    <row r="510" spans="1:27" ht="15.75" customHeight="1">
      <c r="A510" s="792"/>
      <c r="B510" s="792"/>
      <c r="C510" s="792"/>
      <c r="D510" s="792"/>
      <c r="E510" s="792"/>
      <c r="F510" s="792"/>
      <c r="G510" s="792"/>
      <c r="H510" s="792"/>
      <c r="I510" s="792"/>
      <c r="J510" s="792"/>
      <c r="K510" s="792"/>
      <c r="L510" s="792"/>
      <c r="M510" s="792"/>
      <c r="N510" s="792"/>
      <c r="O510" s="792"/>
      <c r="P510" s="792"/>
      <c r="Q510" s="1169"/>
      <c r="R510" s="792"/>
      <c r="S510" s="792"/>
      <c r="T510" s="792"/>
      <c r="U510" s="792"/>
      <c r="V510" s="793"/>
      <c r="W510" s="793"/>
      <c r="X510" s="792"/>
      <c r="Y510" s="792"/>
      <c r="Z510" s="792"/>
      <c r="AA510" s="792"/>
    </row>
    <row r="511" spans="1:27" ht="15.75" customHeight="1">
      <c r="A511" s="792"/>
      <c r="B511" s="792"/>
      <c r="C511" s="792"/>
      <c r="D511" s="792"/>
      <c r="E511" s="792"/>
      <c r="F511" s="792"/>
      <c r="G511" s="792"/>
      <c r="H511" s="792"/>
      <c r="I511" s="792"/>
      <c r="J511" s="792"/>
      <c r="K511" s="792"/>
      <c r="L511" s="792"/>
      <c r="M511" s="792"/>
      <c r="N511" s="792"/>
      <c r="O511" s="792"/>
      <c r="P511" s="792"/>
      <c r="Q511" s="1169"/>
      <c r="R511" s="792"/>
      <c r="S511" s="792"/>
      <c r="T511" s="792"/>
      <c r="U511" s="792"/>
      <c r="V511" s="793"/>
      <c r="W511" s="793"/>
      <c r="X511" s="792"/>
      <c r="Y511" s="792"/>
      <c r="Z511" s="792"/>
      <c r="AA511" s="792"/>
    </row>
    <row r="512" spans="1:27" ht="15.75" customHeight="1">
      <c r="A512" s="792"/>
      <c r="B512" s="792"/>
      <c r="C512" s="792"/>
      <c r="D512" s="792"/>
      <c r="E512" s="792"/>
      <c r="F512" s="792"/>
      <c r="G512" s="792"/>
      <c r="H512" s="792"/>
      <c r="I512" s="792"/>
      <c r="J512" s="792"/>
      <c r="K512" s="792"/>
      <c r="L512" s="792"/>
      <c r="M512" s="792"/>
      <c r="N512" s="792"/>
      <c r="O512" s="792"/>
      <c r="P512" s="792"/>
      <c r="Q512" s="1169"/>
      <c r="R512" s="792"/>
      <c r="S512" s="792"/>
      <c r="T512" s="792"/>
      <c r="U512" s="792"/>
      <c r="V512" s="793"/>
      <c r="W512" s="793"/>
      <c r="X512" s="792"/>
      <c r="Y512" s="792"/>
      <c r="Z512" s="792"/>
      <c r="AA512" s="792"/>
    </row>
    <row r="513" spans="1:27" ht="15.75" customHeight="1">
      <c r="A513" s="792"/>
      <c r="B513" s="792"/>
      <c r="C513" s="792"/>
      <c r="D513" s="792"/>
      <c r="E513" s="792"/>
      <c r="F513" s="792"/>
      <c r="G513" s="792"/>
      <c r="H513" s="792"/>
      <c r="I513" s="792"/>
      <c r="J513" s="792"/>
      <c r="K513" s="792"/>
      <c r="L513" s="792"/>
      <c r="M513" s="792"/>
      <c r="N513" s="792"/>
      <c r="O513" s="792"/>
      <c r="P513" s="792"/>
      <c r="Q513" s="1169"/>
      <c r="R513" s="792"/>
      <c r="S513" s="792"/>
      <c r="T513" s="792"/>
      <c r="U513" s="792"/>
      <c r="V513" s="793"/>
      <c r="W513" s="793"/>
      <c r="X513" s="792"/>
      <c r="Y513" s="792"/>
      <c r="Z513" s="792"/>
      <c r="AA513" s="792"/>
    </row>
    <row r="514" spans="1:27" ht="15.75" customHeight="1">
      <c r="A514" s="792"/>
      <c r="B514" s="792"/>
      <c r="C514" s="792"/>
      <c r="D514" s="792"/>
      <c r="E514" s="792"/>
      <c r="F514" s="792"/>
      <c r="G514" s="792"/>
      <c r="H514" s="792"/>
      <c r="I514" s="792"/>
      <c r="J514" s="792"/>
      <c r="K514" s="792"/>
      <c r="L514" s="792"/>
      <c r="M514" s="792"/>
      <c r="N514" s="792"/>
      <c r="O514" s="792"/>
      <c r="P514" s="792"/>
      <c r="Q514" s="1169"/>
      <c r="R514" s="792"/>
      <c r="S514" s="792"/>
      <c r="T514" s="792"/>
      <c r="U514" s="792"/>
      <c r="V514" s="793"/>
      <c r="W514" s="793"/>
      <c r="X514" s="792"/>
      <c r="Y514" s="792"/>
      <c r="Z514" s="792"/>
      <c r="AA514" s="792"/>
    </row>
    <row r="515" spans="1:27" ht="15.75" customHeight="1">
      <c r="A515" s="792"/>
      <c r="B515" s="792"/>
      <c r="C515" s="792"/>
      <c r="D515" s="792"/>
      <c r="E515" s="792"/>
      <c r="F515" s="792"/>
      <c r="G515" s="792"/>
      <c r="H515" s="792"/>
      <c r="I515" s="792"/>
      <c r="J515" s="792"/>
      <c r="K515" s="792"/>
      <c r="L515" s="792"/>
      <c r="M515" s="792"/>
      <c r="N515" s="792"/>
      <c r="O515" s="792"/>
      <c r="P515" s="792"/>
      <c r="Q515" s="1169"/>
      <c r="R515" s="792"/>
      <c r="S515" s="792"/>
      <c r="T515" s="792"/>
      <c r="U515" s="792"/>
      <c r="V515" s="793"/>
      <c r="W515" s="793"/>
      <c r="X515" s="792"/>
      <c r="Y515" s="792"/>
      <c r="Z515" s="792"/>
      <c r="AA515" s="792"/>
    </row>
    <row r="516" spans="1:27" ht="15.75" customHeight="1">
      <c r="A516" s="792"/>
      <c r="B516" s="792"/>
      <c r="C516" s="792"/>
      <c r="D516" s="792"/>
      <c r="E516" s="792"/>
      <c r="F516" s="792"/>
      <c r="G516" s="792"/>
      <c r="H516" s="792"/>
      <c r="I516" s="792"/>
      <c r="J516" s="792"/>
      <c r="K516" s="792"/>
      <c r="L516" s="792"/>
      <c r="M516" s="792"/>
      <c r="N516" s="792"/>
      <c r="O516" s="792"/>
      <c r="P516" s="792"/>
      <c r="Q516" s="1169"/>
      <c r="R516" s="792"/>
      <c r="S516" s="792"/>
      <c r="T516" s="792"/>
      <c r="U516" s="792"/>
      <c r="V516" s="793"/>
      <c r="W516" s="793"/>
      <c r="X516" s="792"/>
      <c r="Y516" s="792"/>
      <c r="Z516" s="792"/>
      <c r="AA516" s="792"/>
    </row>
    <row r="517" spans="1:27" ht="15.75" customHeight="1">
      <c r="A517" s="792"/>
      <c r="B517" s="792"/>
      <c r="C517" s="792"/>
      <c r="D517" s="792"/>
      <c r="E517" s="792"/>
      <c r="F517" s="792"/>
      <c r="G517" s="792"/>
      <c r="H517" s="792"/>
      <c r="I517" s="792"/>
      <c r="J517" s="792"/>
      <c r="K517" s="792"/>
      <c r="L517" s="792"/>
      <c r="M517" s="792"/>
      <c r="N517" s="792"/>
      <c r="O517" s="792"/>
      <c r="P517" s="792"/>
      <c r="Q517" s="1169"/>
      <c r="R517" s="792"/>
      <c r="S517" s="792"/>
      <c r="T517" s="792"/>
      <c r="U517" s="792"/>
      <c r="V517" s="793"/>
      <c r="W517" s="793"/>
      <c r="X517" s="792"/>
      <c r="Y517" s="792"/>
      <c r="Z517" s="792"/>
      <c r="AA517" s="792"/>
    </row>
    <row r="518" spans="1:27" ht="15.75" customHeight="1">
      <c r="A518" s="792"/>
      <c r="B518" s="792"/>
      <c r="C518" s="792"/>
      <c r="D518" s="792"/>
      <c r="E518" s="792"/>
      <c r="F518" s="792"/>
      <c r="G518" s="792"/>
      <c r="H518" s="792"/>
      <c r="I518" s="792"/>
      <c r="J518" s="792"/>
      <c r="K518" s="792"/>
      <c r="L518" s="792"/>
      <c r="M518" s="792"/>
      <c r="N518" s="792"/>
      <c r="O518" s="792"/>
      <c r="P518" s="792"/>
      <c r="Q518" s="1169"/>
      <c r="R518" s="792"/>
      <c r="S518" s="792"/>
      <c r="T518" s="792"/>
      <c r="U518" s="792"/>
      <c r="V518" s="793"/>
      <c r="W518" s="793"/>
      <c r="X518" s="792"/>
      <c r="Y518" s="792"/>
      <c r="Z518" s="792"/>
      <c r="AA518" s="792"/>
    </row>
    <row r="519" spans="1:27" ht="15.75" customHeight="1">
      <c r="A519" s="792"/>
      <c r="B519" s="792"/>
      <c r="C519" s="792"/>
      <c r="D519" s="792"/>
      <c r="E519" s="792"/>
      <c r="F519" s="792"/>
      <c r="G519" s="792"/>
      <c r="H519" s="792"/>
      <c r="I519" s="792"/>
      <c r="J519" s="792"/>
      <c r="K519" s="792"/>
      <c r="L519" s="792"/>
      <c r="M519" s="792"/>
      <c r="N519" s="792"/>
      <c r="O519" s="792"/>
      <c r="P519" s="792"/>
      <c r="Q519" s="1169"/>
      <c r="R519" s="792"/>
      <c r="S519" s="792"/>
      <c r="T519" s="792"/>
      <c r="U519" s="792"/>
      <c r="V519" s="793"/>
      <c r="W519" s="793"/>
      <c r="X519" s="792"/>
      <c r="Y519" s="792"/>
      <c r="Z519" s="792"/>
      <c r="AA519" s="792"/>
    </row>
    <row r="520" spans="1:27" ht="15.75" customHeight="1">
      <c r="A520" s="792"/>
      <c r="B520" s="792"/>
      <c r="C520" s="792"/>
      <c r="D520" s="792"/>
      <c r="E520" s="792"/>
      <c r="F520" s="792"/>
      <c r="G520" s="792"/>
      <c r="H520" s="792"/>
      <c r="I520" s="792"/>
      <c r="J520" s="792"/>
      <c r="K520" s="792"/>
      <c r="L520" s="792"/>
      <c r="M520" s="792"/>
      <c r="N520" s="792"/>
      <c r="O520" s="792"/>
      <c r="P520" s="792"/>
      <c r="Q520" s="1169"/>
      <c r="R520" s="792"/>
      <c r="S520" s="792"/>
      <c r="T520" s="792"/>
      <c r="U520" s="792"/>
      <c r="V520" s="793"/>
      <c r="W520" s="793"/>
      <c r="X520" s="792"/>
      <c r="Y520" s="792"/>
      <c r="Z520" s="792"/>
      <c r="AA520" s="792"/>
    </row>
    <row r="521" spans="1:27" ht="15.75" customHeight="1">
      <c r="A521" s="792"/>
      <c r="B521" s="792"/>
      <c r="C521" s="792"/>
      <c r="D521" s="792"/>
      <c r="E521" s="792"/>
      <c r="F521" s="792"/>
      <c r="G521" s="792"/>
      <c r="H521" s="792"/>
      <c r="I521" s="792"/>
      <c r="J521" s="792"/>
      <c r="K521" s="792"/>
      <c r="L521" s="792"/>
      <c r="M521" s="792"/>
      <c r="N521" s="792"/>
      <c r="O521" s="792"/>
      <c r="P521" s="792"/>
      <c r="Q521" s="1169"/>
      <c r="R521" s="792"/>
      <c r="S521" s="792"/>
      <c r="T521" s="792"/>
      <c r="U521" s="792"/>
      <c r="V521" s="793"/>
      <c r="W521" s="793"/>
      <c r="X521" s="792"/>
      <c r="Y521" s="792"/>
      <c r="Z521" s="792"/>
      <c r="AA521" s="792"/>
    </row>
    <row r="522" spans="1:27" ht="15.75" customHeight="1">
      <c r="A522" s="792"/>
      <c r="B522" s="792"/>
      <c r="C522" s="792"/>
      <c r="D522" s="792"/>
      <c r="E522" s="792"/>
      <c r="F522" s="792"/>
      <c r="G522" s="792"/>
      <c r="H522" s="792"/>
      <c r="I522" s="792"/>
      <c r="J522" s="792"/>
      <c r="K522" s="792"/>
      <c r="L522" s="792"/>
      <c r="M522" s="792"/>
      <c r="N522" s="792"/>
      <c r="O522" s="792"/>
      <c r="P522" s="792"/>
      <c r="Q522" s="1169"/>
      <c r="R522" s="792"/>
      <c r="S522" s="792"/>
      <c r="T522" s="792"/>
      <c r="U522" s="792"/>
      <c r="V522" s="793"/>
      <c r="W522" s="793"/>
      <c r="X522" s="792"/>
      <c r="Y522" s="792"/>
      <c r="Z522" s="792"/>
      <c r="AA522" s="792"/>
    </row>
    <row r="523" spans="1:27" ht="15.75" customHeight="1">
      <c r="A523" s="792"/>
      <c r="B523" s="792"/>
      <c r="C523" s="792"/>
      <c r="D523" s="792"/>
      <c r="E523" s="792"/>
      <c r="F523" s="792"/>
      <c r="G523" s="792"/>
      <c r="H523" s="792"/>
      <c r="I523" s="792"/>
      <c r="J523" s="792"/>
      <c r="K523" s="792"/>
      <c r="L523" s="792"/>
      <c r="M523" s="792"/>
      <c r="N523" s="792"/>
      <c r="O523" s="792"/>
      <c r="P523" s="792"/>
      <c r="Q523" s="1169"/>
      <c r="R523" s="792"/>
      <c r="S523" s="792"/>
      <c r="T523" s="792"/>
      <c r="U523" s="792"/>
      <c r="V523" s="793"/>
      <c r="W523" s="793"/>
      <c r="X523" s="792"/>
      <c r="Y523" s="792"/>
      <c r="Z523" s="792"/>
      <c r="AA523" s="792"/>
    </row>
    <row r="524" spans="1:27" ht="15.75" customHeight="1">
      <c r="A524" s="792"/>
      <c r="B524" s="792"/>
      <c r="C524" s="792"/>
      <c r="D524" s="792"/>
      <c r="E524" s="792"/>
      <c r="F524" s="792"/>
      <c r="G524" s="792"/>
      <c r="H524" s="792"/>
      <c r="I524" s="792"/>
      <c r="J524" s="792"/>
      <c r="K524" s="792"/>
      <c r="L524" s="792"/>
      <c r="M524" s="792"/>
      <c r="N524" s="792"/>
      <c r="O524" s="792"/>
      <c r="P524" s="792"/>
      <c r="Q524" s="1169"/>
      <c r="R524" s="792"/>
      <c r="S524" s="792"/>
      <c r="T524" s="792"/>
      <c r="U524" s="792"/>
      <c r="V524" s="793"/>
      <c r="W524" s="793"/>
      <c r="X524" s="792"/>
      <c r="Y524" s="792"/>
      <c r="Z524" s="792"/>
      <c r="AA524" s="792"/>
    </row>
    <row r="525" spans="1:27" ht="15.75" customHeight="1">
      <c r="A525" s="792"/>
      <c r="B525" s="792"/>
      <c r="C525" s="792"/>
      <c r="D525" s="792"/>
      <c r="E525" s="792"/>
      <c r="F525" s="792"/>
      <c r="G525" s="792"/>
      <c r="H525" s="792"/>
      <c r="I525" s="792"/>
      <c r="J525" s="792"/>
      <c r="K525" s="792"/>
      <c r="L525" s="792"/>
      <c r="M525" s="792"/>
      <c r="N525" s="792"/>
      <c r="O525" s="792"/>
      <c r="P525" s="792"/>
      <c r="Q525" s="1169"/>
      <c r="R525" s="792"/>
      <c r="S525" s="792"/>
      <c r="T525" s="792"/>
      <c r="U525" s="792"/>
      <c r="V525" s="793"/>
      <c r="W525" s="793"/>
      <c r="X525" s="792"/>
      <c r="Y525" s="792"/>
      <c r="Z525" s="792"/>
      <c r="AA525" s="792"/>
    </row>
    <row r="526" spans="1:27" ht="15.75" customHeight="1">
      <c r="A526" s="792"/>
      <c r="B526" s="792"/>
      <c r="C526" s="792"/>
      <c r="D526" s="792"/>
      <c r="E526" s="792"/>
      <c r="F526" s="792"/>
      <c r="G526" s="792"/>
      <c r="H526" s="792"/>
      <c r="I526" s="792"/>
      <c r="J526" s="792"/>
      <c r="K526" s="792"/>
      <c r="L526" s="792"/>
      <c r="M526" s="792"/>
      <c r="N526" s="792"/>
      <c r="O526" s="792"/>
      <c r="P526" s="792"/>
      <c r="Q526" s="1169"/>
      <c r="R526" s="792"/>
      <c r="S526" s="792"/>
      <c r="T526" s="792"/>
      <c r="U526" s="792"/>
      <c r="V526" s="793"/>
      <c r="W526" s="793"/>
      <c r="X526" s="792"/>
      <c r="Y526" s="792"/>
      <c r="Z526" s="792"/>
      <c r="AA526" s="792"/>
    </row>
    <row r="527" spans="1:27" ht="15.75" customHeight="1">
      <c r="A527" s="792"/>
      <c r="B527" s="792"/>
      <c r="C527" s="792"/>
      <c r="D527" s="792"/>
      <c r="E527" s="792"/>
      <c r="F527" s="792"/>
      <c r="G527" s="792"/>
      <c r="H527" s="792"/>
      <c r="I527" s="792"/>
      <c r="J527" s="792"/>
      <c r="K527" s="792"/>
      <c r="L527" s="792"/>
      <c r="M527" s="792"/>
      <c r="N527" s="792"/>
      <c r="O527" s="792"/>
      <c r="P527" s="792"/>
      <c r="Q527" s="1169"/>
      <c r="R527" s="792"/>
      <c r="S527" s="792"/>
      <c r="T527" s="792"/>
      <c r="U527" s="792"/>
      <c r="V527" s="793"/>
      <c r="W527" s="793"/>
      <c r="X527" s="792"/>
      <c r="Y527" s="792"/>
      <c r="Z527" s="792"/>
      <c r="AA527" s="792"/>
    </row>
    <row r="528" spans="1:27" ht="15.75" customHeight="1">
      <c r="A528" s="792"/>
      <c r="B528" s="792"/>
      <c r="C528" s="792"/>
      <c r="D528" s="792"/>
      <c r="E528" s="792"/>
      <c r="F528" s="792"/>
      <c r="G528" s="792"/>
      <c r="H528" s="792"/>
      <c r="I528" s="792"/>
      <c r="J528" s="792"/>
      <c r="K528" s="792"/>
      <c r="L528" s="792"/>
      <c r="M528" s="792"/>
      <c r="N528" s="792"/>
      <c r="O528" s="792"/>
      <c r="P528" s="792"/>
      <c r="Q528" s="1169"/>
      <c r="R528" s="792"/>
      <c r="S528" s="792"/>
      <c r="T528" s="792"/>
      <c r="U528" s="792"/>
      <c r="V528" s="793"/>
      <c r="W528" s="793"/>
      <c r="X528" s="792"/>
      <c r="Y528" s="792"/>
      <c r="Z528" s="792"/>
      <c r="AA528" s="792"/>
    </row>
    <row r="529" spans="1:27" ht="15.75" customHeight="1">
      <c r="A529" s="792"/>
      <c r="B529" s="792"/>
      <c r="C529" s="792"/>
      <c r="D529" s="792"/>
      <c r="E529" s="792"/>
      <c r="F529" s="792"/>
      <c r="G529" s="792"/>
      <c r="H529" s="792"/>
      <c r="I529" s="792"/>
      <c r="J529" s="792"/>
      <c r="K529" s="792"/>
      <c r="L529" s="792"/>
      <c r="M529" s="792"/>
      <c r="N529" s="792"/>
      <c r="O529" s="792"/>
      <c r="P529" s="792"/>
      <c r="Q529" s="1169"/>
      <c r="R529" s="792"/>
      <c r="S529" s="792"/>
      <c r="T529" s="792"/>
      <c r="U529" s="792"/>
      <c r="V529" s="793"/>
      <c r="W529" s="793"/>
      <c r="X529" s="792"/>
      <c r="Y529" s="792"/>
      <c r="Z529" s="792"/>
      <c r="AA529" s="792"/>
    </row>
    <row r="530" spans="1:27" ht="15.75" customHeight="1">
      <c r="A530" s="792"/>
      <c r="B530" s="792"/>
      <c r="C530" s="792"/>
      <c r="D530" s="792"/>
      <c r="E530" s="792"/>
      <c r="F530" s="792"/>
      <c r="G530" s="792"/>
      <c r="H530" s="792"/>
      <c r="I530" s="792"/>
      <c r="J530" s="792"/>
      <c r="K530" s="792"/>
      <c r="L530" s="792"/>
      <c r="M530" s="792"/>
      <c r="N530" s="792"/>
      <c r="O530" s="792"/>
      <c r="P530" s="792"/>
      <c r="Q530" s="1169"/>
      <c r="R530" s="792"/>
      <c r="S530" s="792"/>
      <c r="T530" s="792"/>
      <c r="U530" s="792"/>
      <c r="V530" s="793"/>
      <c r="W530" s="793"/>
      <c r="X530" s="792"/>
      <c r="Y530" s="792"/>
      <c r="Z530" s="792"/>
      <c r="AA530" s="792"/>
    </row>
    <row r="531" spans="1:27" ht="15.75" customHeight="1">
      <c r="A531" s="792"/>
      <c r="B531" s="792"/>
      <c r="C531" s="792"/>
      <c r="D531" s="792"/>
      <c r="E531" s="792"/>
      <c r="F531" s="792"/>
      <c r="G531" s="792"/>
      <c r="H531" s="792"/>
      <c r="I531" s="792"/>
      <c r="J531" s="792"/>
      <c r="K531" s="792"/>
      <c r="L531" s="792"/>
      <c r="M531" s="792"/>
      <c r="N531" s="792"/>
      <c r="O531" s="792"/>
      <c r="P531" s="792"/>
      <c r="Q531" s="1169"/>
      <c r="R531" s="792"/>
      <c r="S531" s="792"/>
      <c r="T531" s="792"/>
      <c r="U531" s="792"/>
      <c r="V531" s="793"/>
      <c r="W531" s="793"/>
      <c r="X531" s="792"/>
      <c r="Y531" s="792"/>
      <c r="Z531" s="792"/>
      <c r="AA531" s="792"/>
    </row>
    <row r="532" spans="1:27" ht="15.75" customHeight="1">
      <c r="A532" s="792"/>
      <c r="B532" s="792"/>
      <c r="C532" s="792"/>
      <c r="D532" s="792"/>
      <c r="E532" s="792"/>
      <c r="F532" s="792"/>
      <c r="G532" s="792"/>
      <c r="H532" s="792"/>
      <c r="I532" s="792"/>
      <c r="J532" s="792"/>
      <c r="K532" s="792"/>
      <c r="L532" s="792"/>
      <c r="M532" s="792"/>
      <c r="N532" s="792"/>
      <c r="O532" s="792"/>
      <c r="P532" s="792"/>
      <c r="Q532" s="1169"/>
      <c r="R532" s="792"/>
      <c r="S532" s="792"/>
      <c r="T532" s="792"/>
      <c r="U532" s="792"/>
      <c r="V532" s="793"/>
      <c r="W532" s="793"/>
      <c r="X532" s="792"/>
      <c r="Y532" s="792"/>
      <c r="Z532" s="792"/>
      <c r="AA532" s="792"/>
    </row>
    <row r="533" spans="1:27" ht="15.75" customHeight="1">
      <c r="A533" s="792"/>
      <c r="B533" s="792"/>
      <c r="C533" s="792"/>
      <c r="D533" s="792"/>
      <c r="E533" s="792"/>
      <c r="F533" s="792"/>
      <c r="G533" s="792"/>
      <c r="H533" s="792"/>
      <c r="I533" s="792"/>
      <c r="J533" s="792"/>
      <c r="K533" s="792"/>
      <c r="L533" s="792"/>
      <c r="M533" s="792"/>
      <c r="N533" s="792"/>
      <c r="O533" s="792"/>
      <c r="P533" s="792"/>
      <c r="Q533" s="1169"/>
      <c r="R533" s="792"/>
      <c r="S533" s="792"/>
      <c r="T533" s="792"/>
      <c r="U533" s="792"/>
      <c r="V533" s="793"/>
      <c r="W533" s="793"/>
      <c r="X533" s="792"/>
      <c r="Y533" s="792"/>
      <c r="Z533" s="792"/>
      <c r="AA533" s="792"/>
    </row>
    <row r="534" spans="1:27" ht="15.75" customHeight="1">
      <c r="A534" s="792"/>
      <c r="B534" s="792"/>
      <c r="C534" s="792"/>
      <c r="D534" s="792"/>
      <c r="E534" s="792"/>
      <c r="F534" s="792"/>
      <c r="G534" s="792"/>
      <c r="H534" s="792"/>
      <c r="I534" s="792"/>
      <c r="J534" s="792"/>
      <c r="K534" s="792"/>
      <c r="L534" s="792"/>
      <c r="M534" s="792"/>
      <c r="N534" s="792"/>
      <c r="O534" s="792"/>
      <c r="P534" s="792"/>
      <c r="Q534" s="1169"/>
      <c r="R534" s="792"/>
      <c r="S534" s="792"/>
      <c r="T534" s="792"/>
      <c r="U534" s="792"/>
      <c r="V534" s="793"/>
      <c r="W534" s="793"/>
      <c r="X534" s="792"/>
      <c r="Y534" s="792"/>
      <c r="Z534" s="792"/>
      <c r="AA534" s="792"/>
    </row>
    <row r="535" spans="1:27" ht="15.75" customHeight="1">
      <c r="A535" s="792"/>
      <c r="B535" s="792"/>
      <c r="C535" s="792"/>
      <c r="D535" s="792"/>
      <c r="E535" s="792"/>
      <c r="F535" s="792"/>
      <c r="G535" s="792"/>
      <c r="H535" s="792"/>
      <c r="I535" s="792"/>
      <c r="J535" s="792"/>
      <c r="K535" s="792"/>
      <c r="L535" s="792"/>
      <c r="M535" s="792"/>
      <c r="N535" s="792"/>
      <c r="O535" s="792"/>
      <c r="P535" s="792"/>
      <c r="Q535" s="1169"/>
      <c r="R535" s="792"/>
      <c r="S535" s="792"/>
      <c r="T535" s="792"/>
      <c r="U535" s="792"/>
      <c r="V535" s="793"/>
      <c r="W535" s="793"/>
      <c r="X535" s="792"/>
      <c r="Y535" s="792"/>
      <c r="Z535" s="792"/>
      <c r="AA535" s="792"/>
    </row>
    <row r="536" spans="1:27" ht="15.75" customHeight="1">
      <c r="A536" s="792"/>
      <c r="B536" s="792"/>
      <c r="C536" s="792"/>
      <c r="D536" s="792"/>
      <c r="E536" s="792"/>
      <c r="F536" s="792"/>
      <c r="G536" s="792"/>
      <c r="H536" s="792"/>
      <c r="I536" s="792"/>
      <c r="J536" s="792"/>
      <c r="K536" s="792"/>
      <c r="L536" s="792"/>
      <c r="M536" s="792"/>
      <c r="N536" s="792"/>
      <c r="O536" s="792"/>
      <c r="P536" s="792"/>
      <c r="Q536" s="1169"/>
      <c r="R536" s="792"/>
      <c r="S536" s="792"/>
      <c r="T536" s="792"/>
      <c r="U536" s="792"/>
      <c r="V536" s="793"/>
      <c r="W536" s="793"/>
      <c r="X536" s="792"/>
      <c r="Y536" s="792"/>
      <c r="Z536" s="792"/>
      <c r="AA536" s="792"/>
    </row>
    <row r="537" spans="1:27" ht="15.75" customHeight="1">
      <c r="A537" s="792"/>
      <c r="B537" s="792"/>
      <c r="C537" s="792"/>
      <c r="D537" s="792"/>
      <c r="E537" s="792"/>
      <c r="F537" s="792"/>
      <c r="G537" s="792"/>
      <c r="H537" s="792"/>
      <c r="I537" s="792"/>
      <c r="J537" s="792"/>
      <c r="K537" s="792"/>
      <c r="L537" s="792"/>
      <c r="M537" s="792"/>
      <c r="N537" s="792"/>
      <c r="O537" s="792"/>
      <c r="P537" s="792"/>
      <c r="Q537" s="1169"/>
      <c r="R537" s="792"/>
      <c r="S537" s="792"/>
      <c r="T537" s="792"/>
      <c r="U537" s="792"/>
      <c r="V537" s="793"/>
      <c r="W537" s="793"/>
      <c r="X537" s="792"/>
      <c r="Y537" s="792"/>
      <c r="Z537" s="792"/>
      <c r="AA537" s="792"/>
    </row>
    <row r="538" spans="1:27" ht="15.75" customHeight="1">
      <c r="A538" s="792"/>
      <c r="B538" s="792"/>
      <c r="C538" s="792"/>
      <c r="D538" s="792"/>
      <c r="E538" s="792"/>
      <c r="F538" s="792"/>
      <c r="G538" s="792"/>
      <c r="H538" s="792"/>
      <c r="I538" s="792"/>
      <c r="J538" s="792"/>
      <c r="K538" s="792"/>
      <c r="L538" s="792"/>
      <c r="M538" s="792"/>
      <c r="N538" s="792"/>
      <c r="O538" s="792"/>
      <c r="P538" s="792"/>
      <c r="Q538" s="1169"/>
      <c r="R538" s="792"/>
      <c r="S538" s="792"/>
      <c r="T538" s="792"/>
      <c r="U538" s="792"/>
      <c r="V538" s="793"/>
      <c r="W538" s="793"/>
      <c r="X538" s="792"/>
      <c r="Y538" s="792"/>
      <c r="Z538" s="792"/>
      <c r="AA538" s="792"/>
    </row>
    <row r="539" spans="1:27" ht="15.75" customHeight="1">
      <c r="A539" s="792"/>
      <c r="B539" s="792"/>
      <c r="C539" s="792"/>
      <c r="D539" s="792"/>
      <c r="E539" s="792"/>
      <c r="F539" s="792"/>
      <c r="G539" s="792"/>
      <c r="H539" s="792"/>
      <c r="I539" s="792"/>
      <c r="J539" s="792"/>
      <c r="K539" s="792"/>
      <c r="L539" s="792"/>
      <c r="M539" s="792"/>
      <c r="N539" s="792"/>
      <c r="O539" s="792"/>
      <c r="P539" s="792"/>
      <c r="Q539" s="1169"/>
      <c r="R539" s="792"/>
      <c r="S539" s="792"/>
      <c r="T539" s="792"/>
      <c r="U539" s="792"/>
      <c r="V539" s="793"/>
      <c r="W539" s="793"/>
      <c r="X539" s="792"/>
      <c r="Y539" s="792"/>
      <c r="Z539" s="792"/>
      <c r="AA539" s="792"/>
    </row>
    <row r="540" spans="1:27" ht="15.75" customHeight="1">
      <c r="A540" s="792"/>
      <c r="B540" s="792"/>
      <c r="C540" s="792"/>
      <c r="D540" s="792"/>
      <c r="E540" s="792"/>
      <c r="F540" s="792"/>
      <c r="G540" s="792"/>
      <c r="H540" s="792"/>
      <c r="I540" s="792"/>
      <c r="J540" s="792"/>
      <c r="K540" s="792"/>
      <c r="L540" s="792"/>
      <c r="M540" s="792"/>
      <c r="N540" s="792"/>
      <c r="O540" s="792"/>
      <c r="P540" s="792"/>
      <c r="Q540" s="1169"/>
      <c r="R540" s="792"/>
      <c r="S540" s="792"/>
      <c r="T540" s="792"/>
      <c r="U540" s="792"/>
      <c r="V540" s="793"/>
      <c r="W540" s="793"/>
      <c r="X540" s="792"/>
      <c r="Y540" s="792"/>
      <c r="Z540" s="792"/>
      <c r="AA540" s="792"/>
    </row>
    <row r="541" spans="1:27" ht="15.75" customHeight="1">
      <c r="A541" s="792"/>
      <c r="B541" s="792"/>
      <c r="C541" s="792"/>
      <c r="D541" s="792"/>
      <c r="E541" s="792"/>
      <c r="F541" s="792"/>
      <c r="G541" s="792"/>
      <c r="H541" s="792"/>
      <c r="I541" s="792"/>
      <c r="J541" s="792"/>
      <c r="K541" s="792"/>
      <c r="L541" s="792"/>
      <c r="M541" s="792"/>
      <c r="N541" s="792"/>
      <c r="O541" s="792"/>
      <c r="P541" s="792"/>
      <c r="Q541" s="1169"/>
      <c r="R541" s="792"/>
      <c r="S541" s="792"/>
      <c r="T541" s="792"/>
      <c r="U541" s="792"/>
      <c r="V541" s="793"/>
      <c r="W541" s="793"/>
      <c r="X541" s="792"/>
      <c r="Y541" s="792"/>
      <c r="Z541" s="792"/>
      <c r="AA541" s="792"/>
    </row>
    <row r="542" spans="1:27" ht="15.75" customHeight="1">
      <c r="A542" s="792"/>
      <c r="B542" s="792"/>
      <c r="C542" s="792"/>
      <c r="D542" s="792"/>
      <c r="E542" s="792"/>
      <c r="F542" s="792"/>
      <c r="G542" s="792"/>
      <c r="H542" s="792"/>
      <c r="I542" s="792"/>
      <c r="J542" s="792"/>
      <c r="K542" s="792"/>
      <c r="L542" s="792"/>
      <c r="M542" s="792"/>
      <c r="N542" s="792"/>
      <c r="O542" s="792"/>
      <c r="P542" s="792"/>
      <c r="Q542" s="1169"/>
      <c r="R542" s="792"/>
      <c r="S542" s="792"/>
      <c r="T542" s="792"/>
      <c r="U542" s="792"/>
      <c r="V542" s="793"/>
      <c r="W542" s="793"/>
      <c r="X542" s="792"/>
      <c r="Y542" s="792"/>
      <c r="Z542" s="792"/>
      <c r="AA542" s="792"/>
    </row>
    <row r="543" spans="1:27" ht="15.75" customHeight="1">
      <c r="A543" s="792"/>
      <c r="B543" s="792"/>
      <c r="C543" s="792"/>
      <c r="D543" s="792"/>
      <c r="E543" s="792"/>
      <c r="F543" s="792"/>
      <c r="G543" s="792"/>
      <c r="H543" s="792"/>
      <c r="I543" s="792"/>
      <c r="J543" s="792"/>
      <c r="K543" s="792"/>
      <c r="L543" s="792"/>
      <c r="M543" s="792"/>
      <c r="N543" s="792"/>
      <c r="O543" s="792"/>
      <c r="P543" s="792"/>
      <c r="Q543" s="1169"/>
      <c r="R543" s="792"/>
      <c r="S543" s="792"/>
      <c r="T543" s="792"/>
      <c r="U543" s="792"/>
      <c r="V543" s="793"/>
      <c r="W543" s="793"/>
      <c r="X543" s="792"/>
      <c r="Y543" s="792"/>
      <c r="Z543" s="792"/>
      <c r="AA543" s="792"/>
    </row>
    <row r="544" spans="1:27" ht="15.75" customHeight="1">
      <c r="A544" s="792"/>
      <c r="B544" s="792"/>
      <c r="C544" s="792"/>
      <c r="D544" s="792"/>
      <c r="E544" s="792"/>
      <c r="F544" s="792"/>
      <c r="G544" s="792"/>
      <c r="H544" s="792"/>
      <c r="I544" s="792"/>
      <c r="J544" s="792"/>
      <c r="K544" s="792"/>
      <c r="L544" s="792"/>
      <c r="M544" s="792"/>
      <c r="N544" s="792"/>
      <c r="O544" s="792"/>
      <c r="P544" s="792"/>
      <c r="Q544" s="1169"/>
      <c r="R544" s="792"/>
      <c r="S544" s="792"/>
      <c r="T544" s="792"/>
      <c r="U544" s="792"/>
      <c r="V544" s="793"/>
      <c r="W544" s="793"/>
      <c r="X544" s="792"/>
      <c r="Y544" s="792"/>
      <c r="Z544" s="792"/>
      <c r="AA544" s="792"/>
    </row>
    <row r="545" spans="1:27" ht="15.75" customHeight="1">
      <c r="A545" s="792"/>
      <c r="B545" s="792"/>
      <c r="C545" s="792"/>
      <c r="D545" s="792"/>
      <c r="E545" s="792"/>
      <c r="F545" s="792"/>
      <c r="G545" s="792"/>
      <c r="H545" s="792"/>
      <c r="I545" s="792"/>
      <c r="J545" s="792"/>
      <c r="K545" s="792"/>
      <c r="L545" s="792"/>
      <c r="M545" s="792"/>
      <c r="N545" s="792"/>
      <c r="O545" s="792"/>
      <c r="P545" s="792"/>
      <c r="Q545" s="1169"/>
      <c r="R545" s="792"/>
      <c r="S545" s="792"/>
      <c r="T545" s="792"/>
      <c r="U545" s="792"/>
      <c r="V545" s="793"/>
      <c r="W545" s="793"/>
      <c r="X545" s="792"/>
      <c r="Y545" s="792"/>
      <c r="Z545" s="792"/>
      <c r="AA545" s="792"/>
    </row>
    <row r="546" spans="1:27" ht="15.75" customHeight="1">
      <c r="A546" s="792"/>
      <c r="B546" s="792"/>
      <c r="C546" s="792"/>
      <c r="D546" s="792"/>
      <c r="E546" s="792"/>
      <c r="F546" s="792"/>
      <c r="G546" s="792"/>
      <c r="H546" s="792"/>
      <c r="I546" s="792"/>
      <c r="J546" s="792"/>
      <c r="K546" s="792"/>
      <c r="L546" s="792"/>
      <c r="M546" s="792"/>
      <c r="N546" s="792"/>
      <c r="O546" s="792"/>
      <c r="P546" s="792"/>
      <c r="Q546" s="1169"/>
      <c r="R546" s="792"/>
      <c r="S546" s="792"/>
      <c r="T546" s="792"/>
      <c r="U546" s="792"/>
      <c r="V546" s="793"/>
      <c r="W546" s="793"/>
      <c r="X546" s="792"/>
      <c r="Y546" s="792"/>
      <c r="Z546" s="792"/>
      <c r="AA546" s="792"/>
    </row>
    <row r="547" spans="1:27" ht="15.75" customHeight="1">
      <c r="A547" s="792"/>
      <c r="B547" s="792"/>
      <c r="C547" s="792"/>
      <c r="D547" s="792"/>
      <c r="E547" s="792"/>
      <c r="F547" s="792"/>
      <c r="G547" s="792"/>
      <c r="H547" s="792"/>
      <c r="I547" s="792"/>
      <c r="J547" s="792"/>
      <c r="K547" s="792"/>
      <c r="L547" s="792"/>
      <c r="M547" s="792"/>
      <c r="N547" s="792"/>
      <c r="O547" s="792"/>
      <c r="P547" s="792"/>
      <c r="Q547" s="1169"/>
      <c r="R547" s="792"/>
      <c r="S547" s="792"/>
      <c r="T547" s="792"/>
      <c r="U547" s="792"/>
      <c r="V547" s="793"/>
      <c r="W547" s="793"/>
      <c r="X547" s="792"/>
      <c r="Y547" s="792"/>
      <c r="Z547" s="792"/>
      <c r="AA547" s="792"/>
    </row>
    <row r="548" spans="1:27" ht="15.75" customHeight="1">
      <c r="A548" s="792"/>
      <c r="B548" s="792"/>
      <c r="C548" s="792"/>
      <c r="D548" s="792"/>
      <c r="E548" s="792"/>
      <c r="F548" s="792"/>
      <c r="G548" s="792"/>
      <c r="H548" s="792"/>
      <c r="I548" s="792"/>
      <c r="J548" s="792"/>
      <c r="K548" s="792"/>
      <c r="L548" s="792"/>
      <c r="M548" s="792"/>
      <c r="N548" s="792"/>
      <c r="O548" s="792"/>
      <c r="P548" s="792"/>
      <c r="Q548" s="1169"/>
      <c r="R548" s="792"/>
      <c r="S548" s="792"/>
      <c r="T548" s="792"/>
      <c r="U548" s="792"/>
      <c r="V548" s="793"/>
      <c r="W548" s="793"/>
      <c r="X548" s="792"/>
      <c r="Y548" s="792"/>
      <c r="Z548" s="792"/>
      <c r="AA548" s="792"/>
    </row>
    <row r="549" spans="1:27" ht="15.75" customHeight="1">
      <c r="A549" s="792"/>
      <c r="B549" s="792"/>
      <c r="C549" s="792"/>
      <c r="D549" s="792"/>
      <c r="E549" s="792"/>
      <c r="F549" s="792"/>
      <c r="G549" s="792"/>
      <c r="H549" s="792"/>
      <c r="I549" s="792"/>
      <c r="J549" s="792"/>
      <c r="K549" s="792"/>
      <c r="L549" s="792"/>
      <c r="M549" s="792"/>
      <c r="N549" s="792"/>
      <c r="O549" s="792"/>
      <c r="P549" s="792"/>
      <c r="Q549" s="1169"/>
      <c r="R549" s="792"/>
      <c r="S549" s="792"/>
      <c r="T549" s="792"/>
      <c r="U549" s="792"/>
      <c r="V549" s="793"/>
      <c r="W549" s="793"/>
      <c r="X549" s="792"/>
      <c r="Y549" s="792"/>
      <c r="Z549" s="792"/>
      <c r="AA549" s="792"/>
    </row>
    <row r="550" spans="1:27" ht="15.75" customHeight="1">
      <c r="A550" s="792"/>
      <c r="B550" s="792"/>
      <c r="C550" s="792"/>
      <c r="D550" s="792"/>
      <c r="E550" s="792"/>
      <c r="F550" s="792"/>
      <c r="G550" s="792"/>
      <c r="H550" s="792"/>
      <c r="I550" s="792"/>
      <c r="J550" s="792"/>
      <c r="K550" s="792"/>
      <c r="L550" s="792"/>
      <c r="M550" s="792"/>
      <c r="N550" s="792"/>
      <c r="O550" s="792"/>
      <c r="P550" s="792"/>
      <c r="Q550" s="1169"/>
      <c r="R550" s="792"/>
      <c r="S550" s="792"/>
      <c r="T550" s="792"/>
      <c r="U550" s="792"/>
      <c r="V550" s="793"/>
      <c r="W550" s="793"/>
      <c r="X550" s="792"/>
      <c r="Y550" s="792"/>
      <c r="Z550" s="792"/>
      <c r="AA550" s="792"/>
    </row>
    <row r="551" spans="1:27" ht="15.75" customHeight="1">
      <c r="A551" s="792"/>
      <c r="B551" s="792"/>
      <c r="C551" s="792"/>
      <c r="D551" s="792"/>
      <c r="E551" s="792"/>
      <c r="F551" s="792"/>
      <c r="G551" s="792"/>
      <c r="H551" s="792"/>
      <c r="I551" s="792"/>
      <c r="J551" s="792"/>
      <c r="K551" s="792"/>
      <c r="L551" s="792"/>
      <c r="M551" s="792"/>
      <c r="N551" s="792"/>
      <c r="O551" s="792"/>
      <c r="P551" s="792"/>
      <c r="Q551" s="1169"/>
      <c r="R551" s="792"/>
      <c r="S551" s="792"/>
      <c r="T551" s="792"/>
      <c r="U551" s="792"/>
      <c r="V551" s="793"/>
      <c r="W551" s="793"/>
      <c r="X551" s="792"/>
      <c r="Y551" s="792"/>
      <c r="Z551" s="792"/>
      <c r="AA551" s="792"/>
    </row>
    <row r="552" spans="1:27" ht="15.75" customHeight="1">
      <c r="A552" s="792"/>
      <c r="B552" s="792"/>
      <c r="C552" s="792"/>
      <c r="D552" s="792"/>
      <c r="E552" s="792"/>
      <c r="F552" s="792"/>
      <c r="G552" s="792"/>
      <c r="H552" s="792"/>
      <c r="I552" s="792"/>
      <c r="J552" s="792"/>
      <c r="K552" s="792"/>
      <c r="L552" s="792"/>
      <c r="M552" s="792"/>
      <c r="N552" s="792"/>
      <c r="O552" s="792"/>
      <c r="P552" s="792"/>
      <c r="Q552" s="1169"/>
      <c r="R552" s="792"/>
      <c r="S552" s="792"/>
      <c r="T552" s="792"/>
      <c r="U552" s="792"/>
      <c r="V552" s="793"/>
      <c r="W552" s="793"/>
      <c r="X552" s="792"/>
      <c r="Y552" s="792"/>
      <c r="Z552" s="792"/>
      <c r="AA552" s="792"/>
    </row>
    <row r="553" spans="1:27" ht="15.75" customHeight="1">
      <c r="A553" s="792"/>
      <c r="B553" s="792"/>
      <c r="C553" s="792"/>
      <c r="D553" s="792"/>
      <c r="E553" s="792"/>
      <c r="F553" s="792"/>
      <c r="G553" s="792"/>
      <c r="H553" s="792"/>
      <c r="I553" s="792"/>
      <c r="J553" s="792"/>
      <c r="K553" s="792"/>
      <c r="L553" s="792"/>
      <c r="M553" s="792"/>
      <c r="N553" s="792"/>
      <c r="O553" s="792"/>
      <c r="P553" s="792"/>
      <c r="Q553" s="1169"/>
      <c r="R553" s="792"/>
      <c r="S553" s="792"/>
      <c r="T553" s="792"/>
      <c r="U553" s="792"/>
      <c r="V553" s="793"/>
      <c r="W553" s="793"/>
      <c r="X553" s="792"/>
      <c r="Y553" s="792"/>
      <c r="Z553" s="792"/>
      <c r="AA553" s="792"/>
    </row>
    <row r="554" spans="1:27" ht="15.75" customHeight="1">
      <c r="A554" s="792"/>
      <c r="B554" s="792"/>
      <c r="C554" s="792"/>
      <c r="D554" s="792"/>
      <c r="E554" s="792"/>
      <c r="F554" s="792"/>
      <c r="G554" s="792"/>
      <c r="H554" s="792"/>
      <c r="I554" s="792"/>
      <c r="J554" s="792"/>
      <c r="K554" s="792"/>
      <c r="L554" s="792"/>
      <c r="M554" s="792"/>
      <c r="N554" s="792"/>
      <c r="O554" s="792"/>
      <c r="P554" s="792"/>
      <c r="Q554" s="1169"/>
      <c r="R554" s="792"/>
      <c r="S554" s="792"/>
      <c r="T554" s="792"/>
      <c r="U554" s="792"/>
      <c r="V554" s="793"/>
      <c r="W554" s="793"/>
      <c r="X554" s="792"/>
      <c r="Y554" s="792"/>
      <c r="Z554" s="792"/>
      <c r="AA554" s="792"/>
    </row>
    <row r="555" spans="1:27" ht="15.75" customHeight="1">
      <c r="A555" s="792"/>
      <c r="B555" s="792"/>
      <c r="C555" s="792"/>
      <c r="D555" s="792"/>
      <c r="E555" s="792"/>
      <c r="F555" s="792"/>
      <c r="G555" s="792"/>
      <c r="H555" s="792"/>
      <c r="I555" s="792"/>
      <c r="J555" s="792"/>
      <c r="K555" s="792"/>
      <c r="L555" s="792"/>
      <c r="M555" s="792"/>
      <c r="N555" s="792"/>
      <c r="O555" s="792"/>
      <c r="P555" s="792"/>
      <c r="Q555" s="1169"/>
      <c r="R555" s="792"/>
      <c r="S555" s="792"/>
      <c r="T555" s="792"/>
      <c r="U555" s="792"/>
      <c r="V555" s="793"/>
      <c r="W555" s="793"/>
      <c r="X555" s="792"/>
      <c r="Y555" s="792"/>
      <c r="Z555" s="792"/>
      <c r="AA555" s="792"/>
    </row>
    <row r="556" spans="1:27" ht="15.75" customHeight="1">
      <c r="A556" s="792"/>
      <c r="B556" s="792"/>
      <c r="C556" s="792"/>
      <c r="D556" s="792"/>
      <c r="E556" s="792"/>
      <c r="F556" s="792"/>
      <c r="G556" s="792"/>
      <c r="H556" s="792"/>
      <c r="I556" s="792"/>
      <c r="J556" s="792"/>
      <c r="K556" s="792"/>
      <c r="L556" s="792"/>
      <c r="M556" s="792"/>
      <c r="N556" s="792"/>
      <c r="O556" s="792"/>
      <c r="P556" s="792"/>
      <c r="Q556" s="1169"/>
      <c r="R556" s="792"/>
      <c r="S556" s="792"/>
      <c r="T556" s="792"/>
      <c r="U556" s="792"/>
      <c r="V556" s="793"/>
      <c r="W556" s="793"/>
      <c r="X556" s="792"/>
      <c r="Y556" s="792"/>
      <c r="Z556" s="792"/>
      <c r="AA556" s="792"/>
    </row>
    <row r="557" spans="1:27" ht="15.75" customHeight="1">
      <c r="A557" s="792"/>
      <c r="B557" s="792"/>
      <c r="C557" s="792"/>
      <c r="D557" s="792"/>
      <c r="E557" s="792"/>
      <c r="F557" s="792"/>
      <c r="G557" s="792"/>
      <c r="H557" s="792"/>
      <c r="I557" s="792"/>
      <c r="J557" s="792"/>
      <c r="K557" s="792"/>
      <c r="L557" s="792"/>
      <c r="M557" s="792"/>
      <c r="N557" s="792"/>
      <c r="O557" s="792"/>
      <c r="P557" s="792"/>
      <c r="Q557" s="1169"/>
      <c r="R557" s="792"/>
      <c r="S557" s="792"/>
      <c r="T557" s="792"/>
      <c r="U557" s="792"/>
      <c r="V557" s="793"/>
      <c r="W557" s="793"/>
      <c r="X557" s="792"/>
      <c r="Y557" s="792"/>
      <c r="Z557" s="792"/>
      <c r="AA557" s="792"/>
    </row>
    <row r="558" spans="1:27" ht="15.75" customHeight="1">
      <c r="A558" s="792"/>
      <c r="B558" s="792"/>
      <c r="C558" s="792"/>
      <c r="D558" s="792"/>
      <c r="E558" s="792"/>
      <c r="F558" s="792"/>
      <c r="G558" s="792"/>
      <c r="H558" s="792"/>
      <c r="I558" s="792"/>
      <c r="J558" s="792"/>
      <c r="K558" s="792"/>
      <c r="L558" s="792"/>
      <c r="M558" s="792"/>
      <c r="N558" s="792"/>
      <c r="O558" s="792"/>
      <c r="P558" s="792"/>
      <c r="Q558" s="1169"/>
      <c r="R558" s="792"/>
      <c r="S558" s="792"/>
      <c r="T558" s="792"/>
      <c r="U558" s="792"/>
      <c r="V558" s="793"/>
      <c r="W558" s="793"/>
      <c r="X558" s="792"/>
      <c r="Y558" s="792"/>
      <c r="Z558" s="792"/>
      <c r="AA558" s="792"/>
    </row>
    <row r="559" spans="1:27" ht="15.75" customHeight="1">
      <c r="A559" s="792"/>
      <c r="B559" s="792"/>
      <c r="C559" s="792"/>
      <c r="D559" s="792"/>
      <c r="E559" s="792"/>
      <c r="F559" s="792"/>
      <c r="G559" s="792"/>
      <c r="H559" s="792"/>
      <c r="I559" s="792"/>
      <c r="J559" s="792"/>
      <c r="K559" s="792"/>
      <c r="L559" s="792"/>
      <c r="M559" s="792"/>
      <c r="N559" s="792"/>
      <c r="O559" s="792"/>
      <c r="P559" s="792"/>
      <c r="Q559" s="1169"/>
      <c r="R559" s="792"/>
      <c r="S559" s="792"/>
      <c r="T559" s="792"/>
      <c r="U559" s="792"/>
      <c r="V559" s="793"/>
      <c r="W559" s="793"/>
      <c r="X559" s="792"/>
      <c r="Y559" s="792"/>
      <c r="Z559" s="792"/>
      <c r="AA559" s="792"/>
    </row>
    <row r="560" spans="1:27" ht="15.75" customHeight="1">
      <c r="A560" s="792"/>
      <c r="B560" s="792"/>
      <c r="C560" s="792"/>
      <c r="D560" s="792"/>
      <c r="E560" s="792"/>
      <c r="F560" s="792"/>
      <c r="G560" s="792"/>
      <c r="H560" s="792"/>
      <c r="I560" s="792"/>
      <c r="J560" s="792"/>
      <c r="K560" s="792"/>
      <c r="L560" s="792"/>
      <c r="M560" s="792"/>
      <c r="N560" s="792"/>
      <c r="O560" s="792"/>
      <c r="P560" s="792"/>
      <c r="Q560" s="1169"/>
      <c r="R560" s="792"/>
      <c r="S560" s="792"/>
      <c r="T560" s="792"/>
      <c r="U560" s="792"/>
      <c r="V560" s="793"/>
      <c r="W560" s="793"/>
      <c r="X560" s="792"/>
      <c r="Y560" s="792"/>
      <c r="Z560" s="792"/>
      <c r="AA560" s="792"/>
    </row>
    <row r="561" spans="1:27" ht="15.75" customHeight="1">
      <c r="A561" s="792"/>
      <c r="B561" s="792"/>
      <c r="C561" s="792"/>
      <c r="D561" s="792"/>
      <c r="E561" s="792"/>
      <c r="F561" s="792"/>
      <c r="G561" s="792"/>
      <c r="H561" s="792"/>
      <c r="I561" s="792"/>
      <c r="J561" s="792"/>
      <c r="K561" s="792"/>
      <c r="L561" s="792"/>
      <c r="M561" s="792"/>
      <c r="N561" s="792"/>
      <c r="O561" s="792"/>
      <c r="P561" s="792"/>
      <c r="Q561" s="1169"/>
      <c r="R561" s="792"/>
      <c r="S561" s="792"/>
      <c r="T561" s="792"/>
      <c r="U561" s="792"/>
      <c r="V561" s="793"/>
      <c r="W561" s="793"/>
      <c r="X561" s="792"/>
      <c r="Y561" s="792"/>
      <c r="Z561" s="792"/>
      <c r="AA561" s="792"/>
    </row>
    <row r="562" spans="1:27" ht="15.75" customHeight="1">
      <c r="A562" s="792"/>
      <c r="B562" s="792"/>
      <c r="C562" s="792"/>
      <c r="D562" s="792"/>
      <c r="E562" s="792"/>
      <c r="F562" s="792"/>
      <c r="G562" s="792"/>
      <c r="H562" s="792"/>
      <c r="I562" s="792"/>
      <c r="J562" s="792"/>
      <c r="K562" s="792"/>
      <c r="L562" s="792"/>
      <c r="M562" s="792"/>
      <c r="N562" s="792"/>
      <c r="O562" s="792"/>
      <c r="P562" s="792"/>
      <c r="Q562" s="1169"/>
      <c r="R562" s="792"/>
      <c r="S562" s="792"/>
      <c r="T562" s="792"/>
      <c r="U562" s="792"/>
      <c r="V562" s="793"/>
      <c r="W562" s="793"/>
      <c r="X562" s="792"/>
      <c r="Y562" s="792"/>
      <c r="Z562" s="792"/>
      <c r="AA562" s="792"/>
    </row>
    <row r="563" spans="1:27" ht="15.75" customHeight="1">
      <c r="A563" s="792"/>
      <c r="B563" s="792"/>
      <c r="C563" s="792"/>
      <c r="D563" s="792"/>
      <c r="E563" s="792"/>
      <c r="F563" s="792"/>
      <c r="G563" s="792"/>
      <c r="H563" s="792"/>
      <c r="I563" s="792"/>
      <c r="J563" s="792"/>
      <c r="K563" s="792"/>
      <c r="L563" s="792"/>
      <c r="M563" s="792"/>
      <c r="N563" s="792"/>
      <c r="O563" s="792"/>
      <c r="P563" s="792"/>
      <c r="Q563" s="1169"/>
      <c r="R563" s="792"/>
      <c r="S563" s="792"/>
      <c r="T563" s="792"/>
      <c r="U563" s="792"/>
      <c r="V563" s="793"/>
      <c r="W563" s="793"/>
      <c r="X563" s="792"/>
      <c r="Y563" s="792"/>
      <c r="Z563" s="792"/>
      <c r="AA563" s="792"/>
    </row>
    <row r="564" spans="1:27" ht="15.75" customHeight="1">
      <c r="A564" s="792"/>
      <c r="B564" s="792"/>
      <c r="C564" s="792"/>
      <c r="D564" s="792"/>
      <c r="E564" s="792"/>
      <c r="F564" s="792"/>
      <c r="G564" s="792"/>
      <c r="H564" s="792"/>
      <c r="I564" s="792"/>
      <c r="J564" s="792"/>
      <c r="K564" s="792"/>
      <c r="L564" s="792"/>
      <c r="M564" s="792"/>
      <c r="N564" s="792"/>
      <c r="O564" s="792"/>
      <c r="P564" s="792"/>
      <c r="Q564" s="1169"/>
      <c r="R564" s="792"/>
      <c r="S564" s="792"/>
      <c r="T564" s="792"/>
      <c r="U564" s="792"/>
      <c r="V564" s="793"/>
      <c r="W564" s="793"/>
      <c r="X564" s="792"/>
      <c r="Y564" s="792"/>
      <c r="Z564" s="792"/>
      <c r="AA564" s="792"/>
    </row>
    <row r="565" spans="1:27" ht="15.75" customHeight="1">
      <c r="A565" s="792"/>
      <c r="B565" s="792"/>
      <c r="C565" s="792"/>
      <c r="D565" s="792"/>
      <c r="E565" s="792"/>
      <c r="F565" s="792"/>
      <c r="G565" s="792"/>
      <c r="H565" s="792"/>
      <c r="I565" s="792"/>
      <c r="J565" s="792"/>
      <c r="K565" s="792"/>
      <c r="L565" s="792"/>
      <c r="M565" s="792"/>
      <c r="N565" s="792"/>
      <c r="O565" s="792"/>
      <c r="P565" s="792"/>
      <c r="Q565" s="1169"/>
      <c r="R565" s="792"/>
      <c r="S565" s="792"/>
      <c r="T565" s="792"/>
      <c r="U565" s="792"/>
      <c r="V565" s="793"/>
      <c r="W565" s="793"/>
      <c r="X565" s="792"/>
      <c r="Y565" s="792"/>
      <c r="Z565" s="792"/>
      <c r="AA565" s="792"/>
    </row>
    <row r="566" spans="1:27" ht="15.75" customHeight="1">
      <c r="A566" s="792"/>
      <c r="B566" s="792"/>
      <c r="C566" s="792"/>
      <c r="D566" s="792"/>
      <c r="E566" s="792"/>
      <c r="F566" s="792"/>
      <c r="G566" s="792"/>
      <c r="H566" s="792"/>
      <c r="I566" s="792"/>
      <c r="J566" s="792"/>
      <c r="K566" s="792"/>
      <c r="L566" s="792"/>
      <c r="M566" s="792"/>
      <c r="N566" s="792"/>
      <c r="O566" s="792"/>
      <c r="P566" s="792"/>
      <c r="Q566" s="1169"/>
      <c r="R566" s="792"/>
      <c r="S566" s="792"/>
      <c r="T566" s="792"/>
      <c r="U566" s="792"/>
      <c r="V566" s="793"/>
      <c r="W566" s="793"/>
      <c r="X566" s="792"/>
      <c r="Y566" s="792"/>
      <c r="Z566" s="792"/>
      <c r="AA566" s="792"/>
    </row>
    <row r="567" spans="1:27" ht="15.75" customHeight="1">
      <c r="A567" s="792"/>
      <c r="B567" s="792"/>
      <c r="C567" s="792"/>
      <c r="D567" s="792"/>
      <c r="E567" s="792"/>
      <c r="F567" s="792"/>
      <c r="G567" s="792"/>
      <c r="H567" s="792"/>
      <c r="I567" s="792"/>
      <c r="J567" s="792"/>
      <c r="K567" s="792"/>
      <c r="L567" s="792"/>
      <c r="M567" s="792"/>
      <c r="N567" s="792"/>
      <c r="O567" s="792"/>
      <c r="P567" s="792"/>
      <c r="Q567" s="1169"/>
      <c r="R567" s="792"/>
      <c r="S567" s="792"/>
      <c r="T567" s="792"/>
      <c r="U567" s="792"/>
      <c r="V567" s="793"/>
      <c r="W567" s="793"/>
      <c r="X567" s="792"/>
      <c r="Y567" s="792"/>
      <c r="Z567" s="792"/>
      <c r="AA567" s="792"/>
    </row>
    <row r="568" spans="1:27" ht="15.75" customHeight="1">
      <c r="A568" s="792"/>
      <c r="B568" s="792"/>
      <c r="C568" s="792"/>
      <c r="D568" s="792"/>
      <c r="E568" s="792"/>
      <c r="F568" s="792"/>
      <c r="G568" s="792"/>
      <c r="H568" s="792"/>
      <c r="I568" s="792"/>
      <c r="J568" s="792"/>
      <c r="K568" s="792"/>
      <c r="L568" s="792"/>
      <c r="M568" s="792"/>
      <c r="N568" s="792"/>
      <c r="O568" s="792"/>
      <c r="P568" s="792"/>
      <c r="Q568" s="1169"/>
      <c r="R568" s="792"/>
      <c r="S568" s="792"/>
      <c r="T568" s="792"/>
      <c r="U568" s="792"/>
      <c r="V568" s="793"/>
      <c r="W568" s="793"/>
      <c r="X568" s="792"/>
      <c r="Y568" s="792"/>
      <c r="Z568" s="792"/>
      <c r="AA568" s="792"/>
    </row>
    <row r="569" spans="1:27" ht="15.75" customHeight="1">
      <c r="A569" s="792"/>
      <c r="B569" s="792"/>
      <c r="C569" s="792"/>
      <c r="D569" s="792"/>
      <c r="E569" s="792"/>
      <c r="F569" s="792"/>
      <c r="G569" s="792"/>
      <c r="H569" s="792"/>
      <c r="I569" s="792"/>
      <c r="J569" s="792"/>
      <c r="K569" s="792"/>
      <c r="L569" s="792"/>
      <c r="M569" s="792"/>
      <c r="N569" s="792"/>
      <c r="O569" s="792"/>
      <c r="P569" s="792"/>
      <c r="Q569" s="1169"/>
      <c r="R569" s="792"/>
      <c r="S569" s="792"/>
      <c r="T569" s="792"/>
      <c r="U569" s="792"/>
      <c r="V569" s="793"/>
      <c r="W569" s="793"/>
      <c r="X569" s="792"/>
      <c r="Y569" s="792"/>
      <c r="Z569" s="792"/>
      <c r="AA569" s="792"/>
    </row>
    <row r="570" spans="1:27" ht="15.75" customHeight="1">
      <c r="A570" s="792"/>
      <c r="B570" s="792"/>
      <c r="C570" s="792"/>
      <c r="D570" s="792"/>
      <c r="E570" s="792"/>
      <c r="F570" s="792"/>
      <c r="G570" s="792"/>
      <c r="H570" s="792"/>
      <c r="I570" s="792"/>
      <c r="J570" s="792"/>
      <c r="K570" s="792"/>
      <c r="L570" s="792"/>
      <c r="M570" s="792"/>
      <c r="N570" s="792"/>
      <c r="O570" s="792"/>
      <c r="P570" s="792"/>
      <c r="Q570" s="1169"/>
      <c r="R570" s="792"/>
      <c r="S570" s="792"/>
      <c r="T570" s="792"/>
      <c r="U570" s="792"/>
      <c r="V570" s="793"/>
      <c r="W570" s="793"/>
      <c r="X570" s="792"/>
      <c r="Y570" s="792"/>
      <c r="Z570" s="792"/>
      <c r="AA570" s="792"/>
    </row>
    <row r="571" spans="1:27" ht="15.75" customHeight="1">
      <c r="A571" s="792"/>
      <c r="B571" s="792"/>
      <c r="C571" s="792"/>
      <c r="D571" s="792"/>
      <c r="E571" s="792"/>
      <c r="F571" s="792"/>
      <c r="G571" s="792"/>
      <c r="H571" s="792"/>
      <c r="I571" s="792"/>
      <c r="J571" s="792"/>
      <c r="K571" s="792"/>
      <c r="L571" s="792"/>
      <c r="M571" s="792"/>
      <c r="N571" s="792"/>
      <c r="O571" s="792"/>
      <c r="P571" s="792"/>
      <c r="Q571" s="1169"/>
      <c r="R571" s="792"/>
      <c r="S571" s="792"/>
      <c r="T571" s="792"/>
      <c r="U571" s="792"/>
      <c r="V571" s="793"/>
      <c r="W571" s="793"/>
      <c r="X571" s="792"/>
      <c r="Y571" s="792"/>
      <c r="Z571" s="792"/>
      <c r="AA571" s="792"/>
    </row>
    <row r="572" spans="1:27" ht="15.75" customHeight="1">
      <c r="A572" s="792"/>
      <c r="B572" s="792"/>
      <c r="C572" s="792"/>
      <c r="D572" s="792"/>
      <c r="E572" s="792"/>
      <c r="F572" s="792"/>
      <c r="G572" s="792"/>
      <c r="H572" s="792"/>
      <c r="I572" s="792"/>
      <c r="J572" s="792"/>
      <c r="K572" s="792"/>
      <c r="L572" s="792"/>
      <c r="M572" s="792"/>
      <c r="N572" s="792"/>
      <c r="O572" s="792"/>
      <c r="P572" s="792"/>
      <c r="Q572" s="1169"/>
      <c r="R572" s="792"/>
      <c r="S572" s="792"/>
      <c r="T572" s="792"/>
      <c r="U572" s="792"/>
      <c r="V572" s="793"/>
      <c r="W572" s="793"/>
      <c r="X572" s="792"/>
      <c r="Y572" s="792"/>
      <c r="Z572" s="792"/>
      <c r="AA572" s="792"/>
    </row>
    <row r="573" spans="1:27" ht="15.75" customHeight="1">
      <c r="A573" s="792"/>
      <c r="B573" s="792"/>
      <c r="C573" s="792"/>
      <c r="D573" s="792"/>
      <c r="E573" s="792"/>
      <c r="F573" s="792"/>
      <c r="G573" s="792"/>
      <c r="H573" s="792"/>
      <c r="I573" s="792"/>
      <c r="J573" s="792"/>
      <c r="K573" s="792"/>
      <c r="L573" s="792"/>
      <c r="M573" s="792"/>
      <c r="N573" s="792"/>
      <c r="O573" s="792"/>
      <c r="P573" s="792"/>
      <c r="Q573" s="1169"/>
      <c r="R573" s="792"/>
      <c r="S573" s="792"/>
      <c r="T573" s="792"/>
      <c r="U573" s="792"/>
      <c r="V573" s="793"/>
      <c r="W573" s="793"/>
      <c r="X573" s="792"/>
      <c r="Y573" s="792"/>
      <c r="Z573" s="792"/>
      <c r="AA573" s="792"/>
    </row>
    <row r="574" spans="1:27" ht="15.75" customHeight="1">
      <c r="A574" s="792"/>
      <c r="B574" s="792"/>
      <c r="C574" s="792"/>
      <c r="D574" s="792"/>
      <c r="E574" s="792"/>
      <c r="F574" s="792"/>
      <c r="G574" s="792"/>
      <c r="H574" s="792"/>
      <c r="I574" s="792"/>
      <c r="J574" s="792"/>
      <c r="K574" s="792"/>
      <c r="L574" s="792"/>
      <c r="M574" s="792"/>
      <c r="N574" s="792"/>
      <c r="O574" s="792"/>
      <c r="P574" s="792"/>
      <c r="Q574" s="1169"/>
      <c r="R574" s="792"/>
      <c r="S574" s="792"/>
      <c r="T574" s="792"/>
      <c r="U574" s="792"/>
      <c r="V574" s="793"/>
      <c r="W574" s="793"/>
      <c r="X574" s="792"/>
      <c r="Y574" s="792"/>
      <c r="Z574" s="792"/>
      <c r="AA574" s="792"/>
    </row>
    <row r="575" spans="1:27" ht="15.75" customHeight="1">
      <c r="A575" s="792"/>
      <c r="B575" s="792"/>
      <c r="C575" s="792"/>
      <c r="D575" s="792"/>
      <c r="E575" s="792"/>
      <c r="F575" s="792"/>
      <c r="G575" s="792"/>
      <c r="H575" s="792"/>
      <c r="I575" s="792"/>
      <c r="J575" s="792"/>
      <c r="K575" s="792"/>
      <c r="L575" s="792"/>
      <c r="M575" s="792"/>
      <c r="N575" s="792"/>
      <c r="O575" s="792"/>
      <c r="P575" s="792"/>
      <c r="Q575" s="1169"/>
      <c r="R575" s="792"/>
      <c r="S575" s="792"/>
      <c r="T575" s="792"/>
      <c r="U575" s="792"/>
      <c r="V575" s="793"/>
      <c r="W575" s="793"/>
      <c r="X575" s="792"/>
      <c r="Y575" s="792"/>
      <c r="Z575" s="792"/>
      <c r="AA575" s="792"/>
    </row>
    <row r="576" spans="1:27" ht="15.75" customHeight="1">
      <c r="A576" s="792"/>
      <c r="B576" s="792"/>
      <c r="C576" s="792"/>
      <c r="D576" s="792"/>
      <c r="E576" s="792"/>
      <c r="F576" s="792"/>
      <c r="G576" s="792"/>
      <c r="H576" s="792"/>
      <c r="I576" s="792"/>
      <c r="J576" s="792"/>
      <c r="K576" s="792"/>
      <c r="L576" s="792"/>
      <c r="M576" s="792"/>
      <c r="N576" s="792"/>
      <c r="O576" s="792"/>
      <c r="P576" s="792"/>
      <c r="Q576" s="1169"/>
      <c r="R576" s="792"/>
      <c r="S576" s="792"/>
      <c r="T576" s="792"/>
      <c r="U576" s="792"/>
      <c r="V576" s="793"/>
      <c r="W576" s="793"/>
      <c r="X576" s="792"/>
      <c r="Y576" s="792"/>
      <c r="Z576" s="792"/>
      <c r="AA576" s="792"/>
    </row>
    <row r="577" spans="1:27" ht="15.75" customHeight="1">
      <c r="A577" s="792"/>
      <c r="B577" s="792"/>
      <c r="C577" s="792"/>
      <c r="D577" s="792"/>
      <c r="E577" s="792"/>
      <c r="F577" s="792"/>
      <c r="G577" s="792"/>
      <c r="H577" s="792"/>
      <c r="I577" s="792"/>
      <c r="J577" s="792"/>
      <c r="K577" s="792"/>
      <c r="L577" s="792"/>
      <c r="M577" s="792"/>
      <c r="N577" s="792"/>
      <c r="O577" s="792"/>
      <c r="P577" s="792"/>
      <c r="Q577" s="1169"/>
      <c r="R577" s="792"/>
      <c r="S577" s="792"/>
      <c r="T577" s="792"/>
      <c r="U577" s="792"/>
      <c r="V577" s="793"/>
      <c r="W577" s="793"/>
      <c r="X577" s="792"/>
      <c r="Y577" s="792"/>
      <c r="Z577" s="792"/>
      <c r="AA577" s="792"/>
    </row>
    <row r="578" spans="1:27" ht="15.75" customHeight="1">
      <c r="A578" s="792"/>
      <c r="B578" s="792"/>
      <c r="C578" s="792"/>
      <c r="D578" s="792"/>
      <c r="E578" s="792"/>
      <c r="F578" s="792"/>
      <c r="G578" s="792"/>
      <c r="H578" s="792"/>
      <c r="I578" s="792"/>
      <c r="J578" s="792"/>
      <c r="K578" s="792"/>
      <c r="L578" s="792"/>
      <c r="M578" s="792"/>
      <c r="N578" s="792"/>
      <c r="O578" s="792"/>
      <c r="P578" s="792"/>
      <c r="Q578" s="1169"/>
      <c r="R578" s="792"/>
      <c r="S578" s="792"/>
      <c r="T578" s="792"/>
      <c r="U578" s="792"/>
      <c r="V578" s="793"/>
      <c r="W578" s="793"/>
      <c r="X578" s="792"/>
      <c r="Y578" s="792"/>
      <c r="Z578" s="792"/>
      <c r="AA578" s="792"/>
    </row>
    <row r="579" spans="1:27" ht="15.75" customHeight="1">
      <c r="A579" s="792"/>
      <c r="B579" s="792"/>
      <c r="C579" s="792"/>
      <c r="D579" s="792"/>
      <c r="E579" s="792"/>
      <c r="F579" s="792"/>
      <c r="G579" s="792"/>
      <c r="H579" s="792"/>
      <c r="I579" s="792"/>
      <c r="J579" s="792"/>
      <c r="K579" s="792"/>
      <c r="L579" s="792"/>
      <c r="M579" s="792"/>
      <c r="N579" s="792"/>
      <c r="O579" s="792"/>
      <c r="P579" s="792"/>
      <c r="Q579" s="1169"/>
      <c r="R579" s="792"/>
      <c r="S579" s="792"/>
      <c r="T579" s="792"/>
      <c r="U579" s="792"/>
      <c r="V579" s="793"/>
      <c r="W579" s="793"/>
      <c r="X579" s="792"/>
      <c r="Y579" s="792"/>
      <c r="Z579" s="792"/>
      <c r="AA579" s="792"/>
    </row>
    <row r="580" spans="1:27" ht="15.75" customHeight="1">
      <c r="A580" s="792"/>
      <c r="B580" s="792"/>
      <c r="C580" s="792"/>
      <c r="D580" s="792"/>
      <c r="E580" s="792"/>
      <c r="F580" s="792"/>
      <c r="G580" s="792"/>
      <c r="H580" s="792"/>
      <c r="I580" s="792"/>
      <c r="J580" s="792"/>
      <c r="K580" s="792"/>
      <c r="L580" s="792"/>
      <c r="M580" s="792"/>
      <c r="N580" s="792"/>
      <c r="O580" s="792"/>
      <c r="P580" s="792"/>
      <c r="Q580" s="1169"/>
      <c r="R580" s="792"/>
      <c r="S580" s="792"/>
      <c r="T580" s="792"/>
      <c r="U580" s="792"/>
      <c r="V580" s="793"/>
      <c r="W580" s="793"/>
      <c r="X580" s="792"/>
      <c r="Y580" s="792"/>
      <c r="Z580" s="792"/>
      <c r="AA580" s="792"/>
    </row>
    <row r="581" spans="1:27" ht="15.75" customHeight="1">
      <c r="A581" s="792"/>
      <c r="B581" s="792"/>
      <c r="C581" s="792"/>
      <c r="D581" s="792"/>
      <c r="E581" s="792"/>
      <c r="F581" s="792"/>
      <c r="G581" s="792"/>
      <c r="H581" s="792"/>
      <c r="I581" s="792"/>
      <c r="J581" s="792"/>
      <c r="K581" s="792"/>
      <c r="L581" s="792"/>
      <c r="M581" s="792"/>
      <c r="N581" s="792"/>
      <c r="O581" s="792"/>
      <c r="P581" s="792"/>
      <c r="Q581" s="1169"/>
      <c r="R581" s="792"/>
      <c r="S581" s="792"/>
      <c r="T581" s="792"/>
      <c r="U581" s="792"/>
      <c r="V581" s="793"/>
      <c r="W581" s="793"/>
      <c r="X581" s="792"/>
      <c r="Y581" s="792"/>
      <c r="Z581" s="792"/>
      <c r="AA581" s="792"/>
    </row>
    <row r="582" spans="1:27" ht="15.75" customHeight="1">
      <c r="A582" s="792"/>
      <c r="B582" s="792"/>
      <c r="C582" s="792"/>
      <c r="D582" s="792"/>
      <c r="E582" s="792"/>
      <c r="F582" s="792"/>
      <c r="G582" s="792"/>
      <c r="H582" s="792"/>
      <c r="I582" s="792"/>
      <c r="J582" s="792"/>
      <c r="K582" s="792"/>
      <c r="L582" s="792"/>
      <c r="M582" s="792"/>
      <c r="N582" s="792"/>
      <c r="O582" s="792"/>
      <c r="P582" s="792"/>
      <c r="Q582" s="1169"/>
      <c r="R582" s="792"/>
      <c r="S582" s="792"/>
      <c r="T582" s="792"/>
      <c r="U582" s="792"/>
      <c r="V582" s="793"/>
      <c r="W582" s="793"/>
      <c r="X582" s="792"/>
      <c r="Y582" s="792"/>
      <c r="Z582" s="792"/>
      <c r="AA582" s="792"/>
    </row>
    <row r="583" spans="1:27" ht="15.75" customHeight="1">
      <c r="A583" s="792"/>
      <c r="B583" s="792"/>
      <c r="C583" s="792"/>
      <c r="D583" s="792"/>
      <c r="E583" s="792"/>
      <c r="F583" s="792"/>
      <c r="G583" s="792"/>
      <c r="H583" s="792"/>
      <c r="I583" s="792"/>
      <c r="J583" s="792"/>
      <c r="K583" s="792"/>
      <c r="L583" s="792"/>
      <c r="M583" s="792"/>
      <c r="N583" s="792"/>
      <c r="O583" s="792"/>
      <c r="P583" s="792"/>
      <c r="Q583" s="1169"/>
      <c r="R583" s="792"/>
      <c r="S583" s="792"/>
      <c r="T583" s="792"/>
      <c r="U583" s="792"/>
      <c r="V583" s="793"/>
      <c r="W583" s="793"/>
      <c r="X583" s="792"/>
      <c r="Y583" s="792"/>
      <c r="Z583" s="792"/>
      <c r="AA583" s="792"/>
    </row>
    <row r="584" spans="1:27" ht="15.75" customHeight="1">
      <c r="A584" s="792"/>
      <c r="B584" s="792"/>
      <c r="C584" s="792"/>
      <c r="D584" s="792"/>
      <c r="E584" s="792"/>
      <c r="F584" s="792"/>
      <c r="G584" s="792"/>
      <c r="H584" s="792"/>
      <c r="I584" s="792"/>
      <c r="J584" s="792"/>
      <c r="K584" s="792"/>
      <c r="L584" s="792"/>
      <c r="M584" s="792"/>
      <c r="N584" s="792"/>
      <c r="O584" s="792"/>
      <c r="P584" s="792"/>
      <c r="Q584" s="1169"/>
      <c r="R584" s="792"/>
      <c r="S584" s="792"/>
      <c r="T584" s="792"/>
      <c r="U584" s="792"/>
      <c r="V584" s="793"/>
      <c r="W584" s="793"/>
      <c r="X584" s="792"/>
      <c r="Y584" s="792"/>
      <c r="Z584" s="792"/>
      <c r="AA584" s="792"/>
    </row>
    <row r="585" spans="1:27" ht="15.75" customHeight="1">
      <c r="A585" s="792"/>
      <c r="B585" s="792"/>
      <c r="C585" s="792"/>
      <c r="D585" s="792"/>
      <c r="E585" s="792"/>
      <c r="F585" s="792"/>
      <c r="G585" s="792"/>
      <c r="H585" s="792"/>
      <c r="I585" s="792"/>
      <c r="J585" s="792"/>
      <c r="K585" s="792"/>
      <c r="L585" s="792"/>
      <c r="M585" s="792"/>
      <c r="N585" s="792"/>
      <c r="O585" s="792"/>
      <c r="P585" s="792"/>
      <c r="Q585" s="1169"/>
      <c r="R585" s="792"/>
      <c r="S585" s="792"/>
      <c r="T585" s="792"/>
      <c r="U585" s="792"/>
      <c r="V585" s="793"/>
      <c r="W585" s="793"/>
      <c r="X585" s="792"/>
      <c r="Y585" s="792"/>
      <c r="Z585" s="792"/>
      <c r="AA585" s="792"/>
    </row>
    <row r="586" spans="1:27" ht="15.75" customHeight="1">
      <c r="A586" s="792"/>
      <c r="B586" s="792"/>
      <c r="C586" s="792"/>
      <c r="D586" s="792"/>
      <c r="E586" s="792"/>
      <c r="F586" s="792"/>
      <c r="G586" s="792"/>
      <c r="H586" s="792"/>
      <c r="I586" s="792"/>
      <c r="J586" s="792"/>
      <c r="K586" s="792"/>
      <c r="L586" s="792"/>
      <c r="M586" s="792"/>
      <c r="N586" s="792"/>
      <c r="O586" s="792"/>
      <c r="P586" s="792"/>
      <c r="Q586" s="1169"/>
      <c r="R586" s="792"/>
      <c r="S586" s="792"/>
      <c r="T586" s="792"/>
      <c r="U586" s="792"/>
      <c r="V586" s="793"/>
      <c r="W586" s="793"/>
      <c r="X586" s="792"/>
      <c r="Y586" s="792"/>
      <c r="Z586" s="792"/>
      <c r="AA586" s="792"/>
    </row>
    <row r="587" spans="1:27" ht="15.75" customHeight="1">
      <c r="A587" s="792"/>
      <c r="B587" s="792"/>
      <c r="C587" s="792"/>
      <c r="D587" s="792"/>
      <c r="E587" s="792"/>
      <c r="F587" s="792"/>
      <c r="G587" s="792"/>
      <c r="H587" s="792"/>
      <c r="I587" s="792"/>
      <c r="J587" s="792"/>
      <c r="K587" s="792"/>
      <c r="L587" s="792"/>
      <c r="M587" s="792"/>
      <c r="N587" s="792"/>
      <c r="O587" s="792"/>
      <c r="P587" s="792"/>
      <c r="Q587" s="1169"/>
      <c r="R587" s="792"/>
      <c r="S587" s="792"/>
      <c r="T587" s="792"/>
      <c r="U587" s="792"/>
      <c r="V587" s="793"/>
      <c r="W587" s="793"/>
      <c r="X587" s="792"/>
      <c r="Y587" s="792"/>
      <c r="Z587" s="792"/>
      <c r="AA587" s="792"/>
    </row>
    <row r="588" spans="1:27" ht="15.75" customHeight="1">
      <c r="A588" s="792"/>
      <c r="B588" s="792"/>
      <c r="C588" s="792"/>
      <c r="D588" s="792"/>
      <c r="E588" s="792"/>
      <c r="F588" s="792"/>
      <c r="G588" s="792"/>
      <c r="H588" s="792"/>
      <c r="I588" s="792"/>
      <c r="J588" s="792"/>
      <c r="K588" s="792"/>
      <c r="L588" s="792"/>
      <c r="M588" s="792"/>
      <c r="N588" s="792"/>
      <c r="O588" s="792"/>
      <c r="P588" s="792"/>
      <c r="Q588" s="1169"/>
      <c r="R588" s="792"/>
      <c r="S588" s="792"/>
      <c r="T588" s="792"/>
      <c r="U588" s="792"/>
      <c r="V588" s="793"/>
      <c r="W588" s="793"/>
      <c r="X588" s="792"/>
      <c r="Y588" s="792"/>
      <c r="Z588" s="792"/>
      <c r="AA588" s="792"/>
    </row>
    <row r="589" spans="1:27" ht="15.75" customHeight="1">
      <c r="A589" s="792"/>
      <c r="B589" s="792"/>
      <c r="C589" s="792"/>
      <c r="D589" s="792"/>
      <c r="E589" s="792"/>
      <c r="F589" s="792"/>
      <c r="G589" s="792"/>
      <c r="H589" s="792"/>
      <c r="I589" s="792"/>
      <c r="J589" s="792"/>
      <c r="K589" s="792"/>
      <c r="L589" s="792"/>
      <c r="M589" s="792"/>
      <c r="N589" s="792"/>
      <c r="O589" s="792"/>
      <c r="P589" s="792"/>
      <c r="Q589" s="1169"/>
      <c r="R589" s="792"/>
      <c r="S589" s="792"/>
      <c r="T589" s="792"/>
      <c r="U589" s="792"/>
      <c r="V589" s="793"/>
      <c r="W589" s="793"/>
      <c r="X589" s="792"/>
      <c r="Y589" s="792"/>
      <c r="Z589" s="792"/>
      <c r="AA589" s="792"/>
    </row>
    <row r="590" spans="1:27" ht="15.75" customHeight="1">
      <c r="A590" s="792"/>
      <c r="B590" s="792"/>
      <c r="C590" s="792"/>
      <c r="D590" s="792"/>
      <c r="E590" s="792"/>
      <c r="F590" s="792"/>
      <c r="G590" s="792"/>
      <c r="H590" s="792"/>
      <c r="I590" s="792"/>
      <c r="J590" s="792"/>
      <c r="K590" s="792"/>
      <c r="L590" s="792"/>
      <c r="M590" s="792"/>
      <c r="N590" s="792"/>
      <c r="O590" s="792"/>
      <c r="P590" s="792"/>
      <c r="Q590" s="1169"/>
      <c r="R590" s="792"/>
      <c r="S590" s="792"/>
      <c r="T590" s="792"/>
      <c r="U590" s="792"/>
      <c r="V590" s="793"/>
      <c r="W590" s="793"/>
      <c r="X590" s="792"/>
      <c r="Y590" s="792"/>
      <c r="Z590" s="792"/>
      <c r="AA590" s="792"/>
    </row>
    <row r="591" spans="1:27" ht="15.75" customHeight="1">
      <c r="A591" s="792"/>
      <c r="B591" s="792"/>
      <c r="C591" s="792"/>
      <c r="D591" s="792"/>
      <c r="E591" s="792"/>
      <c r="F591" s="792"/>
      <c r="G591" s="792"/>
      <c r="H591" s="792"/>
      <c r="I591" s="792"/>
      <c r="J591" s="792"/>
      <c r="K591" s="792"/>
      <c r="L591" s="792"/>
      <c r="M591" s="792"/>
      <c r="N591" s="792"/>
      <c r="O591" s="792"/>
      <c r="P591" s="792"/>
      <c r="Q591" s="1169"/>
      <c r="R591" s="792"/>
      <c r="S591" s="792"/>
      <c r="T591" s="792"/>
      <c r="U591" s="792"/>
      <c r="V591" s="793"/>
      <c r="W591" s="793"/>
      <c r="X591" s="792"/>
      <c r="Y591" s="792"/>
      <c r="Z591" s="792"/>
      <c r="AA591" s="792"/>
    </row>
    <row r="592" spans="1:27" ht="15.75" customHeight="1">
      <c r="A592" s="792"/>
      <c r="B592" s="792"/>
      <c r="C592" s="792"/>
      <c r="D592" s="792"/>
      <c r="E592" s="792"/>
      <c r="F592" s="792"/>
      <c r="G592" s="792"/>
      <c r="H592" s="792"/>
      <c r="I592" s="792"/>
      <c r="J592" s="792"/>
      <c r="K592" s="792"/>
      <c r="L592" s="792"/>
      <c r="M592" s="792"/>
      <c r="N592" s="792"/>
      <c r="O592" s="792"/>
      <c r="P592" s="792"/>
      <c r="Q592" s="1169"/>
      <c r="R592" s="792"/>
      <c r="S592" s="792"/>
      <c r="T592" s="792"/>
      <c r="U592" s="792"/>
      <c r="V592" s="793"/>
      <c r="W592" s="793"/>
      <c r="X592" s="792"/>
      <c r="Y592" s="792"/>
      <c r="Z592" s="792"/>
      <c r="AA592" s="792"/>
    </row>
    <row r="593" spans="1:27" ht="15.75" customHeight="1">
      <c r="A593" s="792"/>
      <c r="B593" s="792"/>
      <c r="C593" s="792"/>
      <c r="D593" s="792"/>
      <c r="E593" s="792"/>
      <c r="F593" s="792"/>
      <c r="G593" s="792"/>
      <c r="H593" s="792"/>
      <c r="I593" s="792"/>
      <c r="J593" s="792"/>
      <c r="K593" s="792"/>
      <c r="L593" s="792"/>
      <c r="M593" s="792"/>
      <c r="N593" s="792"/>
      <c r="O593" s="792"/>
      <c r="P593" s="792"/>
      <c r="Q593" s="1169"/>
      <c r="R593" s="792"/>
      <c r="S593" s="792"/>
      <c r="T593" s="792"/>
      <c r="U593" s="792"/>
      <c r="V593" s="793"/>
      <c r="W593" s="793"/>
      <c r="X593" s="792"/>
      <c r="Y593" s="792"/>
      <c r="Z593" s="792"/>
      <c r="AA593" s="792"/>
    </row>
    <row r="594" spans="1:27" ht="15.75" customHeight="1">
      <c r="A594" s="792"/>
      <c r="B594" s="792"/>
      <c r="C594" s="792"/>
      <c r="D594" s="792"/>
      <c r="E594" s="792"/>
      <c r="F594" s="792"/>
      <c r="G594" s="792"/>
      <c r="H594" s="792"/>
      <c r="I594" s="792"/>
      <c r="J594" s="792"/>
      <c r="K594" s="792"/>
      <c r="L594" s="792"/>
      <c r="M594" s="792"/>
      <c r="N594" s="792"/>
      <c r="O594" s="792"/>
      <c r="P594" s="792"/>
      <c r="Q594" s="1169"/>
      <c r="R594" s="792"/>
      <c r="S594" s="792"/>
      <c r="T594" s="792"/>
      <c r="U594" s="792"/>
      <c r="V594" s="793"/>
      <c r="W594" s="793"/>
      <c r="X594" s="792"/>
      <c r="Y594" s="792"/>
      <c r="Z594" s="792"/>
      <c r="AA594" s="792"/>
    </row>
    <row r="595" spans="1:27" ht="15.75" customHeight="1">
      <c r="A595" s="792"/>
      <c r="B595" s="792"/>
      <c r="C595" s="792"/>
      <c r="D595" s="792"/>
      <c r="E595" s="792"/>
      <c r="F595" s="792"/>
      <c r="G595" s="792"/>
      <c r="H595" s="792"/>
      <c r="I595" s="792"/>
      <c r="J595" s="792"/>
      <c r="K595" s="792"/>
      <c r="L595" s="792"/>
      <c r="M595" s="792"/>
      <c r="N595" s="792"/>
      <c r="O595" s="792"/>
      <c r="P595" s="792"/>
      <c r="Q595" s="1169"/>
      <c r="R595" s="792"/>
      <c r="S595" s="792"/>
      <c r="T595" s="792"/>
      <c r="U595" s="792"/>
      <c r="V595" s="793"/>
      <c r="W595" s="793"/>
      <c r="X595" s="792"/>
      <c r="Y595" s="792"/>
      <c r="Z595" s="792"/>
      <c r="AA595" s="792"/>
    </row>
    <row r="596" spans="1:27" ht="15.75" customHeight="1">
      <c r="A596" s="792"/>
      <c r="B596" s="792"/>
      <c r="C596" s="792"/>
      <c r="D596" s="792"/>
      <c r="E596" s="792"/>
      <c r="F596" s="792"/>
      <c r="G596" s="792"/>
      <c r="H596" s="792"/>
      <c r="I596" s="792"/>
      <c r="J596" s="792"/>
      <c r="K596" s="792"/>
      <c r="L596" s="792"/>
      <c r="M596" s="792"/>
      <c r="N596" s="792"/>
      <c r="O596" s="792"/>
      <c r="P596" s="792"/>
      <c r="Q596" s="1169"/>
      <c r="R596" s="792"/>
      <c r="S596" s="792"/>
      <c r="T596" s="792"/>
      <c r="U596" s="792"/>
      <c r="V596" s="793"/>
      <c r="W596" s="793"/>
      <c r="X596" s="792"/>
      <c r="Y596" s="792"/>
      <c r="Z596" s="792"/>
      <c r="AA596" s="792"/>
    </row>
    <row r="597" spans="1:27" ht="15.75" customHeight="1">
      <c r="A597" s="792"/>
      <c r="B597" s="792"/>
      <c r="C597" s="792"/>
      <c r="D597" s="792"/>
      <c r="E597" s="792"/>
      <c r="F597" s="792"/>
      <c r="G597" s="792"/>
      <c r="H597" s="792"/>
      <c r="I597" s="792"/>
      <c r="J597" s="792"/>
      <c r="K597" s="792"/>
      <c r="L597" s="792"/>
      <c r="M597" s="792"/>
      <c r="N597" s="792"/>
      <c r="O597" s="792"/>
      <c r="P597" s="792"/>
      <c r="Q597" s="1169"/>
      <c r="R597" s="792"/>
      <c r="S597" s="792"/>
      <c r="T597" s="792"/>
      <c r="U597" s="792"/>
      <c r="V597" s="793"/>
      <c r="W597" s="793"/>
      <c r="X597" s="792"/>
      <c r="Y597" s="792"/>
      <c r="Z597" s="792"/>
      <c r="AA597" s="792"/>
    </row>
    <row r="598" spans="1:27" ht="15.75" customHeight="1">
      <c r="A598" s="792"/>
      <c r="B598" s="792"/>
      <c r="C598" s="792"/>
      <c r="D598" s="792"/>
      <c r="E598" s="792"/>
      <c r="F598" s="792"/>
      <c r="G598" s="792"/>
      <c r="H598" s="792"/>
      <c r="I598" s="792"/>
      <c r="J598" s="792"/>
      <c r="K598" s="792"/>
      <c r="L598" s="792"/>
      <c r="M598" s="792"/>
      <c r="N598" s="792"/>
      <c r="O598" s="792"/>
      <c r="P598" s="792"/>
      <c r="Q598" s="1169"/>
      <c r="R598" s="792"/>
      <c r="S598" s="792"/>
      <c r="T598" s="792"/>
      <c r="U598" s="792"/>
      <c r="V598" s="793"/>
      <c r="W598" s="793"/>
      <c r="X598" s="792"/>
      <c r="Y598" s="792"/>
      <c r="Z598" s="792"/>
      <c r="AA598" s="792"/>
    </row>
    <row r="599" spans="1:27" ht="15.75" customHeight="1">
      <c r="A599" s="792"/>
      <c r="B599" s="792"/>
      <c r="C599" s="792"/>
      <c r="D599" s="792"/>
      <c r="E599" s="792"/>
      <c r="F599" s="792"/>
      <c r="G599" s="792"/>
      <c r="H599" s="792"/>
      <c r="I599" s="792"/>
      <c r="J599" s="792"/>
      <c r="K599" s="792"/>
      <c r="L599" s="792"/>
      <c r="M599" s="792"/>
      <c r="N599" s="792"/>
      <c r="O599" s="792"/>
      <c r="P599" s="792"/>
      <c r="Q599" s="1169"/>
      <c r="R599" s="792"/>
      <c r="S599" s="792"/>
      <c r="T599" s="792"/>
      <c r="U599" s="792"/>
      <c r="V599" s="793"/>
      <c r="W599" s="793"/>
      <c r="X599" s="792"/>
      <c r="Y599" s="792"/>
      <c r="Z599" s="792"/>
      <c r="AA599" s="792"/>
    </row>
    <row r="600" spans="1:27" ht="15.75" customHeight="1">
      <c r="A600" s="792"/>
      <c r="B600" s="792"/>
      <c r="C600" s="792"/>
      <c r="D600" s="792"/>
      <c r="E600" s="792"/>
      <c r="F600" s="792"/>
      <c r="G600" s="792"/>
      <c r="H600" s="792"/>
      <c r="I600" s="792"/>
      <c r="J600" s="792"/>
      <c r="K600" s="792"/>
      <c r="L600" s="792"/>
      <c r="M600" s="792"/>
      <c r="N600" s="792"/>
      <c r="O600" s="792"/>
      <c r="P600" s="792"/>
      <c r="Q600" s="1169"/>
      <c r="R600" s="792"/>
      <c r="S600" s="792"/>
      <c r="T600" s="792"/>
      <c r="U600" s="792"/>
      <c r="V600" s="793"/>
      <c r="W600" s="793"/>
      <c r="X600" s="792"/>
      <c r="Y600" s="792"/>
      <c r="Z600" s="792"/>
      <c r="AA600" s="792"/>
    </row>
    <row r="601" spans="1:27" ht="15.75" customHeight="1">
      <c r="A601" s="792"/>
      <c r="B601" s="792"/>
      <c r="C601" s="792"/>
      <c r="D601" s="792"/>
      <c r="E601" s="792"/>
      <c r="F601" s="792"/>
      <c r="G601" s="792"/>
      <c r="H601" s="792"/>
      <c r="I601" s="792"/>
      <c r="J601" s="792"/>
      <c r="K601" s="792"/>
      <c r="L601" s="792"/>
      <c r="M601" s="792"/>
      <c r="N601" s="792"/>
      <c r="O601" s="792"/>
      <c r="P601" s="792"/>
      <c r="Q601" s="1169"/>
      <c r="R601" s="792"/>
      <c r="S601" s="792"/>
      <c r="T601" s="792"/>
      <c r="U601" s="792"/>
      <c r="V601" s="793"/>
      <c r="W601" s="793"/>
      <c r="X601" s="792"/>
      <c r="Y601" s="792"/>
      <c r="Z601" s="792"/>
      <c r="AA601" s="792"/>
    </row>
    <row r="602" spans="1:27" ht="15.75" customHeight="1">
      <c r="A602" s="792"/>
      <c r="B602" s="792"/>
      <c r="C602" s="792"/>
      <c r="D602" s="792"/>
      <c r="E602" s="792"/>
      <c r="F602" s="792"/>
      <c r="G602" s="792"/>
      <c r="H602" s="792"/>
      <c r="I602" s="792"/>
      <c r="J602" s="792"/>
      <c r="K602" s="792"/>
      <c r="L602" s="792"/>
      <c r="M602" s="792"/>
      <c r="N602" s="792"/>
      <c r="O602" s="792"/>
      <c r="P602" s="792"/>
      <c r="Q602" s="1169"/>
      <c r="R602" s="792"/>
      <c r="S602" s="792"/>
      <c r="T602" s="792"/>
      <c r="U602" s="792"/>
      <c r="V602" s="793"/>
      <c r="W602" s="793"/>
      <c r="X602" s="792"/>
      <c r="Y602" s="792"/>
      <c r="Z602" s="792"/>
      <c r="AA602" s="792"/>
    </row>
    <row r="603" spans="1:27" ht="15.75" customHeight="1">
      <c r="A603" s="792"/>
      <c r="B603" s="792"/>
      <c r="C603" s="792"/>
      <c r="D603" s="792"/>
      <c r="E603" s="792"/>
      <c r="F603" s="792"/>
      <c r="G603" s="792"/>
      <c r="H603" s="792"/>
      <c r="I603" s="792"/>
      <c r="J603" s="792"/>
      <c r="K603" s="792"/>
      <c r="L603" s="792"/>
      <c r="M603" s="792"/>
      <c r="N603" s="792"/>
      <c r="O603" s="792"/>
      <c r="P603" s="792"/>
      <c r="Q603" s="1169"/>
      <c r="R603" s="792"/>
      <c r="S603" s="792"/>
      <c r="T603" s="792"/>
      <c r="U603" s="792"/>
      <c r="V603" s="793"/>
      <c r="W603" s="793"/>
      <c r="X603" s="792"/>
      <c r="Y603" s="792"/>
      <c r="Z603" s="792"/>
      <c r="AA603" s="792"/>
    </row>
    <row r="604" spans="1:27" ht="15.75" customHeight="1">
      <c r="A604" s="792"/>
      <c r="B604" s="792"/>
      <c r="C604" s="792"/>
      <c r="D604" s="792"/>
      <c r="E604" s="792"/>
      <c r="F604" s="792"/>
      <c r="G604" s="792"/>
      <c r="H604" s="792"/>
      <c r="I604" s="792"/>
      <c r="J604" s="792"/>
      <c r="K604" s="792"/>
      <c r="L604" s="792"/>
      <c r="M604" s="792"/>
      <c r="N604" s="792"/>
      <c r="O604" s="792"/>
      <c r="P604" s="792"/>
      <c r="Q604" s="1169"/>
      <c r="R604" s="792"/>
      <c r="S604" s="792"/>
      <c r="T604" s="792"/>
      <c r="U604" s="792"/>
      <c r="V604" s="793"/>
      <c r="W604" s="793"/>
      <c r="X604" s="792"/>
      <c r="Y604" s="792"/>
      <c r="Z604" s="792"/>
      <c r="AA604" s="792"/>
    </row>
    <row r="605" spans="1:27" ht="15.75" customHeight="1">
      <c r="A605" s="792"/>
      <c r="B605" s="792"/>
      <c r="C605" s="792"/>
      <c r="D605" s="792"/>
      <c r="E605" s="792"/>
      <c r="F605" s="792"/>
      <c r="G605" s="792"/>
      <c r="H605" s="792"/>
      <c r="I605" s="792"/>
      <c r="J605" s="792"/>
      <c r="K605" s="792"/>
      <c r="L605" s="792"/>
      <c r="M605" s="792"/>
      <c r="N605" s="792"/>
      <c r="O605" s="792"/>
      <c r="P605" s="792"/>
      <c r="Q605" s="1169"/>
      <c r="R605" s="792"/>
      <c r="S605" s="792"/>
      <c r="T605" s="792"/>
      <c r="U605" s="792"/>
      <c r="V605" s="793"/>
      <c r="W605" s="793"/>
      <c r="X605" s="792"/>
      <c r="Y605" s="792"/>
      <c r="Z605" s="792"/>
      <c r="AA605" s="792"/>
    </row>
    <row r="606" spans="1:27" ht="15.75" customHeight="1">
      <c r="A606" s="792"/>
      <c r="B606" s="792"/>
      <c r="C606" s="792"/>
      <c r="D606" s="792"/>
      <c r="E606" s="792"/>
      <c r="F606" s="792"/>
      <c r="G606" s="792"/>
      <c r="H606" s="792"/>
      <c r="I606" s="792"/>
      <c r="J606" s="792"/>
      <c r="K606" s="792"/>
      <c r="L606" s="792"/>
      <c r="M606" s="792"/>
      <c r="N606" s="792"/>
      <c r="O606" s="792"/>
      <c r="P606" s="792"/>
      <c r="Q606" s="1169"/>
      <c r="R606" s="792"/>
      <c r="S606" s="792"/>
      <c r="T606" s="792"/>
      <c r="U606" s="792"/>
      <c r="V606" s="793"/>
      <c r="W606" s="793"/>
      <c r="X606" s="792"/>
      <c r="Y606" s="792"/>
      <c r="Z606" s="792"/>
      <c r="AA606" s="792"/>
    </row>
    <row r="607" spans="1:27" ht="15.75" customHeight="1">
      <c r="A607" s="792"/>
      <c r="B607" s="792"/>
      <c r="C607" s="792"/>
      <c r="D607" s="792"/>
      <c r="E607" s="792"/>
      <c r="F607" s="792"/>
      <c r="G607" s="792"/>
      <c r="H607" s="792"/>
      <c r="I607" s="792"/>
      <c r="J607" s="792"/>
      <c r="K607" s="792"/>
      <c r="L607" s="792"/>
      <c r="M607" s="792"/>
      <c r="N607" s="792"/>
      <c r="O607" s="792"/>
      <c r="P607" s="792"/>
      <c r="Q607" s="1169"/>
      <c r="R607" s="792"/>
      <c r="S607" s="792"/>
      <c r="T607" s="792"/>
      <c r="U607" s="792"/>
      <c r="V607" s="793"/>
      <c r="W607" s="793"/>
      <c r="X607" s="792"/>
      <c r="Y607" s="792"/>
      <c r="Z607" s="792"/>
      <c r="AA607" s="792"/>
    </row>
    <row r="608" spans="1:27" ht="15.75" customHeight="1">
      <c r="A608" s="792"/>
      <c r="B608" s="792"/>
      <c r="C608" s="792"/>
      <c r="D608" s="792"/>
      <c r="E608" s="792"/>
      <c r="F608" s="792"/>
      <c r="G608" s="792"/>
      <c r="H608" s="792"/>
      <c r="I608" s="792"/>
      <c r="J608" s="792"/>
      <c r="K608" s="792"/>
      <c r="L608" s="792"/>
      <c r="M608" s="792"/>
      <c r="N608" s="792"/>
      <c r="O608" s="792"/>
      <c r="P608" s="792"/>
      <c r="Q608" s="1169"/>
      <c r="R608" s="792"/>
      <c r="S608" s="792"/>
      <c r="T608" s="792"/>
      <c r="U608" s="792"/>
      <c r="V608" s="793"/>
      <c r="W608" s="793"/>
      <c r="X608" s="792"/>
      <c r="Y608" s="792"/>
      <c r="Z608" s="792"/>
      <c r="AA608" s="792"/>
    </row>
    <row r="609" spans="1:27" ht="15.75" customHeight="1">
      <c r="A609" s="792"/>
      <c r="B609" s="792"/>
      <c r="C609" s="792"/>
      <c r="D609" s="792"/>
      <c r="E609" s="792"/>
      <c r="F609" s="792"/>
      <c r="G609" s="792"/>
      <c r="H609" s="792"/>
      <c r="I609" s="792"/>
      <c r="J609" s="792"/>
      <c r="K609" s="792"/>
      <c r="L609" s="792"/>
      <c r="M609" s="792"/>
      <c r="N609" s="792"/>
      <c r="O609" s="792"/>
      <c r="P609" s="792"/>
      <c r="Q609" s="1169"/>
      <c r="R609" s="792"/>
      <c r="S609" s="792"/>
      <c r="T609" s="792"/>
      <c r="U609" s="792"/>
      <c r="V609" s="793"/>
      <c r="W609" s="793"/>
      <c r="X609" s="792"/>
      <c r="Y609" s="792"/>
      <c r="Z609" s="792"/>
      <c r="AA609" s="792"/>
    </row>
    <row r="610" spans="1:27" ht="15.75" customHeight="1">
      <c r="A610" s="792"/>
      <c r="B610" s="792"/>
      <c r="C610" s="792"/>
      <c r="D610" s="792"/>
      <c r="E610" s="792"/>
      <c r="F610" s="792"/>
      <c r="G610" s="792"/>
      <c r="H610" s="792"/>
      <c r="I610" s="792"/>
      <c r="J610" s="792"/>
      <c r="K610" s="792"/>
      <c r="L610" s="792"/>
      <c r="M610" s="792"/>
      <c r="N610" s="792"/>
      <c r="O610" s="792"/>
      <c r="P610" s="792"/>
      <c r="Q610" s="1169"/>
      <c r="R610" s="792"/>
      <c r="S610" s="792"/>
      <c r="T610" s="792"/>
      <c r="U610" s="792"/>
      <c r="V610" s="793"/>
      <c r="W610" s="793"/>
      <c r="X610" s="792"/>
      <c r="Y610" s="792"/>
      <c r="Z610" s="792"/>
      <c r="AA610" s="792"/>
    </row>
    <row r="611" spans="1:27" ht="15.75" customHeight="1">
      <c r="A611" s="792"/>
      <c r="B611" s="792"/>
      <c r="C611" s="792"/>
      <c r="D611" s="792"/>
      <c r="E611" s="792"/>
      <c r="F611" s="792"/>
      <c r="G611" s="792"/>
      <c r="H611" s="792"/>
      <c r="I611" s="792"/>
      <c r="J611" s="792"/>
      <c r="K611" s="792"/>
      <c r="L611" s="792"/>
      <c r="M611" s="792"/>
      <c r="N611" s="792"/>
      <c r="O611" s="792"/>
      <c r="P611" s="792"/>
      <c r="Q611" s="1169"/>
      <c r="R611" s="792"/>
      <c r="S611" s="792"/>
      <c r="T611" s="792"/>
      <c r="U611" s="792"/>
      <c r="V611" s="793"/>
      <c r="W611" s="793"/>
      <c r="X611" s="792"/>
      <c r="Y611" s="792"/>
      <c r="Z611" s="792"/>
      <c r="AA611" s="792"/>
    </row>
    <row r="612" spans="1:27" ht="15.75" customHeight="1">
      <c r="A612" s="792"/>
      <c r="B612" s="792"/>
      <c r="C612" s="792"/>
      <c r="D612" s="792"/>
      <c r="E612" s="792"/>
      <c r="F612" s="792"/>
      <c r="G612" s="792"/>
      <c r="H612" s="792"/>
      <c r="I612" s="792"/>
      <c r="J612" s="792"/>
      <c r="K612" s="792"/>
      <c r="L612" s="792"/>
      <c r="M612" s="792"/>
      <c r="N612" s="792"/>
      <c r="O612" s="792"/>
      <c r="P612" s="792"/>
      <c r="Q612" s="1169"/>
      <c r="R612" s="792"/>
      <c r="S612" s="792"/>
      <c r="T612" s="792"/>
      <c r="U612" s="792"/>
      <c r="V612" s="793"/>
      <c r="W612" s="793"/>
      <c r="X612" s="792"/>
      <c r="Y612" s="792"/>
      <c r="Z612" s="792"/>
      <c r="AA612" s="792"/>
    </row>
    <row r="613" spans="1:27" ht="15.75" customHeight="1">
      <c r="A613" s="792"/>
      <c r="B613" s="792"/>
      <c r="C613" s="792"/>
      <c r="D613" s="792"/>
      <c r="E613" s="792"/>
      <c r="F613" s="792"/>
      <c r="G613" s="792"/>
      <c r="H613" s="792"/>
      <c r="I613" s="792"/>
      <c r="J613" s="792"/>
      <c r="K613" s="792"/>
      <c r="L613" s="792"/>
      <c r="M613" s="792"/>
      <c r="N613" s="792"/>
      <c r="O613" s="792"/>
      <c r="P613" s="792"/>
      <c r="Q613" s="1169"/>
      <c r="R613" s="792"/>
      <c r="S613" s="792"/>
      <c r="T613" s="792"/>
      <c r="U613" s="792"/>
      <c r="V613" s="793"/>
      <c r="W613" s="793"/>
      <c r="X613" s="792"/>
      <c r="Y613" s="792"/>
      <c r="Z613" s="792"/>
      <c r="AA613" s="792"/>
    </row>
    <row r="614" spans="1:27" ht="15.75" customHeight="1">
      <c r="A614" s="792"/>
      <c r="B614" s="792"/>
      <c r="C614" s="792"/>
      <c r="D614" s="792"/>
      <c r="E614" s="792"/>
      <c r="F614" s="792"/>
      <c r="G614" s="792"/>
      <c r="H614" s="792"/>
      <c r="I614" s="792"/>
      <c r="J614" s="792"/>
      <c r="K614" s="792"/>
      <c r="L614" s="792"/>
      <c r="M614" s="792"/>
      <c r="N614" s="792"/>
      <c r="O614" s="792"/>
      <c r="P614" s="792"/>
      <c r="Q614" s="1169"/>
      <c r="R614" s="792"/>
      <c r="S614" s="792"/>
      <c r="T614" s="792"/>
      <c r="U614" s="792"/>
      <c r="V614" s="793"/>
      <c r="W614" s="793"/>
      <c r="X614" s="792"/>
      <c r="Y614" s="792"/>
      <c r="Z614" s="792"/>
      <c r="AA614" s="792"/>
    </row>
    <row r="615" spans="1:27" ht="15.75" customHeight="1">
      <c r="A615" s="792"/>
      <c r="B615" s="792"/>
      <c r="C615" s="792"/>
      <c r="D615" s="792"/>
      <c r="E615" s="792"/>
      <c r="F615" s="792"/>
      <c r="G615" s="792"/>
      <c r="H615" s="792"/>
      <c r="I615" s="792"/>
      <c r="J615" s="792"/>
      <c r="K615" s="792"/>
      <c r="L615" s="792"/>
      <c r="M615" s="792"/>
      <c r="N615" s="792"/>
      <c r="O615" s="792"/>
      <c r="P615" s="792"/>
      <c r="Q615" s="1169"/>
      <c r="R615" s="792"/>
      <c r="S615" s="792"/>
      <c r="T615" s="792"/>
      <c r="U615" s="792"/>
      <c r="V615" s="793"/>
      <c r="W615" s="793"/>
      <c r="X615" s="792"/>
      <c r="Y615" s="792"/>
      <c r="Z615" s="792"/>
      <c r="AA615" s="792"/>
    </row>
    <row r="616" spans="1:27" ht="15.75" customHeight="1">
      <c r="A616" s="792"/>
      <c r="B616" s="792"/>
      <c r="C616" s="792"/>
      <c r="D616" s="792"/>
      <c r="E616" s="792"/>
      <c r="F616" s="792"/>
      <c r="G616" s="792"/>
      <c r="H616" s="792"/>
      <c r="I616" s="792"/>
      <c r="J616" s="792"/>
      <c r="K616" s="792"/>
      <c r="L616" s="792"/>
      <c r="M616" s="792"/>
      <c r="N616" s="792"/>
      <c r="O616" s="792"/>
      <c r="P616" s="792"/>
      <c r="Q616" s="1169"/>
      <c r="R616" s="792"/>
      <c r="S616" s="792"/>
      <c r="T616" s="792"/>
      <c r="U616" s="792"/>
      <c r="V616" s="793"/>
      <c r="W616" s="793"/>
      <c r="X616" s="792"/>
      <c r="Y616" s="792"/>
      <c r="Z616" s="792"/>
      <c r="AA616" s="792"/>
    </row>
    <row r="617" spans="1:27" ht="15.75" customHeight="1">
      <c r="A617" s="792"/>
      <c r="B617" s="792"/>
      <c r="C617" s="792"/>
      <c r="D617" s="792"/>
      <c r="E617" s="792"/>
      <c r="F617" s="792"/>
      <c r="G617" s="792"/>
      <c r="H617" s="792"/>
      <c r="I617" s="792"/>
      <c r="J617" s="792"/>
      <c r="K617" s="792"/>
      <c r="L617" s="792"/>
      <c r="M617" s="792"/>
      <c r="N617" s="792"/>
      <c r="O617" s="792"/>
      <c r="P617" s="792"/>
      <c r="Q617" s="1169"/>
      <c r="R617" s="792"/>
      <c r="S617" s="792"/>
      <c r="T617" s="792"/>
      <c r="U617" s="792"/>
      <c r="V617" s="793"/>
      <c r="W617" s="793"/>
      <c r="X617" s="792"/>
      <c r="Y617" s="792"/>
      <c r="Z617" s="792"/>
      <c r="AA617" s="792"/>
    </row>
    <row r="618" spans="1:27" ht="15.75" customHeight="1">
      <c r="A618" s="792"/>
      <c r="B618" s="792"/>
      <c r="C618" s="792"/>
      <c r="D618" s="792"/>
      <c r="E618" s="792"/>
      <c r="F618" s="792"/>
      <c r="G618" s="792"/>
      <c r="H618" s="792"/>
      <c r="I618" s="792"/>
      <c r="J618" s="792"/>
      <c r="K618" s="792"/>
      <c r="L618" s="792"/>
      <c r="M618" s="792"/>
      <c r="N618" s="792"/>
      <c r="O618" s="792"/>
      <c r="P618" s="792"/>
      <c r="Q618" s="1169"/>
      <c r="R618" s="792"/>
      <c r="S618" s="792"/>
      <c r="T618" s="792"/>
      <c r="U618" s="792"/>
      <c r="V618" s="793"/>
      <c r="W618" s="793"/>
      <c r="X618" s="792"/>
      <c r="Y618" s="792"/>
      <c r="Z618" s="792"/>
      <c r="AA618" s="792"/>
    </row>
    <row r="619" spans="1:27" ht="15.75" customHeight="1">
      <c r="A619" s="792"/>
      <c r="B619" s="792"/>
      <c r="C619" s="792"/>
      <c r="D619" s="792"/>
      <c r="E619" s="792"/>
      <c r="F619" s="792"/>
      <c r="G619" s="792"/>
      <c r="H619" s="792"/>
      <c r="I619" s="792"/>
      <c r="J619" s="792"/>
      <c r="K619" s="792"/>
      <c r="L619" s="792"/>
      <c r="M619" s="792"/>
      <c r="N619" s="792"/>
      <c r="O619" s="792"/>
      <c r="P619" s="792"/>
      <c r="Q619" s="1169"/>
      <c r="R619" s="792"/>
      <c r="S619" s="792"/>
      <c r="T619" s="792"/>
      <c r="U619" s="792"/>
      <c r="V619" s="793"/>
      <c r="W619" s="793"/>
      <c r="X619" s="792"/>
      <c r="Y619" s="792"/>
      <c r="Z619" s="792"/>
      <c r="AA619" s="792"/>
    </row>
    <row r="620" spans="1:27" ht="15.75" customHeight="1">
      <c r="A620" s="792"/>
      <c r="B620" s="792"/>
      <c r="C620" s="792"/>
      <c r="D620" s="792"/>
      <c r="E620" s="792"/>
      <c r="F620" s="792"/>
      <c r="G620" s="792"/>
      <c r="H620" s="792"/>
      <c r="I620" s="792"/>
      <c r="J620" s="792"/>
      <c r="K620" s="792"/>
      <c r="L620" s="792"/>
      <c r="M620" s="792"/>
      <c r="N620" s="792"/>
      <c r="O620" s="792"/>
      <c r="P620" s="792"/>
      <c r="Q620" s="1169"/>
      <c r="R620" s="792"/>
      <c r="S620" s="792"/>
      <c r="T620" s="792"/>
      <c r="U620" s="792"/>
      <c r="V620" s="793"/>
      <c r="W620" s="793"/>
      <c r="X620" s="792"/>
      <c r="Y620" s="792"/>
      <c r="Z620" s="792"/>
      <c r="AA620" s="792"/>
    </row>
    <row r="621" spans="1:27" ht="15.75" customHeight="1">
      <c r="A621" s="792"/>
      <c r="B621" s="792"/>
      <c r="C621" s="792"/>
      <c r="D621" s="792"/>
      <c r="E621" s="792"/>
      <c r="F621" s="792"/>
      <c r="G621" s="792"/>
      <c r="H621" s="792"/>
      <c r="I621" s="792"/>
      <c r="J621" s="792"/>
      <c r="K621" s="792"/>
      <c r="L621" s="792"/>
      <c r="M621" s="792"/>
      <c r="N621" s="792"/>
      <c r="O621" s="792"/>
      <c r="P621" s="792"/>
      <c r="Q621" s="1169"/>
      <c r="R621" s="792"/>
      <c r="S621" s="792"/>
      <c r="T621" s="792"/>
      <c r="U621" s="792"/>
      <c r="V621" s="793"/>
      <c r="W621" s="793"/>
      <c r="X621" s="792"/>
      <c r="Y621" s="792"/>
      <c r="Z621" s="792"/>
      <c r="AA621" s="792"/>
    </row>
    <row r="622" spans="1:27" ht="15.75" customHeight="1">
      <c r="A622" s="792"/>
      <c r="B622" s="792"/>
      <c r="C622" s="792"/>
      <c r="D622" s="792"/>
      <c r="E622" s="792"/>
      <c r="F622" s="792"/>
      <c r="G622" s="792"/>
      <c r="H622" s="792"/>
      <c r="I622" s="792"/>
      <c r="J622" s="792"/>
      <c r="K622" s="792"/>
      <c r="L622" s="792"/>
      <c r="M622" s="792"/>
      <c r="N622" s="792"/>
      <c r="O622" s="792"/>
      <c r="P622" s="792"/>
      <c r="Q622" s="1169"/>
      <c r="R622" s="792"/>
      <c r="S622" s="792"/>
      <c r="T622" s="792"/>
      <c r="U622" s="792"/>
      <c r="V622" s="793"/>
      <c r="W622" s="793"/>
      <c r="X622" s="792"/>
      <c r="Y622" s="792"/>
      <c r="Z622" s="792"/>
      <c r="AA622" s="792"/>
    </row>
    <row r="623" spans="1:27" ht="15.75" customHeight="1">
      <c r="A623" s="792"/>
      <c r="B623" s="792"/>
      <c r="C623" s="792"/>
      <c r="D623" s="792"/>
      <c r="E623" s="792"/>
      <c r="F623" s="792"/>
      <c r="G623" s="792"/>
      <c r="H623" s="792"/>
      <c r="I623" s="792"/>
      <c r="J623" s="792"/>
      <c r="K623" s="792"/>
      <c r="L623" s="792"/>
      <c r="M623" s="792"/>
      <c r="N623" s="792"/>
      <c r="O623" s="792"/>
      <c r="P623" s="792"/>
      <c r="Q623" s="1169"/>
      <c r="R623" s="792"/>
      <c r="S623" s="792"/>
      <c r="T623" s="792"/>
      <c r="U623" s="792"/>
      <c r="V623" s="793"/>
      <c r="W623" s="793"/>
      <c r="X623" s="792"/>
      <c r="Y623" s="792"/>
      <c r="Z623" s="792"/>
      <c r="AA623" s="792"/>
    </row>
    <row r="624" spans="1:27" ht="15.75" customHeight="1">
      <c r="A624" s="792"/>
      <c r="B624" s="792"/>
      <c r="C624" s="792"/>
      <c r="D624" s="792"/>
      <c r="E624" s="792"/>
      <c r="F624" s="792"/>
      <c r="G624" s="792"/>
      <c r="H624" s="792"/>
      <c r="I624" s="792"/>
      <c r="J624" s="792"/>
      <c r="K624" s="792"/>
      <c r="L624" s="792"/>
      <c r="M624" s="792"/>
      <c r="N624" s="792"/>
      <c r="O624" s="792"/>
      <c r="P624" s="792"/>
      <c r="Q624" s="1169"/>
      <c r="R624" s="792"/>
      <c r="S624" s="792"/>
      <c r="T624" s="792"/>
      <c r="U624" s="792"/>
      <c r="V624" s="793"/>
      <c r="W624" s="793"/>
      <c r="X624" s="792"/>
      <c r="Y624" s="792"/>
      <c r="Z624" s="792"/>
      <c r="AA624" s="792"/>
    </row>
    <row r="625" spans="1:27" ht="15.75" customHeight="1">
      <c r="A625" s="792"/>
      <c r="B625" s="792"/>
      <c r="C625" s="792"/>
      <c r="D625" s="792"/>
      <c r="E625" s="792"/>
      <c r="F625" s="792"/>
      <c r="G625" s="792"/>
      <c r="H625" s="792"/>
      <c r="I625" s="792"/>
      <c r="J625" s="792"/>
      <c r="K625" s="792"/>
      <c r="L625" s="792"/>
      <c r="M625" s="792"/>
      <c r="N625" s="792"/>
      <c r="O625" s="792"/>
      <c r="P625" s="792"/>
      <c r="Q625" s="1169"/>
      <c r="R625" s="792"/>
      <c r="S625" s="792"/>
      <c r="T625" s="792"/>
      <c r="U625" s="792"/>
      <c r="V625" s="793"/>
      <c r="W625" s="793"/>
      <c r="X625" s="792"/>
      <c r="Y625" s="792"/>
      <c r="Z625" s="792"/>
      <c r="AA625" s="792"/>
    </row>
    <row r="626" spans="1:27" ht="15.75" customHeight="1">
      <c r="A626" s="792"/>
      <c r="B626" s="792"/>
      <c r="C626" s="792"/>
      <c r="D626" s="792"/>
      <c r="E626" s="792"/>
      <c r="F626" s="792"/>
      <c r="G626" s="792"/>
      <c r="H626" s="792"/>
      <c r="I626" s="792"/>
      <c r="J626" s="792"/>
      <c r="K626" s="792"/>
      <c r="L626" s="792"/>
      <c r="M626" s="792"/>
      <c r="N626" s="792"/>
      <c r="O626" s="792"/>
      <c r="P626" s="792"/>
      <c r="Q626" s="1169"/>
      <c r="R626" s="792"/>
      <c r="S626" s="792"/>
      <c r="T626" s="792"/>
      <c r="U626" s="792"/>
      <c r="V626" s="793"/>
      <c r="W626" s="793"/>
      <c r="X626" s="792"/>
      <c r="Y626" s="792"/>
      <c r="Z626" s="792"/>
      <c r="AA626" s="792"/>
    </row>
    <row r="627" spans="1:27" ht="15.75" customHeight="1">
      <c r="A627" s="792"/>
      <c r="B627" s="792"/>
      <c r="C627" s="792"/>
      <c r="D627" s="792"/>
      <c r="E627" s="792"/>
      <c r="F627" s="792"/>
      <c r="G627" s="792"/>
      <c r="H627" s="792"/>
      <c r="I627" s="792"/>
      <c r="J627" s="792"/>
      <c r="K627" s="792"/>
      <c r="L627" s="792"/>
      <c r="M627" s="792"/>
      <c r="N627" s="792"/>
      <c r="O627" s="792"/>
      <c r="P627" s="792"/>
      <c r="Q627" s="1169"/>
      <c r="R627" s="792"/>
      <c r="S627" s="792"/>
      <c r="T627" s="792"/>
      <c r="U627" s="792"/>
      <c r="V627" s="793"/>
      <c r="W627" s="793"/>
      <c r="X627" s="792"/>
      <c r="Y627" s="792"/>
      <c r="Z627" s="792"/>
      <c r="AA627" s="792"/>
    </row>
    <row r="628" spans="1:27" ht="15.75" customHeight="1">
      <c r="A628" s="792"/>
      <c r="B628" s="792"/>
      <c r="C628" s="792"/>
      <c r="D628" s="792"/>
      <c r="E628" s="792"/>
      <c r="F628" s="792"/>
      <c r="G628" s="792"/>
      <c r="H628" s="792"/>
      <c r="I628" s="792"/>
      <c r="J628" s="792"/>
      <c r="K628" s="792"/>
      <c r="L628" s="792"/>
      <c r="M628" s="792"/>
      <c r="N628" s="792"/>
      <c r="O628" s="792"/>
      <c r="P628" s="792"/>
      <c r="Q628" s="1169"/>
      <c r="R628" s="792"/>
      <c r="S628" s="792"/>
      <c r="T628" s="792"/>
      <c r="U628" s="792"/>
      <c r="V628" s="793"/>
      <c r="W628" s="793"/>
      <c r="X628" s="792"/>
      <c r="Y628" s="792"/>
      <c r="Z628" s="792"/>
      <c r="AA628" s="792"/>
    </row>
    <row r="629" spans="1:27" ht="15.75" customHeight="1">
      <c r="A629" s="792"/>
      <c r="B629" s="792"/>
      <c r="C629" s="792"/>
      <c r="D629" s="792"/>
      <c r="E629" s="792"/>
      <c r="F629" s="792"/>
      <c r="G629" s="792"/>
      <c r="H629" s="792"/>
      <c r="I629" s="792"/>
      <c r="J629" s="792"/>
      <c r="K629" s="792"/>
      <c r="L629" s="792"/>
      <c r="M629" s="792"/>
      <c r="N629" s="792"/>
      <c r="O629" s="792"/>
      <c r="P629" s="792"/>
      <c r="Q629" s="1169"/>
      <c r="R629" s="792"/>
      <c r="S629" s="792"/>
      <c r="T629" s="792"/>
      <c r="U629" s="792"/>
      <c r="V629" s="793"/>
      <c r="W629" s="793"/>
      <c r="X629" s="792"/>
      <c r="Y629" s="792"/>
      <c r="Z629" s="792"/>
      <c r="AA629" s="792"/>
    </row>
    <row r="630" spans="1:27" ht="15.75" customHeight="1">
      <c r="A630" s="792"/>
      <c r="B630" s="792"/>
      <c r="C630" s="792"/>
      <c r="D630" s="792"/>
      <c r="E630" s="792"/>
      <c r="F630" s="792"/>
      <c r="G630" s="792"/>
      <c r="H630" s="792"/>
      <c r="I630" s="792"/>
      <c r="J630" s="792"/>
      <c r="K630" s="792"/>
      <c r="L630" s="792"/>
      <c r="M630" s="792"/>
      <c r="N630" s="792"/>
      <c r="O630" s="792"/>
      <c r="P630" s="792"/>
      <c r="Q630" s="1169"/>
      <c r="R630" s="792"/>
      <c r="S630" s="792"/>
      <c r="T630" s="792"/>
      <c r="U630" s="792"/>
      <c r="V630" s="793"/>
      <c r="W630" s="793"/>
      <c r="X630" s="792"/>
      <c r="Y630" s="792"/>
      <c r="Z630" s="792"/>
      <c r="AA630" s="792"/>
    </row>
    <row r="631" spans="1:27" ht="15.75" customHeight="1">
      <c r="A631" s="792"/>
      <c r="B631" s="792"/>
      <c r="C631" s="792"/>
      <c r="D631" s="792"/>
      <c r="E631" s="792"/>
      <c r="F631" s="792"/>
      <c r="G631" s="792"/>
      <c r="H631" s="792"/>
      <c r="I631" s="792"/>
      <c r="J631" s="792"/>
      <c r="K631" s="792"/>
      <c r="L631" s="792"/>
      <c r="M631" s="792"/>
      <c r="N631" s="792"/>
      <c r="O631" s="792"/>
      <c r="P631" s="792"/>
      <c r="Q631" s="1169"/>
      <c r="R631" s="792"/>
      <c r="S631" s="792"/>
      <c r="T631" s="792"/>
      <c r="U631" s="792"/>
      <c r="V631" s="793"/>
      <c r="W631" s="793"/>
      <c r="X631" s="792"/>
      <c r="Y631" s="792"/>
      <c r="Z631" s="792"/>
      <c r="AA631" s="792"/>
    </row>
    <row r="632" spans="1:27" ht="15.75" customHeight="1">
      <c r="A632" s="792"/>
      <c r="B632" s="792"/>
      <c r="C632" s="792"/>
      <c r="D632" s="792"/>
      <c r="E632" s="792"/>
      <c r="F632" s="792"/>
      <c r="G632" s="792"/>
      <c r="H632" s="792"/>
      <c r="I632" s="792"/>
      <c r="J632" s="792"/>
      <c r="K632" s="792"/>
      <c r="L632" s="792"/>
      <c r="M632" s="792"/>
      <c r="N632" s="792"/>
      <c r="O632" s="792"/>
      <c r="P632" s="792"/>
      <c r="Q632" s="1169"/>
      <c r="R632" s="792"/>
      <c r="S632" s="792"/>
      <c r="T632" s="792"/>
      <c r="U632" s="792"/>
      <c r="V632" s="793"/>
      <c r="W632" s="793"/>
      <c r="X632" s="792"/>
      <c r="Y632" s="792"/>
      <c r="Z632" s="792"/>
      <c r="AA632" s="792"/>
    </row>
    <row r="633" spans="1:27" ht="15.75" customHeight="1">
      <c r="A633" s="792"/>
      <c r="B633" s="792"/>
      <c r="C633" s="792"/>
      <c r="D633" s="792"/>
      <c r="E633" s="792"/>
      <c r="F633" s="792"/>
      <c r="G633" s="792"/>
      <c r="H633" s="792"/>
      <c r="I633" s="792"/>
      <c r="J633" s="792"/>
      <c r="K633" s="792"/>
      <c r="L633" s="792"/>
      <c r="M633" s="792"/>
      <c r="N633" s="792"/>
      <c r="O633" s="792"/>
      <c r="P633" s="792"/>
      <c r="Q633" s="1169"/>
      <c r="R633" s="792"/>
      <c r="S633" s="792"/>
      <c r="T633" s="792"/>
      <c r="U633" s="792"/>
      <c r="V633" s="793"/>
      <c r="W633" s="793"/>
      <c r="X633" s="792"/>
      <c r="Y633" s="792"/>
      <c r="Z633" s="792"/>
      <c r="AA633" s="792"/>
    </row>
    <row r="634" spans="1:27" ht="15.75" customHeight="1">
      <c r="A634" s="792"/>
      <c r="B634" s="792"/>
      <c r="C634" s="792"/>
      <c r="D634" s="792"/>
      <c r="E634" s="792"/>
      <c r="F634" s="792"/>
      <c r="G634" s="792"/>
      <c r="H634" s="792"/>
      <c r="I634" s="792"/>
      <c r="J634" s="792"/>
      <c r="K634" s="792"/>
      <c r="L634" s="792"/>
      <c r="M634" s="792"/>
      <c r="N634" s="792"/>
      <c r="O634" s="792"/>
      <c r="P634" s="792"/>
      <c r="Q634" s="1169"/>
      <c r="R634" s="792"/>
      <c r="S634" s="792"/>
      <c r="T634" s="792"/>
      <c r="U634" s="792"/>
      <c r="V634" s="793"/>
      <c r="W634" s="793"/>
      <c r="X634" s="792"/>
      <c r="Y634" s="792"/>
      <c r="Z634" s="792"/>
      <c r="AA634" s="792"/>
    </row>
    <row r="635" spans="1:27" ht="15.75" customHeight="1">
      <c r="A635" s="792"/>
      <c r="B635" s="792"/>
      <c r="C635" s="792"/>
      <c r="D635" s="792"/>
      <c r="E635" s="792"/>
      <c r="F635" s="792"/>
      <c r="G635" s="792"/>
      <c r="H635" s="792"/>
      <c r="I635" s="792"/>
      <c r="J635" s="792"/>
      <c r="K635" s="792"/>
      <c r="L635" s="792"/>
      <c r="M635" s="792"/>
      <c r="N635" s="792"/>
      <c r="O635" s="792"/>
      <c r="P635" s="792"/>
      <c r="Q635" s="1169"/>
      <c r="R635" s="792"/>
      <c r="S635" s="792"/>
      <c r="T635" s="792"/>
      <c r="U635" s="792"/>
      <c r="V635" s="793"/>
      <c r="W635" s="793"/>
      <c r="X635" s="792"/>
      <c r="Y635" s="792"/>
      <c r="Z635" s="792"/>
      <c r="AA635" s="792"/>
    </row>
    <row r="636" spans="1:27" ht="15.75" customHeight="1">
      <c r="A636" s="792"/>
      <c r="B636" s="792"/>
      <c r="C636" s="792"/>
      <c r="D636" s="792"/>
      <c r="E636" s="792"/>
      <c r="F636" s="792"/>
      <c r="G636" s="792"/>
      <c r="H636" s="792"/>
      <c r="I636" s="792"/>
      <c r="J636" s="792"/>
      <c r="K636" s="792"/>
      <c r="L636" s="792"/>
      <c r="M636" s="792"/>
      <c r="N636" s="792"/>
      <c r="O636" s="792"/>
      <c r="P636" s="792"/>
      <c r="Q636" s="1169"/>
      <c r="R636" s="792"/>
      <c r="S636" s="792"/>
      <c r="T636" s="792"/>
      <c r="U636" s="792"/>
      <c r="V636" s="793"/>
      <c r="W636" s="793"/>
      <c r="X636" s="792"/>
      <c r="Y636" s="792"/>
      <c r="Z636" s="792"/>
      <c r="AA636" s="792"/>
    </row>
    <row r="637" spans="1:27" ht="15.75" customHeight="1">
      <c r="A637" s="792"/>
      <c r="B637" s="792"/>
      <c r="C637" s="792"/>
      <c r="D637" s="792"/>
      <c r="E637" s="792"/>
      <c r="F637" s="792"/>
      <c r="G637" s="792"/>
      <c r="H637" s="792"/>
      <c r="I637" s="792"/>
      <c r="J637" s="792"/>
      <c r="K637" s="792"/>
      <c r="L637" s="792"/>
      <c r="M637" s="792"/>
      <c r="N637" s="792"/>
      <c r="O637" s="792"/>
      <c r="P637" s="792"/>
      <c r="Q637" s="1169"/>
      <c r="R637" s="792"/>
      <c r="S637" s="792"/>
      <c r="T637" s="792"/>
      <c r="U637" s="792"/>
      <c r="V637" s="793"/>
      <c r="W637" s="793"/>
      <c r="X637" s="792"/>
      <c r="Y637" s="792"/>
      <c r="Z637" s="792"/>
      <c r="AA637" s="792"/>
    </row>
    <row r="638" spans="1:27" ht="15.75" customHeight="1">
      <c r="A638" s="792"/>
      <c r="B638" s="792"/>
      <c r="C638" s="792"/>
      <c r="D638" s="792"/>
      <c r="E638" s="792"/>
      <c r="F638" s="792"/>
      <c r="G638" s="792"/>
      <c r="H638" s="792"/>
      <c r="I638" s="792"/>
      <c r="J638" s="792"/>
      <c r="K638" s="792"/>
      <c r="L638" s="792"/>
      <c r="M638" s="792"/>
      <c r="N638" s="792"/>
      <c r="O638" s="792"/>
      <c r="P638" s="792"/>
      <c r="Q638" s="1169"/>
      <c r="R638" s="792"/>
      <c r="S638" s="792"/>
      <c r="T638" s="792"/>
      <c r="U638" s="792"/>
      <c r="V638" s="793"/>
      <c r="W638" s="793"/>
      <c r="X638" s="792"/>
      <c r="Y638" s="792"/>
      <c r="Z638" s="792"/>
      <c r="AA638" s="792"/>
    </row>
    <row r="639" spans="1:27" ht="15.75" customHeight="1">
      <c r="A639" s="792"/>
      <c r="B639" s="792"/>
      <c r="C639" s="792"/>
      <c r="D639" s="792"/>
      <c r="E639" s="792"/>
      <c r="F639" s="792"/>
      <c r="G639" s="792"/>
      <c r="H639" s="792"/>
      <c r="I639" s="792"/>
      <c r="J639" s="792"/>
      <c r="K639" s="792"/>
      <c r="L639" s="792"/>
      <c r="M639" s="792"/>
      <c r="N639" s="792"/>
      <c r="O639" s="792"/>
      <c r="P639" s="792"/>
      <c r="Q639" s="1169"/>
      <c r="R639" s="792"/>
      <c r="S639" s="792"/>
      <c r="T639" s="792"/>
      <c r="U639" s="792"/>
      <c r="V639" s="793"/>
      <c r="W639" s="793"/>
      <c r="X639" s="792"/>
      <c r="Y639" s="792"/>
      <c r="Z639" s="792"/>
      <c r="AA639" s="792"/>
    </row>
    <row r="640" spans="1:27" ht="15.75" customHeight="1">
      <c r="A640" s="792"/>
      <c r="B640" s="792"/>
      <c r="C640" s="792"/>
      <c r="D640" s="792"/>
      <c r="E640" s="792"/>
      <c r="F640" s="792"/>
      <c r="G640" s="792"/>
      <c r="H640" s="792"/>
      <c r="I640" s="792"/>
      <c r="J640" s="792"/>
      <c r="K640" s="792"/>
      <c r="L640" s="792"/>
      <c r="M640" s="792"/>
      <c r="N640" s="792"/>
      <c r="O640" s="792"/>
      <c r="P640" s="792"/>
      <c r="Q640" s="1169"/>
      <c r="R640" s="792"/>
      <c r="S640" s="792"/>
      <c r="T640" s="792"/>
      <c r="U640" s="792"/>
      <c r="V640" s="793"/>
      <c r="W640" s="793"/>
      <c r="X640" s="792"/>
      <c r="Y640" s="792"/>
      <c r="Z640" s="792"/>
      <c r="AA640" s="792"/>
    </row>
    <row r="641" spans="1:27" ht="15.75" customHeight="1">
      <c r="A641" s="792"/>
      <c r="B641" s="792"/>
      <c r="C641" s="792"/>
      <c r="D641" s="792"/>
      <c r="E641" s="792"/>
      <c r="F641" s="792"/>
      <c r="G641" s="792"/>
      <c r="H641" s="792"/>
      <c r="I641" s="792"/>
      <c r="J641" s="792"/>
      <c r="K641" s="792"/>
      <c r="L641" s="792"/>
      <c r="M641" s="792"/>
      <c r="N641" s="792"/>
      <c r="O641" s="792"/>
      <c r="P641" s="792"/>
      <c r="Q641" s="1169"/>
      <c r="R641" s="792"/>
      <c r="S641" s="792"/>
      <c r="T641" s="792"/>
      <c r="U641" s="792"/>
      <c r="V641" s="793"/>
      <c r="W641" s="793"/>
      <c r="X641" s="792"/>
      <c r="Y641" s="792"/>
      <c r="Z641" s="792"/>
      <c r="AA641" s="792"/>
    </row>
    <row r="642" spans="1:27" ht="15.75" customHeight="1">
      <c r="A642" s="792"/>
      <c r="B642" s="792"/>
      <c r="C642" s="792"/>
      <c r="D642" s="792"/>
      <c r="E642" s="792"/>
      <c r="F642" s="792"/>
      <c r="G642" s="792"/>
      <c r="H642" s="792"/>
      <c r="I642" s="792"/>
      <c r="J642" s="792"/>
      <c r="K642" s="792"/>
      <c r="L642" s="792"/>
      <c r="M642" s="792"/>
      <c r="N642" s="792"/>
      <c r="O642" s="792"/>
      <c r="P642" s="792"/>
      <c r="Q642" s="1169"/>
      <c r="R642" s="792"/>
      <c r="S642" s="792"/>
      <c r="T642" s="792"/>
      <c r="U642" s="792"/>
      <c r="V642" s="793"/>
      <c r="W642" s="793"/>
      <c r="X642" s="792"/>
      <c r="Y642" s="792"/>
      <c r="Z642" s="792"/>
      <c r="AA642" s="792"/>
    </row>
    <row r="643" spans="1:27" ht="15.75" customHeight="1">
      <c r="A643" s="792"/>
      <c r="B643" s="792"/>
      <c r="C643" s="792"/>
      <c r="D643" s="792"/>
      <c r="E643" s="792"/>
      <c r="F643" s="792"/>
      <c r="G643" s="792"/>
      <c r="H643" s="792"/>
      <c r="I643" s="792"/>
      <c r="J643" s="792"/>
      <c r="K643" s="792"/>
      <c r="L643" s="792"/>
      <c r="M643" s="792"/>
      <c r="N643" s="792"/>
      <c r="O643" s="792"/>
      <c r="P643" s="792"/>
      <c r="Q643" s="1169"/>
      <c r="R643" s="792"/>
      <c r="S643" s="792"/>
      <c r="T643" s="792"/>
      <c r="U643" s="792"/>
      <c r="V643" s="793"/>
      <c r="W643" s="793"/>
      <c r="X643" s="792"/>
      <c r="Y643" s="792"/>
      <c r="Z643" s="792"/>
      <c r="AA643" s="792"/>
    </row>
    <row r="644" spans="1:27" ht="15.75" customHeight="1">
      <c r="A644" s="792"/>
      <c r="B644" s="792"/>
      <c r="C644" s="792"/>
      <c r="D644" s="792"/>
      <c r="E644" s="792"/>
      <c r="F644" s="792"/>
      <c r="G644" s="792"/>
      <c r="H644" s="792"/>
      <c r="I644" s="792"/>
      <c r="J644" s="792"/>
      <c r="K644" s="792"/>
      <c r="L644" s="792"/>
      <c r="M644" s="792"/>
      <c r="N644" s="792"/>
      <c r="O644" s="792"/>
      <c r="P644" s="792"/>
      <c r="Q644" s="1169"/>
      <c r="R644" s="792"/>
      <c r="S644" s="792"/>
      <c r="T644" s="792"/>
      <c r="U644" s="792"/>
      <c r="V644" s="793"/>
      <c r="W644" s="793"/>
      <c r="X644" s="792"/>
      <c r="Y644" s="792"/>
      <c r="Z644" s="792"/>
      <c r="AA644" s="792"/>
    </row>
    <row r="645" spans="1:27" ht="15.75" customHeight="1">
      <c r="A645" s="792"/>
      <c r="B645" s="792"/>
      <c r="C645" s="792"/>
      <c r="D645" s="792"/>
      <c r="E645" s="792"/>
      <c r="F645" s="792"/>
      <c r="G645" s="792"/>
      <c r="H645" s="792"/>
      <c r="I645" s="792"/>
      <c r="J645" s="792"/>
      <c r="K645" s="792"/>
      <c r="L645" s="792"/>
      <c r="M645" s="792"/>
      <c r="N645" s="792"/>
      <c r="O645" s="792"/>
      <c r="P645" s="792"/>
      <c r="Q645" s="1169"/>
      <c r="R645" s="792"/>
      <c r="S645" s="792"/>
      <c r="T645" s="792"/>
      <c r="U645" s="792"/>
      <c r="V645" s="793"/>
      <c r="W645" s="793"/>
      <c r="X645" s="792"/>
      <c r="Y645" s="792"/>
      <c r="Z645" s="792"/>
      <c r="AA645" s="792"/>
    </row>
    <row r="646" spans="1:27" ht="15.75" customHeight="1">
      <c r="A646" s="792"/>
      <c r="B646" s="792"/>
      <c r="C646" s="792"/>
      <c r="D646" s="792"/>
      <c r="E646" s="792"/>
      <c r="F646" s="792"/>
      <c r="G646" s="792"/>
      <c r="H646" s="792"/>
      <c r="I646" s="792"/>
      <c r="J646" s="792"/>
      <c r="K646" s="792"/>
      <c r="L646" s="792"/>
      <c r="M646" s="792"/>
      <c r="N646" s="792"/>
      <c r="O646" s="792"/>
      <c r="P646" s="792"/>
      <c r="Q646" s="1169"/>
      <c r="R646" s="792"/>
      <c r="S646" s="792"/>
      <c r="T646" s="792"/>
      <c r="U646" s="792"/>
      <c r="V646" s="793"/>
      <c r="W646" s="793"/>
      <c r="X646" s="792"/>
      <c r="Y646" s="792"/>
      <c r="Z646" s="792"/>
      <c r="AA646" s="792"/>
    </row>
    <row r="647" spans="1:27" ht="15.75" customHeight="1">
      <c r="A647" s="792"/>
      <c r="B647" s="792"/>
      <c r="C647" s="792"/>
      <c r="D647" s="792"/>
      <c r="E647" s="792"/>
      <c r="F647" s="792"/>
      <c r="G647" s="792"/>
      <c r="H647" s="792"/>
      <c r="I647" s="792"/>
      <c r="J647" s="792"/>
      <c r="K647" s="792"/>
      <c r="L647" s="792"/>
      <c r="M647" s="792"/>
      <c r="N647" s="792"/>
      <c r="O647" s="792"/>
      <c r="P647" s="792"/>
      <c r="Q647" s="1169"/>
      <c r="R647" s="792"/>
      <c r="S647" s="792"/>
      <c r="T647" s="792"/>
      <c r="U647" s="792"/>
      <c r="V647" s="793"/>
      <c r="W647" s="793"/>
      <c r="X647" s="792"/>
      <c r="Y647" s="792"/>
      <c r="Z647" s="792"/>
      <c r="AA647" s="792"/>
    </row>
    <row r="648" spans="1:27" ht="15.75" customHeight="1">
      <c r="A648" s="792"/>
      <c r="B648" s="792"/>
      <c r="C648" s="792"/>
      <c r="D648" s="792"/>
      <c r="E648" s="792"/>
      <c r="F648" s="792"/>
      <c r="G648" s="792"/>
      <c r="H648" s="792"/>
      <c r="I648" s="792"/>
      <c r="J648" s="792"/>
      <c r="K648" s="792"/>
      <c r="L648" s="792"/>
      <c r="M648" s="792"/>
      <c r="N648" s="792"/>
      <c r="O648" s="792"/>
      <c r="P648" s="792"/>
      <c r="Q648" s="1169"/>
      <c r="R648" s="792"/>
      <c r="S648" s="792"/>
      <c r="T648" s="792"/>
      <c r="U648" s="792"/>
      <c r="V648" s="793"/>
      <c r="W648" s="793"/>
      <c r="X648" s="792"/>
      <c r="Y648" s="792"/>
      <c r="Z648" s="792"/>
      <c r="AA648" s="792"/>
    </row>
    <row r="649" spans="1:27" ht="15.75" customHeight="1">
      <c r="A649" s="792"/>
      <c r="B649" s="792"/>
      <c r="C649" s="792"/>
      <c r="D649" s="792"/>
      <c r="E649" s="792"/>
      <c r="F649" s="792"/>
      <c r="G649" s="792"/>
      <c r="H649" s="792"/>
      <c r="I649" s="792"/>
      <c r="J649" s="792"/>
      <c r="K649" s="792"/>
      <c r="L649" s="792"/>
      <c r="M649" s="792"/>
      <c r="N649" s="792"/>
      <c r="O649" s="792"/>
      <c r="P649" s="792"/>
      <c r="Q649" s="1169"/>
      <c r="R649" s="792"/>
      <c r="S649" s="792"/>
      <c r="T649" s="792"/>
      <c r="U649" s="792"/>
      <c r="V649" s="793"/>
      <c r="W649" s="793"/>
      <c r="X649" s="792"/>
      <c r="Y649" s="792"/>
      <c r="Z649" s="792"/>
      <c r="AA649" s="792"/>
    </row>
    <row r="650" spans="1:27" ht="15.75" customHeight="1">
      <c r="A650" s="792"/>
      <c r="B650" s="792"/>
      <c r="C650" s="792"/>
      <c r="D650" s="792"/>
      <c r="E650" s="792"/>
      <c r="F650" s="792"/>
      <c r="G650" s="792"/>
      <c r="H650" s="792"/>
      <c r="I650" s="792"/>
      <c r="J650" s="792"/>
      <c r="K650" s="792"/>
      <c r="L650" s="792"/>
      <c r="M650" s="792"/>
      <c r="N650" s="792"/>
      <c r="O650" s="792"/>
      <c r="P650" s="792"/>
      <c r="Q650" s="1169"/>
      <c r="R650" s="792"/>
      <c r="S650" s="792"/>
      <c r="T650" s="792"/>
      <c r="U650" s="792"/>
      <c r="V650" s="793"/>
      <c r="W650" s="793"/>
      <c r="X650" s="792"/>
      <c r="Y650" s="792"/>
      <c r="Z650" s="792"/>
      <c r="AA650" s="792"/>
    </row>
    <row r="651" spans="1:27" ht="15.75" customHeight="1">
      <c r="A651" s="792"/>
      <c r="B651" s="792"/>
      <c r="C651" s="792"/>
      <c r="D651" s="792"/>
      <c r="E651" s="792"/>
      <c r="F651" s="792"/>
      <c r="G651" s="792"/>
      <c r="H651" s="792"/>
      <c r="I651" s="792"/>
      <c r="J651" s="792"/>
      <c r="K651" s="792"/>
      <c r="L651" s="792"/>
      <c r="M651" s="792"/>
      <c r="N651" s="792"/>
      <c r="O651" s="792"/>
      <c r="P651" s="792"/>
      <c r="Q651" s="1169"/>
      <c r="R651" s="792"/>
      <c r="S651" s="792"/>
      <c r="T651" s="792"/>
      <c r="U651" s="792"/>
      <c r="V651" s="793"/>
      <c r="W651" s="793"/>
      <c r="X651" s="792"/>
      <c r="Y651" s="792"/>
      <c r="Z651" s="792"/>
      <c r="AA651" s="792"/>
    </row>
    <row r="652" spans="1:27" ht="15.75" customHeight="1">
      <c r="A652" s="792"/>
      <c r="B652" s="792"/>
      <c r="C652" s="792"/>
      <c r="D652" s="792"/>
      <c r="E652" s="792"/>
      <c r="F652" s="792"/>
      <c r="G652" s="792"/>
      <c r="H652" s="792"/>
      <c r="I652" s="792"/>
      <c r="J652" s="792"/>
      <c r="K652" s="792"/>
      <c r="L652" s="792"/>
      <c r="M652" s="792"/>
      <c r="N652" s="792"/>
      <c r="O652" s="792"/>
      <c r="P652" s="792"/>
      <c r="Q652" s="1169"/>
      <c r="R652" s="792"/>
      <c r="S652" s="792"/>
      <c r="T652" s="792"/>
      <c r="U652" s="792"/>
      <c r="V652" s="793"/>
      <c r="W652" s="793"/>
      <c r="X652" s="792"/>
      <c r="Y652" s="792"/>
      <c r="Z652" s="792"/>
      <c r="AA652" s="792"/>
    </row>
    <row r="653" spans="1:27" ht="15.75" customHeight="1">
      <c r="A653" s="792"/>
      <c r="B653" s="792"/>
      <c r="C653" s="792"/>
      <c r="D653" s="792"/>
      <c r="E653" s="792"/>
      <c r="F653" s="792"/>
      <c r="G653" s="792"/>
      <c r="H653" s="792"/>
      <c r="I653" s="792"/>
      <c r="J653" s="792"/>
      <c r="K653" s="792"/>
      <c r="L653" s="792"/>
      <c r="M653" s="792"/>
      <c r="N653" s="792"/>
      <c r="O653" s="792"/>
      <c r="P653" s="792"/>
      <c r="Q653" s="1169"/>
      <c r="R653" s="792"/>
      <c r="S653" s="792"/>
      <c r="T653" s="792"/>
      <c r="U653" s="792"/>
      <c r="V653" s="793"/>
      <c r="W653" s="793"/>
      <c r="X653" s="792"/>
      <c r="Y653" s="792"/>
      <c r="Z653" s="792"/>
      <c r="AA653" s="792"/>
    </row>
    <row r="654" spans="1:27" ht="15.75" customHeight="1">
      <c r="A654" s="792"/>
      <c r="B654" s="792"/>
      <c r="C654" s="792"/>
      <c r="D654" s="792"/>
      <c r="E654" s="792"/>
      <c r="F654" s="792"/>
      <c r="G654" s="792"/>
      <c r="H654" s="792"/>
      <c r="I654" s="792"/>
      <c r="J654" s="792"/>
      <c r="K654" s="792"/>
      <c r="L654" s="792"/>
      <c r="M654" s="792"/>
      <c r="N654" s="792"/>
      <c r="O654" s="792"/>
      <c r="P654" s="792"/>
      <c r="Q654" s="1169"/>
      <c r="R654" s="792"/>
      <c r="S654" s="792"/>
      <c r="T654" s="792"/>
      <c r="U654" s="792"/>
      <c r="V654" s="793"/>
      <c r="W654" s="793"/>
      <c r="X654" s="792"/>
      <c r="Y654" s="792"/>
      <c r="Z654" s="792"/>
      <c r="AA654" s="792"/>
    </row>
    <row r="655" spans="1:27" ht="15.75" customHeight="1">
      <c r="A655" s="792"/>
      <c r="B655" s="792"/>
      <c r="C655" s="792"/>
      <c r="D655" s="792"/>
      <c r="E655" s="792"/>
      <c r="F655" s="792"/>
      <c r="G655" s="792"/>
      <c r="H655" s="792"/>
      <c r="I655" s="792"/>
      <c r="J655" s="792"/>
      <c r="K655" s="792"/>
      <c r="L655" s="792"/>
      <c r="M655" s="792"/>
      <c r="N655" s="792"/>
      <c r="O655" s="792"/>
      <c r="P655" s="792"/>
      <c r="Q655" s="1169"/>
      <c r="R655" s="792"/>
      <c r="S655" s="792"/>
      <c r="T655" s="792"/>
      <c r="U655" s="792"/>
      <c r="V655" s="793"/>
      <c r="W655" s="793"/>
      <c r="X655" s="792"/>
      <c r="Y655" s="792"/>
      <c r="Z655" s="792"/>
      <c r="AA655" s="792"/>
    </row>
    <row r="656" spans="1:27" ht="15.75" customHeight="1">
      <c r="A656" s="792"/>
      <c r="B656" s="792"/>
      <c r="C656" s="792"/>
      <c r="D656" s="792"/>
      <c r="E656" s="792"/>
      <c r="F656" s="792"/>
      <c r="G656" s="792"/>
      <c r="H656" s="792"/>
      <c r="I656" s="792"/>
      <c r="J656" s="792"/>
      <c r="K656" s="792"/>
      <c r="L656" s="792"/>
      <c r="M656" s="792"/>
      <c r="N656" s="792"/>
      <c r="O656" s="792"/>
      <c r="P656" s="792"/>
      <c r="Q656" s="1169"/>
      <c r="R656" s="792"/>
      <c r="S656" s="792"/>
      <c r="T656" s="792"/>
      <c r="U656" s="792"/>
      <c r="V656" s="793"/>
      <c r="W656" s="793"/>
      <c r="X656" s="792"/>
      <c r="Y656" s="792"/>
      <c r="Z656" s="792"/>
      <c r="AA656" s="792"/>
    </row>
    <row r="657" spans="1:27" ht="15.75" customHeight="1">
      <c r="A657" s="792"/>
      <c r="B657" s="792"/>
      <c r="C657" s="792"/>
      <c r="D657" s="792"/>
      <c r="E657" s="792"/>
      <c r="F657" s="792"/>
      <c r="G657" s="792"/>
      <c r="H657" s="792"/>
      <c r="I657" s="792"/>
      <c r="J657" s="792"/>
      <c r="K657" s="792"/>
      <c r="L657" s="792"/>
      <c r="M657" s="792"/>
      <c r="N657" s="792"/>
      <c r="O657" s="792"/>
      <c r="P657" s="792"/>
      <c r="Q657" s="1169"/>
      <c r="R657" s="792"/>
      <c r="S657" s="792"/>
      <c r="T657" s="792"/>
      <c r="U657" s="792"/>
      <c r="V657" s="793"/>
      <c r="W657" s="793"/>
      <c r="X657" s="792"/>
      <c r="Y657" s="792"/>
      <c r="Z657" s="792"/>
      <c r="AA657" s="792"/>
    </row>
    <row r="658" spans="1:27" ht="15.75" customHeight="1">
      <c r="A658" s="792"/>
      <c r="B658" s="792"/>
      <c r="C658" s="792"/>
      <c r="D658" s="792"/>
      <c r="E658" s="792"/>
      <c r="F658" s="792"/>
      <c r="G658" s="792"/>
      <c r="H658" s="792"/>
      <c r="I658" s="792"/>
      <c r="J658" s="792"/>
      <c r="K658" s="792"/>
      <c r="L658" s="792"/>
      <c r="M658" s="792"/>
      <c r="N658" s="792"/>
      <c r="O658" s="792"/>
      <c r="P658" s="792"/>
      <c r="Q658" s="1169"/>
      <c r="R658" s="792"/>
      <c r="S658" s="792"/>
      <c r="T658" s="792"/>
      <c r="U658" s="792"/>
      <c r="V658" s="793"/>
      <c r="W658" s="793"/>
      <c r="X658" s="792"/>
      <c r="Y658" s="792"/>
      <c r="Z658" s="792"/>
      <c r="AA658" s="792"/>
    </row>
    <row r="659" spans="1:27" ht="15.75" customHeight="1">
      <c r="A659" s="792"/>
      <c r="B659" s="792"/>
      <c r="C659" s="792"/>
      <c r="D659" s="792"/>
      <c r="E659" s="792"/>
      <c r="F659" s="792"/>
      <c r="G659" s="792"/>
      <c r="H659" s="792"/>
      <c r="I659" s="792"/>
      <c r="J659" s="792"/>
      <c r="K659" s="792"/>
      <c r="L659" s="792"/>
      <c r="M659" s="792"/>
      <c r="N659" s="792"/>
      <c r="O659" s="792"/>
      <c r="P659" s="792"/>
      <c r="Q659" s="1169"/>
      <c r="R659" s="792"/>
      <c r="S659" s="792"/>
      <c r="T659" s="792"/>
      <c r="U659" s="792"/>
      <c r="V659" s="793"/>
      <c r="W659" s="793"/>
      <c r="X659" s="792"/>
      <c r="Y659" s="792"/>
      <c r="Z659" s="792"/>
      <c r="AA659" s="792"/>
    </row>
    <row r="660" spans="1:27" ht="15.75" customHeight="1">
      <c r="A660" s="792"/>
      <c r="B660" s="792"/>
      <c r="C660" s="792"/>
      <c r="D660" s="792"/>
      <c r="E660" s="792"/>
      <c r="F660" s="792"/>
      <c r="G660" s="792"/>
      <c r="H660" s="792"/>
      <c r="I660" s="792"/>
      <c r="J660" s="792"/>
      <c r="K660" s="792"/>
      <c r="L660" s="792"/>
      <c r="M660" s="792"/>
      <c r="N660" s="792"/>
      <c r="O660" s="792"/>
      <c r="P660" s="792"/>
      <c r="Q660" s="1169"/>
      <c r="R660" s="792"/>
      <c r="S660" s="792"/>
      <c r="T660" s="792"/>
      <c r="U660" s="792"/>
      <c r="V660" s="793"/>
      <c r="W660" s="793"/>
      <c r="X660" s="792"/>
      <c r="Y660" s="792"/>
      <c r="Z660" s="792"/>
      <c r="AA660" s="792"/>
    </row>
    <row r="661" spans="1:27" ht="15.75" customHeight="1">
      <c r="A661" s="792"/>
      <c r="B661" s="792"/>
      <c r="C661" s="792"/>
      <c r="D661" s="792"/>
      <c r="E661" s="792"/>
      <c r="F661" s="792"/>
      <c r="G661" s="792"/>
      <c r="H661" s="792"/>
      <c r="I661" s="792"/>
      <c r="J661" s="792"/>
      <c r="K661" s="792"/>
      <c r="L661" s="792"/>
      <c r="M661" s="792"/>
      <c r="N661" s="792"/>
      <c r="O661" s="792"/>
      <c r="P661" s="792"/>
      <c r="Q661" s="1169"/>
      <c r="R661" s="792"/>
      <c r="S661" s="792"/>
      <c r="T661" s="792"/>
      <c r="U661" s="792"/>
      <c r="V661" s="793"/>
      <c r="W661" s="793"/>
      <c r="X661" s="792"/>
      <c r="Y661" s="792"/>
      <c r="Z661" s="792"/>
      <c r="AA661" s="792"/>
    </row>
    <row r="662" spans="1:27" ht="15.75" customHeight="1">
      <c r="A662" s="792"/>
      <c r="B662" s="792"/>
      <c r="C662" s="792"/>
      <c r="D662" s="792"/>
      <c r="E662" s="792"/>
      <c r="F662" s="792"/>
      <c r="G662" s="792"/>
      <c r="H662" s="792"/>
      <c r="I662" s="792"/>
      <c r="J662" s="792"/>
      <c r="K662" s="792"/>
      <c r="L662" s="792"/>
      <c r="M662" s="792"/>
      <c r="N662" s="792"/>
      <c r="O662" s="792"/>
      <c r="P662" s="792"/>
      <c r="Q662" s="1169"/>
      <c r="R662" s="792"/>
      <c r="S662" s="792"/>
      <c r="T662" s="792"/>
      <c r="U662" s="792"/>
      <c r="V662" s="793"/>
      <c r="W662" s="793"/>
      <c r="X662" s="792"/>
      <c r="Y662" s="792"/>
      <c r="Z662" s="792"/>
      <c r="AA662" s="792"/>
    </row>
    <row r="663" spans="1:27" ht="15.75" customHeight="1">
      <c r="A663" s="792"/>
      <c r="B663" s="792"/>
      <c r="C663" s="792"/>
      <c r="D663" s="792"/>
      <c r="E663" s="792"/>
      <c r="F663" s="792"/>
      <c r="G663" s="792"/>
      <c r="H663" s="792"/>
      <c r="I663" s="792"/>
      <c r="J663" s="792"/>
      <c r="K663" s="792"/>
      <c r="L663" s="792"/>
      <c r="M663" s="792"/>
      <c r="N663" s="792"/>
      <c r="O663" s="792"/>
      <c r="P663" s="792"/>
      <c r="Q663" s="1169"/>
      <c r="R663" s="792"/>
      <c r="S663" s="792"/>
      <c r="T663" s="792"/>
      <c r="U663" s="792"/>
      <c r="V663" s="793"/>
      <c r="W663" s="793"/>
      <c r="X663" s="792"/>
      <c r="Y663" s="792"/>
      <c r="Z663" s="792"/>
      <c r="AA663" s="792"/>
    </row>
    <row r="664" spans="1:27" ht="15.75" customHeight="1">
      <c r="A664" s="792"/>
      <c r="B664" s="792"/>
      <c r="C664" s="792"/>
      <c r="D664" s="792"/>
      <c r="E664" s="792"/>
      <c r="F664" s="792"/>
      <c r="G664" s="792"/>
      <c r="H664" s="792"/>
      <c r="I664" s="792"/>
      <c r="J664" s="792"/>
      <c r="K664" s="792"/>
      <c r="L664" s="792"/>
      <c r="M664" s="792"/>
      <c r="N664" s="792"/>
      <c r="O664" s="792"/>
      <c r="P664" s="792"/>
      <c r="Q664" s="1169"/>
      <c r="R664" s="792"/>
      <c r="S664" s="792"/>
      <c r="T664" s="792"/>
      <c r="U664" s="792"/>
      <c r="V664" s="793"/>
      <c r="W664" s="793"/>
      <c r="X664" s="792"/>
      <c r="Y664" s="792"/>
      <c r="Z664" s="792"/>
      <c r="AA664" s="792"/>
    </row>
    <row r="665" spans="1:27" ht="15.75" customHeight="1">
      <c r="A665" s="792"/>
      <c r="B665" s="792"/>
      <c r="C665" s="792"/>
      <c r="D665" s="792"/>
      <c r="E665" s="792"/>
      <c r="F665" s="792"/>
      <c r="G665" s="792"/>
      <c r="H665" s="792"/>
      <c r="I665" s="792"/>
      <c r="J665" s="792"/>
      <c r="K665" s="792"/>
      <c r="L665" s="792"/>
      <c r="M665" s="792"/>
      <c r="N665" s="792"/>
      <c r="O665" s="792"/>
      <c r="P665" s="792"/>
      <c r="Q665" s="1169"/>
      <c r="R665" s="792"/>
      <c r="S665" s="792"/>
      <c r="T665" s="792"/>
      <c r="U665" s="792"/>
      <c r="V665" s="793"/>
      <c r="W665" s="793"/>
      <c r="X665" s="792"/>
      <c r="Y665" s="792"/>
      <c r="Z665" s="792"/>
      <c r="AA665" s="792"/>
    </row>
    <row r="666" spans="1:27" ht="15.75" customHeight="1">
      <c r="A666" s="792"/>
      <c r="B666" s="792"/>
      <c r="C666" s="792"/>
      <c r="D666" s="792"/>
      <c r="E666" s="792"/>
      <c r="F666" s="792"/>
      <c r="G666" s="792"/>
      <c r="H666" s="792"/>
      <c r="I666" s="792"/>
      <c r="J666" s="792"/>
      <c r="K666" s="792"/>
      <c r="L666" s="792"/>
      <c r="M666" s="792"/>
      <c r="N666" s="792"/>
      <c r="O666" s="792"/>
      <c r="P666" s="792"/>
      <c r="Q666" s="1169"/>
      <c r="R666" s="792"/>
      <c r="S666" s="792"/>
      <c r="T666" s="792"/>
      <c r="U666" s="792"/>
      <c r="V666" s="793"/>
      <c r="W666" s="793"/>
      <c r="X666" s="792"/>
      <c r="Y666" s="792"/>
      <c r="Z666" s="792"/>
      <c r="AA666" s="792"/>
    </row>
    <row r="667" spans="1:27" ht="15.75" customHeight="1">
      <c r="A667" s="792"/>
      <c r="B667" s="792"/>
      <c r="C667" s="792"/>
      <c r="D667" s="792"/>
      <c r="E667" s="792"/>
      <c r="F667" s="792"/>
      <c r="G667" s="792"/>
      <c r="H667" s="792"/>
      <c r="I667" s="792"/>
      <c r="J667" s="792"/>
      <c r="K667" s="792"/>
      <c r="L667" s="792"/>
      <c r="M667" s="792"/>
      <c r="N667" s="792"/>
      <c r="O667" s="792"/>
      <c r="P667" s="792"/>
      <c r="Q667" s="1169"/>
      <c r="R667" s="792"/>
      <c r="S667" s="792"/>
      <c r="T667" s="792"/>
      <c r="U667" s="792"/>
      <c r="V667" s="793"/>
      <c r="W667" s="793"/>
      <c r="X667" s="792"/>
      <c r="Y667" s="792"/>
      <c r="Z667" s="792"/>
      <c r="AA667" s="792"/>
    </row>
    <row r="668" spans="1:27" ht="15.75" customHeight="1">
      <c r="A668" s="792"/>
      <c r="B668" s="792"/>
      <c r="C668" s="792"/>
      <c r="D668" s="792"/>
      <c r="E668" s="792"/>
      <c r="F668" s="792"/>
      <c r="G668" s="792"/>
      <c r="H668" s="792"/>
      <c r="I668" s="792"/>
      <c r="J668" s="792"/>
      <c r="K668" s="792"/>
      <c r="L668" s="792"/>
      <c r="M668" s="792"/>
      <c r="N668" s="792"/>
      <c r="O668" s="792"/>
      <c r="P668" s="792"/>
      <c r="Q668" s="1169"/>
      <c r="R668" s="792"/>
      <c r="S668" s="792"/>
      <c r="T668" s="792"/>
      <c r="U668" s="792"/>
      <c r="V668" s="793"/>
      <c r="W668" s="793"/>
      <c r="X668" s="792"/>
      <c r="Y668" s="792"/>
      <c r="Z668" s="792"/>
      <c r="AA668" s="792"/>
    </row>
    <row r="669" spans="1:27" ht="15.75" customHeight="1">
      <c r="A669" s="792"/>
      <c r="B669" s="792"/>
      <c r="C669" s="792"/>
      <c r="D669" s="792"/>
      <c r="E669" s="792"/>
      <c r="F669" s="792"/>
      <c r="G669" s="792"/>
      <c r="H669" s="792"/>
      <c r="I669" s="792"/>
      <c r="J669" s="792"/>
      <c r="K669" s="792"/>
      <c r="L669" s="792"/>
      <c r="M669" s="792"/>
      <c r="N669" s="792"/>
      <c r="O669" s="792"/>
      <c r="P669" s="792"/>
      <c r="Q669" s="1169"/>
      <c r="R669" s="792"/>
      <c r="S669" s="792"/>
      <c r="T669" s="792"/>
      <c r="U669" s="792"/>
      <c r="V669" s="793"/>
      <c r="W669" s="793"/>
      <c r="X669" s="792"/>
      <c r="Y669" s="792"/>
      <c r="Z669" s="792"/>
      <c r="AA669" s="792"/>
    </row>
    <row r="670" spans="1:27" ht="15.75" customHeight="1">
      <c r="A670" s="792"/>
      <c r="B670" s="792"/>
      <c r="C670" s="792"/>
      <c r="D670" s="792"/>
      <c r="E670" s="792"/>
      <c r="F670" s="792"/>
      <c r="G670" s="792"/>
      <c r="H670" s="792"/>
      <c r="I670" s="792"/>
      <c r="J670" s="792"/>
      <c r="K670" s="792"/>
      <c r="L670" s="792"/>
      <c r="M670" s="792"/>
      <c r="N670" s="792"/>
      <c r="O670" s="792"/>
      <c r="P670" s="792"/>
      <c r="Q670" s="1169"/>
      <c r="R670" s="792"/>
      <c r="S670" s="792"/>
      <c r="T670" s="792"/>
      <c r="U670" s="792"/>
      <c r="V670" s="793"/>
      <c r="W670" s="793"/>
      <c r="X670" s="792"/>
      <c r="Y670" s="792"/>
      <c r="Z670" s="792"/>
      <c r="AA670" s="792"/>
    </row>
    <row r="671" spans="1:27" ht="15.75" customHeight="1">
      <c r="A671" s="792"/>
      <c r="B671" s="792"/>
      <c r="C671" s="792"/>
      <c r="D671" s="792"/>
      <c r="E671" s="792"/>
      <c r="F671" s="792"/>
      <c r="G671" s="792"/>
      <c r="H671" s="792"/>
      <c r="I671" s="792"/>
      <c r="J671" s="792"/>
      <c r="K671" s="792"/>
      <c r="L671" s="792"/>
      <c r="M671" s="792"/>
      <c r="N671" s="792"/>
      <c r="O671" s="792"/>
      <c r="P671" s="792"/>
      <c r="Q671" s="1169"/>
      <c r="R671" s="792"/>
      <c r="S671" s="792"/>
      <c r="T671" s="792"/>
      <c r="U671" s="792"/>
      <c r="V671" s="793"/>
      <c r="W671" s="793"/>
      <c r="X671" s="792"/>
      <c r="Y671" s="792"/>
      <c r="Z671" s="792"/>
      <c r="AA671" s="792"/>
    </row>
    <row r="672" spans="1:27" ht="15.75" customHeight="1">
      <c r="A672" s="792"/>
      <c r="B672" s="792"/>
      <c r="C672" s="792"/>
      <c r="D672" s="792"/>
      <c r="E672" s="792"/>
      <c r="F672" s="792"/>
      <c r="G672" s="792"/>
      <c r="H672" s="792"/>
      <c r="I672" s="792"/>
      <c r="J672" s="792"/>
      <c r="K672" s="792"/>
      <c r="L672" s="792"/>
      <c r="M672" s="792"/>
      <c r="N672" s="792"/>
      <c r="O672" s="792"/>
      <c r="P672" s="792"/>
      <c r="Q672" s="1169"/>
      <c r="R672" s="792"/>
      <c r="S672" s="792"/>
      <c r="T672" s="792"/>
      <c r="U672" s="792"/>
      <c r="V672" s="793"/>
      <c r="W672" s="793"/>
      <c r="X672" s="792"/>
      <c r="Y672" s="792"/>
      <c r="Z672" s="792"/>
      <c r="AA672" s="792"/>
    </row>
    <row r="673" spans="1:27" ht="15.75" customHeight="1">
      <c r="A673" s="792"/>
      <c r="B673" s="792"/>
      <c r="C673" s="792"/>
      <c r="D673" s="792"/>
      <c r="E673" s="792"/>
      <c r="F673" s="792"/>
      <c r="G673" s="792"/>
      <c r="H673" s="792"/>
      <c r="I673" s="792"/>
      <c r="J673" s="792"/>
      <c r="K673" s="792"/>
      <c r="L673" s="792"/>
      <c r="M673" s="792"/>
      <c r="N673" s="792"/>
      <c r="O673" s="792"/>
      <c r="P673" s="792"/>
      <c r="Q673" s="1169"/>
      <c r="R673" s="792"/>
      <c r="S673" s="792"/>
      <c r="T673" s="792"/>
      <c r="U673" s="792"/>
      <c r="V673" s="793"/>
      <c r="W673" s="793"/>
      <c r="X673" s="792"/>
      <c r="Y673" s="792"/>
      <c r="Z673" s="792"/>
      <c r="AA673" s="792"/>
    </row>
    <row r="674" spans="1:27" ht="15.75" customHeight="1">
      <c r="A674" s="792"/>
      <c r="B674" s="792"/>
      <c r="C674" s="792"/>
      <c r="D674" s="792"/>
      <c r="E674" s="792"/>
      <c r="F674" s="792"/>
      <c r="G674" s="792"/>
      <c r="H674" s="792"/>
      <c r="I674" s="792"/>
      <c r="J674" s="792"/>
      <c r="K674" s="792"/>
      <c r="L674" s="792"/>
      <c r="M674" s="792"/>
      <c r="N674" s="792"/>
      <c r="O674" s="792"/>
      <c r="P674" s="792"/>
      <c r="Q674" s="1169"/>
      <c r="R674" s="792"/>
      <c r="S674" s="792"/>
      <c r="T674" s="792"/>
      <c r="U674" s="792"/>
      <c r="V674" s="793"/>
      <c r="W674" s="793"/>
      <c r="X674" s="792"/>
      <c r="Y674" s="792"/>
      <c r="Z674" s="792"/>
      <c r="AA674" s="792"/>
    </row>
    <row r="675" spans="1:27" ht="15.75" customHeight="1">
      <c r="A675" s="792"/>
      <c r="B675" s="792"/>
      <c r="C675" s="792"/>
      <c r="D675" s="792"/>
      <c r="E675" s="792"/>
      <c r="F675" s="792"/>
      <c r="G675" s="792"/>
      <c r="H675" s="792"/>
      <c r="I675" s="792"/>
      <c r="J675" s="792"/>
      <c r="K675" s="792"/>
      <c r="L675" s="792"/>
      <c r="M675" s="792"/>
      <c r="N675" s="792"/>
      <c r="O675" s="792"/>
      <c r="P675" s="792"/>
      <c r="Q675" s="1169"/>
      <c r="R675" s="792"/>
      <c r="S675" s="792"/>
      <c r="T675" s="792"/>
      <c r="U675" s="792"/>
      <c r="V675" s="793"/>
      <c r="W675" s="793"/>
      <c r="X675" s="792"/>
      <c r="Y675" s="792"/>
      <c r="Z675" s="792"/>
      <c r="AA675" s="792"/>
    </row>
    <row r="676" spans="1:27" ht="15.75" customHeight="1">
      <c r="A676" s="792"/>
      <c r="B676" s="792"/>
      <c r="C676" s="792"/>
      <c r="D676" s="792"/>
      <c r="E676" s="792"/>
      <c r="F676" s="792"/>
      <c r="G676" s="792"/>
      <c r="H676" s="792"/>
      <c r="I676" s="792"/>
      <c r="J676" s="792"/>
      <c r="K676" s="792"/>
      <c r="L676" s="792"/>
      <c r="M676" s="792"/>
      <c r="N676" s="792"/>
      <c r="O676" s="792"/>
      <c r="P676" s="792"/>
      <c r="Q676" s="1169"/>
      <c r="R676" s="792"/>
      <c r="S676" s="792"/>
      <c r="T676" s="792"/>
      <c r="U676" s="792"/>
      <c r="V676" s="793"/>
      <c r="W676" s="793"/>
      <c r="X676" s="792"/>
      <c r="Y676" s="792"/>
      <c r="Z676" s="792"/>
      <c r="AA676" s="792"/>
    </row>
    <row r="677" spans="1:27" ht="15.75" customHeight="1">
      <c r="A677" s="792"/>
      <c r="B677" s="792"/>
      <c r="C677" s="792"/>
      <c r="D677" s="792"/>
      <c r="E677" s="792"/>
      <c r="F677" s="792"/>
      <c r="G677" s="792"/>
      <c r="H677" s="792"/>
      <c r="I677" s="792"/>
      <c r="J677" s="792"/>
      <c r="K677" s="792"/>
      <c r="L677" s="792"/>
      <c r="M677" s="792"/>
      <c r="N677" s="792"/>
      <c r="O677" s="792"/>
      <c r="P677" s="792"/>
      <c r="Q677" s="1169"/>
      <c r="R677" s="792"/>
      <c r="S677" s="792"/>
      <c r="T677" s="792"/>
      <c r="U677" s="792"/>
      <c r="V677" s="793"/>
      <c r="W677" s="793"/>
      <c r="X677" s="792"/>
      <c r="Y677" s="792"/>
      <c r="Z677" s="792"/>
      <c r="AA677" s="792"/>
    </row>
    <row r="678" spans="1:27" ht="15.75" customHeight="1">
      <c r="A678" s="792"/>
      <c r="B678" s="792"/>
      <c r="C678" s="792"/>
      <c r="D678" s="792"/>
      <c r="E678" s="792"/>
      <c r="F678" s="792"/>
      <c r="G678" s="792"/>
      <c r="H678" s="792"/>
      <c r="I678" s="792"/>
      <c r="J678" s="792"/>
      <c r="K678" s="792"/>
      <c r="L678" s="792"/>
      <c r="M678" s="792"/>
      <c r="N678" s="792"/>
      <c r="O678" s="792"/>
      <c r="P678" s="792"/>
      <c r="Q678" s="1169"/>
      <c r="R678" s="792"/>
      <c r="S678" s="792"/>
      <c r="T678" s="792"/>
      <c r="U678" s="792"/>
      <c r="V678" s="793"/>
      <c r="W678" s="793"/>
      <c r="X678" s="792"/>
      <c r="Y678" s="792"/>
      <c r="Z678" s="792"/>
      <c r="AA678" s="792"/>
    </row>
    <row r="679" spans="1:27" ht="15.75" customHeight="1">
      <c r="A679" s="792"/>
      <c r="B679" s="792"/>
      <c r="C679" s="792"/>
      <c r="D679" s="792"/>
      <c r="E679" s="792"/>
      <c r="F679" s="792"/>
      <c r="G679" s="792"/>
      <c r="H679" s="792"/>
      <c r="I679" s="792"/>
      <c r="J679" s="792"/>
      <c r="K679" s="792"/>
      <c r="L679" s="792"/>
      <c r="M679" s="792"/>
      <c r="N679" s="792"/>
      <c r="O679" s="792"/>
      <c r="P679" s="792"/>
      <c r="Q679" s="1169"/>
      <c r="R679" s="792"/>
      <c r="S679" s="792"/>
      <c r="T679" s="792"/>
      <c r="U679" s="792"/>
      <c r="V679" s="793"/>
      <c r="W679" s="793"/>
      <c r="X679" s="792"/>
      <c r="Y679" s="792"/>
      <c r="Z679" s="792"/>
      <c r="AA679" s="792"/>
    </row>
    <row r="680" spans="1:27" ht="15.75" customHeight="1">
      <c r="A680" s="792"/>
      <c r="B680" s="792"/>
      <c r="C680" s="792"/>
      <c r="D680" s="792"/>
      <c r="E680" s="792"/>
      <c r="F680" s="792"/>
      <c r="G680" s="792"/>
      <c r="H680" s="792"/>
      <c r="I680" s="792"/>
      <c r="J680" s="792"/>
      <c r="K680" s="792"/>
      <c r="L680" s="792"/>
      <c r="M680" s="792"/>
      <c r="N680" s="792"/>
      <c r="O680" s="792"/>
      <c r="P680" s="792"/>
      <c r="Q680" s="1169"/>
      <c r="R680" s="792"/>
      <c r="S680" s="792"/>
      <c r="T680" s="792"/>
      <c r="U680" s="792"/>
      <c r="V680" s="793"/>
      <c r="W680" s="793"/>
      <c r="X680" s="792"/>
      <c r="Y680" s="792"/>
      <c r="Z680" s="792"/>
      <c r="AA680" s="792"/>
    </row>
    <row r="681" spans="1:27" ht="15.75" customHeight="1">
      <c r="A681" s="792"/>
      <c r="B681" s="792"/>
      <c r="C681" s="792"/>
      <c r="D681" s="792"/>
      <c r="E681" s="792"/>
      <c r="F681" s="792"/>
      <c r="G681" s="792"/>
      <c r="H681" s="792"/>
      <c r="I681" s="792"/>
      <c r="J681" s="792"/>
      <c r="K681" s="792"/>
      <c r="L681" s="792"/>
      <c r="M681" s="792"/>
      <c r="N681" s="792"/>
      <c r="O681" s="792"/>
      <c r="P681" s="792"/>
      <c r="Q681" s="1169"/>
      <c r="R681" s="792"/>
      <c r="S681" s="792"/>
      <c r="T681" s="792"/>
      <c r="U681" s="792"/>
      <c r="V681" s="793"/>
      <c r="W681" s="793"/>
      <c r="X681" s="792"/>
      <c r="Y681" s="792"/>
      <c r="Z681" s="792"/>
      <c r="AA681" s="792"/>
    </row>
    <row r="682" spans="1:27" ht="15.75" customHeight="1">
      <c r="A682" s="792"/>
      <c r="B682" s="792"/>
      <c r="C682" s="792"/>
      <c r="D682" s="792"/>
      <c r="E682" s="792"/>
      <c r="F682" s="792"/>
      <c r="G682" s="792"/>
      <c r="H682" s="792"/>
      <c r="I682" s="792"/>
      <c r="J682" s="792"/>
      <c r="K682" s="792"/>
      <c r="L682" s="792"/>
      <c r="M682" s="792"/>
      <c r="N682" s="792"/>
      <c r="O682" s="792"/>
      <c r="P682" s="792"/>
      <c r="Q682" s="1169"/>
      <c r="R682" s="792"/>
      <c r="S682" s="792"/>
      <c r="T682" s="792"/>
      <c r="U682" s="792"/>
      <c r="V682" s="793"/>
      <c r="W682" s="793"/>
      <c r="X682" s="792"/>
      <c r="Y682" s="792"/>
      <c r="Z682" s="792"/>
      <c r="AA682" s="792"/>
    </row>
    <row r="683" spans="1:27" ht="15.75" customHeight="1">
      <c r="A683" s="792"/>
      <c r="B683" s="792"/>
      <c r="C683" s="792"/>
      <c r="D683" s="792"/>
      <c r="E683" s="792"/>
      <c r="F683" s="792"/>
      <c r="G683" s="792"/>
      <c r="H683" s="792"/>
      <c r="I683" s="792"/>
      <c r="J683" s="792"/>
      <c r="K683" s="792"/>
      <c r="L683" s="792"/>
      <c r="M683" s="792"/>
      <c r="N683" s="792"/>
      <c r="O683" s="792"/>
      <c r="P683" s="792"/>
      <c r="Q683" s="1169"/>
      <c r="R683" s="792"/>
      <c r="S683" s="792"/>
      <c r="T683" s="792"/>
      <c r="U683" s="792"/>
      <c r="V683" s="793"/>
      <c r="W683" s="793"/>
      <c r="X683" s="792"/>
      <c r="Y683" s="792"/>
      <c r="Z683" s="792"/>
      <c r="AA683" s="792"/>
    </row>
    <row r="684" spans="1:27" ht="15.75" customHeight="1">
      <c r="A684" s="792"/>
      <c r="B684" s="792"/>
      <c r="C684" s="792"/>
      <c r="D684" s="792"/>
      <c r="E684" s="792"/>
      <c r="F684" s="792"/>
      <c r="G684" s="792"/>
      <c r="H684" s="792"/>
      <c r="I684" s="792"/>
      <c r="J684" s="792"/>
      <c r="K684" s="792"/>
      <c r="L684" s="792"/>
      <c r="M684" s="792"/>
      <c r="N684" s="792"/>
      <c r="O684" s="792"/>
      <c r="P684" s="792"/>
      <c r="Q684" s="1169"/>
      <c r="R684" s="792"/>
      <c r="S684" s="792"/>
      <c r="T684" s="792"/>
      <c r="U684" s="792"/>
      <c r="V684" s="793"/>
      <c r="W684" s="793"/>
      <c r="X684" s="792"/>
      <c r="Y684" s="792"/>
      <c r="Z684" s="792"/>
      <c r="AA684" s="792"/>
    </row>
    <row r="685" spans="1:27" ht="15.75" customHeight="1">
      <c r="A685" s="792"/>
      <c r="B685" s="792"/>
      <c r="C685" s="792"/>
      <c r="D685" s="792"/>
      <c r="E685" s="792"/>
      <c r="F685" s="792"/>
      <c r="G685" s="792"/>
      <c r="H685" s="792"/>
      <c r="I685" s="792"/>
      <c r="J685" s="792"/>
      <c r="K685" s="792"/>
      <c r="L685" s="792"/>
      <c r="M685" s="792"/>
      <c r="N685" s="792"/>
      <c r="O685" s="792"/>
      <c r="P685" s="792"/>
      <c r="Q685" s="1169"/>
      <c r="R685" s="792"/>
      <c r="S685" s="792"/>
      <c r="T685" s="792"/>
      <c r="U685" s="792"/>
      <c r="V685" s="793"/>
      <c r="W685" s="793"/>
      <c r="X685" s="792"/>
      <c r="Y685" s="792"/>
      <c r="Z685" s="792"/>
      <c r="AA685" s="792"/>
    </row>
    <row r="686" spans="1:27" ht="15.75" customHeight="1">
      <c r="A686" s="792"/>
      <c r="B686" s="792"/>
      <c r="C686" s="792"/>
      <c r="D686" s="792"/>
      <c r="E686" s="792"/>
      <c r="F686" s="792"/>
      <c r="G686" s="792"/>
      <c r="H686" s="792"/>
      <c r="I686" s="792"/>
      <c r="J686" s="792"/>
      <c r="K686" s="792"/>
      <c r="L686" s="792"/>
      <c r="M686" s="792"/>
      <c r="N686" s="792"/>
      <c r="O686" s="792"/>
      <c r="P686" s="792"/>
      <c r="Q686" s="1169"/>
      <c r="R686" s="792"/>
      <c r="S686" s="792"/>
      <c r="T686" s="792"/>
      <c r="U686" s="792"/>
      <c r="V686" s="793"/>
      <c r="W686" s="793"/>
      <c r="X686" s="792"/>
      <c r="Y686" s="792"/>
      <c r="Z686" s="792"/>
      <c r="AA686" s="792"/>
    </row>
    <row r="687" spans="1:27" ht="15.75" customHeight="1">
      <c r="A687" s="792"/>
      <c r="B687" s="792"/>
      <c r="C687" s="792"/>
      <c r="D687" s="792"/>
      <c r="E687" s="792"/>
      <c r="F687" s="792"/>
      <c r="G687" s="792"/>
      <c r="H687" s="792"/>
      <c r="I687" s="792"/>
      <c r="J687" s="792"/>
      <c r="K687" s="792"/>
      <c r="L687" s="792"/>
      <c r="M687" s="792"/>
      <c r="N687" s="792"/>
      <c r="O687" s="792"/>
      <c r="P687" s="792"/>
      <c r="Q687" s="1169"/>
      <c r="R687" s="792"/>
      <c r="S687" s="792"/>
      <c r="T687" s="792"/>
      <c r="U687" s="792"/>
      <c r="V687" s="793"/>
      <c r="W687" s="793"/>
      <c r="X687" s="792"/>
      <c r="Y687" s="792"/>
      <c r="Z687" s="792"/>
      <c r="AA687" s="792"/>
    </row>
    <row r="688" spans="1:27" ht="15.75" customHeight="1">
      <c r="A688" s="792"/>
      <c r="B688" s="792"/>
      <c r="C688" s="792"/>
      <c r="D688" s="792"/>
      <c r="E688" s="792"/>
      <c r="F688" s="792"/>
      <c r="G688" s="792"/>
      <c r="H688" s="792"/>
      <c r="I688" s="792"/>
      <c r="J688" s="792"/>
      <c r="K688" s="792"/>
      <c r="L688" s="792"/>
      <c r="M688" s="792"/>
      <c r="N688" s="792"/>
      <c r="O688" s="792"/>
      <c r="P688" s="792"/>
      <c r="Q688" s="1169"/>
      <c r="R688" s="792"/>
      <c r="S688" s="792"/>
      <c r="T688" s="792"/>
      <c r="U688" s="792"/>
      <c r="V688" s="793"/>
      <c r="W688" s="793"/>
      <c r="X688" s="792"/>
      <c r="Y688" s="792"/>
      <c r="Z688" s="792"/>
      <c r="AA688" s="792"/>
    </row>
    <row r="689" spans="1:27" ht="15.75" customHeight="1">
      <c r="A689" s="792"/>
      <c r="B689" s="792"/>
      <c r="C689" s="792"/>
      <c r="D689" s="792"/>
      <c r="E689" s="792"/>
      <c r="F689" s="792"/>
      <c r="G689" s="792"/>
      <c r="H689" s="792"/>
      <c r="I689" s="792"/>
      <c r="J689" s="792"/>
      <c r="K689" s="792"/>
      <c r="L689" s="792"/>
      <c r="M689" s="792"/>
      <c r="N689" s="792"/>
      <c r="O689" s="792"/>
      <c r="P689" s="792"/>
      <c r="Q689" s="1169"/>
      <c r="R689" s="792"/>
      <c r="S689" s="792"/>
      <c r="T689" s="792"/>
      <c r="U689" s="792"/>
      <c r="V689" s="793"/>
      <c r="W689" s="793"/>
      <c r="X689" s="792"/>
      <c r="Y689" s="792"/>
      <c r="Z689" s="792"/>
      <c r="AA689" s="792"/>
    </row>
    <row r="690" spans="1:27" ht="15.75" customHeight="1">
      <c r="A690" s="792"/>
      <c r="B690" s="792"/>
      <c r="C690" s="792"/>
      <c r="D690" s="792"/>
      <c r="E690" s="792"/>
      <c r="F690" s="792"/>
      <c r="G690" s="792"/>
      <c r="H690" s="792"/>
      <c r="I690" s="792"/>
      <c r="J690" s="792"/>
      <c r="K690" s="792"/>
      <c r="L690" s="792"/>
      <c r="M690" s="792"/>
      <c r="N690" s="792"/>
      <c r="O690" s="792"/>
      <c r="P690" s="792"/>
      <c r="Q690" s="1169"/>
      <c r="R690" s="792"/>
      <c r="S690" s="792"/>
      <c r="T690" s="792"/>
      <c r="U690" s="792"/>
      <c r="V690" s="793"/>
      <c r="W690" s="793"/>
      <c r="X690" s="792"/>
      <c r="Y690" s="792"/>
      <c r="Z690" s="792"/>
      <c r="AA690" s="792"/>
    </row>
    <row r="691" spans="1:27" ht="15.75" customHeight="1">
      <c r="A691" s="792"/>
      <c r="B691" s="792"/>
      <c r="C691" s="792"/>
      <c r="D691" s="792"/>
      <c r="E691" s="792"/>
      <c r="F691" s="792"/>
      <c r="G691" s="792"/>
      <c r="H691" s="792"/>
      <c r="I691" s="792"/>
      <c r="J691" s="792"/>
      <c r="K691" s="792"/>
      <c r="L691" s="792"/>
      <c r="M691" s="792"/>
      <c r="N691" s="792"/>
      <c r="O691" s="792"/>
      <c r="P691" s="792"/>
      <c r="Q691" s="1169"/>
      <c r="R691" s="792"/>
      <c r="S691" s="792"/>
      <c r="T691" s="792"/>
      <c r="U691" s="792"/>
      <c r="V691" s="793"/>
      <c r="W691" s="793"/>
      <c r="X691" s="792"/>
      <c r="Y691" s="792"/>
      <c r="Z691" s="792"/>
      <c r="AA691" s="792"/>
    </row>
    <row r="692" spans="1:27" ht="15.75" customHeight="1">
      <c r="A692" s="792"/>
      <c r="B692" s="792"/>
      <c r="C692" s="792"/>
      <c r="D692" s="792"/>
      <c r="E692" s="792"/>
      <c r="F692" s="792"/>
      <c r="G692" s="792"/>
      <c r="H692" s="792"/>
      <c r="I692" s="792"/>
      <c r="J692" s="792"/>
      <c r="K692" s="792"/>
      <c r="L692" s="792"/>
      <c r="M692" s="792"/>
      <c r="N692" s="792"/>
      <c r="O692" s="792"/>
      <c r="P692" s="792"/>
      <c r="Q692" s="1169"/>
      <c r="R692" s="792"/>
      <c r="S692" s="792"/>
      <c r="T692" s="792"/>
      <c r="U692" s="792"/>
      <c r="V692" s="793"/>
      <c r="W692" s="793"/>
      <c r="X692" s="792"/>
      <c r="Y692" s="792"/>
      <c r="Z692" s="792"/>
      <c r="AA692" s="792"/>
    </row>
    <row r="693" spans="1:27" ht="15.75" customHeight="1">
      <c r="A693" s="792"/>
      <c r="B693" s="792"/>
      <c r="C693" s="792"/>
      <c r="D693" s="792"/>
      <c r="E693" s="792"/>
      <c r="F693" s="792"/>
      <c r="G693" s="792"/>
      <c r="H693" s="792"/>
      <c r="I693" s="792"/>
      <c r="J693" s="792"/>
      <c r="K693" s="792"/>
      <c r="L693" s="792"/>
      <c r="M693" s="792"/>
      <c r="N693" s="792"/>
      <c r="O693" s="792"/>
      <c r="P693" s="792"/>
      <c r="Q693" s="1169"/>
      <c r="R693" s="792"/>
      <c r="S693" s="792"/>
      <c r="T693" s="792"/>
      <c r="U693" s="792"/>
      <c r="V693" s="793"/>
      <c r="W693" s="793"/>
      <c r="X693" s="792"/>
      <c r="Y693" s="792"/>
      <c r="Z693" s="792"/>
      <c r="AA693" s="792"/>
    </row>
    <row r="694" spans="1:27" ht="15.75" customHeight="1">
      <c r="A694" s="792"/>
      <c r="B694" s="792"/>
      <c r="C694" s="792"/>
      <c r="D694" s="792"/>
      <c r="E694" s="792"/>
      <c r="F694" s="792"/>
      <c r="G694" s="792"/>
      <c r="H694" s="792"/>
      <c r="I694" s="792"/>
      <c r="J694" s="792"/>
      <c r="K694" s="792"/>
      <c r="L694" s="792"/>
      <c r="M694" s="792"/>
      <c r="N694" s="792"/>
      <c r="O694" s="792"/>
      <c r="P694" s="792"/>
      <c r="Q694" s="1169"/>
      <c r="R694" s="792"/>
      <c r="S694" s="792"/>
      <c r="T694" s="792"/>
      <c r="U694" s="792"/>
      <c r="V694" s="793"/>
      <c r="W694" s="793"/>
      <c r="X694" s="792"/>
      <c r="Y694" s="792"/>
      <c r="Z694" s="792"/>
      <c r="AA694" s="792"/>
    </row>
    <row r="695" spans="1:27" ht="15.75" customHeight="1">
      <c r="A695" s="792"/>
      <c r="B695" s="792"/>
      <c r="C695" s="792"/>
      <c r="D695" s="792"/>
      <c r="E695" s="792"/>
      <c r="F695" s="792"/>
      <c r="G695" s="792"/>
      <c r="H695" s="792"/>
      <c r="I695" s="792"/>
      <c r="J695" s="792"/>
      <c r="K695" s="792"/>
      <c r="L695" s="792"/>
      <c r="M695" s="792"/>
      <c r="N695" s="792"/>
      <c r="O695" s="792"/>
      <c r="P695" s="792"/>
      <c r="Q695" s="1169"/>
      <c r="R695" s="792"/>
      <c r="S695" s="792"/>
      <c r="T695" s="792"/>
      <c r="U695" s="792"/>
      <c r="V695" s="793"/>
      <c r="W695" s="793"/>
      <c r="X695" s="792"/>
      <c r="Y695" s="792"/>
      <c r="Z695" s="792"/>
      <c r="AA695" s="792"/>
    </row>
    <row r="696" spans="1:27" ht="15.75" customHeight="1">
      <c r="A696" s="792"/>
      <c r="B696" s="792"/>
      <c r="C696" s="792"/>
      <c r="D696" s="792"/>
      <c r="E696" s="792"/>
      <c r="F696" s="792"/>
      <c r="G696" s="792"/>
      <c r="H696" s="792"/>
      <c r="I696" s="792"/>
      <c r="J696" s="792"/>
      <c r="K696" s="792"/>
      <c r="L696" s="792"/>
      <c r="M696" s="792"/>
      <c r="N696" s="792"/>
      <c r="O696" s="792"/>
      <c r="P696" s="792"/>
      <c r="Q696" s="1169"/>
      <c r="R696" s="792"/>
      <c r="S696" s="792"/>
      <c r="T696" s="792"/>
      <c r="U696" s="792"/>
      <c r="V696" s="793"/>
      <c r="W696" s="793"/>
      <c r="X696" s="792"/>
      <c r="Y696" s="792"/>
      <c r="Z696" s="792"/>
      <c r="AA696" s="792"/>
    </row>
    <row r="697" spans="1:27" ht="15.75" customHeight="1">
      <c r="A697" s="792"/>
      <c r="B697" s="792"/>
      <c r="C697" s="792"/>
      <c r="D697" s="792"/>
      <c r="E697" s="792"/>
      <c r="F697" s="792"/>
      <c r="G697" s="792"/>
      <c r="H697" s="792"/>
      <c r="I697" s="792"/>
      <c r="J697" s="792"/>
      <c r="K697" s="792"/>
      <c r="L697" s="792"/>
      <c r="M697" s="792"/>
      <c r="N697" s="792"/>
      <c r="O697" s="792"/>
      <c r="P697" s="792"/>
      <c r="Q697" s="1169"/>
      <c r="R697" s="792"/>
      <c r="S697" s="792"/>
      <c r="T697" s="792"/>
      <c r="U697" s="792"/>
      <c r="V697" s="793"/>
      <c r="W697" s="793"/>
      <c r="X697" s="792"/>
      <c r="Y697" s="792"/>
      <c r="Z697" s="792"/>
      <c r="AA697" s="792"/>
    </row>
    <row r="698" spans="1:27" ht="15.75" customHeight="1">
      <c r="A698" s="792"/>
      <c r="B698" s="792"/>
      <c r="C698" s="792"/>
      <c r="D698" s="792"/>
      <c r="E698" s="792"/>
      <c r="F698" s="792"/>
      <c r="G698" s="792"/>
      <c r="H698" s="792"/>
      <c r="I698" s="792"/>
      <c r="J698" s="792"/>
      <c r="K698" s="792"/>
      <c r="L698" s="792"/>
      <c r="M698" s="792"/>
      <c r="N698" s="792"/>
      <c r="O698" s="792"/>
      <c r="P698" s="792"/>
      <c r="Q698" s="1169"/>
      <c r="R698" s="792"/>
      <c r="S698" s="792"/>
      <c r="T698" s="792"/>
      <c r="U698" s="792"/>
      <c r="V698" s="793"/>
      <c r="W698" s="793"/>
      <c r="X698" s="792"/>
      <c r="Y698" s="792"/>
      <c r="Z698" s="792"/>
      <c r="AA698" s="792"/>
    </row>
    <row r="699" spans="1:27" ht="15.75" customHeight="1">
      <c r="A699" s="792"/>
      <c r="B699" s="792"/>
      <c r="C699" s="792"/>
      <c r="D699" s="792"/>
      <c r="E699" s="792"/>
      <c r="F699" s="792"/>
      <c r="G699" s="792"/>
      <c r="H699" s="792"/>
      <c r="I699" s="792"/>
      <c r="J699" s="792"/>
      <c r="K699" s="792"/>
      <c r="L699" s="792"/>
      <c r="M699" s="792"/>
      <c r="N699" s="792"/>
      <c r="O699" s="792"/>
      <c r="P699" s="792"/>
      <c r="Q699" s="1169"/>
      <c r="R699" s="792"/>
      <c r="S699" s="792"/>
      <c r="T699" s="792"/>
      <c r="U699" s="792"/>
      <c r="V699" s="793"/>
      <c r="W699" s="793"/>
      <c r="X699" s="792"/>
      <c r="Y699" s="792"/>
      <c r="Z699" s="792"/>
      <c r="AA699" s="792"/>
    </row>
    <row r="700" spans="1:27" ht="15.75" customHeight="1">
      <c r="A700" s="792"/>
      <c r="B700" s="792"/>
      <c r="C700" s="792"/>
      <c r="D700" s="792"/>
      <c r="E700" s="792"/>
      <c r="F700" s="792"/>
      <c r="G700" s="792"/>
      <c r="H700" s="792"/>
      <c r="I700" s="792"/>
      <c r="J700" s="792"/>
      <c r="K700" s="792"/>
      <c r="L700" s="792"/>
      <c r="M700" s="792"/>
      <c r="N700" s="792"/>
      <c r="O700" s="792"/>
      <c r="P700" s="792"/>
      <c r="Q700" s="1169"/>
      <c r="R700" s="792"/>
      <c r="S700" s="792"/>
      <c r="T700" s="792"/>
      <c r="U700" s="792"/>
      <c r="V700" s="793"/>
      <c r="W700" s="793"/>
      <c r="X700" s="792"/>
      <c r="Y700" s="792"/>
      <c r="Z700" s="792"/>
      <c r="AA700" s="792"/>
    </row>
    <row r="701" spans="1:27" ht="15.75" customHeight="1">
      <c r="A701" s="792"/>
      <c r="B701" s="792"/>
      <c r="C701" s="792"/>
      <c r="D701" s="792"/>
      <c r="E701" s="792"/>
      <c r="F701" s="792"/>
      <c r="G701" s="792"/>
      <c r="H701" s="792"/>
      <c r="I701" s="792"/>
      <c r="J701" s="792"/>
      <c r="K701" s="792"/>
      <c r="L701" s="792"/>
      <c r="M701" s="792"/>
      <c r="N701" s="792"/>
      <c r="O701" s="792"/>
      <c r="P701" s="792"/>
      <c r="Q701" s="1169"/>
      <c r="R701" s="792"/>
      <c r="S701" s="792"/>
      <c r="T701" s="792"/>
      <c r="U701" s="792"/>
      <c r="V701" s="793"/>
      <c r="W701" s="793"/>
      <c r="X701" s="792"/>
      <c r="Y701" s="792"/>
      <c r="Z701" s="792"/>
      <c r="AA701" s="792"/>
    </row>
    <row r="702" spans="1:27" ht="15.75" customHeight="1">
      <c r="A702" s="792"/>
      <c r="B702" s="792"/>
      <c r="C702" s="792"/>
      <c r="D702" s="792"/>
      <c r="E702" s="792"/>
      <c r="F702" s="792"/>
      <c r="G702" s="792"/>
      <c r="H702" s="792"/>
      <c r="I702" s="792"/>
      <c r="J702" s="792"/>
      <c r="K702" s="792"/>
      <c r="L702" s="792"/>
      <c r="M702" s="792"/>
      <c r="N702" s="792"/>
      <c r="O702" s="792"/>
      <c r="P702" s="792"/>
      <c r="Q702" s="1169"/>
      <c r="R702" s="792"/>
      <c r="S702" s="792"/>
      <c r="T702" s="792"/>
      <c r="U702" s="792"/>
      <c r="V702" s="793"/>
      <c r="W702" s="793"/>
      <c r="X702" s="792"/>
      <c r="Y702" s="792"/>
      <c r="Z702" s="792"/>
      <c r="AA702" s="792"/>
    </row>
    <row r="703" spans="1:27" ht="15.75" customHeight="1">
      <c r="A703" s="792"/>
      <c r="B703" s="792"/>
      <c r="C703" s="792"/>
      <c r="D703" s="792"/>
      <c r="E703" s="792"/>
      <c r="F703" s="792"/>
      <c r="G703" s="792"/>
      <c r="H703" s="792"/>
      <c r="I703" s="792"/>
      <c r="J703" s="792"/>
      <c r="K703" s="792"/>
      <c r="L703" s="792"/>
      <c r="M703" s="792"/>
      <c r="N703" s="792"/>
      <c r="O703" s="792"/>
      <c r="P703" s="792"/>
      <c r="Q703" s="1169"/>
      <c r="R703" s="792"/>
      <c r="S703" s="792"/>
      <c r="T703" s="792"/>
      <c r="U703" s="792"/>
      <c r="V703" s="793"/>
      <c r="W703" s="793"/>
      <c r="X703" s="792"/>
      <c r="Y703" s="792"/>
      <c r="Z703" s="792"/>
      <c r="AA703" s="792"/>
    </row>
    <row r="704" spans="1:27" ht="15.75" customHeight="1">
      <c r="A704" s="792"/>
      <c r="B704" s="792"/>
      <c r="C704" s="792"/>
      <c r="D704" s="792"/>
      <c r="E704" s="792"/>
      <c r="F704" s="792"/>
      <c r="G704" s="792"/>
      <c r="H704" s="792"/>
      <c r="I704" s="792"/>
      <c r="J704" s="792"/>
      <c r="K704" s="792"/>
      <c r="L704" s="792"/>
      <c r="M704" s="792"/>
      <c r="N704" s="792"/>
      <c r="O704" s="792"/>
      <c r="P704" s="792"/>
      <c r="Q704" s="1169"/>
      <c r="R704" s="792"/>
      <c r="S704" s="792"/>
      <c r="T704" s="792"/>
      <c r="U704" s="792"/>
      <c r="V704" s="793"/>
      <c r="W704" s="793"/>
      <c r="X704" s="792"/>
      <c r="Y704" s="792"/>
      <c r="Z704" s="792"/>
      <c r="AA704" s="792"/>
    </row>
    <row r="705" spans="1:27" ht="15.75" customHeight="1">
      <c r="A705" s="792"/>
      <c r="B705" s="792"/>
      <c r="C705" s="792"/>
      <c r="D705" s="792"/>
      <c r="E705" s="792"/>
      <c r="F705" s="792"/>
      <c r="G705" s="792"/>
      <c r="H705" s="792"/>
      <c r="I705" s="792"/>
      <c r="J705" s="792"/>
      <c r="K705" s="792"/>
      <c r="L705" s="792"/>
      <c r="M705" s="792"/>
      <c r="N705" s="792"/>
      <c r="O705" s="792"/>
      <c r="P705" s="792"/>
      <c r="Q705" s="1169"/>
      <c r="R705" s="792"/>
      <c r="S705" s="792"/>
      <c r="T705" s="792"/>
      <c r="U705" s="792"/>
      <c r="V705" s="793"/>
      <c r="W705" s="793"/>
      <c r="X705" s="792"/>
      <c r="Y705" s="792"/>
      <c r="Z705" s="792"/>
      <c r="AA705" s="792"/>
    </row>
    <row r="706" spans="1:27" ht="15.75" customHeight="1">
      <c r="A706" s="792"/>
      <c r="B706" s="792"/>
      <c r="C706" s="792"/>
      <c r="D706" s="792"/>
      <c r="E706" s="792"/>
      <c r="F706" s="792"/>
      <c r="G706" s="792"/>
      <c r="H706" s="792"/>
      <c r="I706" s="792"/>
      <c r="J706" s="792"/>
      <c r="K706" s="792"/>
      <c r="L706" s="792"/>
      <c r="M706" s="792"/>
      <c r="N706" s="792"/>
      <c r="O706" s="792"/>
      <c r="P706" s="792"/>
      <c r="Q706" s="1169"/>
      <c r="R706" s="792"/>
      <c r="S706" s="792"/>
      <c r="T706" s="792"/>
      <c r="U706" s="792"/>
      <c r="V706" s="793"/>
      <c r="W706" s="793"/>
      <c r="X706" s="792"/>
      <c r="Y706" s="792"/>
      <c r="Z706" s="792"/>
      <c r="AA706" s="792"/>
    </row>
    <row r="707" spans="1:27" ht="15.75" customHeight="1">
      <c r="A707" s="792"/>
      <c r="B707" s="792"/>
      <c r="C707" s="792"/>
      <c r="D707" s="792"/>
      <c r="E707" s="792"/>
      <c r="F707" s="792"/>
      <c r="G707" s="792"/>
      <c r="H707" s="792"/>
      <c r="I707" s="792"/>
      <c r="J707" s="792"/>
      <c r="K707" s="792"/>
      <c r="L707" s="792"/>
      <c r="M707" s="792"/>
      <c r="N707" s="792"/>
      <c r="O707" s="792"/>
      <c r="P707" s="792"/>
      <c r="Q707" s="1169"/>
      <c r="R707" s="792"/>
      <c r="S707" s="792"/>
      <c r="T707" s="792"/>
      <c r="U707" s="792"/>
      <c r="V707" s="793"/>
      <c r="W707" s="793"/>
      <c r="X707" s="792"/>
      <c r="Y707" s="792"/>
      <c r="Z707" s="792"/>
      <c r="AA707" s="792"/>
    </row>
    <row r="708" spans="1:27" ht="15.75" customHeight="1">
      <c r="A708" s="792"/>
      <c r="B708" s="792"/>
      <c r="C708" s="792"/>
      <c r="D708" s="792"/>
      <c r="E708" s="792"/>
      <c r="F708" s="792"/>
      <c r="G708" s="792"/>
      <c r="H708" s="792"/>
      <c r="I708" s="792"/>
      <c r="J708" s="792"/>
      <c r="K708" s="792"/>
      <c r="L708" s="792"/>
      <c r="M708" s="792"/>
      <c r="N708" s="792"/>
      <c r="O708" s="792"/>
      <c r="P708" s="792"/>
      <c r="Q708" s="1169"/>
      <c r="R708" s="792"/>
      <c r="S708" s="792"/>
      <c r="T708" s="792"/>
      <c r="U708" s="792"/>
      <c r="V708" s="793"/>
      <c r="W708" s="793"/>
      <c r="X708" s="792"/>
      <c r="Y708" s="792"/>
      <c r="Z708" s="792"/>
      <c r="AA708" s="792"/>
    </row>
    <row r="709" spans="1:27" ht="15.75" customHeight="1">
      <c r="A709" s="792"/>
      <c r="B709" s="792"/>
      <c r="C709" s="792"/>
      <c r="D709" s="792"/>
      <c r="E709" s="792"/>
      <c r="F709" s="792"/>
      <c r="G709" s="792"/>
      <c r="H709" s="792"/>
      <c r="I709" s="792"/>
      <c r="J709" s="792"/>
      <c r="K709" s="792"/>
      <c r="L709" s="792"/>
      <c r="M709" s="792"/>
      <c r="N709" s="792"/>
      <c r="O709" s="792"/>
      <c r="P709" s="792"/>
      <c r="Q709" s="1169"/>
      <c r="R709" s="792"/>
      <c r="S709" s="792"/>
      <c r="T709" s="792"/>
      <c r="U709" s="792"/>
      <c r="V709" s="793"/>
      <c r="W709" s="793"/>
      <c r="X709" s="792"/>
      <c r="Y709" s="792"/>
      <c r="Z709" s="792"/>
      <c r="AA709" s="792"/>
    </row>
    <row r="710" spans="1:27" ht="15.75" customHeight="1">
      <c r="A710" s="792"/>
      <c r="B710" s="792"/>
      <c r="C710" s="792"/>
      <c r="D710" s="792"/>
      <c r="E710" s="792"/>
      <c r="F710" s="792"/>
      <c r="G710" s="792"/>
      <c r="H710" s="792"/>
      <c r="I710" s="792"/>
      <c r="J710" s="792"/>
      <c r="K710" s="792"/>
      <c r="L710" s="792"/>
      <c r="M710" s="792"/>
      <c r="N710" s="792"/>
      <c r="O710" s="792"/>
      <c r="P710" s="792"/>
      <c r="Q710" s="1169"/>
      <c r="R710" s="792"/>
      <c r="S710" s="792"/>
      <c r="T710" s="792"/>
      <c r="U710" s="792"/>
      <c r="V710" s="793"/>
      <c r="W710" s="793"/>
      <c r="X710" s="792"/>
      <c r="Y710" s="792"/>
      <c r="Z710" s="792"/>
      <c r="AA710" s="792"/>
    </row>
    <row r="711" spans="1:27" ht="15.75" customHeight="1">
      <c r="A711" s="792"/>
      <c r="B711" s="792"/>
      <c r="C711" s="792"/>
      <c r="D711" s="792"/>
      <c r="E711" s="792"/>
      <c r="F711" s="792"/>
      <c r="G711" s="792"/>
      <c r="H711" s="792"/>
      <c r="I711" s="792"/>
      <c r="J711" s="792"/>
      <c r="K711" s="792"/>
      <c r="L711" s="792"/>
      <c r="M711" s="792"/>
      <c r="N711" s="792"/>
      <c r="O711" s="792"/>
      <c r="P711" s="792"/>
      <c r="Q711" s="1169"/>
      <c r="R711" s="792"/>
      <c r="S711" s="792"/>
      <c r="T711" s="792"/>
      <c r="U711" s="792"/>
      <c r="V711" s="793"/>
      <c r="W711" s="793"/>
      <c r="X711" s="792"/>
      <c r="Y711" s="792"/>
      <c r="Z711" s="792"/>
      <c r="AA711" s="792"/>
    </row>
    <row r="712" spans="1:27" ht="15.75" customHeight="1">
      <c r="A712" s="792"/>
      <c r="B712" s="792"/>
      <c r="C712" s="792"/>
      <c r="D712" s="792"/>
      <c r="E712" s="792"/>
      <c r="F712" s="792"/>
      <c r="G712" s="792"/>
      <c r="H712" s="792"/>
      <c r="I712" s="792"/>
      <c r="J712" s="792"/>
      <c r="K712" s="792"/>
      <c r="L712" s="792"/>
      <c r="M712" s="792"/>
      <c r="N712" s="792"/>
      <c r="O712" s="792"/>
      <c r="P712" s="792"/>
      <c r="Q712" s="1169"/>
      <c r="R712" s="792"/>
      <c r="S712" s="792"/>
      <c r="T712" s="792"/>
      <c r="U712" s="792"/>
      <c r="V712" s="793"/>
      <c r="W712" s="793"/>
      <c r="X712" s="792"/>
      <c r="Y712" s="792"/>
      <c r="Z712" s="792"/>
      <c r="AA712" s="792"/>
    </row>
    <row r="713" spans="1:27" ht="15.75" customHeight="1">
      <c r="A713" s="792"/>
      <c r="B713" s="792"/>
      <c r="C713" s="792"/>
      <c r="D713" s="792"/>
      <c r="E713" s="792"/>
      <c r="F713" s="792"/>
      <c r="G713" s="792"/>
      <c r="H713" s="792"/>
      <c r="I713" s="792"/>
      <c r="J713" s="792"/>
      <c r="K713" s="792"/>
      <c r="L713" s="792"/>
      <c r="M713" s="792"/>
      <c r="N713" s="792"/>
      <c r="O713" s="792"/>
      <c r="P713" s="792"/>
      <c r="Q713" s="1169"/>
      <c r="R713" s="792"/>
      <c r="S713" s="792"/>
      <c r="T713" s="792"/>
      <c r="U713" s="792"/>
      <c r="V713" s="793"/>
      <c r="W713" s="793"/>
      <c r="X713" s="792"/>
      <c r="Y713" s="792"/>
      <c r="Z713" s="792"/>
      <c r="AA713" s="792"/>
    </row>
    <row r="714" spans="1:27" ht="15.75" customHeight="1">
      <c r="A714" s="792"/>
      <c r="B714" s="792"/>
      <c r="C714" s="792"/>
      <c r="D714" s="792"/>
      <c r="E714" s="792"/>
      <c r="F714" s="792"/>
      <c r="G714" s="792"/>
      <c r="H714" s="792"/>
      <c r="I714" s="792"/>
      <c r="J714" s="792"/>
      <c r="K714" s="792"/>
      <c r="L714" s="792"/>
      <c r="M714" s="792"/>
      <c r="N714" s="792"/>
      <c r="O714" s="792"/>
      <c r="P714" s="792"/>
      <c r="Q714" s="1169"/>
      <c r="R714" s="792"/>
      <c r="S714" s="792"/>
      <c r="T714" s="792"/>
      <c r="U714" s="792"/>
      <c r="V714" s="793"/>
      <c r="W714" s="793"/>
      <c r="X714" s="792"/>
      <c r="Y714" s="792"/>
      <c r="Z714" s="792"/>
      <c r="AA714" s="792"/>
    </row>
    <row r="715" spans="1:27" ht="15.75" customHeight="1">
      <c r="A715" s="792"/>
      <c r="B715" s="792"/>
      <c r="C715" s="792"/>
      <c r="D715" s="792"/>
      <c r="E715" s="792"/>
      <c r="F715" s="792"/>
      <c r="G715" s="792"/>
      <c r="H715" s="792"/>
      <c r="I715" s="792"/>
      <c r="J715" s="792"/>
      <c r="K715" s="792"/>
      <c r="L715" s="792"/>
      <c r="M715" s="792"/>
      <c r="N715" s="792"/>
      <c r="O715" s="792"/>
      <c r="P715" s="792"/>
      <c r="Q715" s="1169"/>
      <c r="R715" s="792"/>
      <c r="S715" s="792"/>
      <c r="T715" s="792"/>
      <c r="U715" s="792"/>
      <c r="V715" s="793"/>
      <c r="W715" s="793"/>
      <c r="X715" s="792"/>
      <c r="Y715" s="792"/>
      <c r="Z715" s="792"/>
      <c r="AA715" s="792"/>
    </row>
    <row r="716" spans="1:27" ht="15.75" customHeight="1">
      <c r="A716" s="792"/>
      <c r="B716" s="792"/>
      <c r="C716" s="792"/>
      <c r="D716" s="792"/>
      <c r="E716" s="792"/>
      <c r="F716" s="792"/>
      <c r="G716" s="792"/>
      <c r="H716" s="792"/>
      <c r="I716" s="792"/>
      <c r="J716" s="792"/>
      <c r="K716" s="792"/>
      <c r="L716" s="792"/>
      <c r="M716" s="792"/>
      <c r="N716" s="792"/>
      <c r="O716" s="792"/>
      <c r="P716" s="792"/>
      <c r="Q716" s="1169"/>
      <c r="R716" s="792"/>
      <c r="S716" s="792"/>
      <c r="T716" s="792"/>
      <c r="U716" s="792"/>
      <c r="V716" s="793"/>
      <c r="W716" s="793"/>
      <c r="X716" s="792"/>
      <c r="Y716" s="792"/>
      <c r="Z716" s="792"/>
      <c r="AA716" s="792"/>
    </row>
    <row r="717" spans="1:27" ht="15.75" customHeight="1">
      <c r="A717" s="792"/>
      <c r="B717" s="792"/>
      <c r="C717" s="792"/>
      <c r="D717" s="792"/>
      <c r="E717" s="792"/>
      <c r="F717" s="792"/>
      <c r="G717" s="792"/>
      <c r="H717" s="792"/>
      <c r="I717" s="792"/>
      <c r="J717" s="792"/>
      <c r="K717" s="792"/>
      <c r="L717" s="792"/>
      <c r="M717" s="792"/>
      <c r="N717" s="792"/>
      <c r="O717" s="792"/>
      <c r="P717" s="792"/>
      <c r="Q717" s="1169"/>
      <c r="R717" s="792"/>
      <c r="S717" s="792"/>
      <c r="T717" s="792"/>
      <c r="U717" s="792"/>
      <c r="V717" s="793"/>
      <c r="W717" s="793"/>
      <c r="X717" s="792"/>
      <c r="Y717" s="792"/>
      <c r="Z717" s="792"/>
      <c r="AA717" s="792"/>
    </row>
    <row r="718" spans="1:27" ht="15.75" customHeight="1">
      <c r="A718" s="792"/>
      <c r="B718" s="792"/>
      <c r="C718" s="792"/>
      <c r="D718" s="792"/>
      <c r="E718" s="792"/>
      <c r="F718" s="792"/>
      <c r="G718" s="792"/>
      <c r="H718" s="792"/>
      <c r="I718" s="792"/>
      <c r="J718" s="792"/>
      <c r="K718" s="792"/>
      <c r="L718" s="792"/>
      <c r="M718" s="792"/>
      <c r="N718" s="792"/>
      <c r="O718" s="792"/>
      <c r="P718" s="792"/>
      <c r="Q718" s="1169"/>
      <c r="R718" s="792"/>
      <c r="S718" s="792"/>
      <c r="T718" s="792"/>
      <c r="U718" s="792"/>
      <c r="V718" s="793"/>
      <c r="W718" s="793"/>
      <c r="X718" s="792"/>
      <c r="Y718" s="792"/>
      <c r="Z718" s="792"/>
      <c r="AA718" s="792"/>
    </row>
    <row r="719" spans="1:27" ht="15.75" customHeight="1">
      <c r="A719" s="792"/>
      <c r="B719" s="792"/>
      <c r="C719" s="792"/>
      <c r="D719" s="792"/>
      <c r="E719" s="792"/>
      <c r="F719" s="792"/>
      <c r="G719" s="792"/>
      <c r="H719" s="792"/>
      <c r="I719" s="792"/>
      <c r="J719" s="792"/>
      <c r="K719" s="792"/>
      <c r="L719" s="792"/>
      <c r="M719" s="792"/>
      <c r="N719" s="792"/>
      <c r="O719" s="792"/>
      <c r="P719" s="792"/>
      <c r="Q719" s="1169"/>
      <c r="R719" s="792"/>
      <c r="S719" s="792"/>
      <c r="T719" s="792"/>
      <c r="U719" s="792"/>
      <c r="V719" s="793"/>
      <c r="W719" s="793"/>
      <c r="X719" s="792"/>
      <c r="Y719" s="792"/>
      <c r="Z719" s="792"/>
      <c r="AA719" s="792"/>
    </row>
    <row r="720" spans="1:27" ht="15.75" customHeight="1">
      <c r="A720" s="792"/>
      <c r="B720" s="792"/>
      <c r="C720" s="792"/>
      <c r="D720" s="792"/>
      <c r="E720" s="792"/>
      <c r="F720" s="792"/>
      <c r="G720" s="792"/>
      <c r="H720" s="792"/>
      <c r="I720" s="792"/>
      <c r="J720" s="792"/>
      <c r="K720" s="792"/>
      <c r="L720" s="792"/>
      <c r="M720" s="792"/>
      <c r="N720" s="792"/>
      <c r="O720" s="792"/>
      <c r="P720" s="792"/>
      <c r="Q720" s="1169"/>
      <c r="R720" s="792"/>
      <c r="S720" s="792"/>
      <c r="T720" s="792"/>
      <c r="U720" s="792"/>
      <c r="V720" s="793"/>
      <c r="W720" s="793"/>
      <c r="X720" s="792"/>
      <c r="Y720" s="792"/>
      <c r="Z720" s="792"/>
      <c r="AA720" s="792"/>
    </row>
    <row r="721" spans="1:27" ht="15.75" customHeight="1">
      <c r="A721" s="792"/>
      <c r="B721" s="792"/>
      <c r="C721" s="792"/>
      <c r="D721" s="792"/>
      <c r="E721" s="792"/>
      <c r="F721" s="792"/>
      <c r="G721" s="792"/>
      <c r="H721" s="792"/>
      <c r="I721" s="792"/>
      <c r="J721" s="792"/>
      <c r="K721" s="792"/>
      <c r="L721" s="792"/>
      <c r="M721" s="792"/>
      <c r="N721" s="792"/>
      <c r="O721" s="792"/>
      <c r="P721" s="792"/>
      <c r="Q721" s="1169"/>
      <c r="R721" s="792"/>
      <c r="S721" s="792"/>
      <c r="T721" s="792"/>
      <c r="U721" s="792"/>
      <c r="V721" s="793"/>
      <c r="W721" s="793"/>
      <c r="X721" s="792"/>
      <c r="Y721" s="792"/>
      <c r="Z721" s="792"/>
      <c r="AA721" s="792"/>
    </row>
    <row r="722" spans="1:27" ht="15.75" customHeight="1">
      <c r="A722" s="792"/>
      <c r="B722" s="792"/>
      <c r="C722" s="792"/>
      <c r="D722" s="792"/>
      <c r="E722" s="792"/>
      <c r="F722" s="792"/>
      <c r="G722" s="792"/>
      <c r="H722" s="792"/>
      <c r="I722" s="792"/>
      <c r="J722" s="792"/>
      <c r="K722" s="792"/>
      <c r="L722" s="792"/>
      <c r="M722" s="792"/>
      <c r="N722" s="792"/>
      <c r="O722" s="792"/>
      <c r="P722" s="792"/>
      <c r="Q722" s="1169"/>
      <c r="R722" s="792"/>
      <c r="S722" s="792"/>
      <c r="T722" s="792"/>
      <c r="U722" s="792"/>
      <c r="V722" s="793"/>
      <c r="W722" s="793"/>
      <c r="X722" s="792"/>
      <c r="Y722" s="792"/>
      <c r="Z722" s="792"/>
      <c r="AA722" s="792"/>
    </row>
    <row r="723" spans="1:27" ht="15.75" customHeight="1">
      <c r="A723" s="792"/>
      <c r="B723" s="792"/>
      <c r="C723" s="792"/>
      <c r="D723" s="792"/>
      <c r="E723" s="792"/>
      <c r="F723" s="792"/>
      <c r="G723" s="792"/>
      <c r="H723" s="792"/>
      <c r="I723" s="792"/>
      <c r="J723" s="792"/>
      <c r="K723" s="792"/>
      <c r="L723" s="792"/>
      <c r="M723" s="792"/>
      <c r="N723" s="792"/>
      <c r="O723" s="792"/>
      <c r="P723" s="792"/>
      <c r="Q723" s="1169"/>
      <c r="R723" s="792"/>
      <c r="S723" s="792"/>
      <c r="T723" s="792"/>
      <c r="U723" s="792"/>
      <c r="V723" s="793"/>
      <c r="W723" s="793"/>
      <c r="X723" s="792"/>
      <c r="Y723" s="792"/>
      <c r="Z723" s="792"/>
      <c r="AA723" s="792"/>
    </row>
    <row r="724" spans="1:27" ht="15.75" customHeight="1">
      <c r="A724" s="792"/>
      <c r="B724" s="792"/>
      <c r="C724" s="792"/>
      <c r="D724" s="792"/>
      <c r="E724" s="792"/>
      <c r="F724" s="792"/>
      <c r="G724" s="792"/>
      <c r="H724" s="792"/>
      <c r="I724" s="792"/>
      <c r="J724" s="792"/>
      <c r="K724" s="792"/>
      <c r="L724" s="792"/>
      <c r="M724" s="792"/>
      <c r="N724" s="792"/>
      <c r="O724" s="792"/>
      <c r="P724" s="792"/>
      <c r="Q724" s="1169"/>
      <c r="R724" s="792"/>
      <c r="S724" s="792"/>
      <c r="T724" s="792"/>
      <c r="U724" s="792"/>
      <c r="V724" s="793"/>
      <c r="W724" s="793"/>
      <c r="X724" s="792"/>
      <c r="Y724" s="792"/>
      <c r="Z724" s="792"/>
      <c r="AA724" s="792"/>
    </row>
    <row r="725" spans="1:27" ht="15.75" customHeight="1">
      <c r="A725" s="792"/>
      <c r="B725" s="792"/>
      <c r="C725" s="792"/>
      <c r="D725" s="792"/>
      <c r="E725" s="792"/>
      <c r="F725" s="792"/>
      <c r="G725" s="792"/>
      <c r="H725" s="792"/>
      <c r="I725" s="792"/>
      <c r="J725" s="792"/>
      <c r="K725" s="792"/>
      <c r="L725" s="792"/>
      <c r="M725" s="792"/>
      <c r="N725" s="792"/>
      <c r="O725" s="792"/>
      <c r="P725" s="792"/>
      <c r="Q725" s="1169"/>
      <c r="R725" s="792"/>
      <c r="S725" s="792"/>
      <c r="T725" s="792"/>
      <c r="U725" s="792"/>
      <c r="V725" s="793"/>
      <c r="W725" s="793"/>
      <c r="X725" s="792"/>
      <c r="Y725" s="792"/>
      <c r="Z725" s="792"/>
      <c r="AA725" s="792"/>
    </row>
    <row r="726" spans="1:27" ht="15.75" customHeight="1">
      <c r="A726" s="792"/>
      <c r="B726" s="792"/>
      <c r="C726" s="792"/>
      <c r="D726" s="792"/>
      <c r="E726" s="792"/>
      <c r="F726" s="792"/>
      <c r="G726" s="792"/>
      <c r="H726" s="792"/>
      <c r="I726" s="792"/>
      <c r="J726" s="792"/>
      <c r="K726" s="792"/>
      <c r="L726" s="792"/>
      <c r="M726" s="792"/>
      <c r="N726" s="792"/>
      <c r="O726" s="792"/>
      <c r="P726" s="792"/>
      <c r="Q726" s="1169"/>
      <c r="R726" s="792"/>
      <c r="S726" s="792"/>
      <c r="T726" s="792"/>
      <c r="U726" s="792"/>
      <c r="V726" s="793"/>
      <c r="W726" s="793"/>
      <c r="X726" s="792"/>
      <c r="Y726" s="792"/>
      <c r="Z726" s="792"/>
      <c r="AA726" s="792"/>
    </row>
    <row r="727" spans="1:27" ht="15.75" customHeight="1">
      <c r="A727" s="792"/>
      <c r="B727" s="792"/>
      <c r="C727" s="792"/>
      <c r="D727" s="792"/>
      <c r="E727" s="792"/>
      <c r="F727" s="792"/>
      <c r="G727" s="792"/>
      <c r="H727" s="792"/>
      <c r="I727" s="792"/>
      <c r="J727" s="792"/>
      <c r="K727" s="792"/>
      <c r="L727" s="792"/>
      <c r="M727" s="792"/>
      <c r="N727" s="792"/>
      <c r="O727" s="792"/>
      <c r="P727" s="792"/>
      <c r="Q727" s="1169"/>
      <c r="R727" s="792"/>
      <c r="S727" s="792"/>
      <c r="T727" s="792"/>
      <c r="U727" s="792"/>
      <c r="V727" s="793"/>
      <c r="W727" s="793"/>
      <c r="X727" s="792"/>
      <c r="Y727" s="792"/>
      <c r="Z727" s="792"/>
      <c r="AA727" s="792"/>
    </row>
    <row r="728" spans="1:27" ht="15.75" customHeight="1">
      <c r="A728" s="792"/>
      <c r="B728" s="792"/>
      <c r="C728" s="792"/>
      <c r="D728" s="792"/>
      <c r="E728" s="792"/>
      <c r="F728" s="792"/>
      <c r="G728" s="792"/>
      <c r="H728" s="792"/>
      <c r="I728" s="792"/>
      <c r="J728" s="792"/>
      <c r="K728" s="792"/>
      <c r="L728" s="792"/>
      <c r="M728" s="792"/>
      <c r="N728" s="792"/>
      <c r="O728" s="792"/>
      <c r="P728" s="792"/>
      <c r="Q728" s="1169"/>
      <c r="R728" s="792"/>
      <c r="S728" s="792"/>
      <c r="T728" s="792"/>
      <c r="U728" s="792"/>
      <c r="V728" s="793"/>
      <c r="W728" s="793"/>
      <c r="X728" s="792"/>
      <c r="Y728" s="792"/>
      <c r="Z728" s="792"/>
      <c r="AA728" s="792"/>
    </row>
    <row r="729" spans="1:27" ht="15.75" customHeight="1">
      <c r="A729" s="792"/>
      <c r="B729" s="792"/>
      <c r="C729" s="792"/>
      <c r="D729" s="792"/>
      <c r="E729" s="792"/>
      <c r="F729" s="792"/>
      <c r="G729" s="792"/>
      <c r="H729" s="792"/>
      <c r="I729" s="792"/>
      <c r="J729" s="792"/>
      <c r="K729" s="792"/>
      <c r="L729" s="792"/>
      <c r="M729" s="792"/>
      <c r="N729" s="792"/>
      <c r="O729" s="792"/>
      <c r="P729" s="792"/>
      <c r="Q729" s="1169"/>
      <c r="R729" s="792"/>
      <c r="S729" s="792"/>
      <c r="T729" s="792"/>
      <c r="U729" s="792"/>
      <c r="V729" s="793"/>
      <c r="W729" s="793"/>
      <c r="X729" s="792"/>
      <c r="Y729" s="792"/>
      <c r="Z729" s="792"/>
      <c r="AA729" s="792"/>
    </row>
    <row r="730" spans="1:27" ht="15.75" customHeight="1">
      <c r="A730" s="792"/>
      <c r="B730" s="792"/>
      <c r="C730" s="792"/>
      <c r="D730" s="792"/>
      <c r="E730" s="792"/>
      <c r="F730" s="792"/>
      <c r="G730" s="792"/>
      <c r="H730" s="792"/>
      <c r="I730" s="792"/>
      <c r="J730" s="792"/>
      <c r="K730" s="792"/>
      <c r="L730" s="792"/>
      <c r="M730" s="792"/>
      <c r="N730" s="792"/>
      <c r="O730" s="792"/>
      <c r="P730" s="792"/>
      <c r="Q730" s="1169"/>
      <c r="R730" s="792"/>
      <c r="S730" s="792"/>
      <c r="T730" s="792"/>
      <c r="U730" s="792"/>
      <c r="V730" s="793"/>
      <c r="W730" s="793"/>
      <c r="X730" s="792"/>
      <c r="Y730" s="792"/>
      <c r="Z730" s="792"/>
      <c r="AA730" s="792"/>
    </row>
    <row r="731" spans="1:27" ht="15.75" customHeight="1">
      <c r="A731" s="792"/>
      <c r="B731" s="792"/>
      <c r="C731" s="792"/>
      <c r="D731" s="792"/>
      <c r="E731" s="792"/>
      <c r="F731" s="792"/>
      <c r="G731" s="792"/>
      <c r="H731" s="792"/>
      <c r="I731" s="792"/>
      <c r="J731" s="792"/>
      <c r="K731" s="792"/>
      <c r="L731" s="792"/>
      <c r="M731" s="792"/>
      <c r="N731" s="792"/>
      <c r="O731" s="792"/>
      <c r="P731" s="792"/>
      <c r="Q731" s="1169"/>
      <c r="R731" s="792"/>
      <c r="S731" s="792"/>
      <c r="T731" s="792"/>
      <c r="U731" s="792"/>
      <c r="V731" s="793"/>
      <c r="W731" s="793"/>
      <c r="X731" s="792"/>
      <c r="Y731" s="792"/>
      <c r="Z731" s="792"/>
      <c r="AA731" s="792"/>
    </row>
    <row r="732" spans="1:27" ht="15.75" customHeight="1">
      <c r="A732" s="792"/>
      <c r="B732" s="792"/>
      <c r="C732" s="792"/>
      <c r="D732" s="792"/>
      <c r="E732" s="792"/>
      <c r="F732" s="792"/>
      <c r="G732" s="792"/>
      <c r="H732" s="792"/>
      <c r="I732" s="792"/>
      <c r="J732" s="792"/>
      <c r="K732" s="792"/>
      <c r="L732" s="792"/>
      <c r="M732" s="792"/>
      <c r="N732" s="792"/>
      <c r="O732" s="792"/>
      <c r="P732" s="792"/>
      <c r="Q732" s="1169"/>
      <c r="R732" s="792"/>
      <c r="S732" s="792"/>
      <c r="T732" s="792"/>
      <c r="U732" s="792"/>
      <c r="V732" s="793"/>
      <c r="W732" s="793"/>
      <c r="X732" s="792"/>
      <c r="Y732" s="792"/>
      <c r="Z732" s="792"/>
      <c r="AA732" s="792"/>
    </row>
    <row r="733" spans="1:27" ht="15.75" customHeight="1">
      <c r="A733" s="792"/>
      <c r="B733" s="792"/>
      <c r="C733" s="792"/>
      <c r="D733" s="792"/>
      <c r="E733" s="792"/>
      <c r="F733" s="792"/>
      <c r="G733" s="792"/>
      <c r="H733" s="792"/>
      <c r="I733" s="792"/>
      <c r="J733" s="792"/>
      <c r="K733" s="792"/>
      <c r="L733" s="792"/>
      <c r="M733" s="792"/>
      <c r="N733" s="792"/>
      <c r="O733" s="792"/>
      <c r="P733" s="792"/>
      <c r="Q733" s="1169"/>
      <c r="R733" s="792"/>
      <c r="S733" s="792"/>
      <c r="T733" s="792"/>
      <c r="U733" s="792"/>
      <c r="V733" s="793"/>
      <c r="W733" s="793"/>
      <c r="X733" s="792"/>
      <c r="Y733" s="792"/>
      <c r="Z733" s="792"/>
      <c r="AA733" s="792"/>
    </row>
    <row r="734" spans="1:27" ht="15.75" customHeight="1">
      <c r="A734" s="792"/>
      <c r="B734" s="792"/>
      <c r="C734" s="792"/>
      <c r="D734" s="792"/>
      <c r="E734" s="792"/>
      <c r="F734" s="792"/>
      <c r="G734" s="792"/>
      <c r="H734" s="792"/>
      <c r="I734" s="792"/>
      <c r="J734" s="792"/>
      <c r="K734" s="792"/>
      <c r="L734" s="792"/>
      <c r="M734" s="792"/>
      <c r="N734" s="792"/>
      <c r="O734" s="792"/>
      <c r="P734" s="792"/>
      <c r="Q734" s="1169"/>
      <c r="R734" s="792"/>
      <c r="S734" s="792"/>
      <c r="T734" s="792"/>
      <c r="U734" s="792"/>
      <c r="V734" s="793"/>
      <c r="W734" s="793"/>
      <c r="X734" s="792"/>
      <c r="Y734" s="792"/>
      <c r="Z734" s="792"/>
      <c r="AA734" s="792"/>
    </row>
    <row r="735" spans="1:27" ht="15.75" customHeight="1">
      <c r="A735" s="792"/>
      <c r="B735" s="792"/>
      <c r="C735" s="792"/>
      <c r="D735" s="792"/>
      <c r="E735" s="792"/>
      <c r="F735" s="792"/>
      <c r="G735" s="792"/>
      <c r="H735" s="792"/>
      <c r="I735" s="792"/>
      <c r="J735" s="792"/>
      <c r="K735" s="792"/>
      <c r="L735" s="792"/>
      <c r="M735" s="792"/>
      <c r="N735" s="792"/>
      <c r="O735" s="792"/>
      <c r="P735" s="792"/>
      <c r="Q735" s="1169"/>
      <c r="R735" s="792"/>
      <c r="S735" s="792"/>
      <c r="T735" s="792"/>
      <c r="U735" s="792"/>
      <c r="V735" s="793"/>
      <c r="W735" s="793"/>
      <c r="X735" s="792"/>
      <c r="Y735" s="792"/>
      <c r="Z735" s="792"/>
      <c r="AA735" s="792"/>
    </row>
    <row r="736" spans="1:27" ht="15.75" customHeight="1">
      <c r="A736" s="792"/>
      <c r="B736" s="792"/>
      <c r="C736" s="792"/>
      <c r="D736" s="792"/>
      <c r="E736" s="792"/>
      <c r="F736" s="792"/>
      <c r="G736" s="792"/>
      <c r="H736" s="792"/>
      <c r="I736" s="792"/>
      <c r="J736" s="792"/>
      <c r="K736" s="792"/>
      <c r="L736" s="792"/>
      <c r="M736" s="792"/>
      <c r="N736" s="792"/>
      <c r="O736" s="792"/>
      <c r="P736" s="792"/>
      <c r="Q736" s="1169"/>
      <c r="R736" s="792"/>
      <c r="S736" s="792"/>
      <c r="T736" s="792"/>
      <c r="U736" s="792"/>
      <c r="V736" s="793"/>
      <c r="W736" s="793"/>
      <c r="X736" s="792"/>
      <c r="Y736" s="792"/>
      <c r="Z736" s="792"/>
      <c r="AA736" s="792"/>
    </row>
    <row r="737" spans="1:27" ht="15.75" customHeight="1">
      <c r="A737" s="792"/>
      <c r="B737" s="792"/>
      <c r="C737" s="792"/>
      <c r="D737" s="792"/>
      <c r="E737" s="792"/>
      <c r="F737" s="792"/>
      <c r="G737" s="792"/>
      <c r="H737" s="792"/>
      <c r="I737" s="792"/>
      <c r="J737" s="792"/>
      <c r="K737" s="792"/>
      <c r="L737" s="792"/>
      <c r="M737" s="792"/>
      <c r="N737" s="792"/>
      <c r="O737" s="792"/>
      <c r="P737" s="792"/>
      <c r="Q737" s="1169"/>
      <c r="R737" s="792"/>
      <c r="S737" s="792"/>
      <c r="T737" s="792"/>
      <c r="U737" s="792"/>
      <c r="V737" s="793"/>
      <c r="W737" s="793"/>
      <c r="X737" s="792"/>
      <c r="Y737" s="792"/>
      <c r="Z737" s="792"/>
      <c r="AA737" s="792"/>
    </row>
    <row r="738" spans="1:27" ht="15.75" customHeight="1">
      <c r="A738" s="792"/>
      <c r="B738" s="792"/>
      <c r="C738" s="792"/>
      <c r="D738" s="792"/>
      <c r="E738" s="792"/>
      <c r="F738" s="792"/>
      <c r="G738" s="792"/>
      <c r="H738" s="792"/>
      <c r="I738" s="792"/>
      <c r="J738" s="792"/>
      <c r="K738" s="792"/>
      <c r="L738" s="792"/>
      <c r="M738" s="792"/>
      <c r="N738" s="792"/>
      <c r="O738" s="792"/>
      <c r="P738" s="792"/>
      <c r="Q738" s="1169"/>
      <c r="R738" s="792"/>
      <c r="S738" s="792"/>
      <c r="T738" s="792"/>
      <c r="U738" s="792"/>
      <c r="V738" s="793"/>
      <c r="W738" s="793"/>
      <c r="X738" s="792"/>
      <c r="Y738" s="792"/>
      <c r="Z738" s="792"/>
      <c r="AA738" s="792"/>
    </row>
    <row r="739" spans="1:27" ht="15.75" customHeight="1">
      <c r="A739" s="792"/>
      <c r="B739" s="792"/>
      <c r="C739" s="792"/>
      <c r="D739" s="792"/>
      <c r="E739" s="792"/>
      <c r="F739" s="792"/>
      <c r="G739" s="792"/>
      <c r="H739" s="792"/>
      <c r="I739" s="792"/>
      <c r="J739" s="792"/>
      <c r="K739" s="792"/>
      <c r="L739" s="792"/>
      <c r="M739" s="792"/>
      <c r="N739" s="792"/>
      <c r="O739" s="792"/>
      <c r="P739" s="792"/>
      <c r="Q739" s="1169"/>
      <c r="R739" s="792"/>
      <c r="S739" s="792"/>
      <c r="T739" s="792"/>
      <c r="U739" s="792"/>
      <c r="V739" s="793"/>
      <c r="W739" s="793"/>
      <c r="X739" s="792"/>
      <c r="Y739" s="792"/>
      <c r="Z739" s="792"/>
      <c r="AA739" s="792"/>
    </row>
    <row r="740" spans="1:27" ht="15.75" customHeight="1">
      <c r="A740" s="792"/>
      <c r="B740" s="792"/>
      <c r="C740" s="792"/>
      <c r="D740" s="792"/>
      <c r="E740" s="792"/>
      <c r="F740" s="792"/>
      <c r="G740" s="792"/>
      <c r="H740" s="792"/>
      <c r="I740" s="792"/>
      <c r="J740" s="792"/>
      <c r="K740" s="792"/>
      <c r="L740" s="792"/>
      <c r="M740" s="792"/>
      <c r="N740" s="792"/>
      <c r="O740" s="792"/>
      <c r="P740" s="792"/>
      <c r="Q740" s="1169"/>
      <c r="R740" s="792"/>
      <c r="S740" s="792"/>
      <c r="T740" s="792"/>
      <c r="U740" s="792"/>
      <c r="V740" s="793"/>
      <c r="W740" s="793"/>
      <c r="X740" s="792"/>
      <c r="Y740" s="792"/>
      <c r="Z740" s="792"/>
      <c r="AA740" s="792"/>
    </row>
    <row r="741" spans="1:27" ht="15.75" customHeight="1">
      <c r="A741" s="792"/>
      <c r="B741" s="792"/>
      <c r="C741" s="792"/>
      <c r="D741" s="792"/>
      <c r="E741" s="792"/>
      <c r="F741" s="792"/>
      <c r="G741" s="792"/>
      <c r="H741" s="792"/>
      <c r="I741" s="792"/>
      <c r="J741" s="792"/>
      <c r="K741" s="792"/>
      <c r="L741" s="792"/>
      <c r="M741" s="792"/>
      <c r="N741" s="792"/>
      <c r="O741" s="792"/>
      <c r="P741" s="792"/>
      <c r="Q741" s="1169"/>
      <c r="R741" s="792"/>
      <c r="S741" s="792"/>
      <c r="T741" s="792"/>
      <c r="U741" s="792"/>
      <c r="V741" s="793"/>
      <c r="W741" s="793"/>
      <c r="X741" s="792"/>
      <c r="Y741" s="792"/>
      <c r="Z741" s="792"/>
      <c r="AA741" s="792"/>
    </row>
    <row r="742" spans="1:27" ht="15.75" customHeight="1">
      <c r="A742" s="792"/>
      <c r="B742" s="792"/>
      <c r="C742" s="792"/>
      <c r="D742" s="792"/>
      <c r="E742" s="792"/>
      <c r="F742" s="792"/>
      <c r="G742" s="792"/>
      <c r="H742" s="792"/>
      <c r="I742" s="792"/>
      <c r="J742" s="792"/>
      <c r="K742" s="792"/>
      <c r="L742" s="792"/>
      <c r="M742" s="792"/>
      <c r="N742" s="792"/>
      <c r="O742" s="792"/>
      <c r="P742" s="792"/>
      <c r="Q742" s="1169"/>
      <c r="R742" s="792"/>
      <c r="S742" s="792"/>
      <c r="T742" s="792"/>
      <c r="U742" s="792"/>
      <c r="V742" s="793"/>
      <c r="W742" s="793"/>
      <c r="X742" s="792"/>
      <c r="Y742" s="792"/>
      <c r="Z742" s="792"/>
      <c r="AA742" s="792"/>
    </row>
    <row r="743" spans="1:27" ht="15.75" customHeight="1">
      <c r="A743" s="792"/>
      <c r="B743" s="792"/>
      <c r="C743" s="792"/>
      <c r="D743" s="792"/>
      <c r="E743" s="792"/>
      <c r="F743" s="792"/>
      <c r="G743" s="792"/>
      <c r="H743" s="792"/>
      <c r="I743" s="792"/>
      <c r="J743" s="792"/>
      <c r="K743" s="792"/>
      <c r="L743" s="792"/>
      <c r="M743" s="792"/>
      <c r="N743" s="792"/>
      <c r="O743" s="792"/>
      <c r="P743" s="792"/>
      <c r="Q743" s="1169"/>
      <c r="R743" s="792"/>
      <c r="S743" s="792"/>
      <c r="T743" s="792"/>
      <c r="U743" s="792"/>
      <c r="V743" s="793"/>
      <c r="W743" s="793"/>
      <c r="X743" s="792"/>
      <c r="Y743" s="792"/>
      <c r="Z743" s="792"/>
      <c r="AA743" s="792"/>
    </row>
    <row r="744" spans="1:27" ht="15.75" customHeight="1">
      <c r="A744" s="792"/>
      <c r="B744" s="792"/>
      <c r="C744" s="792"/>
      <c r="D744" s="792"/>
      <c r="E744" s="792"/>
      <c r="F744" s="792"/>
      <c r="G744" s="792"/>
      <c r="H744" s="792"/>
      <c r="I744" s="792"/>
      <c r="J744" s="792"/>
      <c r="K744" s="792"/>
      <c r="L744" s="792"/>
      <c r="M744" s="792"/>
      <c r="N744" s="792"/>
      <c r="O744" s="792"/>
      <c r="P744" s="792"/>
      <c r="Q744" s="1169"/>
      <c r="R744" s="792"/>
      <c r="S744" s="792"/>
      <c r="T744" s="792"/>
      <c r="U744" s="792"/>
      <c r="V744" s="793"/>
      <c r="W744" s="793"/>
      <c r="X744" s="792"/>
      <c r="Y744" s="792"/>
      <c r="Z744" s="792"/>
      <c r="AA744" s="792"/>
    </row>
    <row r="745" spans="1:27" ht="15.75" customHeight="1">
      <c r="A745" s="792"/>
      <c r="B745" s="792"/>
      <c r="C745" s="792"/>
      <c r="D745" s="792"/>
      <c r="E745" s="792"/>
      <c r="F745" s="792"/>
      <c r="G745" s="792"/>
      <c r="H745" s="792"/>
      <c r="I745" s="792"/>
      <c r="J745" s="792"/>
      <c r="K745" s="792"/>
      <c r="L745" s="792"/>
      <c r="M745" s="792"/>
      <c r="N745" s="792"/>
      <c r="O745" s="792"/>
      <c r="P745" s="792"/>
      <c r="Q745" s="1169"/>
      <c r="R745" s="792"/>
      <c r="S745" s="792"/>
      <c r="T745" s="792"/>
      <c r="U745" s="792"/>
      <c r="V745" s="793"/>
      <c r="W745" s="793"/>
      <c r="X745" s="792"/>
      <c r="Y745" s="792"/>
      <c r="Z745" s="792"/>
      <c r="AA745" s="792"/>
    </row>
    <row r="746" spans="1:27" ht="15.75" customHeight="1">
      <c r="A746" s="792"/>
      <c r="B746" s="792"/>
      <c r="C746" s="792"/>
      <c r="D746" s="792"/>
      <c r="E746" s="792"/>
      <c r="F746" s="792"/>
      <c r="G746" s="792"/>
      <c r="H746" s="792"/>
      <c r="I746" s="792"/>
      <c r="J746" s="792"/>
      <c r="K746" s="792"/>
      <c r="L746" s="792"/>
      <c r="M746" s="792"/>
      <c r="N746" s="792"/>
      <c r="O746" s="792"/>
      <c r="P746" s="792"/>
      <c r="Q746" s="1169"/>
      <c r="R746" s="792"/>
      <c r="S746" s="792"/>
      <c r="T746" s="792"/>
      <c r="U746" s="792"/>
      <c r="V746" s="793"/>
      <c r="W746" s="793"/>
      <c r="X746" s="792"/>
      <c r="Y746" s="792"/>
      <c r="Z746" s="792"/>
      <c r="AA746" s="792"/>
    </row>
    <row r="747" spans="1:27" ht="15.75" customHeight="1">
      <c r="A747" s="792"/>
      <c r="B747" s="792"/>
      <c r="C747" s="792"/>
      <c r="D747" s="792"/>
      <c r="E747" s="792"/>
      <c r="F747" s="792"/>
      <c r="G747" s="792"/>
      <c r="H747" s="792"/>
      <c r="I747" s="792"/>
      <c r="J747" s="792"/>
      <c r="K747" s="792"/>
      <c r="L747" s="792"/>
      <c r="M747" s="792"/>
      <c r="N747" s="792"/>
      <c r="O747" s="792"/>
      <c r="P747" s="792"/>
      <c r="Q747" s="1169"/>
      <c r="R747" s="792"/>
      <c r="S747" s="792"/>
      <c r="T747" s="792"/>
      <c r="U747" s="792"/>
      <c r="V747" s="793"/>
      <c r="W747" s="793"/>
      <c r="X747" s="792"/>
      <c r="Y747" s="792"/>
      <c r="Z747" s="792"/>
      <c r="AA747" s="792"/>
    </row>
    <row r="748" spans="1:27" ht="15.75" customHeight="1">
      <c r="A748" s="792"/>
      <c r="B748" s="792"/>
      <c r="C748" s="792"/>
      <c r="D748" s="792"/>
      <c r="E748" s="792"/>
      <c r="F748" s="792"/>
      <c r="G748" s="792"/>
      <c r="H748" s="792"/>
      <c r="I748" s="792"/>
      <c r="J748" s="792"/>
      <c r="K748" s="792"/>
      <c r="L748" s="792"/>
      <c r="M748" s="792"/>
      <c r="N748" s="792"/>
      <c r="O748" s="792"/>
      <c r="P748" s="792"/>
      <c r="Q748" s="1169"/>
      <c r="R748" s="792"/>
      <c r="S748" s="792"/>
      <c r="T748" s="792"/>
      <c r="U748" s="792"/>
      <c r="V748" s="793"/>
      <c r="W748" s="793"/>
      <c r="X748" s="792"/>
      <c r="Y748" s="792"/>
      <c r="Z748" s="792"/>
      <c r="AA748" s="792"/>
    </row>
    <row r="749" spans="1:27" ht="15.75" customHeight="1">
      <c r="A749" s="792"/>
      <c r="B749" s="792"/>
      <c r="C749" s="792"/>
      <c r="D749" s="792"/>
      <c r="E749" s="792"/>
      <c r="F749" s="792"/>
      <c r="G749" s="792"/>
      <c r="H749" s="792"/>
      <c r="I749" s="792"/>
      <c r="J749" s="792"/>
      <c r="K749" s="792"/>
      <c r="L749" s="792"/>
      <c r="M749" s="792"/>
      <c r="N749" s="792"/>
      <c r="O749" s="792"/>
      <c r="P749" s="792"/>
      <c r="Q749" s="1169"/>
      <c r="R749" s="792"/>
      <c r="S749" s="792"/>
      <c r="T749" s="792"/>
      <c r="U749" s="792"/>
      <c r="V749" s="793"/>
      <c r="W749" s="793"/>
      <c r="X749" s="792"/>
      <c r="Y749" s="792"/>
      <c r="Z749" s="792"/>
      <c r="AA749" s="792"/>
    </row>
    <row r="750" spans="1:27" ht="15.75" customHeight="1">
      <c r="A750" s="792"/>
      <c r="B750" s="792"/>
      <c r="C750" s="792"/>
      <c r="D750" s="792"/>
      <c r="E750" s="792"/>
      <c r="F750" s="792"/>
      <c r="G750" s="792"/>
      <c r="H750" s="792"/>
      <c r="I750" s="792"/>
      <c r="J750" s="792"/>
      <c r="K750" s="792"/>
      <c r="L750" s="792"/>
      <c r="M750" s="792"/>
      <c r="N750" s="792"/>
      <c r="O750" s="792"/>
      <c r="P750" s="792"/>
      <c r="Q750" s="1169"/>
      <c r="R750" s="792"/>
      <c r="S750" s="792"/>
      <c r="T750" s="792"/>
      <c r="U750" s="792"/>
      <c r="V750" s="793"/>
      <c r="W750" s="793"/>
      <c r="X750" s="792"/>
      <c r="Y750" s="792"/>
      <c r="Z750" s="792"/>
      <c r="AA750" s="792"/>
    </row>
    <row r="751" spans="1:27" ht="15.75" customHeight="1">
      <c r="A751" s="792"/>
      <c r="B751" s="792"/>
      <c r="C751" s="792"/>
      <c r="D751" s="792"/>
      <c r="E751" s="792"/>
      <c r="F751" s="792"/>
      <c r="G751" s="792"/>
      <c r="H751" s="792"/>
      <c r="I751" s="792"/>
      <c r="J751" s="792"/>
      <c r="K751" s="792"/>
      <c r="L751" s="792"/>
      <c r="M751" s="792"/>
      <c r="N751" s="792"/>
      <c r="O751" s="792"/>
      <c r="P751" s="792"/>
      <c r="Q751" s="1169"/>
      <c r="R751" s="792"/>
      <c r="S751" s="792"/>
      <c r="T751" s="792"/>
      <c r="U751" s="792"/>
      <c r="V751" s="793"/>
      <c r="W751" s="793"/>
      <c r="X751" s="792"/>
      <c r="Y751" s="792"/>
      <c r="Z751" s="792"/>
      <c r="AA751" s="792"/>
    </row>
    <row r="752" spans="1:27" ht="15.75" customHeight="1">
      <c r="A752" s="792"/>
      <c r="B752" s="792"/>
      <c r="C752" s="792"/>
      <c r="D752" s="792"/>
      <c r="E752" s="792"/>
      <c r="F752" s="792"/>
      <c r="G752" s="792"/>
      <c r="H752" s="792"/>
      <c r="I752" s="792"/>
      <c r="J752" s="792"/>
      <c r="K752" s="792"/>
      <c r="L752" s="792"/>
      <c r="M752" s="792"/>
      <c r="N752" s="792"/>
      <c r="O752" s="792"/>
      <c r="P752" s="792"/>
      <c r="Q752" s="1169"/>
      <c r="R752" s="792"/>
      <c r="S752" s="792"/>
      <c r="T752" s="792"/>
      <c r="U752" s="792"/>
      <c r="V752" s="793"/>
      <c r="W752" s="793"/>
      <c r="X752" s="792"/>
      <c r="Y752" s="792"/>
      <c r="Z752" s="792"/>
      <c r="AA752" s="792"/>
    </row>
    <row r="753" spans="1:27" ht="15.75" customHeight="1">
      <c r="A753" s="792"/>
      <c r="B753" s="792"/>
      <c r="C753" s="792"/>
      <c r="D753" s="792"/>
      <c r="E753" s="792"/>
      <c r="F753" s="792"/>
      <c r="G753" s="792"/>
      <c r="H753" s="792"/>
      <c r="I753" s="792"/>
      <c r="J753" s="792"/>
      <c r="K753" s="792"/>
      <c r="L753" s="792"/>
      <c r="M753" s="792"/>
      <c r="N753" s="792"/>
      <c r="O753" s="792"/>
      <c r="P753" s="792"/>
      <c r="Q753" s="1169"/>
      <c r="R753" s="792"/>
      <c r="S753" s="792"/>
      <c r="T753" s="792"/>
      <c r="U753" s="792"/>
      <c r="V753" s="793"/>
      <c r="W753" s="793"/>
      <c r="X753" s="792"/>
      <c r="Y753" s="792"/>
      <c r="Z753" s="792"/>
      <c r="AA753" s="792"/>
    </row>
    <row r="754" spans="1:27" ht="15.75" customHeight="1">
      <c r="A754" s="792"/>
      <c r="B754" s="792"/>
      <c r="C754" s="792"/>
      <c r="D754" s="792"/>
      <c r="E754" s="792"/>
      <c r="F754" s="792"/>
      <c r="G754" s="792"/>
      <c r="H754" s="792"/>
      <c r="I754" s="792"/>
      <c r="J754" s="792"/>
      <c r="K754" s="792"/>
      <c r="L754" s="792"/>
      <c r="M754" s="792"/>
      <c r="N754" s="792"/>
      <c r="O754" s="792"/>
      <c r="P754" s="792"/>
      <c r="Q754" s="1169"/>
      <c r="R754" s="792"/>
      <c r="S754" s="792"/>
      <c r="T754" s="792"/>
      <c r="U754" s="792"/>
      <c r="V754" s="793"/>
      <c r="W754" s="793"/>
      <c r="X754" s="792"/>
      <c r="Y754" s="792"/>
      <c r="Z754" s="792"/>
      <c r="AA754" s="792"/>
    </row>
    <row r="755" spans="1:27" ht="15.75" customHeight="1">
      <c r="A755" s="792"/>
      <c r="B755" s="792"/>
      <c r="C755" s="792"/>
      <c r="D755" s="792"/>
      <c r="E755" s="792"/>
      <c r="F755" s="792"/>
      <c r="G755" s="792"/>
      <c r="H755" s="792"/>
      <c r="I755" s="792"/>
      <c r="J755" s="792"/>
      <c r="K755" s="792"/>
      <c r="L755" s="792"/>
      <c r="M755" s="792"/>
      <c r="N755" s="792"/>
      <c r="O755" s="792"/>
      <c r="P755" s="792"/>
      <c r="Q755" s="1169"/>
      <c r="R755" s="792"/>
      <c r="S755" s="792"/>
      <c r="T755" s="792"/>
      <c r="U755" s="792"/>
      <c r="V755" s="793"/>
      <c r="W755" s="793"/>
      <c r="X755" s="792"/>
      <c r="Y755" s="792"/>
      <c r="Z755" s="792"/>
      <c r="AA755" s="792"/>
    </row>
    <row r="756" spans="1:27" ht="15.75" customHeight="1">
      <c r="A756" s="792"/>
      <c r="B756" s="792"/>
      <c r="C756" s="792"/>
      <c r="D756" s="792"/>
      <c r="E756" s="792"/>
      <c r="F756" s="792"/>
      <c r="G756" s="792"/>
      <c r="H756" s="792"/>
      <c r="I756" s="792"/>
      <c r="J756" s="792"/>
      <c r="K756" s="792"/>
      <c r="L756" s="792"/>
      <c r="M756" s="792"/>
      <c r="N756" s="792"/>
      <c r="O756" s="792"/>
      <c r="P756" s="792"/>
      <c r="Q756" s="1169"/>
      <c r="R756" s="792"/>
      <c r="S756" s="792"/>
      <c r="T756" s="792"/>
      <c r="U756" s="792"/>
      <c r="V756" s="793"/>
      <c r="W756" s="793"/>
      <c r="X756" s="792"/>
      <c r="Y756" s="792"/>
      <c r="Z756" s="792"/>
      <c r="AA756" s="792"/>
    </row>
    <row r="757" spans="1:27" ht="15.75" customHeight="1">
      <c r="A757" s="792"/>
      <c r="B757" s="792"/>
      <c r="C757" s="792"/>
      <c r="D757" s="792"/>
      <c r="E757" s="792"/>
      <c r="F757" s="792"/>
      <c r="G757" s="792"/>
      <c r="H757" s="792"/>
      <c r="I757" s="792"/>
      <c r="J757" s="792"/>
      <c r="K757" s="792"/>
      <c r="L757" s="792"/>
      <c r="M757" s="792"/>
      <c r="N757" s="792"/>
      <c r="O757" s="792"/>
      <c r="P757" s="792"/>
      <c r="Q757" s="1169"/>
      <c r="R757" s="792"/>
      <c r="S757" s="792"/>
      <c r="T757" s="792"/>
      <c r="U757" s="792"/>
      <c r="V757" s="793"/>
      <c r="W757" s="793"/>
      <c r="X757" s="792"/>
      <c r="Y757" s="792"/>
      <c r="Z757" s="792"/>
      <c r="AA757" s="792"/>
    </row>
    <row r="758" spans="1:27" ht="15.75" customHeight="1">
      <c r="A758" s="792"/>
      <c r="B758" s="792"/>
      <c r="C758" s="792"/>
      <c r="D758" s="792"/>
      <c r="E758" s="792"/>
      <c r="F758" s="792"/>
      <c r="G758" s="792"/>
      <c r="H758" s="792"/>
      <c r="I758" s="792"/>
      <c r="J758" s="792"/>
      <c r="K758" s="792"/>
      <c r="L758" s="792"/>
      <c r="M758" s="792"/>
      <c r="N758" s="792"/>
      <c r="O758" s="792"/>
      <c r="P758" s="792"/>
      <c r="Q758" s="1169"/>
      <c r="R758" s="792"/>
      <c r="S758" s="792"/>
      <c r="T758" s="792"/>
      <c r="U758" s="792"/>
      <c r="V758" s="793"/>
      <c r="W758" s="793"/>
      <c r="X758" s="792"/>
      <c r="Y758" s="792"/>
      <c r="Z758" s="792"/>
      <c r="AA758" s="792"/>
    </row>
    <row r="759" spans="1:27" ht="15.75" customHeight="1">
      <c r="A759" s="792"/>
      <c r="B759" s="792"/>
      <c r="C759" s="792"/>
      <c r="D759" s="792"/>
      <c r="E759" s="792"/>
      <c r="F759" s="792"/>
      <c r="G759" s="792"/>
      <c r="H759" s="792"/>
      <c r="I759" s="792"/>
      <c r="J759" s="792"/>
      <c r="K759" s="792"/>
      <c r="L759" s="792"/>
      <c r="M759" s="792"/>
      <c r="N759" s="792"/>
      <c r="O759" s="792"/>
      <c r="P759" s="792"/>
      <c r="Q759" s="1169"/>
      <c r="R759" s="792"/>
      <c r="S759" s="792"/>
      <c r="T759" s="792"/>
      <c r="U759" s="792"/>
      <c r="V759" s="793"/>
      <c r="W759" s="793"/>
      <c r="X759" s="792"/>
      <c r="Y759" s="792"/>
      <c r="Z759" s="792"/>
      <c r="AA759" s="792"/>
    </row>
    <row r="760" spans="1:27" ht="15.75" customHeight="1">
      <c r="A760" s="792"/>
      <c r="B760" s="792"/>
      <c r="C760" s="792"/>
      <c r="D760" s="792"/>
      <c r="E760" s="792"/>
      <c r="F760" s="792"/>
      <c r="G760" s="792"/>
      <c r="H760" s="792"/>
      <c r="I760" s="792"/>
      <c r="J760" s="792"/>
      <c r="K760" s="792"/>
      <c r="L760" s="792"/>
      <c r="M760" s="792"/>
      <c r="N760" s="792"/>
      <c r="O760" s="792"/>
      <c r="P760" s="792"/>
      <c r="Q760" s="1169"/>
      <c r="R760" s="792"/>
      <c r="S760" s="792"/>
      <c r="T760" s="792"/>
      <c r="U760" s="792"/>
      <c r="V760" s="793"/>
      <c r="W760" s="793"/>
      <c r="X760" s="792"/>
      <c r="Y760" s="792"/>
      <c r="Z760" s="792"/>
      <c r="AA760" s="792"/>
    </row>
    <row r="761" spans="1:27" ht="15.75" customHeight="1">
      <c r="A761" s="792"/>
      <c r="B761" s="792"/>
      <c r="C761" s="792"/>
      <c r="D761" s="792"/>
      <c r="E761" s="792"/>
      <c r="F761" s="792"/>
      <c r="G761" s="792"/>
      <c r="H761" s="792"/>
      <c r="I761" s="792"/>
      <c r="J761" s="792"/>
      <c r="K761" s="792"/>
      <c r="L761" s="792"/>
      <c r="M761" s="792"/>
      <c r="N761" s="792"/>
      <c r="O761" s="792"/>
      <c r="P761" s="792"/>
      <c r="Q761" s="1169"/>
      <c r="R761" s="792"/>
      <c r="S761" s="792"/>
      <c r="T761" s="792"/>
      <c r="U761" s="792"/>
      <c r="V761" s="793"/>
      <c r="W761" s="793"/>
      <c r="X761" s="792"/>
      <c r="Y761" s="792"/>
      <c r="Z761" s="792"/>
      <c r="AA761" s="792"/>
    </row>
    <row r="762" spans="1:27" ht="15.75" customHeight="1">
      <c r="A762" s="792"/>
      <c r="B762" s="792"/>
      <c r="C762" s="792"/>
      <c r="D762" s="792"/>
      <c r="E762" s="792"/>
      <c r="F762" s="792"/>
      <c r="G762" s="792"/>
      <c r="H762" s="792"/>
      <c r="I762" s="792"/>
      <c r="J762" s="792"/>
      <c r="K762" s="792"/>
      <c r="L762" s="792"/>
      <c r="M762" s="792"/>
      <c r="N762" s="792"/>
      <c r="O762" s="792"/>
      <c r="P762" s="792"/>
      <c r="Q762" s="1169"/>
      <c r="R762" s="792"/>
      <c r="S762" s="792"/>
      <c r="T762" s="792"/>
      <c r="U762" s="792"/>
      <c r="V762" s="793"/>
      <c r="W762" s="793"/>
      <c r="X762" s="792"/>
      <c r="Y762" s="792"/>
      <c r="Z762" s="792"/>
      <c r="AA762" s="792"/>
    </row>
    <row r="763" spans="1:27" ht="15.75" customHeight="1">
      <c r="A763" s="792"/>
      <c r="B763" s="792"/>
      <c r="C763" s="792"/>
      <c r="D763" s="792"/>
      <c r="E763" s="792"/>
      <c r="F763" s="792"/>
      <c r="G763" s="792"/>
      <c r="H763" s="792"/>
      <c r="I763" s="792"/>
      <c r="J763" s="792"/>
      <c r="K763" s="792"/>
      <c r="L763" s="792"/>
      <c r="M763" s="792"/>
      <c r="N763" s="792"/>
      <c r="O763" s="792"/>
      <c r="P763" s="792"/>
      <c r="Q763" s="1169"/>
      <c r="R763" s="792"/>
      <c r="S763" s="792"/>
      <c r="T763" s="792"/>
      <c r="U763" s="792"/>
      <c r="V763" s="793"/>
      <c r="W763" s="793"/>
      <c r="X763" s="792"/>
      <c r="Y763" s="792"/>
      <c r="Z763" s="792"/>
      <c r="AA763" s="792"/>
    </row>
    <row r="764" spans="1:27" ht="15.75" customHeight="1">
      <c r="A764" s="792"/>
      <c r="B764" s="792"/>
      <c r="C764" s="792"/>
      <c r="D764" s="792"/>
      <c r="E764" s="792"/>
      <c r="F764" s="792"/>
      <c r="G764" s="792"/>
      <c r="H764" s="792"/>
      <c r="I764" s="792"/>
      <c r="J764" s="792"/>
      <c r="K764" s="792"/>
      <c r="L764" s="792"/>
      <c r="M764" s="792"/>
      <c r="N764" s="792"/>
      <c r="O764" s="792"/>
      <c r="P764" s="792"/>
      <c r="Q764" s="1169"/>
      <c r="R764" s="792"/>
      <c r="S764" s="792"/>
      <c r="T764" s="792"/>
      <c r="U764" s="792"/>
      <c r="V764" s="793"/>
      <c r="W764" s="793"/>
      <c r="X764" s="792"/>
      <c r="Y764" s="792"/>
      <c r="Z764" s="792"/>
      <c r="AA764" s="792"/>
    </row>
    <row r="765" spans="1:27" ht="15.75" customHeight="1">
      <c r="A765" s="792"/>
      <c r="B765" s="792"/>
      <c r="C765" s="792"/>
      <c r="D765" s="792"/>
      <c r="E765" s="792"/>
      <c r="F765" s="792"/>
      <c r="G765" s="792"/>
      <c r="H765" s="792"/>
      <c r="I765" s="792"/>
      <c r="J765" s="792"/>
      <c r="K765" s="792"/>
      <c r="L765" s="792"/>
      <c r="M765" s="792"/>
      <c r="N765" s="792"/>
      <c r="O765" s="792"/>
      <c r="P765" s="792"/>
      <c r="Q765" s="1169"/>
      <c r="R765" s="792"/>
      <c r="S765" s="792"/>
      <c r="T765" s="792"/>
      <c r="U765" s="792"/>
      <c r="V765" s="793"/>
      <c r="W765" s="793"/>
      <c r="X765" s="792"/>
      <c r="Y765" s="792"/>
      <c r="Z765" s="792"/>
      <c r="AA765" s="792"/>
    </row>
    <row r="766" spans="1:27" ht="15.75" customHeight="1">
      <c r="A766" s="792"/>
      <c r="B766" s="792"/>
      <c r="C766" s="792"/>
      <c r="D766" s="792"/>
      <c r="E766" s="792"/>
      <c r="F766" s="792"/>
      <c r="G766" s="792"/>
      <c r="H766" s="792"/>
      <c r="I766" s="792"/>
      <c r="J766" s="792"/>
      <c r="K766" s="792"/>
      <c r="L766" s="792"/>
      <c r="M766" s="792"/>
      <c r="N766" s="792"/>
      <c r="O766" s="792"/>
      <c r="P766" s="792"/>
      <c r="Q766" s="1169"/>
      <c r="R766" s="792"/>
      <c r="S766" s="792"/>
      <c r="T766" s="792"/>
      <c r="U766" s="792"/>
      <c r="V766" s="793"/>
      <c r="W766" s="793"/>
      <c r="X766" s="792"/>
      <c r="Y766" s="792"/>
      <c r="Z766" s="792"/>
      <c r="AA766" s="792"/>
    </row>
    <row r="767" spans="1:27" ht="15.75" customHeight="1">
      <c r="A767" s="792"/>
      <c r="B767" s="792"/>
      <c r="C767" s="792"/>
      <c r="D767" s="792"/>
      <c r="E767" s="792"/>
      <c r="F767" s="792"/>
      <c r="G767" s="792"/>
      <c r="H767" s="792"/>
      <c r="I767" s="792"/>
      <c r="J767" s="792"/>
      <c r="K767" s="792"/>
      <c r="L767" s="792"/>
      <c r="M767" s="792"/>
      <c r="N767" s="792"/>
      <c r="O767" s="792"/>
      <c r="P767" s="792"/>
      <c r="Q767" s="1169"/>
      <c r="R767" s="792"/>
      <c r="S767" s="792"/>
      <c r="T767" s="792"/>
      <c r="U767" s="792"/>
      <c r="V767" s="793"/>
      <c r="W767" s="793"/>
      <c r="X767" s="792"/>
      <c r="Y767" s="792"/>
      <c r="Z767" s="792"/>
      <c r="AA767" s="792"/>
    </row>
    <row r="768" spans="1:27" ht="15.75" customHeight="1">
      <c r="A768" s="792"/>
      <c r="B768" s="792"/>
      <c r="C768" s="792"/>
      <c r="D768" s="792"/>
      <c r="E768" s="792"/>
      <c r="F768" s="792"/>
      <c r="G768" s="792"/>
      <c r="H768" s="792"/>
      <c r="I768" s="792"/>
      <c r="J768" s="792"/>
      <c r="K768" s="792"/>
      <c r="L768" s="792"/>
      <c r="M768" s="792"/>
      <c r="N768" s="792"/>
      <c r="O768" s="792"/>
      <c r="P768" s="792"/>
      <c r="Q768" s="1169"/>
      <c r="R768" s="792"/>
      <c r="S768" s="792"/>
      <c r="T768" s="792"/>
      <c r="U768" s="792"/>
      <c r="V768" s="793"/>
      <c r="W768" s="793"/>
      <c r="X768" s="792"/>
      <c r="Y768" s="792"/>
      <c r="Z768" s="792"/>
      <c r="AA768" s="792"/>
    </row>
    <row r="769" spans="1:27" ht="15.75" customHeight="1">
      <c r="A769" s="792"/>
      <c r="B769" s="792"/>
      <c r="C769" s="792"/>
      <c r="D769" s="792"/>
      <c r="E769" s="792"/>
      <c r="F769" s="792"/>
      <c r="G769" s="792"/>
      <c r="H769" s="792"/>
      <c r="I769" s="792"/>
      <c r="J769" s="792"/>
      <c r="K769" s="792"/>
      <c r="L769" s="792"/>
      <c r="M769" s="792"/>
      <c r="N769" s="792"/>
      <c r="O769" s="792"/>
      <c r="P769" s="792"/>
      <c r="Q769" s="1169"/>
      <c r="R769" s="792"/>
      <c r="S769" s="792"/>
      <c r="T769" s="792"/>
      <c r="U769" s="792"/>
      <c r="V769" s="793"/>
      <c r="W769" s="793"/>
      <c r="X769" s="792"/>
      <c r="Y769" s="792"/>
      <c r="Z769" s="792"/>
      <c r="AA769" s="792"/>
    </row>
    <row r="770" spans="1:27" ht="15.75" customHeight="1">
      <c r="A770" s="792"/>
      <c r="B770" s="792"/>
      <c r="C770" s="792"/>
      <c r="D770" s="792"/>
      <c r="E770" s="792"/>
      <c r="F770" s="792"/>
      <c r="G770" s="792"/>
      <c r="H770" s="792"/>
      <c r="I770" s="792"/>
      <c r="J770" s="792"/>
      <c r="K770" s="792"/>
      <c r="L770" s="792"/>
      <c r="M770" s="792"/>
      <c r="N770" s="792"/>
      <c r="O770" s="792"/>
      <c r="P770" s="792"/>
      <c r="Q770" s="1169"/>
      <c r="R770" s="792"/>
      <c r="S770" s="792"/>
      <c r="T770" s="792"/>
      <c r="U770" s="792"/>
      <c r="V770" s="793"/>
      <c r="W770" s="793"/>
      <c r="X770" s="792"/>
      <c r="Y770" s="792"/>
      <c r="Z770" s="792"/>
      <c r="AA770" s="792"/>
    </row>
    <row r="771" spans="1:27" ht="15.75" customHeight="1">
      <c r="A771" s="792"/>
      <c r="B771" s="792"/>
      <c r="C771" s="792"/>
      <c r="D771" s="792"/>
      <c r="E771" s="792"/>
      <c r="F771" s="792"/>
      <c r="G771" s="792"/>
      <c r="H771" s="792"/>
      <c r="I771" s="792"/>
      <c r="J771" s="792"/>
      <c r="K771" s="792"/>
      <c r="L771" s="792"/>
      <c r="M771" s="792"/>
      <c r="N771" s="792"/>
      <c r="O771" s="792"/>
      <c r="P771" s="792"/>
      <c r="Q771" s="1169"/>
      <c r="R771" s="792"/>
      <c r="S771" s="792"/>
      <c r="T771" s="792"/>
      <c r="U771" s="792"/>
      <c r="V771" s="793"/>
      <c r="W771" s="793"/>
      <c r="X771" s="792"/>
      <c r="Y771" s="792"/>
      <c r="Z771" s="792"/>
      <c r="AA771" s="792"/>
    </row>
    <row r="772" spans="1:27" ht="15.75" customHeight="1">
      <c r="A772" s="792"/>
      <c r="B772" s="792"/>
      <c r="C772" s="792"/>
      <c r="D772" s="792"/>
      <c r="E772" s="792"/>
      <c r="F772" s="792"/>
      <c r="G772" s="792"/>
      <c r="H772" s="792"/>
      <c r="I772" s="792"/>
      <c r="J772" s="792"/>
      <c r="K772" s="792"/>
      <c r="L772" s="792"/>
      <c r="M772" s="792"/>
      <c r="N772" s="792"/>
      <c r="O772" s="792"/>
      <c r="P772" s="792"/>
      <c r="Q772" s="1169"/>
      <c r="R772" s="792"/>
      <c r="S772" s="792"/>
      <c r="T772" s="792"/>
      <c r="U772" s="792"/>
      <c r="V772" s="793"/>
      <c r="W772" s="793"/>
      <c r="X772" s="792"/>
      <c r="Y772" s="792"/>
      <c r="Z772" s="792"/>
      <c r="AA772" s="792"/>
    </row>
    <row r="773" spans="1:27" ht="15.75" customHeight="1">
      <c r="A773" s="792"/>
      <c r="B773" s="792"/>
      <c r="C773" s="792"/>
      <c r="D773" s="792"/>
      <c r="E773" s="792"/>
      <c r="F773" s="792"/>
      <c r="G773" s="792"/>
      <c r="H773" s="792"/>
      <c r="I773" s="792"/>
      <c r="J773" s="792"/>
      <c r="K773" s="792"/>
      <c r="L773" s="792"/>
      <c r="M773" s="792"/>
      <c r="N773" s="792"/>
      <c r="O773" s="792"/>
      <c r="P773" s="792"/>
      <c r="Q773" s="1169"/>
      <c r="R773" s="792"/>
      <c r="S773" s="792"/>
      <c r="T773" s="792"/>
      <c r="U773" s="792"/>
      <c r="V773" s="793"/>
      <c r="W773" s="793"/>
      <c r="X773" s="792"/>
      <c r="Y773" s="792"/>
      <c r="Z773" s="792"/>
      <c r="AA773" s="792"/>
    </row>
    <row r="774" spans="1:27" ht="15.75" customHeight="1">
      <c r="A774" s="792"/>
      <c r="B774" s="792"/>
      <c r="C774" s="792"/>
      <c r="D774" s="792"/>
      <c r="E774" s="792"/>
      <c r="F774" s="792"/>
      <c r="G774" s="792"/>
      <c r="H774" s="792"/>
      <c r="I774" s="792"/>
      <c r="J774" s="792"/>
      <c r="K774" s="792"/>
      <c r="L774" s="792"/>
      <c r="M774" s="792"/>
      <c r="N774" s="792"/>
      <c r="O774" s="792"/>
      <c r="P774" s="792"/>
      <c r="Q774" s="1169"/>
      <c r="R774" s="792"/>
      <c r="S774" s="792"/>
      <c r="T774" s="792"/>
      <c r="U774" s="792"/>
      <c r="V774" s="793"/>
      <c r="W774" s="793"/>
      <c r="X774" s="792"/>
      <c r="Y774" s="792"/>
      <c r="Z774" s="792"/>
      <c r="AA774" s="792"/>
    </row>
    <row r="775" spans="1:27" ht="15.75" customHeight="1">
      <c r="A775" s="792"/>
      <c r="B775" s="792"/>
      <c r="C775" s="792"/>
      <c r="D775" s="792"/>
      <c r="E775" s="792"/>
      <c r="F775" s="792"/>
      <c r="G775" s="792"/>
      <c r="H775" s="792"/>
      <c r="I775" s="792"/>
      <c r="J775" s="792"/>
      <c r="K775" s="792"/>
      <c r="L775" s="792"/>
      <c r="M775" s="792"/>
      <c r="N775" s="792"/>
      <c r="O775" s="792"/>
      <c r="P775" s="792"/>
      <c r="Q775" s="1169"/>
      <c r="R775" s="792"/>
      <c r="S775" s="792"/>
      <c r="T775" s="792"/>
      <c r="U775" s="792"/>
      <c r="V775" s="793"/>
      <c r="W775" s="793"/>
      <c r="X775" s="792"/>
      <c r="Y775" s="792"/>
      <c r="Z775" s="792"/>
      <c r="AA775" s="792"/>
    </row>
    <row r="776" spans="1:27" ht="15.75" customHeight="1">
      <c r="A776" s="792"/>
      <c r="B776" s="792"/>
      <c r="C776" s="792"/>
      <c r="D776" s="792"/>
      <c r="E776" s="792"/>
      <c r="F776" s="792"/>
      <c r="G776" s="792"/>
      <c r="H776" s="792"/>
      <c r="I776" s="792"/>
      <c r="J776" s="792"/>
      <c r="K776" s="792"/>
      <c r="L776" s="792"/>
      <c r="M776" s="792"/>
      <c r="N776" s="792"/>
      <c r="O776" s="792"/>
      <c r="P776" s="792"/>
      <c r="Q776" s="1169"/>
      <c r="R776" s="792"/>
      <c r="S776" s="792"/>
      <c r="T776" s="792"/>
      <c r="U776" s="792"/>
      <c r="V776" s="793"/>
      <c r="W776" s="793"/>
      <c r="X776" s="792"/>
      <c r="Y776" s="792"/>
      <c r="Z776" s="792"/>
      <c r="AA776" s="792"/>
    </row>
    <row r="777" spans="1:27" ht="15.75" customHeight="1">
      <c r="A777" s="792"/>
      <c r="B777" s="792"/>
      <c r="C777" s="792"/>
      <c r="D777" s="792"/>
      <c r="E777" s="792"/>
      <c r="F777" s="792"/>
      <c r="G777" s="792"/>
      <c r="H777" s="792"/>
      <c r="I777" s="792"/>
      <c r="J777" s="792"/>
      <c r="K777" s="792"/>
      <c r="L777" s="792"/>
      <c r="M777" s="792"/>
      <c r="N777" s="792"/>
      <c r="O777" s="792"/>
      <c r="P777" s="792"/>
      <c r="Q777" s="1169"/>
      <c r="R777" s="792"/>
      <c r="S777" s="792"/>
      <c r="T777" s="792"/>
      <c r="U777" s="792"/>
      <c r="V777" s="793"/>
      <c r="W777" s="793"/>
      <c r="X777" s="792"/>
      <c r="Y777" s="792"/>
      <c r="Z777" s="792"/>
      <c r="AA777" s="792"/>
    </row>
    <row r="778" spans="1:27" ht="15.75" customHeight="1">
      <c r="A778" s="792"/>
      <c r="B778" s="792"/>
      <c r="C778" s="792"/>
      <c r="D778" s="792"/>
      <c r="E778" s="792"/>
      <c r="F778" s="792"/>
      <c r="G778" s="792"/>
      <c r="H778" s="792"/>
      <c r="I778" s="792"/>
      <c r="J778" s="792"/>
      <c r="K778" s="792"/>
      <c r="L778" s="792"/>
      <c r="M778" s="792"/>
      <c r="N778" s="792"/>
      <c r="O778" s="792"/>
      <c r="P778" s="792"/>
      <c r="Q778" s="1169"/>
      <c r="R778" s="792"/>
      <c r="S778" s="792"/>
      <c r="T778" s="792"/>
      <c r="U778" s="792"/>
      <c r="V778" s="793"/>
      <c r="W778" s="793"/>
      <c r="X778" s="792"/>
      <c r="Y778" s="792"/>
      <c r="Z778" s="792"/>
      <c r="AA778" s="792"/>
    </row>
    <row r="779" spans="1:27" ht="15.75" customHeight="1">
      <c r="A779" s="792"/>
      <c r="B779" s="792"/>
      <c r="C779" s="792"/>
      <c r="D779" s="792"/>
      <c r="E779" s="792"/>
      <c r="F779" s="792"/>
      <c r="G779" s="792"/>
      <c r="H779" s="792"/>
      <c r="I779" s="792"/>
      <c r="J779" s="792"/>
      <c r="K779" s="792"/>
      <c r="L779" s="792"/>
      <c r="M779" s="792"/>
      <c r="N779" s="792"/>
      <c r="O779" s="792"/>
      <c r="P779" s="792"/>
      <c r="Q779" s="1169"/>
      <c r="R779" s="792"/>
      <c r="S779" s="792"/>
      <c r="T779" s="792"/>
      <c r="U779" s="792"/>
      <c r="V779" s="793"/>
      <c r="W779" s="793"/>
      <c r="X779" s="792"/>
      <c r="Y779" s="792"/>
      <c r="Z779" s="792"/>
      <c r="AA779" s="792"/>
    </row>
    <row r="780" spans="1:27" ht="15.75" customHeight="1">
      <c r="A780" s="792"/>
      <c r="B780" s="792"/>
      <c r="C780" s="792"/>
      <c r="D780" s="792"/>
      <c r="E780" s="792"/>
      <c r="F780" s="792"/>
      <c r="G780" s="792"/>
      <c r="H780" s="792"/>
      <c r="I780" s="792"/>
      <c r="J780" s="792"/>
      <c r="K780" s="792"/>
      <c r="L780" s="792"/>
      <c r="M780" s="792"/>
      <c r="N780" s="792"/>
      <c r="O780" s="792"/>
      <c r="P780" s="792"/>
      <c r="Q780" s="1169"/>
      <c r="R780" s="792"/>
      <c r="S780" s="792"/>
      <c r="T780" s="792"/>
      <c r="U780" s="792"/>
      <c r="V780" s="793"/>
      <c r="W780" s="793"/>
      <c r="X780" s="792"/>
      <c r="Y780" s="792"/>
      <c r="Z780" s="792"/>
      <c r="AA780" s="792"/>
    </row>
    <row r="781" spans="1:27" ht="15.75" customHeight="1">
      <c r="A781" s="792"/>
      <c r="B781" s="792"/>
      <c r="C781" s="792"/>
      <c r="D781" s="792"/>
      <c r="E781" s="792"/>
      <c r="F781" s="792"/>
      <c r="G781" s="792"/>
      <c r="H781" s="792"/>
      <c r="I781" s="792"/>
      <c r="J781" s="792"/>
      <c r="K781" s="792"/>
      <c r="L781" s="792"/>
      <c r="M781" s="792"/>
      <c r="N781" s="792"/>
      <c r="O781" s="792"/>
      <c r="P781" s="792"/>
      <c r="Q781" s="1169"/>
      <c r="R781" s="792"/>
      <c r="S781" s="792"/>
      <c r="T781" s="792"/>
      <c r="U781" s="792"/>
      <c r="V781" s="793"/>
      <c r="W781" s="793"/>
      <c r="X781" s="792"/>
      <c r="Y781" s="792"/>
      <c r="Z781" s="792"/>
      <c r="AA781" s="792"/>
    </row>
    <row r="782" spans="1:27" ht="15.75" customHeight="1">
      <c r="A782" s="792"/>
      <c r="B782" s="792"/>
      <c r="C782" s="792"/>
      <c r="D782" s="792"/>
      <c r="E782" s="792"/>
      <c r="F782" s="792"/>
      <c r="G782" s="792"/>
      <c r="H782" s="792"/>
      <c r="I782" s="792"/>
      <c r="J782" s="792"/>
      <c r="K782" s="792"/>
      <c r="L782" s="792"/>
      <c r="M782" s="792"/>
      <c r="N782" s="792"/>
      <c r="O782" s="792"/>
      <c r="P782" s="792"/>
      <c r="Q782" s="1169"/>
      <c r="R782" s="792"/>
      <c r="S782" s="792"/>
      <c r="T782" s="792"/>
      <c r="U782" s="792"/>
      <c r="V782" s="793"/>
      <c r="W782" s="793"/>
      <c r="X782" s="792"/>
      <c r="Y782" s="792"/>
      <c r="Z782" s="792"/>
      <c r="AA782" s="792"/>
    </row>
    <row r="783" spans="1:27" ht="15.75" customHeight="1">
      <c r="A783" s="792"/>
      <c r="B783" s="792"/>
      <c r="C783" s="792"/>
      <c r="D783" s="792"/>
      <c r="E783" s="792"/>
      <c r="F783" s="792"/>
      <c r="G783" s="792"/>
      <c r="H783" s="792"/>
      <c r="I783" s="792"/>
      <c r="J783" s="792"/>
      <c r="K783" s="792"/>
      <c r="L783" s="792"/>
      <c r="M783" s="792"/>
      <c r="N783" s="792"/>
      <c r="O783" s="792"/>
      <c r="P783" s="792"/>
      <c r="Q783" s="1169"/>
      <c r="R783" s="792"/>
      <c r="S783" s="792"/>
      <c r="T783" s="792"/>
      <c r="U783" s="792"/>
      <c r="V783" s="793"/>
      <c r="W783" s="793"/>
      <c r="X783" s="792"/>
      <c r="Y783" s="792"/>
      <c r="Z783" s="792"/>
      <c r="AA783" s="792"/>
    </row>
    <row r="784" spans="1:27" ht="15.75" customHeight="1">
      <c r="A784" s="792"/>
      <c r="B784" s="792"/>
      <c r="C784" s="792"/>
      <c r="D784" s="792"/>
      <c r="E784" s="792"/>
      <c r="F784" s="792"/>
      <c r="G784" s="792"/>
      <c r="H784" s="792"/>
      <c r="I784" s="792"/>
      <c r="J784" s="792"/>
      <c r="K784" s="792"/>
      <c r="L784" s="792"/>
      <c r="M784" s="792"/>
      <c r="N784" s="792"/>
      <c r="O784" s="792"/>
      <c r="P784" s="792"/>
      <c r="Q784" s="1169"/>
      <c r="R784" s="792"/>
      <c r="S784" s="792"/>
      <c r="T784" s="792"/>
      <c r="U784" s="792"/>
      <c r="V784" s="793"/>
      <c r="W784" s="793"/>
      <c r="X784" s="792"/>
      <c r="Y784" s="792"/>
      <c r="Z784" s="792"/>
      <c r="AA784" s="792"/>
    </row>
    <row r="785" spans="1:27" ht="15.75" customHeight="1">
      <c r="A785" s="792"/>
      <c r="B785" s="792"/>
      <c r="C785" s="792"/>
      <c r="D785" s="792"/>
      <c r="E785" s="792"/>
      <c r="F785" s="792"/>
      <c r="G785" s="792"/>
      <c r="H785" s="792"/>
      <c r="I785" s="792"/>
      <c r="J785" s="792"/>
      <c r="K785" s="792"/>
      <c r="L785" s="792"/>
      <c r="M785" s="792"/>
      <c r="N785" s="792"/>
      <c r="O785" s="792"/>
      <c r="P785" s="792"/>
      <c r="Q785" s="1169"/>
      <c r="R785" s="792"/>
      <c r="S785" s="792"/>
      <c r="T785" s="792"/>
      <c r="U785" s="792"/>
      <c r="V785" s="793"/>
      <c r="W785" s="793"/>
      <c r="X785" s="792"/>
      <c r="Y785" s="792"/>
      <c r="Z785" s="792"/>
      <c r="AA785" s="792"/>
    </row>
    <row r="786" spans="1:27" ht="15.75" customHeight="1">
      <c r="A786" s="792"/>
      <c r="B786" s="792"/>
      <c r="C786" s="792"/>
      <c r="D786" s="792"/>
      <c r="E786" s="792"/>
      <c r="F786" s="792"/>
      <c r="G786" s="792"/>
      <c r="H786" s="792"/>
      <c r="I786" s="792"/>
      <c r="J786" s="792"/>
      <c r="K786" s="792"/>
      <c r="L786" s="792"/>
      <c r="M786" s="792"/>
      <c r="N786" s="792"/>
      <c r="O786" s="792"/>
      <c r="P786" s="792"/>
      <c r="Q786" s="1169"/>
      <c r="R786" s="792"/>
      <c r="S786" s="792"/>
      <c r="T786" s="792"/>
      <c r="U786" s="792"/>
      <c r="V786" s="793"/>
      <c r="W786" s="793"/>
      <c r="X786" s="792"/>
      <c r="Y786" s="792"/>
      <c r="Z786" s="792"/>
      <c r="AA786" s="792"/>
    </row>
    <row r="787" spans="1:27" ht="15.75" customHeight="1">
      <c r="A787" s="792"/>
      <c r="B787" s="792"/>
      <c r="C787" s="792"/>
      <c r="D787" s="792"/>
      <c r="E787" s="792"/>
      <c r="F787" s="792"/>
      <c r="G787" s="792"/>
      <c r="H787" s="792"/>
      <c r="I787" s="792"/>
      <c r="J787" s="792"/>
      <c r="K787" s="792"/>
      <c r="L787" s="792"/>
      <c r="M787" s="792"/>
      <c r="N787" s="792"/>
      <c r="O787" s="792"/>
      <c r="P787" s="792"/>
      <c r="Q787" s="1169"/>
      <c r="R787" s="792"/>
      <c r="S787" s="792"/>
      <c r="T787" s="792"/>
      <c r="U787" s="792"/>
      <c r="V787" s="793"/>
      <c r="W787" s="793"/>
      <c r="X787" s="792"/>
      <c r="Y787" s="792"/>
      <c r="Z787" s="792"/>
      <c r="AA787" s="792"/>
    </row>
    <row r="788" spans="1:27" ht="15.75" customHeight="1">
      <c r="A788" s="792"/>
      <c r="B788" s="792"/>
      <c r="C788" s="792"/>
      <c r="D788" s="792"/>
      <c r="E788" s="792"/>
      <c r="F788" s="792"/>
      <c r="G788" s="792"/>
      <c r="H788" s="792"/>
      <c r="I788" s="792"/>
      <c r="J788" s="792"/>
      <c r="K788" s="792"/>
      <c r="L788" s="792"/>
      <c r="M788" s="792"/>
      <c r="N788" s="792"/>
      <c r="O788" s="792"/>
      <c r="P788" s="792"/>
      <c r="Q788" s="1169"/>
      <c r="R788" s="792"/>
      <c r="S788" s="792"/>
      <c r="T788" s="792"/>
      <c r="U788" s="792"/>
      <c r="V788" s="793"/>
      <c r="W788" s="793"/>
      <c r="X788" s="792"/>
      <c r="Y788" s="792"/>
      <c r="Z788" s="792"/>
      <c r="AA788" s="792"/>
    </row>
    <row r="789" spans="1:27" ht="15.75" customHeight="1">
      <c r="A789" s="792"/>
      <c r="B789" s="792"/>
      <c r="C789" s="792"/>
      <c r="D789" s="792"/>
      <c r="E789" s="792"/>
      <c r="F789" s="792"/>
      <c r="G789" s="792"/>
      <c r="H789" s="792"/>
      <c r="I789" s="792"/>
      <c r="J789" s="792"/>
      <c r="K789" s="792"/>
      <c r="L789" s="792"/>
      <c r="M789" s="792"/>
      <c r="N789" s="792"/>
      <c r="O789" s="792"/>
      <c r="P789" s="792"/>
      <c r="Q789" s="1169"/>
      <c r="R789" s="792"/>
      <c r="S789" s="792"/>
      <c r="T789" s="792"/>
      <c r="U789" s="792"/>
      <c r="V789" s="793"/>
      <c r="W789" s="793"/>
      <c r="X789" s="792"/>
      <c r="Y789" s="792"/>
      <c r="Z789" s="792"/>
      <c r="AA789" s="792"/>
    </row>
    <row r="790" spans="1:27" ht="15.75" customHeight="1">
      <c r="A790" s="792"/>
      <c r="B790" s="792"/>
      <c r="C790" s="792"/>
      <c r="D790" s="792"/>
      <c r="E790" s="792"/>
      <c r="F790" s="792"/>
      <c r="G790" s="792"/>
      <c r="H790" s="792"/>
      <c r="I790" s="792"/>
      <c r="J790" s="792"/>
      <c r="K790" s="792"/>
      <c r="L790" s="792"/>
      <c r="M790" s="792"/>
      <c r="N790" s="792"/>
      <c r="O790" s="792"/>
      <c r="P790" s="792"/>
      <c r="Q790" s="1169"/>
      <c r="R790" s="792"/>
      <c r="S790" s="792"/>
      <c r="T790" s="792"/>
      <c r="U790" s="792"/>
      <c r="V790" s="793"/>
      <c r="W790" s="793"/>
      <c r="X790" s="792"/>
      <c r="Y790" s="792"/>
      <c r="Z790" s="792"/>
      <c r="AA790" s="792"/>
    </row>
    <row r="791" spans="1:27" ht="15.75" customHeight="1">
      <c r="A791" s="792"/>
      <c r="B791" s="792"/>
      <c r="C791" s="792"/>
      <c r="D791" s="792"/>
      <c r="E791" s="792"/>
      <c r="F791" s="792"/>
      <c r="G791" s="792"/>
      <c r="H791" s="792"/>
      <c r="I791" s="792"/>
      <c r="J791" s="792"/>
      <c r="K791" s="792"/>
      <c r="L791" s="792"/>
      <c r="M791" s="792"/>
      <c r="N791" s="792"/>
      <c r="O791" s="792"/>
      <c r="P791" s="792"/>
      <c r="Q791" s="1169"/>
      <c r="R791" s="792"/>
      <c r="S791" s="792"/>
      <c r="T791" s="792"/>
      <c r="U791" s="792"/>
      <c r="V791" s="793"/>
      <c r="W791" s="793"/>
      <c r="X791" s="792"/>
      <c r="Y791" s="792"/>
      <c r="Z791" s="792"/>
      <c r="AA791" s="792"/>
    </row>
    <row r="792" spans="1:27" ht="15.75" customHeight="1">
      <c r="A792" s="792"/>
      <c r="B792" s="792"/>
      <c r="C792" s="792"/>
      <c r="D792" s="792"/>
      <c r="E792" s="792"/>
      <c r="F792" s="792"/>
      <c r="G792" s="792"/>
      <c r="H792" s="792"/>
      <c r="I792" s="792"/>
      <c r="J792" s="792"/>
      <c r="K792" s="792"/>
      <c r="L792" s="792"/>
      <c r="M792" s="792"/>
      <c r="N792" s="792"/>
      <c r="O792" s="792"/>
      <c r="P792" s="792"/>
      <c r="Q792" s="1169"/>
      <c r="R792" s="792"/>
      <c r="S792" s="792"/>
      <c r="T792" s="792"/>
      <c r="U792" s="792"/>
      <c r="V792" s="793"/>
      <c r="W792" s="793"/>
      <c r="X792" s="792"/>
      <c r="Y792" s="792"/>
      <c r="Z792" s="792"/>
      <c r="AA792" s="792"/>
    </row>
    <row r="793" spans="1:27" ht="15.75" customHeight="1">
      <c r="A793" s="792"/>
      <c r="B793" s="792"/>
      <c r="C793" s="792"/>
      <c r="D793" s="792"/>
      <c r="E793" s="792"/>
      <c r="F793" s="792"/>
      <c r="G793" s="792"/>
      <c r="H793" s="792"/>
      <c r="I793" s="792"/>
      <c r="J793" s="792"/>
      <c r="K793" s="792"/>
      <c r="L793" s="792"/>
      <c r="M793" s="792"/>
      <c r="N793" s="792"/>
      <c r="O793" s="792"/>
      <c r="P793" s="792"/>
      <c r="Q793" s="1169"/>
      <c r="R793" s="792"/>
      <c r="S793" s="792"/>
      <c r="T793" s="792"/>
      <c r="U793" s="792"/>
      <c r="V793" s="793"/>
      <c r="W793" s="793"/>
      <c r="X793" s="792"/>
      <c r="Y793" s="792"/>
      <c r="Z793" s="792"/>
      <c r="AA793" s="792"/>
    </row>
    <row r="794" spans="1:27" ht="15.75" customHeight="1">
      <c r="A794" s="792"/>
      <c r="B794" s="792"/>
      <c r="C794" s="792"/>
      <c r="D794" s="792"/>
      <c r="E794" s="792"/>
      <c r="F794" s="792"/>
      <c r="G794" s="792"/>
      <c r="H794" s="792"/>
      <c r="I794" s="792"/>
      <c r="J794" s="792"/>
      <c r="K794" s="792"/>
      <c r="L794" s="792"/>
      <c r="M794" s="792"/>
      <c r="N794" s="792"/>
      <c r="O794" s="792"/>
      <c r="P794" s="792"/>
      <c r="Q794" s="1169"/>
      <c r="R794" s="792"/>
      <c r="S794" s="792"/>
      <c r="T794" s="792"/>
      <c r="U794" s="792"/>
      <c r="V794" s="793"/>
      <c r="W794" s="793"/>
      <c r="X794" s="792"/>
      <c r="Y794" s="792"/>
      <c r="Z794" s="792"/>
      <c r="AA794" s="792"/>
    </row>
    <row r="795" spans="1:27" ht="15.75" customHeight="1">
      <c r="A795" s="792"/>
      <c r="B795" s="792"/>
      <c r="C795" s="792"/>
      <c r="D795" s="792"/>
      <c r="E795" s="792"/>
      <c r="F795" s="792"/>
      <c r="G795" s="792"/>
      <c r="H795" s="792"/>
      <c r="I795" s="792"/>
      <c r="J795" s="792"/>
      <c r="K795" s="792"/>
      <c r="L795" s="792"/>
      <c r="M795" s="792"/>
      <c r="N795" s="792"/>
      <c r="O795" s="792"/>
      <c r="P795" s="792"/>
      <c r="Q795" s="1169"/>
      <c r="R795" s="792"/>
      <c r="S795" s="792"/>
      <c r="T795" s="792"/>
      <c r="U795" s="792"/>
      <c r="V795" s="793"/>
      <c r="W795" s="793"/>
      <c r="X795" s="792"/>
      <c r="Y795" s="792"/>
      <c r="Z795" s="792"/>
      <c r="AA795" s="792"/>
    </row>
    <row r="796" spans="1:27" ht="15.75" customHeight="1">
      <c r="A796" s="792"/>
      <c r="B796" s="792"/>
      <c r="C796" s="792"/>
      <c r="D796" s="792"/>
      <c r="E796" s="792"/>
      <c r="F796" s="792"/>
      <c r="G796" s="792"/>
      <c r="H796" s="792"/>
      <c r="I796" s="792"/>
      <c r="J796" s="792"/>
      <c r="K796" s="792"/>
      <c r="L796" s="792"/>
      <c r="M796" s="792"/>
      <c r="N796" s="792"/>
      <c r="O796" s="792"/>
      <c r="P796" s="792"/>
      <c r="Q796" s="1169"/>
      <c r="R796" s="792"/>
      <c r="S796" s="792"/>
      <c r="T796" s="792"/>
      <c r="U796" s="792"/>
      <c r="V796" s="793"/>
      <c r="W796" s="793"/>
      <c r="X796" s="792"/>
      <c r="Y796" s="792"/>
      <c r="Z796" s="792"/>
      <c r="AA796" s="792"/>
    </row>
    <row r="797" spans="1:27" ht="15.75" customHeight="1">
      <c r="A797" s="792"/>
      <c r="B797" s="792"/>
      <c r="C797" s="792"/>
      <c r="D797" s="792"/>
      <c r="E797" s="792"/>
      <c r="F797" s="792"/>
      <c r="G797" s="792"/>
      <c r="H797" s="792"/>
      <c r="I797" s="792"/>
      <c r="J797" s="792"/>
      <c r="K797" s="792"/>
      <c r="L797" s="792"/>
      <c r="M797" s="792"/>
      <c r="N797" s="792"/>
      <c r="O797" s="792"/>
      <c r="P797" s="792"/>
      <c r="Q797" s="1169"/>
      <c r="R797" s="792"/>
      <c r="S797" s="792"/>
      <c r="T797" s="792"/>
      <c r="U797" s="792"/>
      <c r="V797" s="793"/>
      <c r="W797" s="793"/>
      <c r="X797" s="792"/>
      <c r="Y797" s="792"/>
      <c r="Z797" s="792"/>
      <c r="AA797" s="792"/>
    </row>
    <row r="798" spans="1:27" ht="15.75" customHeight="1">
      <c r="A798" s="792"/>
      <c r="B798" s="792"/>
      <c r="C798" s="792"/>
      <c r="D798" s="792"/>
      <c r="E798" s="792"/>
      <c r="F798" s="792"/>
      <c r="G798" s="792"/>
      <c r="H798" s="792"/>
      <c r="I798" s="792"/>
      <c r="J798" s="792"/>
      <c r="K798" s="792"/>
      <c r="L798" s="792"/>
      <c r="M798" s="792"/>
      <c r="N798" s="792"/>
      <c r="O798" s="792"/>
      <c r="P798" s="792"/>
      <c r="Q798" s="1169"/>
      <c r="R798" s="792"/>
      <c r="S798" s="792"/>
      <c r="T798" s="792"/>
      <c r="U798" s="792"/>
      <c r="V798" s="793"/>
      <c r="W798" s="793"/>
      <c r="X798" s="792"/>
      <c r="Y798" s="792"/>
      <c r="Z798" s="792"/>
      <c r="AA798" s="792"/>
    </row>
    <row r="799" spans="1:27" ht="15.75" customHeight="1">
      <c r="A799" s="792"/>
      <c r="B799" s="792"/>
      <c r="C799" s="792"/>
      <c r="D799" s="792"/>
      <c r="E799" s="792"/>
      <c r="F799" s="792"/>
      <c r="G799" s="792"/>
      <c r="H799" s="792"/>
      <c r="I799" s="792"/>
      <c r="J799" s="792"/>
      <c r="K799" s="792"/>
      <c r="L799" s="792"/>
      <c r="M799" s="792"/>
      <c r="N799" s="792"/>
      <c r="O799" s="792"/>
      <c r="P799" s="792"/>
      <c r="Q799" s="1169"/>
      <c r="R799" s="792"/>
      <c r="S799" s="792"/>
      <c r="T799" s="792"/>
      <c r="U799" s="792"/>
      <c r="V799" s="793"/>
      <c r="W799" s="793"/>
      <c r="X799" s="792"/>
      <c r="Y799" s="792"/>
      <c r="Z799" s="792"/>
      <c r="AA799" s="792"/>
    </row>
    <row r="800" spans="1:27" ht="15.75" customHeight="1">
      <c r="A800" s="792"/>
      <c r="B800" s="792"/>
      <c r="C800" s="792"/>
      <c r="D800" s="792"/>
      <c r="E800" s="792"/>
      <c r="F800" s="792"/>
      <c r="G800" s="792"/>
      <c r="H800" s="792"/>
      <c r="I800" s="792"/>
      <c r="J800" s="792"/>
      <c r="K800" s="792"/>
      <c r="L800" s="792"/>
      <c r="M800" s="792"/>
      <c r="N800" s="792"/>
      <c r="O800" s="792"/>
      <c r="P800" s="792"/>
      <c r="Q800" s="1169"/>
      <c r="R800" s="792"/>
      <c r="S800" s="792"/>
      <c r="T800" s="792"/>
      <c r="U800" s="792"/>
      <c r="V800" s="793"/>
      <c r="W800" s="793"/>
      <c r="X800" s="792"/>
      <c r="Y800" s="792"/>
      <c r="Z800" s="792"/>
      <c r="AA800" s="792"/>
    </row>
    <row r="801" spans="1:27" ht="15.75" customHeight="1">
      <c r="A801" s="792"/>
      <c r="B801" s="792"/>
      <c r="C801" s="792"/>
      <c r="D801" s="792"/>
      <c r="E801" s="792"/>
      <c r="F801" s="792"/>
      <c r="G801" s="792"/>
      <c r="H801" s="792"/>
      <c r="I801" s="792"/>
      <c r="J801" s="792"/>
      <c r="K801" s="792"/>
      <c r="L801" s="792"/>
      <c r="M801" s="792"/>
      <c r="N801" s="792"/>
      <c r="O801" s="792"/>
      <c r="P801" s="792"/>
      <c r="Q801" s="1169"/>
      <c r="R801" s="792"/>
      <c r="S801" s="792"/>
      <c r="T801" s="792"/>
      <c r="U801" s="792"/>
      <c r="V801" s="793"/>
      <c r="W801" s="793"/>
      <c r="X801" s="792"/>
      <c r="Y801" s="792"/>
      <c r="Z801" s="792"/>
      <c r="AA801" s="792"/>
    </row>
    <row r="802" spans="1:27" ht="15.75" customHeight="1">
      <c r="A802" s="792"/>
      <c r="B802" s="792"/>
      <c r="C802" s="792"/>
      <c r="D802" s="792"/>
      <c r="E802" s="792"/>
      <c r="F802" s="792"/>
      <c r="G802" s="792"/>
      <c r="H802" s="792"/>
      <c r="I802" s="792"/>
      <c r="J802" s="792"/>
      <c r="K802" s="792"/>
      <c r="L802" s="792"/>
      <c r="M802" s="792"/>
      <c r="N802" s="792"/>
      <c r="O802" s="792"/>
      <c r="P802" s="792"/>
      <c r="Q802" s="1169"/>
      <c r="R802" s="792"/>
      <c r="S802" s="792"/>
      <c r="T802" s="792"/>
      <c r="U802" s="792"/>
      <c r="V802" s="793"/>
      <c r="W802" s="793"/>
      <c r="X802" s="792"/>
      <c r="Y802" s="792"/>
      <c r="Z802" s="792"/>
      <c r="AA802" s="792"/>
    </row>
    <row r="803" spans="1:27" ht="15.75" customHeight="1">
      <c r="A803" s="792"/>
      <c r="B803" s="792"/>
      <c r="C803" s="792"/>
      <c r="D803" s="792"/>
      <c r="E803" s="792"/>
      <c r="F803" s="792"/>
      <c r="G803" s="792"/>
      <c r="H803" s="792"/>
      <c r="I803" s="792"/>
      <c r="J803" s="792"/>
      <c r="K803" s="792"/>
      <c r="L803" s="792"/>
      <c r="M803" s="792"/>
      <c r="N803" s="792"/>
      <c r="O803" s="792"/>
      <c r="P803" s="792"/>
      <c r="Q803" s="1169"/>
      <c r="R803" s="792"/>
      <c r="S803" s="792"/>
      <c r="T803" s="792"/>
      <c r="U803" s="792"/>
      <c r="V803" s="793"/>
      <c r="W803" s="793"/>
      <c r="X803" s="792"/>
      <c r="Y803" s="792"/>
      <c r="Z803" s="792"/>
      <c r="AA803" s="792"/>
    </row>
    <row r="804" spans="1:27" ht="15.75" customHeight="1">
      <c r="A804" s="792"/>
      <c r="B804" s="792"/>
      <c r="C804" s="792"/>
      <c r="D804" s="792"/>
      <c r="E804" s="792"/>
      <c r="F804" s="792"/>
      <c r="G804" s="792"/>
      <c r="H804" s="792"/>
      <c r="I804" s="792"/>
      <c r="J804" s="792"/>
      <c r="K804" s="792"/>
      <c r="L804" s="792"/>
      <c r="M804" s="792"/>
      <c r="N804" s="792"/>
      <c r="O804" s="792"/>
      <c r="P804" s="792"/>
      <c r="Q804" s="1169"/>
      <c r="R804" s="792"/>
      <c r="S804" s="792"/>
      <c r="T804" s="792"/>
      <c r="U804" s="792"/>
      <c r="V804" s="793"/>
      <c r="W804" s="793"/>
      <c r="X804" s="792"/>
      <c r="Y804" s="792"/>
      <c r="Z804" s="792"/>
      <c r="AA804" s="792"/>
    </row>
    <row r="805" spans="1:27" ht="15.75" customHeight="1">
      <c r="A805" s="792"/>
      <c r="B805" s="792"/>
      <c r="C805" s="792"/>
      <c r="D805" s="792"/>
      <c r="E805" s="792"/>
      <c r="F805" s="792"/>
      <c r="G805" s="792"/>
      <c r="H805" s="792"/>
      <c r="I805" s="792"/>
      <c r="J805" s="792"/>
      <c r="K805" s="792"/>
      <c r="L805" s="792"/>
      <c r="M805" s="792"/>
      <c r="N805" s="792"/>
      <c r="O805" s="792"/>
      <c r="P805" s="792"/>
      <c r="Q805" s="1169"/>
      <c r="R805" s="792"/>
      <c r="S805" s="792"/>
      <c r="T805" s="792"/>
      <c r="U805" s="792"/>
      <c r="V805" s="793"/>
      <c r="W805" s="793"/>
      <c r="X805" s="792"/>
      <c r="Y805" s="792"/>
      <c r="Z805" s="792"/>
      <c r="AA805" s="792"/>
    </row>
    <row r="806" spans="1:27" ht="15.75" customHeight="1">
      <c r="A806" s="792"/>
      <c r="B806" s="792"/>
      <c r="C806" s="792"/>
      <c r="D806" s="792"/>
      <c r="E806" s="792"/>
      <c r="F806" s="792"/>
      <c r="G806" s="792"/>
      <c r="H806" s="792"/>
      <c r="I806" s="792"/>
      <c r="J806" s="792"/>
      <c r="K806" s="792"/>
      <c r="L806" s="792"/>
      <c r="M806" s="792"/>
      <c r="N806" s="792"/>
      <c r="O806" s="792"/>
      <c r="P806" s="792"/>
      <c r="Q806" s="1169"/>
      <c r="R806" s="792"/>
      <c r="S806" s="792"/>
      <c r="T806" s="792"/>
      <c r="U806" s="792"/>
      <c r="V806" s="793"/>
      <c r="W806" s="793"/>
      <c r="X806" s="792"/>
      <c r="Y806" s="792"/>
      <c r="Z806" s="792"/>
      <c r="AA806" s="792"/>
    </row>
    <row r="807" spans="1:27" ht="15.75" customHeight="1">
      <c r="A807" s="792"/>
      <c r="B807" s="792"/>
      <c r="C807" s="792"/>
      <c r="D807" s="792"/>
      <c r="E807" s="792"/>
      <c r="F807" s="792"/>
      <c r="G807" s="792"/>
      <c r="H807" s="792"/>
      <c r="I807" s="792"/>
      <c r="J807" s="792"/>
      <c r="K807" s="792"/>
      <c r="L807" s="792"/>
      <c r="M807" s="792"/>
      <c r="N807" s="792"/>
      <c r="O807" s="792"/>
      <c r="P807" s="792"/>
      <c r="Q807" s="1169"/>
      <c r="R807" s="792"/>
      <c r="S807" s="792"/>
      <c r="T807" s="792"/>
      <c r="U807" s="792"/>
      <c r="V807" s="793"/>
      <c r="W807" s="793"/>
      <c r="X807" s="792"/>
      <c r="Y807" s="792"/>
      <c r="Z807" s="792"/>
      <c r="AA807" s="792"/>
    </row>
    <row r="808" spans="1:27" ht="15.75" customHeight="1">
      <c r="A808" s="792"/>
      <c r="B808" s="792"/>
      <c r="C808" s="792"/>
      <c r="D808" s="792"/>
      <c r="E808" s="792"/>
      <c r="F808" s="792"/>
      <c r="G808" s="792"/>
      <c r="H808" s="792"/>
      <c r="I808" s="792"/>
      <c r="J808" s="792"/>
      <c r="K808" s="792"/>
      <c r="L808" s="792"/>
      <c r="M808" s="792"/>
      <c r="N808" s="792"/>
      <c r="O808" s="792"/>
      <c r="P808" s="792"/>
      <c r="Q808" s="1169"/>
      <c r="R808" s="792"/>
      <c r="S808" s="792"/>
      <c r="T808" s="792"/>
      <c r="U808" s="792"/>
      <c r="V808" s="793"/>
      <c r="W808" s="793"/>
      <c r="X808" s="792"/>
      <c r="Y808" s="792"/>
      <c r="Z808" s="792"/>
      <c r="AA808" s="792"/>
    </row>
    <row r="809" spans="1:27" ht="15.75" customHeight="1">
      <c r="A809" s="792"/>
      <c r="B809" s="792"/>
      <c r="C809" s="792"/>
      <c r="D809" s="792"/>
      <c r="E809" s="792"/>
      <c r="F809" s="792"/>
      <c r="G809" s="792"/>
      <c r="H809" s="792"/>
      <c r="I809" s="792"/>
      <c r="J809" s="792"/>
      <c r="K809" s="792"/>
      <c r="L809" s="792"/>
      <c r="M809" s="792"/>
      <c r="N809" s="792"/>
      <c r="O809" s="792"/>
      <c r="P809" s="792"/>
      <c r="Q809" s="1169"/>
      <c r="R809" s="792"/>
      <c r="S809" s="792"/>
      <c r="T809" s="792"/>
      <c r="U809" s="792"/>
      <c r="V809" s="793"/>
      <c r="W809" s="793"/>
      <c r="X809" s="792"/>
      <c r="Y809" s="792"/>
      <c r="Z809" s="792"/>
      <c r="AA809" s="792"/>
    </row>
    <row r="810" spans="1:27" ht="15.75" customHeight="1">
      <c r="A810" s="792"/>
      <c r="B810" s="792"/>
      <c r="C810" s="792"/>
      <c r="D810" s="792"/>
      <c r="E810" s="792"/>
      <c r="F810" s="792"/>
      <c r="G810" s="792"/>
      <c r="H810" s="792"/>
      <c r="I810" s="792"/>
      <c r="J810" s="792"/>
      <c r="K810" s="792"/>
      <c r="L810" s="792"/>
      <c r="M810" s="792"/>
      <c r="N810" s="792"/>
      <c r="O810" s="792"/>
      <c r="P810" s="792"/>
      <c r="Q810" s="1169"/>
      <c r="R810" s="792"/>
      <c r="S810" s="792"/>
      <c r="T810" s="792"/>
      <c r="U810" s="792"/>
      <c r="V810" s="793"/>
      <c r="W810" s="793"/>
      <c r="X810" s="792"/>
      <c r="Y810" s="792"/>
      <c r="Z810" s="792"/>
      <c r="AA810" s="792"/>
    </row>
    <row r="811" spans="1:27" ht="15.75" customHeight="1">
      <c r="A811" s="792"/>
      <c r="B811" s="792"/>
      <c r="C811" s="792"/>
      <c r="D811" s="792"/>
      <c r="E811" s="792"/>
      <c r="F811" s="792"/>
      <c r="G811" s="792"/>
      <c r="H811" s="792"/>
      <c r="I811" s="792"/>
      <c r="J811" s="792"/>
      <c r="K811" s="792"/>
      <c r="L811" s="792"/>
      <c r="M811" s="792"/>
      <c r="N811" s="792"/>
      <c r="O811" s="792"/>
      <c r="P811" s="792"/>
      <c r="Q811" s="1169"/>
      <c r="R811" s="792"/>
      <c r="S811" s="792"/>
      <c r="T811" s="792"/>
      <c r="U811" s="792"/>
      <c r="V811" s="793"/>
      <c r="W811" s="793"/>
      <c r="X811" s="792"/>
      <c r="Y811" s="792"/>
      <c r="Z811" s="792"/>
      <c r="AA811" s="792"/>
    </row>
    <row r="812" spans="1:27" ht="15.75" customHeight="1">
      <c r="A812" s="792"/>
      <c r="B812" s="792"/>
      <c r="C812" s="792"/>
      <c r="D812" s="792"/>
      <c r="E812" s="792"/>
      <c r="F812" s="792"/>
      <c r="G812" s="792"/>
      <c r="H812" s="792"/>
      <c r="I812" s="792"/>
      <c r="J812" s="792"/>
      <c r="K812" s="792"/>
      <c r="L812" s="792"/>
      <c r="M812" s="792"/>
      <c r="N812" s="792"/>
      <c r="O812" s="792"/>
      <c r="P812" s="792"/>
      <c r="Q812" s="1169"/>
      <c r="R812" s="792"/>
      <c r="S812" s="792"/>
      <c r="T812" s="792"/>
      <c r="U812" s="792"/>
      <c r="V812" s="793"/>
      <c r="W812" s="793"/>
      <c r="X812" s="792"/>
      <c r="Y812" s="792"/>
      <c r="Z812" s="792"/>
      <c r="AA812" s="792"/>
    </row>
    <row r="813" spans="1:27" ht="15.75" customHeight="1">
      <c r="A813" s="792"/>
      <c r="B813" s="792"/>
      <c r="C813" s="792"/>
      <c r="D813" s="792"/>
      <c r="E813" s="792"/>
      <c r="F813" s="792"/>
      <c r="G813" s="792"/>
      <c r="H813" s="792"/>
      <c r="I813" s="792"/>
      <c r="J813" s="792"/>
      <c r="K813" s="792"/>
      <c r="L813" s="792"/>
      <c r="M813" s="792"/>
      <c r="N813" s="792"/>
      <c r="O813" s="792"/>
      <c r="P813" s="792"/>
      <c r="Q813" s="1169"/>
      <c r="R813" s="792"/>
      <c r="S813" s="792"/>
      <c r="T813" s="792"/>
      <c r="U813" s="792"/>
      <c r="V813" s="793"/>
      <c r="W813" s="793"/>
      <c r="X813" s="792"/>
      <c r="Y813" s="792"/>
      <c r="Z813" s="792"/>
      <c r="AA813" s="792"/>
    </row>
    <row r="814" spans="1:27" ht="15.75" customHeight="1">
      <c r="A814" s="792"/>
      <c r="B814" s="792"/>
      <c r="C814" s="792"/>
      <c r="D814" s="792"/>
      <c r="E814" s="792"/>
      <c r="F814" s="792"/>
      <c r="G814" s="792"/>
      <c r="H814" s="792"/>
      <c r="I814" s="792"/>
      <c r="J814" s="792"/>
      <c r="K814" s="792"/>
      <c r="L814" s="792"/>
      <c r="M814" s="792"/>
      <c r="N814" s="792"/>
      <c r="O814" s="792"/>
      <c r="P814" s="792"/>
      <c r="Q814" s="1169"/>
      <c r="R814" s="792"/>
      <c r="S814" s="792"/>
      <c r="T814" s="792"/>
      <c r="U814" s="792"/>
      <c r="V814" s="793"/>
      <c r="W814" s="793"/>
      <c r="X814" s="792"/>
      <c r="Y814" s="792"/>
      <c r="Z814" s="792"/>
      <c r="AA814" s="792"/>
    </row>
    <row r="815" spans="1:27" ht="15.75" customHeight="1">
      <c r="A815" s="792"/>
      <c r="B815" s="792"/>
      <c r="C815" s="792"/>
      <c r="D815" s="792"/>
      <c r="E815" s="792"/>
      <c r="F815" s="792"/>
      <c r="G815" s="792"/>
      <c r="H815" s="792"/>
      <c r="I815" s="792"/>
      <c r="J815" s="792"/>
      <c r="K815" s="792"/>
      <c r="L815" s="792"/>
      <c r="M815" s="792"/>
      <c r="N815" s="792"/>
      <c r="O815" s="792"/>
      <c r="P815" s="792"/>
      <c r="Q815" s="1169"/>
      <c r="R815" s="792"/>
      <c r="S815" s="792"/>
      <c r="T815" s="792"/>
      <c r="U815" s="792"/>
      <c r="V815" s="793"/>
      <c r="W815" s="793"/>
      <c r="X815" s="792"/>
      <c r="Y815" s="792"/>
      <c r="Z815" s="792"/>
      <c r="AA815" s="792"/>
    </row>
    <row r="816" spans="1:27" ht="15.75" customHeight="1">
      <c r="A816" s="792"/>
      <c r="B816" s="792"/>
      <c r="C816" s="792"/>
      <c r="D816" s="792"/>
      <c r="E816" s="792"/>
      <c r="F816" s="792"/>
      <c r="G816" s="792"/>
      <c r="H816" s="792"/>
      <c r="I816" s="792"/>
      <c r="J816" s="792"/>
      <c r="K816" s="792"/>
      <c r="L816" s="792"/>
      <c r="M816" s="792"/>
      <c r="N816" s="792"/>
      <c r="O816" s="792"/>
      <c r="P816" s="792"/>
      <c r="Q816" s="1169"/>
      <c r="R816" s="792"/>
      <c r="S816" s="792"/>
      <c r="T816" s="792"/>
      <c r="U816" s="792"/>
      <c r="V816" s="793"/>
      <c r="W816" s="793"/>
      <c r="X816" s="792"/>
      <c r="Y816" s="792"/>
      <c r="Z816" s="792"/>
      <c r="AA816" s="792"/>
    </row>
    <row r="817" spans="1:27" ht="15.75" customHeight="1">
      <c r="A817" s="792"/>
      <c r="B817" s="792"/>
      <c r="C817" s="792"/>
      <c r="D817" s="792"/>
      <c r="E817" s="792"/>
      <c r="F817" s="792"/>
      <c r="G817" s="792"/>
      <c r="H817" s="792"/>
      <c r="I817" s="792"/>
      <c r="J817" s="792"/>
      <c r="K817" s="792"/>
      <c r="L817" s="792"/>
      <c r="M817" s="792"/>
      <c r="N817" s="792"/>
      <c r="O817" s="792"/>
      <c r="P817" s="792"/>
      <c r="Q817" s="1169"/>
      <c r="R817" s="792"/>
      <c r="S817" s="792"/>
      <c r="T817" s="792"/>
      <c r="U817" s="792"/>
      <c r="V817" s="793"/>
      <c r="W817" s="793"/>
      <c r="X817" s="792"/>
      <c r="Y817" s="792"/>
      <c r="Z817" s="792"/>
      <c r="AA817" s="792"/>
    </row>
    <row r="818" spans="1:27" ht="15.75" customHeight="1">
      <c r="A818" s="792"/>
      <c r="B818" s="792"/>
      <c r="C818" s="792"/>
      <c r="D818" s="792"/>
      <c r="E818" s="792"/>
      <c r="F818" s="792"/>
      <c r="G818" s="792"/>
      <c r="H818" s="792"/>
      <c r="I818" s="792"/>
      <c r="J818" s="792"/>
      <c r="K818" s="792"/>
      <c r="L818" s="792"/>
      <c r="M818" s="792"/>
      <c r="N818" s="792"/>
      <c r="O818" s="792"/>
      <c r="P818" s="792"/>
      <c r="Q818" s="1169"/>
      <c r="R818" s="792"/>
      <c r="S818" s="792"/>
      <c r="T818" s="792"/>
      <c r="U818" s="792"/>
      <c r="V818" s="793"/>
      <c r="W818" s="793"/>
      <c r="X818" s="792"/>
      <c r="Y818" s="792"/>
      <c r="Z818" s="792"/>
      <c r="AA818" s="792"/>
    </row>
    <row r="819" spans="1:27" ht="15.75" customHeight="1">
      <c r="A819" s="792"/>
      <c r="B819" s="792"/>
      <c r="C819" s="792"/>
      <c r="D819" s="792"/>
      <c r="E819" s="792"/>
      <c r="F819" s="792"/>
      <c r="G819" s="792"/>
      <c r="H819" s="792"/>
      <c r="I819" s="792"/>
      <c r="J819" s="792"/>
      <c r="K819" s="792"/>
      <c r="L819" s="792"/>
      <c r="M819" s="792"/>
      <c r="N819" s="792"/>
      <c r="O819" s="792"/>
      <c r="P819" s="792"/>
      <c r="Q819" s="1169"/>
      <c r="R819" s="792"/>
      <c r="S819" s="792"/>
      <c r="T819" s="792"/>
      <c r="U819" s="792"/>
      <c r="V819" s="793"/>
      <c r="W819" s="793"/>
      <c r="X819" s="792"/>
      <c r="Y819" s="792"/>
      <c r="Z819" s="792"/>
      <c r="AA819" s="792"/>
    </row>
    <row r="820" spans="1:27" ht="15.75" customHeight="1">
      <c r="A820" s="792"/>
      <c r="B820" s="792"/>
      <c r="C820" s="792"/>
      <c r="D820" s="792"/>
      <c r="E820" s="792"/>
      <c r="F820" s="792"/>
      <c r="G820" s="792"/>
      <c r="H820" s="792"/>
      <c r="I820" s="792"/>
      <c r="J820" s="792"/>
      <c r="K820" s="792"/>
      <c r="L820" s="792"/>
      <c r="M820" s="792"/>
      <c r="N820" s="792"/>
      <c r="O820" s="792"/>
      <c r="P820" s="792"/>
      <c r="Q820" s="1169"/>
      <c r="R820" s="792"/>
      <c r="S820" s="792"/>
      <c r="T820" s="792"/>
      <c r="U820" s="792"/>
      <c r="V820" s="793"/>
      <c r="W820" s="793"/>
      <c r="X820" s="792"/>
      <c r="Y820" s="792"/>
      <c r="Z820" s="792"/>
      <c r="AA820" s="792"/>
    </row>
    <row r="821" spans="1:27" ht="15.75" customHeight="1">
      <c r="A821" s="792"/>
      <c r="B821" s="792"/>
      <c r="C821" s="792"/>
      <c r="D821" s="792"/>
      <c r="E821" s="792"/>
      <c r="F821" s="792"/>
      <c r="G821" s="792"/>
      <c r="H821" s="792"/>
      <c r="I821" s="792"/>
      <c r="J821" s="792"/>
      <c r="K821" s="792"/>
      <c r="L821" s="792"/>
      <c r="M821" s="792"/>
      <c r="N821" s="792"/>
      <c r="O821" s="792"/>
      <c r="P821" s="792"/>
      <c r="Q821" s="1169"/>
      <c r="R821" s="792"/>
      <c r="S821" s="792"/>
      <c r="T821" s="792"/>
      <c r="U821" s="792"/>
      <c r="V821" s="793"/>
      <c r="W821" s="793"/>
      <c r="X821" s="792"/>
      <c r="Y821" s="792"/>
      <c r="Z821" s="792"/>
      <c r="AA821" s="792"/>
    </row>
    <row r="822" spans="1:27" ht="15.75" customHeight="1">
      <c r="A822" s="792"/>
      <c r="B822" s="792"/>
      <c r="C822" s="792"/>
      <c r="D822" s="792"/>
      <c r="E822" s="792"/>
      <c r="F822" s="792"/>
      <c r="G822" s="792"/>
      <c r="H822" s="792"/>
      <c r="I822" s="792"/>
      <c r="J822" s="792"/>
      <c r="K822" s="792"/>
      <c r="L822" s="792"/>
      <c r="M822" s="792"/>
      <c r="N822" s="792"/>
      <c r="O822" s="792"/>
      <c r="P822" s="792"/>
      <c r="Q822" s="1169"/>
      <c r="R822" s="792"/>
      <c r="S822" s="792"/>
      <c r="T822" s="792"/>
      <c r="U822" s="792"/>
      <c r="V822" s="793"/>
      <c r="W822" s="793"/>
      <c r="X822" s="792"/>
      <c r="Y822" s="792"/>
      <c r="Z822" s="792"/>
      <c r="AA822" s="792"/>
    </row>
    <row r="823" spans="1:27" ht="15.75" customHeight="1">
      <c r="A823" s="792"/>
      <c r="B823" s="792"/>
      <c r="C823" s="792"/>
      <c r="D823" s="792"/>
      <c r="E823" s="792"/>
      <c r="F823" s="792"/>
      <c r="G823" s="792"/>
      <c r="H823" s="792"/>
      <c r="I823" s="792"/>
      <c r="J823" s="792"/>
      <c r="K823" s="792"/>
      <c r="L823" s="792"/>
      <c r="M823" s="792"/>
      <c r="N823" s="792"/>
      <c r="O823" s="792"/>
      <c r="P823" s="792"/>
      <c r="Q823" s="1169"/>
      <c r="R823" s="792"/>
      <c r="S823" s="792"/>
      <c r="T823" s="792"/>
      <c r="U823" s="792"/>
      <c r="V823" s="793"/>
      <c r="W823" s="793"/>
      <c r="X823" s="792"/>
      <c r="Y823" s="792"/>
      <c r="Z823" s="792"/>
      <c r="AA823" s="792"/>
    </row>
    <row r="824" spans="1:27" ht="15.75" customHeight="1">
      <c r="A824" s="792"/>
      <c r="B824" s="792"/>
      <c r="C824" s="792"/>
      <c r="D824" s="792"/>
      <c r="E824" s="792"/>
      <c r="F824" s="792"/>
      <c r="G824" s="792"/>
      <c r="H824" s="792"/>
      <c r="I824" s="792"/>
      <c r="J824" s="792"/>
      <c r="K824" s="792"/>
      <c r="L824" s="792"/>
      <c r="M824" s="792"/>
      <c r="N824" s="792"/>
      <c r="O824" s="792"/>
      <c r="P824" s="792"/>
      <c r="Q824" s="1169"/>
      <c r="R824" s="792"/>
      <c r="S824" s="792"/>
      <c r="T824" s="792"/>
      <c r="U824" s="792"/>
      <c r="V824" s="793"/>
      <c r="W824" s="793"/>
      <c r="X824" s="792"/>
      <c r="Y824" s="792"/>
      <c r="Z824" s="792"/>
      <c r="AA824" s="792"/>
    </row>
    <row r="825" spans="1:27" ht="15.75" customHeight="1">
      <c r="A825" s="792"/>
      <c r="B825" s="792"/>
      <c r="C825" s="792"/>
      <c r="D825" s="792"/>
      <c r="E825" s="792"/>
      <c r="F825" s="792"/>
      <c r="G825" s="792"/>
      <c r="H825" s="792"/>
      <c r="I825" s="792"/>
      <c r="J825" s="792"/>
      <c r="K825" s="792"/>
      <c r="L825" s="792"/>
      <c r="M825" s="792"/>
      <c r="N825" s="792"/>
      <c r="O825" s="792"/>
      <c r="P825" s="792"/>
      <c r="Q825" s="1169"/>
      <c r="R825" s="792"/>
      <c r="S825" s="792"/>
      <c r="T825" s="792"/>
      <c r="U825" s="792"/>
      <c r="V825" s="793"/>
      <c r="W825" s="793"/>
      <c r="X825" s="792"/>
      <c r="Y825" s="792"/>
      <c r="Z825" s="792"/>
      <c r="AA825" s="792"/>
    </row>
    <row r="826" spans="1:27" ht="15.75" customHeight="1">
      <c r="A826" s="792"/>
      <c r="B826" s="792"/>
      <c r="C826" s="792"/>
      <c r="D826" s="792"/>
      <c r="E826" s="792"/>
      <c r="F826" s="792"/>
      <c r="G826" s="792"/>
      <c r="H826" s="792"/>
      <c r="I826" s="792"/>
      <c r="J826" s="792"/>
      <c r="K826" s="792"/>
      <c r="L826" s="792"/>
      <c r="M826" s="792"/>
      <c r="N826" s="792"/>
      <c r="O826" s="792"/>
      <c r="P826" s="792"/>
      <c r="Q826" s="1169"/>
      <c r="R826" s="792"/>
      <c r="S826" s="792"/>
      <c r="T826" s="792"/>
      <c r="U826" s="792"/>
      <c r="V826" s="793"/>
      <c r="W826" s="793"/>
      <c r="X826" s="792"/>
      <c r="Y826" s="792"/>
      <c r="Z826" s="792"/>
      <c r="AA826" s="792"/>
    </row>
    <row r="827" spans="1:27" ht="15.75" customHeight="1">
      <c r="A827" s="792"/>
      <c r="B827" s="792"/>
      <c r="C827" s="792"/>
      <c r="D827" s="792"/>
      <c r="E827" s="792"/>
      <c r="F827" s="792"/>
      <c r="G827" s="792"/>
      <c r="H827" s="792"/>
      <c r="I827" s="792"/>
      <c r="J827" s="792"/>
      <c r="K827" s="792"/>
      <c r="L827" s="792"/>
      <c r="M827" s="792"/>
      <c r="N827" s="792"/>
      <c r="O827" s="792"/>
      <c r="P827" s="792"/>
      <c r="Q827" s="1169"/>
      <c r="R827" s="792"/>
      <c r="S827" s="792"/>
      <c r="T827" s="792"/>
      <c r="U827" s="792"/>
      <c r="V827" s="793"/>
      <c r="W827" s="793"/>
      <c r="X827" s="792"/>
      <c r="Y827" s="792"/>
      <c r="Z827" s="792"/>
      <c r="AA827" s="792"/>
    </row>
    <row r="828" spans="1:27" ht="15.75" customHeight="1">
      <c r="A828" s="792"/>
      <c r="B828" s="792"/>
      <c r="C828" s="792"/>
      <c r="D828" s="792"/>
      <c r="E828" s="792"/>
      <c r="F828" s="792"/>
      <c r="G828" s="792"/>
      <c r="H828" s="792"/>
      <c r="I828" s="792"/>
      <c r="J828" s="792"/>
      <c r="K828" s="792"/>
      <c r="L828" s="792"/>
      <c r="M828" s="792"/>
      <c r="N828" s="792"/>
      <c r="O828" s="792"/>
      <c r="P828" s="792"/>
      <c r="Q828" s="1169"/>
      <c r="R828" s="792"/>
      <c r="S828" s="792"/>
      <c r="T828" s="792"/>
      <c r="U828" s="792"/>
      <c r="V828" s="793"/>
      <c r="W828" s="793"/>
      <c r="X828" s="792"/>
      <c r="Y828" s="792"/>
      <c r="Z828" s="792"/>
      <c r="AA828" s="792"/>
    </row>
    <row r="829" spans="1:27" ht="15.75" customHeight="1">
      <c r="A829" s="792"/>
      <c r="B829" s="792"/>
      <c r="C829" s="792"/>
      <c r="D829" s="792"/>
      <c r="E829" s="792"/>
      <c r="F829" s="792"/>
      <c r="G829" s="792"/>
      <c r="H829" s="792"/>
      <c r="I829" s="792"/>
      <c r="J829" s="792"/>
      <c r="K829" s="792"/>
      <c r="L829" s="792"/>
      <c r="M829" s="792"/>
      <c r="N829" s="792"/>
      <c r="O829" s="792"/>
      <c r="P829" s="792"/>
      <c r="Q829" s="1169"/>
      <c r="R829" s="792"/>
      <c r="S829" s="792"/>
      <c r="T829" s="792"/>
      <c r="U829" s="792"/>
      <c r="V829" s="793"/>
      <c r="W829" s="793"/>
      <c r="X829" s="792"/>
      <c r="Y829" s="792"/>
      <c r="Z829" s="792"/>
      <c r="AA829" s="792"/>
    </row>
    <row r="830" spans="1:27" ht="15.75" customHeight="1">
      <c r="A830" s="792"/>
      <c r="B830" s="792"/>
      <c r="C830" s="792"/>
      <c r="D830" s="792"/>
      <c r="E830" s="792"/>
      <c r="F830" s="792"/>
      <c r="G830" s="792"/>
      <c r="H830" s="792"/>
      <c r="I830" s="792"/>
      <c r="J830" s="792"/>
      <c r="K830" s="792"/>
      <c r="L830" s="792"/>
      <c r="M830" s="792"/>
      <c r="N830" s="792"/>
      <c r="O830" s="792"/>
      <c r="P830" s="792"/>
      <c r="Q830" s="1169"/>
      <c r="R830" s="792"/>
      <c r="S830" s="792"/>
      <c r="T830" s="792"/>
      <c r="U830" s="792"/>
      <c r="V830" s="793"/>
      <c r="W830" s="793"/>
      <c r="X830" s="792"/>
      <c r="Y830" s="792"/>
      <c r="Z830" s="792"/>
      <c r="AA830" s="792"/>
    </row>
    <row r="831" spans="1:27" ht="15.75" customHeight="1">
      <c r="A831" s="792"/>
      <c r="B831" s="792"/>
      <c r="C831" s="792"/>
      <c r="D831" s="792"/>
      <c r="E831" s="792"/>
      <c r="F831" s="792"/>
      <c r="G831" s="792"/>
      <c r="H831" s="792"/>
      <c r="I831" s="792"/>
      <c r="J831" s="792"/>
      <c r="K831" s="792"/>
      <c r="L831" s="792"/>
      <c r="M831" s="792"/>
      <c r="N831" s="792"/>
      <c r="O831" s="792"/>
      <c r="P831" s="792"/>
      <c r="Q831" s="1169"/>
      <c r="R831" s="792"/>
      <c r="S831" s="792"/>
      <c r="T831" s="792"/>
      <c r="U831" s="792"/>
      <c r="V831" s="793"/>
      <c r="W831" s="793"/>
      <c r="X831" s="792"/>
      <c r="Y831" s="792"/>
      <c r="Z831" s="792"/>
      <c r="AA831" s="792"/>
    </row>
    <row r="832" spans="1:27" ht="15.75" customHeight="1">
      <c r="A832" s="792"/>
      <c r="B832" s="792"/>
      <c r="C832" s="792"/>
      <c r="D832" s="792"/>
      <c r="E832" s="792"/>
      <c r="F832" s="792"/>
      <c r="G832" s="792"/>
      <c r="H832" s="792"/>
      <c r="I832" s="792"/>
      <c r="J832" s="792"/>
      <c r="K832" s="792"/>
      <c r="L832" s="792"/>
      <c r="M832" s="792"/>
      <c r="N832" s="792"/>
      <c r="O832" s="792"/>
      <c r="P832" s="792"/>
      <c r="Q832" s="1169"/>
      <c r="R832" s="792"/>
      <c r="S832" s="792"/>
      <c r="T832" s="792"/>
      <c r="U832" s="792"/>
      <c r="V832" s="793"/>
      <c r="W832" s="793"/>
      <c r="X832" s="792"/>
      <c r="Y832" s="792"/>
      <c r="Z832" s="792"/>
      <c r="AA832" s="792"/>
    </row>
    <row r="833" spans="1:27" ht="15.75" customHeight="1">
      <c r="A833" s="792"/>
      <c r="B833" s="792"/>
      <c r="C833" s="792"/>
      <c r="D833" s="792"/>
      <c r="E833" s="792"/>
      <c r="F833" s="792"/>
      <c r="G833" s="792"/>
      <c r="H833" s="792"/>
      <c r="I833" s="792"/>
      <c r="J833" s="792"/>
      <c r="K833" s="792"/>
      <c r="L833" s="792"/>
      <c r="M833" s="792"/>
      <c r="N833" s="792"/>
      <c r="O833" s="792"/>
      <c r="P833" s="792"/>
      <c r="Q833" s="1169"/>
      <c r="R833" s="792"/>
      <c r="S833" s="792"/>
      <c r="T833" s="792"/>
      <c r="U833" s="792"/>
      <c r="V833" s="793"/>
      <c r="W833" s="793"/>
      <c r="X833" s="792"/>
      <c r="Y833" s="792"/>
      <c r="Z833" s="792"/>
      <c r="AA833" s="792"/>
    </row>
    <row r="834" spans="1:27" ht="15.75" customHeight="1">
      <c r="A834" s="792"/>
      <c r="B834" s="792"/>
      <c r="C834" s="792"/>
      <c r="D834" s="792"/>
      <c r="E834" s="792"/>
      <c r="F834" s="792"/>
      <c r="G834" s="792"/>
      <c r="H834" s="792"/>
      <c r="I834" s="792"/>
      <c r="J834" s="792"/>
      <c r="K834" s="792"/>
      <c r="L834" s="792"/>
      <c r="M834" s="792"/>
      <c r="N834" s="792"/>
      <c r="O834" s="792"/>
      <c r="P834" s="792"/>
      <c r="Q834" s="1169"/>
      <c r="R834" s="792"/>
      <c r="S834" s="792"/>
      <c r="T834" s="792"/>
      <c r="U834" s="792"/>
      <c r="V834" s="793"/>
      <c r="W834" s="793"/>
      <c r="X834" s="792"/>
      <c r="Y834" s="792"/>
      <c r="Z834" s="792"/>
      <c r="AA834" s="792"/>
    </row>
    <row r="835" spans="1:27" ht="15.75" customHeight="1">
      <c r="A835" s="792"/>
      <c r="B835" s="792"/>
      <c r="C835" s="792"/>
      <c r="D835" s="792"/>
      <c r="E835" s="792"/>
      <c r="F835" s="792"/>
      <c r="G835" s="792"/>
      <c r="H835" s="792"/>
      <c r="I835" s="792"/>
      <c r="J835" s="792"/>
      <c r="K835" s="792"/>
      <c r="L835" s="792"/>
      <c r="M835" s="792"/>
      <c r="N835" s="792"/>
      <c r="O835" s="792"/>
      <c r="P835" s="792"/>
      <c r="Q835" s="1169"/>
      <c r="R835" s="792"/>
      <c r="S835" s="792"/>
      <c r="T835" s="792"/>
      <c r="U835" s="792"/>
      <c r="V835" s="793"/>
      <c r="W835" s="793"/>
      <c r="X835" s="792"/>
      <c r="Y835" s="792"/>
      <c r="Z835" s="792"/>
      <c r="AA835" s="792"/>
    </row>
    <row r="836" spans="1:27" ht="15.75" customHeight="1">
      <c r="A836" s="792"/>
      <c r="B836" s="792"/>
      <c r="C836" s="792"/>
      <c r="D836" s="792"/>
      <c r="E836" s="792"/>
      <c r="F836" s="792"/>
      <c r="G836" s="792"/>
      <c r="H836" s="792"/>
      <c r="I836" s="792"/>
      <c r="J836" s="792"/>
      <c r="K836" s="792"/>
      <c r="L836" s="792"/>
      <c r="M836" s="792"/>
      <c r="N836" s="792"/>
      <c r="O836" s="792"/>
      <c r="P836" s="792"/>
      <c r="Q836" s="1169"/>
      <c r="R836" s="792"/>
      <c r="S836" s="792"/>
      <c r="T836" s="792"/>
      <c r="U836" s="792"/>
      <c r="V836" s="793"/>
      <c r="W836" s="793"/>
      <c r="X836" s="792"/>
      <c r="Y836" s="792"/>
      <c r="Z836" s="792"/>
      <c r="AA836" s="792"/>
    </row>
    <row r="837" spans="1:27" ht="15.75" customHeight="1">
      <c r="A837" s="792"/>
      <c r="B837" s="792"/>
      <c r="C837" s="792"/>
      <c r="D837" s="792"/>
      <c r="E837" s="792"/>
      <c r="F837" s="792"/>
      <c r="G837" s="792"/>
      <c r="H837" s="792"/>
      <c r="I837" s="792"/>
      <c r="J837" s="792"/>
      <c r="K837" s="792"/>
      <c r="L837" s="792"/>
      <c r="M837" s="792"/>
      <c r="N837" s="792"/>
      <c r="O837" s="792"/>
      <c r="P837" s="792"/>
      <c r="Q837" s="1169"/>
      <c r="R837" s="792"/>
      <c r="S837" s="792"/>
      <c r="T837" s="792"/>
      <c r="U837" s="792"/>
      <c r="V837" s="793"/>
      <c r="W837" s="793"/>
      <c r="X837" s="792"/>
      <c r="Y837" s="792"/>
      <c r="Z837" s="792"/>
      <c r="AA837" s="792"/>
    </row>
    <row r="838" spans="1:27" ht="15.75" customHeight="1">
      <c r="A838" s="792"/>
      <c r="B838" s="792"/>
      <c r="C838" s="792"/>
      <c r="D838" s="792"/>
      <c r="E838" s="792"/>
      <c r="F838" s="792"/>
      <c r="G838" s="792"/>
      <c r="H838" s="792"/>
      <c r="I838" s="792"/>
      <c r="J838" s="792"/>
      <c r="K838" s="792"/>
      <c r="L838" s="792"/>
      <c r="M838" s="792"/>
      <c r="N838" s="792"/>
      <c r="O838" s="792"/>
      <c r="P838" s="792"/>
      <c r="Q838" s="1169"/>
      <c r="R838" s="792"/>
      <c r="S838" s="792"/>
      <c r="T838" s="792"/>
      <c r="U838" s="792"/>
      <c r="V838" s="793"/>
      <c r="W838" s="793"/>
      <c r="X838" s="792"/>
      <c r="Y838" s="792"/>
      <c r="Z838" s="792"/>
      <c r="AA838" s="792"/>
    </row>
    <row r="839" spans="1:27" ht="15.75" customHeight="1">
      <c r="A839" s="792"/>
      <c r="B839" s="792"/>
      <c r="C839" s="792"/>
      <c r="D839" s="792"/>
      <c r="E839" s="792"/>
      <c r="F839" s="792"/>
      <c r="G839" s="792"/>
      <c r="H839" s="792"/>
      <c r="I839" s="792"/>
      <c r="J839" s="792"/>
      <c r="K839" s="792"/>
      <c r="L839" s="792"/>
      <c r="M839" s="792"/>
      <c r="N839" s="792"/>
      <c r="O839" s="792"/>
      <c r="P839" s="792"/>
      <c r="Q839" s="1169"/>
      <c r="R839" s="792"/>
      <c r="S839" s="792"/>
      <c r="T839" s="792"/>
      <c r="U839" s="792"/>
      <c r="V839" s="793"/>
      <c r="W839" s="793"/>
      <c r="X839" s="792"/>
      <c r="Y839" s="792"/>
      <c r="Z839" s="792"/>
      <c r="AA839" s="792"/>
    </row>
    <row r="840" spans="1:27" ht="15.75" customHeight="1">
      <c r="A840" s="792"/>
      <c r="B840" s="792"/>
      <c r="C840" s="792"/>
      <c r="D840" s="792"/>
      <c r="E840" s="792"/>
      <c r="F840" s="792"/>
      <c r="G840" s="792"/>
      <c r="H840" s="792"/>
      <c r="I840" s="792"/>
      <c r="J840" s="792"/>
      <c r="K840" s="792"/>
      <c r="L840" s="792"/>
      <c r="M840" s="792"/>
      <c r="N840" s="792"/>
      <c r="O840" s="792"/>
      <c r="P840" s="792"/>
      <c r="Q840" s="1169"/>
      <c r="R840" s="792"/>
      <c r="S840" s="792"/>
      <c r="T840" s="792"/>
      <c r="U840" s="792"/>
      <c r="V840" s="793"/>
      <c r="W840" s="793"/>
      <c r="X840" s="792"/>
      <c r="Y840" s="792"/>
      <c r="Z840" s="792"/>
      <c r="AA840" s="792"/>
    </row>
    <row r="841" spans="1:27" ht="15.75" customHeight="1">
      <c r="A841" s="792"/>
      <c r="B841" s="792"/>
      <c r="C841" s="792"/>
      <c r="D841" s="792"/>
      <c r="E841" s="792"/>
      <c r="F841" s="792"/>
      <c r="G841" s="792"/>
      <c r="H841" s="792"/>
      <c r="I841" s="792"/>
      <c r="J841" s="792"/>
      <c r="K841" s="792"/>
      <c r="L841" s="792"/>
      <c r="M841" s="792"/>
      <c r="N841" s="792"/>
      <c r="O841" s="792"/>
      <c r="P841" s="792"/>
      <c r="Q841" s="1169"/>
      <c r="R841" s="792"/>
      <c r="S841" s="792"/>
      <c r="T841" s="792"/>
      <c r="U841" s="792"/>
      <c r="V841" s="793"/>
      <c r="W841" s="793"/>
      <c r="X841" s="792"/>
      <c r="Y841" s="792"/>
      <c r="Z841" s="792"/>
      <c r="AA841" s="792"/>
    </row>
    <row r="842" spans="1:27" ht="15.75" customHeight="1">
      <c r="A842" s="792"/>
      <c r="B842" s="792"/>
      <c r="C842" s="792"/>
      <c r="D842" s="792"/>
      <c r="E842" s="792"/>
      <c r="F842" s="792"/>
      <c r="G842" s="792"/>
      <c r="H842" s="792"/>
      <c r="I842" s="792"/>
      <c r="J842" s="792"/>
      <c r="K842" s="792"/>
      <c r="L842" s="792"/>
      <c r="M842" s="792"/>
      <c r="N842" s="792"/>
      <c r="O842" s="792"/>
      <c r="P842" s="792"/>
      <c r="Q842" s="1169"/>
      <c r="R842" s="792"/>
      <c r="S842" s="792"/>
      <c r="T842" s="792"/>
      <c r="U842" s="792"/>
      <c r="V842" s="793"/>
      <c r="W842" s="793"/>
      <c r="X842" s="792"/>
      <c r="Y842" s="792"/>
      <c r="Z842" s="792"/>
      <c r="AA842" s="792"/>
    </row>
    <row r="843" spans="1:27" ht="15.75" customHeight="1">
      <c r="A843" s="792"/>
      <c r="B843" s="792"/>
      <c r="C843" s="792"/>
      <c r="D843" s="792"/>
      <c r="E843" s="792"/>
      <c r="F843" s="792"/>
      <c r="G843" s="792"/>
      <c r="H843" s="792"/>
      <c r="I843" s="792"/>
      <c r="J843" s="792"/>
      <c r="K843" s="792"/>
      <c r="L843" s="792"/>
      <c r="M843" s="792"/>
      <c r="N843" s="792"/>
      <c r="O843" s="792"/>
      <c r="P843" s="792"/>
      <c r="Q843" s="1169"/>
      <c r="R843" s="792"/>
      <c r="S843" s="792"/>
      <c r="T843" s="792"/>
      <c r="U843" s="792"/>
      <c r="V843" s="793"/>
      <c r="W843" s="793"/>
      <c r="X843" s="792"/>
      <c r="Y843" s="792"/>
      <c r="Z843" s="792"/>
      <c r="AA843" s="792"/>
    </row>
    <row r="844" spans="1:27" ht="15.75" customHeight="1">
      <c r="A844" s="792"/>
      <c r="B844" s="792"/>
      <c r="C844" s="792"/>
      <c r="D844" s="792"/>
      <c r="E844" s="792"/>
      <c r="F844" s="792"/>
      <c r="G844" s="792"/>
      <c r="H844" s="792"/>
      <c r="I844" s="792"/>
      <c r="J844" s="792"/>
      <c r="K844" s="792"/>
      <c r="L844" s="792"/>
      <c r="M844" s="792"/>
      <c r="N844" s="792"/>
      <c r="O844" s="792"/>
      <c r="P844" s="792"/>
      <c r="Q844" s="1169"/>
      <c r="R844" s="792"/>
      <c r="S844" s="792"/>
      <c r="T844" s="792"/>
      <c r="U844" s="792"/>
      <c r="V844" s="793"/>
      <c r="W844" s="793"/>
      <c r="X844" s="792"/>
      <c r="Y844" s="792"/>
      <c r="Z844" s="792"/>
      <c r="AA844" s="792"/>
    </row>
    <row r="845" spans="1:27" ht="15.75" customHeight="1">
      <c r="A845" s="792"/>
      <c r="B845" s="792"/>
      <c r="C845" s="792"/>
      <c r="D845" s="792"/>
      <c r="E845" s="792"/>
      <c r="F845" s="792"/>
      <c r="G845" s="792"/>
      <c r="H845" s="792"/>
      <c r="I845" s="792"/>
      <c r="J845" s="792"/>
      <c r="K845" s="792"/>
      <c r="L845" s="792"/>
      <c r="M845" s="792"/>
      <c r="N845" s="792"/>
      <c r="O845" s="792"/>
      <c r="P845" s="792"/>
      <c r="Q845" s="1169"/>
      <c r="R845" s="792"/>
      <c r="S845" s="792"/>
      <c r="T845" s="792"/>
      <c r="U845" s="792"/>
      <c r="V845" s="793"/>
      <c r="W845" s="793"/>
      <c r="X845" s="792"/>
      <c r="Y845" s="792"/>
      <c r="Z845" s="792"/>
      <c r="AA845" s="792"/>
    </row>
    <row r="846" spans="1:27" ht="15.75" customHeight="1">
      <c r="A846" s="792"/>
      <c r="B846" s="792"/>
      <c r="C846" s="792"/>
      <c r="D846" s="792"/>
      <c r="E846" s="792"/>
      <c r="F846" s="792"/>
      <c r="G846" s="792"/>
      <c r="H846" s="792"/>
      <c r="I846" s="792"/>
      <c r="J846" s="792"/>
      <c r="K846" s="792"/>
      <c r="L846" s="792"/>
      <c r="M846" s="792"/>
      <c r="N846" s="792"/>
      <c r="O846" s="792"/>
      <c r="P846" s="792"/>
      <c r="Q846" s="1169"/>
      <c r="R846" s="792"/>
      <c r="S846" s="792"/>
      <c r="T846" s="792"/>
      <c r="U846" s="792"/>
      <c r="V846" s="793"/>
      <c r="W846" s="793"/>
      <c r="X846" s="792"/>
      <c r="Y846" s="792"/>
      <c r="Z846" s="792"/>
      <c r="AA846" s="792"/>
    </row>
    <row r="847" spans="1:27" ht="15.75" customHeight="1">
      <c r="A847" s="792"/>
      <c r="B847" s="792"/>
      <c r="C847" s="792"/>
      <c r="D847" s="792"/>
      <c r="E847" s="792"/>
      <c r="F847" s="792"/>
      <c r="G847" s="792"/>
      <c r="H847" s="792"/>
      <c r="I847" s="792"/>
      <c r="J847" s="792"/>
      <c r="K847" s="792"/>
      <c r="L847" s="792"/>
      <c r="M847" s="792"/>
      <c r="N847" s="792"/>
      <c r="O847" s="792"/>
      <c r="P847" s="792"/>
      <c r="Q847" s="1169"/>
      <c r="R847" s="792"/>
      <c r="S847" s="792"/>
      <c r="T847" s="792"/>
      <c r="U847" s="792"/>
      <c r="V847" s="793"/>
      <c r="W847" s="793"/>
      <c r="X847" s="792"/>
      <c r="Y847" s="792"/>
      <c r="Z847" s="792"/>
      <c r="AA847" s="792"/>
    </row>
    <row r="848" spans="1:27" ht="15.75" customHeight="1">
      <c r="A848" s="792"/>
      <c r="B848" s="792"/>
      <c r="C848" s="792"/>
      <c r="D848" s="792"/>
      <c r="E848" s="792"/>
      <c r="F848" s="792"/>
      <c r="G848" s="792"/>
      <c r="H848" s="792"/>
      <c r="I848" s="792"/>
      <c r="J848" s="792"/>
      <c r="K848" s="792"/>
      <c r="L848" s="792"/>
      <c r="M848" s="792"/>
      <c r="N848" s="792"/>
      <c r="O848" s="792"/>
      <c r="P848" s="792"/>
      <c r="Q848" s="1169"/>
      <c r="R848" s="792"/>
      <c r="S848" s="792"/>
      <c r="T848" s="792"/>
      <c r="U848" s="792"/>
      <c r="V848" s="793"/>
      <c r="W848" s="793"/>
      <c r="X848" s="792"/>
      <c r="Y848" s="792"/>
      <c r="Z848" s="792"/>
      <c r="AA848" s="792"/>
    </row>
    <row r="849" spans="1:27" ht="15.75" customHeight="1">
      <c r="A849" s="792"/>
      <c r="B849" s="792"/>
      <c r="C849" s="792"/>
      <c r="D849" s="792"/>
      <c r="E849" s="792"/>
      <c r="F849" s="792"/>
      <c r="G849" s="792"/>
      <c r="H849" s="792"/>
      <c r="I849" s="792"/>
      <c r="J849" s="792"/>
      <c r="K849" s="792"/>
      <c r="L849" s="792"/>
      <c r="M849" s="792"/>
      <c r="N849" s="792"/>
      <c r="O849" s="792"/>
      <c r="P849" s="792"/>
      <c r="Q849" s="1169"/>
      <c r="R849" s="792"/>
      <c r="S849" s="792"/>
      <c r="T849" s="792"/>
      <c r="U849" s="792"/>
      <c r="V849" s="793"/>
      <c r="W849" s="793"/>
      <c r="X849" s="792"/>
      <c r="Y849" s="792"/>
      <c r="Z849" s="792"/>
      <c r="AA849" s="792"/>
    </row>
    <row r="850" spans="1:27" ht="15.75" customHeight="1">
      <c r="A850" s="792"/>
      <c r="B850" s="792"/>
      <c r="C850" s="792"/>
      <c r="D850" s="792"/>
      <c r="E850" s="792"/>
      <c r="F850" s="792"/>
      <c r="G850" s="792"/>
      <c r="H850" s="792"/>
      <c r="I850" s="792"/>
      <c r="J850" s="792"/>
      <c r="K850" s="792"/>
      <c r="L850" s="792"/>
      <c r="M850" s="792"/>
      <c r="N850" s="792"/>
      <c r="O850" s="792"/>
      <c r="P850" s="792"/>
      <c r="Q850" s="1169"/>
      <c r="R850" s="792"/>
      <c r="S850" s="792"/>
      <c r="T850" s="792"/>
      <c r="U850" s="792"/>
      <c r="V850" s="793"/>
      <c r="W850" s="793"/>
      <c r="X850" s="792"/>
      <c r="Y850" s="792"/>
      <c r="Z850" s="792"/>
      <c r="AA850" s="792"/>
    </row>
    <row r="851" spans="1:27" ht="15.75" customHeight="1">
      <c r="A851" s="792"/>
      <c r="B851" s="792"/>
      <c r="C851" s="792"/>
      <c r="D851" s="792"/>
      <c r="E851" s="792"/>
      <c r="F851" s="792"/>
      <c r="G851" s="792"/>
      <c r="H851" s="792"/>
      <c r="I851" s="792"/>
      <c r="J851" s="792"/>
      <c r="K851" s="792"/>
      <c r="L851" s="792"/>
      <c r="M851" s="792"/>
      <c r="N851" s="792"/>
      <c r="O851" s="792"/>
      <c r="P851" s="792"/>
      <c r="Q851" s="1169"/>
      <c r="R851" s="792"/>
      <c r="S851" s="792"/>
      <c r="T851" s="792"/>
      <c r="U851" s="792"/>
      <c r="V851" s="793"/>
      <c r="W851" s="793"/>
      <c r="X851" s="792"/>
      <c r="Y851" s="792"/>
      <c r="Z851" s="792"/>
      <c r="AA851" s="792"/>
    </row>
    <row r="852" spans="1:27" ht="15.75" customHeight="1">
      <c r="A852" s="792"/>
      <c r="B852" s="792"/>
      <c r="C852" s="792"/>
      <c r="D852" s="792"/>
      <c r="E852" s="792"/>
      <c r="F852" s="792"/>
      <c r="G852" s="792"/>
      <c r="H852" s="792"/>
      <c r="I852" s="792"/>
      <c r="J852" s="792"/>
      <c r="K852" s="792"/>
      <c r="L852" s="792"/>
      <c r="M852" s="792"/>
      <c r="N852" s="792"/>
      <c r="O852" s="792"/>
      <c r="P852" s="792"/>
      <c r="Q852" s="1169"/>
      <c r="R852" s="792"/>
      <c r="S852" s="792"/>
      <c r="T852" s="792"/>
      <c r="U852" s="792"/>
      <c r="V852" s="793"/>
      <c r="W852" s="793"/>
      <c r="X852" s="792"/>
      <c r="Y852" s="792"/>
      <c r="Z852" s="792"/>
      <c r="AA852" s="792"/>
    </row>
    <row r="853" spans="1:27" ht="15.75" customHeight="1">
      <c r="A853" s="792"/>
      <c r="B853" s="792"/>
      <c r="C853" s="792"/>
      <c r="D853" s="792"/>
      <c r="E853" s="792"/>
      <c r="F853" s="792"/>
      <c r="G853" s="792"/>
      <c r="H853" s="792"/>
      <c r="I853" s="792"/>
      <c r="J853" s="792"/>
      <c r="K853" s="792"/>
      <c r="L853" s="792"/>
      <c r="M853" s="792"/>
      <c r="N853" s="792"/>
      <c r="O853" s="792"/>
      <c r="P853" s="792"/>
      <c r="Q853" s="1169"/>
      <c r="R853" s="792"/>
      <c r="S853" s="792"/>
      <c r="T853" s="792"/>
      <c r="U853" s="792"/>
      <c r="V853" s="793"/>
      <c r="W853" s="793"/>
      <c r="X853" s="792"/>
      <c r="Y853" s="792"/>
      <c r="Z853" s="792"/>
      <c r="AA853" s="792"/>
    </row>
    <row r="854" spans="1:27" ht="15.75" customHeight="1">
      <c r="A854" s="792"/>
      <c r="B854" s="792"/>
      <c r="C854" s="792"/>
      <c r="D854" s="792"/>
      <c r="E854" s="792"/>
      <c r="F854" s="792"/>
      <c r="G854" s="792"/>
      <c r="H854" s="792"/>
      <c r="I854" s="792"/>
      <c r="J854" s="792"/>
      <c r="K854" s="792"/>
      <c r="L854" s="792"/>
      <c r="M854" s="792"/>
      <c r="N854" s="792"/>
      <c r="O854" s="792"/>
      <c r="P854" s="792"/>
      <c r="Q854" s="1169"/>
      <c r="R854" s="792"/>
      <c r="S854" s="792"/>
      <c r="T854" s="792"/>
      <c r="U854" s="792"/>
      <c r="V854" s="793"/>
      <c r="W854" s="793"/>
      <c r="X854" s="792"/>
      <c r="Y854" s="792"/>
      <c r="Z854" s="792"/>
      <c r="AA854" s="792"/>
    </row>
    <row r="855" spans="1:27" ht="15.75" customHeight="1">
      <c r="A855" s="792"/>
      <c r="B855" s="792"/>
      <c r="C855" s="792"/>
      <c r="D855" s="792"/>
      <c r="E855" s="792"/>
      <c r="F855" s="792"/>
      <c r="G855" s="792"/>
      <c r="H855" s="792"/>
      <c r="I855" s="792"/>
      <c r="J855" s="792"/>
      <c r="K855" s="792"/>
      <c r="L855" s="792"/>
      <c r="M855" s="792"/>
      <c r="N855" s="792"/>
      <c r="O855" s="792"/>
      <c r="P855" s="792"/>
      <c r="Q855" s="1169"/>
      <c r="R855" s="792"/>
      <c r="S855" s="792"/>
      <c r="T855" s="792"/>
      <c r="U855" s="792"/>
      <c r="V855" s="793"/>
      <c r="W855" s="793"/>
      <c r="X855" s="792"/>
      <c r="Y855" s="792"/>
      <c r="Z855" s="792"/>
      <c r="AA855" s="792"/>
    </row>
    <row r="856" spans="1:27" ht="15.75" customHeight="1">
      <c r="A856" s="792"/>
      <c r="B856" s="792"/>
      <c r="C856" s="792"/>
      <c r="D856" s="792"/>
      <c r="E856" s="792"/>
      <c r="F856" s="792"/>
      <c r="G856" s="792"/>
      <c r="H856" s="792"/>
      <c r="I856" s="792"/>
      <c r="J856" s="792"/>
      <c r="K856" s="792"/>
      <c r="L856" s="792"/>
      <c r="M856" s="792"/>
      <c r="N856" s="792"/>
      <c r="O856" s="792"/>
      <c r="P856" s="792"/>
      <c r="Q856" s="1169"/>
      <c r="R856" s="792"/>
      <c r="S856" s="792"/>
      <c r="T856" s="792"/>
      <c r="U856" s="792"/>
      <c r="V856" s="793"/>
      <c r="W856" s="793"/>
      <c r="X856" s="792"/>
      <c r="Y856" s="792"/>
      <c r="Z856" s="792"/>
      <c r="AA856" s="792"/>
    </row>
    <row r="857" spans="1:27" ht="15.75" customHeight="1">
      <c r="A857" s="792"/>
      <c r="B857" s="792"/>
      <c r="C857" s="792"/>
      <c r="D857" s="792"/>
      <c r="E857" s="792"/>
      <c r="F857" s="792"/>
      <c r="G857" s="792"/>
      <c r="H857" s="792"/>
      <c r="I857" s="792"/>
      <c r="J857" s="792"/>
      <c r="K857" s="792"/>
      <c r="L857" s="792"/>
      <c r="M857" s="792"/>
      <c r="N857" s="792"/>
      <c r="O857" s="792"/>
      <c r="P857" s="792"/>
      <c r="Q857" s="1169"/>
      <c r="R857" s="792"/>
      <c r="S857" s="792"/>
      <c r="T857" s="792"/>
      <c r="U857" s="792"/>
      <c r="V857" s="793"/>
      <c r="W857" s="793"/>
      <c r="X857" s="792"/>
      <c r="Y857" s="792"/>
      <c r="Z857" s="792"/>
      <c r="AA857" s="792"/>
    </row>
    <row r="858" spans="1:27" ht="15.75" customHeight="1">
      <c r="A858" s="792"/>
      <c r="B858" s="792"/>
      <c r="C858" s="792"/>
      <c r="D858" s="792"/>
      <c r="E858" s="792"/>
      <c r="F858" s="792"/>
      <c r="G858" s="792"/>
      <c r="H858" s="792"/>
      <c r="I858" s="792"/>
      <c r="J858" s="792"/>
      <c r="K858" s="792"/>
      <c r="L858" s="792"/>
      <c r="M858" s="792"/>
      <c r="N858" s="792"/>
      <c r="O858" s="792"/>
      <c r="P858" s="792"/>
      <c r="Q858" s="1169"/>
      <c r="R858" s="792"/>
      <c r="S858" s="792"/>
      <c r="T858" s="792"/>
      <c r="U858" s="792"/>
      <c r="V858" s="793"/>
      <c r="W858" s="793"/>
      <c r="X858" s="792"/>
      <c r="Y858" s="792"/>
      <c r="Z858" s="792"/>
      <c r="AA858" s="792"/>
    </row>
    <row r="859" spans="1:27" ht="15.75" customHeight="1">
      <c r="A859" s="792"/>
      <c r="B859" s="792"/>
      <c r="C859" s="792"/>
      <c r="D859" s="792"/>
      <c r="E859" s="792"/>
      <c r="F859" s="792"/>
      <c r="G859" s="792"/>
      <c r="H859" s="792"/>
      <c r="I859" s="792"/>
      <c r="J859" s="792"/>
      <c r="K859" s="792"/>
      <c r="L859" s="792"/>
      <c r="M859" s="792"/>
      <c r="N859" s="792"/>
      <c r="O859" s="792"/>
      <c r="P859" s="792"/>
      <c r="Q859" s="1169"/>
      <c r="R859" s="792"/>
      <c r="S859" s="792"/>
      <c r="T859" s="792"/>
      <c r="U859" s="792"/>
      <c r="V859" s="793"/>
      <c r="W859" s="793"/>
      <c r="X859" s="792"/>
      <c r="Y859" s="792"/>
      <c r="Z859" s="792"/>
      <c r="AA859" s="792"/>
    </row>
    <row r="860" spans="1:27" ht="15.75" customHeight="1">
      <c r="A860" s="792"/>
      <c r="B860" s="792"/>
      <c r="C860" s="792"/>
      <c r="D860" s="792"/>
      <c r="E860" s="792"/>
      <c r="F860" s="792"/>
      <c r="G860" s="792"/>
      <c r="H860" s="792"/>
      <c r="I860" s="792"/>
      <c r="J860" s="792"/>
      <c r="K860" s="792"/>
      <c r="L860" s="792"/>
      <c r="M860" s="792"/>
      <c r="N860" s="792"/>
      <c r="O860" s="792"/>
      <c r="P860" s="792"/>
      <c r="Q860" s="1169"/>
      <c r="R860" s="792"/>
      <c r="S860" s="792"/>
      <c r="T860" s="792"/>
      <c r="U860" s="792"/>
      <c r="V860" s="793"/>
      <c r="W860" s="793"/>
      <c r="X860" s="792"/>
      <c r="Y860" s="792"/>
      <c r="Z860" s="792"/>
      <c r="AA860" s="792"/>
    </row>
    <row r="861" spans="1:27" ht="15.75" customHeight="1">
      <c r="A861" s="792"/>
      <c r="B861" s="792"/>
      <c r="C861" s="792"/>
      <c r="D861" s="792"/>
      <c r="E861" s="792"/>
      <c r="F861" s="792"/>
      <c r="G861" s="792"/>
      <c r="H861" s="792"/>
      <c r="I861" s="792"/>
      <c r="J861" s="792"/>
      <c r="K861" s="792"/>
      <c r="L861" s="792"/>
      <c r="M861" s="792"/>
      <c r="N861" s="792"/>
      <c r="O861" s="792"/>
      <c r="P861" s="792"/>
      <c r="Q861" s="1169"/>
      <c r="R861" s="792"/>
      <c r="S861" s="792"/>
      <c r="T861" s="792"/>
      <c r="U861" s="792"/>
      <c r="V861" s="793"/>
      <c r="W861" s="793"/>
      <c r="X861" s="792"/>
      <c r="Y861" s="792"/>
      <c r="Z861" s="792"/>
      <c r="AA861" s="792"/>
    </row>
    <row r="862" spans="1:27" ht="15.75" customHeight="1">
      <c r="A862" s="792"/>
      <c r="B862" s="792"/>
      <c r="C862" s="792"/>
      <c r="D862" s="792"/>
      <c r="E862" s="792"/>
      <c r="F862" s="792"/>
      <c r="G862" s="792"/>
      <c r="H862" s="792"/>
      <c r="I862" s="792"/>
      <c r="J862" s="792"/>
      <c r="K862" s="792"/>
      <c r="L862" s="792"/>
      <c r="M862" s="792"/>
      <c r="N862" s="792"/>
      <c r="O862" s="792"/>
      <c r="P862" s="792"/>
      <c r="Q862" s="1169"/>
      <c r="R862" s="792"/>
      <c r="S862" s="792"/>
      <c r="T862" s="792"/>
      <c r="U862" s="792"/>
      <c r="V862" s="793"/>
      <c r="W862" s="793"/>
      <c r="X862" s="792"/>
      <c r="Y862" s="792"/>
      <c r="Z862" s="792"/>
      <c r="AA862" s="792"/>
    </row>
    <row r="863" spans="1:27" ht="15.75" customHeight="1">
      <c r="A863" s="792"/>
      <c r="B863" s="792"/>
      <c r="C863" s="792"/>
      <c r="D863" s="792"/>
      <c r="E863" s="792"/>
      <c r="F863" s="792"/>
      <c r="G863" s="792"/>
      <c r="H863" s="792"/>
      <c r="I863" s="792"/>
      <c r="J863" s="792"/>
      <c r="K863" s="792"/>
      <c r="L863" s="792"/>
      <c r="M863" s="792"/>
      <c r="N863" s="792"/>
      <c r="O863" s="792"/>
      <c r="P863" s="792"/>
      <c r="Q863" s="1169"/>
      <c r="R863" s="792"/>
      <c r="S863" s="792"/>
      <c r="T863" s="792"/>
      <c r="U863" s="792"/>
      <c r="V863" s="793"/>
      <c r="W863" s="793"/>
      <c r="X863" s="792"/>
      <c r="Y863" s="792"/>
      <c r="Z863" s="792"/>
      <c r="AA863" s="792"/>
    </row>
    <row r="864" spans="1:27" ht="15.75" customHeight="1">
      <c r="A864" s="792"/>
      <c r="B864" s="792"/>
      <c r="C864" s="792"/>
      <c r="D864" s="792"/>
      <c r="E864" s="792"/>
      <c r="F864" s="792"/>
      <c r="G864" s="792"/>
      <c r="H864" s="792"/>
      <c r="I864" s="792"/>
      <c r="J864" s="792"/>
      <c r="K864" s="792"/>
      <c r="L864" s="792"/>
      <c r="M864" s="792"/>
      <c r="N864" s="792"/>
      <c r="O864" s="792"/>
      <c r="P864" s="792"/>
      <c r="Q864" s="1169"/>
      <c r="R864" s="792"/>
      <c r="S864" s="792"/>
      <c r="T864" s="792"/>
      <c r="U864" s="792"/>
      <c r="V864" s="793"/>
      <c r="W864" s="793"/>
      <c r="X864" s="792"/>
      <c r="Y864" s="792"/>
      <c r="Z864" s="792"/>
      <c r="AA864" s="792"/>
    </row>
    <row r="865" spans="1:27" ht="15.75" customHeight="1">
      <c r="A865" s="792"/>
      <c r="B865" s="792"/>
      <c r="C865" s="792"/>
      <c r="D865" s="792"/>
      <c r="E865" s="792"/>
      <c r="F865" s="792"/>
      <c r="G865" s="792"/>
      <c r="H865" s="792"/>
      <c r="I865" s="792"/>
      <c r="J865" s="792"/>
      <c r="K865" s="792"/>
      <c r="L865" s="792"/>
      <c r="M865" s="792"/>
      <c r="N865" s="792"/>
      <c r="O865" s="792"/>
      <c r="P865" s="792"/>
      <c r="Q865" s="1169"/>
      <c r="R865" s="792"/>
      <c r="S865" s="792"/>
      <c r="T865" s="792"/>
      <c r="U865" s="792"/>
      <c r="V865" s="793"/>
      <c r="W865" s="793"/>
      <c r="X865" s="792"/>
      <c r="Y865" s="792"/>
      <c r="Z865" s="792"/>
      <c r="AA865" s="792"/>
    </row>
    <row r="866" spans="1:27" ht="15.75" customHeight="1">
      <c r="A866" s="792"/>
      <c r="B866" s="792"/>
      <c r="C866" s="792"/>
      <c r="D866" s="792"/>
      <c r="E866" s="792"/>
      <c r="F866" s="792"/>
      <c r="G866" s="792"/>
      <c r="H866" s="792"/>
      <c r="I866" s="792"/>
      <c r="J866" s="792"/>
      <c r="K866" s="792"/>
      <c r="L866" s="792"/>
      <c r="M866" s="792"/>
      <c r="N866" s="792"/>
      <c r="O866" s="792"/>
      <c r="P866" s="792"/>
      <c r="Q866" s="1169"/>
      <c r="R866" s="792"/>
      <c r="S866" s="792"/>
      <c r="T866" s="792"/>
      <c r="U866" s="792"/>
      <c r="V866" s="793"/>
      <c r="W866" s="793"/>
      <c r="X866" s="792"/>
      <c r="Y866" s="792"/>
      <c r="Z866" s="792"/>
      <c r="AA866" s="792"/>
    </row>
    <row r="867" spans="1:27" ht="15.75" customHeight="1">
      <c r="A867" s="792"/>
      <c r="B867" s="792"/>
      <c r="C867" s="792"/>
      <c r="D867" s="792"/>
      <c r="E867" s="792"/>
      <c r="F867" s="792"/>
      <c r="G867" s="792"/>
      <c r="H867" s="792"/>
      <c r="I867" s="792"/>
      <c r="J867" s="792"/>
      <c r="K867" s="792"/>
      <c r="L867" s="792"/>
      <c r="M867" s="792"/>
      <c r="N867" s="792"/>
      <c r="O867" s="792"/>
      <c r="P867" s="792"/>
      <c r="Q867" s="1169"/>
      <c r="R867" s="792"/>
      <c r="S867" s="792"/>
      <c r="T867" s="792"/>
      <c r="U867" s="792"/>
      <c r="V867" s="793"/>
      <c r="W867" s="793"/>
      <c r="X867" s="792"/>
      <c r="Y867" s="792"/>
      <c r="Z867" s="792"/>
      <c r="AA867" s="792"/>
    </row>
    <row r="868" spans="1:27" ht="15.75" customHeight="1">
      <c r="A868" s="792"/>
      <c r="B868" s="792"/>
      <c r="C868" s="792"/>
      <c r="D868" s="792"/>
      <c r="E868" s="792"/>
      <c r="F868" s="792"/>
      <c r="G868" s="792"/>
      <c r="H868" s="792"/>
      <c r="I868" s="792"/>
      <c r="J868" s="792"/>
      <c r="K868" s="792"/>
      <c r="L868" s="792"/>
      <c r="M868" s="792"/>
      <c r="N868" s="792"/>
      <c r="O868" s="792"/>
      <c r="P868" s="792"/>
      <c r="Q868" s="1169"/>
      <c r="R868" s="792"/>
      <c r="S868" s="792"/>
      <c r="T868" s="792"/>
      <c r="U868" s="792"/>
      <c r="V868" s="793"/>
      <c r="W868" s="793"/>
      <c r="X868" s="792"/>
      <c r="Y868" s="792"/>
      <c r="Z868" s="792"/>
      <c r="AA868" s="792"/>
    </row>
    <row r="869" spans="1:27" ht="15.75" customHeight="1">
      <c r="A869" s="792"/>
      <c r="B869" s="792"/>
      <c r="C869" s="792"/>
      <c r="D869" s="792"/>
      <c r="E869" s="792"/>
      <c r="F869" s="792"/>
      <c r="G869" s="792"/>
      <c r="H869" s="792"/>
      <c r="I869" s="792"/>
      <c r="J869" s="792"/>
      <c r="K869" s="792"/>
      <c r="L869" s="792"/>
      <c r="M869" s="792"/>
      <c r="N869" s="792"/>
      <c r="O869" s="792"/>
      <c r="P869" s="792"/>
      <c r="Q869" s="1169"/>
      <c r="R869" s="792"/>
      <c r="S869" s="792"/>
      <c r="T869" s="792"/>
      <c r="U869" s="792"/>
      <c r="V869" s="793"/>
      <c r="W869" s="793"/>
      <c r="X869" s="792"/>
      <c r="Y869" s="792"/>
      <c r="Z869" s="792"/>
      <c r="AA869" s="792"/>
    </row>
    <row r="870" spans="1:27" ht="15.75" customHeight="1">
      <c r="A870" s="792"/>
      <c r="B870" s="792"/>
      <c r="C870" s="792"/>
      <c r="D870" s="792"/>
      <c r="E870" s="792"/>
      <c r="F870" s="792"/>
      <c r="G870" s="792"/>
      <c r="H870" s="792"/>
      <c r="I870" s="792"/>
      <c r="J870" s="792"/>
      <c r="K870" s="792"/>
      <c r="L870" s="792"/>
      <c r="M870" s="792"/>
      <c r="N870" s="792"/>
      <c r="O870" s="792"/>
      <c r="P870" s="792"/>
      <c r="Q870" s="1169"/>
      <c r="R870" s="792"/>
      <c r="S870" s="792"/>
      <c r="T870" s="792"/>
      <c r="U870" s="792"/>
      <c r="V870" s="793"/>
      <c r="W870" s="793"/>
      <c r="X870" s="792"/>
      <c r="Y870" s="792"/>
      <c r="Z870" s="792"/>
      <c r="AA870" s="792"/>
    </row>
    <row r="871" spans="1:27" ht="15.75" customHeight="1">
      <c r="A871" s="792"/>
      <c r="B871" s="792"/>
      <c r="C871" s="792"/>
      <c r="D871" s="792"/>
      <c r="E871" s="792"/>
      <c r="F871" s="792"/>
      <c r="G871" s="792"/>
      <c r="H871" s="792"/>
      <c r="I871" s="792"/>
      <c r="J871" s="792"/>
      <c r="K871" s="792"/>
      <c r="L871" s="792"/>
      <c r="M871" s="792"/>
      <c r="N871" s="792"/>
      <c r="O871" s="792"/>
      <c r="P871" s="792"/>
      <c r="Q871" s="1169"/>
      <c r="R871" s="792"/>
      <c r="S871" s="792"/>
      <c r="T871" s="792"/>
      <c r="U871" s="792"/>
      <c r="V871" s="793"/>
      <c r="W871" s="793"/>
      <c r="X871" s="792"/>
      <c r="Y871" s="792"/>
      <c r="Z871" s="792"/>
      <c r="AA871" s="792"/>
    </row>
    <row r="872" spans="1:27" ht="15.75" customHeight="1">
      <c r="A872" s="792"/>
      <c r="B872" s="792"/>
      <c r="C872" s="792"/>
      <c r="D872" s="792"/>
      <c r="E872" s="792"/>
      <c r="F872" s="792"/>
      <c r="G872" s="792"/>
      <c r="H872" s="792"/>
      <c r="I872" s="792"/>
      <c r="J872" s="792"/>
      <c r="K872" s="792"/>
      <c r="L872" s="792"/>
      <c r="M872" s="792"/>
      <c r="N872" s="792"/>
      <c r="O872" s="792"/>
      <c r="P872" s="792"/>
      <c r="Q872" s="1169"/>
      <c r="R872" s="792"/>
      <c r="S872" s="792"/>
      <c r="T872" s="792"/>
      <c r="U872" s="792"/>
      <c r="V872" s="793"/>
      <c r="W872" s="793"/>
      <c r="X872" s="792"/>
      <c r="Y872" s="792"/>
      <c r="Z872" s="792"/>
      <c r="AA872" s="792"/>
    </row>
    <row r="873" spans="1:27" ht="15.75" customHeight="1">
      <c r="A873" s="792"/>
      <c r="B873" s="792"/>
      <c r="C873" s="792"/>
      <c r="D873" s="792"/>
      <c r="E873" s="792"/>
      <c r="F873" s="792"/>
      <c r="G873" s="792"/>
      <c r="H873" s="792"/>
      <c r="I873" s="792"/>
      <c r="J873" s="792"/>
      <c r="K873" s="792"/>
      <c r="L873" s="792"/>
      <c r="M873" s="792"/>
      <c r="N873" s="792"/>
      <c r="O873" s="792"/>
      <c r="P873" s="792"/>
      <c r="Q873" s="1169"/>
      <c r="R873" s="792"/>
      <c r="S873" s="792"/>
      <c r="T873" s="792"/>
      <c r="U873" s="792"/>
      <c r="V873" s="793"/>
      <c r="W873" s="793"/>
      <c r="X873" s="792"/>
      <c r="Y873" s="792"/>
      <c r="Z873" s="792"/>
      <c r="AA873" s="792"/>
    </row>
    <row r="874" spans="1:27" ht="15.75" customHeight="1">
      <c r="A874" s="792"/>
      <c r="B874" s="792"/>
      <c r="C874" s="792"/>
      <c r="D874" s="792"/>
      <c r="E874" s="792"/>
      <c r="F874" s="792"/>
      <c r="G874" s="792"/>
      <c r="H874" s="792"/>
      <c r="I874" s="792"/>
      <c r="J874" s="792"/>
      <c r="K874" s="792"/>
      <c r="L874" s="792"/>
      <c r="M874" s="792"/>
      <c r="N874" s="792"/>
      <c r="O874" s="792"/>
      <c r="P874" s="792"/>
      <c r="Q874" s="1169"/>
      <c r="R874" s="792"/>
      <c r="S874" s="792"/>
      <c r="T874" s="792"/>
      <c r="U874" s="792"/>
      <c r="V874" s="793"/>
      <c r="W874" s="793"/>
      <c r="X874" s="792"/>
      <c r="Y874" s="792"/>
      <c r="Z874" s="792"/>
      <c r="AA874" s="792"/>
    </row>
    <row r="875" spans="1:27" ht="15.75" customHeight="1">
      <c r="A875" s="792"/>
      <c r="B875" s="792"/>
      <c r="C875" s="792"/>
      <c r="D875" s="792"/>
      <c r="E875" s="792"/>
      <c r="F875" s="792"/>
      <c r="G875" s="792"/>
      <c r="H875" s="792"/>
      <c r="I875" s="792"/>
      <c r="J875" s="792"/>
      <c r="K875" s="792"/>
      <c r="L875" s="792"/>
      <c r="M875" s="792"/>
      <c r="N875" s="792"/>
      <c r="O875" s="792"/>
      <c r="P875" s="792"/>
      <c r="Q875" s="1169"/>
      <c r="R875" s="792"/>
      <c r="S875" s="792"/>
      <c r="T875" s="792"/>
      <c r="U875" s="792"/>
      <c r="V875" s="793"/>
      <c r="W875" s="793"/>
      <c r="X875" s="792"/>
      <c r="Y875" s="792"/>
      <c r="Z875" s="792"/>
      <c r="AA875" s="792"/>
    </row>
    <row r="876" spans="1:27" ht="15.75" customHeight="1">
      <c r="A876" s="792"/>
      <c r="B876" s="792"/>
      <c r="C876" s="792"/>
      <c r="D876" s="792"/>
      <c r="E876" s="792"/>
      <c r="F876" s="792"/>
      <c r="G876" s="792"/>
      <c r="H876" s="792"/>
      <c r="I876" s="792"/>
      <c r="J876" s="792"/>
      <c r="K876" s="792"/>
      <c r="L876" s="792"/>
      <c r="M876" s="792"/>
      <c r="N876" s="792"/>
      <c r="O876" s="792"/>
      <c r="P876" s="792"/>
      <c r="Q876" s="1169"/>
      <c r="R876" s="792"/>
      <c r="S876" s="792"/>
      <c r="T876" s="792"/>
      <c r="U876" s="792"/>
      <c r="V876" s="793"/>
      <c r="W876" s="793"/>
      <c r="X876" s="792"/>
      <c r="Y876" s="792"/>
      <c r="Z876" s="792"/>
      <c r="AA876" s="792"/>
    </row>
    <row r="877" spans="1:27" ht="15.75" customHeight="1">
      <c r="A877" s="792"/>
      <c r="B877" s="792"/>
      <c r="C877" s="792"/>
      <c r="D877" s="792"/>
      <c r="E877" s="792"/>
      <c r="F877" s="792"/>
      <c r="G877" s="792"/>
      <c r="H877" s="792"/>
      <c r="I877" s="792"/>
      <c r="J877" s="792"/>
      <c r="K877" s="792"/>
      <c r="L877" s="792"/>
      <c r="M877" s="792"/>
      <c r="N877" s="792"/>
      <c r="O877" s="792"/>
      <c r="P877" s="792"/>
      <c r="Q877" s="1169"/>
      <c r="R877" s="792"/>
      <c r="S877" s="792"/>
      <c r="T877" s="792"/>
      <c r="U877" s="792"/>
      <c r="V877" s="793"/>
      <c r="W877" s="793"/>
      <c r="X877" s="792"/>
      <c r="Y877" s="792"/>
      <c r="Z877" s="792"/>
      <c r="AA877" s="792"/>
    </row>
    <row r="878" spans="1:27" ht="15.75" customHeight="1">
      <c r="A878" s="792"/>
      <c r="B878" s="792"/>
      <c r="C878" s="792"/>
      <c r="D878" s="792"/>
      <c r="E878" s="792"/>
      <c r="F878" s="792"/>
      <c r="G878" s="792"/>
      <c r="H878" s="792"/>
      <c r="I878" s="792"/>
      <c r="J878" s="792"/>
      <c r="K878" s="792"/>
      <c r="L878" s="792"/>
      <c r="M878" s="792"/>
      <c r="N878" s="792"/>
      <c r="O878" s="792"/>
      <c r="P878" s="792"/>
      <c r="Q878" s="1169"/>
      <c r="R878" s="792"/>
      <c r="S878" s="792"/>
      <c r="T878" s="792"/>
      <c r="U878" s="792"/>
      <c r="V878" s="793"/>
      <c r="W878" s="793"/>
      <c r="X878" s="792"/>
      <c r="Y878" s="792"/>
      <c r="Z878" s="792"/>
      <c r="AA878" s="792"/>
    </row>
    <row r="879" spans="1:27" ht="15.75" customHeight="1">
      <c r="A879" s="792"/>
      <c r="B879" s="792"/>
      <c r="C879" s="792"/>
      <c r="D879" s="792"/>
      <c r="E879" s="792"/>
      <c r="F879" s="792"/>
      <c r="G879" s="792"/>
      <c r="H879" s="792"/>
      <c r="I879" s="792"/>
      <c r="J879" s="792"/>
      <c r="K879" s="792"/>
      <c r="L879" s="792"/>
      <c r="M879" s="792"/>
      <c r="N879" s="792"/>
      <c r="O879" s="792"/>
      <c r="P879" s="792"/>
      <c r="Q879" s="1169"/>
      <c r="R879" s="792"/>
      <c r="S879" s="792"/>
      <c r="T879" s="792"/>
      <c r="U879" s="792"/>
      <c r="V879" s="793"/>
      <c r="W879" s="793"/>
      <c r="X879" s="792"/>
      <c r="Y879" s="792"/>
      <c r="Z879" s="792"/>
      <c r="AA879" s="792"/>
    </row>
    <row r="880" spans="1:27" ht="15.75" customHeight="1">
      <c r="A880" s="792"/>
      <c r="B880" s="792"/>
      <c r="C880" s="792"/>
      <c r="D880" s="792"/>
      <c r="E880" s="792"/>
      <c r="F880" s="792"/>
      <c r="G880" s="792"/>
      <c r="H880" s="792"/>
      <c r="I880" s="792"/>
      <c r="J880" s="792"/>
      <c r="K880" s="792"/>
      <c r="L880" s="792"/>
      <c r="M880" s="792"/>
      <c r="N880" s="792"/>
      <c r="O880" s="792"/>
      <c r="P880" s="792"/>
      <c r="Q880" s="1169"/>
      <c r="R880" s="792"/>
      <c r="S880" s="792"/>
      <c r="T880" s="792"/>
      <c r="U880" s="792"/>
      <c r="V880" s="793"/>
      <c r="W880" s="793"/>
      <c r="X880" s="792"/>
      <c r="Y880" s="792"/>
      <c r="Z880" s="792"/>
      <c r="AA880" s="792"/>
    </row>
    <row r="881" spans="1:27" ht="15.75" customHeight="1">
      <c r="A881" s="792"/>
      <c r="B881" s="792"/>
      <c r="C881" s="792"/>
      <c r="D881" s="792"/>
      <c r="E881" s="792"/>
      <c r="F881" s="792"/>
      <c r="G881" s="792"/>
      <c r="H881" s="792"/>
      <c r="I881" s="792"/>
      <c r="J881" s="792"/>
      <c r="K881" s="792"/>
      <c r="L881" s="792"/>
      <c r="M881" s="792"/>
      <c r="N881" s="792"/>
      <c r="O881" s="792"/>
      <c r="P881" s="792"/>
      <c r="Q881" s="1169"/>
      <c r="R881" s="792"/>
      <c r="S881" s="792"/>
      <c r="T881" s="792"/>
      <c r="U881" s="792"/>
      <c r="V881" s="793"/>
      <c r="W881" s="793"/>
      <c r="X881" s="792"/>
      <c r="Y881" s="792"/>
      <c r="Z881" s="792"/>
      <c r="AA881" s="792"/>
    </row>
    <row r="882" spans="1:27" ht="15.75" customHeight="1">
      <c r="A882" s="792"/>
      <c r="B882" s="792"/>
      <c r="C882" s="792"/>
      <c r="D882" s="792"/>
      <c r="E882" s="792"/>
      <c r="F882" s="792"/>
      <c r="G882" s="792"/>
      <c r="H882" s="792"/>
      <c r="I882" s="792"/>
      <c r="J882" s="792"/>
      <c r="K882" s="792"/>
      <c r="L882" s="792"/>
      <c r="M882" s="792"/>
      <c r="N882" s="792"/>
      <c r="O882" s="792"/>
      <c r="P882" s="792"/>
      <c r="Q882" s="1169"/>
      <c r="R882" s="792"/>
      <c r="S882" s="792"/>
      <c r="T882" s="792"/>
      <c r="U882" s="792"/>
      <c r="V882" s="793"/>
      <c r="W882" s="793"/>
      <c r="X882" s="792"/>
      <c r="Y882" s="792"/>
      <c r="Z882" s="792"/>
      <c r="AA882" s="792"/>
    </row>
    <row r="883" spans="1:27" ht="15.75" customHeight="1">
      <c r="A883" s="792"/>
      <c r="B883" s="792"/>
      <c r="C883" s="792"/>
      <c r="D883" s="792"/>
      <c r="E883" s="792"/>
      <c r="F883" s="792"/>
      <c r="G883" s="792"/>
      <c r="H883" s="792"/>
      <c r="I883" s="792"/>
      <c r="J883" s="792"/>
      <c r="K883" s="792"/>
      <c r="L883" s="792"/>
      <c r="M883" s="792"/>
      <c r="N883" s="792"/>
      <c r="O883" s="792"/>
      <c r="P883" s="792"/>
      <c r="Q883" s="1169"/>
      <c r="R883" s="792"/>
      <c r="S883" s="792"/>
      <c r="T883" s="792"/>
      <c r="U883" s="792"/>
      <c r="V883" s="793"/>
      <c r="W883" s="793"/>
      <c r="X883" s="792"/>
      <c r="Y883" s="792"/>
      <c r="Z883" s="792"/>
      <c r="AA883" s="792"/>
    </row>
    <row r="884" spans="1:27" ht="15.75" customHeight="1">
      <c r="A884" s="792"/>
      <c r="B884" s="792"/>
      <c r="C884" s="792"/>
      <c r="D884" s="792"/>
      <c r="E884" s="792"/>
      <c r="F884" s="792"/>
      <c r="G884" s="792"/>
      <c r="H884" s="792"/>
      <c r="I884" s="792"/>
      <c r="J884" s="792"/>
      <c r="K884" s="792"/>
      <c r="L884" s="792"/>
      <c r="M884" s="792"/>
      <c r="N884" s="792"/>
      <c r="O884" s="792"/>
      <c r="P884" s="792"/>
      <c r="Q884" s="1169"/>
      <c r="R884" s="792"/>
      <c r="S884" s="792"/>
      <c r="T884" s="792"/>
      <c r="U884" s="792"/>
      <c r="V884" s="793"/>
      <c r="W884" s="793"/>
      <c r="X884" s="792"/>
      <c r="Y884" s="792"/>
      <c r="Z884" s="792"/>
      <c r="AA884" s="792"/>
    </row>
    <row r="885" spans="1:27" ht="15.75" customHeight="1">
      <c r="A885" s="792"/>
      <c r="B885" s="792"/>
      <c r="C885" s="792"/>
      <c r="D885" s="792"/>
      <c r="E885" s="792"/>
      <c r="F885" s="792"/>
      <c r="G885" s="792"/>
      <c r="H885" s="792"/>
      <c r="I885" s="792"/>
      <c r="J885" s="792"/>
      <c r="K885" s="792"/>
      <c r="L885" s="792"/>
      <c r="M885" s="792"/>
      <c r="N885" s="792"/>
      <c r="O885" s="792"/>
      <c r="P885" s="792"/>
      <c r="Q885" s="1169"/>
      <c r="R885" s="792"/>
      <c r="S885" s="792"/>
      <c r="T885" s="792"/>
      <c r="U885" s="792"/>
      <c r="V885" s="793"/>
      <c r="W885" s="793"/>
      <c r="X885" s="792"/>
      <c r="Y885" s="792"/>
      <c r="Z885" s="792"/>
      <c r="AA885" s="792"/>
    </row>
    <row r="886" spans="1:27" ht="15.75" customHeight="1">
      <c r="A886" s="792"/>
      <c r="B886" s="792"/>
      <c r="C886" s="792"/>
      <c r="D886" s="792"/>
      <c r="E886" s="792"/>
      <c r="F886" s="792"/>
      <c r="G886" s="792"/>
      <c r="H886" s="792"/>
      <c r="I886" s="792"/>
      <c r="J886" s="792"/>
      <c r="K886" s="792"/>
      <c r="L886" s="792"/>
      <c r="M886" s="792"/>
      <c r="N886" s="792"/>
      <c r="O886" s="792"/>
      <c r="P886" s="792"/>
      <c r="Q886" s="1169"/>
      <c r="R886" s="792"/>
      <c r="S886" s="792"/>
      <c r="T886" s="792"/>
      <c r="U886" s="792"/>
      <c r="V886" s="793"/>
      <c r="W886" s="793"/>
      <c r="X886" s="792"/>
      <c r="Y886" s="792"/>
      <c r="Z886" s="792"/>
      <c r="AA886" s="792"/>
    </row>
    <row r="887" spans="1:27" ht="15.75" customHeight="1">
      <c r="A887" s="792"/>
      <c r="B887" s="792"/>
      <c r="C887" s="792"/>
      <c r="D887" s="792"/>
      <c r="E887" s="792"/>
      <c r="F887" s="792"/>
      <c r="G887" s="792"/>
      <c r="H887" s="792"/>
      <c r="I887" s="792"/>
      <c r="J887" s="792"/>
      <c r="K887" s="792"/>
      <c r="L887" s="792"/>
      <c r="M887" s="792"/>
      <c r="N887" s="792"/>
      <c r="O887" s="792"/>
      <c r="P887" s="792"/>
      <c r="Q887" s="1169"/>
      <c r="R887" s="792"/>
      <c r="S887" s="792"/>
      <c r="T887" s="792"/>
      <c r="U887" s="792"/>
      <c r="V887" s="793"/>
      <c r="W887" s="793"/>
      <c r="X887" s="792"/>
      <c r="Y887" s="792"/>
      <c r="Z887" s="792"/>
      <c r="AA887" s="792"/>
    </row>
    <row r="888" spans="1:27" ht="15.75" customHeight="1">
      <c r="A888" s="792"/>
      <c r="B888" s="792"/>
      <c r="C888" s="792"/>
      <c r="D888" s="792"/>
      <c r="E888" s="792"/>
      <c r="F888" s="792"/>
      <c r="G888" s="792"/>
      <c r="H888" s="792"/>
      <c r="I888" s="792"/>
      <c r="J888" s="792"/>
      <c r="K888" s="792"/>
      <c r="L888" s="792"/>
      <c r="M888" s="792"/>
      <c r="N888" s="792"/>
      <c r="O888" s="792"/>
      <c r="P888" s="792"/>
      <c r="Q888" s="1169"/>
      <c r="R888" s="792"/>
      <c r="S888" s="792"/>
      <c r="T888" s="792"/>
      <c r="U888" s="792"/>
      <c r="V888" s="793"/>
      <c r="W888" s="793"/>
      <c r="X888" s="792"/>
      <c r="Y888" s="792"/>
      <c r="Z888" s="792"/>
      <c r="AA888" s="792"/>
    </row>
    <row r="889" spans="1:27" ht="15.75" customHeight="1">
      <c r="A889" s="792"/>
      <c r="B889" s="792"/>
      <c r="C889" s="792"/>
      <c r="D889" s="792"/>
      <c r="E889" s="792"/>
      <c r="F889" s="792"/>
      <c r="G889" s="792"/>
      <c r="H889" s="792"/>
      <c r="I889" s="792"/>
      <c r="J889" s="792"/>
      <c r="K889" s="792"/>
      <c r="L889" s="792"/>
      <c r="M889" s="792"/>
      <c r="N889" s="792"/>
      <c r="O889" s="792"/>
      <c r="P889" s="792"/>
      <c r="Q889" s="1169"/>
      <c r="R889" s="792"/>
      <c r="S889" s="792"/>
      <c r="T889" s="792"/>
      <c r="U889" s="792"/>
      <c r="V889" s="793"/>
      <c r="W889" s="793"/>
      <c r="X889" s="792"/>
      <c r="Y889" s="792"/>
      <c r="Z889" s="792"/>
      <c r="AA889" s="792"/>
    </row>
    <row r="890" spans="1:27" ht="15.75" customHeight="1">
      <c r="A890" s="792"/>
      <c r="B890" s="792"/>
      <c r="C890" s="792"/>
      <c r="D890" s="792"/>
      <c r="E890" s="792"/>
      <c r="F890" s="792"/>
      <c r="G890" s="792"/>
      <c r="H890" s="792"/>
      <c r="I890" s="792"/>
      <c r="J890" s="792"/>
      <c r="K890" s="792"/>
      <c r="L890" s="792"/>
      <c r="M890" s="792"/>
      <c r="N890" s="792"/>
      <c r="O890" s="792"/>
      <c r="P890" s="792"/>
      <c r="Q890" s="1169"/>
      <c r="R890" s="792"/>
      <c r="S890" s="792"/>
      <c r="T890" s="792"/>
      <c r="U890" s="792"/>
      <c r="V890" s="793"/>
      <c r="W890" s="793"/>
      <c r="X890" s="792"/>
      <c r="Y890" s="792"/>
      <c r="Z890" s="792"/>
      <c r="AA890" s="792"/>
    </row>
    <row r="891" spans="1:27" ht="15.75" customHeight="1">
      <c r="A891" s="792"/>
      <c r="B891" s="792"/>
      <c r="C891" s="792"/>
      <c r="D891" s="792"/>
      <c r="E891" s="792"/>
      <c r="F891" s="792"/>
      <c r="G891" s="792"/>
      <c r="H891" s="792"/>
      <c r="I891" s="792"/>
      <c r="J891" s="792"/>
      <c r="K891" s="792"/>
      <c r="L891" s="792"/>
      <c r="M891" s="792"/>
      <c r="N891" s="792"/>
      <c r="O891" s="792"/>
      <c r="P891" s="792"/>
      <c r="Q891" s="1169"/>
      <c r="R891" s="792"/>
      <c r="S891" s="792"/>
      <c r="T891" s="792"/>
      <c r="U891" s="792"/>
      <c r="V891" s="793"/>
      <c r="W891" s="793"/>
      <c r="X891" s="792"/>
      <c r="Y891" s="792"/>
      <c r="Z891" s="792"/>
      <c r="AA891" s="792"/>
    </row>
    <row r="892" spans="1:27" ht="15.75" customHeight="1">
      <c r="A892" s="792"/>
      <c r="B892" s="792"/>
      <c r="C892" s="792"/>
      <c r="D892" s="792"/>
      <c r="E892" s="792"/>
      <c r="F892" s="792"/>
      <c r="G892" s="792"/>
      <c r="H892" s="792"/>
      <c r="I892" s="792"/>
      <c r="J892" s="792"/>
      <c r="K892" s="792"/>
      <c r="L892" s="792"/>
      <c r="M892" s="792"/>
      <c r="N892" s="792"/>
      <c r="O892" s="792"/>
      <c r="P892" s="792"/>
      <c r="Q892" s="1169"/>
      <c r="R892" s="792"/>
      <c r="S892" s="792"/>
      <c r="T892" s="792"/>
      <c r="U892" s="792"/>
      <c r="V892" s="793"/>
      <c r="W892" s="793"/>
      <c r="X892" s="792"/>
      <c r="Y892" s="792"/>
      <c r="Z892" s="792"/>
      <c r="AA892" s="792"/>
    </row>
    <row r="893" spans="1:27" ht="15.75" customHeight="1">
      <c r="A893" s="792"/>
      <c r="B893" s="792"/>
      <c r="C893" s="792"/>
      <c r="D893" s="792"/>
      <c r="E893" s="792"/>
      <c r="F893" s="792"/>
      <c r="G893" s="792"/>
      <c r="H893" s="792"/>
      <c r="I893" s="792"/>
      <c r="J893" s="792"/>
      <c r="K893" s="792"/>
      <c r="L893" s="792"/>
      <c r="M893" s="792"/>
      <c r="N893" s="792"/>
      <c r="O893" s="792"/>
      <c r="P893" s="792"/>
      <c r="Q893" s="1169"/>
      <c r="R893" s="792"/>
      <c r="S893" s="792"/>
      <c r="T893" s="792"/>
      <c r="U893" s="792"/>
      <c r="V893" s="793"/>
      <c r="W893" s="793"/>
      <c r="X893" s="792"/>
      <c r="Y893" s="792"/>
      <c r="Z893" s="792"/>
      <c r="AA893" s="792"/>
    </row>
    <row r="894" spans="1:27" ht="15.75" customHeight="1">
      <c r="A894" s="792"/>
      <c r="B894" s="792"/>
      <c r="C894" s="792"/>
      <c r="D894" s="792"/>
      <c r="E894" s="792"/>
      <c r="F894" s="792"/>
      <c r="G894" s="792"/>
      <c r="H894" s="792"/>
      <c r="I894" s="792"/>
      <c r="J894" s="792"/>
      <c r="K894" s="792"/>
      <c r="L894" s="792"/>
      <c r="M894" s="792"/>
      <c r="N894" s="792"/>
      <c r="O894" s="792"/>
      <c r="P894" s="792"/>
      <c r="Q894" s="1169"/>
      <c r="R894" s="792"/>
      <c r="S894" s="792"/>
      <c r="T894" s="792"/>
      <c r="U894" s="792"/>
      <c r="V894" s="793"/>
      <c r="W894" s="793"/>
      <c r="X894" s="792"/>
      <c r="Y894" s="792"/>
      <c r="Z894" s="792"/>
      <c r="AA894" s="792"/>
    </row>
    <row r="895" spans="1:27" ht="15.75" customHeight="1">
      <c r="A895" s="792"/>
      <c r="B895" s="792"/>
      <c r="C895" s="792"/>
      <c r="D895" s="792"/>
      <c r="E895" s="792"/>
      <c r="F895" s="792"/>
      <c r="G895" s="792"/>
      <c r="H895" s="792"/>
      <c r="I895" s="792"/>
      <c r="J895" s="792"/>
      <c r="K895" s="792"/>
      <c r="L895" s="792"/>
      <c r="M895" s="792"/>
      <c r="N895" s="792"/>
      <c r="O895" s="792"/>
      <c r="P895" s="792"/>
      <c r="Q895" s="1169"/>
      <c r="R895" s="792"/>
      <c r="S895" s="792"/>
      <c r="T895" s="792"/>
      <c r="U895" s="792"/>
      <c r="V895" s="793"/>
      <c r="W895" s="793"/>
      <c r="X895" s="792"/>
      <c r="Y895" s="792"/>
      <c r="Z895" s="792"/>
      <c r="AA895" s="792"/>
    </row>
    <row r="896" spans="1:27" ht="15.75" customHeight="1">
      <c r="A896" s="792"/>
      <c r="B896" s="792"/>
      <c r="C896" s="792"/>
      <c r="D896" s="792"/>
      <c r="E896" s="792"/>
      <c r="F896" s="792"/>
      <c r="G896" s="792"/>
      <c r="H896" s="792"/>
      <c r="I896" s="792"/>
      <c r="J896" s="792"/>
      <c r="K896" s="792"/>
      <c r="L896" s="792"/>
      <c r="M896" s="792"/>
      <c r="N896" s="792"/>
      <c r="O896" s="792"/>
      <c r="P896" s="792"/>
      <c r="Q896" s="1169"/>
      <c r="R896" s="792"/>
      <c r="S896" s="792"/>
      <c r="T896" s="792"/>
      <c r="U896" s="792"/>
      <c r="V896" s="793"/>
      <c r="W896" s="793"/>
      <c r="X896" s="792"/>
      <c r="Y896" s="792"/>
      <c r="Z896" s="792"/>
      <c r="AA896" s="792"/>
    </row>
    <row r="897" spans="1:27" ht="15.75" customHeight="1">
      <c r="A897" s="792"/>
      <c r="B897" s="792"/>
      <c r="C897" s="792"/>
      <c r="D897" s="792"/>
      <c r="E897" s="792"/>
      <c r="F897" s="792"/>
      <c r="G897" s="792"/>
      <c r="H897" s="792"/>
      <c r="I897" s="792"/>
      <c r="J897" s="792"/>
      <c r="K897" s="792"/>
      <c r="L897" s="792"/>
      <c r="M897" s="792"/>
      <c r="N897" s="792"/>
      <c r="O897" s="792"/>
      <c r="P897" s="792"/>
      <c r="Q897" s="1169"/>
      <c r="R897" s="792"/>
      <c r="S897" s="792"/>
      <c r="T897" s="792"/>
      <c r="U897" s="792"/>
      <c r="V897" s="793"/>
      <c r="W897" s="793"/>
      <c r="X897" s="792"/>
      <c r="Y897" s="792"/>
      <c r="Z897" s="792"/>
      <c r="AA897" s="792"/>
    </row>
    <row r="898" spans="1:27" ht="15.75" customHeight="1">
      <c r="A898" s="792"/>
      <c r="B898" s="792"/>
      <c r="C898" s="792"/>
      <c r="D898" s="792"/>
      <c r="E898" s="792"/>
      <c r="F898" s="792"/>
      <c r="G898" s="792"/>
      <c r="H898" s="792"/>
      <c r="I898" s="792"/>
      <c r="J898" s="792"/>
      <c r="K898" s="792"/>
      <c r="L898" s="792"/>
      <c r="M898" s="792"/>
      <c r="N898" s="792"/>
      <c r="O898" s="792"/>
      <c r="P898" s="792"/>
      <c r="Q898" s="1169"/>
      <c r="R898" s="792"/>
      <c r="S898" s="792"/>
      <c r="T898" s="792"/>
      <c r="U898" s="792"/>
      <c r="V898" s="793"/>
      <c r="W898" s="793"/>
      <c r="X898" s="792"/>
      <c r="Y898" s="792"/>
      <c r="Z898" s="792"/>
      <c r="AA898" s="792"/>
    </row>
    <row r="899" spans="1:27" ht="15.75" customHeight="1">
      <c r="A899" s="792"/>
      <c r="B899" s="792"/>
      <c r="C899" s="792"/>
      <c r="D899" s="792"/>
      <c r="E899" s="792"/>
      <c r="F899" s="792"/>
      <c r="G899" s="792"/>
      <c r="H899" s="792"/>
      <c r="I899" s="792"/>
      <c r="J899" s="792"/>
      <c r="K899" s="792"/>
      <c r="L899" s="792"/>
      <c r="M899" s="792"/>
      <c r="N899" s="792"/>
      <c r="O899" s="792"/>
      <c r="P899" s="792"/>
      <c r="Q899" s="1169"/>
      <c r="R899" s="792"/>
      <c r="S899" s="792"/>
      <c r="T899" s="792"/>
      <c r="U899" s="792"/>
      <c r="V899" s="793"/>
      <c r="W899" s="793"/>
      <c r="X899" s="792"/>
      <c r="Y899" s="792"/>
      <c r="Z899" s="792"/>
      <c r="AA899" s="792"/>
    </row>
    <row r="900" spans="1:27" ht="15.75" customHeight="1">
      <c r="A900" s="792"/>
      <c r="B900" s="792"/>
      <c r="C900" s="792"/>
      <c r="D900" s="792"/>
      <c r="E900" s="792"/>
      <c r="F900" s="792"/>
      <c r="G900" s="792"/>
      <c r="H900" s="792"/>
      <c r="I900" s="792"/>
      <c r="J900" s="792"/>
      <c r="K900" s="792"/>
      <c r="L900" s="792"/>
      <c r="M900" s="792"/>
      <c r="N900" s="792"/>
      <c r="O900" s="792"/>
      <c r="P900" s="792"/>
      <c r="Q900" s="1169"/>
      <c r="R900" s="792"/>
      <c r="S900" s="792"/>
      <c r="T900" s="792"/>
      <c r="U900" s="792"/>
      <c r="V900" s="793"/>
      <c r="W900" s="793"/>
      <c r="X900" s="792"/>
      <c r="Y900" s="792"/>
      <c r="Z900" s="792"/>
      <c r="AA900" s="792"/>
    </row>
    <row r="901" spans="1:27" ht="15.75" customHeight="1">
      <c r="A901" s="792"/>
      <c r="B901" s="792"/>
      <c r="C901" s="792"/>
      <c r="D901" s="792"/>
      <c r="E901" s="792"/>
      <c r="F901" s="792"/>
      <c r="G901" s="792"/>
      <c r="H901" s="792"/>
      <c r="I901" s="792"/>
      <c r="J901" s="792"/>
      <c r="K901" s="792"/>
      <c r="L901" s="792"/>
      <c r="M901" s="792"/>
      <c r="N901" s="792"/>
      <c r="O901" s="792"/>
      <c r="P901" s="792"/>
      <c r="Q901" s="1169"/>
      <c r="R901" s="792"/>
      <c r="S901" s="792"/>
      <c r="T901" s="792"/>
      <c r="U901" s="792"/>
      <c r="V901" s="793"/>
      <c r="W901" s="793"/>
      <c r="X901" s="792"/>
      <c r="Y901" s="792"/>
      <c r="Z901" s="792"/>
      <c r="AA901" s="792"/>
    </row>
    <row r="902" spans="1:27" ht="15.75" customHeight="1">
      <c r="A902" s="792"/>
      <c r="B902" s="792"/>
      <c r="C902" s="792"/>
      <c r="D902" s="792"/>
      <c r="E902" s="792"/>
      <c r="F902" s="792"/>
      <c r="G902" s="792"/>
      <c r="H902" s="792"/>
      <c r="I902" s="792"/>
      <c r="J902" s="792"/>
      <c r="K902" s="792"/>
      <c r="L902" s="792"/>
      <c r="M902" s="792"/>
      <c r="N902" s="792"/>
      <c r="O902" s="792"/>
      <c r="P902" s="792"/>
      <c r="Q902" s="1169"/>
      <c r="R902" s="792"/>
      <c r="S902" s="792"/>
      <c r="T902" s="792"/>
      <c r="U902" s="792"/>
      <c r="V902" s="793"/>
      <c r="W902" s="793"/>
      <c r="X902" s="792"/>
      <c r="Y902" s="792"/>
      <c r="Z902" s="792"/>
      <c r="AA902" s="792"/>
    </row>
    <row r="903" spans="1:27" ht="15.75" customHeight="1">
      <c r="A903" s="792"/>
      <c r="B903" s="792"/>
      <c r="C903" s="792"/>
      <c r="D903" s="792"/>
      <c r="E903" s="792"/>
      <c r="F903" s="792"/>
      <c r="G903" s="792"/>
      <c r="H903" s="792"/>
      <c r="I903" s="792"/>
      <c r="J903" s="792"/>
      <c r="K903" s="792"/>
      <c r="L903" s="792"/>
      <c r="M903" s="792"/>
      <c r="N903" s="792"/>
      <c r="O903" s="792"/>
      <c r="P903" s="792"/>
      <c r="Q903" s="1169"/>
      <c r="R903" s="792"/>
      <c r="S903" s="792"/>
      <c r="T903" s="792"/>
      <c r="U903" s="792"/>
      <c r="V903" s="793"/>
      <c r="W903" s="793"/>
      <c r="X903" s="792"/>
      <c r="Y903" s="792"/>
      <c r="Z903" s="792"/>
      <c r="AA903" s="792"/>
    </row>
    <row r="904" spans="1:27" ht="15.75" customHeight="1">
      <c r="A904" s="792"/>
      <c r="B904" s="792"/>
      <c r="C904" s="792"/>
      <c r="D904" s="792"/>
      <c r="E904" s="792"/>
      <c r="F904" s="792"/>
      <c r="G904" s="792"/>
      <c r="H904" s="792"/>
      <c r="I904" s="792"/>
      <c r="J904" s="792"/>
      <c r="K904" s="792"/>
      <c r="L904" s="792"/>
      <c r="M904" s="792"/>
      <c r="N904" s="792"/>
      <c r="O904" s="792"/>
      <c r="P904" s="792"/>
      <c r="Q904" s="1169"/>
      <c r="R904" s="792"/>
      <c r="S904" s="792"/>
      <c r="T904" s="792"/>
      <c r="U904" s="792"/>
      <c r="V904" s="793"/>
      <c r="W904" s="793"/>
      <c r="X904" s="792"/>
      <c r="Y904" s="792"/>
      <c r="Z904" s="792"/>
      <c r="AA904" s="792"/>
    </row>
    <row r="905" spans="1:27" ht="15.75" customHeight="1">
      <c r="A905" s="792"/>
      <c r="B905" s="792"/>
      <c r="C905" s="792"/>
      <c r="D905" s="792"/>
      <c r="E905" s="792"/>
      <c r="F905" s="792"/>
      <c r="G905" s="792"/>
      <c r="H905" s="792"/>
      <c r="I905" s="792"/>
      <c r="J905" s="792"/>
      <c r="K905" s="792"/>
      <c r="L905" s="792"/>
      <c r="M905" s="792"/>
      <c r="N905" s="792"/>
      <c r="O905" s="792"/>
      <c r="P905" s="792"/>
      <c r="Q905" s="1169"/>
      <c r="R905" s="792"/>
      <c r="S905" s="792"/>
      <c r="T905" s="792"/>
      <c r="U905" s="792"/>
      <c r="V905" s="793"/>
      <c r="W905" s="793"/>
      <c r="X905" s="792"/>
      <c r="Y905" s="792"/>
      <c r="Z905" s="792"/>
      <c r="AA905" s="792"/>
    </row>
    <row r="906" spans="1:27" ht="15.75" customHeight="1">
      <c r="A906" s="792"/>
      <c r="B906" s="792"/>
      <c r="C906" s="792"/>
      <c r="D906" s="792"/>
      <c r="E906" s="792"/>
      <c r="F906" s="792"/>
      <c r="G906" s="792"/>
      <c r="H906" s="792"/>
      <c r="I906" s="792"/>
      <c r="J906" s="792"/>
      <c r="K906" s="792"/>
      <c r="L906" s="792"/>
      <c r="M906" s="792"/>
      <c r="N906" s="792"/>
      <c r="O906" s="792"/>
      <c r="P906" s="792"/>
      <c r="Q906" s="1169"/>
      <c r="R906" s="792"/>
      <c r="S906" s="792"/>
      <c r="T906" s="792"/>
      <c r="U906" s="792"/>
      <c r="V906" s="793"/>
      <c r="W906" s="793"/>
      <c r="X906" s="792"/>
      <c r="Y906" s="792"/>
      <c r="Z906" s="792"/>
      <c r="AA906" s="792"/>
    </row>
    <row r="907" spans="1:27" ht="15.75" customHeight="1">
      <c r="A907" s="792"/>
      <c r="B907" s="792"/>
      <c r="C907" s="792"/>
      <c r="D907" s="792"/>
      <c r="E907" s="792"/>
      <c r="F907" s="792"/>
      <c r="G907" s="792"/>
      <c r="H907" s="792"/>
      <c r="I907" s="792"/>
      <c r="J907" s="792"/>
      <c r="K907" s="792"/>
      <c r="L907" s="792"/>
      <c r="M907" s="792"/>
      <c r="N907" s="792"/>
      <c r="O907" s="792"/>
      <c r="P907" s="792"/>
      <c r="Q907" s="1169"/>
      <c r="R907" s="792"/>
      <c r="S907" s="792"/>
      <c r="T907" s="792"/>
      <c r="U907" s="792"/>
      <c r="V907" s="793"/>
      <c r="W907" s="793"/>
      <c r="X907" s="792"/>
      <c r="Y907" s="792"/>
      <c r="Z907" s="792"/>
      <c r="AA907" s="792"/>
    </row>
    <row r="908" spans="1:27" ht="15.75" customHeight="1">
      <c r="A908" s="792"/>
      <c r="B908" s="792"/>
      <c r="C908" s="792"/>
      <c r="D908" s="792"/>
      <c r="E908" s="792"/>
      <c r="F908" s="792"/>
      <c r="G908" s="792"/>
      <c r="H908" s="792"/>
      <c r="I908" s="792"/>
      <c r="J908" s="792"/>
      <c r="K908" s="792"/>
      <c r="L908" s="792"/>
      <c r="M908" s="792"/>
      <c r="N908" s="792"/>
      <c r="O908" s="792"/>
      <c r="P908" s="792"/>
      <c r="Q908" s="1169"/>
      <c r="R908" s="792"/>
      <c r="S908" s="792"/>
      <c r="T908" s="792"/>
      <c r="U908" s="792"/>
      <c r="V908" s="793"/>
      <c r="W908" s="793"/>
      <c r="X908" s="792"/>
      <c r="Y908" s="792"/>
      <c r="Z908" s="792"/>
      <c r="AA908" s="792"/>
    </row>
    <row r="909" spans="1:27" ht="15.75" customHeight="1">
      <c r="A909" s="792"/>
      <c r="B909" s="792"/>
      <c r="C909" s="792"/>
      <c r="D909" s="792"/>
      <c r="E909" s="792"/>
      <c r="F909" s="792"/>
      <c r="G909" s="792"/>
      <c r="H909" s="792"/>
      <c r="I909" s="792"/>
      <c r="J909" s="792"/>
      <c r="K909" s="792"/>
      <c r="L909" s="792"/>
      <c r="M909" s="792"/>
      <c r="N909" s="792"/>
      <c r="O909" s="792"/>
      <c r="P909" s="792"/>
      <c r="Q909" s="1169"/>
      <c r="R909" s="792"/>
      <c r="S909" s="792"/>
      <c r="T909" s="792"/>
      <c r="U909" s="792"/>
      <c r="V909" s="793"/>
      <c r="W909" s="793"/>
      <c r="X909" s="792"/>
      <c r="Y909" s="792"/>
      <c r="Z909" s="792"/>
      <c r="AA909" s="792"/>
    </row>
    <row r="910" spans="1:27" ht="15.75" customHeight="1">
      <c r="A910" s="792"/>
      <c r="B910" s="792"/>
      <c r="C910" s="792"/>
      <c r="D910" s="792"/>
      <c r="E910" s="792"/>
      <c r="F910" s="792"/>
      <c r="G910" s="792"/>
      <c r="H910" s="792"/>
      <c r="I910" s="792"/>
      <c r="J910" s="792"/>
      <c r="K910" s="792"/>
      <c r="L910" s="792"/>
      <c r="M910" s="792"/>
      <c r="N910" s="792"/>
      <c r="O910" s="792"/>
      <c r="P910" s="792"/>
      <c r="Q910" s="1169"/>
      <c r="R910" s="792"/>
      <c r="S910" s="792"/>
      <c r="T910" s="792"/>
      <c r="U910" s="792"/>
      <c r="V910" s="793"/>
      <c r="W910" s="793"/>
      <c r="X910" s="792"/>
      <c r="Y910" s="792"/>
      <c r="Z910" s="792"/>
      <c r="AA910" s="792"/>
    </row>
    <row r="911" spans="1:27" ht="15.75" customHeight="1">
      <c r="A911" s="792"/>
      <c r="B911" s="792"/>
      <c r="C911" s="792"/>
      <c r="D911" s="792"/>
      <c r="E911" s="792"/>
      <c r="F911" s="792"/>
      <c r="G911" s="792"/>
      <c r="H911" s="792"/>
      <c r="I911" s="792"/>
      <c r="J911" s="792"/>
      <c r="K911" s="792"/>
      <c r="L911" s="792"/>
      <c r="M911" s="792"/>
      <c r="N911" s="792"/>
      <c r="O911" s="792"/>
      <c r="P911" s="792"/>
      <c r="Q911" s="1169"/>
      <c r="R911" s="792"/>
      <c r="S911" s="792"/>
      <c r="T911" s="792"/>
      <c r="U911" s="792"/>
      <c r="V911" s="793"/>
      <c r="W911" s="793"/>
      <c r="X911" s="792"/>
      <c r="Y911" s="792"/>
      <c r="Z911" s="792"/>
      <c r="AA911" s="792"/>
    </row>
    <row r="912" spans="1:27" ht="15.75" customHeight="1">
      <c r="A912" s="792"/>
      <c r="B912" s="792"/>
      <c r="C912" s="792"/>
      <c r="D912" s="792"/>
      <c r="E912" s="792"/>
      <c r="F912" s="792"/>
      <c r="G912" s="792"/>
      <c r="H912" s="792"/>
      <c r="I912" s="792"/>
      <c r="J912" s="792"/>
      <c r="K912" s="792"/>
      <c r="L912" s="792"/>
      <c r="M912" s="792"/>
      <c r="N912" s="792"/>
      <c r="O912" s="792"/>
      <c r="P912" s="792"/>
      <c r="Q912" s="1169"/>
      <c r="R912" s="792"/>
      <c r="S912" s="792"/>
      <c r="T912" s="792"/>
      <c r="U912" s="792"/>
      <c r="V912" s="793"/>
      <c r="W912" s="793"/>
      <c r="X912" s="792"/>
      <c r="Y912" s="792"/>
      <c r="Z912" s="792"/>
      <c r="AA912" s="792"/>
    </row>
    <row r="913" spans="1:27" ht="15.75" customHeight="1">
      <c r="A913" s="792"/>
      <c r="B913" s="792"/>
      <c r="C913" s="792"/>
      <c r="D913" s="792"/>
      <c r="E913" s="792"/>
      <c r="F913" s="792"/>
      <c r="G913" s="792"/>
      <c r="H913" s="792"/>
      <c r="I913" s="792"/>
      <c r="J913" s="792"/>
      <c r="K913" s="792"/>
      <c r="L913" s="792"/>
      <c r="M913" s="792"/>
      <c r="N913" s="792"/>
      <c r="O913" s="792"/>
      <c r="P913" s="792"/>
      <c r="Q913" s="1169"/>
      <c r="R913" s="792"/>
      <c r="S913" s="792"/>
      <c r="T913" s="792"/>
      <c r="U913" s="792"/>
      <c r="V913" s="793"/>
      <c r="W913" s="793"/>
      <c r="X913" s="792"/>
      <c r="Y913" s="792"/>
      <c r="Z913" s="792"/>
      <c r="AA913" s="792"/>
    </row>
    <row r="914" spans="1:27" ht="15.75" customHeight="1">
      <c r="A914" s="792"/>
      <c r="B914" s="792"/>
      <c r="C914" s="792"/>
      <c r="D914" s="792"/>
      <c r="E914" s="792"/>
      <c r="F914" s="792"/>
      <c r="G914" s="792"/>
      <c r="H914" s="792"/>
      <c r="I914" s="792"/>
      <c r="J914" s="792"/>
      <c r="K914" s="792"/>
      <c r="L914" s="792"/>
      <c r="M914" s="792"/>
      <c r="N914" s="792"/>
      <c r="O914" s="792"/>
      <c r="P914" s="792"/>
      <c r="Q914" s="1169"/>
      <c r="R914" s="792"/>
      <c r="S914" s="792"/>
      <c r="T914" s="792"/>
      <c r="U914" s="792"/>
      <c r="V914" s="793"/>
      <c r="W914" s="793"/>
      <c r="X914" s="792"/>
      <c r="Y914" s="792"/>
      <c r="Z914" s="792"/>
      <c r="AA914" s="792"/>
    </row>
    <row r="915" spans="1:27" ht="15.75" customHeight="1">
      <c r="A915" s="792"/>
      <c r="B915" s="792"/>
      <c r="C915" s="792"/>
      <c r="D915" s="792"/>
      <c r="E915" s="792"/>
      <c r="F915" s="792"/>
      <c r="G915" s="792"/>
      <c r="H915" s="792"/>
      <c r="I915" s="792"/>
      <c r="J915" s="792"/>
      <c r="K915" s="792"/>
      <c r="L915" s="792"/>
      <c r="M915" s="792"/>
      <c r="N915" s="792"/>
      <c r="O915" s="792"/>
      <c r="P915" s="792"/>
      <c r="Q915" s="1169"/>
      <c r="R915" s="792"/>
      <c r="S915" s="792"/>
      <c r="T915" s="792"/>
      <c r="U915" s="792"/>
      <c r="V915" s="793"/>
      <c r="W915" s="793"/>
      <c r="X915" s="792"/>
      <c r="Y915" s="792"/>
      <c r="Z915" s="792"/>
      <c r="AA915" s="792"/>
    </row>
    <row r="916" spans="1:27" ht="15.75" customHeight="1">
      <c r="A916" s="792"/>
      <c r="B916" s="792"/>
      <c r="C916" s="792"/>
      <c r="D916" s="792"/>
      <c r="E916" s="792"/>
      <c r="F916" s="792"/>
      <c r="G916" s="792"/>
      <c r="H916" s="792"/>
      <c r="I916" s="792"/>
      <c r="J916" s="792"/>
      <c r="K916" s="792"/>
      <c r="L916" s="792"/>
      <c r="M916" s="792"/>
      <c r="N916" s="792"/>
      <c r="O916" s="792"/>
      <c r="P916" s="792"/>
      <c r="Q916" s="1169"/>
      <c r="R916" s="792"/>
      <c r="S916" s="792"/>
      <c r="T916" s="792"/>
      <c r="U916" s="792"/>
      <c r="V916" s="793"/>
      <c r="W916" s="793"/>
      <c r="X916" s="792"/>
      <c r="Y916" s="792"/>
      <c r="Z916" s="792"/>
      <c r="AA916" s="792"/>
    </row>
    <row r="917" spans="1:27" ht="15.75" customHeight="1">
      <c r="A917" s="792"/>
      <c r="B917" s="792"/>
      <c r="C917" s="792"/>
      <c r="D917" s="792"/>
      <c r="E917" s="792"/>
      <c r="F917" s="792"/>
      <c r="G917" s="792"/>
      <c r="H917" s="792"/>
      <c r="I917" s="792"/>
      <c r="J917" s="792"/>
      <c r="K917" s="792"/>
      <c r="L917" s="792"/>
      <c r="M917" s="792"/>
      <c r="N917" s="792"/>
      <c r="O917" s="792"/>
      <c r="P917" s="792"/>
      <c r="Q917" s="1169"/>
      <c r="R917" s="792"/>
      <c r="S917" s="792"/>
      <c r="T917" s="792"/>
      <c r="U917" s="792"/>
      <c r="V917" s="793"/>
      <c r="W917" s="793"/>
      <c r="X917" s="792"/>
      <c r="Y917" s="792"/>
      <c r="Z917" s="792"/>
      <c r="AA917" s="792"/>
    </row>
    <row r="918" spans="1:27" ht="15.75" customHeight="1">
      <c r="A918" s="792"/>
      <c r="B918" s="792"/>
      <c r="C918" s="792"/>
      <c r="D918" s="792"/>
      <c r="E918" s="792"/>
      <c r="F918" s="792"/>
      <c r="G918" s="792"/>
      <c r="H918" s="792"/>
      <c r="I918" s="792"/>
      <c r="J918" s="792"/>
      <c r="K918" s="792"/>
      <c r="L918" s="792"/>
      <c r="M918" s="792"/>
      <c r="N918" s="792"/>
      <c r="O918" s="792"/>
      <c r="P918" s="792"/>
      <c r="Q918" s="1169"/>
      <c r="R918" s="792"/>
      <c r="S918" s="792"/>
      <c r="T918" s="792"/>
      <c r="U918" s="792"/>
      <c r="V918" s="793"/>
      <c r="W918" s="793"/>
      <c r="X918" s="792"/>
      <c r="Y918" s="792"/>
      <c r="Z918" s="792"/>
      <c r="AA918" s="792"/>
    </row>
    <row r="919" spans="1:27" ht="15.75" customHeight="1">
      <c r="A919" s="792"/>
      <c r="B919" s="792"/>
      <c r="C919" s="792"/>
      <c r="D919" s="792"/>
      <c r="E919" s="792"/>
      <c r="F919" s="792"/>
      <c r="G919" s="792"/>
      <c r="H919" s="792"/>
      <c r="I919" s="792"/>
      <c r="J919" s="792"/>
      <c r="K919" s="792"/>
      <c r="L919" s="792"/>
      <c r="M919" s="792"/>
      <c r="N919" s="792"/>
      <c r="O919" s="792"/>
      <c r="P919" s="792"/>
      <c r="Q919" s="1169"/>
      <c r="R919" s="792"/>
      <c r="S919" s="792"/>
      <c r="T919" s="792"/>
      <c r="U919" s="792"/>
      <c r="V919" s="793"/>
      <c r="W919" s="793"/>
      <c r="X919" s="792"/>
      <c r="Y919" s="792"/>
      <c r="Z919" s="792"/>
      <c r="AA919" s="792"/>
    </row>
    <row r="920" spans="1:27" ht="15.75" customHeight="1">
      <c r="A920" s="792"/>
      <c r="B920" s="792"/>
      <c r="C920" s="792"/>
      <c r="D920" s="792"/>
      <c r="E920" s="792"/>
      <c r="F920" s="792"/>
      <c r="G920" s="792"/>
      <c r="H920" s="792"/>
      <c r="I920" s="792"/>
      <c r="J920" s="792"/>
      <c r="K920" s="792"/>
      <c r="L920" s="792"/>
      <c r="M920" s="792"/>
      <c r="N920" s="792"/>
      <c r="O920" s="792"/>
      <c r="P920" s="792"/>
      <c r="Q920" s="1169"/>
      <c r="R920" s="792"/>
      <c r="S920" s="792"/>
      <c r="T920" s="792"/>
      <c r="U920" s="792"/>
      <c r="V920" s="793"/>
      <c r="W920" s="793"/>
      <c r="X920" s="792"/>
      <c r="Y920" s="792"/>
      <c r="Z920" s="792"/>
      <c r="AA920" s="792"/>
    </row>
    <row r="921" spans="1:27" ht="15.75" customHeight="1">
      <c r="A921" s="792"/>
      <c r="B921" s="792"/>
      <c r="C921" s="792"/>
      <c r="D921" s="792"/>
      <c r="E921" s="792"/>
      <c r="F921" s="792"/>
      <c r="G921" s="792"/>
      <c r="H921" s="792"/>
      <c r="I921" s="792"/>
      <c r="J921" s="792"/>
      <c r="K921" s="792"/>
      <c r="L921" s="792"/>
      <c r="M921" s="792"/>
      <c r="N921" s="792"/>
      <c r="O921" s="792"/>
      <c r="P921" s="792"/>
      <c r="Q921" s="1169"/>
      <c r="R921" s="792"/>
      <c r="S921" s="792"/>
      <c r="T921" s="792"/>
      <c r="U921" s="792"/>
      <c r="V921" s="793"/>
      <c r="W921" s="793"/>
      <c r="X921" s="792"/>
      <c r="Y921" s="792"/>
      <c r="Z921" s="792"/>
      <c r="AA921" s="792"/>
    </row>
    <row r="922" spans="1:27" ht="15.75" customHeight="1">
      <c r="A922" s="792"/>
      <c r="B922" s="792"/>
      <c r="C922" s="792"/>
      <c r="D922" s="792"/>
      <c r="E922" s="792"/>
      <c r="F922" s="792"/>
      <c r="G922" s="792"/>
      <c r="H922" s="792"/>
      <c r="I922" s="792"/>
      <c r="J922" s="792"/>
      <c r="K922" s="792"/>
      <c r="L922" s="792"/>
      <c r="M922" s="792"/>
      <c r="N922" s="792"/>
      <c r="O922" s="792"/>
      <c r="P922" s="792"/>
      <c r="Q922" s="1169"/>
      <c r="R922" s="792"/>
      <c r="S922" s="792"/>
      <c r="T922" s="792"/>
      <c r="U922" s="792"/>
      <c r="V922" s="793"/>
      <c r="W922" s="793"/>
      <c r="X922" s="792"/>
      <c r="Y922" s="792"/>
      <c r="Z922" s="792"/>
      <c r="AA922" s="792"/>
    </row>
    <row r="923" spans="1:27" ht="15.75" customHeight="1">
      <c r="A923" s="792"/>
      <c r="B923" s="792"/>
      <c r="C923" s="792"/>
      <c r="D923" s="792"/>
      <c r="E923" s="792"/>
      <c r="F923" s="792"/>
      <c r="G923" s="792"/>
      <c r="H923" s="792"/>
      <c r="I923" s="792"/>
      <c r="J923" s="792"/>
      <c r="K923" s="792"/>
      <c r="L923" s="792"/>
      <c r="M923" s="792"/>
      <c r="N923" s="792"/>
      <c r="O923" s="792"/>
      <c r="P923" s="792"/>
      <c r="Q923" s="1169"/>
      <c r="R923" s="792"/>
      <c r="S923" s="792"/>
      <c r="T923" s="792"/>
      <c r="U923" s="792"/>
      <c r="V923" s="793"/>
      <c r="W923" s="793"/>
      <c r="X923" s="792"/>
      <c r="Y923" s="792"/>
      <c r="Z923" s="792"/>
      <c r="AA923" s="792"/>
    </row>
    <row r="924" spans="1:27" ht="15.75" customHeight="1">
      <c r="A924" s="792"/>
      <c r="B924" s="792"/>
      <c r="C924" s="792"/>
      <c r="D924" s="792"/>
      <c r="E924" s="792"/>
      <c r="F924" s="792"/>
      <c r="G924" s="792"/>
      <c r="H924" s="792"/>
      <c r="I924" s="792"/>
      <c r="J924" s="792"/>
      <c r="K924" s="792"/>
      <c r="L924" s="792"/>
      <c r="M924" s="792"/>
      <c r="N924" s="792"/>
      <c r="O924" s="792"/>
      <c r="P924" s="792"/>
      <c r="Q924" s="1169"/>
      <c r="R924" s="792"/>
      <c r="S924" s="792"/>
      <c r="T924" s="792"/>
      <c r="U924" s="792"/>
      <c r="V924" s="793"/>
      <c r="W924" s="793"/>
      <c r="X924" s="792"/>
      <c r="Y924" s="792"/>
      <c r="Z924" s="792"/>
      <c r="AA924" s="792"/>
    </row>
    <row r="925" spans="1:27" ht="15.75" customHeight="1">
      <c r="A925" s="792"/>
      <c r="B925" s="792"/>
      <c r="C925" s="792"/>
      <c r="D925" s="792"/>
      <c r="E925" s="792"/>
      <c r="F925" s="792"/>
      <c r="G925" s="792"/>
      <c r="H925" s="792"/>
      <c r="I925" s="792"/>
      <c r="J925" s="792"/>
      <c r="K925" s="792"/>
      <c r="L925" s="792"/>
      <c r="M925" s="792"/>
      <c r="N925" s="792"/>
      <c r="O925" s="792"/>
      <c r="P925" s="792"/>
      <c r="Q925" s="1169"/>
      <c r="R925" s="792"/>
      <c r="S925" s="792"/>
      <c r="T925" s="792"/>
      <c r="U925" s="792"/>
      <c r="V925" s="793"/>
      <c r="W925" s="793"/>
      <c r="X925" s="792"/>
      <c r="Y925" s="792"/>
      <c r="Z925" s="792"/>
      <c r="AA925" s="792"/>
    </row>
    <row r="926" spans="1:27" ht="15.75" customHeight="1">
      <c r="A926" s="792"/>
      <c r="B926" s="792"/>
      <c r="C926" s="792"/>
      <c r="D926" s="792"/>
      <c r="E926" s="792"/>
      <c r="F926" s="792"/>
      <c r="G926" s="792"/>
      <c r="H926" s="792"/>
      <c r="I926" s="792"/>
      <c r="J926" s="792"/>
      <c r="K926" s="792"/>
      <c r="L926" s="792"/>
      <c r="M926" s="792"/>
      <c r="N926" s="792"/>
      <c r="O926" s="792"/>
      <c r="P926" s="792"/>
      <c r="Q926" s="1169"/>
      <c r="R926" s="792"/>
      <c r="S926" s="792"/>
      <c r="T926" s="792"/>
      <c r="U926" s="792"/>
      <c r="V926" s="793"/>
      <c r="W926" s="793"/>
      <c r="X926" s="792"/>
      <c r="Y926" s="792"/>
      <c r="Z926" s="792"/>
      <c r="AA926" s="792"/>
    </row>
    <row r="927" spans="1:27" ht="15.75" customHeight="1">
      <c r="A927" s="792"/>
      <c r="B927" s="792"/>
      <c r="C927" s="792"/>
      <c r="D927" s="792"/>
      <c r="E927" s="792"/>
      <c r="F927" s="792"/>
      <c r="G927" s="792"/>
      <c r="H927" s="792"/>
      <c r="I927" s="792"/>
      <c r="J927" s="792"/>
      <c r="K927" s="792"/>
      <c r="L927" s="792"/>
      <c r="M927" s="792"/>
      <c r="N927" s="792"/>
      <c r="O927" s="792"/>
      <c r="P927" s="792"/>
      <c r="Q927" s="1169"/>
      <c r="R927" s="792"/>
      <c r="S927" s="792"/>
      <c r="T927" s="792"/>
      <c r="U927" s="792"/>
      <c r="V927" s="793"/>
      <c r="W927" s="793"/>
      <c r="X927" s="792"/>
      <c r="Y927" s="792"/>
      <c r="Z927" s="792"/>
      <c r="AA927" s="792"/>
    </row>
    <row r="928" spans="1:27" ht="15.75" customHeight="1">
      <c r="A928" s="792"/>
      <c r="B928" s="792"/>
      <c r="C928" s="792"/>
      <c r="D928" s="792"/>
      <c r="E928" s="792"/>
      <c r="F928" s="792"/>
      <c r="G928" s="792"/>
      <c r="H928" s="792"/>
      <c r="I928" s="792"/>
      <c r="J928" s="792"/>
      <c r="K928" s="792"/>
      <c r="L928" s="792"/>
      <c r="M928" s="792"/>
      <c r="N928" s="792"/>
      <c r="O928" s="792"/>
      <c r="P928" s="792"/>
      <c r="Q928" s="1169"/>
      <c r="R928" s="792"/>
      <c r="S928" s="792"/>
      <c r="T928" s="792"/>
      <c r="U928" s="792"/>
      <c r="V928" s="793"/>
      <c r="W928" s="793"/>
      <c r="X928" s="792"/>
      <c r="Y928" s="792"/>
      <c r="Z928" s="792"/>
      <c r="AA928" s="792"/>
    </row>
    <row r="929" spans="1:27" ht="15.75" customHeight="1">
      <c r="A929" s="792"/>
      <c r="B929" s="792"/>
      <c r="C929" s="792"/>
      <c r="D929" s="792"/>
      <c r="E929" s="792"/>
      <c r="F929" s="792"/>
      <c r="G929" s="792"/>
      <c r="H929" s="792"/>
      <c r="I929" s="792"/>
      <c r="J929" s="792"/>
      <c r="K929" s="792"/>
      <c r="L929" s="792"/>
      <c r="M929" s="792"/>
      <c r="N929" s="792"/>
      <c r="O929" s="792"/>
      <c r="P929" s="792"/>
      <c r="Q929" s="1169"/>
      <c r="R929" s="792"/>
      <c r="S929" s="792"/>
      <c r="T929" s="792"/>
      <c r="U929" s="792"/>
      <c r="V929" s="793"/>
      <c r="W929" s="793"/>
      <c r="X929" s="792"/>
      <c r="Y929" s="792"/>
      <c r="Z929" s="792"/>
      <c r="AA929" s="792"/>
    </row>
    <row r="930" spans="1:27" ht="15.75" customHeight="1">
      <c r="A930" s="792"/>
      <c r="B930" s="792"/>
      <c r="C930" s="792"/>
      <c r="D930" s="792"/>
      <c r="E930" s="792"/>
      <c r="F930" s="792"/>
      <c r="G930" s="792"/>
      <c r="H930" s="792"/>
      <c r="I930" s="792"/>
      <c r="J930" s="792"/>
      <c r="K930" s="792"/>
      <c r="L930" s="792"/>
      <c r="M930" s="792"/>
      <c r="N930" s="792"/>
      <c r="O930" s="792"/>
      <c r="P930" s="792"/>
      <c r="Q930" s="1169"/>
      <c r="R930" s="792"/>
      <c r="S930" s="792"/>
      <c r="T930" s="792"/>
      <c r="U930" s="792"/>
      <c r="V930" s="793"/>
      <c r="W930" s="793"/>
      <c r="X930" s="792"/>
      <c r="Y930" s="792"/>
      <c r="Z930" s="792"/>
      <c r="AA930" s="792"/>
    </row>
    <row r="931" spans="1:27" ht="15.75" customHeight="1">
      <c r="A931" s="792"/>
      <c r="B931" s="792"/>
      <c r="C931" s="792"/>
      <c r="D931" s="792"/>
      <c r="E931" s="792"/>
      <c r="F931" s="792"/>
      <c r="G931" s="792"/>
      <c r="H931" s="792"/>
      <c r="I931" s="792"/>
      <c r="J931" s="792"/>
      <c r="K931" s="792"/>
      <c r="L931" s="792"/>
      <c r="M931" s="792"/>
      <c r="N931" s="792"/>
      <c r="O931" s="792"/>
      <c r="P931" s="792"/>
      <c r="Q931" s="1169"/>
      <c r="R931" s="792"/>
      <c r="S931" s="792"/>
      <c r="T931" s="792"/>
      <c r="U931" s="792"/>
      <c r="V931" s="793"/>
      <c r="W931" s="793"/>
      <c r="X931" s="792"/>
      <c r="Y931" s="792"/>
      <c r="Z931" s="792"/>
      <c r="AA931" s="792"/>
    </row>
    <row r="932" spans="1:27" ht="15.75" customHeight="1">
      <c r="A932" s="792"/>
      <c r="B932" s="792"/>
      <c r="C932" s="792"/>
      <c r="D932" s="792"/>
      <c r="E932" s="792"/>
      <c r="F932" s="792"/>
      <c r="G932" s="792"/>
      <c r="H932" s="792"/>
      <c r="I932" s="792"/>
      <c r="J932" s="792"/>
      <c r="K932" s="792"/>
      <c r="L932" s="792"/>
      <c r="M932" s="792"/>
      <c r="N932" s="792"/>
      <c r="O932" s="792"/>
      <c r="P932" s="792"/>
      <c r="Q932" s="1169"/>
      <c r="R932" s="792"/>
      <c r="S932" s="792"/>
      <c r="T932" s="792"/>
      <c r="U932" s="792"/>
      <c r="V932" s="793"/>
      <c r="W932" s="793"/>
      <c r="X932" s="792"/>
      <c r="Y932" s="792"/>
      <c r="Z932" s="792"/>
      <c r="AA932" s="792"/>
    </row>
    <row r="933" spans="1:27" ht="15.75" customHeight="1">
      <c r="A933" s="792"/>
      <c r="B933" s="792"/>
      <c r="C933" s="792"/>
      <c r="D933" s="792"/>
      <c r="E933" s="792"/>
      <c r="F933" s="792"/>
      <c r="G933" s="792"/>
      <c r="H933" s="792"/>
      <c r="I933" s="792"/>
      <c r="J933" s="792"/>
      <c r="K933" s="792"/>
      <c r="L933" s="792"/>
      <c r="M933" s="792"/>
      <c r="N933" s="792"/>
      <c r="O933" s="792"/>
      <c r="P933" s="792"/>
      <c r="Q933" s="1169"/>
      <c r="R933" s="792"/>
      <c r="S933" s="792"/>
      <c r="T933" s="792"/>
      <c r="U933" s="792"/>
      <c r="V933" s="793"/>
      <c r="W933" s="793"/>
      <c r="X933" s="792"/>
      <c r="Y933" s="792"/>
      <c r="Z933" s="792"/>
      <c r="AA933" s="792"/>
    </row>
    <row r="934" spans="1:27" ht="15.75" customHeight="1">
      <c r="A934" s="792"/>
      <c r="B934" s="792"/>
      <c r="C934" s="792"/>
      <c r="D934" s="792"/>
      <c r="E934" s="792"/>
      <c r="F934" s="792"/>
      <c r="G934" s="792"/>
      <c r="H934" s="792"/>
      <c r="I934" s="792"/>
      <c r="J934" s="792"/>
      <c r="K934" s="792"/>
      <c r="L934" s="792"/>
      <c r="M934" s="792"/>
      <c r="N934" s="792"/>
      <c r="O934" s="792"/>
      <c r="P934" s="792"/>
      <c r="Q934" s="1169"/>
      <c r="R934" s="792"/>
      <c r="S934" s="792"/>
      <c r="T934" s="792"/>
      <c r="U934" s="792"/>
      <c r="V934" s="793"/>
      <c r="W934" s="793"/>
      <c r="X934" s="792"/>
      <c r="Y934" s="792"/>
      <c r="Z934" s="792"/>
      <c r="AA934" s="792"/>
    </row>
    <row r="935" spans="1:27" ht="15.75" customHeight="1">
      <c r="A935" s="792"/>
      <c r="B935" s="792"/>
      <c r="C935" s="792"/>
      <c r="D935" s="792"/>
      <c r="E935" s="792"/>
      <c r="F935" s="792"/>
      <c r="G935" s="792"/>
      <c r="H935" s="792"/>
      <c r="I935" s="792"/>
      <c r="J935" s="792"/>
      <c r="K935" s="792"/>
      <c r="L935" s="792"/>
      <c r="M935" s="792"/>
      <c r="N935" s="792"/>
      <c r="O935" s="792"/>
      <c r="P935" s="792"/>
      <c r="Q935" s="1169"/>
      <c r="R935" s="792"/>
      <c r="S935" s="792"/>
      <c r="T935" s="792"/>
      <c r="U935" s="792"/>
      <c r="V935" s="793"/>
      <c r="W935" s="793"/>
      <c r="X935" s="792"/>
      <c r="Y935" s="792"/>
      <c r="Z935" s="792"/>
      <c r="AA935" s="792"/>
    </row>
    <row r="936" spans="1:27" ht="15.75" customHeight="1">
      <c r="A936" s="792"/>
      <c r="B936" s="792"/>
      <c r="C936" s="792"/>
      <c r="D936" s="792"/>
      <c r="E936" s="792"/>
      <c r="F936" s="792"/>
      <c r="G936" s="792"/>
      <c r="H936" s="792"/>
      <c r="I936" s="792"/>
      <c r="J936" s="792"/>
      <c r="K936" s="792"/>
      <c r="L936" s="792"/>
      <c r="M936" s="792"/>
      <c r="N936" s="792"/>
      <c r="O936" s="792"/>
      <c r="P936" s="792"/>
      <c r="Q936" s="1169"/>
      <c r="R936" s="792"/>
      <c r="S936" s="792"/>
      <c r="T936" s="792"/>
      <c r="U936" s="792"/>
      <c r="V936" s="793"/>
      <c r="W936" s="793"/>
      <c r="X936" s="792"/>
      <c r="Y936" s="792"/>
      <c r="Z936" s="792"/>
      <c r="AA936" s="792"/>
    </row>
    <row r="937" spans="1:27" ht="15.75" customHeight="1">
      <c r="A937" s="792"/>
      <c r="B937" s="792"/>
      <c r="C937" s="792"/>
      <c r="D937" s="792"/>
      <c r="E937" s="792"/>
      <c r="F937" s="792"/>
      <c r="G937" s="792"/>
      <c r="H937" s="792"/>
      <c r="I937" s="792"/>
      <c r="J937" s="792"/>
      <c r="K937" s="792"/>
      <c r="L937" s="792"/>
      <c r="M937" s="792"/>
      <c r="N937" s="792"/>
      <c r="O937" s="792"/>
      <c r="P937" s="792"/>
      <c r="Q937" s="1169"/>
      <c r="R937" s="792"/>
      <c r="S937" s="792"/>
      <c r="T937" s="792"/>
      <c r="U937" s="792"/>
      <c r="V937" s="793"/>
      <c r="W937" s="793"/>
      <c r="X937" s="792"/>
      <c r="Y937" s="792"/>
      <c r="Z937" s="792"/>
      <c r="AA937" s="792"/>
    </row>
    <row r="938" spans="1:27" ht="15.75" customHeight="1">
      <c r="A938" s="792"/>
      <c r="B938" s="792"/>
      <c r="C938" s="792"/>
      <c r="D938" s="792"/>
      <c r="E938" s="792"/>
      <c r="F938" s="792"/>
      <c r="G938" s="792"/>
      <c r="H938" s="792"/>
      <c r="I938" s="792"/>
      <c r="J938" s="792"/>
      <c r="K938" s="792"/>
      <c r="L938" s="792"/>
      <c r="M938" s="792"/>
      <c r="N938" s="792"/>
      <c r="O938" s="792"/>
      <c r="P938" s="792"/>
      <c r="Q938" s="1169"/>
      <c r="R938" s="792"/>
      <c r="S938" s="792"/>
      <c r="T938" s="792"/>
      <c r="U938" s="792"/>
      <c r="V938" s="793"/>
      <c r="W938" s="793"/>
      <c r="X938" s="792"/>
      <c r="Y938" s="792"/>
      <c r="Z938" s="792"/>
      <c r="AA938" s="792"/>
    </row>
    <row r="939" spans="1:27" ht="15.75" customHeight="1">
      <c r="A939" s="792"/>
      <c r="B939" s="792"/>
      <c r="C939" s="792"/>
      <c r="D939" s="792"/>
      <c r="E939" s="792"/>
      <c r="F939" s="792"/>
      <c r="G939" s="792"/>
      <c r="H939" s="792"/>
      <c r="I939" s="792"/>
      <c r="J939" s="792"/>
      <c r="K939" s="792"/>
      <c r="L939" s="792"/>
      <c r="M939" s="792"/>
      <c r="N939" s="792"/>
      <c r="O939" s="792"/>
      <c r="P939" s="792"/>
      <c r="Q939" s="1169"/>
      <c r="R939" s="792"/>
      <c r="S939" s="792"/>
      <c r="T939" s="792"/>
      <c r="U939" s="792"/>
      <c r="V939" s="793"/>
      <c r="W939" s="793"/>
      <c r="X939" s="792"/>
      <c r="Y939" s="792"/>
      <c r="Z939" s="792"/>
      <c r="AA939" s="792"/>
    </row>
    <row r="940" spans="1:27" ht="15.75" customHeight="1">
      <c r="A940" s="792"/>
      <c r="B940" s="792"/>
      <c r="C940" s="792"/>
      <c r="D940" s="792"/>
      <c r="E940" s="792"/>
      <c r="F940" s="792"/>
      <c r="G940" s="792"/>
      <c r="H940" s="792"/>
      <c r="I940" s="792"/>
      <c r="J940" s="792"/>
      <c r="K940" s="792"/>
      <c r="L940" s="792"/>
      <c r="M940" s="792"/>
      <c r="N940" s="792"/>
      <c r="O940" s="792"/>
      <c r="P940" s="792"/>
      <c r="Q940" s="1169"/>
      <c r="R940" s="792"/>
      <c r="S940" s="792"/>
      <c r="T940" s="792"/>
      <c r="U940" s="792"/>
      <c r="V940" s="793"/>
      <c r="W940" s="793"/>
      <c r="X940" s="792"/>
      <c r="Y940" s="792"/>
      <c r="Z940" s="792"/>
      <c r="AA940" s="792"/>
    </row>
    <row r="941" spans="1:27" ht="15.75" customHeight="1">
      <c r="A941" s="792"/>
      <c r="B941" s="792"/>
      <c r="C941" s="792"/>
      <c r="D941" s="792"/>
      <c r="E941" s="792"/>
      <c r="F941" s="792"/>
      <c r="G941" s="792"/>
      <c r="H941" s="792"/>
      <c r="I941" s="792"/>
      <c r="J941" s="792"/>
      <c r="K941" s="792"/>
      <c r="L941" s="792"/>
      <c r="M941" s="792"/>
      <c r="N941" s="792"/>
      <c r="O941" s="792"/>
      <c r="P941" s="792"/>
      <c r="Q941" s="1169"/>
      <c r="R941" s="792"/>
      <c r="S941" s="792"/>
      <c r="T941" s="792"/>
      <c r="U941" s="792"/>
      <c r="V941" s="793"/>
      <c r="W941" s="793"/>
      <c r="X941" s="792"/>
      <c r="Y941" s="792"/>
      <c r="Z941" s="792"/>
      <c r="AA941" s="792"/>
    </row>
    <row r="942" spans="1:27" ht="15.75" customHeight="1">
      <c r="A942" s="792"/>
      <c r="B942" s="792"/>
      <c r="C942" s="792"/>
      <c r="D942" s="792"/>
      <c r="E942" s="792"/>
      <c r="F942" s="792"/>
      <c r="G942" s="792"/>
      <c r="H942" s="792"/>
      <c r="I942" s="792"/>
      <c r="J942" s="792"/>
      <c r="K942" s="792"/>
      <c r="L942" s="792"/>
      <c r="M942" s="792"/>
      <c r="N942" s="792"/>
      <c r="O942" s="792"/>
      <c r="P942" s="792"/>
      <c r="Q942" s="1169"/>
      <c r="R942" s="792"/>
      <c r="S942" s="792"/>
      <c r="T942" s="792"/>
      <c r="U942" s="792"/>
      <c r="V942" s="793"/>
      <c r="W942" s="793"/>
      <c r="X942" s="792"/>
      <c r="Y942" s="792"/>
      <c r="Z942" s="792"/>
      <c r="AA942" s="792"/>
    </row>
    <row r="943" spans="1:27" ht="15.75" customHeight="1">
      <c r="A943" s="792"/>
      <c r="B943" s="792"/>
      <c r="C943" s="792"/>
      <c r="D943" s="792"/>
      <c r="E943" s="792"/>
      <c r="F943" s="792"/>
      <c r="G943" s="792"/>
      <c r="H943" s="792"/>
      <c r="I943" s="792"/>
      <c r="J943" s="792"/>
      <c r="K943" s="792"/>
      <c r="L943" s="792"/>
      <c r="M943" s="792"/>
      <c r="N943" s="792"/>
      <c r="O943" s="792"/>
      <c r="P943" s="792"/>
      <c r="Q943" s="1169"/>
      <c r="R943" s="792"/>
      <c r="S943" s="792"/>
      <c r="T943" s="792"/>
      <c r="U943" s="792"/>
      <c r="V943" s="793"/>
      <c r="W943" s="793"/>
      <c r="X943" s="792"/>
      <c r="Y943" s="792"/>
      <c r="Z943" s="792"/>
      <c r="AA943" s="792"/>
    </row>
    <row r="944" spans="1:27" ht="15.75" customHeight="1">
      <c r="A944" s="792"/>
      <c r="B944" s="792"/>
      <c r="C944" s="792"/>
      <c r="D944" s="792"/>
      <c r="E944" s="792"/>
      <c r="F944" s="792"/>
      <c r="G944" s="792"/>
      <c r="H944" s="792"/>
      <c r="I944" s="792"/>
      <c r="J944" s="792"/>
      <c r="K944" s="792"/>
      <c r="L944" s="792"/>
      <c r="M944" s="792"/>
      <c r="N944" s="792"/>
      <c r="O944" s="792"/>
      <c r="P944" s="792"/>
      <c r="Q944" s="1169"/>
      <c r="R944" s="792"/>
      <c r="S944" s="792"/>
      <c r="T944" s="792"/>
      <c r="U944" s="792"/>
      <c r="V944" s="793"/>
      <c r="W944" s="793"/>
      <c r="X944" s="792"/>
      <c r="Y944" s="792"/>
      <c r="Z944" s="792"/>
      <c r="AA944" s="792"/>
    </row>
    <row r="945" spans="1:27" ht="15.75" customHeight="1">
      <c r="A945" s="792"/>
      <c r="B945" s="792"/>
      <c r="C945" s="792"/>
      <c r="D945" s="792"/>
      <c r="E945" s="792"/>
      <c r="F945" s="792"/>
      <c r="G945" s="792"/>
      <c r="H945" s="792"/>
      <c r="I945" s="792"/>
      <c r="J945" s="792"/>
      <c r="K945" s="792"/>
      <c r="L945" s="792"/>
      <c r="M945" s="792"/>
      <c r="N945" s="792"/>
      <c r="O945" s="792"/>
      <c r="P945" s="792"/>
      <c r="Q945" s="1169"/>
      <c r="R945" s="792"/>
      <c r="S945" s="792"/>
      <c r="T945" s="792"/>
      <c r="U945" s="792"/>
      <c r="V945" s="793"/>
      <c r="W945" s="793"/>
      <c r="X945" s="792"/>
      <c r="Y945" s="792"/>
      <c r="Z945" s="792"/>
      <c r="AA945" s="792"/>
    </row>
    <row r="946" spans="1:27" ht="15.75" customHeight="1">
      <c r="A946" s="792"/>
      <c r="B946" s="792"/>
      <c r="C946" s="792"/>
      <c r="D946" s="792"/>
      <c r="E946" s="792"/>
      <c r="F946" s="792"/>
      <c r="G946" s="792"/>
      <c r="H946" s="792"/>
      <c r="I946" s="792"/>
      <c r="J946" s="792"/>
      <c r="K946" s="792"/>
      <c r="L946" s="792"/>
      <c r="M946" s="792"/>
      <c r="N946" s="792"/>
      <c r="O946" s="792"/>
      <c r="P946" s="792"/>
      <c r="Q946" s="1169"/>
      <c r="R946" s="792"/>
      <c r="S946" s="792"/>
      <c r="T946" s="792"/>
      <c r="U946" s="792"/>
      <c r="V946" s="793"/>
      <c r="W946" s="793"/>
      <c r="X946" s="792"/>
      <c r="Y946" s="792"/>
      <c r="Z946" s="792"/>
      <c r="AA946" s="792"/>
    </row>
    <row r="947" spans="1:27" ht="15.75" customHeight="1">
      <c r="A947" s="792"/>
      <c r="B947" s="792"/>
      <c r="C947" s="792"/>
      <c r="D947" s="792"/>
      <c r="E947" s="792"/>
      <c r="F947" s="792"/>
      <c r="G947" s="792"/>
      <c r="H947" s="792"/>
      <c r="I947" s="792"/>
      <c r="J947" s="792"/>
      <c r="K947" s="792"/>
      <c r="L947" s="792"/>
      <c r="M947" s="792"/>
      <c r="N947" s="792"/>
      <c r="O947" s="792"/>
      <c r="P947" s="792"/>
      <c r="Q947" s="1169"/>
      <c r="R947" s="792"/>
      <c r="S947" s="792"/>
      <c r="T947" s="792"/>
      <c r="U947" s="792"/>
      <c r="V947" s="793"/>
      <c r="W947" s="793"/>
      <c r="X947" s="792"/>
      <c r="Y947" s="792"/>
      <c r="Z947" s="792"/>
      <c r="AA947" s="792"/>
    </row>
    <row r="948" spans="1:27" ht="15.75" customHeight="1">
      <c r="A948" s="792"/>
      <c r="B948" s="792"/>
      <c r="C948" s="792"/>
      <c r="D948" s="792"/>
      <c r="E948" s="792"/>
      <c r="F948" s="792"/>
      <c r="G948" s="792"/>
      <c r="H948" s="792"/>
      <c r="I948" s="792"/>
      <c r="J948" s="792"/>
      <c r="K948" s="792"/>
      <c r="L948" s="792"/>
      <c r="M948" s="792"/>
      <c r="N948" s="792"/>
      <c r="O948" s="792"/>
      <c r="P948" s="792"/>
      <c r="Q948" s="1169"/>
      <c r="R948" s="792"/>
      <c r="S948" s="792"/>
      <c r="T948" s="792"/>
      <c r="U948" s="792"/>
      <c r="V948" s="793"/>
      <c r="W948" s="793"/>
      <c r="X948" s="792"/>
      <c r="Y948" s="792"/>
      <c r="Z948" s="792"/>
      <c r="AA948" s="792"/>
    </row>
    <row r="949" spans="1:27" ht="15.75" customHeight="1">
      <c r="A949" s="792"/>
      <c r="B949" s="792"/>
      <c r="C949" s="792"/>
      <c r="D949" s="792"/>
      <c r="E949" s="792"/>
      <c r="F949" s="792"/>
      <c r="G949" s="792"/>
      <c r="H949" s="792"/>
      <c r="I949" s="792"/>
      <c r="J949" s="792"/>
      <c r="K949" s="792"/>
      <c r="L949" s="792"/>
      <c r="M949" s="792"/>
      <c r="N949" s="792"/>
      <c r="O949" s="792"/>
      <c r="P949" s="792"/>
      <c r="Q949" s="1169"/>
      <c r="R949" s="792"/>
      <c r="S949" s="792"/>
      <c r="T949" s="792"/>
      <c r="U949" s="792"/>
      <c r="V949" s="793"/>
      <c r="W949" s="793"/>
      <c r="X949" s="792"/>
      <c r="Y949" s="792"/>
      <c r="Z949" s="792"/>
      <c r="AA949" s="792"/>
    </row>
    <row r="950" spans="1:27" ht="15.75" customHeight="1">
      <c r="A950" s="792"/>
      <c r="B950" s="792"/>
      <c r="C950" s="792"/>
      <c r="D950" s="792"/>
      <c r="E950" s="792"/>
      <c r="F950" s="792"/>
      <c r="G950" s="792"/>
      <c r="H950" s="792"/>
      <c r="I950" s="792"/>
      <c r="J950" s="792"/>
      <c r="K950" s="792"/>
      <c r="L950" s="792"/>
      <c r="M950" s="792"/>
      <c r="N950" s="792"/>
      <c r="O950" s="792"/>
      <c r="P950" s="792"/>
      <c r="Q950" s="1169"/>
      <c r="R950" s="792"/>
      <c r="S950" s="792"/>
      <c r="T950" s="792"/>
      <c r="U950" s="792"/>
      <c r="V950" s="793"/>
      <c r="W950" s="793"/>
      <c r="X950" s="792"/>
      <c r="Y950" s="792"/>
      <c r="Z950" s="792"/>
      <c r="AA950" s="792"/>
    </row>
    <row r="951" spans="1:27" ht="15.75" customHeight="1">
      <c r="A951" s="792"/>
      <c r="B951" s="792"/>
      <c r="C951" s="792"/>
      <c r="D951" s="792"/>
      <c r="E951" s="792"/>
      <c r="F951" s="792"/>
      <c r="G951" s="792"/>
      <c r="H951" s="792"/>
      <c r="I951" s="792"/>
      <c r="J951" s="792"/>
      <c r="K951" s="792"/>
      <c r="L951" s="792"/>
      <c r="M951" s="792"/>
      <c r="N951" s="792"/>
      <c r="O951" s="792"/>
      <c r="P951" s="792"/>
      <c r="Q951" s="1169"/>
      <c r="R951" s="792"/>
      <c r="S951" s="792"/>
      <c r="T951" s="792"/>
      <c r="U951" s="792"/>
      <c r="V951" s="793"/>
      <c r="W951" s="793"/>
      <c r="X951" s="792"/>
      <c r="Y951" s="792"/>
      <c r="Z951" s="792"/>
      <c r="AA951" s="792"/>
    </row>
    <row r="952" spans="1:27" ht="15.75" customHeight="1">
      <c r="A952" s="792"/>
      <c r="B952" s="792"/>
      <c r="C952" s="792"/>
      <c r="D952" s="792"/>
      <c r="E952" s="792"/>
      <c r="F952" s="792"/>
      <c r="G952" s="792"/>
      <c r="H952" s="792"/>
      <c r="I952" s="792"/>
      <c r="J952" s="792"/>
      <c r="K952" s="792"/>
      <c r="L952" s="792"/>
      <c r="M952" s="792"/>
      <c r="N952" s="792"/>
      <c r="O952" s="792"/>
      <c r="P952" s="792"/>
      <c r="Q952" s="1169"/>
      <c r="R952" s="792"/>
      <c r="S952" s="792"/>
      <c r="T952" s="792"/>
      <c r="U952" s="792"/>
      <c r="V952" s="793"/>
      <c r="W952" s="793"/>
      <c r="X952" s="792"/>
      <c r="Y952" s="792"/>
      <c r="Z952" s="792"/>
      <c r="AA952" s="792"/>
    </row>
    <row r="953" spans="1:27" ht="15.75" customHeight="1">
      <c r="A953" s="792"/>
      <c r="B953" s="792"/>
      <c r="C953" s="792"/>
      <c r="D953" s="792"/>
      <c r="E953" s="792"/>
      <c r="F953" s="792"/>
      <c r="G953" s="792"/>
      <c r="H953" s="792"/>
      <c r="I953" s="792"/>
      <c r="J953" s="792"/>
      <c r="K953" s="792"/>
      <c r="L953" s="792"/>
      <c r="M953" s="792"/>
      <c r="N953" s="792"/>
      <c r="O953" s="792"/>
      <c r="P953" s="792"/>
      <c r="Q953" s="1169"/>
      <c r="R953" s="792"/>
      <c r="S953" s="792"/>
      <c r="T953" s="792"/>
      <c r="U953" s="792"/>
      <c r="V953" s="793"/>
      <c r="W953" s="793"/>
      <c r="X953" s="792"/>
      <c r="Y953" s="792"/>
      <c r="Z953" s="792"/>
      <c r="AA953" s="792"/>
    </row>
    <row r="954" spans="1:27" ht="15.75" customHeight="1">
      <c r="A954" s="792"/>
      <c r="B954" s="792"/>
      <c r="C954" s="792"/>
      <c r="D954" s="792"/>
      <c r="E954" s="792"/>
      <c r="F954" s="792"/>
      <c r="G954" s="792"/>
      <c r="H954" s="792"/>
      <c r="I954" s="792"/>
      <c r="J954" s="792"/>
      <c r="K954" s="792"/>
      <c r="L954" s="792"/>
      <c r="M954" s="792"/>
      <c r="N954" s="792"/>
      <c r="O954" s="792"/>
      <c r="P954" s="792"/>
      <c r="Q954" s="1169"/>
      <c r="R954" s="792"/>
      <c r="S954" s="792"/>
      <c r="T954" s="792"/>
      <c r="U954" s="792"/>
      <c r="V954" s="793"/>
      <c r="W954" s="793"/>
      <c r="X954" s="792"/>
      <c r="Y954" s="792"/>
      <c r="Z954" s="792"/>
      <c r="AA954" s="792"/>
    </row>
    <row r="955" spans="1:27" ht="15.75" customHeight="1">
      <c r="A955" s="792"/>
      <c r="B955" s="792"/>
      <c r="C955" s="792"/>
      <c r="D955" s="792"/>
      <c r="E955" s="792"/>
      <c r="F955" s="792"/>
      <c r="G955" s="792"/>
      <c r="H955" s="792"/>
      <c r="I955" s="792"/>
      <c r="J955" s="792"/>
      <c r="K955" s="792"/>
      <c r="L955" s="792"/>
      <c r="M955" s="792"/>
      <c r="N955" s="792"/>
      <c r="O955" s="792"/>
      <c r="P955" s="792"/>
      <c r="Q955" s="1169"/>
      <c r="R955" s="792"/>
      <c r="S955" s="792"/>
      <c r="T955" s="792"/>
      <c r="U955" s="792"/>
      <c r="V955" s="793"/>
      <c r="W955" s="793"/>
      <c r="X955" s="792"/>
      <c r="Y955" s="792"/>
      <c r="Z955" s="792"/>
      <c r="AA955" s="792"/>
    </row>
    <row r="956" spans="1:27" ht="15.75" customHeight="1">
      <c r="A956" s="792"/>
      <c r="B956" s="792"/>
      <c r="C956" s="792"/>
      <c r="D956" s="792"/>
      <c r="E956" s="792"/>
      <c r="F956" s="792"/>
      <c r="G956" s="792"/>
      <c r="H956" s="792"/>
      <c r="I956" s="792"/>
      <c r="J956" s="792"/>
      <c r="K956" s="792"/>
      <c r="L956" s="792"/>
      <c r="M956" s="792"/>
      <c r="N956" s="792"/>
      <c r="O956" s="792"/>
      <c r="P956" s="792"/>
      <c r="Q956" s="1169"/>
      <c r="R956" s="792"/>
      <c r="S956" s="792"/>
      <c r="T956" s="792"/>
      <c r="U956" s="792"/>
      <c r="V956" s="793"/>
      <c r="W956" s="793"/>
      <c r="X956" s="792"/>
      <c r="Y956" s="792"/>
      <c r="Z956" s="792"/>
      <c r="AA956" s="792"/>
    </row>
    <row r="957" spans="1:27" ht="15.75" customHeight="1">
      <c r="A957" s="792"/>
      <c r="B957" s="792"/>
      <c r="C957" s="792"/>
      <c r="D957" s="792"/>
      <c r="E957" s="792"/>
      <c r="F957" s="792"/>
      <c r="G957" s="792"/>
      <c r="H957" s="792"/>
      <c r="I957" s="792"/>
      <c r="J957" s="792"/>
      <c r="K957" s="792"/>
      <c r="L957" s="792"/>
      <c r="M957" s="792"/>
      <c r="N957" s="792"/>
      <c r="O957" s="792"/>
      <c r="P957" s="792"/>
      <c r="Q957" s="1169"/>
      <c r="R957" s="792"/>
      <c r="S957" s="792"/>
      <c r="T957" s="792"/>
      <c r="U957" s="792"/>
      <c r="V957" s="793"/>
      <c r="W957" s="793"/>
      <c r="X957" s="792"/>
      <c r="Y957" s="792"/>
      <c r="Z957" s="792"/>
      <c r="AA957" s="792"/>
    </row>
    <row r="958" spans="1:27" ht="15.75" customHeight="1">
      <c r="A958" s="792"/>
      <c r="B958" s="792"/>
      <c r="C958" s="792"/>
      <c r="D958" s="792"/>
      <c r="E958" s="792"/>
      <c r="F958" s="792"/>
      <c r="G958" s="792"/>
      <c r="H958" s="792"/>
      <c r="I958" s="792"/>
      <c r="J958" s="792"/>
      <c r="K958" s="792"/>
      <c r="L958" s="792"/>
      <c r="M958" s="792"/>
      <c r="N958" s="792"/>
      <c r="O958" s="792"/>
      <c r="P958" s="792"/>
      <c r="Q958" s="1169"/>
      <c r="R958" s="792"/>
      <c r="S958" s="792"/>
      <c r="T958" s="792"/>
      <c r="U958" s="792"/>
      <c r="V958" s="793"/>
      <c r="W958" s="793"/>
      <c r="X958" s="792"/>
      <c r="Y958" s="792"/>
      <c r="Z958" s="792"/>
      <c r="AA958" s="792"/>
    </row>
    <row r="959" spans="1:27" ht="15.75" customHeight="1">
      <c r="A959" s="792"/>
      <c r="B959" s="792"/>
      <c r="C959" s="792"/>
      <c r="D959" s="792"/>
      <c r="E959" s="792"/>
      <c r="F959" s="792"/>
      <c r="G959" s="792"/>
      <c r="H959" s="792"/>
      <c r="I959" s="792"/>
      <c r="J959" s="792"/>
      <c r="K959" s="792"/>
      <c r="L959" s="792"/>
      <c r="M959" s="792"/>
      <c r="N959" s="792"/>
      <c r="O959" s="792"/>
      <c r="P959" s="792"/>
      <c r="Q959" s="1169"/>
      <c r="R959" s="792"/>
      <c r="S959" s="792"/>
      <c r="T959" s="792"/>
      <c r="U959" s="792"/>
      <c r="V959" s="793"/>
      <c r="W959" s="793"/>
      <c r="X959" s="792"/>
      <c r="Y959" s="792"/>
      <c r="Z959" s="792"/>
      <c r="AA959" s="792"/>
    </row>
    <row r="960" spans="1:27" ht="15.75" customHeight="1">
      <c r="A960" s="792"/>
      <c r="B960" s="792"/>
      <c r="C960" s="792"/>
      <c r="D960" s="792"/>
      <c r="E960" s="792"/>
      <c r="F960" s="792"/>
      <c r="G960" s="792"/>
      <c r="H960" s="792"/>
      <c r="I960" s="792"/>
      <c r="J960" s="792"/>
      <c r="K960" s="792"/>
      <c r="L960" s="792"/>
      <c r="M960" s="792"/>
      <c r="N960" s="792"/>
      <c r="O960" s="792"/>
      <c r="P960" s="792"/>
      <c r="Q960" s="1169"/>
      <c r="R960" s="792"/>
      <c r="S960" s="792"/>
      <c r="T960" s="792"/>
      <c r="U960" s="792"/>
      <c r="V960" s="793"/>
      <c r="W960" s="793"/>
      <c r="X960" s="792"/>
      <c r="Y960" s="792"/>
      <c r="Z960" s="792"/>
      <c r="AA960" s="792"/>
    </row>
    <row r="961" spans="1:27" ht="15.75" customHeight="1">
      <c r="A961" s="792"/>
      <c r="B961" s="792"/>
      <c r="C961" s="792"/>
      <c r="D961" s="792"/>
      <c r="E961" s="792"/>
      <c r="F961" s="792"/>
      <c r="G961" s="792"/>
      <c r="H961" s="792"/>
      <c r="I961" s="792"/>
      <c r="J961" s="792"/>
      <c r="K961" s="792"/>
      <c r="L961" s="792"/>
      <c r="M961" s="792"/>
      <c r="N961" s="792"/>
      <c r="O961" s="792"/>
      <c r="P961" s="792"/>
      <c r="Q961" s="1169"/>
      <c r="R961" s="792"/>
      <c r="S961" s="792"/>
      <c r="T961" s="792"/>
      <c r="U961" s="792"/>
      <c r="V961" s="793"/>
      <c r="W961" s="793"/>
      <c r="X961" s="792"/>
      <c r="Y961" s="792"/>
      <c r="Z961" s="792"/>
      <c r="AA961" s="792"/>
    </row>
    <row r="962" spans="1:27" ht="15.75" customHeight="1">
      <c r="A962" s="792"/>
      <c r="B962" s="792"/>
      <c r="C962" s="792"/>
      <c r="D962" s="792"/>
      <c r="E962" s="792"/>
      <c r="F962" s="792"/>
      <c r="G962" s="792"/>
      <c r="H962" s="792"/>
      <c r="I962" s="792"/>
      <c r="J962" s="792"/>
      <c r="K962" s="792"/>
      <c r="L962" s="792"/>
      <c r="M962" s="792"/>
      <c r="N962" s="792"/>
      <c r="O962" s="792"/>
      <c r="P962" s="792"/>
      <c r="Q962" s="1169"/>
      <c r="R962" s="792"/>
      <c r="S962" s="792"/>
      <c r="T962" s="792"/>
      <c r="U962" s="792"/>
      <c r="V962" s="793"/>
      <c r="W962" s="793"/>
      <c r="X962" s="792"/>
      <c r="Y962" s="792"/>
      <c r="Z962" s="792"/>
      <c r="AA962" s="792"/>
    </row>
    <row r="963" spans="1:27" ht="15.75" customHeight="1">
      <c r="A963" s="792"/>
      <c r="B963" s="792"/>
      <c r="C963" s="792"/>
      <c r="D963" s="792"/>
      <c r="E963" s="792"/>
      <c r="F963" s="792"/>
      <c r="G963" s="792"/>
      <c r="H963" s="792"/>
      <c r="I963" s="792"/>
      <c r="J963" s="792"/>
      <c r="K963" s="792"/>
      <c r="L963" s="792"/>
      <c r="M963" s="792"/>
      <c r="N963" s="792"/>
      <c r="O963" s="792"/>
      <c r="P963" s="792"/>
      <c r="Q963" s="1169"/>
      <c r="R963" s="792"/>
      <c r="S963" s="792"/>
      <c r="T963" s="792"/>
      <c r="U963" s="792"/>
      <c r="V963" s="793"/>
      <c r="W963" s="793"/>
      <c r="X963" s="792"/>
      <c r="Y963" s="792"/>
      <c r="Z963" s="792"/>
      <c r="AA963" s="792"/>
    </row>
    <row r="964" spans="1:27" ht="15.75" customHeight="1">
      <c r="A964" s="792"/>
      <c r="B964" s="792"/>
      <c r="C964" s="792"/>
      <c r="D964" s="792"/>
      <c r="E964" s="792"/>
      <c r="F964" s="792"/>
      <c r="G964" s="792"/>
      <c r="H964" s="792"/>
      <c r="I964" s="792"/>
      <c r="J964" s="792"/>
      <c r="K964" s="792"/>
      <c r="L964" s="792"/>
      <c r="M964" s="792"/>
      <c r="N964" s="792"/>
      <c r="O964" s="792"/>
      <c r="P964" s="792"/>
      <c r="Q964" s="1169"/>
      <c r="R964" s="792"/>
      <c r="S964" s="792"/>
      <c r="T964" s="792"/>
      <c r="U964" s="792"/>
      <c r="V964" s="793"/>
      <c r="W964" s="793"/>
      <c r="X964" s="792"/>
      <c r="Y964" s="792"/>
      <c r="Z964" s="792"/>
      <c r="AA964" s="792"/>
    </row>
    <row r="965" spans="1:27" ht="15.75" customHeight="1">
      <c r="A965" s="792"/>
      <c r="B965" s="792"/>
      <c r="C965" s="792"/>
      <c r="D965" s="792"/>
      <c r="E965" s="792"/>
      <c r="F965" s="792"/>
      <c r="G965" s="792"/>
      <c r="H965" s="792"/>
      <c r="I965" s="792"/>
      <c r="J965" s="792"/>
      <c r="K965" s="792"/>
      <c r="L965" s="792"/>
      <c r="M965" s="792"/>
      <c r="N965" s="792"/>
      <c r="O965" s="792"/>
      <c r="P965" s="792"/>
      <c r="Q965" s="1169"/>
      <c r="R965" s="792"/>
      <c r="S965" s="792"/>
      <c r="T965" s="792"/>
      <c r="U965" s="792"/>
      <c r="V965" s="793"/>
      <c r="W965" s="793"/>
      <c r="X965" s="792"/>
      <c r="Y965" s="792"/>
      <c r="Z965" s="792"/>
      <c r="AA965" s="792"/>
    </row>
    <row r="966" spans="1:27" ht="15.75" customHeight="1">
      <c r="A966" s="792"/>
      <c r="B966" s="792"/>
      <c r="C966" s="792"/>
      <c r="D966" s="792"/>
      <c r="E966" s="792"/>
      <c r="F966" s="792"/>
      <c r="G966" s="792"/>
      <c r="H966" s="792"/>
      <c r="I966" s="792"/>
      <c r="J966" s="792"/>
      <c r="K966" s="792"/>
      <c r="L966" s="792"/>
      <c r="M966" s="792"/>
      <c r="N966" s="792"/>
      <c r="O966" s="792"/>
      <c r="P966" s="792"/>
      <c r="Q966" s="1169"/>
      <c r="R966" s="792"/>
      <c r="S966" s="792"/>
      <c r="T966" s="792"/>
      <c r="U966" s="792"/>
      <c r="V966" s="793"/>
      <c r="W966" s="793"/>
      <c r="X966" s="792"/>
      <c r="Y966" s="792"/>
      <c r="Z966" s="792"/>
      <c r="AA966" s="792"/>
    </row>
    <row r="967" spans="1:27" ht="15.75" customHeight="1">
      <c r="A967" s="792"/>
      <c r="B967" s="792"/>
      <c r="C967" s="792"/>
      <c r="D967" s="792"/>
      <c r="E967" s="792"/>
      <c r="F967" s="792"/>
      <c r="G967" s="792"/>
      <c r="H967" s="792"/>
      <c r="I967" s="792"/>
      <c r="J967" s="792"/>
      <c r="K967" s="792"/>
      <c r="L967" s="792"/>
      <c r="M967" s="792"/>
      <c r="N967" s="792"/>
      <c r="O967" s="792"/>
      <c r="P967" s="792"/>
      <c r="Q967" s="1169"/>
      <c r="R967" s="792"/>
      <c r="S967" s="792"/>
      <c r="T967" s="792"/>
      <c r="U967" s="792"/>
      <c r="V967" s="793"/>
      <c r="W967" s="793"/>
      <c r="X967" s="792"/>
      <c r="Y967" s="792"/>
      <c r="Z967" s="792"/>
      <c r="AA967" s="792"/>
    </row>
    <row r="968" spans="1:27" ht="15.75" customHeight="1">
      <c r="A968" s="792"/>
      <c r="B968" s="792"/>
      <c r="C968" s="792"/>
      <c r="D968" s="792"/>
      <c r="E968" s="792"/>
      <c r="F968" s="792"/>
      <c r="G968" s="792"/>
      <c r="H968" s="792"/>
      <c r="I968" s="792"/>
      <c r="J968" s="792"/>
      <c r="K968" s="792"/>
      <c r="L968" s="792"/>
      <c r="M968" s="792"/>
      <c r="N968" s="792"/>
      <c r="O968" s="792"/>
      <c r="P968" s="792"/>
      <c r="Q968" s="1169"/>
      <c r="R968" s="792"/>
      <c r="S968" s="792"/>
      <c r="T968" s="792"/>
      <c r="U968" s="792"/>
      <c r="V968" s="793"/>
      <c r="W968" s="793"/>
      <c r="X968" s="792"/>
      <c r="Y968" s="792"/>
      <c r="Z968" s="792"/>
      <c r="AA968" s="792"/>
    </row>
    <row r="969" spans="1:27" ht="15.75" customHeight="1">
      <c r="A969" s="792"/>
      <c r="B969" s="792"/>
      <c r="C969" s="792"/>
      <c r="D969" s="792"/>
      <c r="E969" s="792"/>
      <c r="F969" s="792"/>
      <c r="G969" s="792"/>
      <c r="H969" s="792"/>
      <c r="I969" s="792"/>
      <c r="J969" s="792"/>
      <c r="K969" s="792"/>
      <c r="L969" s="792"/>
      <c r="M969" s="792"/>
      <c r="N969" s="792"/>
      <c r="O969" s="792"/>
      <c r="P969" s="792"/>
      <c r="Q969" s="1169"/>
      <c r="R969" s="792"/>
      <c r="S969" s="792"/>
      <c r="T969" s="792"/>
      <c r="U969" s="792"/>
      <c r="V969" s="793"/>
      <c r="W969" s="793"/>
      <c r="X969" s="792"/>
      <c r="Y969" s="792"/>
      <c r="Z969" s="792"/>
      <c r="AA969" s="792"/>
    </row>
    <row r="970" spans="1:27" ht="15.75" customHeight="1">
      <c r="A970" s="792"/>
      <c r="B970" s="792"/>
      <c r="C970" s="792"/>
      <c r="D970" s="792"/>
      <c r="E970" s="792"/>
      <c r="F970" s="792"/>
      <c r="G970" s="792"/>
      <c r="H970" s="792"/>
      <c r="I970" s="792"/>
      <c r="J970" s="792"/>
      <c r="K970" s="792"/>
      <c r="L970" s="792"/>
      <c r="M970" s="792"/>
      <c r="N970" s="792"/>
      <c r="O970" s="792"/>
      <c r="P970" s="792"/>
      <c r="Q970" s="1169"/>
      <c r="R970" s="792"/>
      <c r="S970" s="792"/>
      <c r="T970" s="792"/>
      <c r="U970" s="792"/>
      <c r="V970" s="793"/>
      <c r="W970" s="793"/>
      <c r="X970" s="792"/>
      <c r="Y970" s="792"/>
      <c r="Z970" s="792"/>
      <c r="AA970" s="792"/>
    </row>
    <row r="971" spans="1:27" ht="15.75" customHeight="1">
      <c r="A971" s="792"/>
      <c r="B971" s="792"/>
      <c r="C971" s="792"/>
      <c r="D971" s="792"/>
      <c r="E971" s="792"/>
      <c r="F971" s="792"/>
      <c r="G971" s="792"/>
      <c r="H971" s="792"/>
      <c r="I971" s="792"/>
      <c r="J971" s="792"/>
      <c r="K971" s="792"/>
      <c r="L971" s="792"/>
      <c r="M971" s="792"/>
      <c r="N971" s="792"/>
      <c r="O971" s="792"/>
      <c r="P971" s="792"/>
      <c r="Q971" s="1169"/>
      <c r="R971" s="792"/>
      <c r="S971" s="792"/>
      <c r="T971" s="792"/>
      <c r="U971" s="792"/>
      <c r="V971" s="793"/>
      <c r="W971" s="793"/>
      <c r="X971" s="792"/>
      <c r="Y971" s="792"/>
      <c r="Z971" s="792"/>
      <c r="AA971" s="792"/>
    </row>
    <row r="972" spans="1:27" ht="15.75" customHeight="1">
      <c r="A972" s="792"/>
      <c r="B972" s="792"/>
      <c r="C972" s="792"/>
      <c r="D972" s="792"/>
      <c r="E972" s="792"/>
      <c r="F972" s="792"/>
      <c r="G972" s="792"/>
      <c r="H972" s="792"/>
      <c r="I972" s="792"/>
      <c r="J972" s="792"/>
      <c r="K972" s="792"/>
      <c r="L972" s="792"/>
      <c r="M972" s="792"/>
      <c r="N972" s="792"/>
      <c r="O972" s="792"/>
      <c r="P972" s="792"/>
      <c r="Q972" s="1169"/>
      <c r="R972" s="792"/>
      <c r="S972" s="792"/>
      <c r="T972" s="792"/>
      <c r="U972" s="792"/>
      <c r="V972" s="793"/>
      <c r="W972" s="793"/>
      <c r="X972" s="792"/>
      <c r="Y972" s="792"/>
      <c r="Z972" s="792"/>
      <c r="AA972" s="792"/>
    </row>
    <row r="973" spans="1:27" ht="15.75" customHeight="1">
      <c r="A973" s="792"/>
      <c r="B973" s="792"/>
      <c r="C973" s="792"/>
      <c r="D973" s="792"/>
      <c r="E973" s="792"/>
      <c r="F973" s="792"/>
      <c r="G973" s="792"/>
      <c r="H973" s="792"/>
      <c r="I973" s="792"/>
      <c r="J973" s="792"/>
      <c r="K973" s="792"/>
      <c r="L973" s="792"/>
      <c r="M973" s="792"/>
      <c r="N973" s="792"/>
      <c r="O973" s="792"/>
      <c r="P973" s="792"/>
      <c r="Q973" s="1169"/>
      <c r="R973" s="792"/>
      <c r="S973" s="792"/>
      <c r="T973" s="792"/>
      <c r="U973" s="792"/>
      <c r="V973" s="793"/>
      <c r="W973" s="793"/>
      <c r="X973" s="792"/>
      <c r="Y973" s="792"/>
      <c r="Z973" s="792"/>
      <c r="AA973" s="792"/>
    </row>
    <row r="974" spans="1:27" ht="15.75" customHeight="1">
      <c r="A974" s="792"/>
      <c r="B974" s="792"/>
      <c r="C974" s="792"/>
      <c r="D974" s="792"/>
      <c r="E974" s="792"/>
      <c r="F974" s="792"/>
      <c r="G974" s="792"/>
      <c r="H974" s="792"/>
      <c r="I974" s="792"/>
      <c r="J974" s="792"/>
      <c r="K974" s="792"/>
      <c r="L974" s="792"/>
      <c r="M974" s="792"/>
      <c r="N974" s="792"/>
      <c r="O974" s="792"/>
      <c r="P974" s="792"/>
      <c r="Q974" s="1169"/>
      <c r="R974" s="792"/>
      <c r="S974" s="792"/>
      <c r="T974" s="792"/>
      <c r="U974" s="792"/>
      <c r="V974" s="793"/>
      <c r="W974" s="793"/>
      <c r="X974" s="792"/>
      <c r="Y974" s="792"/>
      <c r="Z974" s="792"/>
      <c r="AA974" s="792"/>
    </row>
    <row r="975" spans="1:27" ht="15.75" customHeight="1">
      <c r="A975" s="792"/>
      <c r="B975" s="792"/>
      <c r="C975" s="792"/>
      <c r="D975" s="792"/>
      <c r="E975" s="792"/>
      <c r="F975" s="792"/>
      <c r="G975" s="792"/>
      <c r="H975" s="792"/>
      <c r="I975" s="792"/>
      <c r="J975" s="792"/>
      <c r="K975" s="792"/>
      <c r="L975" s="792"/>
      <c r="M975" s="792"/>
      <c r="N975" s="792"/>
      <c r="O975" s="792"/>
      <c r="P975" s="792"/>
      <c r="Q975" s="1169"/>
      <c r="R975" s="792"/>
      <c r="S975" s="792"/>
      <c r="T975" s="792"/>
      <c r="U975" s="792"/>
      <c r="V975" s="793"/>
      <c r="W975" s="793"/>
      <c r="X975" s="792"/>
      <c r="Y975" s="792"/>
      <c r="Z975" s="792"/>
      <c r="AA975" s="792"/>
    </row>
    <row r="976" spans="1:27" ht="15.75" customHeight="1">
      <c r="A976" s="792"/>
      <c r="B976" s="792"/>
      <c r="C976" s="792"/>
      <c r="D976" s="792"/>
      <c r="E976" s="792"/>
      <c r="F976" s="792"/>
      <c r="G976" s="792"/>
      <c r="H976" s="792"/>
      <c r="I976" s="792"/>
      <c r="J976" s="792"/>
      <c r="K976" s="792"/>
      <c r="L976" s="792"/>
      <c r="M976" s="792"/>
      <c r="N976" s="792"/>
      <c r="O976" s="792"/>
      <c r="P976" s="792"/>
      <c r="Q976" s="1169"/>
      <c r="R976" s="792"/>
      <c r="S976" s="792"/>
      <c r="T976" s="792"/>
      <c r="U976" s="792"/>
      <c r="V976" s="793"/>
      <c r="W976" s="793"/>
      <c r="X976" s="792"/>
      <c r="Y976" s="792"/>
      <c r="Z976" s="792"/>
      <c r="AA976" s="792"/>
    </row>
    <row r="977" spans="1:27" ht="15.75" customHeight="1">
      <c r="A977" s="792"/>
      <c r="B977" s="792"/>
      <c r="C977" s="792"/>
      <c r="D977" s="792"/>
      <c r="E977" s="792"/>
      <c r="F977" s="792"/>
      <c r="G977" s="792"/>
      <c r="H977" s="792"/>
      <c r="I977" s="792"/>
      <c r="J977" s="792"/>
      <c r="K977" s="792"/>
      <c r="L977" s="792"/>
      <c r="M977" s="792"/>
      <c r="N977" s="792"/>
      <c r="O977" s="792"/>
      <c r="P977" s="792"/>
      <c r="Q977" s="1169"/>
      <c r="R977" s="792"/>
      <c r="S977" s="792"/>
      <c r="T977" s="792"/>
      <c r="U977" s="792"/>
      <c r="V977" s="793"/>
      <c r="W977" s="793"/>
      <c r="X977" s="792"/>
      <c r="Y977" s="792"/>
      <c r="Z977" s="792"/>
      <c r="AA977" s="792"/>
    </row>
    <row r="978" spans="1:27" ht="15.75" customHeight="1">
      <c r="A978" s="792"/>
      <c r="B978" s="792"/>
      <c r="C978" s="792"/>
      <c r="D978" s="792"/>
      <c r="E978" s="792"/>
      <c r="F978" s="792"/>
      <c r="G978" s="792"/>
      <c r="H978" s="792"/>
      <c r="I978" s="792"/>
      <c r="J978" s="792"/>
      <c r="K978" s="792"/>
      <c r="L978" s="792"/>
      <c r="M978" s="792"/>
      <c r="N978" s="792"/>
      <c r="O978" s="792"/>
      <c r="P978" s="792"/>
      <c r="Q978" s="1169"/>
      <c r="R978" s="792"/>
      <c r="S978" s="792"/>
      <c r="T978" s="792"/>
      <c r="U978" s="792"/>
      <c r="V978" s="793"/>
      <c r="W978" s="793"/>
      <c r="X978" s="792"/>
      <c r="Y978" s="792"/>
      <c r="Z978" s="792"/>
      <c r="AA978" s="792"/>
    </row>
    <row r="979" spans="1:27" ht="15.75" customHeight="1">
      <c r="A979" s="792"/>
      <c r="B979" s="792"/>
      <c r="C979" s="792"/>
      <c r="D979" s="792"/>
      <c r="E979" s="792"/>
      <c r="F979" s="792"/>
      <c r="G979" s="792"/>
      <c r="H979" s="792"/>
      <c r="I979" s="792"/>
      <c r="J979" s="792"/>
      <c r="K979" s="792"/>
      <c r="L979" s="792"/>
      <c r="M979" s="792"/>
      <c r="N979" s="792"/>
      <c r="O979" s="792"/>
      <c r="P979" s="792"/>
      <c r="Q979" s="1169"/>
      <c r="R979" s="792"/>
      <c r="S979" s="792"/>
      <c r="T979" s="792"/>
      <c r="U979" s="792"/>
      <c r="V979" s="793"/>
      <c r="W979" s="793"/>
      <c r="X979" s="792"/>
      <c r="Y979" s="792"/>
      <c r="Z979" s="792"/>
      <c r="AA979" s="792"/>
    </row>
    <row r="980" spans="1:27" ht="15.75" customHeight="1">
      <c r="A980" s="792"/>
      <c r="B980" s="792"/>
      <c r="C980" s="792"/>
      <c r="D980" s="792"/>
      <c r="E980" s="792"/>
      <c r="F980" s="792"/>
      <c r="G980" s="792"/>
      <c r="H980" s="792"/>
      <c r="I980" s="792"/>
      <c r="J980" s="792"/>
      <c r="K980" s="792"/>
      <c r="L980" s="792"/>
      <c r="M980" s="792"/>
      <c r="N980" s="792"/>
      <c r="O980" s="792"/>
      <c r="P980" s="792"/>
      <c r="Q980" s="1169"/>
      <c r="R980" s="792"/>
      <c r="S980" s="792"/>
      <c r="T980" s="792"/>
      <c r="U980" s="792"/>
      <c r="V980" s="793"/>
      <c r="W980" s="793"/>
      <c r="X980" s="792"/>
      <c r="Y980" s="792"/>
      <c r="Z980" s="792"/>
      <c r="AA980" s="792"/>
    </row>
    <row r="981" spans="1:27" ht="15.75" customHeight="1">
      <c r="A981" s="792"/>
      <c r="B981" s="792"/>
      <c r="C981" s="792"/>
      <c r="D981" s="792"/>
      <c r="E981" s="792"/>
      <c r="F981" s="792"/>
      <c r="G981" s="792"/>
      <c r="H981" s="792"/>
      <c r="I981" s="792"/>
      <c r="J981" s="792"/>
      <c r="K981" s="792"/>
      <c r="L981" s="792"/>
      <c r="M981" s="792"/>
      <c r="N981" s="792"/>
      <c r="O981" s="792"/>
      <c r="P981" s="792"/>
      <c r="Q981" s="1169"/>
      <c r="R981" s="792"/>
      <c r="S981" s="792"/>
      <c r="T981" s="792"/>
      <c r="U981" s="792"/>
      <c r="V981" s="793"/>
      <c r="W981" s="793"/>
      <c r="X981" s="792"/>
      <c r="Y981" s="792"/>
      <c r="Z981" s="792"/>
      <c r="AA981" s="792"/>
    </row>
    <row r="982" spans="1:27" ht="15.75" customHeight="1">
      <c r="A982" s="792"/>
      <c r="B982" s="792"/>
      <c r="C982" s="792"/>
      <c r="D982" s="792"/>
      <c r="E982" s="792"/>
      <c r="F982" s="792"/>
      <c r="G982" s="792"/>
      <c r="H982" s="792"/>
      <c r="I982" s="792"/>
      <c r="J982" s="792"/>
      <c r="K982" s="792"/>
      <c r="L982" s="792"/>
      <c r="M982" s="792"/>
      <c r="N982" s="792"/>
      <c r="O982" s="792"/>
      <c r="P982" s="792"/>
      <c r="Q982" s="1169"/>
      <c r="R982" s="792"/>
      <c r="S982" s="792"/>
      <c r="T982" s="792"/>
      <c r="U982" s="792"/>
      <c r="V982" s="793"/>
      <c r="W982" s="793"/>
      <c r="X982" s="792"/>
      <c r="Y982" s="792"/>
      <c r="Z982" s="792"/>
      <c r="AA982" s="792"/>
    </row>
    <row r="983" spans="1:27" ht="15.75" customHeight="1">
      <c r="A983" s="792"/>
      <c r="B983" s="792"/>
      <c r="C983" s="792"/>
      <c r="D983" s="792"/>
      <c r="E983" s="792"/>
      <c r="F983" s="792"/>
      <c r="G983" s="792"/>
      <c r="H983" s="792"/>
      <c r="I983" s="792"/>
      <c r="J983" s="792"/>
      <c r="K983" s="792"/>
      <c r="L983" s="792"/>
      <c r="M983" s="792"/>
      <c r="N983" s="792"/>
      <c r="O983" s="792"/>
      <c r="P983" s="792"/>
      <c r="Q983" s="1169"/>
      <c r="R983" s="792"/>
      <c r="S983" s="792"/>
      <c r="T983" s="792"/>
      <c r="U983" s="792"/>
      <c r="V983" s="793"/>
      <c r="W983" s="793"/>
      <c r="X983" s="792"/>
      <c r="Y983" s="792"/>
      <c r="Z983" s="792"/>
      <c r="AA983" s="792"/>
    </row>
    <row r="984" spans="1:27" ht="15.75" customHeight="1">
      <c r="A984" s="792"/>
      <c r="B984" s="792"/>
      <c r="C984" s="792"/>
      <c r="D984" s="792"/>
      <c r="E984" s="792"/>
      <c r="F984" s="792"/>
      <c r="G984" s="792"/>
      <c r="H984" s="792"/>
      <c r="I984" s="792"/>
      <c r="J984" s="792"/>
      <c r="K984" s="792"/>
      <c r="L984" s="792"/>
      <c r="M984" s="792"/>
      <c r="N984" s="792"/>
      <c r="O984" s="792"/>
      <c r="P984" s="792"/>
      <c r="Q984" s="1169"/>
      <c r="R984" s="792"/>
      <c r="S984" s="792"/>
      <c r="T984" s="792"/>
      <c r="U984" s="792"/>
      <c r="V984" s="793"/>
      <c r="W984" s="793"/>
      <c r="X984" s="792"/>
      <c r="Y984" s="792"/>
      <c r="Z984" s="792"/>
      <c r="AA984" s="792"/>
    </row>
    <row r="985" spans="1:27" ht="15.75" customHeight="1">
      <c r="A985" s="792"/>
      <c r="B985" s="792"/>
      <c r="C985" s="792"/>
      <c r="D985" s="792"/>
      <c r="E985" s="792"/>
      <c r="F985" s="792"/>
      <c r="G985" s="792"/>
      <c r="H985" s="792"/>
      <c r="I985" s="792"/>
      <c r="J985" s="792"/>
      <c r="K985" s="792"/>
      <c r="L985" s="792"/>
      <c r="M985" s="792"/>
      <c r="N985" s="792"/>
      <c r="O985" s="792"/>
      <c r="P985" s="792"/>
      <c r="Q985" s="1169"/>
      <c r="R985" s="792"/>
      <c r="S985" s="792"/>
      <c r="T985" s="792"/>
      <c r="U985" s="792"/>
      <c r="V985" s="793"/>
      <c r="W985" s="793"/>
      <c r="X985" s="792"/>
      <c r="Y985" s="792"/>
      <c r="Z985" s="792"/>
      <c r="AA985" s="792"/>
    </row>
    <row r="986" spans="1:27" ht="15.75" customHeight="1">
      <c r="A986" s="792"/>
      <c r="B986" s="792"/>
      <c r="C986" s="792"/>
      <c r="D986" s="792"/>
      <c r="E986" s="792"/>
      <c r="F986" s="792"/>
      <c r="G986" s="792"/>
      <c r="H986" s="792"/>
      <c r="I986" s="792"/>
      <c r="J986" s="792"/>
      <c r="K986" s="792"/>
      <c r="L986" s="792"/>
      <c r="M986" s="792"/>
      <c r="N986" s="792"/>
      <c r="O986" s="792"/>
      <c r="P986" s="792"/>
      <c r="Q986" s="1169"/>
      <c r="R986" s="792"/>
      <c r="S986" s="792"/>
      <c r="T986" s="792"/>
      <c r="U986" s="792"/>
      <c r="V986" s="793"/>
      <c r="W986" s="793"/>
      <c r="X986" s="792"/>
      <c r="Y986" s="792"/>
      <c r="Z986" s="792"/>
      <c r="AA986" s="792"/>
    </row>
    <row r="987" spans="1:27" ht="15.75" customHeight="1">
      <c r="A987" s="792"/>
      <c r="B987" s="792"/>
      <c r="C987" s="792"/>
      <c r="D987" s="792"/>
      <c r="E987" s="792"/>
      <c r="F987" s="792"/>
      <c r="G987" s="792"/>
      <c r="H987" s="792"/>
      <c r="I987" s="792"/>
      <c r="J987" s="792"/>
      <c r="K987" s="792"/>
      <c r="L987" s="792"/>
      <c r="M987" s="792"/>
      <c r="N987" s="792"/>
      <c r="O987" s="792"/>
      <c r="P987" s="792"/>
      <c r="Q987" s="1169"/>
      <c r="R987" s="792"/>
      <c r="S987" s="792"/>
      <c r="T987" s="792"/>
      <c r="U987" s="792"/>
      <c r="V987" s="793"/>
      <c r="W987" s="793"/>
      <c r="X987" s="792"/>
      <c r="Y987" s="792"/>
      <c r="Z987" s="792"/>
      <c r="AA987" s="792"/>
    </row>
    <row r="988" spans="1:27" ht="15.75" customHeight="1">
      <c r="A988" s="792"/>
      <c r="B988" s="792"/>
      <c r="C988" s="792"/>
      <c r="D988" s="792"/>
      <c r="E988" s="792"/>
      <c r="F988" s="792"/>
      <c r="G988" s="792"/>
      <c r="H988" s="792"/>
      <c r="I988" s="792"/>
      <c r="J988" s="792"/>
      <c r="K988" s="792"/>
      <c r="L988" s="792"/>
      <c r="M988" s="792"/>
      <c r="N988" s="792"/>
      <c r="O988" s="792"/>
      <c r="P988" s="792"/>
      <c r="Q988" s="1169"/>
      <c r="R988" s="792"/>
      <c r="S988" s="792"/>
      <c r="T988" s="792"/>
      <c r="U988" s="792"/>
      <c r="V988" s="793"/>
      <c r="W988" s="793"/>
      <c r="X988" s="792"/>
      <c r="Y988" s="792"/>
      <c r="Z988" s="792"/>
      <c r="AA988" s="792"/>
    </row>
    <row r="989" spans="1:27" ht="15.75" customHeight="1">
      <c r="A989" s="792"/>
      <c r="B989" s="792"/>
      <c r="C989" s="792"/>
      <c r="D989" s="792"/>
      <c r="E989" s="792"/>
      <c r="F989" s="792"/>
      <c r="G989" s="792"/>
      <c r="H989" s="792"/>
      <c r="I989" s="792"/>
      <c r="J989" s="792"/>
      <c r="K989" s="792"/>
      <c r="L989" s="792"/>
      <c r="M989" s="792"/>
      <c r="N989" s="792"/>
      <c r="O989" s="792"/>
      <c r="P989" s="792"/>
      <c r="Q989" s="1169"/>
      <c r="R989" s="792"/>
      <c r="S989" s="792"/>
      <c r="T989" s="792"/>
      <c r="U989" s="792"/>
      <c r="V989" s="793"/>
      <c r="W989" s="793"/>
      <c r="X989" s="792"/>
      <c r="Y989" s="792"/>
      <c r="Z989" s="792"/>
      <c r="AA989" s="792"/>
    </row>
    <row r="990" spans="1:27" ht="15.75" customHeight="1">
      <c r="A990" s="792"/>
      <c r="B990" s="792"/>
      <c r="C990" s="792"/>
      <c r="D990" s="792"/>
      <c r="E990" s="792"/>
      <c r="F990" s="792"/>
      <c r="G990" s="792"/>
      <c r="H990" s="792"/>
      <c r="I990" s="792"/>
      <c r="J990" s="792"/>
      <c r="K990" s="792"/>
      <c r="L990" s="792"/>
      <c r="M990" s="792"/>
      <c r="N990" s="792"/>
      <c r="O990" s="792"/>
      <c r="P990" s="792"/>
      <c r="Q990" s="1169"/>
      <c r="R990" s="792"/>
      <c r="S990" s="792"/>
      <c r="T990" s="792"/>
      <c r="U990" s="792"/>
      <c r="V990" s="793"/>
      <c r="W990" s="793"/>
      <c r="X990" s="792"/>
      <c r="Y990" s="792"/>
      <c r="Z990" s="792"/>
      <c r="AA990" s="792"/>
    </row>
    <row r="991" spans="1:27" ht="15.75" customHeight="1">
      <c r="A991" s="792"/>
      <c r="B991" s="792"/>
      <c r="C991" s="792"/>
      <c r="D991" s="792"/>
      <c r="E991" s="792"/>
      <c r="F991" s="792"/>
      <c r="G991" s="792"/>
      <c r="H991" s="792"/>
      <c r="I991" s="792"/>
      <c r="J991" s="792"/>
      <c r="K991" s="792"/>
      <c r="L991" s="792"/>
      <c r="M991" s="792"/>
      <c r="N991" s="792"/>
      <c r="O991" s="792"/>
      <c r="P991" s="792"/>
      <c r="Q991" s="1169"/>
      <c r="R991" s="792"/>
      <c r="S991" s="792"/>
      <c r="T991" s="792"/>
      <c r="U991" s="792"/>
      <c r="V991" s="793"/>
      <c r="W991" s="793"/>
      <c r="X991" s="792"/>
      <c r="Y991" s="792"/>
      <c r="Z991" s="792"/>
      <c r="AA991" s="792"/>
    </row>
    <row r="992" spans="1:27" ht="15.75" customHeight="1">
      <c r="A992" s="792"/>
      <c r="B992" s="792"/>
      <c r="C992" s="792"/>
      <c r="D992" s="792"/>
      <c r="E992" s="792"/>
      <c r="F992" s="792"/>
      <c r="G992" s="792"/>
      <c r="H992" s="792"/>
      <c r="I992" s="792"/>
      <c r="J992" s="792"/>
      <c r="K992" s="792"/>
      <c r="L992" s="792"/>
      <c r="M992" s="792"/>
      <c r="N992" s="792"/>
      <c r="O992" s="792"/>
      <c r="P992" s="792"/>
      <c r="Q992" s="1169"/>
      <c r="R992" s="792"/>
      <c r="S992" s="792"/>
      <c r="T992" s="792"/>
      <c r="U992" s="792"/>
      <c r="V992" s="793"/>
      <c r="W992" s="793"/>
      <c r="X992" s="792"/>
      <c r="Y992" s="792"/>
      <c r="Z992" s="792"/>
      <c r="AA992" s="792"/>
    </row>
    <row r="993" spans="1:27" ht="15.75" customHeight="1">
      <c r="A993" s="792"/>
      <c r="B993" s="792"/>
      <c r="C993" s="792"/>
      <c r="D993" s="792"/>
      <c r="E993" s="792"/>
      <c r="F993" s="792"/>
      <c r="G993" s="792"/>
      <c r="H993" s="792"/>
      <c r="I993" s="792"/>
      <c r="J993" s="792"/>
      <c r="K993" s="792"/>
      <c r="L993" s="792"/>
      <c r="M993" s="792"/>
      <c r="N993" s="792"/>
      <c r="O993" s="792"/>
      <c r="P993" s="792"/>
      <c r="Q993" s="1169"/>
      <c r="R993" s="792"/>
      <c r="S993" s="792"/>
      <c r="T993" s="792"/>
      <c r="U993" s="792"/>
      <c r="V993" s="793"/>
      <c r="W993" s="793"/>
      <c r="X993" s="792"/>
      <c r="Y993" s="792"/>
      <c r="Z993" s="792"/>
      <c r="AA993" s="792"/>
    </row>
    <row r="994" spans="1:27" ht="15.75" customHeight="1">
      <c r="A994" s="792"/>
      <c r="B994" s="792"/>
      <c r="C994" s="792"/>
      <c r="D994" s="792"/>
      <c r="E994" s="792"/>
      <c r="F994" s="792"/>
      <c r="G994" s="792"/>
      <c r="H994" s="792"/>
      <c r="I994" s="792"/>
      <c r="J994" s="792"/>
      <c r="K994" s="792"/>
      <c r="L994" s="792"/>
      <c r="M994" s="792"/>
      <c r="N994" s="792"/>
      <c r="O994" s="792"/>
      <c r="P994" s="792"/>
      <c r="Q994" s="1169"/>
      <c r="R994" s="792"/>
      <c r="S994" s="792"/>
      <c r="T994" s="792"/>
      <c r="U994" s="792"/>
      <c r="V994" s="793"/>
      <c r="W994" s="793"/>
      <c r="X994" s="792"/>
      <c r="Y994" s="792"/>
      <c r="Z994" s="792"/>
      <c r="AA994" s="792"/>
    </row>
    <row r="995" spans="1:27" ht="15.75" customHeight="1">
      <c r="A995" s="792"/>
      <c r="B995" s="792"/>
      <c r="C995" s="792"/>
      <c r="D995" s="792"/>
      <c r="E995" s="792"/>
      <c r="F995" s="792"/>
      <c r="G995" s="792"/>
      <c r="H995" s="792"/>
      <c r="I995" s="792"/>
      <c r="J995" s="792"/>
      <c r="K995" s="792"/>
      <c r="L995" s="792"/>
      <c r="M995" s="792"/>
      <c r="N995" s="792"/>
      <c r="O995" s="792"/>
      <c r="P995" s="792"/>
      <c r="Q995" s="1169"/>
      <c r="R995" s="792"/>
      <c r="S995" s="792"/>
      <c r="T995" s="792"/>
      <c r="U995" s="792"/>
      <c r="V995" s="793"/>
      <c r="W995" s="793"/>
      <c r="X995" s="792"/>
      <c r="Y995" s="792"/>
      <c r="Z995" s="792"/>
      <c r="AA995" s="792"/>
    </row>
    <row r="996" spans="1:27" ht="15.75" customHeight="1">
      <c r="A996" s="792"/>
      <c r="B996" s="792"/>
      <c r="C996" s="792"/>
      <c r="D996" s="792"/>
      <c r="E996" s="792"/>
      <c r="F996" s="792"/>
      <c r="G996" s="792"/>
      <c r="H996" s="792"/>
      <c r="I996" s="792"/>
      <c r="J996" s="792"/>
      <c r="K996" s="792"/>
      <c r="L996" s="792"/>
      <c r="M996" s="792"/>
      <c r="N996" s="792"/>
      <c r="O996" s="792"/>
      <c r="P996" s="792"/>
      <c r="Q996" s="1169"/>
      <c r="R996" s="792"/>
      <c r="S996" s="792"/>
      <c r="T996" s="792"/>
      <c r="U996" s="792"/>
      <c r="V996" s="793"/>
      <c r="W996" s="793"/>
      <c r="X996" s="792"/>
      <c r="Y996" s="792"/>
      <c r="Z996" s="792"/>
      <c r="AA996" s="792"/>
    </row>
  </sheetData>
  <mergeCells count="101">
    <mergeCell ref="A3:E3"/>
    <mergeCell ref="B210:D210"/>
    <mergeCell ref="A211:D211"/>
    <mergeCell ref="A135:A158"/>
    <mergeCell ref="B135:B136"/>
    <mergeCell ref="B138:B144"/>
    <mergeCell ref="B145:B146"/>
    <mergeCell ref="B147:B149"/>
    <mergeCell ref="B158:D158"/>
    <mergeCell ref="A159:A210"/>
    <mergeCell ref="C135:C136"/>
    <mergeCell ref="C138:C144"/>
    <mergeCell ref="C145:C146"/>
    <mergeCell ref="C147:C149"/>
    <mergeCell ref="C150:C153"/>
    <mergeCell ref="B173:B179"/>
    <mergeCell ref="C173:C179"/>
    <mergeCell ref="B168:B172"/>
    <mergeCell ref="C168:C172"/>
    <mergeCell ref="B202:B203"/>
    <mergeCell ref="C202:C203"/>
    <mergeCell ref="B204:B206"/>
    <mergeCell ref="C204:C206"/>
    <mergeCell ref="B180:B183"/>
    <mergeCell ref="C180:C183"/>
    <mergeCell ref="B184:B186"/>
    <mergeCell ref="C184:C186"/>
    <mergeCell ref="B187:B192"/>
    <mergeCell ref="C187:C192"/>
    <mergeCell ref="B194:B199"/>
    <mergeCell ref="C194:C199"/>
    <mergeCell ref="B200:B201"/>
    <mergeCell ref="C200:C201"/>
    <mergeCell ref="A94:A134"/>
    <mergeCell ref="B114:B118"/>
    <mergeCell ref="C114:C118"/>
    <mergeCell ref="B119:B120"/>
    <mergeCell ref="C119:C120"/>
    <mergeCell ref="B122:B125"/>
    <mergeCell ref="C122:C125"/>
    <mergeCell ref="B128:B130"/>
    <mergeCell ref="C128:C130"/>
    <mergeCell ref="B131:B132"/>
    <mergeCell ref="C131:C132"/>
    <mergeCell ref="B134:D134"/>
    <mergeCell ref="B111:B113"/>
    <mergeCell ref="C111:C113"/>
    <mergeCell ref="B104:B105"/>
    <mergeCell ref="C104:C105"/>
    <mergeCell ref="B106:B110"/>
    <mergeCell ref="C106:C110"/>
    <mergeCell ref="B94:B103"/>
    <mergeCell ref="C94:C103"/>
    <mergeCell ref="B150:B153"/>
    <mergeCell ref="B79:B85"/>
    <mergeCell ref="C79:C85"/>
    <mergeCell ref="B86:B89"/>
    <mergeCell ref="C86:C89"/>
    <mergeCell ref="B159:B162"/>
    <mergeCell ref="C159:C162"/>
    <mergeCell ref="B163:B167"/>
    <mergeCell ref="C163:C167"/>
    <mergeCell ref="A69:A93"/>
    <mergeCell ref="B40:B46"/>
    <mergeCell ref="C40:C46"/>
    <mergeCell ref="B47:B56"/>
    <mergeCell ref="C47:C56"/>
    <mergeCell ref="B75:B78"/>
    <mergeCell ref="A4:A5"/>
    <mergeCell ref="C4:C5"/>
    <mergeCell ref="D4:D5"/>
    <mergeCell ref="B57:B66"/>
    <mergeCell ref="C57:C66"/>
    <mergeCell ref="B70:B74"/>
    <mergeCell ref="C70:C74"/>
    <mergeCell ref="C75:C78"/>
    <mergeCell ref="B93:D93"/>
    <mergeCell ref="E4:E5"/>
    <mergeCell ref="F4:F5"/>
    <mergeCell ref="B4:B5"/>
    <mergeCell ref="B6:B23"/>
    <mergeCell ref="B26:B36"/>
    <mergeCell ref="C26:C36"/>
    <mergeCell ref="A6:A68"/>
    <mergeCell ref="B68:D68"/>
    <mergeCell ref="C6:C23"/>
    <mergeCell ref="B24:B25"/>
    <mergeCell ref="C24:C25"/>
    <mergeCell ref="B37:B39"/>
    <mergeCell ref="C37:C39"/>
    <mergeCell ref="P4:P5"/>
    <mergeCell ref="Q4:Q5"/>
    <mergeCell ref="R4:R5"/>
    <mergeCell ref="S4:S5"/>
    <mergeCell ref="V4:V5"/>
    <mergeCell ref="G4:H4"/>
    <mergeCell ref="J4:L4"/>
    <mergeCell ref="M4:M5"/>
    <mergeCell ref="N4:N5"/>
    <mergeCell ref="O4:O5"/>
    <mergeCell ref="I4:I5"/>
  </mergeCells>
  <pageMargins left="0.15" right="0.11" top="0.28000000000000003" bottom="0.18" header="0.23" footer="0"/>
  <pageSetup scale="85" orientation="portrait" r:id="rId1"/>
</worksheet>
</file>

<file path=xl/worksheets/sheet7.xml><?xml version="1.0" encoding="utf-8"?>
<worksheet xmlns="http://schemas.openxmlformats.org/spreadsheetml/2006/main" xmlns:r="http://schemas.openxmlformats.org/officeDocument/2006/relationships">
  <dimension ref="A1:Z1000"/>
  <sheetViews>
    <sheetView view="pageBreakPreview" zoomScale="87" zoomScaleSheetLayoutView="87" workbookViewId="0">
      <pane xSplit="3" ySplit="5" topLeftCell="D186" activePane="bottomRight" state="frozen"/>
      <selection pane="topRight" activeCell="D1" sqref="D1"/>
      <selection pane="bottomLeft" activeCell="A6" sqref="A6"/>
      <selection pane="bottomRight" activeCell="P187" sqref="P187:V187"/>
    </sheetView>
  </sheetViews>
  <sheetFormatPr defaultColWidth="14.42578125" defaultRowHeight="15" customHeight="1"/>
  <cols>
    <col min="1" max="1" width="5.7109375" style="731" customWidth="1"/>
    <col min="2" max="2" width="6.7109375" style="731" customWidth="1"/>
    <col min="3" max="3" width="7.7109375" style="731" customWidth="1"/>
    <col min="4" max="4" width="5.85546875" style="731" customWidth="1"/>
    <col min="5" max="5" width="18.85546875" style="731" customWidth="1"/>
    <col min="6" max="6" width="5.7109375" style="731" customWidth="1"/>
    <col min="7" max="7" width="6.42578125" style="731" customWidth="1"/>
    <col min="8" max="8" width="8.28515625" style="731" customWidth="1"/>
    <col min="9" max="9" width="11.28515625" style="731" customWidth="1"/>
    <col min="10" max="10" width="7" style="731" customWidth="1"/>
    <col min="11" max="11" width="8.28515625" style="731" customWidth="1"/>
    <col min="12" max="12" width="6.140625" style="731" customWidth="1"/>
    <col min="13" max="13" width="8.5703125" style="731" customWidth="1"/>
    <col min="14" max="14" width="9.7109375" style="731" customWidth="1"/>
    <col min="15" max="15" width="13" style="731" customWidth="1"/>
    <col min="16" max="16" width="10.5703125" style="731" customWidth="1"/>
    <col min="17" max="17" width="8.28515625" style="731" customWidth="1"/>
    <col min="18" max="18" width="10.5703125" style="731" customWidth="1"/>
    <col min="19" max="19" width="10.42578125" style="731" customWidth="1"/>
    <col min="20" max="20" width="11.42578125" style="731" customWidth="1"/>
    <col min="21" max="21" width="11" style="731" customWidth="1"/>
    <col min="22" max="22" width="51.7109375" style="731" customWidth="1"/>
    <col min="23" max="26" width="14.42578125" style="731" customWidth="1"/>
    <col min="27" max="16384" width="14.42578125" style="731"/>
  </cols>
  <sheetData>
    <row r="1" spans="1:26" ht="20.25" customHeight="1">
      <c r="A1" s="522"/>
      <c r="B1" s="730"/>
      <c r="C1" s="730"/>
      <c r="D1" s="730"/>
      <c r="E1" s="523" t="s">
        <v>0</v>
      </c>
      <c r="J1" s="732"/>
      <c r="K1" s="732"/>
      <c r="L1" s="732"/>
      <c r="M1" s="732"/>
      <c r="N1" s="732"/>
      <c r="O1" s="732"/>
      <c r="P1" s="732"/>
      <c r="Q1" s="732"/>
      <c r="R1" s="732"/>
      <c r="S1" s="732"/>
      <c r="T1" s="732"/>
      <c r="U1" s="732"/>
      <c r="V1" s="733"/>
    </row>
    <row r="2" spans="1:26" ht="23.25" customHeight="1">
      <c r="A2" s="732"/>
      <c r="B2" s="732"/>
      <c r="C2" s="732"/>
      <c r="D2" s="732"/>
      <c r="E2" s="732"/>
      <c r="F2" s="732"/>
      <c r="G2" s="732"/>
      <c r="H2" s="732"/>
      <c r="I2" s="732"/>
      <c r="J2" s="732"/>
      <c r="K2" s="732"/>
      <c r="L2" s="732"/>
      <c r="M2" s="732"/>
      <c r="N2" s="732"/>
      <c r="O2" s="732"/>
      <c r="P2" s="732"/>
      <c r="Q2" s="732"/>
      <c r="R2" s="732"/>
      <c r="S2" s="732"/>
      <c r="T2" s="732"/>
      <c r="U2" s="732"/>
      <c r="V2" s="733"/>
    </row>
    <row r="3" spans="1:26" ht="22.5" customHeight="1">
      <c r="A3" s="734" t="s">
        <v>1671</v>
      </c>
      <c r="B3" s="734"/>
      <c r="C3" s="734"/>
      <c r="D3" s="734"/>
      <c r="E3" s="734"/>
      <c r="F3" s="519"/>
      <c r="G3" s="519"/>
      <c r="H3" s="519"/>
      <c r="I3" s="519"/>
      <c r="J3" s="519"/>
      <c r="K3" s="519"/>
      <c r="L3" s="519"/>
      <c r="M3" s="519"/>
      <c r="N3" s="519"/>
      <c r="O3" s="519"/>
      <c r="P3" s="519"/>
      <c r="Q3" s="519"/>
      <c r="R3" s="519"/>
      <c r="S3" s="519"/>
      <c r="T3" s="735"/>
      <c r="U3" s="519"/>
      <c r="V3" s="519" t="s">
        <v>2</v>
      </c>
    </row>
    <row r="4" spans="1:26" ht="37.5" customHeight="1">
      <c r="A4" s="1170" t="s">
        <v>3</v>
      </c>
      <c r="B4" s="1170" t="s">
        <v>4</v>
      </c>
      <c r="C4" s="1170" t="s">
        <v>5</v>
      </c>
      <c r="D4" s="1170" t="s">
        <v>6</v>
      </c>
      <c r="E4" s="1170" t="s">
        <v>388</v>
      </c>
      <c r="F4" s="1170" t="s">
        <v>8</v>
      </c>
      <c r="G4" s="1170" t="s">
        <v>9</v>
      </c>
      <c r="H4" s="736"/>
      <c r="I4" s="1170" t="s">
        <v>10</v>
      </c>
      <c r="J4" s="1170" t="s">
        <v>11</v>
      </c>
      <c r="K4" s="736"/>
      <c r="L4" s="736"/>
      <c r="M4" s="1170" t="s">
        <v>12</v>
      </c>
      <c r="N4" s="1170" t="s">
        <v>13</v>
      </c>
      <c r="O4" s="1170" t="s">
        <v>14</v>
      </c>
      <c r="P4" s="1170" t="s">
        <v>15</v>
      </c>
      <c r="Q4" s="1170" t="s">
        <v>16</v>
      </c>
      <c r="R4" s="1170" t="s">
        <v>17</v>
      </c>
      <c r="S4" s="1170" t="s">
        <v>18</v>
      </c>
      <c r="T4" s="795" t="s">
        <v>19</v>
      </c>
      <c r="U4" s="795" t="s">
        <v>19</v>
      </c>
      <c r="V4" s="1171" t="s">
        <v>389</v>
      </c>
      <c r="W4" s="1172"/>
      <c r="X4" s="1172"/>
      <c r="Y4" s="1172"/>
      <c r="Z4" s="1172"/>
    </row>
    <row r="5" spans="1:26" ht="44.25" customHeight="1">
      <c r="A5" s="736"/>
      <c r="B5" s="736"/>
      <c r="C5" s="736"/>
      <c r="D5" s="736"/>
      <c r="E5" s="736"/>
      <c r="F5" s="736"/>
      <c r="G5" s="795" t="s">
        <v>21</v>
      </c>
      <c r="H5" s="795" t="s">
        <v>22</v>
      </c>
      <c r="I5" s="736"/>
      <c r="J5" s="795" t="s">
        <v>1692</v>
      </c>
      <c r="K5" s="795" t="s">
        <v>23</v>
      </c>
      <c r="L5" s="795" t="s">
        <v>24</v>
      </c>
      <c r="M5" s="736"/>
      <c r="N5" s="736"/>
      <c r="O5" s="736"/>
      <c r="P5" s="736"/>
      <c r="Q5" s="736"/>
      <c r="R5" s="736"/>
      <c r="S5" s="736"/>
      <c r="T5" s="795" t="s">
        <v>25</v>
      </c>
      <c r="U5" s="795" t="s">
        <v>26</v>
      </c>
      <c r="V5" s="736"/>
      <c r="W5" s="1172"/>
      <c r="X5" s="1172"/>
      <c r="Y5" s="1172"/>
      <c r="Z5" s="1172"/>
    </row>
    <row r="6" spans="1:26" ht="24.75" customHeight="1">
      <c r="A6" s="1173" t="s">
        <v>27</v>
      </c>
      <c r="B6" s="1170" t="s">
        <v>28</v>
      </c>
      <c r="C6" s="1170" t="s">
        <v>29</v>
      </c>
      <c r="D6" s="795">
        <v>1</v>
      </c>
      <c r="E6" s="795" t="s">
        <v>30</v>
      </c>
      <c r="F6" s="795"/>
      <c r="G6" s="795"/>
      <c r="H6" s="795"/>
      <c r="I6" s="795"/>
      <c r="J6" s="795"/>
      <c r="K6" s="795"/>
      <c r="L6" s="795"/>
      <c r="M6" s="795"/>
      <c r="N6" s="795"/>
      <c r="O6" s="795"/>
      <c r="P6" s="795"/>
      <c r="Q6" s="795"/>
      <c r="R6" s="795"/>
      <c r="S6" s="795"/>
      <c r="T6" s="797">
        <f t="shared" ref="T6:T103" si="0">SUM(F6:S6)</f>
        <v>0</v>
      </c>
      <c r="U6" s="797">
        <v>0</v>
      </c>
      <c r="V6" s="788"/>
      <c r="W6" s="1172"/>
      <c r="X6" s="1172"/>
      <c r="Y6" s="1172"/>
      <c r="Z6" s="1172"/>
    </row>
    <row r="7" spans="1:26" ht="24.75" customHeight="1">
      <c r="A7" s="736"/>
      <c r="B7" s="736"/>
      <c r="C7" s="736"/>
      <c r="D7" s="795">
        <v>2</v>
      </c>
      <c r="E7" s="795" t="s">
        <v>31</v>
      </c>
      <c r="F7" s="795"/>
      <c r="G7" s="795"/>
      <c r="H7" s="795"/>
      <c r="I7" s="795"/>
      <c r="J7" s="795"/>
      <c r="K7" s="797"/>
      <c r="L7" s="795"/>
      <c r="M7" s="795"/>
      <c r="N7" s="795"/>
      <c r="O7" s="795"/>
      <c r="P7" s="796"/>
      <c r="Q7" s="795"/>
      <c r="R7" s="795"/>
      <c r="S7" s="795"/>
      <c r="T7" s="797">
        <f t="shared" si="0"/>
        <v>0</v>
      </c>
      <c r="U7" s="797">
        <f t="shared" ref="U7:U12" si="1">T7</f>
        <v>0</v>
      </c>
      <c r="V7" s="788"/>
      <c r="W7" s="1172"/>
      <c r="X7" s="1172"/>
      <c r="Y7" s="1172"/>
      <c r="Z7" s="1172"/>
    </row>
    <row r="8" spans="1:26" ht="90">
      <c r="A8" s="736"/>
      <c r="B8" s="736"/>
      <c r="C8" s="736"/>
      <c r="D8" s="795">
        <v>3</v>
      </c>
      <c r="E8" s="795" t="s">
        <v>32</v>
      </c>
      <c r="F8" s="796">
        <v>53.02</v>
      </c>
      <c r="G8" s="795"/>
      <c r="H8" s="795"/>
      <c r="I8" s="795"/>
      <c r="J8" s="795"/>
      <c r="K8" s="795"/>
      <c r="L8" s="795"/>
      <c r="M8" s="795"/>
      <c r="N8" s="795"/>
      <c r="O8" s="796">
        <v>43.31</v>
      </c>
      <c r="P8" s="795"/>
      <c r="Q8" s="795"/>
      <c r="R8" s="796">
        <v>2.12</v>
      </c>
      <c r="S8" s="795"/>
      <c r="T8" s="797">
        <f t="shared" si="0"/>
        <v>98.450000000000017</v>
      </c>
      <c r="U8" s="797">
        <f t="shared" si="1"/>
        <v>98.450000000000017</v>
      </c>
      <c r="V8" s="788" t="s">
        <v>1676</v>
      </c>
      <c r="W8" s="1172"/>
      <c r="X8" s="1172"/>
      <c r="Y8" s="1172"/>
      <c r="Z8" s="1172"/>
    </row>
    <row r="9" spans="1:26" ht="180">
      <c r="A9" s="736"/>
      <c r="B9" s="736"/>
      <c r="C9" s="736"/>
      <c r="D9" s="795">
        <v>4</v>
      </c>
      <c r="E9" s="795" t="s">
        <v>34</v>
      </c>
      <c r="F9" s="795"/>
      <c r="G9" s="795"/>
      <c r="H9" s="795"/>
      <c r="I9" s="795"/>
      <c r="J9" s="795"/>
      <c r="K9" s="795">
        <v>80.98</v>
      </c>
      <c r="L9" s="795"/>
      <c r="M9" s="797">
        <v>15.64</v>
      </c>
      <c r="N9" s="795"/>
      <c r="O9" s="795">
        <v>0</v>
      </c>
      <c r="P9" s="796">
        <v>42.96</v>
      </c>
      <c r="Q9" s="795"/>
      <c r="R9" s="795"/>
      <c r="S9" s="795"/>
      <c r="T9" s="797">
        <f t="shared" si="0"/>
        <v>139.58000000000001</v>
      </c>
      <c r="U9" s="797">
        <f t="shared" si="1"/>
        <v>139.58000000000001</v>
      </c>
      <c r="V9" s="788" t="s">
        <v>1677</v>
      </c>
      <c r="W9" s="1172"/>
      <c r="X9" s="1172"/>
      <c r="Y9" s="1172"/>
      <c r="Z9" s="1172"/>
    </row>
    <row r="10" spans="1:26" ht="53.25" customHeight="1">
      <c r="A10" s="736"/>
      <c r="B10" s="736"/>
      <c r="C10" s="736"/>
      <c r="D10" s="795">
        <v>5</v>
      </c>
      <c r="E10" s="795" t="s">
        <v>36</v>
      </c>
      <c r="F10" s="795"/>
      <c r="G10" s="795"/>
      <c r="H10" s="795"/>
      <c r="I10" s="795"/>
      <c r="J10" s="795"/>
      <c r="K10" s="795"/>
      <c r="L10" s="795"/>
      <c r="M10" s="795"/>
      <c r="N10" s="795"/>
      <c r="O10" s="795"/>
      <c r="P10" s="797">
        <v>39.090000000000003</v>
      </c>
      <c r="Q10" s="795"/>
      <c r="R10" s="795"/>
      <c r="S10" s="795"/>
      <c r="T10" s="797">
        <f t="shared" si="0"/>
        <v>39.090000000000003</v>
      </c>
      <c r="U10" s="797">
        <f t="shared" si="1"/>
        <v>39.090000000000003</v>
      </c>
      <c r="V10" s="788" t="s">
        <v>686</v>
      </c>
      <c r="W10" s="1172"/>
      <c r="X10" s="1172"/>
      <c r="Y10" s="1172"/>
      <c r="Z10" s="1172"/>
    </row>
    <row r="11" spans="1:26" ht="255">
      <c r="A11" s="736"/>
      <c r="B11" s="736"/>
      <c r="C11" s="736"/>
      <c r="D11" s="795">
        <v>6</v>
      </c>
      <c r="E11" s="795" t="s">
        <v>38</v>
      </c>
      <c r="F11" s="795">
        <v>1.07</v>
      </c>
      <c r="G11" s="795"/>
      <c r="H11" s="795"/>
      <c r="I11" s="795"/>
      <c r="J11" s="795"/>
      <c r="K11" s="795"/>
      <c r="L11" s="795"/>
      <c r="M11" s="795"/>
      <c r="N11" s="796"/>
      <c r="O11" s="795">
        <v>3.3</v>
      </c>
      <c r="P11" s="796">
        <v>0.78</v>
      </c>
      <c r="Q11" s="795"/>
      <c r="R11" s="795"/>
      <c r="S11" s="795"/>
      <c r="T11" s="797">
        <f t="shared" si="0"/>
        <v>5.15</v>
      </c>
      <c r="U11" s="797">
        <f t="shared" si="1"/>
        <v>5.15</v>
      </c>
      <c r="V11" s="788" t="s">
        <v>687</v>
      </c>
      <c r="W11" s="1172"/>
      <c r="X11" s="1172"/>
      <c r="Y11" s="1172"/>
      <c r="Z11" s="1172"/>
    </row>
    <row r="12" spans="1:26" ht="120">
      <c r="A12" s="736"/>
      <c r="B12" s="736"/>
      <c r="C12" s="736"/>
      <c r="D12" s="795">
        <v>7</v>
      </c>
      <c r="E12" s="795" t="s">
        <v>40</v>
      </c>
      <c r="F12" s="795"/>
      <c r="G12" s="795"/>
      <c r="H12" s="795"/>
      <c r="I12" s="795"/>
      <c r="J12" s="795"/>
      <c r="K12" s="795"/>
      <c r="L12" s="795"/>
      <c r="M12" s="795"/>
      <c r="N12" s="795"/>
      <c r="O12" s="795"/>
      <c r="P12" s="796">
        <v>0</v>
      </c>
      <c r="Q12" s="796">
        <v>2.15</v>
      </c>
      <c r="R12" s="795">
        <v>0.1</v>
      </c>
      <c r="S12" s="795"/>
      <c r="T12" s="797">
        <f t="shared" si="0"/>
        <v>2.25</v>
      </c>
      <c r="U12" s="797">
        <f t="shared" si="1"/>
        <v>2.25</v>
      </c>
      <c r="V12" s="729" t="s">
        <v>688</v>
      </c>
      <c r="W12" s="1172"/>
      <c r="X12" s="1172"/>
      <c r="Y12" s="1172"/>
      <c r="Z12" s="1172"/>
    </row>
    <row r="13" spans="1:26" ht="24.75" customHeight="1">
      <c r="A13" s="736"/>
      <c r="B13" s="736"/>
      <c r="C13" s="736"/>
      <c r="D13" s="795">
        <v>8</v>
      </c>
      <c r="E13" s="795" t="s">
        <v>42</v>
      </c>
      <c r="F13" s="795"/>
      <c r="G13" s="795"/>
      <c r="H13" s="795"/>
      <c r="I13" s="795"/>
      <c r="J13" s="795"/>
      <c r="K13" s="795"/>
      <c r="L13" s="795"/>
      <c r="M13" s="795"/>
      <c r="N13" s="797"/>
      <c r="O13" s="795"/>
      <c r="P13" s="795"/>
      <c r="Q13" s="795"/>
      <c r="R13" s="795"/>
      <c r="S13" s="795"/>
      <c r="T13" s="797">
        <f t="shared" si="0"/>
        <v>0</v>
      </c>
      <c r="U13" s="797">
        <v>0</v>
      </c>
      <c r="V13" s="788"/>
      <c r="W13" s="1172"/>
      <c r="X13" s="1172"/>
      <c r="Y13" s="1172"/>
      <c r="Z13" s="1172"/>
    </row>
    <row r="14" spans="1:26" ht="105">
      <c r="A14" s="736"/>
      <c r="B14" s="736"/>
      <c r="C14" s="736"/>
      <c r="D14" s="795">
        <v>9</v>
      </c>
      <c r="E14" s="795" t="s">
        <v>43</v>
      </c>
      <c r="F14" s="795"/>
      <c r="G14" s="795"/>
      <c r="H14" s="795"/>
      <c r="I14" s="795"/>
      <c r="J14" s="795"/>
      <c r="K14" s="795"/>
      <c r="L14" s="795"/>
      <c r="M14" s="795"/>
      <c r="N14" s="797"/>
      <c r="O14" s="795"/>
      <c r="P14" s="682">
        <v>0.15851999999999999</v>
      </c>
      <c r="Q14" s="683"/>
      <c r="R14" s="683">
        <v>0.3</v>
      </c>
      <c r="S14" s="683"/>
      <c r="T14" s="797">
        <f t="shared" si="0"/>
        <v>0.45851999999999998</v>
      </c>
      <c r="U14" s="797">
        <f>T14</f>
        <v>0.45851999999999998</v>
      </c>
      <c r="V14" s="788" t="s">
        <v>689</v>
      </c>
      <c r="W14" s="1172"/>
      <c r="X14" s="1172"/>
      <c r="Y14" s="1172"/>
      <c r="Z14" s="1172"/>
    </row>
    <row r="15" spans="1:26" ht="90">
      <c r="A15" s="736"/>
      <c r="B15" s="736"/>
      <c r="C15" s="736"/>
      <c r="D15" s="795">
        <v>10</v>
      </c>
      <c r="E15" s="795" t="s">
        <v>44</v>
      </c>
      <c r="F15" s="795"/>
      <c r="G15" s="795"/>
      <c r="H15" s="795"/>
      <c r="I15" s="797">
        <v>0.04</v>
      </c>
      <c r="J15" s="795"/>
      <c r="K15" s="795"/>
      <c r="L15" s="795"/>
      <c r="M15" s="795"/>
      <c r="N15" s="749">
        <v>0.82</v>
      </c>
      <c r="O15" s="795"/>
      <c r="P15" s="795"/>
      <c r="Q15" s="795"/>
      <c r="R15" s="795"/>
      <c r="S15" s="795"/>
      <c r="T15" s="797">
        <f t="shared" si="0"/>
        <v>0.86</v>
      </c>
      <c r="U15" s="797">
        <v>0.82</v>
      </c>
      <c r="V15" s="729" t="s">
        <v>1598</v>
      </c>
      <c r="W15" s="1172"/>
      <c r="X15" s="1172"/>
      <c r="Y15" s="1172"/>
      <c r="Z15" s="1172"/>
    </row>
    <row r="16" spans="1:26" ht="24.75" customHeight="1">
      <c r="A16" s="736"/>
      <c r="B16" s="736"/>
      <c r="C16" s="736"/>
      <c r="D16" s="795">
        <v>11</v>
      </c>
      <c r="E16" s="795" t="s">
        <v>45</v>
      </c>
      <c r="F16" s="795"/>
      <c r="G16" s="796"/>
      <c r="H16" s="796"/>
      <c r="I16" s="795"/>
      <c r="J16" s="795"/>
      <c r="K16" s="795"/>
      <c r="L16" s="795"/>
      <c r="M16" s="795"/>
      <c r="N16" s="795"/>
      <c r="O16" s="795"/>
      <c r="P16" s="795"/>
      <c r="Q16" s="795"/>
      <c r="R16" s="795"/>
      <c r="S16" s="795"/>
      <c r="T16" s="797">
        <f t="shared" si="0"/>
        <v>0</v>
      </c>
      <c r="U16" s="797">
        <v>0</v>
      </c>
      <c r="V16" s="788"/>
      <c r="W16" s="1172"/>
      <c r="X16" s="1172"/>
      <c r="Y16" s="1172"/>
      <c r="Z16" s="1172"/>
    </row>
    <row r="17" spans="1:26" ht="45">
      <c r="A17" s="736"/>
      <c r="B17" s="736"/>
      <c r="C17" s="736"/>
      <c r="D17" s="795">
        <v>12</v>
      </c>
      <c r="E17" s="795" t="s">
        <v>46</v>
      </c>
      <c r="F17" s="795"/>
      <c r="G17" s="795"/>
      <c r="H17" s="795"/>
      <c r="I17" s="795"/>
      <c r="J17" s="795"/>
      <c r="K17" s="795"/>
      <c r="L17" s="795"/>
      <c r="M17" s="795"/>
      <c r="N17" s="797">
        <v>2</v>
      </c>
      <c r="O17" s="795"/>
      <c r="P17" s="795"/>
      <c r="Q17" s="795"/>
      <c r="R17" s="795"/>
      <c r="S17" s="795"/>
      <c r="T17" s="797">
        <f t="shared" si="0"/>
        <v>2</v>
      </c>
      <c r="U17" s="797">
        <v>2</v>
      </c>
      <c r="V17" s="729" t="s">
        <v>47</v>
      </c>
      <c r="W17" s="1172"/>
      <c r="X17" s="1172"/>
      <c r="Y17" s="1172"/>
      <c r="Z17" s="1172"/>
    </row>
    <row r="18" spans="1:26" ht="24.75" customHeight="1">
      <c r="A18" s="736"/>
      <c r="B18" s="736"/>
      <c r="C18" s="736"/>
      <c r="D18" s="795">
        <v>13</v>
      </c>
      <c r="E18" s="795" t="s">
        <v>48</v>
      </c>
      <c r="F18" s="795"/>
      <c r="G18" s="795"/>
      <c r="H18" s="795"/>
      <c r="I18" s="795"/>
      <c r="J18" s="795"/>
      <c r="K18" s="795"/>
      <c r="L18" s="795"/>
      <c r="M18" s="795"/>
      <c r="N18" s="795"/>
      <c r="O18" s="795"/>
      <c r="P18" s="796"/>
      <c r="Q18" s="795"/>
      <c r="R18" s="795"/>
      <c r="S18" s="795"/>
      <c r="T18" s="797">
        <f t="shared" si="0"/>
        <v>0</v>
      </c>
      <c r="U18" s="797">
        <v>0</v>
      </c>
      <c r="V18" s="788"/>
      <c r="W18" s="1172"/>
      <c r="X18" s="1172"/>
      <c r="Y18" s="1172"/>
      <c r="Z18" s="1172"/>
    </row>
    <row r="19" spans="1:26" ht="24.75" customHeight="1">
      <c r="A19" s="736"/>
      <c r="B19" s="736"/>
      <c r="C19" s="736"/>
      <c r="D19" s="795">
        <v>14</v>
      </c>
      <c r="E19" s="795" t="s">
        <v>49</v>
      </c>
      <c r="F19" s="795"/>
      <c r="G19" s="795"/>
      <c r="H19" s="795"/>
      <c r="I19" s="795"/>
      <c r="J19" s="795"/>
      <c r="K19" s="795"/>
      <c r="L19" s="795"/>
      <c r="M19" s="795"/>
      <c r="N19" s="795"/>
      <c r="O19" s="795"/>
      <c r="P19" s="795"/>
      <c r="Q19" s="795"/>
      <c r="R19" s="795"/>
      <c r="S19" s="795"/>
      <c r="T19" s="797">
        <f t="shared" si="0"/>
        <v>0</v>
      </c>
      <c r="U19" s="797">
        <v>0</v>
      </c>
      <c r="V19" s="788"/>
      <c r="W19" s="1172"/>
      <c r="X19" s="1172"/>
      <c r="Y19" s="1172"/>
      <c r="Z19" s="1172"/>
    </row>
    <row r="20" spans="1:26" ht="345">
      <c r="A20" s="736"/>
      <c r="B20" s="736"/>
      <c r="C20" s="736"/>
      <c r="D20" s="795">
        <v>15</v>
      </c>
      <c r="E20" s="795" t="s">
        <v>50</v>
      </c>
      <c r="F20" s="795"/>
      <c r="G20" s="795"/>
      <c r="H20" s="795"/>
      <c r="I20" s="796">
        <v>1.17</v>
      </c>
      <c r="J20" s="795"/>
      <c r="K20" s="795"/>
      <c r="L20" s="795"/>
      <c r="M20" s="795"/>
      <c r="N20" s="797">
        <v>0.75</v>
      </c>
      <c r="O20" s="795"/>
      <c r="P20" s="796">
        <v>3</v>
      </c>
      <c r="Q20" s="796"/>
      <c r="R20" s="795"/>
      <c r="S20" s="795"/>
      <c r="T20" s="797">
        <f t="shared" si="0"/>
        <v>4.92</v>
      </c>
      <c r="U20" s="797">
        <f>1.28+1+1+2</f>
        <v>5.28</v>
      </c>
      <c r="V20" s="729" t="s">
        <v>690</v>
      </c>
      <c r="W20" s="1172"/>
      <c r="X20" s="1172"/>
      <c r="Y20" s="1172"/>
      <c r="Z20" s="1172"/>
    </row>
    <row r="21" spans="1:26" ht="24.75" customHeight="1">
      <c r="A21" s="736"/>
      <c r="B21" s="736"/>
      <c r="C21" s="736"/>
      <c r="D21" s="795">
        <v>16</v>
      </c>
      <c r="E21" s="795" t="s">
        <v>51</v>
      </c>
      <c r="F21" s="795"/>
      <c r="G21" s="795"/>
      <c r="H21" s="795"/>
      <c r="I21" s="795"/>
      <c r="J21" s="795"/>
      <c r="K21" s="795"/>
      <c r="L21" s="795"/>
      <c r="M21" s="795"/>
      <c r="N21" s="795"/>
      <c r="O21" s="795"/>
      <c r="P21" s="795"/>
      <c r="Q21" s="795"/>
      <c r="R21" s="795"/>
      <c r="S21" s="795"/>
      <c r="T21" s="797">
        <f t="shared" si="0"/>
        <v>0</v>
      </c>
      <c r="U21" s="797">
        <v>0</v>
      </c>
      <c r="V21" s="788"/>
      <c r="W21" s="1172"/>
      <c r="X21" s="1172"/>
      <c r="Y21" s="1172"/>
      <c r="Z21" s="1172"/>
    </row>
    <row r="22" spans="1:26" ht="75">
      <c r="A22" s="736"/>
      <c r="B22" s="736"/>
      <c r="C22" s="736"/>
      <c r="D22" s="795">
        <v>17</v>
      </c>
      <c r="E22" s="795" t="s">
        <v>52</v>
      </c>
      <c r="F22" s="795"/>
      <c r="G22" s="795"/>
      <c r="H22" s="795"/>
      <c r="I22" s="797"/>
      <c r="J22" s="795"/>
      <c r="K22" s="795"/>
      <c r="L22" s="795"/>
      <c r="M22" s="795"/>
      <c r="N22" s="797"/>
      <c r="O22" s="795"/>
      <c r="P22" s="796">
        <v>0.15</v>
      </c>
      <c r="Q22" s="797">
        <v>4.3</v>
      </c>
      <c r="R22" s="795"/>
      <c r="S22" s="796"/>
      <c r="T22" s="797">
        <f t="shared" si="0"/>
        <v>4.45</v>
      </c>
      <c r="U22" s="658">
        <f>T22+0.5</f>
        <v>4.95</v>
      </c>
      <c r="V22" s="788" t="s">
        <v>691</v>
      </c>
      <c r="W22" s="1172"/>
      <c r="X22" s="1172"/>
      <c r="Y22" s="1172"/>
      <c r="Z22" s="1172"/>
    </row>
    <row r="23" spans="1:26" ht="65.25" customHeight="1">
      <c r="A23" s="736"/>
      <c r="B23" s="736"/>
      <c r="C23" s="736"/>
      <c r="D23" s="795">
        <v>18</v>
      </c>
      <c r="E23" s="795" t="s">
        <v>53</v>
      </c>
      <c r="F23" s="795"/>
      <c r="G23" s="795"/>
      <c r="H23" s="795"/>
      <c r="I23" s="795"/>
      <c r="J23" s="795"/>
      <c r="K23" s="795"/>
      <c r="L23" s="795"/>
      <c r="M23" s="795"/>
      <c r="N23" s="795"/>
      <c r="O23" s="795"/>
      <c r="P23" s="796">
        <v>2.4249999999999998</v>
      </c>
      <c r="Q23" s="796"/>
      <c r="R23" s="795"/>
      <c r="S23" s="796"/>
      <c r="T23" s="797">
        <f t="shared" si="0"/>
        <v>2.4249999999999998</v>
      </c>
      <c r="U23" s="797">
        <f>T23</f>
        <v>2.4249999999999998</v>
      </c>
      <c r="V23" s="729" t="s">
        <v>1815</v>
      </c>
      <c r="W23" s="1172"/>
      <c r="X23" s="1172"/>
      <c r="Y23" s="1172"/>
      <c r="Z23" s="1172"/>
    </row>
    <row r="24" spans="1:26" ht="24.75" customHeight="1">
      <c r="A24" s="736"/>
      <c r="B24" s="1170" t="s">
        <v>54</v>
      </c>
      <c r="C24" s="1170" t="s">
        <v>55</v>
      </c>
      <c r="D24" s="795">
        <v>19</v>
      </c>
      <c r="E24" s="795" t="s">
        <v>55</v>
      </c>
      <c r="F24" s="795"/>
      <c r="G24" s="795"/>
      <c r="H24" s="795"/>
      <c r="I24" s="795"/>
      <c r="J24" s="795"/>
      <c r="K24" s="795"/>
      <c r="L24" s="795"/>
      <c r="M24" s="795"/>
      <c r="N24" s="795"/>
      <c r="O24" s="795"/>
      <c r="P24" s="795"/>
      <c r="Q24" s="795"/>
      <c r="R24" s="795"/>
      <c r="S24" s="795"/>
      <c r="T24" s="797">
        <f t="shared" si="0"/>
        <v>0</v>
      </c>
      <c r="U24" s="797">
        <v>0</v>
      </c>
      <c r="V24" s="788"/>
      <c r="W24" s="1172"/>
      <c r="X24" s="1172"/>
      <c r="Y24" s="1172"/>
      <c r="Z24" s="1172"/>
    </row>
    <row r="25" spans="1:26" ht="125.45" customHeight="1">
      <c r="A25" s="736"/>
      <c r="B25" s="736"/>
      <c r="C25" s="736"/>
      <c r="D25" s="795">
        <v>20</v>
      </c>
      <c r="E25" s="795" t="s">
        <v>56</v>
      </c>
      <c r="F25" s="795"/>
      <c r="G25" s="795"/>
      <c r="H25" s="795"/>
      <c r="I25" s="795"/>
      <c r="J25" s="795"/>
      <c r="K25" s="795"/>
      <c r="L25" s="795"/>
      <c r="M25" s="795"/>
      <c r="N25" s="795"/>
      <c r="O25" s="795"/>
      <c r="P25" s="795"/>
      <c r="Q25" s="797">
        <v>0.9</v>
      </c>
      <c r="R25" s="795"/>
      <c r="S25" s="795"/>
      <c r="T25" s="797">
        <f t="shared" si="0"/>
        <v>0.9</v>
      </c>
      <c r="U25" s="797">
        <f>0.8</f>
        <v>0.8</v>
      </c>
      <c r="V25" s="788" t="s">
        <v>692</v>
      </c>
      <c r="W25" s="1172"/>
      <c r="X25" s="1172"/>
      <c r="Y25" s="1172"/>
      <c r="Z25" s="1172"/>
    </row>
    <row r="26" spans="1:26" ht="301.14999999999998" customHeight="1">
      <c r="A26" s="736"/>
      <c r="B26" s="1170" t="s">
        <v>58</v>
      </c>
      <c r="C26" s="1170" t="s">
        <v>59</v>
      </c>
      <c r="D26" s="795">
        <v>21</v>
      </c>
      <c r="E26" s="795" t="s">
        <v>60</v>
      </c>
      <c r="F26" s="795"/>
      <c r="G26" s="795"/>
      <c r="H26" s="1174"/>
      <c r="I26" s="797">
        <v>2</v>
      </c>
      <c r="J26" s="795"/>
      <c r="K26" s="797"/>
      <c r="L26" s="795"/>
      <c r="M26" s="795"/>
      <c r="N26" s="797">
        <f>1.5+0.42+0.475</f>
        <v>2.395</v>
      </c>
      <c r="O26" s="795"/>
      <c r="P26" s="796">
        <f>17.76+3.78</f>
        <v>21.540000000000003</v>
      </c>
      <c r="Q26" s="796">
        <v>0.25</v>
      </c>
      <c r="R26" s="797">
        <v>0.5</v>
      </c>
      <c r="S26" s="795"/>
      <c r="T26" s="797">
        <f t="shared" si="0"/>
        <v>26.685000000000002</v>
      </c>
      <c r="U26" s="658">
        <f>I26+N26+P26+Q26+R26</f>
        <v>26.685000000000002</v>
      </c>
      <c r="V26" s="729" t="s">
        <v>693</v>
      </c>
      <c r="W26" s="1172"/>
      <c r="X26" s="1172"/>
      <c r="Y26" s="1172"/>
      <c r="Z26" s="1172"/>
    </row>
    <row r="27" spans="1:26" ht="225">
      <c r="A27" s="736"/>
      <c r="B27" s="736"/>
      <c r="C27" s="736"/>
      <c r="D27" s="795">
        <v>22</v>
      </c>
      <c r="E27" s="795" t="s">
        <v>62</v>
      </c>
      <c r="F27" s="796"/>
      <c r="G27" s="795"/>
      <c r="H27" s="796"/>
      <c r="I27" s="739">
        <f>1109878/100000</f>
        <v>11.09878</v>
      </c>
      <c r="J27" s="795"/>
      <c r="K27" s="795"/>
      <c r="L27" s="795"/>
      <c r="M27" s="796">
        <v>1</v>
      </c>
      <c r="N27" s="795"/>
      <c r="O27" s="795"/>
      <c r="P27" s="796">
        <f>280.846+2.4</f>
        <v>283.24599999999998</v>
      </c>
      <c r="Q27" s="796">
        <v>1</v>
      </c>
      <c r="R27" s="797"/>
      <c r="S27" s="795"/>
      <c r="T27" s="797">
        <f t="shared" si="0"/>
        <v>296.34477999999996</v>
      </c>
      <c r="U27" s="658">
        <f>M27+P27+Q27</f>
        <v>285.24599999999998</v>
      </c>
      <c r="V27" s="738" t="s">
        <v>694</v>
      </c>
      <c r="W27" s="1172"/>
      <c r="X27" s="1172"/>
      <c r="Y27" s="1172"/>
      <c r="Z27" s="1172"/>
    </row>
    <row r="28" spans="1:26" ht="75">
      <c r="A28" s="736"/>
      <c r="B28" s="736"/>
      <c r="C28" s="736"/>
      <c r="D28" s="795">
        <v>23</v>
      </c>
      <c r="E28" s="795" t="s">
        <v>64</v>
      </c>
      <c r="F28" s="795"/>
      <c r="G28" s="795"/>
      <c r="H28" s="795"/>
      <c r="I28" s="795"/>
      <c r="J28" s="795"/>
      <c r="K28" s="797"/>
      <c r="L28" s="795"/>
      <c r="M28" s="795"/>
      <c r="N28" s="795">
        <v>0.11</v>
      </c>
      <c r="O28" s="796">
        <v>71.25</v>
      </c>
      <c r="P28" s="795"/>
      <c r="Q28" s="796"/>
      <c r="R28" s="795"/>
      <c r="S28" s="795"/>
      <c r="T28" s="797">
        <f t="shared" si="0"/>
        <v>71.36</v>
      </c>
      <c r="U28" s="658">
        <f>T28</f>
        <v>71.36</v>
      </c>
      <c r="V28" s="740" t="s">
        <v>1678</v>
      </c>
      <c r="W28" s="1172"/>
      <c r="X28" s="1172"/>
      <c r="Y28" s="1172"/>
      <c r="Z28" s="1172"/>
    </row>
    <row r="29" spans="1:26" ht="265.89999999999998" customHeight="1">
      <c r="A29" s="736"/>
      <c r="B29" s="736"/>
      <c r="C29" s="736"/>
      <c r="D29" s="795">
        <v>24</v>
      </c>
      <c r="E29" s="795" t="s">
        <v>66</v>
      </c>
      <c r="F29" s="795"/>
      <c r="G29" s="795"/>
      <c r="H29" s="796"/>
      <c r="I29" s="795"/>
      <c r="J29" s="795"/>
      <c r="K29" s="795"/>
      <c r="L29" s="795"/>
      <c r="M29" s="795"/>
      <c r="N29" s="684">
        <f>1+0.688+0.688+0.5+4</f>
        <v>6.8759999999999994</v>
      </c>
      <c r="O29" s="796"/>
      <c r="P29" s="795">
        <v>15.4</v>
      </c>
      <c r="Q29" s="797">
        <v>2</v>
      </c>
      <c r="R29" s="795"/>
      <c r="S29" s="795"/>
      <c r="T29" s="797">
        <f t="shared" si="0"/>
        <v>24.276</v>
      </c>
      <c r="U29" s="800">
        <v>26.275999999999996</v>
      </c>
      <c r="V29" s="729" t="s">
        <v>1679</v>
      </c>
      <c r="W29" s="1172"/>
      <c r="X29" s="1172"/>
      <c r="Y29" s="1172"/>
      <c r="Z29" s="1172"/>
    </row>
    <row r="30" spans="1:26" ht="255">
      <c r="A30" s="736"/>
      <c r="B30" s="736"/>
      <c r="C30" s="736"/>
      <c r="D30" s="795">
        <v>25</v>
      </c>
      <c r="E30" s="795" t="s">
        <v>68</v>
      </c>
      <c r="F30" s="795"/>
      <c r="G30" s="795"/>
      <c r="H30" s="795"/>
      <c r="I30" s="795"/>
      <c r="J30" s="795"/>
      <c r="K30" s="795"/>
      <c r="L30" s="795"/>
      <c r="M30" s="795"/>
      <c r="N30" s="797">
        <v>0.5</v>
      </c>
      <c r="O30" s="799">
        <v>6.3500000000000001E-2</v>
      </c>
      <c r="P30" s="795">
        <v>0.88400000000000001</v>
      </c>
      <c r="Q30" s="743">
        <v>0</v>
      </c>
      <c r="R30" s="795"/>
      <c r="S30" s="795"/>
      <c r="T30" s="797">
        <f t="shared" si="0"/>
        <v>1.4475</v>
      </c>
      <c r="U30" s="797">
        <f>T30</f>
        <v>1.4475</v>
      </c>
      <c r="V30" s="729" t="s">
        <v>1675</v>
      </c>
      <c r="W30" s="1172"/>
      <c r="X30" s="1172"/>
      <c r="Y30" s="1172"/>
      <c r="Z30" s="1172"/>
    </row>
    <row r="31" spans="1:26" ht="225">
      <c r="A31" s="736"/>
      <c r="B31" s="736"/>
      <c r="C31" s="736"/>
      <c r="D31" s="795">
        <v>26</v>
      </c>
      <c r="E31" s="795" t="s">
        <v>70</v>
      </c>
      <c r="F31" s="795"/>
      <c r="G31" s="795"/>
      <c r="H31" s="795"/>
      <c r="I31" s="797"/>
      <c r="J31" s="795"/>
      <c r="K31" s="795"/>
      <c r="L31" s="795"/>
      <c r="M31" s="795"/>
      <c r="N31" s="797">
        <v>3.9</v>
      </c>
      <c r="O31" s="795"/>
      <c r="P31" s="795"/>
      <c r="Q31" s="684">
        <v>3.2</v>
      </c>
      <c r="R31" s="685">
        <v>0.2</v>
      </c>
      <c r="S31" s="795"/>
      <c r="T31" s="797">
        <f t="shared" si="0"/>
        <v>7.3</v>
      </c>
      <c r="U31" s="658">
        <f>T31-0.2</f>
        <v>7.1</v>
      </c>
      <c r="V31" s="744" t="s">
        <v>1674</v>
      </c>
      <c r="W31" s="1172"/>
      <c r="X31" s="1172"/>
      <c r="Y31" s="1172"/>
      <c r="Z31" s="1172"/>
    </row>
    <row r="32" spans="1:26" ht="75">
      <c r="A32" s="736"/>
      <c r="B32" s="736"/>
      <c r="C32" s="736"/>
      <c r="D32" s="795">
        <v>27</v>
      </c>
      <c r="E32" s="795" t="s">
        <v>72</v>
      </c>
      <c r="F32" s="795"/>
      <c r="G32" s="795"/>
      <c r="H32" s="796"/>
      <c r="I32" s="797"/>
      <c r="J32" s="795"/>
      <c r="K32" s="795"/>
      <c r="L32" s="795"/>
      <c r="M32" s="795"/>
      <c r="N32" s="797">
        <v>1</v>
      </c>
      <c r="O32" s="796"/>
      <c r="P32" s="796">
        <v>3</v>
      </c>
      <c r="Q32" s="795"/>
      <c r="R32" s="795"/>
      <c r="S32" s="795"/>
      <c r="T32" s="797">
        <f t="shared" si="0"/>
        <v>4</v>
      </c>
      <c r="U32" s="797">
        <f>T32</f>
        <v>4</v>
      </c>
      <c r="V32" s="740" t="s">
        <v>1673</v>
      </c>
      <c r="W32" s="1172"/>
      <c r="X32" s="1172"/>
      <c r="Y32" s="1172"/>
      <c r="Z32" s="1172"/>
    </row>
    <row r="33" spans="1:26" ht="60">
      <c r="A33" s="736"/>
      <c r="B33" s="736"/>
      <c r="C33" s="736"/>
      <c r="D33" s="795">
        <v>28</v>
      </c>
      <c r="E33" s="795" t="s">
        <v>34</v>
      </c>
      <c r="F33" s="795"/>
      <c r="G33" s="795"/>
      <c r="H33" s="795"/>
      <c r="I33" s="795"/>
      <c r="J33" s="795"/>
      <c r="K33" s="797">
        <v>2.3460000000000001</v>
      </c>
      <c r="L33" s="795"/>
      <c r="M33" s="797">
        <v>2.3460000000000001</v>
      </c>
      <c r="N33" s="795"/>
      <c r="O33" s="795"/>
      <c r="P33" s="795"/>
      <c r="Q33" s="795"/>
      <c r="R33" s="795"/>
      <c r="S33" s="795"/>
      <c r="T33" s="797">
        <f t="shared" si="0"/>
        <v>4.6920000000000002</v>
      </c>
      <c r="U33" s="797">
        <f>4.69</f>
        <v>4.6900000000000004</v>
      </c>
      <c r="V33" s="729" t="s">
        <v>1816</v>
      </c>
      <c r="W33" s="1172"/>
      <c r="X33" s="1172"/>
      <c r="Y33" s="1172"/>
      <c r="Z33" s="1172"/>
    </row>
    <row r="34" spans="1:26" ht="24.75" customHeight="1">
      <c r="A34" s="736"/>
      <c r="B34" s="736"/>
      <c r="C34" s="736"/>
      <c r="D34" s="795">
        <v>29</v>
      </c>
      <c r="E34" s="795" t="s">
        <v>36</v>
      </c>
      <c r="F34" s="795"/>
      <c r="G34" s="795"/>
      <c r="H34" s="795"/>
      <c r="I34" s="795"/>
      <c r="J34" s="795"/>
      <c r="K34" s="795"/>
      <c r="L34" s="795"/>
      <c r="M34" s="795"/>
      <c r="N34" s="795"/>
      <c r="O34" s="795"/>
      <c r="P34" s="797">
        <v>5.8650000000000002</v>
      </c>
      <c r="Q34" s="795"/>
      <c r="R34" s="795"/>
      <c r="S34" s="795"/>
      <c r="T34" s="797">
        <f t="shared" si="0"/>
        <v>5.8650000000000002</v>
      </c>
      <c r="U34" s="797">
        <f t="shared" ref="U34:U35" si="2">T34</f>
        <v>5.8650000000000002</v>
      </c>
      <c r="V34" s="729" t="s">
        <v>1817</v>
      </c>
      <c r="W34" s="1172"/>
      <c r="X34" s="1172"/>
      <c r="Y34" s="1172"/>
      <c r="Z34" s="1172"/>
    </row>
    <row r="35" spans="1:26" ht="57" customHeight="1">
      <c r="A35" s="736"/>
      <c r="B35" s="736"/>
      <c r="C35" s="736"/>
      <c r="D35" s="795">
        <v>30</v>
      </c>
      <c r="E35" s="795" t="s">
        <v>74</v>
      </c>
      <c r="F35" s="795"/>
      <c r="G35" s="795"/>
      <c r="H35" s="795"/>
      <c r="I35" s="797"/>
      <c r="J35" s="795"/>
      <c r="K35" s="795"/>
      <c r="L35" s="795"/>
      <c r="M35" s="795"/>
      <c r="N35" s="795"/>
      <c r="O35" s="795"/>
      <c r="P35" s="795"/>
      <c r="Q35" s="797">
        <v>3.33</v>
      </c>
      <c r="R35" s="685">
        <v>1.75</v>
      </c>
      <c r="S35" s="795"/>
      <c r="T35" s="797">
        <f t="shared" si="0"/>
        <v>5.08</v>
      </c>
      <c r="U35" s="646">
        <f t="shared" si="2"/>
        <v>5.08</v>
      </c>
      <c r="V35" s="746" t="s">
        <v>1680</v>
      </c>
      <c r="W35" s="1172"/>
      <c r="X35" s="1172"/>
      <c r="Y35" s="1172"/>
      <c r="Z35" s="1172"/>
    </row>
    <row r="36" spans="1:26" ht="24.75" customHeight="1">
      <c r="A36" s="736"/>
      <c r="B36" s="736"/>
      <c r="C36" s="736"/>
      <c r="D36" s="795">
        <v>31</v>
      </c>
      <c r="E36" s="795" t="s">
        <v>53</v>
      </c>
      <c r="F36" s="795"/>
      <c r="G36" s="795"/>
      <c r="H36" s="795"/>
      <c r="I36" s="795"/>
      <c r="J36" s="795"/>
      <c r="K36" s="795"/>
      <c r="L36" s="795"/>
      <c r="M36" s="795"/>
      <c r="N36" s="795"/>
      <c r="O36" s="795"/>
      <c r="P36" s="795"/>
      <c r="Q36" s="795"/>
      <c r="R36" s="795"/>
      <c r="S36" s="795"/>
      <c r="T36" s="797">
        <f t="shared" si="0"/>
        <v>0</v>
      </c>
      <c r="U36" s="797">
        <v>0</v>
      </c>
      <c r="V36" s="788"/>
      <c r="W36" s="1172"/>
      <c r="X36" s="1172"/>
      <c r="Y36" s="1172"/>
      <c r="Z36" s="1172"/>
    </row>
    <row r="37" spans="1:26" ht="120">
      <c r="A37" s="736"/>
      <c r="B37" s="1170" t="s">
        <v>76</v>
      </c>
      <c r="C37" s="1170" t="s">
        <v>77</v>
      </c>
      <c r="D37" s="795">
        <v>32</v>
      </c>
      <c r="E37" s="795" t="s">
        <v>78</v>
      </c>
      <c r="F37" s="795"/>
      <c r="G37" s="795"/>
      <c r="H37" s="795"/>
      <c r="I37" s="797"/>
      <c r="J37" s="795"/>
      <c r="K37" s="795"/>
      <c r="L37" s="795"/>
      <c r="M37" s="797"/>
      <c r="N37" s="797">
        <v>7.8719999999999999</v>
      </c>
      <c r="O37" s="796">
        <v>77.306600000000003</v>
      </c>
      <c r="P37" s="796">
        <v>21.53276</v>
      </c>
      <c r="Q37" s="797">
        <v>3.1</v>
      </c>
      <c r="R37" s="654">
        <v>4.9085000000000001</v>
      </c>
      <c r="S37" s="795">
        <v>4.3899999999999997</v>
      </c>
      <c r="T37" s="797">
        <f t="shared" si="0"/>
        <v>119.10986</v>
      </c>
      <c r="U37" s="797">
        <f>T37-1.1055</f>
        <v>118.00435999999999</v>
      </c>
      <c r="V37" s="746" t="s">
        <v>695</v>
      </c>
      <c r="W37" s="1172"/>
      <c r="X37" s="1172"/>
      <c r="Y37" s="1172"/>
      <c r="Z37" s="1172"/>
    </row>
    <row r="38" spans="1:26" ht="24.75" customHeight="1">
      <c r="A38" s="736"/>
      <c r="B38" s="736"/>
      <c r="C38" s="736"/>
      <c r="D38" s="795">
        <v>33</v>
      </c>
      <c r="E38" s="795" t="s">
        <v>80</v>
      </c>
      <c r="F38" s="795"/>
      <c r="G38" s="795"/>
      <c r="H38" s="795"/>
      <c r="I38" s="795"/>
      <c r="J38" s="795"/>
      <c r="K38" s="795"/>
      <c r="L38" s="795"/>
      <c r="M38" s="795"/>
      <c r="N38" s="795"/>
      <c r="O38" s="795"/>
      <c r="P38" s="795"/>
      <c r="Q38" s="795"/>
      <c r="R38" s="795"/>
      <c r="S38" s="795"/>
      <c r="T38" s="797">
        <f t="shared" si="0"/>
        <v>0</v>
      </c>
      <c r="U38" s="797">
        <v>0</v>
      </c>
      <c r="V38" s="788"/>
      <c r="W38" s="1172"/>
      <c r="X38" s="1172"/>
      <c r="Y38" s="1172"/>
      <c r="Z38" s="1172"/>
    </row>
    <row r="39" spans="1:26" ht="24.75" customHeight="1">
      <c r="A39" s="736"/>
      <c r="B39" s="736"/>
      <c r="C39" s="736"/>
      <c r="D39" s="795">
        <v>34</v>
      </c>
      <c r="E39" s="795" t="s">
        <v>81</v>
      </c>
      <c r="F39" s="795"/>
      <c r="G39" s="795"/>
      <c r="H39" s="795"/>
      <c r="I39" s="795"/>
      <c r="J39" s="795"/>
      <c r="K39" s="795"/>
      <c r="L39" s="795"/>
      <c r="M39" s="795"/>
      <c r="N39" s="797"/>
      <c r="O39" s="795"/>
      <c r="P39" s="796"/>
      <c r="Q39" s="795"/>
      <c r="R39" s="795"/>
      <c r="S39" s="795"/>
      <c r="T39" s="797">
        <f t="shared" si="0"/>
        <v>0</v>
      </c>
      <c r="U39" s="797">
        <v>0</v>
      </c>
      <c r="V39" s="788"/>
      <c r="W39" s="1172"/>
      <c r="X39" s="1172"/>
      <c r="Y39" s="1172"/>
      <c r="Z39" s="1172"/>
    </row>
    <row r="40" spans="1:26" ht="285">
      <c r="A40" s="736"/>
      <c r="B40" s="1170" t="s">
        <v>82</v>
      </c>
      <c r="C40" s="1170" t="s">
        <v>83</v>
      </c>
      <c r="D40" s="795">
        <v>35</v>
      </c>
      <c r="E40" s="795" t="s">
        <v>84</v>
      </c>
      <c r="F40" s="649"/>
      <c r="G40" s="649"/>
      <c r="H40" s="649"/>
      <c r="I40" s="651"/>
      <c r="J40" s="649"/>
      <c r="K40" s="649"/>
      <c r="L40" s="649"/>
      <c r="M40" s="649"/>
      <c r="N40" s="651">
        <v>1.2</v>
      </c>
      <c r="O40" s="649"/>
      <c r="P40" s="649">
        <f>0.6+1.92+0.15+0.1</f>
        <v>2.77</v>
      </c>
      <c r="Q40" s="650">
        <v>0.25</v>
      </c>
      <c r="R40" s="649"/>
      <c r="S40" s="649"/>
      <c r="T40" s="797">
        <f t="shared" si="0"/>
        <v>4.22</v>
      </c>
      <c r="U40" s="797">
        <v>4.22</v>
      </c>
      <c r="V40" s="746" t="s">
        <v>1818</v>
      </c>
      <c r="W40" s="1172"/>
      <c r="X40" s="1172"/>
      <c r="Y40" s="1172"/>
      <c r="Z40" s="1172"/>
    </row>
    <row r="41" spans="1:26" ht="30">
      <c r="A41" s="736"/>
      <c r="B41" s="736"/>
      <c r="C41" s="736"/>
      <c r="D41" s="795">
        <v>36</v>
      </c>
      <c r="E41" s="795" t="s">
        <v>85</v>
      </c>
      <c r="F41" s="649"/>
      <c r="G41" s="649"/>
      <c r="H41" s="649"/>
      <c r="I41" s="649"/>
      <c r="J41" s="649"/>
      <c r="K41" s="651"/>
      <c r="L41" s="649"/>
      <c r="M41" s="649"/>
      <c r="N41" s="651">
        <v>0.95</v>
      </c>
      <c r="O41" s="649"/>
      <c r="P41" s="649"/>
      <c r="Q41" s="649"/>
      <c r="R41" s="649"/>
      <c r="S41" s="649"/>
      <c r="T41" s="797">
        <f t="shared" si="0"/>
        <v>0.95</v>
      </c>
      <c r="U41" s="797">
        <v>0.95</v>
      </c>
      <c r="V41" s="746" t="s">
        <v>696</v>
      </c>
      <c r="W41" s="1172"/>
      <c r="X41" s="1172"/>
      <c r="Y41" s="1172"/>
      <c r="Z41" s="1172"/>
    </row>
    <row r="42" spans="1:26" ht="24.75" customHeight="1">
      <c r="A42" s="736"/>
      <c r="B42" s="736"/>
      <c r="C42" s="736"/>
      <c r="D42" s="795">
        <v>37</v>
      </c>
      <c r="E42" s="795" t="s">
        <v>86</v>
      </c>
      <c r="F42" s="649"/>
      <c r="G42" s="649"/>
      <c r="H42" s="649"/>
      <c r="I42" s="649"/>
      <c r="J42" s="649"/>
      <c r="K42" s="651"/>
      <c r="L42" s="649"/>
      <c r="M42" s="649"/>
      <c r="N42" s="649"/>
      <c r="O42" s="649"/>
      <c r="P42" s="649"/>
      <c r="Q42" s="649"/>
      <c r="R42" s="649"/>
      <c r="S42" s="649"/>
      <c r="T42" s="797">
        <f t="shared" si="0"/>
        <v>0</v>
      </c>
      <c r="U42" s="797">
        <f>T42*1.05</f>
        <v>0</v>
      </c>
      <c r="V42" s="746"/>
      <c r="W42" s="1172"/>
      <c r="X42" s="1172"/>
      <c r="Y42" s="1172"/>
      <c r="Z42" s="1172"/>
    </row>
    <row r="43" spans="1:26" ht="285">
      <c r="A43" s="736"/>
      <c r="B43" s="736"/>
      <c r="C43" s="736"/>
      <c r="D43" s="795">
        <v>38</v>
      </c>
      <c r="E43" s="795" t="s">
        <v>87</v>
      </c>
      <c r="F43" s="649"/>
      <c r="G43" s="649"/>
      <c r="H43" s="649"/>
      <c r="I43" s="649"/>
      <c r="J43" s="649"/>
      <c r="K43" s="649"/>
      <c r="L43" s="649"/>
      <c r="M43" s="649"/>
      <c r="N43" s="665">
        <v>3.5</v>
      </c>
      <c r="O43" s="650">
        <v>0.16</v>
      </c>
      <c r="P43" s="650">
        <v>6.8</v>
      </c>
      <c r="Q43" s="650">
        <v>0.7</v>
      </c>
      <c r="R43" s="649"/>
      <c r="S43" s="649"/>
      <c r="T43" s="797">
        <f t="shared" si="0"/>
        <v>11.16</v>
      </c>
      <c r="U43" s="797">
        <v>11.16</v>
      </c>
      <c r="V43" s="746" t="s">
        <v>1819</v>
      </c>
      <c r="W43" s="1172"/>
      <c r="X43" s="1172"/>
      <c r="Y43" s="1172"/>
      <c r="Z43" s="1172"/>
    </row>
    <row r="44" spans="1:26" ht="75">
      <c r="A44" s="736"/>
      <c r="B44" s="736"/>
      <c r="C44" s="736"/>
      <c r="D44" s="795">
        <v>39</v>
      </c>
      <c r="E44" s="795" t="s">
        <v>88</v>
      </c>
      <c r="F44" s="649"/>
      <c r="G44" s="649"/>
      <c r="H44" s="649"/>
      <c r="I44" s="649"/>
      <c r="J44" s="649"/>
      <c r="K44" s="649"/>
      <c r="L44" s="649"/>
      <c r="M44" s="649"/>
      <c r="N44" s="649">
        <v>1</v>
      </c>
      <c r="O44" s="649"/>
      <c r="P44" s="650">
        <v>0.4</v>
      </c>
      <c r="Q44" s="650"/>
      <c r="R44" s="649"/>
      <c r="S44" s="649"/>
      <c r="T44" s="797">
        <f t="shared" si="0"/>
        <v>1.4</v>
      </c>
      <c r="U44" s="797">
        <v>1.4</v>
      </c>
      <c r="V44" s="746" t="s">
        <v>401</v>
      </c>
      <c r="W44" s="1172"/>
      <c r="X44" s="1172"/>
      <c r="Y44" s="1172"/>
      <c r="Z44" s="1172"/>
    </row>
    <row r="45" spans="1:26" ht="180">
      <c r="A45" s="736"/>
      <c r="B45" s="736"/>
      <c r="C45" s="736"/>
      <c r="D45" s="795">
        <v>40</v>
      </c>
      <c r="E45" s="795" t="s">
        <v>89</v>
      </c>
      <c r="F45" s="649"/>
      <c r="G45" s="649"/>
      <c r="H45" s="649"/>
      <c r="I45" s="649"/>
      <c r="J45" s="649"/>
      <c r="K45" s="649"/>
      <c r="L45" s="649"/>
      <c r="M45" s="649"/>
      <c r="N45" s="658">
        <v>0.10920000000000001</v>
      </c>
      <c r="O45" s="649"/>
      <c r="P45" s="650"/>
      <c r="Q45" s="651">
        <f>0.42+2.9</f>
        <v>3.32</v>
      </c>
      <c r="R45" s="650"/>
      <c r="S45" s="649"/>
      <c r="T45" s="797">
        <f t="shared" si="0"/>
        <v>3.4291999999999998</v>
      </c>
      <c r="U45" s="797">
        <v>3.43</v>
      </c>
      <c r="V45" s="746" t="s">
        <v>1820</v>
      </c>
      <c r="W45" s="1172"/>
      <c r="X45" s="1172"/>
      <c r="Y45" s="1172"/>
      <c r="Z45" s="1172"/>
    </row>
    <row r="46" spans="1:26" ht="24.75" customHeight="1">
      <c r="A46" s="736"/>
      <c r="B46" s="736"/>
      <c r="C46" s="736"/>
      <c r="D46" s="795">
        <v>41</v>
      </c>
      <c r="E46" s="795" t="s">
        <v>53</v>
      </c>
      <c r="F46" s="649"/>
      <c r="G46" s="649"/>
      <c r="H46" s="649"/>
      <c r="I46" s="649"/>
      <c r="J46" s="649"/>
      <c r="K46" s="649"/>
      <c r="L46" s="649"/>
      <c r="M46" s="649"/>
      <c r="N46" s="649"/>
      <c r="O46" s="649"/>
      <c r="P46" s="649"/>
      <c r="Q46" s="649"/>
      <c r="R46" s="649"/>
      <c r="S46" s="649"/>
      <c r="T46" s="797">
        <f t="shared" si="0"/>
        <v>0</v>
      </c>
      <c r="U46" s="797">
        <f>T46*1.05</f>
        <v>0</v>
      </c>
      <c r="V46" s="746"/>
      <c r="W46" s="1172"/>
      <c r="X46" s="1172"/>
      <c r="Y46" s="1172"/>
      <c r="Z46" s="1172"/>
    </row>
    <row r="47" spans="1:26" ht="75">
      <c r="A47" s="736"/>
      <c r="B47" s="1170" t="s">
        <v>90</v>
      </c>
      <c r="C47" s="1170" t="s">
        <v>91</v>
      </c>
      <c r="D47" s="795">
        <v>42</v>
      </c>
      <c r="E47" s="795" t="s">
        <v>92</v>
      </c>
      <c r="F47" s="796">
        <v>5.9290000000000003</v>
      </c>
      <c r="G47" s="795"/>
      <c r="H47" s="795"/>
      <c r="I47" s="797"/>
      <c r="J47" s="795"/>
      <c r="K47" s="795"/>
      <c r="L47" s="795"/>
      <c r="M47" s="795"/>
      <c r="N47" s="686">
        <v>1.1000000000000001</v>
      </c>
      <c r="O47" s="795"/>
      <c r="P47" s="796"/>
      <c r="Q47" s="795"/>
      <c r="R47" s="795"/>
      <c r="S47" s="795"/>
      <c r="T47" s="797">
        <f t="shared" si="0"/>
        <v>7.0289999999999999</v>
      </c>
      <c r="U47" s="797">
        <f t="shared" ref="U47:U50" si="3">T47</f>
        <v>7.0289999999999999</v>
      </c>
      <c r="V47" s="729" t="s">
        <v>1821</v>
      </c>
      <c r="W47" s="1172"/>
      <c r="X47" s="1172"/>
      <c r="Y47" s="1172"/>
      <c r="Z47" s="1172"/>
    </row>
    <row r="48" spans="1:26" ht="60">
      <c r="A48" s="736"/>
      <c r="B48" s="736"/>
      <c r="C48" s="736"/>
      <c r="D48" s="795">
        <v>43</v>
      </c>
      <c r="E48" s="795" t="s">
        <v>93</v>
      </c>
      <c r="F48" s="796">
        <v>0.77549999999999997</v>
      </c>
      <c r="G48" s="795"/>
      <c r="H48" s="795"/>
      <c r="I48" s="797"/>
      <c r="J48" s="795"/>
      <c r="K48" s="795"/>
      <c r="L48" s="795"/>
      <c r="M48" s="795"/>
      <c r="N48" s="686">
        <v>0.34499999999999997</v>
      </c>
      <c r="O48" s="795"/>
      <c r="P48" s="796"/>
      <c r="Q48" s="795"/>
      <c r="R48" s="795"/>
      <c r="S48" s="795"/>
      <c r="T48" s="797">
        <f t="shared" si="0"/>
        <v>1.1204999999999998</v>
      </c>
      <c r="U48" s="797">
        <f t="shared" si="3"/>
        <v>1.1204999999999998</v>
      </c>
      <c r="V48" s="729" t="s">
        <v>697</v>
      </c>
      <c r="W48" s="1172"/>
      <c r="X48" s="1172"/>
      <c r="Y48" s="1172"/>
      <c r="Z48" s="1172"/>
    </row>
    <row r="49" spans="1:26" ht="150">
      <c r="A49" s="736"/>
      <c r="B49" s="736"/>
      <c r="C49" s="736"/>
      <c r="D49" s="795">
        <v>44</v>
      </c>
      <c r="E49" s="795" t="s">
        <v>95</v>
      </c>
      <c r="F49" s="796">
        <v>0.48759999999999998</v>
      </c>
      <c r="G49" s="795"/>
      <c r="H49" s="795"/>
      <c r="I49" s="797"/>
      <c r="J49" s="795"/>
      <c r="K49" s="795"/>
      <c r="L49" s="795"/>
      <c r="M49" s="795"/>
      <c r="N49" s="748">
        <v>1.125</v>
      </c>
      <c r="O49" s="796">
        <v>0.12</v>
      </c>
      <c r="P49" s="796"/>
      <c r="Q49" s="795"/>
      <c r="R49" s="795"/>
      <c r="S49" s="795"/>
      <c r="T49" s="797">
        <f t="shared" si="0"/>
        <v>1.7326000000000001</v>
      </c>
      <c r="U49" s="797">
        <f t="shared" si="3"/>
        <v>1.7326000000000001</v>
      </c>
      <c r="V49" s="729" t="s">
        <v>1822</v>
      </c>
      <c r="W49" s="1172"/>
      <c r="X49" s="1172"/>
      <c r="Y49" s="1172"/>
      <c r="Z49" s="1172"/>
    </row>
    <row r="50" spans="1:26" ht="30">
      <c r="A50" s="736"/>
      <c r="B50" s="736"/>
      <c r="C50" s="736"/>
      <c r="D50" s="795">
        <v>45</v>
      </c>
      <c r="E50" s="795" t="s">
        <v>96</v>
      </c>
      <c r="F50" s="796">
        <v>0.182</v>
      </c>
      <c r="G50" s="795"/>
      <c r="H50" s="795"/>
      <c r="I50" s="795"/>
      <c r="J50" s="795"/>
      <c r="K50" s="795"/>
      <c r="L50" s="795"/>
      <c r="M50" s="795"/>
      <c r="N50" s="797"/>
      <c r="O50" s="796">
        <v>0.182</v>
      </c>
      <c r="P50" s="795"/>
      <c r="Q50" s="795"/>
      <c r="R50" s="795"/>
      <c r="S50" s="795"/>
      <c r="T50" s="797">
        <f t="shared" si="0"/>
        <v>0.36399999999999999</v>
      </c>
      <c r="U50" s="797">
        <f t="shared" si="3"/>
        <v>0.36399999999999999</v>
      </c>
      <c r="V50" s="729" t="s">
        <v>698</v>
      </c>
      <c r="W50" s="1172"/>
      <c r="X50" s="1172"/>
      <c r="Y50" s="1172"/>
      <c r="Z50" s="1172"/>
    </row>
    <row r="51" spans="1:26" ht="24.75" customHeight="1">
      <c r="A51" s="736"/>
      <c r="B51" s="736"/>
      <c r="C51" s="736"/>
      <c r="D51" s="795">
        <v>46</v>
      </c>
      <c r="E51" s="795" t="s">
        <v>98</v>
      </c>
      <c r="F51" s="795"/>
      <c r="G51" s="795"/>
      <c r="H51" s="795"/>
      <c r="I51" s="795"/>
      <c r="J51" s="795"/>
      <c r="K51" s="795"/>
      <c r="L51" s="795"/>
      <c r="M51" s="795"/>
      <c r="N51" s="795"/>
      <c r="O51" s="795"/>
      <c r="P51" s="795"/>
      <c r="Q51" s="795"/>
      <c r="R51" s="795"/>
      <c r="S51" s="795"/>
      <c r="T51" s="797">
        <f t="shared" si="0"/>
        <v>0</v>
      </c>
      <c r="U51" s="797">
        <v>0</v>
      </c>
      <c r="V51" s="788"/>
      <c r="W51" s="1172"/>
      <c r="X51" s="1172"/>
      <c r="Y51" s="1172"/>
      <c r="Z51" s="1172"/>
    </row>
    <row r="52" spans="1:26" ht="30">
      <c r="A52" s="736"/>
      <c r="B52" s="736"/>
      <c r="C52" s="736"/>
      <c r="D52" s="795">
        <v>47</v>
      </c>
      <c r="E52" s="795" t="s">
        <v>99</v>
      </c>
      <c r="F52" s="796">
        <v>1.5</v>
      </c>
      <c r="G52" s="795"/>
      <c r="H52" s="795">
        <v>0</v>
      </c>
      <c r="I52" s="795"/>
      <c r="J52" s="795"/>
      <c r="K52" s="795"/>
      <c r="L52" s="795"/>
      <c r="M52" s="795"/>
      <c r="N52" s="795"/>
      <c r="O52" s="795"/>
      <c r="P52" s="795"/>
      <c r="Q52" s="795"/>
      <c r="R52" s="795"/>
      <c r="S52" s="795"/>
      <c r="T52" s="797">
        <f t="shared" si="0"/>
        <v>1.5</v>
      </c>
      <c r="U52" s="797">
        <f t="shared" ref="U52:U55" si="4">T52</f>
        <v>1.5</v>
      </c>
      <c r="V52" s="729" t="s">
        <v>699</v>
      </c>
      <c r="W52" s="1172"/>
      <c r="X52" s="1172"/>
      <c r="Y52" s="1172"/>
      <c r="Z52" s="1172"/>
    </row>
    <row r="53" spans="1:26" ht="30">
      <c r="A53" s="736"/>
      <c r="B53" s="736"/>
      <c r="C53" s="736"/>
      <c r="D53" s="795">
        <v>48</v>
      </c>
      <c r="E53" s="795" t="s">
        <v>101</v>
      </c>
      <c r="F53" s="795"/>
      <c r="G53" s="795"/>
      <c r="H53" s="795"/>
      <c r="I53" s="795"/>
      <c r="J53" s="795"/>
      <c r="K53" s="795"/>
      <c r="L53" s="795"/>
      <c r="M53" s="795"/>
      <c r="N53" s="646">
        <v>0.28899999999999998</v>
      </c>
      <c r="O53" s="795"/>
      <c r="P53" s="796"/>
      <c r="Q53" s="795"/>
      <c r="R53" s="795"/>
      <c r="S53" s="795"/>
      <c r="T53" s="797">
        <f t="shared" si="0"/>
        <v>0.28899999999999998</v>
      </c>
      <c r="U53" s="797">
        <f t="shared" si="4"/>
        <v>0.28899999999999998</v>
      </c>
      <c r="V53" s="729" t="s">
        <v>102</v>
      </c>
      <c r="W53" s="1172"/>
      <c r="X53" s="1172"/>
      <c r="Y53" s="1172"/>
      <c r="Z53" s="1172"/>
    </row>
    <row r="54" spans="1:26" ht="60">
      <c r="A54" s="736"/>
      <c r="B54" s="736"/>
      <c r="C54" s="736"/>
      <c r="D54" s="795">
        <v>49</v>
      </c>
      <c r="E54" s="795" t="s">
        <v>103</v>
      </c>
      <c r="F54" s="795"/>
      <c r="G54" s="795"/>
      <c r="H54" s="795"/>
      <c r="I54" s="795"/>
      <c r="J54" s="795"/>
      <c r="K54" s="795"/>
      <c r="L54" s="795"/>
      <c r="M54" s="795"/>
      <c r="N54" s="795"/>
      <c r="O54" s="795"/>
      <c r="P54" s="795"/>
      <c r="Q54" s="797">
        <v>2.4500000000000002</v>
      </c>
      <c r="R54" s="796">
        <v>1</v>
      </c>
      <c r="S54" s="795"/>
      <c r="T54" s="797">
        <f t="shared" si="0"/>
        <v>3.45</v>
      </c>
      <c r="U54" s="797">
        <f t="shared" si="4"/>
        <v>3.45</v>
      </c>
      <c r="V54" s="744" t="s">
        <v>700</v>
      </c>
      <c r="W54" s="1172"/>
      <c r="X54" s="1172"/>
      <c r="Y54" s="1172"/>
      <c r="Z54" s="1172"/>
    </row>
    <row r="55" spans="1:26" ht="90">
      <c r="A55" s="736"/>
      <c r="B55" s="736"/>
      <c r="C55" s="736"/>
      <c r="D55" s="795">
        <v>50</v>
      </c>
      <c r="E55" s="795" t="s">
        <v>105</v>
      </c>
      <c r="F55" s="795"/>
      <c r="G55" s="795"/>
      <c r="H55" s="795"/>
      <c r="I55" s="797"/>
      <c r="J55" s="795"/>
      <c r="K55" s="795">
        <v>0.46</v>
      </c>
      <c r="L55" s="795"/>
      <c r="M55" s="795"/>
      <c r="N55" s="797"/>
      <c r="O55" s="795"/>
      <c r="P55" s="796"/>
      <c r="Q55" s="797">
        <v>4.8</v>
      </c>
      <c r="R55" s="796">
        <v>0.04</v>
      </c>
      <c r="S55" s="795"/>
      <c r="T55" s="797">
        <f t="shared" si="0"/>
        <v>5.3</v>
      </c>
      <c r="U55" s="797">
        <f t="shared" si="4"/>
        <v>5.3</v>
      </c>
      <c r="V55" s="738" t="s">
        <v>701</v>
      </c>
      <c r="W55" s="1172"/>
      <c r="X55" s="1172"/>
      <c r="Y55" s="1172"/>
      <c r="Z55" s="1172"/>
    </row>
    <row r="56" spans="1:26" ht="24.75" customHeight="1">
      <c r="A56" s="736"/>
      <c r="B56" s="736"/>
      <c r="C56" s="736"/>
      <c r="D56" s="795">
        <v>51</v>
      </c>
      <c r="E56" s="795" t="s">
        <v>53</v>
      </c>
      <c r="F56" s="795"/>
      <c r="G56" s="795"/>
      <c r="H56" s="795"/>
      <c r="I56" s="795"/>
      <c r="J56" s="795"/>
      <c r="K56" s="795"/>
      <c r="L56" s="795"/>
      <c r="M56" s="795"/>
      <c r="N56" s="796"/>
      <c r="O56" s="795"/>
      <c r="P56" s="795"/>
      <c r="Q56" s="795"/>
      <c r="R56" s="795"/>
      <c r="S56" s="795"/>
      <c r="T56" s="797">
        <f t="shared" si="0"/>
        <v>0</v>
      </c>
      <c r="U56" s="797"/>
      <c r="V56" s="788"/>
      <c r="W56" s="1172"/>
      <c r="X56" s="1172"/>
      <c r="Y56" s="1172"/>
      <c r="Z56" s="1172"/>
    </row>
    <row r="57" spans="1:26" ht="240">
      <c r="A57" s="736"/>
      <c r="B57" s="1170" t="s">
        <v>107</v>
      </c>
      <c r="C57" s="1170" t="s">
        <v>108</v>
      </c>
      <c r="D57" s="795">
        <v>52</v>
      </c>
      <c r="E57" s="795" t="s">
        <v>109</v>
      </c>
      <c r="F57" s="795"/>
      <c r="G57" s="795"/>
      <c r="H57" s="795"/>
      <c r="I57" s="797"/>
      <c r="J57" s="795"/>
      <c r="K57" s="797"/>
      <c r="L57" s="795"/>
      <c r="M57" s="795"/>
      <c r="N57" s="797">
        <v>2</v>
      </c>
      <c r="O57" s="796">
        <v>42.75</v>
      </c>
      <c r="P57" s="795"/>
      <c r="Q57" s="795"/>
      <c r="R57" s="795"/>
      <c r="S57" s="795"/>
      <c r="T57" s="797">
        <f t="shared" si="0"/>
        <v>44.75</v>
      </c>
      <c r="U57" s="658">
        <f>N57+O57</f>
        <v>44.75</v>
      </c>
      <c r="V57" s="746" t="s">
        <v>702</v>
      </c>
      <c r="W57" s="1172"/>
      <c r="X57" s="1172"/>
      <c r="Y57" s="1172"/>
      <c r="Z57" s="1172"/>
    </row>
    <row r="58" spans="1:26" ht="180">
      <c r="A58" s="736"/>
      <c r="B58" s="736"/>
      <c r="C58" s="736"/>
      <c r="D58" s="795">
        <v>53</v>
      </c>
      <c r="E58" s="795" t="s">
        <v>111</v>
      </c>
      <c r="F58" s="795"/>
      <c r="G58" s="795"/>
      <c r="H58" s="795"/>
      <c r="I58" s="795"/>
      <c r="J58" s="795"/>
      <c r="K58" s="797"/>
      <c r="L58" s="795"/>
      <c r="M58" s="795"/>
      <c r="N58" s="797">
        <v>7.22</v>
      </c>
      <c r="O58" s="796">
        <v>4.75</v>
      </c>
      <c r="P58" s="795"/>
      <c r="Q58" s="796">
        <v>3</v>
      </c>
      <c r="R58" s="795"/>
      <c r="S58" s="795"/>
      <c r="T58" s="797">
        <f t="shared" si="0"/>
        <v>14.969999999999999</v>
      </c>
      <c r="U58" s="658">
        <f>T58</f>
        <v>14.969999999999999</v>
      </c>
      <c r="V58" s="740" t="s">
        <v>703</v>
      </c>
      <c r="W58" s="1172"/>
      <c r="X58" s="1172"/>
      <c r="Y58" s="1172"/>
      <c r="Z58" s="1172"/>
    </row>
    <row r="59" spans="1:26" ht="24.75" customHeight="1">
      <c r="A59" s="736"/>
      <c r="B59" s="736"/>
      <c r="C59" s="736"/>
      <c r="D59" s="795">
        <v>54</v>
      </c>
      <c r="E59" s="795" t="s">
        <v>113</v>
      </c>
      <c r="F59" s="795"/>
      <c r="G59" s="795"/>
      <c r="H59" s="796"/>
      <c r="I59" s="795"/>
      <c r="J59" s="795"/>
      <c r="K59" s="795"/>
      <c r="L59" s="795"/>
      <c r="M59" s="795"/>
      <c r="N59" s="795"/>
      <c r="O59" s="796"/>
      <c r="P59" s="796"/>
      <c r="Q59" s="795"/>
      <c r="R59" s="795"/>
      <c r="S59" s="795"/>
      <c r="T59" s="797">
        <f t="shared" si="0"/>
        <v>0</v>
      </c>
      <c r="U59" s="797">
        <v>0</v>
      </c>
      <c r="V59" s="744"/>
      <c r="W59" s="1172"/>
      <c r="X59" s="1172"/>
      <c r="Y59" s="1172"/>
      <c r="Z59" s="1172"/>
    </row>
    <row r="60" spans="1:26" ht="24.75" customHeight="1">
      <c r="A60" s="736"/>
      <c r="B60" s="736"/>
      <c r="C60" s="736"/>
      <c r="D60" s="795">
        <v>55</v>
      </c>
      <c r="E60" s="795" t="s">
        <v>114</v>
      </c>
      <c r="F60" s="795"/>
      <c r="G60" s="795"/>
      <c r="H60" s="795"/>
      <c r="I60" s="795"/>
      <c r="J60" s="795"/>
      <c r="K60" s="797"/>
      <c r="L60" s="795"/>
      <c r="M60" s="795"/>
      <c r="N60" s="795"/>
      <c r="O60" s="795"/>
      <c r="P60" s="795"/>
      <c r="Q60" s="795"/>
      <c r="R60" s="795"/>
      <c r="S60" s="795"/>
      <c r="T60" s="797">
        <f t="shared" si="0"/>
        <v>0</v>
      </c>
      <c r="U60" s="797">
        <v>0</v>
      </c>
      <c r="V60" s="744"/>
      <c r="W60" s="1172"/>
      <c r="X60" s="1172"/>
      <c r="Y60" s="1172"/>
      <c r="Z60" s="1172"/>
    </row>
    <row r="61" spans="1:26" ht="60">
      <c r="A61" s="736"/>
      <c r="B61" s="736"/>
      <c r="C61" s="736"/>
      <c r="D61" s="795">
        <v>56</v>
      </c>
      <c r="E61" s="795" t="s">
        <v>115</v>
      </c>
      <c r="F61" s="795"/>
      <c r="G61" s="795"/>
      <c r="H61" s="795"/>
      <c r="I61" s="795"/>
      <c r="J61" s="795"/>
      <c r="K61" s="795"/>
      <c r="L61" s="795"/>
      <c r="M61" s="795"/>
      <c r="N61" s="795"/>
      <c r="O61" s="796">
        <v>9.5</v>
      </c>
      <c r="P61" s="795"/>
      <c r="Q61" s="795">
        <v>0.5</v>
      </c>
      <c r="R61" s="795"/>
      <c r="S61" s="795"/>
      <c r="T61" s="797">
        <f t="shared" si="0"/>
        <v>10</v>
      </c>
      <c r="U61" s="797">
        <f>T61</f>
        <v>10</v>
      </c>
      <c r="V61" s="744" t="s">
        <v>704</v>
      </c>
      <c r="W61" s="1172"/>
      <c r="X61" s="1172"/>
      <c r="Y61" s="1172"/>
      <c r="Z61" s="1172"/>
    </row>
    <row r="62" spans="1:26" ht="60">
      <c r="A62" s="736"/>
      <c r="B62" s="736"/>
      <c r="C62" s="736"/>
      <c r="D62" s="795">
        <v>57</v>
      </c>
      <c r="E62" s="795" t="s">
        <v>116</v>
      </c>
      <c r="F62" s="795"/>
      <c r="G62" s="795"/>
      <c r="H62" s="796"/>
      <c r="I62" s="795"/>
      <c r="J62" s="795"/>
      <c r="K62" s="795"/>
      <c r="L62" s="795"/>
      <c r="M62" s="796">
        <v>2.1</v>
      </c>
      <c r="N62" s="795"/>
      <c r="O62" s="795"/>
      <c r="P62" s="795"/>
      <c r="Q62" s="795"/>
      <c r="R62" s="795"/>
      <c r="S62" s="795"/>
      <c r="T62" s="797">
        <f t="shared" si="0"/>
        <v>2.1</v>
      </c>
      <c r="U62" s="797">
        <f>M62</f>
        <v>2.1</v>
      </c>
      <c r="V62" s="740" t="s">
        <v>705</v>
      </c>
      <c r="W62" s="1172"/>
      <c r="X62" s="1172"/>
      <c r="Y62" s="1172"/>
      <c r="Z62" s="1172"/>
    </row>
    <row r="63" spans="1:26" ht="75">
      <c r="A63" s="736"/>
      <c r="B63" s="736"/>
      <c r="C63" s="736"/>
      <c r="D63" s="795">
        <v>58</v>
      </c>
      <c r="E63" s="795" t="s">
        <v>117</v>
      </c>
      <c r="F63" s="795"/>
      <c r="G63" s="795"/>
      <c r="H63" s="795"/>
      <c r="I63" s="795"/>
      <c r="J63" s="795"/>
      <c r="K63" s="797"/>
      <c r="L63" s="795"/>
      <c r="M63" s="795"/>
      <c r="N63" s="795"/>
      <c r="O63" s="800">
        <v>2.375</v>
      </c>
      <c r="P63" s="795"/>
      <c r="Q63" s="796">
        <v>0.75</v>
      </c>
      <c r="R63" s="795"/>
      <c r="S63" s="795"/>
      <c r="T63" s="797">
        <f t="shared" si="0"/>
        <v>3.125</v>
      </c>
      <c r="U63" s="797">
        <f>T63</f>
        <v>3.125</v>
      </c>
      <c r="V63" s="740" t="s">
        <v>706</v>
      </c>
      <c r="W63" s="1172"/>
      <c r="X63" s="1172"/>
      <c r="Y63" s="1172"/>
      <c r="Z63" s="1172"/>
    </row>
    <row r="64" spans="1:26" ht="24.75" customHeight="1">
      <c r="A64" s="736"/>
      <c r="B64" s="736"/>
      <c r="C64" s="736"/>
      <c r="D64" s="795">
        <v>59</v>
      </c>
      <c r="E64" s="795" t="s">
        <v>119</v>
      </c>
      <c r="F64" s="795"/>
      <c r="G64" s="795"/>
      <c r="H64" s="795"/>
      <c r="I64" s="795"/>
      <c r="J64" s="795"/>
      <c r="K64" s="795"/>
      <c r="L64" s="795"/>
      <c r="M64" s="795"/>
      <c r="N64" s="795"/>
      <c r="O64" s="795"/>
      <c r="P64" s="795"/>
      <c r="Q64" s="795"/>
      <c r="R64" s="795"/>
      <c r="S64" s="795"/>
      <c r="T64" s="797">
        <f t="shared" si="0"/>
        <v>0</v>
      </c>
      <c r="U64" s="797">
        <v>0</v>
      </c>
      <c r="V64" s="788"/>
      <c r="W64" s="1172"/>
      <c r="X64" s="1172"/>
      <c r="Y64" s="1172"/>
      <c r="Z64" s="1172"/>
    </row>
    <row r="65" spans="1:26" ht="24.75" customHeight="1">
      <c r="A65" s="736"/>
      <c r="B65" s="736"/>
      <c r="C65" s="736"/>
      <c r="D65" s="795">
        <v>60</v>
      </c>
      <c r="E65" s="795" t="s">
        <v>120</v>
      </c>
      <c r="F65" s="795"/>
      <c r="G65" s="795"/>
      <c r="H65" s="795"/>
      <c r="I65" s="795"/>
      <c r="J65" s="795"/>
      <c r="K65" s="795"/>
      <c r="L65" s="795"/>
      <c r="M65" s="795"/>
      <c r="N65" s="795"/>
      <c r="O65" s="795"/>
      <c r="P65" s="795"/>
      <c r="Q65" s="795"/>
      <c r="R65" s="795"/>
      <c r="S65" s="795"/>
      <c r="T65" s="797">
        <f t="shared" si="0"/>
        <v>0</v>
      </c>
      <c r="U65" s="797">
        <v>0</v>
      </c>
      <c r="V65" s="788"/>
      <c r="W65" s="1172"/>
      <c r="X65" s="1172"/>
      <c r="Y65" s="1172"/>
      <c r="Z65" s="1172"/>
    </row>
    <row r="66" spans="1:26" ht="24.75" customHeight="1">
      <c r="A66" s="736"/>
      <c r="B66" s="736"/>
      <c r="C66" s="736"/>
      <c r="D66" s="795">
        <v>61</v>
      </c>
      <c r="E66" s="795" t="s">
        <v>53</v>
      </c>
      <c r="F66" s="795"/>
      <c r="G66" s="795"/>
      <c r="H66" s="795"/>
      <c r="I66" s="795"/>
      <c r="J66" s="795"/>
      <c r="K66" s="795"/>
      <c r="L66" s="795"/>
      <c r="M66" s="795"/>
      <c r="N66" s="795"/>
      <c r="O66" s="795"/>
      <c r="P66" s="795"/>
      <c r="Q66" s="795"/>
      <c r="R66" s="795"/>
      <c r="S66" s="795"/>
      <c r="T66" s="797">
        <f t="shared" si="0"/>
        <v>0</v>
      </c>
      <c r="U66" s="797">
        <v>0</v>
      </c>
      <c r="V66" s="788"/>
      <c r="W66" s="1172"/>
      <c r="X66" s="1172"/>
      <c r="Y66" s="1172"/>
      <c r="Z66" s="1172"/>
    </row>
    <row r="67" spans="1:26" ht="86.45" customHeight="1">
      <c r="A67" s="736"/>
      <c r="B67" s="795" t="s">
        <v>121</v>
      </c>
      <c r="C67" s="795" t="s">
        <v>122</v>
      </c>
      <c r="D67" s="795">
        <v>62</v>
      </c>
      <c r="E67" s="795" t="s">
        <v>123</v>
      </c>
      <c r="F67" s="795"/>
      <c r="G67" s="795"/>
      <c r="H67" s="795"/>
      <c r="I67" s="795"/>
      <c r="J67" s="795"/>
      <c r="K67" s="795"/>
      <c r="L67" s="795"/>
      <c r="M67" s="797"/>
      <c r="N67" s="795"/>
      <c r="O67" s="796">
        <v>0.5</v>
      </c>
      <c r="P67" s="796"/>
      <c r="Q67" s="797">
        <v>0.2</v>
      </c>
      <c r="R67" s="795"/>
      <c r="S67" s="796"/>
      <c r="T67" s="797">
        <f t="shared" si="0"/>
        <v>0.7</v>
      </c>
      <c r="U67" s="797">
        <f>T67</f>
        <v>0.7</v>
      </c>
      <c r="V67" s="1175" t="s">
        <v>124</v>
      </c>
      <c r="W67" s="1172"/>
      <c r="X67" s="1172"/>
      <c r="Y67" s="1172"/>
      <c r="Z67" s="1172"/>
    </row>
    <row r="68" spans="1:26" ht="24.75" customHeight="1">
      <c r="A68" s="736"/>
      <c r="B68" s="701" t="s">
        <v>125</v>
      </c>
      <c r="C68" s="736"/>
      <c r="D68" s="736"/>
      <c r="E68" s="660"/>
      <c r="F68" s="660">
        <f t="shared" ref="F68:S68" si="5">SUM(F6:F67)</f>
        <v>62.964100000000009</v>
      </c>
      <c r="G68" s="660">
        <f t="shared" si="5"/>
        <v>0</v>
      </c>
      <c r="H68" s="660">
        <f t="shared" si="5"/>
        <v>0</v>
      </c>
      <c r="I68" s="660">
        <f t="shared" si="5"/>
        <v>14.308779999999999</v>
      </c>
      <c r="J68" s="660">
        <f t="shared" si="5"/>
        <v>0</v>
      </c>
      <c r="K68" s="660">
        <f t="shared" si="5"/>
        <v>83.786000000000001</v>
      </c>
      <c r="L68" s="660">
        <f t="shared" si="5"/>
        <v>0</v>
      </c>
      <c r="M68" s="660">
        <f t="shared" si="5"/>
        <v>21.086000000000002</v>
      </c>
      <c r="N68" s="660">
        <f t="shared" si="5"/>
        <v>45.061199999999999</v>
      </c>
      <c r="O68" s="660">
        <f t="shared" si="5"/>
        <v>255.56709999999998</v>
      </c>
      <c r="P68" s="660">
        <f t="shared" si="5"/>
        <v>450.00127999999995</v>
      </c>
      <c r="Q68" s="660">
        <f t="shared" si="5"/>
        <v>36.200000000000003</v>
      </c>
      <c r="R68" s="660">
        <f t="shared" si="5"/>
        <v>10.9185</v>
      </c>
      <c r="S68" s="660">
        <f t="shared" si="5"/>
        <v>4.3899999999999997</v>
      </c>
      <c r="T68" s="668">
        <f t="shared" si="0"/>
        <v>984.28296</v>
      </c>
      <c r="U68" s="668">
        <f>SUM(U6:U67)</f>
        <v>974.59748000000025</v>
      </c>
      <c r="V68" s="788"/>
      <c r="W68" s="1172"/>
      <c r="X68" s="1172"/>
      <c r="Y68" s="1172"/>
      <c r="Z68" s="1172"/>
    </row>
    <row r="69" spans="1:26" ht="55.15" customHeight="1">
      <c r="A69" s="1173" t="s">
        <v>126</v>
      </c>
      <c r="B69" s="795" t="s">
        <v>127</v>
      </c>
      <c r="C69" s="795" t="s">
        <v>128</v>
      </c>
      <c r="D69" s="795">
        <v>63</v>
      </c>
      <c r="E69" s="795" t="s">
        <v>129</v>
      </c>
      <c r="F69" s="795"/>
      <c r="G69" s="795"/>
      <c r="H69" s="795"/>
      <c r="I69" s="795"/>
      <c r="J69" s="795"/>
      <c r="K69" s="795"/>
      <c r="L69" s="795"/>
      <c r="M69" s="796"/>
      <c r="N69" s="797">
        <v>9.1</v>
      </c>
      <c r="O69" s="795"/>
      <c r="P69" s="797"/>
      <c r="Q69" s="795"/>
      <c r="R69" s="796">
        <v>3.75</v>
      </c>
      <c r="S69" s="796">
        <v>3</v>
      </c>
      <c r="T69" s="797">
        <f t="shared" si="0"/>
        <v>15.85</v>
      </c>
      <c r="U69" s="797">
        <f>T69</f>
        <v>15.85</v>
      </c>
      <c r="V69" s="749" t="s">
        <v>707</v>
      </c>
      <c r="W69" s="1172"/>
      <c r="X69" s="1172"/>
      <c r="Y69" s="1172"/>
      <c r="Z69" s="1172"/>
    </row>
    <row r="70" spans="1:26" ht="90">
      <c r="A70" s="736"/>
      <c r="B70" s="1170" t="s">
        <v>131</v>
      </c>
      <c r="C70" s="1170" t="s">
        <v>132</v>
      </c>
      <c r="D70" s="795">
        <v>64</v>
      </c>
      <c r="E70" s="795" t="s">
        <v>133</v>
      </c>
      <c r="F70" s="801"/>
      <c r="G70" s="801"/>
      <c r="H70" s="802"/>
      <c r="I70" s="803">
        <v>1.37</v>
      </c>
      <c r="J70" s="801"/>
      <c r="K70" s="803"/>
      <c r="L70" s="801"/>
      <c r="M70" s="801"/>
      <c r="N70" s="803">
        <v>1.5</v>
      </c>
      <c r="O70" s="802"/>
      <c r="P70" s="803">
        <v>2.48</v>
      </c>
      <c r="Q70" s="803">
        <v>1.05</v>
      </c>
      <c r="R70" s="802">
        <v>7.6</v>
      </c>
      <c r="S70" s="802">
        <v>5</v>
      </c>
      <c r="T70" s="797">
        <f t="shared" si="0"/>
        <v>19</v>
      </c>
      <c r="U70" s="797">
        <v>14</v>
      </c>
      <c r="V70" s="788" t="s">
        <v>1681</v>
      </c>
      <c r="W70" s="1172"/>
      <c r="X70" s="1172"/>
      <c r="Y70" s="1172"/>
      <c r="Z70" s="1172"/>
    </row>
    <row r="71" spans="1:26" ht="39.75" customHeight="1">
      <c r="A71" s="736"/>
      <c r="B71" s="736"/>
      <c r="C71" s="736"/>
      <c r="D71" s="795">
        <v>65</v>
      </c>
      <c r="E71" s="795" t="s">
        <v>135</v>
      </c>
      <c r="F71" s="801"/>
      <c r="G71" s="801"/>
      <c r="H71" s="801"/>
      <c r="I71" s="801"/>
      <c r="J71" s="801"/>
      <c r="K71" s="801"/>
      <c r="L71" s="801"/>
      <c r="M71" s="801"/>
      <c r="N71" s="803"/>
      <c r="O71" s="801"/>
      <c r="P71" s="802">
        <v>0.45</v>
      </c>
      <c r="Q71" s="801"/>
      <c r="R71" s="801"/>
      <c r="S71" s="802"/>
      <c r="T71" s="797">
        <f t="shared" si="0"/>
        <v>0.45</v>
      </c>
      <c r="U71" s="797">
        <f t="shared" ref="U71:U74" si="6">T71</f>
        <v>0.45</v>
      </c>
      <c r="V71" s="788" t="s">
        <v>136</v>
      </c>
      <c r="W71" s="1172"/>
      <c r="X71" s="1172"/>
      <c r="Y71" s="1172"/>
      <c r="Z71" s="1172"/>
    </row>
    <row r="72" spans="1:26" ht="60">
      <c r="A72" s="736"/>
      <c r="B72" s="736"/>
      <c r="C72" s="736"/>
      <c r="D72" s="795">
        <v>66</v>
      </c>
      <c r="E72" s="795" t="s">
        <v>137</v>
      </c>
      <c r="F72" s="801"/>
      <c r="G72" s="801"/>
      <c r="H72" s="801"/>
      <c r="I72" s="801"/>
      <c r="J72" s="801"/>
      <c r="K72" s="803"/>
      <c r="L72" s="801"/>
      <c r="M72" s="801"/>
      <c r="N72" s="803">
        <v>0.2</v>
      </c>
      <c r="O72" s="801"/>
      <c r="P72" s="802">
        <v>0.09</v>
      </c>
      <c r="Q72" s="803">
        <v>0.05</v>
      </c>
      <c r="R72" s="1176">
        <v>0.15</v>
      </c>
      <c r="S72" s="801"/>
      <c r="T72" s="797">
        <f t="shared" si="0"/>
        <v>0.49</v>
      </c>
      <c r="U72" s="797">
        <f t="shared" si="6"/>
        <v>0.49</v>
      </c>
      <c r="V72" s="788" t="s">
        <v>138</v>
      </c>
      <c r="W72" s="1172"/>
      <c r="X72" s="1172"/>
      <c r="Y72" s="1172"/>
      <c r="Z72" s="1172"/>
    </row>
    <row r="73" spans="1:26" ht="90">
      <c r="A73" s="736"/>
      <c r="B73" s="736"/>
      <c r="C73" s="736"/>
      <c r="D73" s="795">
        <v>67</v>
      </c>
      <c r="E73" s="795" t="s">
        <v>139</v>
      </c>
      <c r="F73" s="801"/>
      <c r="G73" s="801"/>
      <c r="H73" s="801"/>
      <c r="I73" s="801"/>
      <c r="J73" s="801"/>
      <c r="K73" s="803"/>
      <c r="L73" s="801"/>
      <c r="M73" s="801"/>
      <c r="N73" s="803">
        <v>0.6</v>
      </c>
      <c r="O73" s="801">
        <v>1.75</v>
      </c>
      <c r="P73" s="802">
        <v>74.72</v>
      </c>
      <c r="Q73" s="803">
        <v>1.2</v>
      </c>
      <c r="R73" s="802">
        <v>3.75</v>
      </c>
      <c r="S73" s="802">
        <v>3</v>
      </c>
      <c r="T73" s="797">
        <f t="shared" si="0"/>
        <v>85.02</v>
      </c>
      <c r="U73" s="797">
        <f t="shared" si="6"/>
        <v>85.02</v>
      </c>
      <c r="V73" s="788" t="s">
        <v>708</v>
      </c>
      <c r="W73" s="1172"/>
      <c r="X73" s="1172"/>
      <c r="Y73" s="1172"/>
      <c r="Z73" s="1172"/>
    </row>
    <row r="74" spans="1:26" ht="75">
      <c r="A74" s="736"/>
      <c r="B74" s="736"/>
      <c r="C74" s="736"/>
      <c r="D74" s="795">
        <v>68</v>
      </c>
      <c r="E74" s="795" t="s">
        <v>141</v>
      </c>
      <c r="F74" s="802"/>
      <c r="G74" s="801"/>
      <c r="H74" s="801"/>
      <c r="I74" s="803"/>
      <c r="J74" s="801"/>
      <c r="K74" s="803"/>
      <c r="L74" s="801"/>
      <c r="M74" s="801"/>
      <c r="N74" s="803">
        <v>0.4</v>
      </c>
      <c r="O74" s="802"/>
      <c r="P74" s="802">
        <v>2.4500000000000002</v>
      </c>
      <c r="Q74" s="803">
        <v>3.5</v>
      </c>
      <c r="R74" s="802">
        <v>2</v>
      </c>
      <c r="S74" s="802">
        <v>1.2</v>
      </c>
      <c r="T74" s="797">
        <f t="shared" si="0"/>
        <v>9.5499999999999989</v>
      </c>
      <c r="U74" s="797">
        <f t="shared" si="6"/>
        <v>9.5499999999999989</v>
      </c>
      <c r="V74" s="788" t="s">
        <v>709</v>
      </c>
      <c r="W74" s="1172"/>
      <c r="X74" s="1172"/>
      <c r="Y74" s="1172"/>
      <c r="Z74" s="1172"/>
    </row>
    <row r="75" spans="1:26" ht="345">
      <c r="A75" s="736"/>
      <c r="B75" s="1170" t="s">
        <v>143</v>
      </c>
      <c r="C75" s="1170" t="s">
        <v>144</v>
      </c>
      <c r="D75" s="795">
        <v>69</v>
      </c>
      <c r="E75" s="795" t="s">
        <v>145</v>
      </c>
      <c r="F75" s="663"/>
      <c r="G75" s="663"/>
      <c r="H75" s="663"/>
      <c r="I75" s="663"/>
      <c r="J75" s="663"/>
      <c r="K75" s="663"/>
      <c r="L75" s="663"/>
      <c r="M75" s="664">
        <v>0.68</v>
      </c>
      <c r="N75" s="663"/>
      <c r="O75" s="664">
        <v>91.224000000000004</v>
      </c>
      <c r="P75" s="664">
        <v>3</v>
      </c>
      <c r="Q75" s="663"/>
      <c r="R75" s="663"/>
      <c r="S75" s="663"/>
      <c r="T75" s="797">
        <f t="shared" si="0"/>
        <v>94.904000000000011</v>
      </c>
      <c r="U75" s="658">
        <v>94.904000000000011</v>
      </c>
      <c r="V75" s="749" t="s">
        <v>710</v>
      </c>
      <c r="W75" s="1172"/>
      <c r="X75" s="1172"/>
      <c r="Y75" s="1172"/>
      <c r="Z75" s="1172"/>
    </row>
    <row r="76" spans="1:26" ht="180">
      <c r="A76" s="736"/>
      <c r="B76" s="736"/>
      <c r="C76" s="736"/>
      <c r="D76" s="795">
        <v>70</v>
      </c>
      <c r="E76" s="795" t="s">
        <v>147</v>
      </c>
      <c r="F76" s="663"/>
      <c r="G76" s="663"/>
      <c r="H76" s="663"/>
      <c r="I76" s="665">
        <v>0.24399999999999999</v>
      </c>
      <c r="J76" s="663"/>
      <c r="K76" s="663"/>
      <c r="L76" s="663"/>
      <c r="M76" s="663"/>
      <c r="N76" s="663"/>
      <c r="O76" s="663"/>
      <c r="P76" s="664">
        <v>1.1000000000000001</v>
      </c>
      <c r="Q76" s="663"/>
      <c r="R76" s="663"/>
      <c r="S76" s="663"/>
      <c r="T76" s="797">
        <f t="shared" si="0"/>
        <v>1.3440000000000001</v>
      </c>
      <c r="U76" s="658">
        <v>1.3440000000000001</v>
      </c>
      <c r="V76" s="749" t="s">
        <v>711</v>
      </c>
      <c r="W76" s="1172"/>
      <c r="X76" s="1172"/>
      <c r="Y76" s="1172"/>
      <c r="Z76" s="1172"/>
    </row>
    <row r="77" spans="1:26" ht="39.75" customHeight="1">
      <c r="A77" s="736"/>
      <c r="B77" s="736"/>
      <c r="C77" s="736"/>
      <c r="D77" s="795">
        <v>71</v>
      </c>
      <c r="E77" s="795" t="s">
        <v>149</v>
      </c>
      <c r="F77" s="663"/>
      <c r="G77" s="663"/>
      <c r="H77" s="663"/>
      <c r="I77" s="663"/>
      <c r="J77" s="663"/>
      <c r="K77" s="663"/>
      <c r="L77" s="663"/>
      <c r="M77" s="663"/>
      <c r="N77" s="663"/>
      <c r="O77" s="663"/>
      <c r="P77" s="663"/>
      <c r="Q77" s="663"/>
      <c r="R77" s="663"/>
      <c r="S77" s="663"/>
      <c r="T77" s="797">
        <f t="shared" si="0"/>
        <v>0</v>
      </c>
      <c r="U77" s="666">
        <v>0</v>
      </c>
      <c r="V77" s="749"/>
      <c r="W77" s="1172"/>
      <c r="X77" s="1172"/>
      <c r="Y77" s="1172"/>
      <c r="Z77" s="1172"/>
    </row>
    <row r="78" spans="1:26" ht="315">
      <c r="A78" s="736"/>
      <c r="B78" s="736"/>
      <c r="C78" s="736"/>
      <c r="D78" s="795">
        <v>72</v>
      </c>
      <c r="E78" s="795" t="s">
        <v>150</v>
      </c>
      <c r="F78" s="663"/>
      <c r="G78" s="663"/>
      <c r="H78" s="663"/>
      <c r="I78" s="663"/>
      <c r="J78" s="663"/>
      <c r="K78" s="663"/>
      <c r="L78" s="663"/>
      <c r="M78" s="663"/>
      <c r="N78" s="664">
        <v>5.5460000000000003</v>
      </c>
      <c r="O78" s="663"/>
      <c r="P78" s="663"/>
      <c r="Q78" s="664">
        <v>3.5438000000000001</v>
      </c>
      <c r="R78" s="664">
        <v>4.0735999999999999</v>
      </c>
      <c r="S78" s="663"/>
      <c r="T78" s="797">
        <f t="shared" si="0"/>
        <v>13.163399999999999</v>
      </c>
      <c r="U78" s="658">
        <v>13.163399999999999</v>
      </c>
      <c r="V78" s="749" t="s">
        <v>712</v>
      </c>
      <c r="W78" s="1172"/>
      <c r="X78" s="1172"/>
      <c r="Y78" s="1172"/>
      <c r="Z78" s="1172"/>
    </row>
    <row r="79" spans="1:26" ht="409.5">
      <c r="A79" s="736"/>
      <c r="B79" s="1170" t="s">
        <v>152</v>
      </c>
      <c r="C79" s="1170" t="s">
        <v>153</v>
      </c>
      <c r="D79" s="795">
        <v>73</v>
      </c>
      <c r="E79" s="795" t="s">
        <v>154</v>
      </c>
      <c r="F79" s="1177">
        <v>2.4700000000000002</v>
      </c>
      <c r="G79" s="1177">
        <v>2.5</v>
      </c>
      <c r="H79" s="1177"/>
      <c r="I79" s="1177">
        <v>8.4</v>
      </c>
      <c r="J79" s="1178"/>
      <c r="K79" s="1177"/>
      <c r="L79" s="1178">
        <v>3.2</v>
      </c>
      <c r="M79" s="1177">
        <v>11.5</v>
      </c>
      <c r="N79" s="1177">
        <v>7.7</v>
      </c>
      <c r="O79" s="1177"/>
      <c r="P79" s="1177">
        <v>3.45</v>
      </c>
      <c r="Q79" s="1177"/>
      <c r="R79" s="1178">
        <v>15</v>
      </c>
      <c r="S79" s="1177">
        <v>0.85</v>
      </c>
      <c r="T79" s="797">
        <f t="shared" si="0"/>
        <v>55.070000000000007</v>
      </c>
      <c r="U79" s="797">
        <v>63.1</v>
      </c>
      <c r="V79" s="738" t="s">
        <v>713</v>
      </c>
      <c r="W79" s="1172"/>
      <c r="X79" s="1172"/>
      <c r="Y79" s="1172"/>
      <c r="Z79" s="1172"/>
    </row>
    <row r="80" spans="1:26" ht="120">
      <c r="A80" s="736"/>
      <c r="B80" s="736"/>
      <c r="C80" s="736"/>
      <c r="D80" s="795">
        <v>74</v>
      </c>
      <c r="E80" s="795" t="s">
        <v>155</v>
      </c>
      <c r="F80" s="1177">
        <v>52</v>
      </c>
      <c r="G80" s="1177"/>
      <c r="H80" s="1178"/>
      <c r="I80" s="1178"/>
      <c r="J80" s="1178"/>
      <c r="K80" s="1178"/>
      <c r="L80" s="1178"/>
      <c r="M80" s="1178"/>
      <c r="N80" s="1178"/>
      <c r="O80" s="1178"/>
      <c r="P80" s="1178"/>
      <c r="Q80" s="1178"/>
      <c r="R80" s="1178"/>
      <c r="S80" s="1178"/>
      <c r="T80" s="797">
        <f t="shared" si="0"/>
        <v>52</v>
      </c>
      <c r="U80" s="797">
        <v>60.7</v>
      </c>
      <c r="V80" s="738" t="s">
        <v>714</v>
      </c>
      <c r="W80" s="1172"/>
      <c r="X80" s="1172"/>
      <c r="Y80" s="1172"/>
      <c r="Z80" s="1172"/>
    </row>
    <row r="81" spans="1:26" ht="165">
      <c r="A81" s="736"/>
      <c r="B81" s="736"/>
      <c r="C81" s="736"/>
      <c r="D81" s="795">
        <v>75</v>
      </c>
      <c r="E81" s="795" t="s">
        <v>157</v>
      </c>
      <c r="F81" s="1177">
        <v>2.93</v>
      </c>
      <c r="G81" s="1177"/>
      <c r="H81" s="1178"/>
      <c r="I81" s="1178"/>
      <c r="J81" s="1178"/>
      <c r="K81" s="1178"/>
      <c r="L81" s="1178"/>
      <c r="M81" s="1178"/>
      <c r="N81" s="1178"/>
      <c r="O81" s="1178"/>
      <c r="P81" s="1178">
        <v>4</v>
      </c>
      <c r="Q81" s="1177"/>
      <c r="R81" s="1178"/>
      <c r="S81" s="1178"/>
      <c r="T81" s="797">
        <f t="shared" si="0"/>
        <v>6.93</v>
      </c>
      <c r="U81" s="797">
        <v>10</v>
      </c>
      <c r="V81" s="738" t="s">
        <v>715</v>
      </c>
      <c r="W81" s="1172"/>
      <c r="X81" s="1172"/>
      <c r="Y81" s="1172"/>
      <c r="Z81" s="1172"/>
    </row>
    <row r="82" spans="1:26" ht="90">
      <c r="A82" s="736"/>
      <c r="B82" s="736"/>
      <c r="C82" s="736"/>
      <c r="D82" s="795">
        <v>76</v>
      </c>
      <c r="E82" s="795" t="s">
        <v>159</v>
      </c>
      <c r="F82" s="1178"/>
      <c r="G82" s="1178"/>
      <c r="H82" s="1178"/>
      <c r="I82" s="1178"/>
      <c r="J82" s="1178"/>
      <c r="K82" s="1177"/>
      <c r="L82" s="1178"/>
      <c r="M82" s="1177">
        <v>2.4</v>
      </c>
      <c r="N82" s="1178"/>
      <c r="O82" s="1178"/>
      <c r="P82" s="1178"/>
      <c r="Q82" s="1178"/>
      <c r="R82" s="1178"/>
      <c r="S82" s="1178"/>
      <c r="T82" s="797">
        <f t="shared" si="0"/>
        <v>2.4</v>
      </c>
      <c r="U82" s="797">
        <v>2.9</v>
      </c>
      <c r="V82" s="738" t="s">
        <v>716</v>
      </c>
      <c r="W82" s="1172"/>
      <c r="X82" s="1172"/>
      <c r="Y82" s="1172"/>
      <c r="Z82" s="1172"/>
    </row>
    <row r="83" spans="1:26" ht="405">
      <c r="A83" s="736"/>
      <c r="B83" s="736"/>
      <c r="C83" s="736"/>
      <c r="D83" s="795">
        <v>77</v>
      </c>
      <c r="E83" s="795" t="s">
        <v>161</v>
      </c>
      <c r="F83" s="1177">
        <v>1.9</v>
      </c>
      <c r="G83" s="1177">
        <v>1.5</v>
      </c>
      <c r="H83" s="1177"/>
      <c r="I83" s="1177">
        <v>2</v>
      </c>
      <c r="J83" s="1178"/>
      <c r="K83" s="1177"/>
      <c r="L83" s="1178">
        <v>2.4</v>
      </c>
      <c r="M83" s="1177"/>
      <c r="N83" s="1177">
        <v>0.4</v>
      </c>
      <c r="O83" s="1178"/>
      <c r="P83" s="1178"/>
      <c r="Q83" s="1178"/>
      <c r="R83" s="1178"/>
      <c r="S83" s="1178">
        <v>0.5</v>
      </c>
      <c r="T83" s="797">
        <f t="shared" si="0"/>
        <v>8.7000000000000011</v>
      </c>
      <c r="U83" s="797">
        <v>12.5</v>
      </c>
      <c r="V83" s="738" t="s">
        <v>717</v>
      </c>
      <c r="W83" s="1172"/>
      <c r="X83" s="1172"/>
      <c r="Y83" s="1172"/>
      <c r="Z83" s="1172"/>
    </row>
    <row r="84" spans="1:26" ht="150">
      <c r="A84" s="736"/>
      <c r="B84" s="736"/>
      <c r="C84" s="736"/>
      <c r="D84" s="795">
        <v>78</v>
      </c>
      <c r="E84" s="795" t="s">
        <v>163</v>
      </c>
      <c r="F84" s="1178"/>
      <c r="G84" s="1178"/>
      <c r="H84" s="1178"/>
      <c r="I84" s="1178"/>
      <c r="J84" s="1178"/>
      <c r="K84" s="1178"/>
      <c r="L84" s="1178"/>
      <c r="M84" s="1178"/>
      <c r="N84" s="1178"/>
      <c r="O84" s="1178"/>
      <c r="P84" s="1178"/>
      <c r="Q84" s="1178">
        <v>10.5</v>
      </c>
      <c r="R84" s="1177"/>
      <c r="S84" s="1178"/>
      <c r="T84" s="797">
        <f t="shared" si="0"/>
        <v>10.5</v>
      </c>
      <c r="U84" s="797">
        <v>10.5</v>
      </c>
      <c r="V84" s="738" t="s">
        <v>558</v>
      </c>
      <c r="W84" s="1172"/>
      <c r="X84" s="1172"/>
      <c r="Y84" s="1172"/>
      <c r="Z84" s="1172"/>
    </row>
    <row r="85" spans="1:26" ht="11.25" customHeight="1">
      <c r="A85" s="736"/>
      <c r="B85" s="736"/>
      <c r="C85" s="736"/>
      <c r="D85" s="795">
        <v>79</v>
      </c>
      <c r="E85" s="795" t="s">
        <v>53</v>
      </c>
      <c r="F85" s="1178"/>
      <c r="G85" s="1178"/>
      <c r="H85" s="1178"/>
      <c r="I85" s="1178"/>
      <c r="J85" s="1178"/>
      <c r="K85" s="1178"/>
      <c r="L85" s="1178"/>
      <c r="M85" s="1178"/>
      <c r="N85" s="1178"/>
      <c r="O85" s="1178"/>
      <c r="P85" s="1178"/>
      <c r="Q85" s="1178"/>
      <c r="R85" s="1178"/>
      <c r="S85" s="1178"/>
      <c r="T85" s="797">
        <f t="shared" si="0"/>
        <v>0</v>
      </c>
      <c r="U85" s="797">
        <v>0</v>
      </c>
      <c r="V85" s="482"/>
      <c r="W85" s="1172"/>
      <c r="X85" s="1172"/>
      <c r="Y85" s="1172"/>
      <c r="Z85" s="1172"/>
    </row>
    <row r="86" spans="1:26" ht="75">
      <c r="A86" s="736"/>
      <c r="B86" s="1170" t="s">
        <v>165</v>
      </c>
      <c r="C86" s="1170" t="s">
        <v>166</v>
      </c>
      <c r="D86" s="795">
        <v>80</v>
      </c>
      <c r="E86" s="795" t="s">
        <v>167</v>
      </c>
      <c r="F86" s="1179"/>
      <c r="G86" s="1179"/>
      <c r="H86" s="1179"/>
      <c r="I86" s="1179"/>
      <c r="J86" s="1179"/>
      <c r="K86" s="1179"/>
      <c r="L86" s="1179"/>
      <c r="M86" s="1179"/>
      <c r="N86" s="1179"/>
      <c r="O86" s="1179"/>
      <c r="P86" s="1179">
        <v>3.6</v>
      </c>
      <c r="Q86" s="1179">
        <v>1</v>
      </c>
      <c r="R86" s="1179"/>
      <c r="S86" s="1179"/>
      <c r="T86" s="797">
        <f t="shared" si="0"/>
        <v>4.5999999999999996</v>
      </c>
      <c r="U86" s="797">
        <v>4.5999999999999996</v>
      </c>
      <c r="V86" s="738" t="s">
        <v>1823</v>
      </c>
      <c r="W86" s="1172"/>
      <c r="X86" s="1172"/>
      <c r="Y86" s="1172"/>
      <c r="Z86" s="1172"/>
    </row>
    <row r="87" spans="1:26" ht="45">
      <c r="A87" s="736"/>
      <c r="B87" s="736"/>
      <c r="C87" s="736"/>
      <c r="D87" s="795">
        <v>81</v>
      </c>
      <c r="E87" s="795" t="s">
        <v>168</v>
      </c>
      <c r="F87" s="795"/>
      <c r="G87" s="795"/>
      <c r="H87" s="795"/>
      <c r="I87" s="795"/>
      <c r="J87" s="795"/>
      <c r="K87" s="795"/>
      <c r="L87" s="795"/>
      <c r="M87" s="797"/>
      <c r="N87" s="797">
        <v>0</v>
      </c>
      <c r="O87" s="795"/>
      <c r="P87" s="796">
        <v>0.1</v>
      </c>
      <c r="Q87" s="796"/>
      <c r="R87" s="795"/>
      <c r="S87" s="795"/>
      <c r="T87" s="797">
        <f t="shared" si="0"/>
        <v>0.1</v>
      </c>
      <c r="U87" s="797">
        <v>0.1</v>
      </c>
      <c r="V87" s="483" t="s">
        <v>169</v>
      </c>
      <c r="W87" s="1172"/>
      <c r="X87" s="1172"/>
      <c r="Y87" s="1172"/>
      <c r="Z87" s="1172"/>
    </row>
    <row r="88" spans="1:26" ht="45">
      <c r="A88" s="736"/>
      <c r="B88" s="736"/>
      <c r="C88" s="736"/>
      <c r="D88" s="795">
        <v>82</v>
      </c>
      <c r="E88" s="795" t="s">
        <v>170</v>
      </c>
      <c r="F88" s="795"/>
      <c r="G88" s="795"/>
      <c r="H88" s="795"/>
      <c r="I88" s="795"/>
      <c r="J88" s="795"/>
      <c r="K88" s="795"/>
      <c r="L88" s="795"/>
      <c r="M88" s="795"/>
      <c r="N88" s="795"/>
      <c r="O88" s="795"/>
      <c r="P88" s="796"/>
      <c r="Q88" s="795"/>
      <c r="R88" s="795"/>
      <c r="S88" s="795"/>
      <c r="T88" s="797">
        <f t="shared" si="0"/>
        <v>0</v>
      </c>
      <c r="U88" s="797">
        <v>0</v>
      </c>
      <c r="V88" s="738"/>
      <c r="W88" s="1172"/>
      <c r="X88" s="1172"/>
      <c r="Y88" s="1172"/>
      <c r="Z88" s="1172"/>
    </row>
    <row r="89" spans="1:26" ht="165">
      <c r="A89" s="736"/>
      <c r="B89" s="736"/>
      <c r="C89" s="736"/>
      <c r="D89" s="795">
        <v>83</v>
      </c>
      <c r="E89" s="795" t="s">
        <v>172</v>
      </c>
      <c r="F89" s="795"/>
      <c r="G89" s="795"/>
      <c r="H89" s="795"/>
      <c r="I89" s="795"/>
      <c r="J89" s="795"/>
      <c r="K89" s="797">
        <v>0.5</v>
      </c>
      <c r="L89" s="795"/>
      <c r="M89" s="796"/>
      <c r="N89" s="797"/>
      <c r="O89" s="795"/>
      <c r="P89" s="796">
        <v>1.5</v>
      </c>
      <c r="Q89" s="797"/>
      <c r="R89" s="796"/>
      <c r="S89" s="795"/>
      <c r="T89" s="797">
        <f t="shared" si="0"/>
        <v>2</v>
      </c>
      <c r="U89" s="797">
        <v>2</v>
      </c>
      <c r="V89" s="483" t="s">
        <v>1824</v>
      </c>
      <c r="W89" s="1172"/>
      <c r="X89" s="1172"/>
      <c r="Y89" s="1172"/>
      <c r="Z89" s="1172"/>
    </row>
    <row r="90" spans="1:26" ht="87.75" customHeight="1">
      <c r="A90" s="736"/>
      <c r="B90" s="795" t="s">
        <v>173</v>
      </c>
      <c r="C90" s="795" t="s">
        <v>174</v>
      </c>
      <c r="D90" s="795">
        <v>84</v>
      </c>
      <c r="E90" s="795" t="s">
        <v>175</v>
      </c>
      <c r="F90" s="795"/>
      <c r="G90" s="795"/>
      <c r="H90" s="795"/>
      <c r="I90" s="797"/>
      <c r="J90" s="795"/>
      <c r="K90" s="797"/>
      <c r="L90" s="795"/>
      <c r="M90" s="795"/>
      <c r="N90" s="797">
        <v>1</v>
      </c>
      <c r="O90" s="795"/>
      <c r="P90" s="795"/>
      <c r="Q90" s="797">
        <v>1.5</v>
      </c>
      <c r="R90" s="796">
        <v>0.5</v>
      </c>
      <c r="S90" s="795"/>
      <c r="T90" s="797">
        <f t="shared" si="0"/>
        <v>3</v>
      </c>
      <c r="U90" s="797">
        <v>3</v>
      </c>
      <c r="V90" s="729" t="s">
        <v>1825</v>
      </c>
      <c r="W90" s="1172"/>
      <c r="X90" s="1172"/>
      <c r="Y90" s="1172"/>
      <c r="Z90" s="1172"/>
    </row>
    <row r="91" spans="1:26" ht="72.75" customHeight="1">
      <c r="A91" s="736"/>
      <c r="B91" s="795" t="s">
        <v>176</v>
      </c>
      <c r="C91" s="795" t="s">
        <v>177</v>
      </c>
      <c r="D91" s="795">
        <v>85</v>
      </c>
      <c r="E91" s="795" t="s">
        <v>178</v>
      </c>
      <c r="F91" s="795"/>
      <c r="G91" s="795"/>
      <c r="H91" s="795"/>
      <c r="I91" s="795"/>
      <c r="J91" s="795"/>
      <c r="K91" s="797"/>
      <c r="L91" s="795"/>
      <c r="M91" s="795"/>
      <c r="N91" s="797">
        <v>0.5</v>
      </c>
      <c r="O91" s="795"/>
      <c r="P91" s="795"/>
      <c r="Q91" s="797">
        <v>1</v>
      </c>
      <c r="R91" s="796"/>
      <c r="S91" s="795"/>
      <c r="T91" s="797">
        <f t="shared" si="0"/>
        <v>1.5</v>
      </c>
      <c r="U91" s="797">
        <v>1.5</v>
      </c>
      <c r="V91" s="729" t="s">
        <v>424</v>
      </c>
      <c r="W91" s="1172"/>
      <c r="X91" s="1172"/>
      <c r="Y91" s="1172"/>
      <c r="Z91" s="1172"/>
    </row>
    <row r="92" spans="1:26" ht="19.5" customHeight="1">
      <c r="A92" s="736"/>
      <c r="B92" s="795" t="s">
        <v>180</v>
      </c>
      <c r="C92" s="795" t="s">
        <v>53</v>
      </c>
      <c r="D92" s="795">
        <v>86</v>
      </c>
      <c r="E92" s="795" t="s">
        <v>181</v>
      </c>
      <c r="F92" s="795"/>
      <c r="G92" s="795"/>
      <c r="H92" s="795"/>
      <c r="I92" s="795"/>
      <c r="J92" s="795"/>
      <c r="K92" s="795"/>
      <c r="L92" s="795"/>
      <c r="M92" s="795"/>
      <c r="N92" s="795"/>
      <c r="O92" s="795"/>
      <c r="P92" s="795"/>
      <c r="Q92" s="795"/>
      <c r="R92" s="795"/>
      <c r="S92" s="795"/>
      <c r="T92" s="797">
        <f t="shared" si="0"/>
        <v>0</v>
      </c>
      <c r="U92" s="797">
        <v>0</v>
      </c>
      <c r="V92" s="482"/>
      <c r="W92" s="1172"/>
      <c r="X92" s="1172"/>
      <c r="Y92" s="1172"/>
      <c r="Z92" s="1172"/>
    </row>
    <row r="93" spans="1:26" ht="39.75" customHeight="1">
      <c r="A93" s="736"/>
      <c r="B93" s="701" t="s">
        <v>182</v>
      </c>
      <c r="C93" s="736"/>
      <c r="D93" s="736"/>
      <c r="E93" s="660"/>
      <c r="F93" s="660">
        <f t="shared" ref="F93:S93" si="7">SUM(F69:F92)</f>
        <v>59.3</v>
      </c>
      <c r="G93" s="660">
        <f t="shared" si="7"/>
        <v>4</v>
      </c>
      <c r="H93" s="660">
        <f t="shared" si="7"/>
        <v>0</v>
      </c>
      <c r="I93" s="660">
        <f t="shared" si="7"/>
        <v>12.014000000000001</v>
      </c>
      <c r="J93" s="660">
        <f t="shared" si="7"/>
        <v>0</v>
      </c>
      <c r="K93" s="660">
        <f t="shared" si="7"/>
        <v>0.5</v>
      </c>
      <c r="L93" s="660">
        <f t="shared" si="7"/>
        <v>5.6</v>
      </c>
      <c r="M93" s="667">
        <f t="shared" si="7"/>
        <v>14.58</v>
      </c>
      <c r="N93" s="668">
        <f t="shared" si="7"/>
        <v>26.945999999999998</v>
      </c>
      <c r="O93" s="660">
        <f t="shared" si="7"/>
        <v>92.974000000000004</v>
      </c>
      <c r="P93" s="668">
        <f t="shared" si="7"/>
        <v>96.939999999999984</v>
      </c>
      <c r="Q93" s="660">
        <f t="shared" si="7"/>
        <v>23.343800000000002</v>
      </c>
      <c r="R93" s="667">
        <f t="shared" si="7"/>
        <v>36.823599999999999</v>
      </c>
      <c r="S93" s="667">
        <f t="shared" si="7"/>
        <v>13.549999999999999</v>
      </c>
      <c r="T93" s="668">
        <f t="shared" si="0"/>
        <v>386.57139999999998</v>
      </c>
      <c r="U93" s="668">
        <f>SUM(U69:U92)</f>
        <v>405.67140000000001</v>
      </c>
      <c r="V93" s="482"/>
      <c r="W93" s="1172"/>
      <c r="X93" s="1172"/>
      <c r="Y93" s="1172"/>
      <c r="Z93" s="1172"/>
    </row>
    <row r="94" spans="1:26" ht="39.75" customHeight="1">
      <c r="A94" s="1173" t="s">
        <v>183</v>
      </c>
      <c r="B94" s="1170" t="s">
        <v>184</v>
      </c>
      <c r="C94" s="1170" t="s">
        <v>185</v>
      </c>
      <c r="D94" s="795">
        <v>87</v>
      </c>
      <c r="E94" s="795" t="s">
        <v>186</v>
      </c>
      <c r="F94" s="482"/>
      <c r="G94" s="482"/>
      <c r="H94" s="482"/>
      <c r="I94" s="482"/>
      <c r="J94" s="482"/>
      <c r="K94" s="666">
        <v>9</v>
      </c>
      <c r="L94" s="482"/>
      <c r="M94" s="482"/>
      <c r="N94" s="482"/>
      <c r="O94" s="482"/>
      <c r="P94" s="482"/>
      <c r="Q94" s="482"/>
      <c r="R94" s="482"/>
      <c r="S94" s="482"/>
      <c r="T94" s="797">
        <f t="shared" si="0"/>
        <v>9</v>
      </c>
      <c r="U94" s="669">
        <v>0</v>
      </c>
      <c r="V94" s="738" t="s">
        <v>718</v>
      </c>
      <c r="W94" s="1172"/>
      <c r="X94" s="1172"/>
      <c r="Y94" s="1172"/>
      <c r="Z94" s="1172"/>
    </row>
    <row r="95" spans="1:26" ht="39.75" customHeight="1">
      <c r="A95" s="736"/>
      <c r="B95" s="736"/>
      <c r="C95" s="736"/>
      <c r="D95" s="795">
        <v>88</v>
      </c>
      <c r="E95" s="795" t="s">
        <v>188</v>
      </c>
      <c r="F95" s="482"/>
      <c r="G95" s="482"/>
      <c r="H95" s="482"/>
      <c r="I95" s="482"/>
      <c r="J95" s="482"/>
      <c r="K95" s="482"/>
      <c r="L95" s="482"/>
      <c r="M95" s="482"/>
      <c r="N95" s="482"/>
      <c r="O95" s="482"/>
      <c r="P95" s="1180">
        <v>20</v>
      </c>
      <c r="Q95" s="482"/>
      <c r="R95" s="482"/>
      <c r="S95" s="482"/>
      <c r="T95" s="797">
        <f t="shared" si="0"/>
        <v>20</v>
      </c>
      <c r="U95" s="669">
        <v>20</v>
      </c>
      <c r="V95" s="738" t="s">
        <v>719</v>
      </c>
      <c r="W95" s="1172"/>
      <c r="X95" s="1172"/>
      <c r="Y95" s="1172"/>
      <c r="Z95" s="1172"/>
    </row>
    <row r="96" spans="1:26" ht="39.75" customHeight="1">
      <c r="A96" s="736"/>
      <c r="B96" s="736"/>
      <c r="C96" s="736"/>
      <c r="D96" s="795">
        <v>89</v>
      </c>
      <c r="E96" s="795" t="s">
        <v>190</v>
      </c>
      <c r="F96" s="482"/>
      <c r="G96" s="482"/>
      <c r="H96" s="482"/>
      <c r="I96" s="482"/>
      <c r="J96" s="482"/>
      <c r="K96" s="482"/>
      <c r="L96" s="482"/>
      <c r="M96" s="482"/>
      <c r="N96" s="482"/>
      <c r="O96" s="482"/>
      <c r="P96" s="482"/>
      <c r="Q96" s="482"/>
      <c r="R96" s="482"/>
      <c r="S96" s="1181"/>
      <c r="T96" s="797">
        <f t="shared" si="0"/>
        <v>0</v>
      </c>
      <c r="U96" s="664">
        <v>0</v>
      </c>
      <c r="V96" s="483"/>
      <c r="W96" s="1172"/>
      <c r="X96" s="1172"/>
      <c r="Y96" s="1172"/>
      <c r="Z96" s="792"/>
    </row>
    <row r="97" spans="1:26" ht="90">
      <c r="A97" s="736"/>
      <c r="B97" s="736"/>
      <c r="C97" s="736"/>
      <c r="D97" s="795">
        <v>90</v>
      </c>
      <c r="E97" s="795" t="s">
        <v>191</v>
      </c>
      <c r="F97" s="482"/>
      <c r="G97" s="482"/>
      <c r="H97" s="482"/>
      <c r="I97" s="482"/>
      <c r="J97" s="482"/>
      <c r="K97" s="482"/>
      <c r="L97" s="482"/>
      <c r="M97" s="482"/>
      <c r="N97" s="482"/>
      <c r="O97" s="482"/>
      <c r="P97" s="1180">
        <v>1.38</v>
      </c>
      <c r="Q97" s="482"/>
      <c r="R97" s="482"/>
      <c r="S97" s="482"/>
      <c r="T97" s="797">
        <f t="shared" si="0"/>
        <v>1.38</v>
      </c>
      <c r="U97" s="669">
        <v>1.38</v>
      </c>
      <c r="V97" s="738" t="s">
        <v>720</v>
      </c>
      <c r="W97" s="1172"/>
      <c r="X97" s="1172"/>
      <c r="Y97" s="1172"/>
      <c r="Z97" s="1172"/>
    </row>
    <row r="98" spans="1:26" ht="39.75" customHeight="1">
      <c r="A98" s="736"/>
      <c r="B98" s="736"/>
      <c r="C98" s="736"/>
      <c r="D98" s="795">
        <v>91</v>
      </c>
      <c r="E98" s="795" t="s">
        <v>192</v>
      </c>
      <c r="F98" s="482"/>
      <c r="G98" s="482"/>
      <c r="H98" s="482"/>
      <c r="I98" s="482"/>
      <c r="J98" s="482"/>
      <c r="K98" s="666">
        <v>0</v>
      </c>
      <c r="L98" s="482"/>
      <c r="M98" s="482"/>
      <c r="N98" s="482"/>
      <c r="O98" s="482"/>
      <c r="P98" s="1180">
        <v>0</v>
      </c>
      <c r="Q98" s="482"/>
      <c r="R98" s="482"/>
      <c r="S98" s="482"/>
      <c r="T98" s="797">
        <f t="shared" si="0"/>
        <v>0</v>
      </c>
      <c r="U98" s="669">
        <v>0</v>
      </c>
      <c r="V98" s="484"/>
      <c r="W98" s="1172"/>
      <c r="X98" s="1172"/>
      <c r="Y98" s="1172"/>
      <c r="Z98" s="1172"/>
    </row>
    <row r="99" spans="1:26" ht="39.75" customHeight="1">
      <c r="A99" s="736"/>
      <c r="B99" s="736"/>
      <c r="C99" s="736"/>
      <c r="D99" s="795">
        <v>92</v>
      </c>
      <c r="E99" s="795" t="s">
        <v>193</v>
      </c>
      <c r="F99" s="482"/>
      <c r="G99" s="482"/>
      <c r="H99" s="482"/>
      <c r="I99" s="482"/>
      <c r="J99" s="482"/>
      <c r="K99" s="482"/>
      <c r="L99" s="482"/>
      <c r="M99" s="482"/>
      <c r="N99" s="482"/>
      <c r="O99" s="482"/>
      <c r="P99" s="1180">
        <v>38.299999999999997</v>
      </c>
      <c r="Q99" s="482"/>
      <c r="R99" s="482"/>
      <c r="S99" s="482"/>
      <c r="T99" s="797">
        <f t="shared" si="0"/>
        <v>38.299999999999997</v>
      </c>
      <c r="U99" s="669">
        <v>38.299999999999997</v>
      </c>
      <c r="V99" s="1029" t="s">
        <v>721</v>
      </c>
      <c r="W99" s="1172"/>
      <c r="X99" s="1172"/>
      <c r="Y99" s="1172"/>
      <c r="Z99" s="1172"/>
    </row>
    <row r="100" spans="1:26" ht="39.75" customHeight="1">
      <c r="A100" s="736"/>
      <c r="B100" s="736"/>
      <c r="C100" s="736"/>
      <c r="D100" s="795">
        <v>93</v>
      </c>
      <c r="E100" s="795" t="s">
        <v>195</v>
      </c>
      <c r="F100" s="482"/>
      <c r="G100" s="482"/>
      <c r="H100" s="482"/>
      <c r="I100" s="1180"/>
      <c r="J100" s="482"/>
      <c r="K100" s="482"/>
      <c r="L100" s="482"/>
      <c r="M100" s="482"/>
      <c r="N100" s="482"/>
      <c r="O100" s="482"/>
      <c r="P100" s="482"/>
      <c r="Q100" s="482"/>
      <c r="R100" s="482"/>
      <c r="S100" s="482"/>
      <c r="T100" s="797">
        <f t="shared" si="0"/>
        <v>0</v>
      </c>
      <c r="U100" s="669">
        <v>0</v>
      </c>
      <c r="V100" s="484"/>
      <c r="W100" s="1172"/>
      <c r="X100" s="1172"/>
      <c r="Y100" s="1172"/>
      <c r="Z100" s="1172"/>
    </row>
    <row r="101" spans="1:26" ht="39.75" customHeight="1">
      <c r="A101" s="736"/>
      <c r="B101" s="736"/>
      <c r="C101" s="736"/>
      <c r="D101" s="795">
        <v>94</v>
      </c>
      <c r="E101" s="795" t="s">
        <v>196</v>
      </c>
      <c r="F101" s="482"/>
      <c r="G101" s="482"/>
      <c r="H101" s="482"/>
      <c r="I101" s="1180"/>
      <c r="J101" s="482"/>
      <c r="K101" s="482"/>
      <c r="L101" s="482"/>
      <c r="M101" s="482"/>
      <c r="N101" s="482"/>
      <c r="O101" s="482"/>
      <c r="P101" s="482"/>
      <c r="Q101" s="482"/>
      <c r="R101" s="482"/>
      <c r="S101" s="482"/>
      <c r="T101" s="797">
        <f t="shared" si="0"/>
        <v>0</v>
      </c>
      <c r="U101" s="669">
        <v>0</v>
      </c>
      <c r="V101" s="484"/>
      <c r="W101" s="1172"/>
      <c r="X101" s="1172"/>
      <c r="Y101" s="1172"/>
      <c r="Z101" s="1172"/>
    </row>
    <row r="102" spans="1:26" ht="60">
      <c r="A102" s="736"/>
      <c r="B102" s="736"/>
      <c r="C102" s="736"/>
      <c r="D102" s="795">
        <v>95</v>
      </c>
      <c r="E102" s="795" t="s">
        <v>197</v>
      </c>
      <c r="F102" s="482"/>
      <c r="G102" s="482"/>
      <c r="H102" s="1180"/>
      <c r="I102" s="666">
        <v>5</v>
      </c>
      <c r="J102" s="482"/>
      <c r="K102" s="482"/>
      <c r="L102" s="482"/>
      <c r="M102" s="482"/>
      <c r="N102" s="482"/>
      <c r="O102" s="482"/>
      <c r="P102" s="482"/>
      <c r="Q102" s="482"/>
      <c r="R102" s="482"/>
      <c r="S102" s="482"/>
      <c r="T102" s="797">
        <f t="shared" si="0"/>
        <v>5</v>
      </c>
      <c r="U102" s="669">
        <v>0</v>
      </c>
      <c r="V102" s="738" t="s">
        <v>722</v>
      </c>
      <c r="W102" s="1172"/>
      <c r="X102" s="1172"/>
      <c r="Y102" s="1172"/>
      <c r="Z102" s="1172"/>
    </row>
    <row r="103" spans="1:26" ht="165">
      <c r="A103" s="736"/>
      <c r="B103" s="736"/>
      <c r="C103" s="736"/>
      <c r="D103" s="795">
        <v>96</v>
      </c>
      <c r="E103" s="795" t="s">
        <v>199</v>
      </c>
      <c r="F103" s="482"/>
      <c r="G103" s="482"/>
      <c r="H103" s="482"/>
      <c r="I103" s="482"/>
      <c r="J103" s="482"/>
      <c r="K103" s="482"/>
      <c r="L103" s="482"/>
      <c r="M103" s="482"/>
      <c r="N103" s="666">
        <v>0</v>
      </c>
      <c r="O103" s="482"/>
      <c r="P103" s="672">
        <v>2</v>
      </c>
      <c r="Q103" s="666">
        <v>1</v>
      </c>
      <c r="R103" s="1180">
        <v>1</v>
      </c>
      <c r="S103" s="482"/>
      <c r="T103" s="797">
        <f t="shared" si="0"/>
        <v>4</v>
      </c>
      <c r="U103" s="669">
        <v>4</v>
      </c>
      <c r="V103" s="738" t="s">
        <v>200</v>
      </c>
      <c r="W103" s="1172"/>
      <c r="X103" s="1172"/>
      <c r="Y103" s="1172"/>
      <c r="Z103" s="1172"/>
    </row>
    <row r="104" spans="1:26" ht="195">
      <c r="A104" s="736"/>
      <c r="B104" s="1170" t="s">
        <v>201</v>
      </c>
      <c r="C104" s="1170" t="s">
        <v>202</v>
      </c>
      <c r="D104" s="795">
        <v>97</v>
      </c>
      <c r="E104" s="795" t="s">
        <v>203</v>
      </c>
      <c r="F104" s="672"/>
      <c r="G104" s="672"/>
      <c r="H104" s="672"/>
      <c r="I104" s="666">
        <v>1</v>
      </c>
      <c r="J104" s="672"/>
      <c r="K104" s="666"/>
      <c r="L104" s="672"/>
      <c r="M104" s="666"/>
      <c r="N104" s="666">
        <v>3.75</v>
      </c>
      <c r="O104" s="672">
        <v>3.4</v>
      </c>
      <c r="P104" s="673">
        <v>14.35</v>
      </c>
      <c r="Q104" s="666">
        <v>2.5</v>
      </c>
      <c r="R104" s="673">
        <v>18</v>
      </c>
      <c r="S104" s="672"/>
      <c r="T104" s="818">
        <v>43</v>
      </c>
      <c r="U104" s="818">
        <v>43</v>
      </c>
      <c r="V104" s="749" t="s">
        <v>204</v>
      </c>
      <c r="W104" s="1172"/>
      <c r="X104" s="1172"/>
      <c r="Y104" s="1172"/>
      <c r="Z104" s="1172"/>
    </row>
    <row r="105" spans="1:26" ht="39.75" customHeight="1">
      <c r="A105" s="736"/>
      <c r="B105" s="736"/>
      <c r="C105" s="736"/>
      <c r="D105" s="795">
        <v>98</v>
      </c>
      <c r="E105" s="795" t="s">
        <v>53</v>
      </c>
      <c r="F105" s="1182"/>
      <c r="G105" s="1182"/>
      <c r="H105" s="1182"/>
      <c r="I105" s="1182"/>
      <c r="J105" s="1182"/>
      <c r="K105" s="1182"/>
      <c r="L105" s="1182"/>
      <c r="M105" s="1182"/>
      <c r="N105" s="1182"/>
      <c r="O105" s="1182"/>
      <c r="P105" s="1182"/>
      <c r="Q105" s="1182"/>
      <c r="R105" s="1182"/>
      <c r="S105" s="1182"/>
      <c r="T105" s="818">
        <v>0</v>
      </c>
      <c r="U105" s="818">
        <v>0</v>
      </c>
      <c r="V105" s="744"/>
      <c r="W105" s="1172"/>
      <c r="X105" s="1172"/>
      <c r="Y105" s="1172"/>
      <c r="Z105" s="1172"/>
    </row>
    <row r="106" spans="1:26" ht="83.25" customHeight="1">
      <c r="A106" s="736"/>
      <c r="B106" s="1170" t="s">
        <v>205</v>
      </c>
      <c r="C106" s="1170" t="s">
        <v>206</v>
      </c>
      <c r="D106" s="795">
        <v>99</v>
      </c>
      <c r="E106" s="795" t="s">
        <v>207</v>
      </c>
      <c r="F106" s="675"/>
      <c r="G106" s="675"/>
      <c r="H106" s="676"/>
      <c r="I106" s="674">
        <v>2</v>
      </c>
      <c r="J106" s="675"/>
      <c r="K106" s="674"/>
      <c r="L106" s="675"/>
      <c r="M106" s="675"/>
      <c r="N106" s="674">
        <v>1</v>
      </c>
      <c r="O106" s="675"/>
      <c r="P106" s="675"/>
      <c r="Q106" s="674">
        <v>1</v>
      </c>
      <c r="R106" s="675"/>
      <c r="S106" s="675"/>
      <c r="T106" s="818">
        <v>4</v>
      </c>
      <c r="U106" s="818">
        <v>3</v>
      </c>
      <c r="V106" s="749" t="s">
        <v>723</v>
      </c>
      <c r="W106" s="1172"/>
      <c r="X106" s="1172"/>
      <c r="Y106" s="1172"/>
      <c r="Z106" s="1172"/>
    </row>
    <row r="107" spans="1:26" ht="39.75" customHeight="1">
      <c r="A107" s="736"/>
      <c r="B107" s="736"/>
      <c r="C107" s="736"/>
      <c r="D107" s="795">
        <v>100</v>
      </c>
      <c r="E107" s="795" t="s">
        <v>209</v>
      </c>
      <c r="F107" s="1182"/>
      <c r="G107" s="1182"/>
      <c r="H107" s="1182"/>
      <c r="I107" s="818"/>
      <c r="J107" s="1182"/>
      <c r="K107" s="818"/>
      <c r="L107" s="1182"/>
      <c r="M107" s="1182"/>
      <c r="N107" s="1182"/>
      <c r="O107" s="1182"/>
      <c r="P107" s="1182"/>
      <c r="Q107" s="1182"/>
      <c r="R107" s="1182"/>
      <c r="S107" s="1182"/>
      <c r="T107" s="818">
        <v>0</v>
      </c>
      <c r="U107" s="818">
        <v>0</v>
      </c>
      <c r="V107" s="749"/>
      <c r="W107" s="1172"/>
      <c r="X107" s="1172"/>
      <c r="Y107" s="1172"/>
      <c r="Z107" s="1172"/>
    </row>
    <row r="108" spans="1:26" ht="39.75" customHeight="1">
      <c r="A108" s="736"/>
      <c r="B108" s="736"/>
      <c r="C108" s="736"/>
      <c r="D108" s="795">
        <v>101</v>
      </c>
      <c r="E108" s="795" t="s">
        <v>210</v>
      </c>
      <c r="F108" s="1182"/>
      <c r="G108" s="1182"/>
      <c r="H108" s="1182"/>
      <c r="I108" s="1182"/>
      <c r="J108" s="1182"/>
      <c r="K108" s="1182"/>
      <c r="L108" s="1182"/>
      <c r="M108" s="1182"/>
      <c r="N108" s="1182"/>
      <c r="O108" s="1182"/>
      <c r="P108" s="1182"/>
      <c r="Q108" s="1182"/>
      <c r="R108" s="1182"/>
      <c r="S108" s="1182"/>
      <c r="T108" s="818">
        <v>0</v>
      </c>
      <c r="U108" s="818">
        <v>0</v>
      </c>
      <c r="V108" s="744"/>
      <c r="W108" s="1172"/>
      <c r="X108" s="1172"/>
      <c r="Y108" s="1172"/>
      <c r="Z108" s="1172"/>
    </row>
    <row r="109" spans="1:26" ht="39.75" customHeight="1">
      <c r="A109" s="736"/>
      <c r="B109" s="736"/>
      <c r="C109" s="736"/>
      <c r="D109" s="795">
        <v>102</v>
      </c>
      <c r="E109" s="795" t="s">
        <v>211</v>
      </c>
      <c r="F109" s="1182"/>
      <c r="G109" s="1182"/>
      <c r="H109" s="1182"/>
      <c r="I109" s="1182"/>
      <c r="J109" s="1182"/>
      <c r="K109" s="1182"/>
      <c r="L109" s="1182"/>
      <c r="M109" s="1182"/>
      <c r="N109" s="1182"/>
      <c r="O109" s="1182"/>
      <c r="P109" s="1182"/>
      <c r="Q109" s="818"/>
      <c r="R109" s="1182"/>
      <c r="S109" s="1182"/>
      <c r="T109" s="818">
        <v>0</v>
      </c>
      <c r="U109" s="818">
        <v>0</v>
      </c>
      <c r="V109" s="744"/>
      <c r="W109" s="1172"/>
      <c r="X109" s="1172"/>
      <c r="Y109" s="1172"/>
      <c r="Z109" s="1172"/>
    </row>
    <row r="110" spans="1:26" ht="45">
      <c r="A110" s="736"/>
      <c r="B110" s="736"/>
      <c r="C110" s="736"/>
      <c r="D110" s="795">
        <v>103</v>
      </c>
      <c r="E110" s="795" t="s">
        <v>53</v>
      </c>
      <c r="F110" s="1182"/>
      <c r="G110" s="1182"/>
      <c r="H110" s="1182"/>
      <c r="I110" s="1182"/>
      <c r="J110" s="1182"/>
      <c r="K110" s="1182"/>
      <c r="L110" s="1182"/>
      <c r="M110" s="1182"/>
      <c r="N110" s="1182"/>
      <c r="O110" s="1182"/>
      <c r="P110" s="1183">
        <v>13.2</v>
      </c>
      <c r="Q110" s="1182"/>
      <c r="R110" s="1183">
        <v>0</v>
      </c>
      <c r="S110" s="1183"/>
      <c r="T110" s="818">
        <v>13.2</v>
      </c>
      <c r="U110" s="818">
        <v>13.2</v>
      </c>
      <c r="V110" s="749" t="s">
        <v>212</v>
      </c>
      <c r="W110" s="1172"/>
      <c r="X110" s="1172"/>
      <c r="Y110" s="1172"/>
      <c r="Z110" s="1172"/>
    </row>
    <row r="111" spans="1:26" ht="285">
      <c r="A111" s="736"/>
      <c r="B111" s="1170" t="s">
        <v>213</v>
      </c>
      <c r="C111" s="1170" t="s">
        <v>214</v>
      </c>
      <c r="D111" s="795">
        <v>104</v>
      </c>
      <c r="E111" s="795" t="s">
        <v>215</v>
      </c>
      <c r="F111" s="749"/>
      <c r="G111" s="749"/>
      <c r="H111" s="749"/>
      <c r="I111" s="749"/>
      <c r="J111" s="749"/>
      <c r="K111" s="749"/>
      <c r="L111" s="749"/>
      <c r="M111" s="749"/>
      <c r="N111" s="673">
        <v>0.8</v>
      </c>
      <c r="O111" s="749"/>
      <c r="P111" s="673"/>
      <c r="Q111" s="673">
        <v>1.5</v>
      </c>
      <c r="R111" s="774">
        <v>1.5</v>
      </c>
      <c r="S111" s="774"/>
      <c r="T111" s="818">
        <v>3.8</v>
      </c>
      <c r="U111" s="818">
        <v>3.8</v>
      </c>
      <c r="V111" s="749" t="s">
        <v>1639</v>
      </c>
      <c r="W111" s="1172"/>
      <c r="X111" s="1172"/>
      <c r="Y111" s="1172"/>
      <c r="Z111" s="1172"/>
    </row>
    <row r="112" spans="1:26" ht="39.75" customHeight="1">
      <c r="A112" s="736"/>
      <c r="B112" s="736"/>
      <c r="C112" s="736"/>
      <c r="D112" s="795">
        <v>105</v>
      </c>
      <c r="E112" s="795" t="s">
        <v>216</v>
      </c>
      <c r="F112" s="749"/>
      <c r="G112" s="749"/>
      <c r="H112" s="749"/>
      <c r="I112" s="749"/>
      <c r="J112" s="749"/>
      <c r="K112" s="749"/>
      <c r="L112" s="749"/>
      <c r="M112" s="749"/>
      <c r="N112" s="749"/>
      <c r="O112" s="749"/>
      <c r="P112" s="776">
        <v>2</v>
      </c>
      <c r="Q112" s="749"/>
      <c r="R112" s="749"/>
      <c r="S112" s="749"/>
      <c r="T112" s="818">
        <v>2</v>
      </c>
      <c r="U112" s="818">
        <v>2</v>
      </c>
      <c r="V112" s="744" t="s">
        <v>217</v>
      </c>
      <c r="W112" s="1172"/>
      <c r="X112" s="1172"/>
      <c r="Y112" s="1172"/>
      <c r="Z112" s="1172"/>
    </row>
    <row r="113" spans="1:26" ht="45">
      <c r="A113" s="736"/>
      <c r="B113" s="736"/>
      <c r="C113" s="736"/>
      <c r="D113" s="795">
        <v>106</v>
      </c>
      <c r="E113" s="795" t="s">
        <v>218</v>
      </c>
      <c r="F113" s="749"/>
      <c r="G113" s="749"/>
      <c r="H113" s="749"/>
      <c r="I113" s="666"/>
      <c r="J113" s="749"/>
      <c r="K113" s="777"/>
      <c r="L113" s="749"/>
      <c r="M113" s="749"/>
      <c r="N113" s="778">
        <v>0.2</v>
      </c>
      <c r="O113" s="749"/>
      <c r="P113" s="774"/>
      <c r="Q113" s="777"/>
      <c r="R113" s="774"/>
      <c r="S113" s="774"/>
      <c r="T113" s="818">
        <v>0.2</v>
      </c>
      <c r="U113" s="818">
        <v>0.2</v>
      </c>
      <c r="V113" s="749" t="s">
        <v>219</v>
      </c>
      <c r="W113" s="1172"/>
      <c r="X113" s="1172"/>
      <c r="Y113" s="1172"/>
      <c r="Z113" s="1172"/>
    </row>
    <row r="114" spans="1:26" ht="75">
      <c r="A114" s="736"/>
      <c r="B114" s="1170" t="s">
        <v>220</v>
      </c>
      <c r="C114" s="1170" t="s">
        <v>221</v>
      </c>
      <c r="D114" s="795">
        <v>107</v>
      </c>
      <c r="E114" s="795" t="s">
        <v>222</v>
      </c>
      <c r="F114" s="1182"/>
      <c r="G114" s="1182"/>
      <c r="H114" s="1182"/>
      <c r="I114" s="818"/>
      <c r="J114" s="1182"/>
      <c r="K114" s="818"/>
      <c r="L114" s="1182"/>
      <c r="M114" s="1182"/>
      <c r="N114" s="818"/>
      <c r="O114" s="1182"/>
      <c r="P114" s="673">
        <v>2.5</v>
      </c>
      <c r="Q114" s="672"/>
      <c r="R114" s="673">
        <v>1</v>
      </c>
      <c r="S114" s="1182"/>
      <c r="T114" s="818">
        <v>3.5</v>
      </c>
      <c r="U114" s="818">
        <v>3.5</v>
      </c>
      <c r="V114" s="749" t="s">
        <v>223</v>
      </c>
      <c r="W114" s="1172"/>
      <c r="X114" s="1172"/>
      <c r="Y114" s="1172"/>
      <c r="Z114" s="1172"/>
    </row>
    <row r="115" spans="1:26" ht="57.75" customHeight="1">
      <c r="A115" s="736"/>
      <c r="B115" s="736"/>
      <c r="C115" s="736"/>
      <c r="D115" s="795">
        <v>108</v>
      </c>
      <c r="E115" s="795" t="s">
        <v>224</v>
      </c>
      <c r="F115" s="1182"/>
      <c r="G115" s="1182"/>
      <c r="H115" s="1182"/>
      <c r="I115" s="818"/>
      <c r="J115" s="1182"/>
      <c r="K115" s="818"/>
      <c r="L115" s="1182"/>
      <c r="M115" s="1182"/>
      <c r="N115" s="1182"/>
      <c r="O115" s="1182"/>
      <c r="P115" s="1183">
        <v>5.75</v>
      </c>
      <c r="Q115" s="1182"/>
      <c r="R115" s="1182"/>
      <c r="S115" s="1182"/>
      <c r="T115" s="818">
        <v>5.75</v>
      </c>
      <c r="U115" s="818">
        <v>5.75</v>
      </c>
      <c r="V115" s="749" t="s">
        <v>225</v>
      </c>
      <c r="W115" s="1172"/>
      <c r="X115" s="1172"/>
      <c r="Y115" s="1172"/>
      <c r="Z115" s="1172"/>
    </row>
    <row r="116" spans="1:26" ht="39.75" customHeight="1">
      <c r="A116" s="736"/>
      <c r="B116" s="736"/>
      <c r="C116" s="736"/>
      <c r="D116" s="795">
        <v>109</v>
      </c>
      <c r="E116" s="795" t="s">
        <v>226</v>
      </c>
      <c r="F116" s="1182"/>
      <c r="G116" s="1182"/>
      <c r="H116" s="1183"/>
      <c r="I116" s="818"/>
      <c r="J116" s="1182"/>
      <c r="K116" s="818"/>
      <c r="L116" s="1182"/>
      <c r="M116" s="1182"/>
      <c r="N116" s="1182"/>
      <c r="O116" s="1182"/>
      <c r="P116" s="1182"/>
      <c r="Q116" s="1182"/>
      <c r="R116" s="1182"/>
      <c r="S116" s="1182"/>
      <c r="T116" s="818">
        <v>0</v>
      </c>
      <c r="U116" s="818">
        <v>0</v>
      </c>
      <c r="V116" s="744"/>
      <c r="W116" s="1172"/>
      <c r="X116" s="1172"/>
      <c r="Y116" s="1172"/>
      <c r="Z116" s="1172"/>
    </row>
    <row r="117" spans="1:26" ht="150">
      <c r="A117" s="736"/>
      <c r="B117" s="736"/>
      <c r="C117" s="736"/>
      <c r="D117" s="795">
        <v>110</v>
      </c>
      <c r="E117" s="795" t="s">
        <v>227</v>
      </c>
      <c r="F117" s="1182"/>
      <c r="G117" s="1182"/>
      <c r="H117" s="1182"/>
      <c r="I117" s="818"/>
      <c r="J117" s="1182"/>
      <c r="K117" s="818"/>
      <c r="L117" s="1182"/>
      <c r="M117" s="1183"/>
      <c r="N117" s="818">
        <v>3</v>
      </c>
      <c r="O117" s="1183">
        <v>51.25</v>
      </c>
      <c r="P117" s="818"/>
      <c r="Q117" s="1183">
        <v>5.88</v>
      </c>
      <c r="R117" s="1183">
        <v>3</v>
      </c>
      <c r="S117" s="1182"/>
      <c r="T117" s="646">
        <f>SUM(F117:S117)</f>
        <v>63.13</v>
      </c>
      <c r="U117" s="818">
        <f>T117</f>
        <v>63.13</v>
      </c>
      <c r="V117" s="744" t="s">
        <v>724</v>
      </c>
      <c r="W117" s="1172"/>
      <c r="X117" s="1172"/>
      <c r="Y117" s="1172"/>
      <c r="Z117" s="1172"/>
    </row>
    <row r="118" spans="1:26" ht="39.75" customHeight="1">
      <c r="A118" s="736"/>
      <c r="B118" s="736"/>
      <c r="C118" s="736"/>
      <c r="D118" s="795">
        <v>111</v>
      </c>
      <c r="E118" s="795" t="s">
        <v>53</v>
      </c>
      <c r="F118" s="1182"/>
      <c r="G118" s="1182"/>
      <c r="H118" s="1182"/>
      <c r="I118" s="1183"/>
      <c r="J118" s="1182"/>
      <c r="K118" s="1183"/>
      <c r="L118" s="1182"/>
      <c r="M118" s="1182"/>
      <c r="N118" s="1182"/>
      <c r="O118" s="1182"/>
      <c r="P118" s="1183"/>
      <c r="Q118" s="818"/>
      <c r="R118" s="1182"/>
      <c r="S118" s="1183"/>
      <c r="T118" s="818">
        <v>0</v>
      </c>
      <c r="U118" s="818">
        <v>0</v>
      </c>
      <c r="V118" s="749"/>
      <c r="W118" s="1172"/>
      <c r="X118" s="1172"/>
      <c r="Y118" s="1172"/>
      <c r="Z118" s="1172"/>
    </row>
    <row r="119" spans="1:26" ht="39.75" customHeight="1">
      <c r="A119" s="736"/>
      <c r="B119" s="1170" t="s">
        <v>229</v>
      </c>
      <c r="C119" s="1170" t="s">
        <v>230</v>
      </c>
      <c r="D119" s="795">
        <v>112</v>
      </c>
      <c r="E119" s="795" t="s">
        <v>231</v>
      </c>
      <c r="F119" s="1182"/>
      <c r="G119" s="1182"/>
      <c r="H119" s="1182"/>
      <c r="I119" s="818"/>
      <c r="J119" s="1182"/>
      <c r="K119" s="818"/>
      <c r="L119" s="1182"/>
      <c r="M119" s="1182"/>
      <c r="N119" s="1182"/>
      <c r="O119" s="1182"/>
      <c r="P119" s="1182"/>
      <c r="Q119" s="818"/>
      <c r="R119" s="1182"/>
      <c r="S119" s="1182"/>
      <c r="T119" s="818">
        <v>0</v>
      </c>
      <c r="U119" s="818">
        <v>0</v>
      </c>
      <c r="V119" s="744"/>
      <c r="W119" s="1172"/>
      <c r="X119" s="1172"/>
      <c r="Y119" s="1172"/>
      <c r="Z119" s="1172"/>
    </row>
    <row r="120" spans="1:26" ht="39.75" customHeight="1">
      <c r="A120" s="736"/>
      <c r="B120" s="736"/>
      <c r="C120" s="736"/>
      <c r="D120" s="795">
        <v>113</v>
      </c>
      <c r="E120" s="795" t="s">
        <v>232</v>
      </c>
      <c r="F120" s="672"/>
      <c r="G120" s="672"/>
      <c r="H120" s="672"/>
      <c r="I120" s="666"/>
      <c r="J120" s="672"/>
      <c r="K120" s="666"/>
      <c r="L120" s="672"/>
      <c r="M120" s="666"/>
      <c r="N120" s="666">
        <v>0.5</v>
      </c>
      <c r="O120" s="672"/>
      <c r="P120" s="672"/>
      <c r="Q120" s="666">
        <v>0.3</v>
      </c>
      <c r="R120" s="672"/>
      <c r="S120" s="672"/>
      <c r="T120" s="818">
        <v>0.8</v>
      </c>
      <c r="U120" s="818">
        <v>0.8</v>
      </c>
      <c r="V120" s="749" t="s">
        <v>676</v>
      </c>
      <c r="W120" s="1172"/>
      <c r="X120" s="1172"/>
      <c r="Y120" s="1172"/>
      <c r="Z120" s="1172"/>
    </row>
    <row r="121" spans="1:26" ht="125.25" customHeight="1">
      <c r="A121" s="736"/>
      <c r="B121" s="795" t="s">
        <v>234</v>
      </c>
      <c r="C121" s="795" t="s">
        <v>235</v>
      </c>
      <c r="D121" s="795">
        <v>114</v>
      </c>
      <c r="E121" s="795" t="s">
        <v>236</v>
      </c>
      <c r="F121" s="1182"/>
      <c r="G121" s="1182"/>
      <c r="H121" s="1183"/>
      <c r="I121" s="1182">
        <v>0.28000000000000003</v>
      </c>
      <c r="J121" s="1182"/>
      <c r="K121" s="1182"/>
      <c r="L121" s="1182"/>
      <c r="M121" s="1182"/>
      <c r="N121" s="1183">
        <v>0.5</v>
      </c>
      <c r="O121" s="1182"/>
      <c r="P121" s="1183">
        <v>2.9</v>
      </c>
      <c r="Q121" s="818">
        <v>0.5</v>
      </c>
      <c r="R121" s="1183">
        <v>0.5</v>
      </c>
      <c r="S121" s="1183">
        <v>0</v>
      </c>
      <c r="T121" s="818">
        <v>4.68</v>
      </c>
      <c r="U121" s="818">
        <v>16.68</v>
      </c>
      <c r="V121" s="749" t="s">
        <v>725</v>
      </c>
      <c r="W121" s="1172"/>
      <c r="X121" s="1172"/>
      <c r="Y121" s="1172"/>
      <c r="Z121" s="1172"/>
    </row>
    <row r="122" spans="1:26" ht="39.75" customHeight="1">
      <c r="A122" s="736"/>
      <c r="B122" s="1170" t="s">
        <v>238</v>
      </c>
      <c r="C122" s="1170" t="s">
        <v>239</v>
      </c>
      <c r="D122" s="795">
        <v>115</v>
      </c>
      <c r="E122" s="795" t="s">
        <v>240</v>
      </c>
      <c r="F122" s="1182"/>
      <c r="G122" s="1182"/>
      <c r="H122" s="1182"/>
      <c r="I122" s="1182"/>
      <c r="J122" s="1182"/>
      <c r="K122" s="1182"/>
      <c r="L122" s="1182"/>
      <c r="M122" s="818">
        <v>3</v>
      </c>
      <c r="N122" s="1182"/>
      <c r="O122" s="1182"/>
      <c r="P122" s="1182"/>
      <c r="Q122" s="1182">
        <v>7.25</v>
      </c>
      <c r="R122" s="1182"/>
      <c r="S122" s="1182"/>
      <c r="T122" s="818">
        <v>10.25</v>
      </c>
      <c r="U122" s="818">
        <v>10.25</v>
      </c>
      <c r="V122" s="749" t="s">
        <v>726</v>
      </c>
      <c r="W122" s="1172"/>
      <c r="X122" s="1172"/>
      <c r="Y122" s="1172"/>
      <c r="Z122" s="1172"/>
    </row>
    <row r="123" spans="1:26" ht="30">
      <c r="A123" s="736"/>
      <c r="B123" s="736"/>
      <c r="C123" s="736"/>
      <c r="D123" s="795">
        <v>116</v>
      </c>
      <c r="E123" s="795" t="s">
        <v>242</v>
      </c>
      <c r="F123" s="1182"/>
      <c r="G123" s="1182"/>
      <c r="H123" s="1182"/>
      <c r="I123" s="1182"/>
      <c r="J123" s="1182"/>
      <c r="K123" s="1182"/>
      <c r="L123" s="1182"/>
      <c r="M123" s="818">
        <v>13.55</v>
      </c>
      <c r="N123" s="1182"/>
      <c r="O123" s="1182"/>
      <c r="P123" s="1182"/>
      <c r="Q123" s="818"/>
      <c r="R123" s="1182"/>
      <c r="S123" s="1182"/>
      <c r="T123" s="818">
        <v>13.55</v>
      </c>
      <c r="U123" s="818">
        <v>13.55</v>
      </c>
      <c r="V123" s="749" t="s">
        <v>243</v>
      </c>
      <c r="W123" s="1172"/>
      <c r="X123" s="1172"/>
      <c r="Y123" s="1172"/>
      <c r="Z123" s="1172"/>
    </row>
    <row r="124" spans="1:26" ht="39.75" customHeight="1">
      <c r="A124" s="736"/>
      <c r="B124" s="736"/>
      <c r="C124" s="736"/>
      <c r="D124" s="795">
        <v>117</v>
      </c>
      <c r="E124" s="795" t="s">
        <v>244</v>
      </c>
      <c r="F124" s="1182"/>
      <c r="G124" s="1182"/>
      <c r="H124" s="1182"/>
      <c r="I124" s="1182"/>
      <c r="J124" s="1182"/>
      <c r="K124" s="1182"/>
      <c r="L124" s="1182"/>
      <c r="M124" s="1182"/>
      <c r="N124" s="1182"/>
      <c r="O124" s="1182"/>
      <c r="P124" s="1182"/>
      <c r="Q124" s="1182"/>
      <c r="R124" s="1182"/>
      <c r="S124" s="1182"/>
      <c r="T124" s="818">
        <v>0</v>
      </c>
      <c r="U124" s="818">
        <v>0</v>
      </c>
      <c r="V124" s="744"/>
      <c r="W124" s="1172"/>
      <c r="X124" s="1172"/>
      <c r="Y124" s="1172"/>
      <c r="Z124" s="1172"/>
    </row>
    <row r="125" spans="1:26" ht="39.75" customHeight="1">
      <c r="A125" s="736"/>
      <c r="B125" s="736"/>
      <c r="C125" s="736"/>
      <c r="D125" s="795">
        <v>118</v>
      </c>
      <c r="E125" s="795" t="s">
        <v>53</v>
      </c>
      <c r="F125" s="1182"/>
      <c r="G125" s="1182"/>
      <c r="H125" s="1182"/>
      <c r="I125" s="1182"/>
      <c r="J125" s="1182"/>
      <c r="K125" s="1182"/>
      <c r="L125" s="1182"/>
      <c r="M125" s="1182"/>
      <c r="N125" s="1182"/>
      <c r="O125" s="1182"/>
      <c r="P125" s="1182"/>
      <c r="Q125" s="818"/>
      <c r="R125" s="1182"/>
      <c r="S125" s="1182"/>
      <c r="T125" s="818">
        <v>0</v>
      </c>
      <c r="U125" s="818">
        <v>0</v>
      </c>
      <c r="V125" s="744"/>
      <c r="W125" s="1172"/>
      <c r="X125" s="1172"/>
      <c r="Y125" s="1172"/>
      <c r="Z125" s="1172"/>
    </row>
    <row r="126" spans="1:26" ht="60" customHeight="1">
      <c r="A126" s="736"/>
      <c r="B126" s="795" t="s">
        <v>245</v>
      </c>
      <c r="C126" s="795" t="s">
        <v>246</v>
      </c>
      <c r="D126" s="795">
        <v>119</v>
      </c>
      <c r="E126" s="795" t="s">
        <v>247</v>
      </c>
      <c r="F126" s="672"/>
      <c r="G126" s="672"/>
      <c r="H126" s="673"/>
      <c r="I126" s="666"/>
      <c r="J126" s="672"/>
      <c r="K126" s="672"/>
      <c r="L126" s="672"/>
      <c r="M126" s="672"/>
      <c r="N126" s="666">
        <v>2</v>
      </c>
      <c r="O126" s="672"/>
      <c r="P126" s="673">
        <v>8</v>
      </c>
      <c r="Q126" s="666"/>
      <c r="R126" s="672"/>
      <c r="S126" s="672">
        <v>0</v>
      </c>
      <c r="T126" s="818">
        <v>10</v>
      </c>
      <c r="U126" s="818">
        <v>10</v>
      </c>
      <c r="V126" s="749" t="s">
        <v>248</v>
      </c>
      <c r="W126" s="1172"/>
      <c r="X126" s="1172"/>
      <c r="Y126" s="1172"/>
      <c r="Z126" s="1172"/>
    </row>
    <row r="127" spans="1:26" ht="39.75" customHeight="1">
      <c r="A127" s="736"/>
      <c r="B127" s="795" t="s">
        <v>249</v>
      </c>
      <c r="C127" s="795" t="s">
        <v>250</v>
      </c>
      <c r="D127" s="795">
        <v>120</v>
      </c>
      <c r="E127" s="795" t="s">
        <v>251</v>
      </c>
      <c r="F127" s="1182"/>
      <c r="G127" s="1182"/>
      <c r="H127" s="1182"/>
      <c r="I127" s="1182"/>
      <c r="J127" s="1182"/>
      <c r="K127" s="1183"/>
      <c r="L127" s="1182"/>
      <c r="M127" s="1183"/>
      <c r="N127" s="818"/>
      <c r="O127" s="1182"/>
      <c r="P127" s="1183"/>
      <c r="Q127" s="818"/>
      <c r="R127" s="1183"/>
      <c r="S127" s="1182"/>
      <c r="T127" s="818">
        <v>0</v>
      </c>
      <c r="U127" s="818">
        <v>0</v>
      </c>
      <c r="V127" s="744"/>
      <c r="W127" s="1172"/>
      <c r="X127" s="1172"/>
      <c r="Y127" s="1172"/>
      <c r="Z127" s="1172"/>
    </row>
    <row r="128" spans="1:26" ht="75">
      <c r="A128" s="736"/>
      <c r="B128" s="1170" t="s">
        <v>252</v>
      </c>
      <c r="C128" s="1170" t="s">
        <v>253</v>
      </c>
      <c r="D128" s="795">
        <v>121</v>
      </c>
      <c r="E128" s="795" t="s">
        <v>254</v>
      </c>
      <c r="F128" s="664">
        <v>0</v>
      </c>
      <c r="G128" s="664">
        <v>0</v>
      </c>
      <c r="H128" s="664">
        <v>0</v>
      </c>
      <c r="I128" s="669">
        <v>0</v>
      </c>
      <c r="J128" s="664">
        <v>0</v>
      </c>
      <c r="K128" s="664">
        <v>0</v>
      </c>
      <c r="L128" s="664">
        <v>0</v>
      </c>
      <c r="M128" s="664">
        <v>0</v>
      </c>
      <c r="N128" s="664">
        <v>0.96</v>
      </c>
      <c r="O128" s="664">
        <v>0</v>
      </c>
      <c r="P128" s="664">
        <v>0</v>
      </c>
      <c r="Q128" s="664">
        <v>0</v>
      </c>
      <c r="R128" s="664">
        <v>0</v>
      </c>
      <c r="S128" s="664">
        <v>0</v>
      </c>
      <c r="T128" s="797">
        <f t="shared" ref="T128:T130" si="8">SUM(F128:S128)</f>
        <v>0.96</v>
      </c>
      <c r="U128" s="669">
        <v>1.6225000000000001</v>
      </c>
      <c r="V128" s="749" t="s">
        <v>433</v>
      </c>
      <c r="W128" s="1172"/>
      <c r="X128" s="1172"/>
      <c r="Y128" s="1172"/>
      <c r="Z128" s="1172"/>
    </row>
    <row r="129" spans="1:26" ht="75.75" customHeight="1">
      <c r="A129" s="736"/>
      <c r="B129" s="736"/>
      <c r="C129" s="736"/>
      <c r="D129" s="795">
        <v>122</v>
      </c>
      <c r="E129" s="795" t="s">
        <v>256</v>
      </c>
      <c r="F129" s="664">
        <v>0</v>
      </c>
      <c r="G129" s="664">
        <v>0</v>
      </c>
      <c r="H129" s="664">
        <v>0</v>
      </c>
      <c r="I129" s="664">
        <v>0</v>
      </c>
      <c r="J129" s="664">
        <v>0</v>
      </c>
      <c r="K129" s="664">
        <v>0</v>
      </c>
      <c r="L129" s="664">
        <v>0</v>
      </c>
      <c r="M129" s="664">
        <v>0</v>
      </c>
      <c r="N129" s="664">
        <v>0</v>
      </c>
      <c r="O129" s="664">
        <v>0</v>
      </c>
      <c r="P129" s="664">
        <v>0</v>
      </c>
      <c r="Q129" s="664">
        <v>0</v>
      </c>
      <c r="R129" s="664">
        <v>0</v>
      </c>
      <c r="S129" s="664">
        <v>0</v>
      </c>
      <c r="T129" s="797">
        <f t="shared" si="8"/>
        <v>0</v>
      </c>
      <c r="U129" s="669">
        <v>0</v>
      </c>
      <c r="V129" s="482"/>
      <c r="W129" s="1172"/>
      <c r="X129" s="1172"/>
      <c r="Y129" s="1172"/>
      <c r="Z129" s="1172"/>
    </row>
    <row r="130" spans="1:26" ht="90">
      <c r="A130" s="736"/>
      <c r="B130" s="736"/>
      <c r="C130" s="736"/>
      <c r="D130" s="795">
        <v>123</v>
      </c>
      <c r="E130" s="795" t="s">
        <v>257</v>
      </c>
      <c r="F130" s="664">
        <v>0</v>
      </c>
      <c r="G130" s="664">
        <v>0</v>
      </c>
      <c r="H130" s="664">
        <v>0</v>
      </c>
      <c r="I130" s="664">
        <v>0</v>
      </c>
      <c r="J130" s="664">
        <v>0</v>
      </c>
      <c r="K130" s="664">
        <v>0</v>
      </c>
      <c r="L130" s="664">
        <v>0</v>
      </c>
      <c r="M130" s="664">
        <v>0</v>
      </c>
      <c r="N130" s="664">
        <v>0</v>
      </c>
      <c r="O130" s="664">
        <v>0</v>
      </c>
      <c r="P130" s="677">
        <v>0</v>
      </c>
      <c r="Q130" s="669">
        <v>1.5</v>
      </c>
      <c r="R130" s="664">
        <v>0</v>
      </c>
      <c r="S130" s="664">
        <v>0</v>
      </c>
      <c r="T130" s="797">
        <f t="shared" si="8"/>
        <v>1.5</v>
      </c>
      <c r="U130" s="669">
        <v>1.5</v>
      </c>
      <c r="V130" s="749" t="s">
        <v>258</v>
      </c>
      <c r="W130" s="1172"/>
      <c r="X130" s="1172"/>
      <c r="Y130" s="1172"/>
      <c r="Z130" s="1172"/>
    </row>
    <row r="131" spans="1:26" ht="66.75" customHeight="1">
      <c r="A131" s="736"/>
      <c r="B131" s="1170" t="s">
        <v>259</v>
      </c>
      <c r="C131" s="1170" t="s">
        <v>260</v>
      </c>
      <c r="D131" s="795">
        <v>124</v>
      </c>
      <c r="E131" s="795" t="s">
        <v>261</v>
      </c>
      <c r="F131" s="664"/>
      <c r="G131" s="664"/>
      <c r="H131" s="677"/>
      <c r="I131" s="664"/>
      <c r="J131" s="664"/>
      <c r="K131" s="664"/>
      <c r="L131" s="664"/>
      <c r="M131" s="664"/>
      <c r="N131" s="664">
        <v>1</v>
      </c>
      <c r="O131" s="664"/>
      <c r="P131" s="664"/>
      <c r="Q131" s="677">
        <v>0.5</v>
      </c>
      <c r="R131" s="664"/>
      <c r="S131" s="664"/>
      <c r="T131" s="651">
        <v>1.5</v>
      </c>
      <c r="U131" s="647">
        <v>1.5</v>
      </c>
      <c r="V131" s="781" t="s">
        <v>628</v>
      </c>
      <c r="W131" s="1172"/>
      <c r="X131" s="1172"/>
      <c r="Y131" s="1172"/>
      <c r="Z131" s="1172"/>
    </row>
    <row r="132" spans="1:26" ht="39.75" customHeight="1">
      <c r="A132" s="736"/>
      <c r="B132" s="736"/>
      <c r="C132" s="736"/>
      <c r="D132" s="795">
        <v>125</v>
      </c>
      <c r="E132" s="795" t="s">
        <v>263</v>
      </c>
      <c r="F132" s="664"/>
      <c r="G132" s="664"/>
      <c r="H132" s="677"/>
      <c r="I132" s="664"/>
      <c r="J132" s="664"/>
      <c r="K132" s="664"/>
      <c r="L132" s="664"/>
      <c r="M132" s="664"/>
      <c r="N132" s="664">
        <v>1</v>
      </c>
      <c r="O132" s="664"/>
      <c r="P132" s="664"/>
      <c r="Q132" s="677">
        <v>0.5</v>
      </c>
      <c r="R132" s="664"/>
      <c r="S132" s="664"/>
      <c r="T132" s="651">
        <v>1.5</v>
      </c>
      <c r="U132" s="651">
        <v>1.5</v>
      </c>
      <c r="V132" s="781" t="s">
        <v>628</v>
      </c>
      <c r="W132" s="1172"/>
      <c r="X132" s="1172"/>
      <c r="Y132" s="1172"/>
      <c r="Z132" s="1172"/>
    </row>
    <row r="133" spans="1:26" ht="39.75" customHeight="1">
      <c r="A133" s="736"/>
      <c r="B133" s="795" t="s">
        <v>264</v>
      </c>
      <c r="C133" s="795" t="s">
        <v>265</v>
      </c>
      <c r="D133" s="795">
        <v>126</v>
      </c>
      <c r="E133" s="795" t="s">
        <v>181</v>
      </c>
      <c r="F133" s="795"/>
      <c r="G133" s="795"/>
      <c r="H133" s="795"/>
      <c r="I133" s="795"/>
      <c r="J133" s="795"/>
      <c r="K133" s="795"/>
      <c r="L133" s="795"/>
      <c r="M133" s="795"/>
      <c r="N133" s="795"/>
      <c r="O133" s="795"/>
      <c r="P133" s="795"/>
      <c r="Q133" s="795"/>
      <c r="R133" s="795"/>
      <c r="S133" s="795"/>
      <c r="T133" s="797">
        <f t="shared" ref="T133:T205" si="9">SUM(F133:S133)</f>
        <v>0</v>
      </c>
      <c r="U133" s="797">
        <v>0</v>
      </c>
      <c r="V133" s="788"/>
      <c r="W133" s="1172"/>
      <c r="X133" s="1172"/>
      <c r="Y133" s="1172"/>
      <c r="Z133" s="1172"/>
    </row>
    <row r="134" spans="1:26" ht="39.75" customHeight="1">
      <c r="A134" s="736"/>
      <c r="B134" s="701" t="s">
        <v>266</v>
      </c>
      <c r="C134" s="736"/>
      <c r="D134" s="736"/>
      <c r="E134" s="660"/>
      <c r="F134" s="660">
        <f t="shared" ref="F134:S134" si="10">SUM(F94:F133)</f>
        <v>0</v>
      </c>
      <c r="G134" s="660">
        <f t="shared" si="10"/>
        <v>0</v>
      </c>
      <c r="H134" s="660">
        <f t="shared" si="10"/>
        <v>0</v>
      </c>
      <c r="I134" s="660">
        <f t="shared" si="10"/>
        <v>8.2799999999999994</v>
      </c>
      <c r="J134" s="660">
        <f t="shared" si="10"/>
        <v>0</v>
      </c>
      <c r="K134" s="668">
        <f t="shared" si="10"/>
        <v>9</v>
      </c>
      <c r="L134" s="660">
        <f t="shared" si="10"/>
        <v>0</v>
      </c>
      <c r="M134" s="660">
        <f t="shared" si="10"/>
        <v>16.55</v>
      </c>
      <c r="N134" s="660">
        <f t="shared" si="10"/>
        <v>14.71</v>
      </c>
      <c r="O134" s="660">
        <f t="shared" si="10"/>
        <v>54.65</v>
      </c>
      <c r="P134" s="660">
        <f t="shared" si="10"/>
        <v>110.38</v>
      </c>
      <c r="Q134" s="660">
        <f t="shared" si="10"/>
        <v>22.43</v>
      </c>
      <c r="R134" s="660">
        <f t="shared" si="10"/>
        <v>25</v>
      </c>
      <c r="S134" s="660">
        <f t="shared" si="10"/>
        <v>0</v>
      </c>
      <c r="T134" s="668">
        <f t="shared" si="9"/>
        <v>261</v>
      </c>
      <c r="U134" s="668">
        <f>SUM(U94:U133)</f>
        <v>258.66250000000002</v>
      </c>
      <c r="V134" s="788"/>
      <c r="W134" s="1172"/>
      <c r="X134" s="1172"/>
      <c r="Y134" s="1172"/>
      <c r="Z134" s="1172"/>
    </row>
    <row r="135" spans="1:26" ht="39.75" customHeight="1">
      <c r="A135" s="1173" t="s">
        <v>267</v>
      </c>
      <c r="B135" s="1170" t="s">
        <v>268</v>
      </c>
      <c r="C135" s="1170" t="s">
        <v>269</v>
      </c>
      <c r="D135" s="795">
        <v>127</v>
      </c>
      <c r="E135" s="795" t="s">
        <v>270</v>
      </c>
      <c r="F135" s="795"/>
      <c r="G135" s="795"/>
      <c r="H135" s="795"/>
      <c r="I135" s="795"/>
      <c r="J135" s="795"/>
      <c r="K135" s="795"/>
      <c r="L135" s="795"/>
      <c r="M135" s="795"/>
      <c r="N135" s="795"/>
      <c r="O135" s="795"/>
      <c r="P135" s="795"/>
      <c r="Q135" s="795"/>
      <c r="R135" s="795"/>
      <c r="S135" s="795"/>
      <c r="T135" s="797">
        <f t="shared" si="9"/>
        <v>0</v>
      </c>
      <c r="U135" s="797">
        <v>0</v>
      </c>
      <c r="V135" s="1184"/>
      <c r="W135" s="1172"/>
      <c r="X135" s="1172"/>
      <c r="Y135" s="1172"/>
      <c r="Z135" s="1172"/>
    </row>
    <row r="136" spans="1:26" ht="39.75" customHeight="1">
      <c r="A136" s="736"/>
      <c r="B136" s="736"/>
      <c r="C136" s="736"/>
      <c r="D136" s="795">
        <v>128</v>
      </c>
      <c r="E136" s="795" t="s">
        <v>271</v>
      </c>
      <c r="F136" s="795"/>
      <c r="G136" s="795"/>
      <c r="H136" s="795"/>
      <c r="I136" s="795"/>
      <c r="J136" s="795"/>
      <c r="K136" s="797"/>
      <c r="L136" s="795"/>
      <c r="M136" s="795"/>
      <c r="N136" s="797"/>
      <c r="O136" s="795"/>
      <c r="P136" s="646"/>
      <c r="Q136" s="686">
        <f>(0.75*15)</f>
        <v>11.25</v>
      </c>
      <c r="R136" s="682"/>
      <c r="S136" s="682"/>
      <c r="T136" s="797">
        <f t="shared" si="9"/>
        <v>11.25</v>
      </c>
      <c r="U136" s="686">
        <f>T136</f>
        <v>11.25</v>
      </c>
      <c r="V136" s="779" t="s">
        <v>272</v>
      </c>
      <c r="W136" s="1172"/>
      <c r="X136" s="1172"/>
      <c r="Y136" s="1172"/>
      <c r="Z136" s="1172"/>
    </row>
    <row r="137" spans="1:26" ht="39.75" customHeight="1">
      <c r="A137" s="736"/>
      <c r="B137" s="795"/>
      <c r="C137" s="795"/>
      <c r="D137" s="795">
        <v>129</v>
      </c>
      <c r="E137" s="795" t="s">
        <v>273</v>
      </c>
      <c r="F137" s="795"/>
      <c r="G137" s="795"/>
      <c r="H137" s="795"/>
      <c r="I137" s="795"/>
      <c r="J137" s="795"/>
      <c r="K137" s="795"/>
      <c r="L137" s="795"/>
      <c r="M137" s="795"/>
      <c r="N137" s="795"/>
      <c r="O137" s="795"/>
      <c r="P137" s="795"/>
      <c r="Q137" s="795"/>
      <c r="R137" s="795"/>
      <c r="S137" s="795"/>
      <c r="T137" s="797">
        <f t="shared" si="9"/>
        <v>0</v>
      </c>
      <c r="U137" s="797">
        <v>0</v>
      </c>
      <c r="V137" s="1184"/>
      <c r="W137" s="1172"/>
      <c r="X137" s="1172"/>
      <c r="Y137" s="1172"/>
      <c r="Z137" s="1172"/>
    </row>
    <row r="138" spans="1:26" ht="39.75" customHeight="1">
      <c r="A138" s="736"/>
      <c r="B138" s="1170" t="s">
        <v>274</v>
      </c>
      <c r="C138" s="1170" t="s">
        <v>275</v>
      </c>
      <c r="D138" s="795">
        <v>130</v>
      </c>
      <c r="E138" s="795" t="s">
        <v>276</v>
      </c>
      <c r="F138" s="795"/>
      <c r="G138" s="795"/>
      <c r="H138" s="795"/>
      <c r="I138" s="795"/>
      <c r="J138" s="795"/>
      <c r="K138" s="795"/>
      <c r="L138" s="795"/>
      <c r="M138" s="795"/>
      <c r="N138" s="795"/>
      <c r="O138" s="795"/>
      <c r="P138" s="795"/>
      <c r="Q138" s="795"/>
      <c r="R138" s="795"/>
      <c r="S138" s="795"/>
      <c r="T138" s="797">
        <f t="shared" si="9"/>
        <v>0</v>
      </c>
      <c r="U138" s="797">
        <v>0</v>
      </c>
      <c r="V138" s="1184"/>
      <c r="W138" s="1172"/>
      <c r="X138" s="1172"/>
      <c r="Y138" s="1172"/>
      <c r="Z138" s="1172"/>
    </row>
    <row r="139" spans="1:26" ht="39.75" customHeight="1">
      <c r="A139" s="736"/>
      <c r="B139" s="736"/>
      <c r="C139" s="736"/>
      <c r="D139" s="795">
        <v>131</v>
      </c>
      <c r="E139" s="795" t="s">
        <v>277</v>
      </c>
      <c r="F139" s="795"/>
      <c r="G139" s="795"/>
      <c r="H139" s="795"/>
      <c r="I139" s="795"/>
      <c r="J139" s="795"/>
      <c r="K139" s="795"/>
      <c r="L139" s="795"/>
      <c r="M139" s="795"/>
      <c r="N139" s="797">
        <v>1.74</v>
      </c>
      <c r="O139" s="795"/>
      <c r="P139" s="795"/>
      <c r="Q139" s="795"/>
      <c r="R139" s="795"/>
      <c r="S139" s="795"/>
      <c r="T139" s="797">
        <f t="shared" si="9"/>
        <v>1.74</v>
      </c>
      <c r="U139" s="797">
        <v>1.86</v>
      </c>
      <c r="V139" s="801" t="s">
        <v>629</v>
      </c>
      <c r="W139" s="1172"/>
      <c r="X139" s="1172"/>
      <c r="Y139" s="1172"/>
      <c r="Z139" s="1172"/>
    </row>
    <row r="140" spans="1:26" ht="39.75" customHeight="1">
      <c r="A140" s="736"/>
      <c r="B140" s="736"/>
      <c r="C140" s="736"/>
      <c r="D140" s="795">
        <v>132</v>
      </c>
      <c r="E140" s="795" t="s">
        <v>279</v>
      </c>
      <c r="F140" s="795"/>
      <c r="G140" s="795"/>
      <c r="H140" s="795"/>
      <c r="I140" s="795"/>
      <c r="J140" s="795"/>
      <c r="K140" s="795"/>
      <c r="L140" s="795"/>
      <c r="M140" s="795"/>
      <c r="N140" s="795"/>
      <c r="O140" s="795"/>
      <c r="P140" s="795"/>
      <c r="Q140" s="795"/>
      <c r="R140" s="795"/>
      <c r="S140" s="795"/>
      <c r="T140" s="797">
        <f t="shared" si="9"/>
        <v>0</v>
      </c>
      <c r="U140" s="797">
        <v>0</v>
      </c>
      <c r="V140" s="1184"/>
      <c r="W140" s="1172"/>
      <c r="X140" s="1172"/>
      <c r="Y140" s="1172"/>
      <c r="Z140" s="1172"/>
    </row>
    <row r="141" spans="1:26" ht="39.75" customHeight="1">
      <c r="A141" s="736"/>
      <c r="B141" s="736"/>
      <c r="C141" s="736"/>
      <c r="D141" s="795">
        <v>133</v>
      </c>
      <c r="E141" s="795" t="s">
        <v>280</v>
      </c>
      <c r="F141" s="795"/>
      <c r="G141" s="795"/>
      <c r="H141" s="795"/>
      <c r="I141" s="795"/>
      <c r="J141" s="795"/>
      <c r="K141" s="795"/>
      <c r="L141" s="795"/>
      <c r="M141" s="795"/>
      <c r="N141" s="795"/>
      <c r="O141" s="795"/>
      <c r="P141" s="795"/>
      <c r="Q141" s="795"/>
      <c r="R141" s="795"/>
      <c r="S141" s="795"/>
      <c r="T141" s="797">
        <f t="shared" si="9"/>
        <v>0</v>
      </c>
      <c r="U141" s="797">
        <v>0</v>
      </c>
      <c r="V141" s="1184"/>
      <c r="W141" s="1172"/>
      <c r="X141" s="1172"/>
      <c r="Y141" s="1172"/>
      <c r="Z141" s="1172"/>
    </row>
    <row r="142" spans="1:26" ht="39.75" customHeight="1">
      <c r="A142" s="736"/>
      <c r="B142" s="736"/>
      <c r="C142" s="736"/>
      <c r="D142" s="795">
        <v>134</v>
      </c>
      <c r="E142" s="795" t="s">
        <v>281</v>
      </c>
      <c r="F142" s="795"/>
      <c r="G142" s="795"/>
      <c r="H142" s="795"/>
      <c r="I142" s="795"/>
      <c r="J142" s="795"/>
      <c r="K142" s="795"/>
      <c r="L142" s="795"/>
      <c r="M142" s="795"/>
      <c r="N142" s="795"/>
      <c r="O142" s="795"/>
      <c r="P142" s="782">
        <f>(75*0.005*12)+(75*0.0025*12)</f>
        <v>6.75</v>
      </c>
      <c r="Q142" s="795"/>
      <c r="R142" s="795"/>
      <c r="S142" s="795"/>
      <c r="T142" s="797">
        <f t="shared" si="9"/>
        <v>6.75</v>
      </c>
      <c r="U142" s="646">
        <f>T142</f>
        <v>6.75</v>
      </c>
      <c r="V142" s="1184" t="s">
        <v>727</v>
      </c>
      <c r="W142" s="1172"/>
      <c r="X142" s="1172"/>
      <c r="Y142" s="1172"/>
      <c r="Z142" s="1172"/>
    </row>
    <row r="143" spans="1:26" ht="39.75" customHeight="1">
      <c r="A143" s="736"/>
      <c r="B143" s="736"/>
      <c r="C143" s="736"/>
      <c r="D143" s="795">
        <v>135</v>
      </c>
      <c r="E143" s="795" t="s">
        <v>283</v>
      </c>
      <c r="F143" s="795"/>
      <c r="G143" s="795"/>
      <c r="H143" s="795"/>
      <c r="I143" s="795"/>
      <c r="J143" s="795"/>
      <c r="K143" s="795"/>
      <c r="L143" s="795"/>
      <c r="M143" s="795"/>
      <c r="N143" s="795"/>
      <c r="O143" s="795"/>
      <c r="P143" s="795"/>
      <c r="Q143" s="795"/>
      <c r="R143" s="795"/>
      <c r="S143" s="795"/>
      <c r="T143" s="797">
        <f t="shared" si="9"/>
        <v>0</v>
      </c>
      <c r="U143" s="797">
        <v>0</v>
      </c>
      <c r="V143" s="1184"/>
      <c r="W143" s="1172"/>
      <c r="X143" s="1172"/>
      <c r="Y143" s="1172"/>
      <c r="Z143" s="1172"/>
    </row>
    <row r="144" spans="1:26" ht="39.75" customHeight="1">
      <c r="A144" s="736"/>
      <c r="B144" s="736"/>
      <c r="C144" s="736"/>
      <c r="D144" s="795">
        <v>136</v>
      </c>
      <c r="E144" s="795" t="s">
        <v>284</v>
      </c>
      <c r="F144" s="795"/>
      <c r="G144" s="795"/>
      <c r="H144" s="795"/>
      <c r="I144" s="795"/>
      <c r="J144" s="795"/>
      <c r="K144" s="795"/>
      <c r="L144" s="795"/>
      <c r="M144" s="795"/>
      <c r="N144" s="795"/>
      <c r="O144" s="795"/>
      <c r="P144" s="797"/>
      <c r="Q144" s="795"/>
      <c r="R144" s="795"/>
      <c r="S144" s="795"/>
      <c r="T144" s="797">
        <f t="shared" si="9"/>
        <v>0</v>
      </c>
      <c r="U144" s="797">
        <v>0</v>
      </c>
      <c r="V144" s="1185"/>
      <c r="W144" s="1172"/>
      <c r="X144" s="1172"/>
      <c r="Y144" s="1172"/>
      <c r="Z144" s="1172"/>
    </row>
    <row r="145" spans="1:26" ht="39.75" customHeight="1">
      <c r="A145" s="736"/>
      <c r="B145" s="1170" t="s">
        <v>285</v>
      </c>
      <c r="C145" s="1170" t="s">
        <v>286</v>
      </c>
      <c r="D145" s="795">
        <v>137</v>
      </c>
      <c r="E145" s="795" t="s">
        <v>287</v>
      </c>
      <c r="F145" s="795"/>
      <c r="G145" s="795"/>
      <c r="H145" s="795"/>
      <c r="I145" s="795"/>
      <c r="J145" s="795"/>
      <c r="K145" s="795"/>
      <c r="L145" s="795"/>
      <c r="M145" s="797"/>
      <c r="N145" s="795"/>
      <c r="O145" s="795"/>
      <c r="P145" s="686"/>
      <c r="Q145" s="795"/>
      <c r="R145" s="795"/>
      <c r="S145" s="795"/>
      <c r="T145" s="797">
        <f t="shared" si="9"/>
        <v>0</v>
      </c>
      <c r="U145" s="646">
        <f t="shared" ref="U145:U146" si="11">T145</f>
        <v>0</v>
      </c>
      <c r="V145" s="1185"/>
      <c r="W145" s="1172"/>
      <c r="X145" s="1172"/>
      <c r="Y145" s="1172"/>
      <c r="Z145" s="1172"/>
    </row>
    <row r="146" spans="1:26" ht="39.75" customHeight="1">
      <c r="A146" s="736"/>
      <c r="B146" s="736"/>
      <c r="C146" s="736"/>
      <c r="D146" s="795">
        <v>138</v>
      </c>
      <c r="E146" s="795" t="s">
        <v>288</v>
      </c>
      <c r="F146" s="795"/>
      <c r="G146" s="795"/>
      <c r="H146" s="797"/>
      <c r="I146" s="797"/>
      <c r="J146" s="795"/>
      <c r="K146" s="797"/>
      <c r="L146" s="795"/>
      <c r="M146" s="797"/>
      <c r="N146" s="795"/>
      <c r="O146" s="795"/>
      <c r="P146" s="797"/>
      <c r="Q146" s="795"/>
      <c r="R146" s="795"/>
      <c r="S146" s="795"/>
      <c r="T146" s="797">
        <f t="shared" si="9"/>
        <v>0</v>
      </c>
      <c r="U146" s="646">
        <f t="shared" si="11"/>
        <v>0</v>
      </c>
      <c r="V146" s="1185"/>
      <c r="W146" s="1172"/>
      <c r="X146" s="1172"/>
      <c r="Y146" s="1172"/>
      <c r="Z146" s="1172"/>
    </row>
    <row r="147" spans="1:26" ht="45">
      <c r="A147" s="736"/>
      <c r="B147" s="1170" t="s">
        <v>289</v>
      </c>
      <c r="C147" s="1170" t="s">
        <v>290</v>
      </c>
      <c r="D147" s="795">
        <v>139</v>
      </c>
      <c r="E147" s="795" t="s">
        <v>291</v>
      </c>
      <c r="F147" s="795"/>
      <c r="G147" s="795"/>
      <c r="H147" s="795"/>
      <c r="I147" s="795"/>
      <c r="J147" s="795"/>
      <c r="K147" s="795"/>
      <c r="L147" s="795"/>
      <c r="M147" s="795"/>
      <c r="N147" s="797"/>
      <c r="O147" s="795"/>
      <c r="P147" s="797">
        <v>15</v>
      </c>
      <c r="Q147" s="795"/>
      <c r="R147" s="797">
        <v>1.2</v>
      </c>
      <c r="S147" s="795"/>
      <c r="T147" s="797">
        <f t="shared" si="9"/>
        <v>16.2</v>
      </c>
      <c r="U147" s="797">
        <v>16.2</v>
      </c>
      <c r="V147" s="1185" t="s">
        <v>728</v>
      </c>
      <c r="W147" s="1172"/>
      <c r="X147" s="1172"/>
      <c r="Y147" s="1172"/>
      <c r="Z147" s="1172"/>
    </row>
    <row r="148" spans="1:26" ht="39.75" customHeight="1">
      <c r="A148" s="736"/>
      <c r="B148" s="736"/>
      <c r="C148" s="736"/>
      <c r="D148" s="795">
        <v>140</v>
      </c>
      <c r="E148" s="795" t="s">
        <v>293</v>
      </c>
      <c r="F148" s="795"/>
      <c r="G148" s="795"/>
      <c r="H148" s="795"/>
      <c r="I148" s="795"/>
      <c r="J148" s="795"/>
      <c r="K148" s="795"/>
      <c r="L148" s="795"/>
      <c r="M148" s="795"/>
      <c r="N148" s="795"/>
      <c r="O148" s="795"/>
      <c r="P148" s="686">
        <f>15+( 15* 0.235)</f>
        <v>18.524999999999999</v>
      </c>
      <c r="Q148" s="682"/>
      <c r="R148" s="682"/>
      <c r="S148" s="682"/>
      <c r="T148" s="797">
        <f t="shared" si="9"/>
        <v>18.524999999999999</v>
      </c>
      <c r="U148" s="658">
        <f>T148</f>
        <v>18.524999999999999</v>
      </c>
      <c r="V148" s="779" t="s">
        <v>294</v>
      </c>
      <c r="W148" s="1172"/>
      <c r="X148" s="1172"/>
      <c r="Y148" s="1172"/>
      <c r="Z148" s="1172"/>
    </row>
    <row r="149" spans="1:26" ht="39.75" customHeight="1">
      <c r="A149" s="736"/>
      <c r="B149" s="736"/>
      <c r="C149" s="736"/>
      <c r="D149" s="795">
        <v>141</v>
      </c>
      <c r="E149" s="795" t="s">
        <v>295</v>
      </c>
      <c r="F149" s="795"/>
      <c r="G149" s="795"/>
      <c r="H149" s="795"/>
      <c r="I149" s="795"/>
      <c r="J149" s="795"/>
      <c r="K149" s="795"/>
      <c r="L149" s="795"/>
      <c r="M149" s="795"/>
      <c r="N149" s="795"/>
      <c r="O149" s="795"/>
      <c r="P149" s="795"/>
      <c r="Q149" s="795"/>
      <c r="R149" s="795"/>
      <c r="S149" s="795"/>
      <c r="T149" s="797">
        <f t="shared" si="9"/>
        <v>0</v>
      </c>
      <c r="U149" s="797">
        <v>0</v>
      </c>
      <c r="V149" s="1184"/>
      <c r="W149" s="1172"/>
      <c r="X149" s="1172"/>
      <c r="Y149" s="1172"/>
      <c r="Z149" s="1172"/>
    </row>
    <row r="150" spans="1:26" ht="39.75" customHeight="1">
      <c r="A150" s="736"/>
      <c r="B150" s="1170" t="s">
        <v>296</v>
      </c>
      <c r="C150" s="1170" t="s">
        <v>297</v>
      </c>
      <c r="D150" s="795">
        <v>142</v>
      </c>
      <c r="E150" s="795" t="s">
        <v>298</v>
      </c>
      <c r="F150" s="795"/>
      <c r="G150" s="795"/>
      <c r="H150" s="795"/>
      <c r="I150" s="795"/>
      <c r="J150" s="795"/>
      <c r="K150" s="795"/>
      <c r="L150" s="795"/>
      <c r="M150" s="795"/>
      <c r="N150" s="795"/>
      <c r="O150" s="795"/>
      <c r="P150" s="783">
        <v>2237.3813099999998</v>
      </c>
      <c r="Q150" s="795"/>
      <c r="R150" s="795"/>
      <c r="S150" s="795"/>
      <c r="T150" s="797">
        <f t="shared" si="9"/>
        <v>2237.3813099999998</v>
      </c>
      <c r="U150" s="887">
        <v>2382.1398807569999</v>
      </c>
      <c r="V150" s="1206" t="s">
        <v>1732</v>
      </c>
      <c r="W150" s="1172"/>
      <c r="X150" s="1172"/>
      <c r="Y150" s="1172"/>
      <c r="Z150" s="1172"/>
    </row>
    <row r="151" spans="1:26" ht="39.75" customHeight="1">
      <c r="A151" s="736"/>
      <c r="B151" s="736"/>
      <c r="C151" s="736"/>
      <c r="D151" s="795">
        <v>143</v>
      </c>
      <c r="E151" s="795" t="s">
        <v>299</v>
      </c>
      <c r="F151" s="795"/>
      <c r="G151" s="795"/>
      <c r="H151" s="795"/>
      <c r="I151" s="795"/>
      <c r="J151" s="795"/>
      <c r="K151" s="795"/>
      <c r="L151" s="795"/>
      <c r="M151" s="795"/>
      <c r="N151" s="795"/>
      <c r="O151" s="795"/>
      <c r="P151" s="795"/>
      <c r="Q151" s="795"/>
      <c r="R151" s="795"/>
      <c r="S151" s="795"/>
      <c r="T151" s="797">
        <f t="shared" si="9"/>
        <v>0</v>
      </c>
      <c r="U151" s="797">
        <v>0</v>
      </c>
      <c r="V151" s="1184"/>
      <c r="W151" s="1172"/>
      <c r="X151" s="1172"/>
      <c r="Y151" s="1172"/>
      <c r="Z151" s="1172"/>
    </row>
    <row r="152" spans="1:26" ht="39.75" customHeight="1">
      <c r="A152" s="736"/>
      <c r="B152" s="736"/>
      <c r="C152" s="736"/>
      <c r="D152" s="795">
        <v>144</v>
      </c>
      <c r="E152" s="795" t="s">
        <v>300</v>
      </c>
      <c r="F152" s="795"/>
      <c r="G152" s="795"/>
      <c r="H152" s="795"/>
      <c r="I152" s="795"/>
      <c r="J152" s="795"/>
      <c r="K152" s="795"/>
      <c r="L152" s="795"/>
      <c r="M152" s="795"/>
      <c r="N152" s="795"/>
      <c r="O152" s="795"/>
      <c r="P152" s="795"/>
      <c r="Q152" s="795"/>
      <c r="R152" s="795"/>
      <c r="S152" s="795"/>
      <c r="T152" s="797">
        <f t="shared" si="9"/>
        <v>0</v>
      </c>
      <c r="U152" s="797">
        <v>0</v>
      </c>
      <c r="V152" s="1184"/>
      <c r="W152" s="1172"/>
      <c r="X152" s="1172"/>
      <c r="Y152" s="1172"/>
      <c r="Z152" s="1172"/>
    </row>
    <row r="153" spans="1:26" ht="39.75" customHeight="1">
      <c r="A153" s="736"/>
      <c r="B153" s="736"/>
      <c r="C153" s="736"/>
      <c r="D153" s="795">
        <v>145</v>
      </c>
      <c r="E153" s="795" t="s">
        <v>301</v>
      </c>
      <c r="F153" s="795"/>
      <c r="G153" s="795"/>
      <c r="H153" s="795"/>
      <c r="I153" s="795"/>
      <c r="J153" s="795"/>
      <c r="K153" s="795"/>
      <c r="L153" s="795"/>
      <c r="M153" s="795"/>
      <c r="N153" s="795"/>
      <c r="O153" s="795"/>
      <c r="P153" s="795"/>
      <c r="Q153" s="795"/>
      <c r="R153" s="795"/>
      <c r="S153" s="795"/>
      <c r="T153" s="797">
        <f t="shared" si="9"/>
        <v>0</v>
      </c>
      <c r="U153" s="797">
        <v>0</v>
      </c>
      <c r="V153" s="1184"/>
      <c r="W153" s="1172"/>
      <c r="X153" s="1172"/>
      <c r="Y153" s="1172"/>
      <c r="Z153" s="1172"/>
    </row>
    <row r="154" spans="1:26" ht="120">
      <c r="A154" s="736"/>
      <c r="B154" s="795" t="s">
        <v>302</v>
      </c>
      <c r="C154" s="795" t="s">
        <v>303</v>
      </c>
      <c r="D154" s="795">
        <v>146</v>
      </c>
      <c r="E154" s="795" t="s">
        <v>304</v>
      </c>
      <c r="F154" s="795"/>
      <c r="G154" s="795"/>
      <c r="H154" s="795"/>
      <c r="I154" s="795"/>
      <c r="J154" s="795"/>
      <c r="K154" s="795"/>
      <c r="L154" s="795"/>
      <c r="M154" s="795"/>
      <c r="N154" s="795"/>
      <c r="O154" s="795"/>
      <c r="P154" s="795"/>
      <c r="Q154" s="795"/>
      <c r="R154" s="686">
        <f>(0.4*12)+(12*0.1)</f>
        <v>6.0000000000000009</v>
      </c>
      <c r="S154" s="682"/>
      <c r="T154" s="797">
        <f t="shared" si="9"/>
        <v>6.0000000000000009</v>
      </c>
      <c r="U154" s="686">
        <f>T154</f>
        <v>6.0000000000000009</v>
      </c>
      <c r="V154" s="779" t="s">
        <v>571</v>
      </c>
      <c r="W154" s="1172"/>
      <c r="X154" s="1172"/>
      <c r="Y154" s="1172"/>
      <c r="Z154" s="1172"/>
    </row>
    <row r="155" spans="1:26" ht="39.75" customHeight="1">
      <c r="A155" s="736"/>
      <c r="B155" s="795" t="s">
        <v>306</v>
      </c>
      <c r="C155" s="795" t="s">
        <v>307</v>
      </c>
      <c r="D155" s="795">
        <v>147</v>
      </c>
      <c r="E155" s="795" t="s">
        <v>157</v>
      </c>
      <c r="F155" s="795"/>
      <c r="G155" s="795"/>
      <c r="H155" s="795"/>
      <c r="I155" s="795"/>
      <c r="J155" s="795"/>
      <c r="K155" s="795"/>
      <c r="L155" s="795"/>
      <c r="M155" s="795"/>
      <c r="N155" s="795"/>
      <c r="O155" s="795"/>
      <c r="P155" s="795"/>
      <c r="Q155" s="795"/>
      <c r="R155" s="795"/>
      <c r="S155" s="795"/>
      <c r="T155" s="797">
        <f t="shared" si="9"/>
        <v>0</v>
      </c>
      <c r="U155" s="797">
        <v>0</v>
      </c>
      <c r="V155" s="1184"/>
      <c r="W155" s="1172"/>
      <c r="X155" s="1172"/>
      <c r="Y155" s="1172"/>
      <c r="Z155" s="1172"/>
    </row>
    <row r="156" spans="1:26" ht="39.75" customHeight="1">
      <c r="A156" s="736"/>
      <c r="B156" s="795" t="s">
        <v>308</v>
      </c>
      <c r="C156" s="795" t="s">
        <v>309</v>
      </c>
      <c r="D156" s="795">
        <v>148</v>
      </c>
      <c r="E156" s="795" t="s">
        <v>310</v>
      </c>
      <c r="F156" s="795"/>
      <c r="G156" s="795"/>
      <c r="H156" s="795"/>
      <c r="I156" s="795"/>
      <c r="J156" s="795"/>
      <c r="K156" s="795"/>
      <c r="L156" s="795"/>
      <c r="M156" s="795"/>
      <c r="N156" s="797"/>
      <c r="O156" s="795"/>
      <c r="P156" s="797"/>
      <c r="Q156" s="795"/>
      <c r="R156" s="795"/>
      <c r="S156" s="795"/>
      <c r="T156" s="797">
        <f t="shared" si="9"/>
        <v>0</v>
      </c>
      <c r="U156" s="797">
        <v>0</v>
      </c>
      <c r="V156" s="1185"/>
      <c r="W156" s="1172"/>
      <c r="X156" s="1172"/>
      <c r="Y156" s="1172"/>
      <c r="Z156" s="1172"/>
    </row>
    <row r="157" spans="1:26" ht="39.75" customHeight="1">
      <c r="A157" s="736"/>
      <c r="B157" s="795" t="s">
        <v>311</v>
      </c>
      <c r="C157" s="795" t="s">
        <v>312</v>
      </c>
      <c r="D157" s="795">
        <v>149</v>
      </c>
      <c r="E157" s="795" t="s">
        <v>313</v>
      </c>
      <c r="F157" s="1186"/>
      <c r="G157" s="1186"/>
      <c r="H157" s="1186"/>
      <c r="I157" s="1186"/>
      <c r="J157" s="1186"/>
      <c r="K157" s="1186"/>
      <c r="L157" s="1186"/>
      <c r="M157" s="1186"/>
      <c r="N157" s="1186"/>
      <c r="O157" s="1186"/>
      <c r="P157" s="797">
        <f>(15*1.75)+(2.5*1)+(0.05*174)</f>
        <v>37.450000000000003</v>
      </c>
      <c r="Q157" s="1186"/>
      <c r="R157" s="1186"/>
      <c r="S157" s="1186"/>
      <c r="T157" s="797">
        <f t="shared" si="9"/>
        <v>37.450000000000003</v>
      </c>
      <c r="U157" s="797">
        <f>(15*1.75)+(2.5*1)+(0.05*186)</f>
        <v>38.049999999999997</v>
      </c>
      <c r="V157" s="779" t="s">
        <v>1660</v>
      </c>
      <c r="W157" s="1172"/>
      <c r="X157" s="1172"/>
      <c r="Y157" s="1172"/>
      <c r="Z157" s="1172"/>
    </row>
    <row r="158" spans="1:26" ht="39.75" customHeight="1">
      <c r="A158" s="736"/>
      <c r="B158" s="701" t="s">
        <v>315</v>
      </c>
      <c r="C158" s="736"/>
      <c r="D158" s="736"/>
      <c r="E158" s="660"/>
      <c r="F158" s="660">
        <f t="shared" ref="F158:S158" si="12">SUM(F135:F157)</f>
        <v>0</v>
      </c>
      <c r="G158" s="660">
        <f t="shared" si="12"/>
        <v>0</v>
      </c>
      <c r="H158" s="660">
        <f t="shared" si="12"/>
        <v>0</v>
      </c>
      <c r="I158" s="660">
        <f t="shared" si="12"/>
        <v>0</v>
      </c>
      <c r="J158" s="660">
        <f t="shared" si="12"/>
        <v>0</v>
      </c>
      <c r="K158" s="660">
        <f t="shared" si="12"/>
        <v>0</v>
      </c>
      <c r="L158" s="660">
        <f t="shared" si="12"/>
        <v>0</v>
      </c>
      <c r="M158" s="660">
        <f t="shared" si="12"/>
        <v>0</v>
      </c>
      <c r="N158" s="660">
        <f t="shared" si="12"/>
        <v>1.74</v>
      </c>
      <c r="O158" s="660">
        <f t="shared" si="12"/>
        <v>0</v>
      </c>
      <c r="P158" s="660">
        <f t="shared" si="12"/>
        <v>2315.1063099999997</v>
      </c>
      <c r="Q158" s="660">
        <f t="shared" si="12"/>
        <v>11.25</v>
      </c>
      <c r="R158" s="660">
        <f t="shared" si="12"/>
        <v>7.2000000000000011</v>
      </c>
      <c r="S158" s="660">
        <f t="shared" si="12"/>
        <v>0</v>
      </c>
      <c r="T158" s="668">
        <f t="shared" si="9"/>
        <v>2335.2963099999993</v>
      </c>
      <c r="U158" s="668">
        <f t="shared" ref="U158:V158" si="13">SUM(U135:U157)</f>
        <v>2480.7748807570001</v>
      </c>
      <c r="V158" s="795">
        <f t="shared" si="13"/>
        <v>0</v>
      </c>
      <c r="W158" s="1187"/>
      <c r="X158" s="1187"/>
      <c r="Y158" s="1187"/>
      <c r="Z158" s="1187"/>
    </row>
    <row r="159" spans="1:26" ht="99" customHeight="1">
      <c r="A159" s="1173" t="s">
        <v>316</v>
      </c>
      <c r="B159" s="1170" t="s">
        <v>317</v>
      </c>
      <c r="C159" s="1170" t="s">
        <v>269</v>
      </c>
      <c r="D159" s="795">
        <v>150</v>
      </c>
      <c r="E159" s="795" t="s">
        <v>318</v>
      </c>
      <c r="F159" s="795"/>
      <c r="G159" s="796"/>
      <c r="H159" s="796"/>
      <c r="I159" s="797"/>
      <c r="J159" s="795"/>
      <c r="K159" s="795"/>
      <c r="L159" s="795"/>
      <c r="M159" s="795"/>
      <c r="N159" s="797">
        <v>14.4</v>
      </c>
      <c r="O159" s="796">
        <v>285</v>
      </c>
      <c r="P159" s="796"/>
      <c r="Q159" s="795">
        <v>1</v>
      </c>
      <c r="R159" s="795"/>
      <c r="S159" s="795"/>
      <c r="T159" s="797">
        <f t="shared" si="9"/>
        <v>300.39999999999998</v>
      </c>
      <c r="U159" s="797">
        <f t="shared" ref="U159:U160" si="14">T159</f>
        <v>300.39999999999998</v>
      </c>
      <c r="V159" s="786" t="s">
        <v>1826</v>
      </c>
      <c r="W159" s="1172"/>
      <c r="X159" s="1172"/>
      <c r="Y159" s="1172"/>
      <c r="Z159" s="1172"/>
    </row>
    <row r="160" spans="1:26" ht="123.75" customHeight="1">
      <c r="A160" s="736"/>
      <c r="B160" s="736"/>
      <c r="C160" s="736"/>
      <c r="D160" s="795">
        <v>151</v>
      </c>
      <c r="E160" s="795" t="s">
        <v>319</v>
      </c>
      <c r="F160" s="795"/>
      <c r="G160" s="796"/>
      <c r="H160" s="796"/>
      <c r="I160" s="797"/>
      <c r="J160" s="795"/>
      <c r="K160" s="795"/>
      <c r="L160" s="795"/>
      <c r="M160" s="795"/>
      <c r="N160" s="797"/>
      <c r="O160" s="796"/>
      <c r="P160" s="796">
        <v>14.55</v>
      </c>
      <c r="Q160" s="797"/>
      <c r="R160" s="796">
        <v>2</v>
      </c>
      <c r="S160" s="795"/>
      <c r="T160" s="797">
        <f t="shared" si="9"/>
        <v>16.55</v>
      </c>
      <c r="U160" s="797">
        <f t="shared" si="14"/>
        <v>16.55</v>
      </c>
      <c r="V160" s="729" t="s">
        <v>729</v>
      </c>
      <c r="W160" s="1172"/>
      <c r="X160" s="1172"/>
      <c r="Y160" s="1172"/>
      <c r="Z160" s="1172"/>
    </row>
    <row r="161" spans="1:26" ht="39.75" customHeight="1">
      <c r="A161" s="736"/>
      <c r="B161" s="736"/>
      <c r="C161" s="736"/>
      <c r="D161" s="795">
        <v>152</v>
      </c>
      <c r="E161" s="795" t="s">
        <v>321</v>
      </c>
      <c r="F161" s="795"/>
      <c r="G161" s="795"/>
      <c r="H161" s="795"/>
      <c r="I161" s="795"/>
      <c r="J161" s="795"/>
      <c r="K161" s="795"/>
      <c r="L161" s="795"/>
      <c r="M161" s="795"/>
      <c r="N161" s="795"/>
      <c r="O161" s="795"/>
      <c r="P161" s="796"/>
      <c r="Q161" s="795"/>
      <c r="R161" s="795"/>
      <c r="S161" s="795"/>
      <c r="T161" s="797">
        <f t="shared" si="9"/>
        <v>0</v>
      </c>
      <c r="U161" s="797"/>
      <c r="V161" s="788"/>
      <c r="W161" s="1172"/>
      <c r="X161" s="1172"/>
      <c r="Y161" s="1172"/>
      <c r="Z161" s="1172"/>
    </row>
    <row r="162" spans="1:26" ht="39.75" customHeight="1">
      <c r="A162" s="736"/>
      <c r="B162" s="736"/>
      <c r="C162" s="736"/>
      <c r="D162" s="795">
        <v>153</v>
      </c>
      <c r="E162" s="795" t="s">
        <v>322</v>
      </c>
      <c r="F162" s="1186"/>
      <c r="G162" s="1186"/>
      <c r="H162" s="1186"/>
      <c r="I162" s="1186"/>
      <c r="J162" s="1186"/>
      <c r="K162" s="1186"/>
      <c r="L162" s="1186"/>
      <c r="M162" s="1186"/>
      <c r="N162" s="797"/>
      <c r="O162" s="1186"/>
      <c r="P162" s="1186"/>
      <c r="Q162" s="1186"/>
      <c r="R162" s="1186"/>
      <c r="S162" s="1186"/>
      <c r="T162" s="797">
        <f t="shared" si="9"/>
        <v>0</v>
      </c>
      <c r="U162" s="797">
        <v>0</v>
      </c>
      <c r="V162" s="788"/>
      <c r="W162" s="1172"/>
      <c r="X162" s="1172"/>
      <c r="Y162" s="1172"/>
      <c r="Z162" s="1172"/>
    </row>
    <row r="163" spans="1:26" ht="39.75" customHeight="1">
      <c r="A163" s="736"/>
      <c r="B163" s="1170" t="s">
        <v>324</v>
      </c>
      <c r="C163" s="1170" t="s">
        <v>325</v>
      </c>
      <c r="D163" s="795">
        <v>154</v>
      </c>
      <c r="E163" s="795" t="s">
        <v>326</v>
      </c>
      <c r="F163" s="795"/>
      <c r="G163" s="795"/>
      <c r="H163" s="795"/>
      <c r="I163" s="795"/>
      <c r="J163" s="795"/>
      <c r="K163" s="797"/>
      <c r="L163" s="795"/>
      <c r="M163" s="797"/>
      <c r="N163" s="795"/>
      <c r="O163" s="795"/>
      <c r="P163" s="795"/>
      <c r="Q163" s="796">
        <v>0.15</v>
      </c>
      <c r="R163" s="795"/>
      <c r="S163" s="795"/>
      <c r="T163" s="797">
        <f t="shared" si="9"/>
        <v>0.15</v>
      </c>
      <c r="U163" s="797">
        <f t="shared" ref="U163:U167" si="15">T163</f>
        <v>0.15</v>
      </c>
      <c r="V163" s="729" t="s">
        <v>327</v>
      </c>
      <c r="W163" s="1172"/>
      <c r="X163" s="1172"/>
      <c r="Y163" s="1172"/>
      <c r="Z163" s="1172"/>
    </row>
    <row r="164" spans="1:26" ht="39.75" customHeight="1">
      <c r="A164" s="736"/>
      <c r="B164" s="736"/>
      <c r="C164" s="736"/>
      <c r="D164" s="795">
        <v>155</v>
      </c>
      <c r="E164" s="795" t="s">
        <v>328</v>
      </c>
      <c r="F164" s="795"/>
      <c r="G164" s="795"/>
      <c r="H164" s="795"/>
      <c r="I164" s="795"/>
      <c r="J164" s="795"/>
      <c r="K164" s="795"/>
      <c r="L164" s="795"/>
      <c r="M164" s="795"/>
      <c r="N164" s="682"/>
      <c r="O164" s="795"/>
      <c r="P164" s="796"/>
      <c r="Q164" s="795"/>
      <c r="R164" s="795"/>
      <c r="S164" s="795"/>
      <c r="T164" s="797">
        <f t="shared" si="9"/>
        <v>0</v>
      </c>
      <c r="U164" s="797">
        <f t="shared" si="15"/>
        <v>0</v>
      </c>
      <c r="V164" s="729"/>
      <c r="W164" s="1172"/>
      <c r="X164" s="1172"/>
      <c r="Y164" s="1172"/>
      <c r="Z164" s="1172"/>
    </row>
    <row r="165" spans="1:26" ht="39.75" customHeight="1">
      <c r="A165" s="736"/>
      <c r="B165" s="736"/>
      <c r="C165" s="736"/>
      <c r="D165" s="795">
        <v>156</v>
      </c>
      <c r="E165" s="795" t="s">
        <v>329</v>
      </c>
      <c r="F165" s="795"/>
      <c r="G165" s="795"/>
      <c r="H165" s="796"/>
      <c r="I165" s="797"/>
      <c r="J165" s="795"/>
      <c r="K165" s="795"/>
      <c r="L165" s="795"/>
      <c r="M165" s="795"/>
      <c r="N165" s="795"/>
      <c r="O165" s="795"/>
      <c r="P165" s="796">
        <v>1.5</v>
      </c>
      <c r="Q165" s="795"/>
      <c r="R165" s="795"/>
      <c r="S165" s="795"/>
      <c r="T165" s="797">
        <f t="shared" si="9"/>
        <v>1.5</v>
      </c>
      <c r="U165" s="797">
        <f t="shared" si="15"/>
        <v>1.5</v>
      </c>
      <c r="V165" s="729" t="s">
        <v>330</v>
      </c>
      <c r="W165" s="1172"/>
      <c r="X165" s="1172"/>
      <c r="Y165" s="1172"/>
      <c r="Z165" s="1172"/>
    </row>
    <row r="166" spans="1:26" ht="39.75" customHeight="1">
      <c r="A166" s="736"/>
      <c r="B166" s="736"/>
      <c r="C166" s="736"/>
      <c r="D166" s="795">
        <v>157</v>
      </c>
      <c r="E166" s="795" t="s">
        <v>331</v>
      </c>
      <c r="F166" s="795"/>
      <c r="G166" s="795"/>
      <c r="H166" s="795"/>
      <c r="I166" s="795"/>
      <c r="J166" s="795"/>
      <c r="K166" s="795"/>
      <c r="L166" s="795"/>
      <c r="M166" s="795"/>
      <c r="N166" s="795"/>
      <c r="O166" s="795"/>
      <c r="P166" s="795"/>
      <c r="Q166" s="795"/>
      <c r="R166" s="795"/>
      <c r="S166" s="795"/>
      <c r="T166" s="797">
        <f t="shared" si="9"/>
        <v>0</v>
      </c>
      <c r="U166" s="797">
        <f t="shared" si="15"/>
        <v>0</v>
      </c>
      <c r="V166" s="788"/>
      <c r="W166" s="1172"/>
      <c r="X166" s="1172"/>
      <c r="Y166" s="1172"/>
      <c r="Z166" s="1172"/>
    </row>
    <row r="167" spans="1:26" ht="39.75" customHeight="1">
      <c r="A167" s="736"/>
      <c r="B167" s="736"/>
      <c r="C167" s="736"/>
      <c r="D167" s="795">
        <v>158</v>
      </c>
      <c r="E167" s="795" t="s">
        <v>332</v>
      </c>
      <c r="F167" s="795"/>
      <c r="G167" s="795"/>
      <c r="H167" s="795"/>
      <c r="I167" s="795"/>
      <c r="J167" s="795"/>
      <c r="K167" s="795"/>
      <c r="L167" s="795"/>
      <c r="M167" s="795"/>
      <c r="N167" s="795"/>
      <c r="O167" s="795"/>
      <c r="P167" s="795"/>
      <c r="Q167" s="797"/>
      <c r="R167" s="795"/>
      <c r="S167" s="795"/>
      <c r="T167" s="797">
        <f t="shared" si="9"/>
        <v>0</v>
      </c>
      <c r="U167" s="797">
        <f t="shared" si="15"/>
        <v>0</v>
      </c>
      <c r="V167" s="788"/>
      <c r="W167" s="1172"/>
      <c r="X167" s="1172"/>
      <c r="Y167" s="1172"/>
      <c r="Z167" s="1172"/>
    </row>
    <row r="168" spans="1:26" ht="405">
      <c r="A168" s="736"/>
      <c r="B168" s="1170" t="s">
        <v>333</v>
      </c>
      <c r="C168" s="1170" t="s">
        <v>275</v>
      </c>
      <c r="D168" s="795">
        <v>159</v>
      </c>
      <c r="E168" s="795" t="s">
        <v>276</v>
      </c>
      <c r="F168" s="682"/>
      <c r="G168" s="683"/>
      <c r="H168" s="683"/>
      <c r="I168" s="682"/>
      <c r="J168" s="682"/>
      <c r="K168" s="682"/>
      <c r="L168" s="682"/>
      <c r="M168" s="682"/>
      <c r="N168" s="686">
        <v>41.73</v>
      </c>
      <c r="O168" s="682">
        <v>612.5</v>
      </c>
      <c r="P168" s="683">
        <v>58.08</v>
      </c>
      <c r="Q168" s="682">
        <v>5.375</v>
      </c>
      <c r="R168" s="682"/>
      <c r="S168" s="682"/>
      <c r="T168" s="797">
        <f t="shared" si="9"/>
        <v>717.68500000000006</v>
      </c>
      <c r="U168" s="797">
        <f>T168+2</f>
        <v>719.68500000000006</v>
      </c>
      <c r="V168" s="788" t="s">
        <v>1827</v>
      </c>
      <c r="W168" s="1172"/>
      <c r="X168" s="1172"/>
      <c r="Y168" s="1172"/>
      <c r="Z168" s="1172"/>
    </row>
    <row r="169" spans="1:26" ht="39.75" customHeight="1">
      <c r="A169" s="736"/>
      <c r="B169" s="736"/>
      <c r="C169" s="736"/>
      <c r="D169" s="795">
        <v>160</v>
      </c>
      <c r="E169" s="795" t="s">
        <v>334</v>
      </c>
      <c r="F169" s="682"/>
      <c r="G169" s="683"/>
      <c r="H169" s="683"/>
      <c r="I169" s="686"/>
      <c r="J169" s="682"/>
      <c r="K169" s="682"/>
      <c r="L169" s="682"/>
      <c r="M169" s="682"/>
      <c r="N169" s="686"/>
      <c r="O169" s="683"/>
      <c r="P169" s="683"/>
      <c r="Q169" s="686"/>
      <c r="R169" s="683"/>
      <c r="S169" s="682"/>
      <c r="T169" s="797">
        <f t="shared" si="9"/>
        <v>0</v>
      </c>
      <c r="U169" s="797">
        <v>0</v>
      </c>
      <c r="V169" s="788"/>
      <c r="W169" s="1172"/>
      <c r="X169" s="1172"/>
      <c r="Y169" s="1172"/>
      <c r="Z169" s="1172"/>
    </row>
    <row r="170" spans="1:26" ht="39.75" customHeight="1">
      <c r="A170" s="736"/>
      <c r="B170" s="736"/>
      <c r="C170" s="736"/>
      <c r="D170" s="795">
        <v>161</v>
      </c>
      <c r="E170" s="795" t="s">
        <v>279</v>
      </c>
      <c r="F170" s="682"/>
      <c r="G170" s="682"/>
      <c r="H170" s="682"/>
      <c r="I170" s="682"/>
      <c r="J170" s="682"/>
      <c r="K170" s="682"/>
      <c r="L170" s="682"/>
      <c r="M170" s="682"/>
      <c r="N170" s="682"/>
      <c r="O170" s="682"/>
      <c r="P170" s="683"/>
      <c r="Q170" s="682"/>
      <c r="R170" s="682"/>
      <c r="S170" s="682"/>
      <c r="T170" s="797">
        <f t="shared" si="9"/>
        <v>0</v>
      </c>
      <c r="U170" s="797">
        <v>0</v>
      </c>
      <c r="V170" s="788"/>
      <c r="W170" s="1172"/>
      <c r="X170" s="1172"/>
      <c r="Y170" s="1172"/>
      <c r="Z170" s="1172"/>
    </row>
    <row r="171" spans="1:26" ht="39.75" customHeight="1">
      <c r="A171" s="736"/>
      <c r="B171" s="736"/>
      <c r="C171" s="736"/>
      <c r="D171" s="795">
        <v>162</v>
      </c>
      <c r="E171" s="795" t="s">
        <v>280</v>
      </c>
      <c r="F171" s="787"/>
      <c r="G171" s="787"/>
      <c r="H171" s="787"/>
      <c r="I171" s="787"/>
      <c r="J171" s="787"/>
      <c r="K171" s="787"/>
      <c r="L171" s="787"/>
      <c r="M171" s="787"/>
      <c r="N171" s="686"/>
      <c r="O171" s="787"/>
      <c r="P171" s="787"/>
      <c r="Q171" s="787"/>
      <c r="R171" s="787"/>
      <c r="S171" s="787"/>
      <c r="T171" s="797">
        <f t="shared" si="9"/>
        <v>0</v>
      </c>
      <c r="U171" s="797">
        <v>0</v>
      </c>
      <c r="V171" s="788"/>
      <c r="W171" s="1172"/>
      <c r="X171" s="1172"/>
      <c r="Y171" s="1172"/>
      <c r="Z171" s="1172"/>
    </row>
    <row r="172" spans="1:26" ht="180">
      <c r="A172" s="736"/>
      <c r="B172" s="736"/>
      <c r="C172" s="736"/>
      <c r="D172" s="795">
        <v>163</v>
      </c>
      <c r="E172" s="795" t="s">
        <v>335</v>
      </c>
      <c r="F172" s="795"/>
      <c r="G172" s="795"/>
      <c r="H172" s="795"/>
      <c r="I172" s="795"/>
      <c r="J172" s="795"/>
      <c r="K172" s="795"/>
      <c r="L172" s="795"/>
      <c r="M172" s="795"/>
      <c r="N172" s="795"/>
      <c r="O172" s="796">
        <v>15.475</v>
      </c>
      <c r="P172" s="796">
        <v>3.6</v>
      </c>
      <c r="Q172" s="797">
        <v>2.95</v>
      </c>
      <c r="R172" s="795"/>
      <c r="S172" s="795"/>
      <c r="T172" s="797">
        <f t="shared" si="9"/>
        <v>22.024999999999999</v>
      </c>
      <c r="U172" s="797">
        <f>19.615+2.95</f>
        <v>22.564999999999998</v>
      </c>
      <c r="V172" s="788" t="s">
        <v>1828</v>
      </c>
      <c r="W172" s="1172"/>
      <c r="X172" s="1172"/>
      <c r="Y172" s="1172"/>
      <c r="Z172" s="1172"/>
    </row>
    <row r="173" spans="1:26" ht="39.75" customHeight="1">
      <c r="A173" s="736"/>
      <c r="B173" s="1170" t="s">
        <v>336</v>
      </c>
      <c r="C173" s="1170" t="s">
        <v>337</v>
      </c>
      <c r="D173" s="795">
        <v>164</v>
      </c>
      <c r="E173" s="795" t="s">
        <v>338</v>
      </c>
      <c r="F173" s="795"/>
      <c r="G173" s="796"/>
      <c r="H173" s="796"/>
      <c r="I173" s="795"/>
      <c r="J173" s="795"/>
      <c r="K173" s="795"/>
      <c r="L173" s="795"/>
      <c r="M173" s="795"/>
      <c r="N173" s="795"/>
      <c r="O173" s="795"/>
      <c r="P173" s="795"/>
      <c r="Q173" s="795"/>
      <c r="R173" s="795"/>
      <c r="S173" s="795"/>
      <c r="T173" s="797">
        <f t="shared" si="9"/>
        <v>0</v>
      </c>
      <c r="U173" s="797">
        <v>0</v>
      </c>
      <c r="V173" s="788"/>
      <c r="W173" s="1172"/>
      <c r="X173" s="1172"/>
      <c r="Y173" s="1172"/>
      <c r="Z173" s="1172"/>
    </row>
    <row r="174" spans="1:26" ht="39.75" customHeight="1">
      <c r="A174" s="736"/>
      <c r="B174" s="736"/>
      <c r="C174" s="736"/>
      <c r="D174" s="795">
        <v>165</v>
      </c>
      <c r="E174" s="795" t="s">
        <v>339</v>
      </c>
      <c r="F174" s="795"/>
      <c r="G174" s="796"/>
      <c r="H174" s="796"/>
      <c r="I174" s="795"/>
      <c r="J174" s="795"/>
      <c r="K174" s="795"/>
      <c r="L174" s="795"/>
      <c r="M174" s="795"/>
      <c r="N174" s="795"/>
      <c r="O174" s="795"/>
      <c r="P174" s="795"/>
      <c r="Q174" s="795"/>
      <c r="R174" s="795"/>
      <c r="S174" s="795"/>
      <c r="T174" s="797">
        <f t="shared" si="9"/>
        <v>0</v>
      </c>
      <c r="U174" s="797">
        <v>0</v>
      </c>
      <c r="V174" s="788"/>
      <c r="W174" s="1172"/>
      <c r="X174" s="1172"/>
      <c r="Y174" s="1172"/>
      <c r="Z174" s="1172"/>
    </row>
    <row r="175" spans="1:26" ht="39.75" customHeight="1">
      <c r="A175" s="736"/>
      <c r="B175" s="736"/>
      <c r="C175" s="736"/>
      <c r="D175" s="795">
        <v>166</v>
      </c>
      <c r="E175" s="795" t="s">
        <v>340</v>
      </c>
      <c r="F175" s="795"/>
      <c r="G175" s="796"/>
      <c r="H175" s="796"/>
      <c r="I175" s="795"/>
      <c r="J175" s="795"/>
      <c r="K175" s="795"/>
      <c r="L175" s="795"/>
      <c r="M175" s="795"/>
      <c r="N175" s="795"/>
      <c r="O175" s="795"/>
      <c r="P175" s="795"/>
      <c r="Q175" s="795"/>
      <c r="R175" s="795"/>
      <c r="S175" s="795"/>
      <c r="T175" s="797">
        <f t="shared" si="9"/>
        <v>0</v>
      </c>
      <c r="U175" s="797">
        <v>0</v>
      </c>
      <c r="V175" s="788"/>
      <c r="W175" s="1172"/>
      <c r="X175" s="1172"/>
      <c r="Y175" s="1172"/>
      <c r="Z175" s="1172"/>
    </row>
    <row r="176" spans="1:26" ht="39.75" customHeight="1">
      <c r="A176" s="736"/>
      <c r="B176" s="736"/>
      <c r="C176" s="736"/>
      <c r="D176" s="795">
        <v>167</v>
      </c>
      <c r="E176" s="795" t="s">
        <v>341</v>
      </c>
      <c r="F176" s="795"/>
      <c r="G176" s="796"/>
      <c r="H176" s="796"/>
      <c r="I176" s="795"/>
      <c r="J176" s="795"/>
      <c r="K176" s="795"/>
      <c r="L176" s="795"/>
      <c r="M176" s="795"/>
      <c r="N176" s="795"/>
      <c r="O176" s="795"/>
      <c r="P176" s="795"/>
      <c r="Q176" s="795"/>
      <c r="R176" s="795"/>
      <c r="S176" s="795"/>
      <c r="T176" s="797">
        <f t="shared" si="9"/>
        <v>0</v>
      </c>
      <c r="U176" s="797">
        <v>0</v>
      </c>
      <c r="V176" s="788"/>
      <c r="W176" s="1172"/>
      <c r="X176" s="1172"/>
      <c r="Y176" s="1172"/>
      <c r="Z176" s="1172"/>
    </row>
    <row r="177" spans="1:26" ht="39.75" customHeight="1">
      <c r="A177" s="736"/>
      <c r="B177" s="736"/>
      <c r="C177" s="736"/>
      <c r="D177" s="795">
        <v>168</v>
      </c>
      <c r="E177" s="795" t="s">
        <v>342</v>
      </c>
      <c r="F177" s="795"/>
      <c r="G177" s="796"/>
      <c r="H177" s="796"/>
      <c r="I177" s="795"/>
      <c r="J177" s="795"/>
      <c r="K177" s="795"/>
      <c r="L177" s="795"/>
      <c r="M177" s="795"/>
      <c r="N177" s="795"/>
      <c r="O177" s="795"/>
      <c r="P177" s="795"/>
      <c r="Q177" s="795"/>
      <c r="R177" s="795"/>
      <c r="S177" s="795"/>
      <c r="T177" s="797">
        <f t="shared" si="9"/>
        <v>0</v>
      </c>
      <c r="U177" s="797">
        <v>0</v>
      </c>
      <c r="V177" s="788"/>
      <c r="W177" s="1172"/>
      <c r="X177" s="1172"/>
      <c r="Y177" s="1172"/>
      <c r="Z177" s="1172"/>
    </row>
    <row r="178" spans="1:26" ht="39.75" customHeight="1">
      <c r="A178" s="736"/>
      <c r="B178" s="736"/>
      <c r="C178" s="736"/>
      <c r="D178" s="795">
        <v>169</v>
      </c>
      <c r="E178" s="795" t="s">
        <v>343</v>
      </c>
      <c r="F178" s="795"/>
      <c r="G178" s="796"/>
      <c r="H178" s="796"/>
      <c r="I178" s="797"/>
      <c r="J178" s="795"/>
      <c r="K178" s="795"/>
      <c r="L178" s="795"/>
      <c r="M178" s="795"/>
      <c r="N178" s="795"/>
      <c r="O178" s="795"/>
      <c r="P178" s="795"/>
      <c r="Q178" s="795"/>
      <c r="R178" s="795"/>
      <c r="S178" s="795"/>
      <c r="T178" s="797">
        <f t="shared" si="9"/>
        <v>0</v>
      </c>
      <c r="U178" s="797">
        <v>0</v>
      </c>
      <c r="V178" s="788"/>
      <c r="W178" s="1172"/>
      <c r="X178" s="1172"/>
      <c r="Y178" s="1172"/>
      <c r="Z178" s="1172"/>
    </row>
    <row r="179" spans="1:26" ht="39.75" customHeight="1">
      <c r="A179" s="736"/>
      <c r="B179" s="736"/>
      <c r="C179" s="736"/>
      <c r="D179" s="795">
        <v>170</v>
      </c>
      <c r="E179" s="795" t="s">
        <v>344</v>
      </c>
      <c r="F179" s="795"/>
      <c r="G179" s="795"/>
      <c r="H179" s="795"/>
      <c r="I179" s="795"/>
      <c r="J179" s="795"/>
      <c r="K179" s="795"/>
      <c r="L179" s="795"/>
      <c r="M179" s="795"/>
      <c r="N179" s="795"/>
      <c r="O179" s="795"/>
      <c r="P179" s="795"/>
      <c r="Q179" s="795"/>
      <c r="R179" s="795"/>
      <c r="S179" s="795"/>
      <c r="T179" s="797">
        <f t="shared" si="9"/>
        <v>0</v>
      </c>
      <c r="U179" s="797">
        <v>0</v>
      </c>
      <c r="V179" s="788"/>
      <c r="W179" s="1172"/>
      <c r="X179" s="1172"/>
      <c r="Y179" s="1172"/>
      <c r="Z179" s="1172"/>
    </row>
    <row r="180" spans="1:26" ht="39.75" customHeight="1">
      <c r="A180" s="736"/>
      <c r="B180" s="1170" t="s">
        <v>345</v>
      </c>
      <c r="C180" s="1170" t="s">
        <v>346</v>
      </c>
      <c r="D180" s="795">
        <v>171</v>
      </c>
      <c r="E180" s="795" t="s">
        <v>347</v>
      </c>
      <c r="F180" s="795"/>
      <c r="G180" s="795"/>
      <c r="H180" s="795"/>
      <c r="I180" s="795"/>
      <c r="J180" s="795"/>
      <c r="K180" s="795"/>
      <c r="L180" s="795"/>
      <c r="M180" s="795"/>
      <c r="N180" s="795"/>
      <c r="O180" s="795"/>
      <c r="P180" s="795"/>
      <c r="Q180" s="795"/>
      <c r="R180" s="795"/>
      <c r="S180" s="795"/>
      <c r="T180" s="797">
        <f t="shared" si="9"/>
        <v>0</v>
      </c>
      <c r="U180" s="797">
        <v>0</v>
      </c>
      <c r="V180" s="788"/>
      <c r="W180" s="1172"/>
      <c r="X180" s="1172"/>
      <c r="Y180" s="1172"/>
      <c r="Z180" s="1172"/>
    </row>
    <row r="181" spans="1:26" ht="39.75" customHeight="1">
      <c r="A181" s="736"/>
      <c r="B181" s="736"/>
      <c r="C181" s="736"/>
      <c r="D181" s="795">
        <v>172</v>
      </c>
      <c r="E181" s="795" t="s">
        <v>348</v>
      </c>
      <c r="F181" s="795"/>
      <c r="G181" s="795"/>
      <c r="H181" s="795"/>
      <c r="I181" s="795"/>
      <c r="J181" s="795"/>
      <c r="K181" s="795"/>
      <c r="L181" s="795"/>
      <c r="M181" s="795"/>
      <c r="N181" s="795"/>
      <c r="O181" s="795"/>
      <c r="P181" s="797"/>
      <c r="Q181" s="795"/>
      <c r="R181" s="795"/>
      <c r="S181" s="795"/>
      <c r="T181" s="797">
        <f t="shared" si="9"/>
        <v>0</v>
      </c>
      <c r="U181" s="797">
        <v>0</v>
      </c>
      <c r="V181" s="788"/>
      <c r="W181" s="1172"/>
      <c r="X181" s="1172"/>
      <c r="Y181" s="1172"/>
      <c r="Z181" s="1172"/>
    </row>
    <row r="182" spans="1:26" ht="39.75" customHeight="1">
      <c r="A182" s="736"/>
      <c r="B182" s="736"/>
      <c r="C182" s="736"/>
      <c r="D182" s="795">
        <v>173</v>
      </c>
      <c r="E182" s="795" t="s">
        <v>349</v>
      </c>
      <c r="F182" s="795"/>
      <c r="G182" s="795"/>
      <c r="H182" s="795"/>
      <c r="I182" s="795"/>
      <c r="J182" s="795"/>
      <c r="K182" s="795"/>
      <c r="L182" s="795"/>
      <c r="M182" s="795"/>
      <c r="N182" s="795"/>
      <c r="O182" s="795"/>
      <c r="P182" s="795"/>
      <c r="Q182" s="795"/>
      <c r="R182" s="795"/>
      <c r="S182" s="795"/>
      <c r="T182" s="797">
        <f t="shared" si="9"/>
        <v>0</v>
      </c>
      <c r="U182" s="797">
        <v>0</v>
      </c>
      <c r="V182" s="788"/>
      <c r="W182" s="1172"/>
      <c r="X182" s="1172"/>
      <c r="Y182" s="1172"/>
      <c r="Z182" s="1172"/>
    </row>
    <row r="183" spans="1:26" ht="39.75" customHeight="1">
      <c r="A183" s="736"/>
      <c r="B183" s="736"/>
      <c r="C183" s="736"/>
      <c r="D183" s="795">
        <v>174</v>
      </c>
      <c r="E183" s="795" t="s">
        <v>350</v>
      </c>
      <c r="F183" s="795"/>
      <c r="G183" s="795"/>
      <c r="H183" s="795"/>
      <c r="I183" s="795"/>
      <c r="J183" s="795"/>
      <c r="K183" s="795"/>
      <c r="L183" s="795"/>
      <c r="M183" s="795"/>
      <c r="N183" s="795"/>
      <c r="O183" s="795"/>
      <c r="P183" s="797"/>
      <c r="Q183" s="795"/>
      <c r="R183" s="795"/>
      <c r="S183" s="795"/>
      <c r="T183" s="797">
        <f t="shared" si="9"/>
        <v>0</v>
      </c>
      <c r="U183" s="797">
        <v>0</v>
      </c>
      <c r="V183" s="788"/>
      <c r="W183" s="1172"/>
      <c r="X183" s="1172"/>
      <c r="Y183" s="1172"/>
      <c r="Z183" s="1172"/>
    </row>
    <row r="184" spans="1:26" ht="409.5">
      <c r="A184" s="736"/>
      <c r="B184" s="1170" t="s">
        <v>351</v>
      </c>
      <c r="C184" s="1170" t="s">
        <v>290</v>
      </c>
      <c r="D184" s="795">
        <v>175</v>
      </c>
      <c r="E184" s="795" t="s">
        <v>291</v>
      </c>
      <c r="F184" s="795"/>
      <c r="G184" s="795"/>
      <c r="H184" s="795"/>
      <c r="I184" s="796">
        <v>12.8</v>
      </c>
      <c r="J184" s="795"/>
      <c r="K184" s="795"/>
      <c r="L184" s="795"/>
      <c r="M184" s="795"/>
      <c r="N184" s="797">
        <v>14.65</v>
      </c>
      <c r="O184" s="795"/>
      <c r="P184" s="678">
        <f>5+27.08</f>
        <v>32.08</v>
      </c>
      <c r="Q184" s="797">
        <v>1</v>
      </c>
      <c r="R184" s="796">
        <v>0.79</v>
      </c>
      <c r="S184" s="796"/>
      <c r="T184" s="797">
        <f t="shared" si="9"/>
        <v>61.32</v>
      </c>
      <c r="U184" s="797">
        <f t="shared" ref="U184:U186" si="16">T184</f>
        <v>61.32</v>
      </c>
      <c r="V184" s="788" t="s">
        <v>730</v>
      </c>
      <c r="W184" s="1172"/>
      <c r="X184" s="1172"/>
      <c r="Y184" s="1172"/>
      <c r="Z184" s="1172"/>
    </row>
    <row r="185" spans="1:26" ht="409.5">
      <c r="A185" s="736"/>
      <c r="B185" s="736"/>
      <c r="C185" s="736"/>
      <c r="D185" s="795">
        <v>176</v>
      </c>
      <c r="E185" s="795" t="s">
        <v>293</v>
      </c>
      <c r="F185" s="795"/>
      <c r="G185" s="795"/>
      <c r="H185" s="795"/>
      <c r="I185" s="795"/>
      <c r="J185" s="795"/>
      <c r="K185" s="795"/>
      <c r="L185" s="795"/>
      <c r="M185" s="796">
        <v>31.7</v>
      </c>
      <c r="N185" s="795"/>
      <c r="O185" s="795"/>
      <c r="P185" s="796">
        <v>78.22</v>
      </c>
      <c r="Q185" s="796">
        <v>10.95</v>
      </c>
      <c r="R185" s="795"/>
      <c r="S185" s="795"/>
      <c r="T185" s="797">
        <f t="shared" si="9"/>
        <v>120.87</v>
      </c>
      <c r="U185" s="797">
        <f t="shared" si="16"/>
        <v>120.87</v>
      </c>
      <c r="V185" s="788" t="s">
        <v>731</v>
      </c>
      <c r="W185" s="1172"/>
      <c r="X185" s="1172"/>
      <c r="Y185" s="1172"/>
      <c r="Z185" s="1172"/>
    </row>
    <row r="186" spans="1:26" ht="60">
      <c r="A186" s="736"/>
      <c r="B186" s="736"/>
      <c r="C186" s="736"/>
      <c r="D186" s="795">
        <v>177</v>
      </c>
      <c r="E186" s="795" t="s">
        <v>295</v>
      </c>
      <c r="F186" s="795"/>
      <c r="G186" s="795"/>
      <c r="H186" s="795"/>
      <c r="I186" s="795"/>
      <c r="J186" s="795"/>
      <c r="K186" s="795"/>
      <c r="L186" s="795"/>
      <c r="M186" s="795"/>
      <c r="N186" s="797">
        <v>1</v>
      </c>
      <c r="O186" s="795"/>
      <c r="P186" s="795"/>
      <c r="Q186" s="795"/>
      <c r="R186" s="795"/>
      <c r="S186" s="795"/>
      <c r="T186" s="797">
        <f t="shared" si="9"/>
        <v>1</v>
      </c>
      <c r="U186" s="797">
        <f t="shared" si="16"/>
        <v>1</v>
      </c>
      <c r="V186" s="738" t="s">
        <v>352</v>
      </c>
      <c r="W186" s="1172"/>
      <c r="X186" s="1172"/>
      <c r="Y186" s="1172"/>
      <c r="Z186" s="1172"/>
    </row>
    <row r="187" spans="1:26" ht="39.75" customHeight="1">
      <c r="A187" s="736"/>
      <c r="B187" s="1170" t="s">
        <v>353</v>
      </c>
      <c r="C187" s="1170" t="s">
        <v>354</v>
      </c>
      <c r="D187" s="795">
        <v>178</v>
      </c>
      <c r="E187" s="795" t="s">
        <v>355</v>
      </c>
      <c r="F187" s="795"/>
      <c r="G187" s="795"/>
      <c r="H187" s="795"/>
      <c r="I187" s="795"/>
      <c r="J187" s="795"/>
      <c r="K187" s="795"/>
      <c r="L187" s="795"/>
      <c r="M187" s="795"/>
      <c r="N187" s="795"/>
      <c r="O187" s="795"/>
      <c r="P187" s="847">
        <v>1.5</v>
      </c>
      <c r="Q187" s="829"/>
      <c r="R187" s="829"/>
      <c r="S187" s="829"/>
      <c r="T187" s="847">
        <f t="shared" ref="T187" si="17">SUM(F187:S187)</f>
        <v>1.5</v>
      </c>
      <c r="U187" s="847">
        <f>T187</f>
        <v>1.5</v>
      </c>
      <c r="V187" s="744" t="s">
        <v>1857</v>
      </c>
      <c r="W187" s="1172"/>
      <c r="X187" s="1172"/>
      <c r="Y187" s="1172"/>
      <c r="Z187" s="1172"/>
    </row>
    <row r="188" spans="1:26" ht="39.75" customHeight="1">
      <c r="A188" s="736"/>
      <c r="B188" s="736"/>
      <c r="C188" s="736"/>
      <c r="D188" s="795">
        <v>179</v>
      </c>
      <c r="E188" s="795" t="s">
        <v>157</v>
      </c>
      <c r="F188" s="795"/>
      <c r="G188" s="795"/>
      <c r="H188" s="795"/>
      <c r="I188" s="795"/>
      <c r="J188" s="795"/>
      <c r="K188" s="795"/>
      <c r="L188" s="795"/>
      <c r="M188" s="795"/>
      <c r="N188" s="795"/>
      <c r="O188" s="795"/>
      <c r="P188" s="795"/>
      <c r="Q188" s="795"/>
      <c r="R188" s="795"/>
      <c r="S188" s="795"/>
      <c r="T188" s="797">
        <f t="shared" si="9"/>
        <v>0</v>
      </c>
      <c r="U188" s="797">
        <v>0</v>
      </c>
      <c r="V188" s="788"/>
      <c r="W188" s="1172"/>
      <c r="X188" s="1172"/>
      <c r="Y188" s="1172"/>
      <c r="Z188" s="1172"/>
    </row>
    <row r="189" spans="1:26" ht="39.75" customHeight="1">
      <c r="A189" s="736"/>
      <c r="B189" s="736"/>
      <c r="C189" s="736"/>
      <c r="D189" s="795">
        <v>180</v>
      </c>
      <c r="E189" s="795" t="s">
        <v>356</v>
      </c>
      <c r="F189" s="795"/>
      <c r="G189" s="795"/>
      <c r="H189" s="795"/>
      <c r="I189" s="795"/>
      <c r="J189" s="795"/>
      <c r="K189" s="797"/>
      <c r="L189" s="795"/>
      <c r="M189" s="795"/>
      <c r="N189" s="795"/>
      <c r="O189" s="795"/>
      <c r="P189" s="796"/>
      <c r="Q189" s="795"/>
      <c r="R189" s="795"/>
      <c r="S189" s="795"/>
      <c r="T189" s="797">
        <f t="shared" si="9"/>
        <v>0</v>
      </c>
      <c r="U189" s="797">
        <v>0</v>
      </c>
      <c r="V189" s="788"/>
      <c r="W189" s="1172"/>
      <c r="X189" s="1172"/>
      <c r="Y189" s="1172"/>
      <c r="Z189" s="1172"/>
    </row>
    <row r="190" spans="1:26" ht="39.75" customHeight="1">
      <c r="A190" s="736"/>
      <c r="B190" s="736"/>
      <c r="C190" s="736"/>
      <c r="D190" s="795">
        <v>181</v>
      </c>
      <c r="E190" s="795" t="s">
        <v>357</v>
      </c>
      <c r="F190" s="795"/>
      <c r="G190" s="795"/>
      <c r="H190" s="795"/>
      <c r="I190" s="795"/>
      <c r="J190" s="795"/>
      <c r="K190" s="795"/>
      <c r="L190" s="795"/>
      <c r="M190" s="795"/>
      <c r="N190" s="795"/>
      <c r="O190" s="795"/>
      <c r="P190" s="795"/>
      <c r="Q190" s="795"/>
      <c r="R190" s="795"/>
      <c r="S190" s="795"/>
      <c r="T190" s="797">
        <f t="shared" si="9"/>
        <v>0</v>
      </c>
      <c r="U190" s="797">
        <v>0</v>
      </c>
      <c r="V190" s="788"/>
      <c r="W190" s="1172"/>
      <c r="X190" s="1172"/>
      <c r="Y190" s="1172"/>
      <c r="Z190" s="1172"/>
    </row>
    <row r="191" spans="1:26" ht="39.75" customHeight="1">
      <c r="A191" s="736"/>
      <c r="B191" s="736"/>
      <c r="C191" s="736"/>
      <c r="D191" s="795">
        <v>182</v>
      </c>
      <c r="E191" s="795" t="s">
        <v>358</v>
      </c>
      <c r="F191" s="795"/>
      <c r="G191" s="795"/>
      <c r="H191" s="795"/>
      <c r="I191" s="795"/>
      <c r="J191" s="795"/>
      <c r="K191" s="795"/>
      <c r="L191" s="795"/>
      <c r="M191" s="795"/>
      <c r="N191" s="795"/>
      <c r="O191" s="795"/>
      <c r="P191" s="797">
        <v>19.440000000000001</v>
      </c>
      <c r="Q191" s="795"/>
      <c r="R191" s="795"/>
      <c r="S191" s="795"/>
      <c r="T191" s="797">
        <f t="shared" si="9"/>
        <v>19.440000000000001</v>
      </c>
      <c r="U191" s="658">
        <f>T191*1.05</f>
        <v>20.412000000000003</v>
      </c>
      <c r="V191" s="788" t="s">
        <v>732</v>
      </c>
      <c r="W191" s="1172"/>
      <c r="X191" s="1172"/>
      <c r="Y191" s="1172"/>
      <c r="Z191" s="1172"/>
    </row>
    <row r="192" spans="1:26" ht="39.75" customHeight="1">
      <c r="A192" s="736"/>
      <c r="B192" s="736"/>
      <c r="C192" s="736"/>
      <c r="D192" s="795">
        <v>183</v>
      </c>
      <c r="E192" s="795" t="s">
        <v>360</v>
      </c>
      <c r="F192" s="795"/>
      <c r="G192" s="795"/>
      <c r="H192" s="795"/>
      <c r="I192" s="795"/>
      <c r="J192" s="795"/>
      <c r="K192" s="795"/>
      <c r="L192" s="795"/>
      <c r="M192" s="795"/>
      <c r="N192" s="795"/>
      <c r="O192" s="795"/>
      <c r="P192" s="796"/>
      <c r="Q192" s="795"/>
      <c r="R192" s="795"/>
      <c r="S192" s="795"/>
      <c r="T192" s="797">
        <f t="shared" si="9"/>
        <v>0</v>
      </c>
      <c r="U192" s="797">
        <v>0</v>
      </c>
      <c r="V192" s="788"/>
      <c r="W192" s="1172"/>
      <c r="X192" s="1172"/>
      <c r="Y192" s="1172"/>
      <c r="Z192" s="1172"/>
    </row>
    <row r="193" spans="1:26" ht="39.75" customHeight="1">
      <c r="A193" s="736"/>
      <c r="B193" s="795" t="s">
        <v>361</v>
      </c>
      <c r="C193" s="795" t="s">
        <v>362</v>
      </c>
      <c r="D193" s="795">
        <v>184</v>
      </c>
      <c r="E193" s="795" t="s">
        <v>363</v>
      </c>
      <c r="F193" s="795"/>
      <c r="G193" s="795"/>
      <c r="H193" s="795"/>
      <c r="I193" s="795"/>
      <c r="J193" s="795"/>
      <c r="K193" s="795"/>
      <c r="L193" s="795"/>
      <c r="M193" s="795"/>
      <c r="N193" s="795"/>
      <c r="O193" s="795"/>
      <c r="P193" s="797"/>
      <c r="Q193" s="795"/>
      <c r="R193" s="795"/>
      <c r="S193" s="795"/>
      <c r="T193" s="797">
        <f t="shared" si="9"/>
        <v>0</v>
      </c>
      <c r="U193" s="797">
        <v>0</v>
      </c>
      <c r="V193" s="788"/>
      <c r="W193" s="1172"/>
      <c r="X193" s="1172"/>
      <c r="Y193" s="1172"/>
      <c r="Z193" s="1172"/>
    </row>
    <row r="194" spans="1:26" ht="39.75" customHeight="1">
      <c r="A194" s="736"/>
      <c r="B194" s="1170" t="s">
        <v>364</v>
      </c>
      <c r="C194" s="1170" t="s">
        <v>297</v>
      </c>
      <c r="D194" s="795">
        <v>185</v>
      </c>
      <c r="E194" s="795" t="s">
        <v>298</v>
      </c>
      <c r="F194" s="795"/>
      <c r="G194" s="795"/>
      <c r="H194" s="795"/>
      <c r="I194" s="795"/>
      <c r="J194" s="795"/>
      <c r="K194" s="795"/>
      <c r="L194" s="795"/>
      <c r="M194" s="795"/>
      <c r="N194" s="795"/>
      <c r="O194" s="795"/>
      <c r="P194" s="887">
        <v>3192.6025699999996</v>
      </c>
      <c r="Q194" s="795"/>
      <c r="R194" s="795"/>
      <c r="S194" s="795"/>
      <c r="T194" s="797">
        <f t="shared" si="9"/>
        <v>3192.6025699999996</v>
      </c>
      <c r="U194" s="887">
        <v>3430.1322012079995</v>
      </c>
      <c r="V194" s="1206" t="s">
        <v>1732</v>
      </c>
      <c r="W194" s="1172"/>
      <c r="X194" s="1172"/>
      <c r="Y194" s="1172"/>
      <c r="Z194" s="1172"/>
    </row>
    <row r="195" spans="1:26" ht="135">
      <c r="A195" s="736"/>
      <c r="B195" s="736"/>
      <c r="C195" s="736"/>
      <c r="D195" s="795">
        <v>186</v>
      </c>
      <c r="E195" s="795" t="s">
        <v>299</v>
      </c>
      <c r="F195" s="795"/>
      <c r="G195" s="795"/>
      <c r="H195" s="795"/>
      <c r="I195" s="795"/>
      <c r="J195" s="795"/>
      <c r="K195" s="795"/>
      <c r="L195" s="795"/>
      <c r="M195" s="795"/>
      <c r="N195" s="795"/>
      <c r="O195" s="795"/>
      <c r="P195" s="796">
        <f>15.12+4.025</f>
        <v>19.145</v>
      </c>
      <c r="Q195" s="797"/>
      <c r="R195" s="795"/>
      <c r="S195" s="795"/>
      <c r="T195" s="797">
        <f t="shared" si="9"/>
        <v>19.145</v>
      </c>
      <c r="U195" s="797">
        <f>T195</f>
        <v>19.145</v>
      </c>
      <c r="V195" s="729" t="s">
        <v>733</v>
      </c>
      <c r="W195" s="1172"/>
      <c r="X195" s="1172"/>
      <c r="Y195" s="1172"/>
      <c r="Z195" s="1172"/>
    </row>
    <row r="196" spans="1:26" ht="39.75" customHeight="1">
      <c r="A196" s="736"/>
      <c r="B196" s="736"/>
      <c r="C196" s="736"/>
      <c r="D196" s="795">
        <v>187</v>
      </c>
      <c r="E196" s="795" t="s">
        <v>367</v>
      </c>
      <c r="F196" s="795"/>
      <c r="G196" s="795"/>
      <c r="H196" s="795"/>
      <c r="I196" s="795"/>
      <c r="J196" s="795"/>
      <c r="K196" s="795"/>
      <c r="L196" s="795"/>
      <c r="M196" s="795"/>
      <c r="N196" s="795"/>
      <c r="O196" s="795"/>
      <c r="P196" s="783">
        <v>1126.3027999999999</v>
      </c>
      <c r="Q196" s="795"/>
      <c r="R196" s="795"/>
      <c r="S196" s="795"/>
      <c r="T196" s="797">
        <f t="shared" si="9"/>
        <v>1126.3027999999999</v>
      </c>
      <c r="U196" s="887">
        <v>1220.2364535200002</v>
      </c>
      <c r="V196" s="1206" t="s">
        <v>1732</v>
      </c>
      <c r="W196" s="1172"/>
      <c r="X196" s="1172"/>
      <c r="Y196" s="1172"/>
      <c r="Z196" s="1172"/>
    </row>
    <row r="197" spans="1:26" ht="39.75" customHeight="1">
      <c r="A197" s="736"/>
      <c r="B197" s="736"/>
      <c r="C197" s="736"/>
      <c r="D197" s="795">
        <v>188</v>
      </c>
      <c r="E197" s="795" t="s">
        <v>300</v>
      </c>
      <c r="F197" s="795"/>
      <c r="G197" s="795"/>
      <c r="H197" s="795"/>
      <c r="I197" s="795"/>
      <c r="J197" s="795"/>
      <c r="K197" s="795"/>
      <c r="L197" s="795"/>
      <c r="M197" s="795"/>
      <c r="N197" s="795"/>
      <c r="O197" s="795"/>
      <c r="P197" s="795"/>
      <c r="Q197" s="795"/>
      <c r="R197" s="795"/>
      <c r="S197" s="795"/>
      <c r="T197" s="797">
        <f t="shared" si="9"/>
        <v>0</v>
      </c>
      <c r="U197" s="797">
        <v>0</v>
      </c>
      <c r="V197" s="788"/>
      <c r="W197" s="1172"/>
      <c r="X197" s="1172"/>
      <c r="Y197" s="1172"/>
      <c r="Z197" s="1172"/>
    </row>
    <row r="198" spans="1:26" ht="39.75" customHeight="1">
      <c r="A198" s="736"/>
      <c r="B198" s="736"/>
      <c r="C198" s="736"/>
      <c r="D198" s="795">
        <v>189</v>
      </c>
      <c r="E198" s="795" t="s">
        <v>301</v>
      </c>
      <c r="F198" s="795"/>
      <c r="G198" s="795"/>
      <c r="H198" s="795"/>
      <c r="I198" s="795"/>
      <c r="J198" s="795"/>
      <c r="K198" s="795"/>
      <c r="L198" s="795"/>
      <c r="M198" s="795"/>
      <c r="N198" s="795"/>
      <c r="O198" s="795"/>
      <c r="P198" s="795"/>
      <c r="Q198" s="795"/>
      <c r="R198" s="795"/>
      <c r="S198" s="795"/>
      <c r="T198" s="797">
        <f t="shared" si="9"/>
        <v>0</v>
      </c>
      <c r="U198" s="797">
        <v>0</v>
      </c>
      <c r="V198" s="788"/>
      <c r="W198" s="1172"/>
      <c r="X198" s="1172"/>
      <c r="Y198" s="1172"/>
      <c r="Z198" s="1172"/>
    </row>
    <row r="199" spans="1:26" ht="39.75" customHeight="1">
      <c r="A199" s="736"/>
      <c r="B199" s="736"/>
      <c r="C199" s="736"/>
      <c r="D199" s="795">
        <v>190</v>
      </c>
      <c r="E199" s="795" t="s">
        <v>368</v>
      </c>
      <c r="F199" s="795"/>
      <c r="G199" s="795"/>
      <c r="H199" s="795"/>
      <c r="I199" s="795"/>
      <c r="J199" s="795"/>
      <c r="K199" s="795"/>
      <c r="L199" s="795"/>
      <c r="M199" s="795"/>
      <c r="N199" s="795"/>
      <c r="O199" s="795"/>
      <c r="P199" s="796"/>
      <c r="Q199" s="795"/>
      <c r="R199" s="795"/>
      <c r="S199" s="795"/>
      <c r="T199" s="797">
        <f t="shared" si="9"/>
        <v>0</v>
      </c>
      <c r="U199" s="797">
        <v>0</v>
      </c>
      <c r="V199" s="788" t="s">
        <v>369</v>
      </c>
      <c r="W199" s="1172"/>
      <c r="X199" s="1172"/>
      <c r="Y199" s="1172"/>
      <c r="Z199" s="1172"/>
    </row>
    <row r="200" spans="1:26" ht="165">
      <c r="A200" s="736"/>
      <c r="B200" s="1170" t="s">
        <v>370</v>
      </c>
      <c r="C200" s="1170" t="s">
        <v>371</v>
      </c>
      <c r="D200" s="795">
        <v>191</v>
      </c>
      <c r="E200" s="795" t="s">
        <v>372</v>
      </c>
      <c r="F200" s="795"/>
      <c r="G200" s="795"/>
      <c r="H200" s="795"/>
      <c r="I200" s="795"/>
      <c r="J200" s="795"/>
      <c r="K200" s="795"/>
      <c r="L200" s="795"/>
      <c r="M200" s="795"/>
      <c r="N200" s="797">
        <v>10.1</v>
      </c>
      <c r="O200" s="795"/>
      <c r="P200" s="795"/>
      <c r="Q200" s="795"/>
      <c r="R200" s="795"/>
      <c r="S200" s="795"/>
      <c r="T200" s="797">
        <f t="shared" si="9"/>
        <v>10.1</v>
      </c>
      <c r="U200" s="797">
        <v>18.47</v>
      </c>
      <c r="V200" s="738" t="s">
        <v>734</v>
      </c>
      <c r="W200" s="1172"/>
      <c r="X200" s="1172"/>
      <c r="Y200" s="1172"/>
      <c r="Z200" s="1172"/>
    </row>
    <row r="201" spans="1:26" ht="150">
      <c r="A201" s="736"/>
      <c r="B201" s="736"/>
      <c r="C201" s="736"/>
      <c r="D201" s="795">
        <v>192</v>
      </c>
      <c r="E201" s="795" t="s">
        <v>373</v>
      </c>
      <c r="F201" s="795"/>
      <c r="G201" s="795"/>
      <c r="H201" s="796"/>
      <c r="I201" s="795"/>
      <c r="J201" s="795"/>
      <c r="K201" s="795"/>
      <c r="L201" s="795"/>
      <c r="M201" s="795"/>
      <c r="N201" s="797">
        <v>18</v>
      </c>
      <c r="O201" s="795"/>
      <c r="P201" s="797"/>
      <c r="Q201" s="796"/>
      <c r="R201" s="795"/>
      <c r="S201" s="795"/>
      <c r="T201" s="797">
        <f t="shared" si="9"/>
        <v>18</v>
      </c>
      <c r="U201" s="797">
        <v>19.53</v>
      </c>
      <c r="V201" s="1175" t="s">
        <v>735</v>
      </c>
      <c r="W201" s="1172"/>
      <c r="X201" s="1172"/>
      <c r="Y201" s="1172"/>
      <c r="Z201" s="1172"/>
    </row>
    <row r="202" spans="1:26" ht="39.75" customHeight="1">
      <c r="A202" s="736"/>
      <c r="B202" s="1170" t="s">
        <v>374</v>
      </c>
      <c r="C202" s="1170" t="s">
        <v>303</v>
      </c>
      <c r="D202" s="795">
        <v>193</v>
      </c>
      <c r="E202" s="795" t="s">
        <v>375</v>
      </c>
      <c r="F202" s="795"/>
      <c r="G202" s="795"/>
      <c r="H202" s="795"/>
      <c r="I202" s="795"/>
      <c r="J202" s="795"/>
      <c r="K202" s="795"/>
      <c r="L202" s="795"/>
      <c r="M202" s="795"/>
      <c r="N202" s="795"/>
      <c r="O202" s="795"/>
      <c r="P202" s="797"/>
      <c r="Q202" s="795"/>
      <c r="R202" s="795"/>
      <c r="S202" s="796"/>
      <c r="T202" s="797">
        <f t="shared" si="9"/>
        <v>0</v>
      </c>
      <c r="U202" s="797">
        <v>0</v>
      </c>
      <c r="V202" s="788"/>
      <c r="W202" s="1172"/>
      <c r="X202" s="1172"/>
      <c r="Y202" s="1172"/>
      <c r="Z202" s="1172"/>
    </row>
    <row r="203" spans="1:26" ht="240">
      <c r="A203" s="736"/>
      <c r="B203" s="736"/>
      <c r="C203" s="736"/>
      <c r="D203" s="795">
        <v>194</v>
      </c>
      <c r="E203" s="795" t="s">
        <v>304</v>
      </c>
      <c r="F203" s="795"/>
      <c r="G203" s="795"/>
      <c r="H203" s="795"/>
      <c r="I203" s="795"/>
      <c r="J203" s="795"/>
      <c r="K203" s="795"/>
      <c r="L203" s="795"/>
      <c r="M203" s="795"/>
      <c r="N203" s="797">
        <v>1.2</v>
      </c>
      <c r="O203" s="795"/>
      <c r="P203" s="795"/>
      <c r="Q203" s="797"/>
      <c r="R203" s="797">
        <v>51.65</v>
      </c>
      <c r="S203" s="795"/>
      <c r="T203" s="797">
        <f t="shared" si="9"/>
        <v>52.85</v>
      </c>
      <c r="U203" s="658">
        <f>R203*1.05+N203</f>
        <v>55.432500000000005</v>
      </c>
      <c r="V203" s="729" t="s">
        <v>1604</v>
      </c>
      <c r="W203" s="1172"/>
      <c r="X203" s="1172"/>
      <c r="Y203" s="1172"/>
      <c r="Z203" s="1172"/>
    </row>
    <row r="204" spans="1:26" ht="150">
      <c r="A204" s="736"/>
      <c r="B204" s="1170" t="s">
        <v>376</v>
      </c>
      <c r="C204" s="1170" t="s">
        <v>377</v>
      </c>
      <c r="D204" s="795">
        <v>195</v>
      </c>
      <c r="E204" s="795" t="s">
        <v>378</v>
      </c>
      <c r="F204" s="795"/>
      <c r="G204" s="795"/>
      <c r="H204" s="795"/>
      <c r="I204" s="795"/>
      <c r="J204" s="795"/>
      <c r="K204" s="795"/>
      <c r="L204" s="795"/>
      <c r="M204" s="795"/>
      <c r="N204" s="795"/>
      <c r="O204" s="795"/>
      <c r="P204" s="797"/>
      <c r="Q204" s="1188">
        <v>1.91</v>
      </c>
      <c r="R204" s="797">
        <v>2.9</v>
      </c>
      <c r="S204" s="795">
        <v>4.55</v>
      </c>
      <c r="T204" s="797">
        <f t="shared" si="9"/>
        <v>9.36</v>
      </c>
      <c r="U204" s="797">
        <f>T204</f>
        <v>9.36</v>
      </c>
      <c r="V204" s="1175" t="s">
        <v>736</v>
      </c>
      <c r="W204" s="1172"/>
      <c r="X204" s="1172"/>
      <c r="Y204" s="1172"/>
      <c r="Z204" s="1172"/>
    </row>
    <row r="205" spans="1:26" ht="39.75" customHeight="1">
      <c r="A205" s="736"/>
      <c r="B205" s="736"/>
      <c r="C205" s="736"/>
      <c r="D205" s="795">
        <v>196</v>
      </c>
      <c r="E205" s="795" t="s">
        <v>379</v>
      </c>
      <c r="F205" s="795"/>
      <c r="G205" s="795"/>
      <c r="H205" s="795"/>
      <c r="I205" s="795"/>
      <c r="J205" s="795"/>
      <c r="K205" s="795"/>
      <c r="L205" s="795"/>
      <c r="M205" s="795"/>
      <c r="N205" s="795"/>
      <c r="O205" s="795"/>
      <c r="P205" s="795"/>
      <c r="Q205" s="795"/>
      <c r="R205" s="795"/>
      <c r="S205" s="795"/>
      <c r="T205" s="797">
        <f t="shared" si="9"/>
        <v>0</v>
      </c>
      <c r="U205" s="797">
        <v>0</v>
      </c>
      <c r="V205" s="788"/>
      <c r="W205" s="1172"/>
      <c r="X205" s="1172"/>
      <c r="Y205" s="1172"/>
      <c r="Z205" s="1172"/>
    </row>
    <row r="206" spans="1:26" ht="370.5">
      <c r="A206" s="736"/>
      <c r="B206" s="736"/>
      <c r="C206" s="736"/>
      <c r="D206" s="795">
        <v>197</v>
      </c>
      <c r="E206" s="795" t="s">
        <v>380</v>
      </c>
      <c r="F206" s="781"/>
      <c r="G206" s="781"/>
      <c r="H206" s="781"/>
      <c r="I206" s="781"/>
      <c r="J206" s="781"/>
      <c r="K206" s="781"/>
      <c r="L206" s="781"/>
      <c r="M206" s="781"/>
      <c r="N206" s="767">
        <v>0.25</v>
      </c>
      <c r="O206" s="781"/>
      <c r="P206" s="789">
        <v>22.28</v>
      </c>
      <c r="Q206" s="767"/>
      <c r="R206" s="767">
        <v>0.05</v>
      </c>
      <c r="S206" s="767"/>
      <c r="T206" s="651">
        <f>SUM(N206:S206)</f>
        <v>22.580000000000002</v>
      </c>
      <c r="U206" s="789">
        <v>22.33</v>
      </c>
      <c r="V206" s="503" t="s">
        <v>1672</v>
      </c>
      <c r="W206" s="1172"/>
      <c r="X206" s="1172"/>
      <c r="Y206" s="1172"/>
      <c r="Z206" s="1172"/>
    </row>
    <row r="207" spans="1:26" ht="39.75" customHeight="1">
      <c r="A207" s="736"/>
      <c r="B207" s="795" t="s">
        <v>381</v>
      </c>
      <c r="C207" s="795" t="s">
        <v>309</v>
      </c>
      <c r="D207" s="795">
        <v>198</v>
      </c>
      <c r="E207" s="795" t="s">
        <v>310</v>
      </c>
      <c r="F207" s="795"/>
      <c r="G207" s="795"/>
      <c r="H207" s="795"/>
      <c r="I207" s="795"/>
      <c r="J207" s="795"/>
      <c r="K207" s="795"/>
      <c r="L207" s="795"/>
      <c r="M207" s="795"/>
      <c r="N207" s="795"/>
      <c r="O207" s="795"/>
      <c r="P207" s="795"/>
      <c r="Q207" s="795"/>
      <c r="R207" s="795"/>
      <c r="S207" s="795"/>
      <c r="T207" s="797">
        <f t="shared" ref="T207:T211" si="18">SUM(F207:S207)</f>
        <v>0</v>
      </c>
      <c r="U207" s="797"/>
      <c r="V207" s="788" t="s">
        <v>737</v>
      </c>
      <c r="W207" s="1172"/>
      <c r="X207" s="1172"/>
      <c r="Y207" s="1172"/>
      <c r="Z207" s="1172"/>
    </row>
    <row r="208" spans="1:26" ht="97.5" customHeight="1">
      <c r="A208" s="736"/>
      <c r="B208" s="795" t="s">
        <v>382</v>
      </c>
      <c r="C208" s="795" t="s">
        <v>312</v>
      </c>
      <c r="D208" s="795">
        <v>199</v>
      </c>
      <c r="E208" s="795" t="s">
        <v>313</v>
      </c>
      <c r="F208" s="1186"/>
      <c r="G208" s="1186"/>
      <c r="H208" s="1186"/>
      <c r="I208" s="1186"/>
      <c r="J208" s="1186"/>
      <c r="K208" s="1186"/>
      <c r="L208" s="1186"/>
      <c r="M208" s="1186"/>
      <c r="N208" s="1186"/>
      <c r="O208" s="1186"/>
      <c r="Q208" s="1186"/>
      <c r="R208" s="1186">
        <v>297.55</v>
      </c>
      <c r="S208" s="1186"/>
      <c r="T208" s="797">
        <f t="shared" si="18"/>
        <v>297.55</v>
      </c>
      <c r="U208" s="797">
        <f>T208</f>
        <v>297.55</v>
      </c>
      <c r="V208" s="729" t="s">
        <v>1829</v>
      </c>
      <c r="W208" s="1172"/>
      <c r="X208" s="1172"/>
      <c r="Y208" s="1172"/>
      <c r="Z208" s="1172"/>
    </row>
    <row r="209" spans="1:26" ht="60.6" customHeight="1">
      <c r="A209" s="736"/>
      <c r="B209" s="795" t="s">
        <v>383</v>
      </c>
      <c r="C209" s="795"/>
      <c r="D209" s="795">
        <v>200</v>
      </c>
      <c r="E209" s="795" t="s">
        <v>384</v>
      </c>
      <c r="F209" s="1186"/>
      <c r="G209" s="1186"/>
      <c r="H209" s="1186"/>
      <c r="I209" s="1186"/>
      <c r="J209" s="1186"/>
      <c r="K209" s="1186"/>
      <c r="L209" s="1186"/>
      <c r="M209" s="1186"/>
      <c r="N209" s="790">
        <v>0.1956</v>
      </c>
      <c r="O209" s="790"/>
      <c r="P209" s="790"/>
      <c r="Q209" s="790"/>
      <c r="R209" s="790">
        <v>1</v>
      </c>
      <c r="S209" s="790"/>
      <c r="T209" s="797">
        <f t="shared" si="18"/>
        <v>1.1956</v>
      </c>
      <c r="U209" s="658">
        <v>1.1956</v>
      </c>
      <c r="V209" s="749" t="s">
        <v>385</v>
      </c>
      <c r="W209" s="1172"/>
      <c r="X209" s="1172"/>
      <c r="Y209" s="1172"/>
      <c r="Z209" s="1172"/>
    </row>
    <row r="210" spans="1:26" ht="39.75" customHeight="1">
      <c r="A210" s="736"/>
      <c r="B210" s="701" t="s">
        <v>386</v>
      </c>
      <c r="C210" s="736"/>
      <c r="D210" s="736"/>
      <c r="E210" s="660"/>
      <c r="F210" s="660">
        <f t="shared" ref="F210:S210" si="19">SUM(F159:F209)</f>
        <v>0</v>
      </c>
      <c r="G210" s="667">
        <f t="shared" si="19"/>
        <v>0</v>
      </c>
      <c r="H210" s="667">
        <f t="shared" si="19"/>
        <v>0</v>
      </c>
      <c r="I210" s="668">
        <f t="shared" si="19"/>
        <v>12.8</v>
      </c>
      <c r="J210" s="660">
        <f t="shared" si="19"/>
        <v>0</v>
      </c>
      <c r="K210" s="660">
        <f t="shared" si="19"/>
        <v>0</v>
      </c>
      <c r="L210" s="660">
        <f t="shared" si="19"/>
        <v>0</v>
      </c>
      <c r="M210" s="660">
        <f t="shared" si="19"/>
        <v>31.7</v>
      </c>
      <c r="N210" s="668">
        <f t="shared" si="19"/>
        <v>101.5256</v>
      </c>
      <c r="O210" s="667">
        <f t="shared" si="19"/>
        <v>912.97500000000002</v>
      </c>
      <c r="P210" s="667">
        <f t="shared" si="19"/>
        <v>4569.300369999999</v>
      </c>
      <c r="Q210" s="660">
        <f t="shared" si="19"/>
        <v>23.335000000000001</v>
      </c>
      <c r="R210" s="660">
        <f t="shared" si="19"/>
        <v>355.94</v>
      </c>
      <c r="S210" s="660">
        <f t="shared" si="19"/>
        <v>4.55</v>
      </c>
      <c r="T210" s="668">
        <f t="shared" si="18"/>
        <v>6012.1259699999991</v>
      </c>
      <c r="U210" s="668">
        <f t="shared" ref="U210:V210" si="20">SUM(U159:U209)</f>
        <v>6359.3337547279998</v>
      </c>
      <c r="V210" s="795">
        <f t="shared" si="20"/>
        <v>0</v>
      </c>
      <c r="W210" s="1172"/>
      <c r="X210" s="1172"/>
      <c r="Y210" s="1172"/>
      <c r="Z210" s="1172"/>
    </row>
    <row r="211" spans="1:26" ht="39.75" customHeight="1">
      <c r="A211" s="702" t="s">
        <v>387</v>
      </c>
      <c r="B211" s="736"/>
      <c r="C211" s="736"/>
      <c r="D211" s="736"/>
      <c r="E211" s="791"/>
      <c r="F211" s="679">
        <f t="shared" ref="F211:S211" si="21">F210+F158+F134+F93+F68</f>
        <v>122.26410000000001</v>
      </c>
      <c r="G211" s="680">
        <f t="shared" si="21"/>
        <v>4</v>
      </c>
      <c r="H211" s="680">
        <f t="shared" si="21"/>
        <v>0</v>
      </c>
      <c r="I211" s="681">
        <f t="shared" si="21"/>
        <v>47.40278</v>
      </c>
      <c r="J211" s="679">
        <f t="shared" si="21"/>
        <v>0</v>
      </c>
      <c r="K211" s="681">
        <f t="shared" si="21"/>
        <v>93.286000000000001</v>
      </c>
      <c r="L211" s="679">
        <f t="shared" si="21"/>
        <v>5.6</v>
      </c>
      <c r="M211" s="680">
        <f t="shared" si="21"/>
        <v>83.915999999999997</v>
      </c>
      <c r="N211" s="681">
        <f t="shared" si="21"/>
        <v>189.9828</v>
      </c>
      <c r="O211" s="680">
        <f t="shared" si="21"/>
        <v>1316.1660999999999</v>
      </c>
      <c r="P211" s="680">
        <f t="shared" si="21"/>
        <v>7541.7279599999983</v>
      </c>
      <c r="Q211" s="679">
        <f t="shared" si="21"/>
        <v>116.55880000000001</v>
      </c>
      <c r="R211" s="680">
        <f t="shared" si="21"/>
        <v>435.88209999999998</v>
      </c>
      <c r="S211" s="680">
        <f t="shared" si="21"/>
        <v>22.49</v>
      </c>
      <c r="T211" s="681">
        <f t="shared" si="18"/>
        <v>9979.27664</v>
      </c>
      <c r="U211" s="681">
        <f>U210+U158+U134+U93+U68</f>
        <v>10479.040015484999</v>
      </c>
      <c r="V211" s="788"/>
      <c r="W211" s="1172"/>
      <c r="X211" s="1172"/>
      <c r="Y211" s="1172"/>
      <c r="Z211" s="1172"/>
    </row>
    <row r="212" spans="1:26" ht="24.75" customHeight="1">
      <c r="A212" s="1172"/>
      <c r="B212" s="1172"/>
      <c r="C212" s="1172"/>
      <c r="D212" s="1172"/>
      <c r="E212" s="1172"/>
      <c r="F212" s="1172"/>
      <c r="G212" s="1172"/>
      <c r="H212" s="1172"/>
      <c r="I212" s="1172"/>
      <c r="J212" s="1172"/>
      <c r="K212" s="1172"/>
      <c r="L212" s="1172"/>
      <c r="M212" s="1172"/>
      <c r="N212" s="1172"/>
      <c r="O212" s="1172"/>
      <c r="P212" s="1172"/>
      <c r="Q212" s="1172"/>
      <c r="R212" s="1172"/>
      <c r="S212" s="1172"/>
      <c r="T212" s="1189"/>
      <c r="U212" s="1189"/>
      <c r="V212" s="1190"/>
      <c r="W212" s="1172"/>
      <c r="X212" s="1172"/>
      <c r="Y212" s="1172"/>
      <c r="Z212" s="1172"/>
    </row>
    <row r="213" spans="1:26" ht="24.75" customHeight="1">
      <c r="A213" s="1172"/>
      <c r="B213" s="1172"/>
      <c r="C213" s="1172"/>
      <c r="D213" s="1172"/>
      <c r="E213" s="1172"/>
      <c r="F213" s="1172"/>
      <c r="G213" s="1172"/>
      <c r="H213" s="1172"/>
      <c r="I213" s="1172"/>
      <c r="J213" s="1172"/>
      <c r="K213" s="1172"/>
      <c r="L213" s="1172"/>
      <c r="M213" s="1172"/>
      <c r="N213" s="1172"/>
      <c r="O213" s="1172"/>
      <c r="P213" s="1172"/>
      <c r="Q213" s="1172" t="s">
        <v>738</v>
      </c>
      <c r="R213" s="1172"/>
      <c r="S213" s="1172"/>
      <c r="T213" s="1172"/>
      <c r="U213" s="1172"/>
      <c r="V213" s="1190"/>
      <c r="W213" s="1172"/>
      <c r="X213" s="1172"/>
      <c r="Y213" s="1172"/>
      <c r="Z213" s="1172"/>
    </row>
    <row r="214" spans="1:26" ht="24.75" customHeight="1">
      <c r="A214" s="1172"/>
      <c r="B214" s="1172"/>
      <c r="C214" s="1172"/>
      <c r="D214" s="1172"/>
      <c r="E214" s="1172"/>
      <c r="F214" s="1172"/>
      <c r="G214" s="1172"/>
      <c r="H214" s="1172"/>
      <c r="I214" s="1172"/>
      <c r="J214" s="1172"/>
      <c r="K214" s="1172"/>
      <c r="L214" s="1172"/>
      <c r="M214" s="1172"/>
      <c r="N214" s="1172"/>
      <c r="O214" s="1172"/>
      <c r="P214" s="1172"/>
      <c r="Q214" s="1172"/>
      <c r="R214" s="1172"/>
      <c r="S214" s="1172"/>
      <c r="T214" s="1172"/>
      <c r="U214" s="1172"/>
      <c r="V214" s="1190"/>
      <c r="W214" s="1172"/>
      <c r="X214" s="1172"/>
      <c r="Y214" s="1172"/>
      <c r="Z214" s="1172"/>
    </row>
    <row r="215" spans="1:26" ht="24.75" customHeight="1">
      <c r="A215" s="1172"/>
      <c r="B215" s="1172"/>
      <c r="C215" s="1172"/>
      <c r="D215" s="1172"/>
      <c r="E215" s="1172"/>
      <c r="F215" s="1172"/>
      <c r="G215" s="1172"/>
      <c r="H215" s="1172"/>
      <c r="I215" s="1172"/>
      <c r="J215" s="1172"/>
      <c r="K215" s="1172"/>
      <c r="L215" s="1172"/>
      <c r="M215" s="1172"/>
      <c r="N215" s="1172"/>
      <c r="O215" s="1172"/>
      <c r="P215" s="1172"/>
      <c r="Q215" s="1172"/>
      <c r="R215" s="1172"/>
      <c r="S215" s="1172"/>
      <c r="T215" s="1172"/>
      <c r="U215" s="1172"/>
      <c r="V215" s="1190"/>
      <c r="W215" s="1172"/>
      <c r="X215" s="1172"/>
      <c r="Y215" s="1172"/>
      <c r="Z215" s="1172"/>
    </row>
    <row r="216" spans="1:26" ht="24.75" customHeight="1">
      <c r="A216" s="1172"/>
      <c r="B216" s="1172"/>
      <c r="C216" s="1172"/>
      <c r="D216" s="1172"/>
      <c r="E216" s="1172"/>
      <c r="F216" s="1172"/>
      <c r="G216" s="1172"/>
      <c r="H216" s="1172"/>
      <c r="I216" s="1172"/>
      <c r="J216" s="1172"/>
      <c r="K216" s="1172"/>
      <c r="L216" s="1172"/>
      <c r="M216" s="1172"/>
      <c r="N216" s="1172"/>
      <c r="O216" s="1172"/>
      <c r="P216" s="1172"/>
      <c r="Q216" s="1172"/>
      <c r="R216" s="1172"/>
      <c r="S216" s="1172"/>
      <c r="T216" s="1172"/>
      <c r="U216" s="1172"/>
      <c r="V216" s="1190"/>
      <c r="W216" s="1172"/>
      <c r="X216" s="1172"/>
      <c r="Y216" s="1172"/>
      <c r="Z216" s="1172"/>
    </row>
    <row r="217" spans="1:26" ht="24.75" customHeight="1">
      <c r="A217" s="1172"/>
      <c r="B217" s="1172"/>
      <c r="C217" s="1172"/>
      <c r="D217" s="1172"/>
      <c r="E217" s="1172"/>
      <c r="F217" s="1172"/>
      <c r="G217" s="1172"/>
      <c r="H217" s="1172"/>
      <c r="I217" s="1172"/>
      <c r="J217" s="1172"/>
      <c r="K217" s="1172"/>
      <c r="L217" s="1172"/>
      <c r="M217" s="1172"/>
      <c r="N217" s="1172"/>
      <c r="O217" s="1172"/>
      <c r="P217" s="1172"/>
      <c r="Q217" s="1172"/>
      <c r="R217" s="1172"/>
      <c r="S217" s="1172"/>
      <c r="T217" s="1172"/>
      <c r="U217" s="1172"/>
      <c r="V217" s="1190"/>
      <c r="W217" s="1172"/>
      <c r="X217" s="1172"/>
      <c r="Y217" s="1172"/>
      <c r="Z217" s="1172"/>
    </row>
    <row r="218" spans="1:26" ht="24.75" customHeight="1">
      <c r="A218" s="1172"/>
      <c r="B218" s="1172"/>
      <c r="C218" s="1172"/>
      <c r="D218" s="1172"/>
      <c r="E218" s="1172"/>
      <c r="F218" s="1172"/>
      <c r="G218" s="1172"/>
      <c r="H218" s="1172"/>
      <c r="I218" s="1172"/>
      <c r="J218" s="1172"/>
      <c r="K218" s="1172"/>
      <c r="L218" s="1172"/>
      <c r="M218" s="1172"/>
      <c r="N218" s="1172"/>
      <c r="O218" s="1172"/>
      <c r="P218" s="1172"/>
      <c r="Q218" s="1172"/>
      <c r="R218" s="1172"/>
      <c r="S218" s="1172"/>
      <c r="T218" s="1172"/>
      <c r="U218" s="1172"/>
      <c r="V218" s="1190"/>
      <c r="W218" s="1172"/>
      <c r="X218" s="1172"/>
      <c r="Y218" s="1172"/>
      <c r="Z218" s="1172"/>
    </row>
    <row r="219" spans="1:26" ht="24.75" customHeight="1">
      <c r="A219" s="1172"/>
      <c r="B219" s="1172"/>
      <c r="C219" s="1172"/>
      <c r="D219" s="1172"/>
      <c r="E219" s="1172"/>
      <c r="F219" s="1172"/>
      <c r="G219" s="1172"/>
      <c r="H219" s="1172"/>
      <c r="I219" s="1172"/>
      <c r="J219" s="1172"/>
      <c r="K219" s="1172"/>
      <c r="L219" s="1172"/>
      <c r="M219" s="1172"/>
      <c r="N219" s="1172"/>
      <c r="O219" s="1172"/>
      <c r="P219" s="1172"/>
      <c r="Q219" s="1172"/>
      <c r="R219" s="1172"/>
      <c r="S219" s="1172"/>
      <c r="T219" s="1172"/>
      <c r="U219" s="1172"/>
      <c r="V219" s="1190"/>
      <c r="W219" s="1172"/>
      <c r="X219" s="1172"/>
      <c r="Y219" s="1172"/>
      <c r="Z219" s="1172"/>
    </row>
    <row r="220" spans="1:26" ht="24.75" customHeight="1">
      <c r="A220" s="1172"/>
      <c r="B220" s="1172"/>
      <c r="C220" s="1172"/>
      <c r="D220" s="1172"/>
      <c r="E220" s="1172"/>
      <c r="F220" s="1172"/>
      <c r="G220" s="1172"/>
      <c r="H220" s="1172"/>
      <c r="I220" s="1172"/>
      <c r="J220" s="1172"/>
      <c r="K220" s="1172"/>
      <c r="L220" s="1172"/>
      <c r="M220" s="1172"/>
      <c r="N220" s="1172"/>
      <c r="O220" s="1172"/>
      <c r="P220" s="1172"/>
      <c r="Q220" s="1172"/>
      <c r="R220" s="1172"/>
      <c r="S220" s="1172"/>
      <c r="T220" s="1172"/>
      <c r="U220" s="1172"/>
      <c r="V220" s="1190"/>
      <c r="W220" s="1172"/>
      <c r="X220" s="1172"/>
      <c r="Y220" s="1172"/>
      <c r="Z220" s="1172"/>
    </row>
    <row r="221" spans="1:26" ht="24.75" customHeight="1">
      <c r="A221" s="1172"/>
      <c r="B221" s="1172"/>
      <c r="C221" s="1172"/>
      <c r="D221" s="1172"/>
      <c r="E221" s="1172"/>
      <c r="F221" s="1172"/>
      <c r="G221" s="1172"/>
      <c r="H221" s="1172"/>
      <c r="I221" s="1172"/>
      <c r="J221" s="1172"/>
      <c r="K221" s="1172"/>
      <c r="L221" s="1172"/>
      <c r="M221" s="1172"/>
      <c r="N221" s="1172"/>
      <c r="O221" s="1172"/>
      <c r="P221" s="1172"/>
      <c r="Q221" s="1172"/>
      <c r="R221" s="1172"/>
      <c r="S221" s="1172"/>
      <c r="T221" s="1172"/>
      <c r="U221" s="1172"/>
      <c r="V221" s="1190"/>
      <c r="W221" s="1172"/>
      <c r="X221" s="1172"/>
      <c r="Y221" s="1172"/>
      <c r="Z221" s="1172"/>
    </row>
    <row r="222" spans="1:26" ht="24.75" customHeight="1">
      <c r="A222" s="1172"/>
      <c r="B222" s="1172"/>
      <c r="C222" s="1172"/>
      <c r="D222" s="1172"/>
      <c r="E222" s="1172"/>
      <c r="F222" s="1172"/>
      <c r="G222" s="1172"/>
      <c r="H222" s="1172"/>
      <c r="I222" s="1172"/>
      <c r="J222" s="1172"/>
      <c r="K222" s="1172"/>
      <c r="L222" s="1172"/>
      <c r="M222" s="1172"/>
      <c r="N222" s="1172"/>
      <c r="O222" s="1172"/>
      <c r="P222" s="1172"/>
      <c r="Q222" s="1172"/>
      <c r="R222" s="1172"/>
      <c r="S222" s="1172"/>
      <c r="T222" s="1172"/>
      <c r="U222" s="1172"/>
      <c r="V222" s="1190"/>
      <c r="W222" s="1172"/>
      <c r="X222" s="1172"/>
      <c r="Y222" s="1172"/>
      <c r="Z222" s="1172"/>
    </row>
    <row r="223" spans="1:26" ht="24.75" customHeight="1">
      <c r="A223" s="1172"/>
      <c r="B223" s="1172"/>
      <c r="C223" s="1172"/>
      <c r="D223" s="1172"/>
      <c r="E223" s="1172"/>
      <c r="F223" s="1172"/>
      <c r="G223" s="1172"/>
      <c r="H223" s="1172"/>
      <c r="I223" s="1172"/>
      <c r="J223" s="1172"/>
      <c r="K223" s="1172"/>
      <c r="L223" s="1172"/>
      <c r="M223" s="1172"/>
      <c r="N223" s="1172"/>
      <c r="O223" s="1172"/>
      <c r="P223" s="1172"/>
      <c r="Q223" s="1172"/>
      <c r="R223" s="1172"/>
      <c r="S223" s="1172"/>
      <c r="T223" s="1172"/>
      <c r="U223" s="1172"/>
      <c r="V223" s="1190"/>
      <c r="W223" s="1172"/>
      <c r="X223" s="1172"/>
      <c r="Y223" s="1172"/>
      <c r="Z223" s="1172"/>
    </row>
    <row r="224" spans="1:26" ht="24.75" customHeight="1">
      <c r="A224" s="1172"/>
      <c r="B224" s="1172"/>
      <c r="C224" s="1172"/>
      <c r="D224" s="1172"/>
      <c r="E224" s="1172"/>
      <c r="F224" s="1172"/>
      <c r="G224" s="1172"/>
      <c r="H224" s="1172"/>
      <c r="I224" s="1172"/>
      <c r="J224" s="1172"/>
      <c r="K224" s="1172"/>
      <c r="L224" s="1172"/>
      <c r="M224" s="1172"/>
      <c r="N224" s="1172"/>
      <c r="O224" s="1172"/>
      <c r="P224" s="1172"/>
      <c r="Q224" s="1172"/>
      <c r="R224" s="1172"/>
      <c r="S224" s="1172"/>
      <c r="T224" s="1172"/>
      <c r="U224" s="1172"/>
      <c r="V224" s="1190"/>
      <c r="W224" s="1172"/>
      <c r="X224" s="1172"/>
      <c r="Y224" s="1172"/>
      <c r="Z224" s="1172"/>
    </row>
    <row r="225" spans="1:26" ht="24.75" customHeight="1">
      <c r="A225" s="1172"/>
      <c r="B225" s="1172"/>
      <c r="C225" s="1172"/>
      <c r="D225" s="1172"/>
      <c r="E225" s="1172"/>
      <c r="F225" s="1172"/>
      <c r="G225" s="1172"/>
      <c r="H225" s="1172"/>
      <c r="I225" s="1172"/>
      <c r="J225" s="1172"/>
      <c r="K225" s="1172"/>
      <c r="L225" s="1172"/>
      <c r="M225" s="1172"/>
      <c r="N225" s="1172"/>
      <c r="O225" s="1172"/>
      <c r="P225" s="1172"/>
      <c r="Q225" s="1172"/>
      <c r="R225" s="1172"/>
      <c r="S225" s="1172"/>
      <c r="T225" s="1172"/>
      <c r="U225" s="1172"/>
      <c r="V225" s="1190"/>
      <c r="W225" s="1172"/>
      <c r="X225" s="1172"/>
      <c r="Y225" s="1172"/>
      <c r="Z225" s="1172"/>
    </row>
    <row r="226" spans="1:26" ht="24.75" customHeight="1">
      <c r="A226" s="1172"/>
      <c r="B226" s="1172"/>
      <c r="C226" s="1172"/>
      <c r="D226" s="1172"/>
      <c r="E226" s="1172"/>
      <c r="F226" s="1172"/>
      <c r="G226" s="1172"/>
      <c r="H226" s="1172"/>
      <c r="I226" s="1172"/>
      <c r="J226" s="1172"/>
      <c r="K226" s="1172"/>
      <c r="L226" s="1172"/>
      <c r="M226" s="1172"/>
      <c r="N226" s="1172"/>
      <c r="O226" s="1172"/>
      <c r="P226" s="1172"/>
      <c r="Q226" s="1172"/>
      <c r="R226" s="1172"/>
      <c r="S226" s="1172"/>
      <c r="T226" s="1172"/>
      <c r="U226" s="1172"/>
      <c r="V226" s="1190"/>
      <c r="W226" s="1172"/>
      <c r="X226" s="1172"/>
      <c r="Y226" s="1172"/>
      <c r="Z226" s="1172"/>
    </row>
    <row r="227" spans="1:26" ht="24.75" customHeight="1">
      <c r="A227" s="1172"/>
      <c r="B227" s="1172"/>
      <c r="C227" s="1172"/>
      <c r="D227" s="1172"/>
      <c r="E227" s="1172"/>
      <c r="F227" s="1172"/>
      <c r="G227" s="1172"/>
      <c r="H227" s="1172"/>
      <c r="I227" s="1172"/>
      <c r="J227" s="1172"/>
      <c r="K227" s="1172"/>
      <c r="L227" s="1172"/>
      <c r="M227" s="1172"/>
      <c r="N227" s="1172"/>
      <c r="O227" s="1172"/>
      <c r="P227" s="1172"/>
      <c r="Q227" s="1172"/>
      <c r="R227" s="1172"/>
      <c r="S227" s="1172"/>
      <c r="T227" s="1172"/>
      <c r="U227" s="1172"/>
      <c r="V227" s="1190"/>
      <c r="W227" s="1172"/>
      <c r="X227" s="1172"/>
      <c r="Y227" s="1172"/>
      <c r="Z227" s="1172"/>
    </row>
    <row r="228" spans="1:26" ht="24.75" customHeight="1">
      <c r="A228" s="1172"/>
      <c r="B228" s="1172"/>
      <c r="C228" s="1172"/>
      <c r="D228" s="1172"/>
      <c r="E228" s="1172"/>
      <c r="F228" s="1172"/>
      <c r="G228" s="1172"/>
      <c r="H228" s="1172"/>
      <c r="I228" s="1172"/>
      <c r="J228" s="1172"/>
      <c r="K228" s="1172"/>
      <c r="L228" s="1172"/>
      <c r="M228" s="1172"/>
      <c r="N228" s="1172"/>
      <c r="O228" s="1172"/>
      <c r="P228" s="1172"/>
      <c r="Q228" s="1172"/>
      <c r="R228" s="1172"/>
      <c r="S228" s="1172"/>
      <c r="T228" s="1172"/>
      <c r="U228" s="1172"/>
      <c r="V228" s="1190"/>
      <c r="W228" s="1172"/>
      <c r="X228" s="1172"/>
      <c r="Y228" s="1172"/>
      <c r="Z228" s="1172"/>
    </row>
    <row r="229" spans="1:26" ht="24.75" customHeight="1">
      <c r="A229" s="1172"/>
      <c r="B229" s="1172"/>
      <c r="C229" s="1172"/>
      <c r="D229" s="1172"/>
      <c r="E229" s="1172"/>
      <c r="F229" s="1172"/>
      <c r="G229" s="1172"/>
      <c r="H229" s="1172"/>
      <c r="I229" s="1172"/>
      <c r="J229" s="1172"/>
      <c r="K229" s="1172"/>
      <c r="L229" s="1172"/>
      <c r="M229" s="1172"/>
      <c r="N229" s="1172"/>
      <c r="O229" s="1172"/>
      <c r="P229" s="1172"/>
      <c r="Q229" s="1172"/>
      <c r="R229" s="1172"/>
      <c r="S229" s="1172"/>
      <c r="T229" s="1172"/>
      <c r="U229" s="1172"/>
      <c r="V229" s="1190"/>
      <c r="W229" s="1172"/>
      <c r="X229" s="1172"/>
      <c r="Y229" s="1172"/>
      <c r="Z229" s="1172"/>
    </row>
    <row r="230" spans="1:26" ht="24.75" customHeight="1">
      <c r="A230" s="1172"/>
      <c r="B230" s="1172"/>
      <c r="C230" s="1172"/>
      <c r="D230" s="1172"/>
      <c r="E230" s="1172"/>
      <c r="F230" s="1172"/>
      <c r="G230" s="1172"/>
      <c r="H230" s="1172"/>
      <c r="I230" s="1172"/>
      <c r="J230" s="1172"/>
      <c r="K230" s="1172"/>
      <c r="L230" s="1172"/>
      <c r="M230" s="1172"/>
      <c r="N230" s="1172"/>
      <c r="O230" s="1172"/>
      <c r="P230" s="1172"/>
      <c r="Q230" s="1172"/>
      <c r="R230" s="1172"/>
      <c r="S230" s="1172"/>
      <c r="T230" s="1172"/>
      <c r="U230" s="1172"/>
      <c r="V230" s="1190"/>
      <c r="W230" s="1172"/>
      <c r="X230" s="1172"/>
      <c r="Y230" s="1172"/>
      <c r="Z230" s="1172"/>
    </row>
    <row r="231" spans="1:26" ht="24.75" customHeight="1">
      <c r="A231" s="1172"/>
      <c r="B231" s="1172"/>
      <c r="C231" s="1172"/>
      <c r="D231" s="1172"/>
      <c r="E231" s="1172"/>
      <c r="F231" s="1172"/>
      <c r="G231" s="1172"/>
      <c r="H231" s="1172"/>
      <c r="I231" s="1172"/>
      <c r="J231" s="1172"/>
      <c r="K231" s="1172"/>
      <c r="L231" s="1172"/>
      <c r="M231" s="1172"/>
      <c r="N231" s="1172"/>
      <c r="O231" s="1172"/>
      <c r="P231" s="1172"/>
      <c r="Q231" s="1172"/>
      <c r="R231" s="1172"/>
      <c r="S231" s="1172"/>
      <c r="T231" s="1172"/>
      <c r="U231" s="1172"/>
      <c r="V231" s="1190"/>
      <c r="W231" s="1172"/>
      <c r="X231" s="1172"/>
      <c r="Y231" s="1172"/>
      <c r="Z231" s="1172"/>
    </row>
    <row r="232" spans="1:26" ht="24.75" customHeight="1">
      <c r="A232" s="1172"/>
      <c r="B232" s="1172"/>
      <c r="C232" s="1172"/>
      <c r="D232" s="1172"/>
      <c r="E232" s="1172"/>
      <c r="F232" s="1172"/>
      <c r="G232" s="1172"/>
      <c r="H232" s="1172"/>
      <c r="I232" s="1172"/>
      <c r="J232" s="1172"/>
      <c r="K232" s="1172"/>
      <c r="L232" s="1172"/>
      <c r="M232" s="1172"/>
      <c r="N232" s="1172"/>
      <c r="O232" s="1172"/>
      <c r="P232" s="1172"/>
      <c r="Q232" s="1172"/>
      <c r="R232" s="1172"/>
      <c r="S232" s="1172"/>
      <c r="T232" s="1172"/>
      <c r="U232" s="1172"/>
      <c r="V232" s="1190"/>
      <c r="W232" s="1172"/>
      <c r="X232" s="1172"/>
      <c r="Y232" s="1172"/>
      <c r="Z232" s="1172"/>
    </row>
    <row r="233" spans="1:26" ht="24.75" customHeight="1">
      <c r="A233" s="1172"/>
      <c r="B233" s="1172"/>
      <c r="C233" s="1172"/>
      <c r="D233" s="1172"/>
      <c r="E233" s="1172"/>
      <c r="F233" s="1172"/>
      <c r="G233" s="1172"/>
      <c r="H233" s="1172"/>
      <c r="I233" s="1172"/>
      <c r="J233" s="1172"/>
      <c r="K233" s="1172"/>
      <c r="L233" s="1172"/>
      <c r="M233" s="1172"/>
      <c r="N233" s="1172"/>
      <c r="O233" s="1172"/>
      <c r="P233" s="1172"/>
      <c r="Q233" s="1172"/>
      <c r="R233" s="1172"/>
      <c r="S233" s="1172"/>
      <c r="T233" s="1172"/>
      <c r="U233" s="1172"/>
      <c r="V233" s="1190"/>
      <c r="W233" s="1172"/>
      <c r="X233" s="1172"/>
      <c r="Y233" s="1172"/>
      <c r="Z233" s="1172"/>
    </row>
    <row r="234" spans="1:26" ht="24.75" customHeight="1">
      <c r="A234" s="1172"/>
      <c r="B234" s="1172"/>
      <c r="C234" s="1172"/>
      <c r="D234" s="1172"/>
      <c r="E234" s="1172"/>
      <c r="F234" s="1172"/>
      <c r="G234" s="1172"/>
      <c r="H234" s="1172"/>
      <c r="I234" s="1172"/>
      <c r="J234" s="1172"/>
      <c r="K234" s="1172"/>
      <c r="L234" s="1172"/>
      <c r="M234" s="1172"/>
      <c r="N234" s="1172"/>
      <c r="O234" s="1172"/>
      <c r="P234" s="1172"/>
      <c r="Q234" s="1172"/>
      <c r="R234" s="1172"/>
      <c r="S234" s="1172"/>
      <c r="T234" s="1172"/>
      <c r="U234" s="1172"/>
      <c r="V234" s="1190"/>
      <c r="W234" s="1172"/>
      <c r="X234" s="1172"/>
      <c r="Y234" s="1172"/>
      <c r="Z234" s="1172"/>
    </row>
    <row r="235" spans="1:26" ht="24.75" customHeight="1">
      <c r="A235" s="1172"/>
      <c r="B235" s="1172"/>
      <c r="C235" s="1172"/>
      <c r="D235" s="1172"/>
      <c r="E235" s="1172"/>
      <c r="F235" s="1172"/>
      <c r="G235" s="1172"/>
      <c r="H235" s="1172"/>
      <c r="I235" s="1172"/>
      <c r="J235" s="1172"/>
      <c r="K235" s="1172"/>
      <c r="L235" s="1172"/>
      <c r="M235" s="1172"/>
      <c r="N235" s="1172"/>
      <c r="O235" s="1172"/>
      <c r="P235" s="1172"/>
      <c r="Q235" s="1172"/>
      <c r="R235" s="1172"/>
      <c r="S235" s="1172"/>
      <c r="T235" s="1172"/>
      <c r="U235" s="1172"/>
      <c r="V235" s="1190"/>
      <c r="W235" s="1172"/>
      <c r="X235" s="1172"/>
      <c r="Y235" s="1172"/>
      <c r="Z235" s="1172"/>
    </row>
    <row r="236" spans="1:26" ht="24.75" customHeight="1">
      <c r="A236" s="1172"/>
      <c r="B236" s="1172"/>
      <c r="C236" s="1172"/>
      <c r="D236" s="1172"/>
      <c r="E236" s="1172"/>
      <c r="F236" s="1172"/>
      <c r="G236" s="1172"/>
      <c r="H236" s="1172"/>
      <c r="I236" s="1172"/>
      <c r="J236" s="1172"/>
      <c r="K236" s="1172"/>
      <c r="L236" s="1172"/>
      <c r="M236" s="1172"/>
      <c r="N236" s="1172"/>
      <c r="O236" s="1172"/>
      <c r="P236" s="1172"/>
      <c r="Q236" s="1172"/>
      <c r="R236" s="1172"/>
      <c r="S236" s="1172"/>
      <c r="T236" s="1172"/>
      <c r="U236" s="1172"/>
      <c r="V236" s="1190"/>
      <c r="W236" s="1172"/>
      <c r="X236" s="1172"/>
      <c r="Y236" s="1172"/>
      <c r="Z236" s="1172"/>
    </row>
    <row r="237" spans="1:26" ht="24.75" customHeight="1">
      <c r="A237" s="1172"/>
      <c r="B237" s="1172"/>
      <c r="C237" s="1172"/>
      <c r="D237" s="1172"/>
      <c r="E237" s="1172"/>
      <c r="F237" s="1172"/>
      <c r="G237" s="1172"/>
      <c r="H237" s="1172"/>
      <c r="I237" s="1172"/>
      <c r="J237" s="1172"/>
      <c r="K237" s="1172"/>
      <c r="L237" s="1172"/>
      <c r="M237" s="1172"/>
      <c r="N237" s="1172"/>
      <c r="O237" s="1172"/>
      <c r="P237" s="1172"/>
      <c r="Q237" s="1172"/>
      <c r="R237" s="1172"/>
      <c r="S237" s="1172"/>
      <c r="T237" s="1172"/>
      <c r="U237" s="1172"/>
      <c r="V237" s="1190"/>
      <c r="W237" s="1172"/>
      <c r="X237" s="1172"/>
      <c r="Y237" s="1172"/>
      <c r="Z237" s="1172"/>
    </row>
    <row r="238" spans="1:26" ht="24.75" customHeight="1">
      <c r="A238" s="1172"/>
      <c r="B238" s="1172"/>
      <c r="C238" s="1172"/>
      <c r="D238" s="1172"/>
      <c r="E238" s="1172"/>
      <c r="F238" s="1172"/>
      <c r="G238" s="1172"/>
      <c r="H238" s="1172"/>
      <c r="I238" s="1172"/>
      <c r="J238" s="1172"/>
      <c r="K238" s="1172"/>
      <c r="L238" s="1172"/>
      <c r="M238" s="1172"/>
      <c r="N238" s="1172"/>
      <c r="O238" s="1172"/>
      <c r="P238" s="1172"/>
      <c r="Q238" s="1172"/>
      <c r="R238" s="1172"/>
      <c r="S238" s="1172"/>
      <c r="T238" s="1172"/>
      <c r="U238" s="1172"/>
      <c r="V238" s="1190"/>
      <c r="W238" s="1172"/>
      <c r="X238" s="1172"/>
      <c r="Y238" s="1172"/>
      <c r="Z238" s="1172"/>
    </row>
    <row r="239" spans="1:26" ht="24.75" customHeight="1">
      <c r="A239" s="1172"/>
      <c r="B239" s="1172"/>
      <c r="C239" s="1172"/>
      <c r="D239" s="1172"/>
      <c r="E239" s="1172"/>
      <c r="F239" s="1172"/>
      <c r="G239" s="1172"/>
      <c r="H239" s="1172"/>
      <c r="I239" s="1172"/>
      <c r="J239" s="1172"/>
      <c r="K239" s="1172"/>
      <c r="L239" s="1172"/>
      <c r="M239" s="1172"/>
      <c r="N239" s="1172"/>
      <c r="O239" s="1172"/>
      <c r="P239" s="1172"/>
      <c r="Q239" s="1172"/>
      <c r="R239" s="1172"/>
      <c r="S239" s="1172"/>
      <c r="T239" s="1172"/>
      <c r="U239" s="1172"/>
      <c r="V239" s="1190"/>
      <c r="W239" s="1172"/>
      <c r="X239" s="1172"/>
      <c r="Y239" s="1172"/>
      <c r="Z239" s="1172"/>
    </row>
    <row r="240" spans="1:26" ht="24.75" customHeight="1">
      <c r="A240" s="1172"/>
      <c r="B240" s="1172"/>
      <c r="C240" s="1172"/>
      <c r="D240" s="1172"/>
      <c r="E240" s="1172"/>
      <c r="F240" s="1172"/>
      <c r="G240" s="1172"/>
      <c r="H240" s="1172"/>
      <c r="I240" s="1172"/>
      <c r="J240" s="1172"/>
      <c r="K240" s="1172"/>
      <c r="L240" s="1172"/>
      <c r="M240" s="1172"/>
      <c r="N240" s="1172"/>
      <c r="O240" s="1172"/>
      <c r="P240" s="1172"/>
      <c r="Q240" s="1172"/>
      <c r="R240" s="1172"/>
      <c r="S240" s="1172"/>
      <c r="T240" s="1172"/>
      <c r="U240" s="1172"/>
      <c r="V240" s="1190"/>
      <c r="W240" s="1172"/>
      <c r="X240" s="1172"/>
      <c r="Y240" s="1172"/>
      <c r="Z240" s="1172"/>
    </row>
    <row r="241" spans="1:26" ht="24.75" customHeight="1">
      <c r="A241" s="1172"/>
      <c r="B241" s="1172"/>
      <c r="C241" s="1172"/>
      <c r="D241" s="1172"/>
      <c r="E241" s="1172"/>
      <c r="F241" s="1172"/>
      <c r="G241" s="1172"/>
      <c r="H241" s="1172"/>
      <c r="I241" s="1172"/>
      <c r="J241" s="1172"/>
      <c r="K241" s="1172"/>
      <c r="L241" s="1172"/>
      <c r="M241" s="1172"/>
      <c r="N241" s="1172"/>
      <c r="O241" s="1172"/>
      <c r="P241" s="1172"/>
      <c r="Q241" s="1172"/>
      <c r="R241" s="1172"/>
      <c r="S241" s="1172"/>
      <c r="T241" s="1172"/>
      <c r="U241" s="1172"/>
      <c r="V241" s="1190"/>
      <c r="W241" s="1172"/>
      <c r="X241" s="1172"/>
      <c r="Y241" s="1172"/>
      <c r="Z241" s="1172"/>
    </row>
    <row r="242" spans="1:26" ht="24.75" customHeight="1">
      <c r="A242" s="1172"/>
      <c r="B242" s="1172"/>
      <c r="C242" s="1172"/>
      <c r="D242" s="1172"/>
      <c r="E242" s="1172"/>
      <c r="F242" s="1172"/>
      <c r="G242" s="1172"/>
      <c r="H242" s="1172"/>
      <c r="I242" s="1172"/>
      <c r="J242" s="1172"/>
      <c r="K242" s="1172"/>
      <c r="L242" s="1172"/>
      <c r="M242" s="1172"/>
      <c r="N242" s="1172"/>
      <c r="O242" s="1172"/>
      <c r="P242" s="1172"/>
      <c r="Q242" s="1172"/>
      <c r="R242" s="1172"/>
      <c r="S242" s="1172"/>
      <c r="T242" s="1172"/>
      <c r="U242" s="1172"/>
      <c r="V242" s="1190"/>
      <c r="W242" s="1172"/>
      <c r="X242" s="1172"/>
      <c r="Y242" s="1172"/>
      <c r="Z242" s="1172"/>
    </row>
    <row r="243" spans="1:26" ht="24.75" customHeight="1">
      <c r="A243" s="1172"/>
      <c r="B243" s="1172"/>
      <c r="C243" s="1172"/>
      <c r="D243" s="1172"/>
      <c r="E243" s="1172"/>
      <c r="F243" s="1172"/>
      <c r="G243" s="1172"/>
      <c r="H243" s="1172"/>
      <c r="I243" s="1172"/>
      <c r="J243" s="1172"/>
      <c r="K243" s="1172"/>
      <c r="L243" s="1172"/>
      <c r="M243" s="1172"/>
      <c r="N243" s="1172"/>
      <c r="O243" s="1172"/>
      <c r="P243" s="1172"/>
      <c r="Q243" s="1172"/>
      <c r="R243" s="1172"/>
      <c r="S243" s="1172"/>
      <c r="T243" s="1172"/>
      <c r="U243" s="1172"/>
      <c r="V243" s="1190"/>
      <c r="W243" s="1172"/>
      <c r="X243" s="1172"/>
      <c r="Y243" s="1172"/>
      <c r="Z243" s="1172"/>
    </row>
    <row r="244" spans="1:26" ht="24.75" customHeight="1">
      <c r="A244" s="1172"/>
      <c r="B244" s="1172"/>
      <c r="C244" s="1172"/>
      <c r="D244" s="1172"/>
      <c r="E244" s="1172"/>
      <c r="F244" s="1172"/>
      <c r="G244" s="1172"/>
      <c r="H244" s="1172"/>
      <c r="I244" s="1172"/>
      <c r="J244" s="1172"/>
      <c r="K244" s="1172"/>
      <c r="L244" s="1172"/>
      <c r="M244" s="1172"/>
      <c r="N244" s="1172"/>
      <c r="O244" s="1172"/>
      <c r="P244" s="1172"/>
      <c r="Q244" s="1172"/>
      <c r="R244" s="1172"/>
      <c r="S244" s="1172"/>
      <c r="T244" s="1172"/>
      <c r="U244" s="1172"/>
      <c r="V244" s="1190"/>
      <c r="W244" s="1172"/>
      <c r="X244" s="1172"/>
      <c r="Y244" s="1172"/>
      <c r="Z244" s="1172"/>
    </row>
    <row r="245" spans="1:26" ht="24.75" customHeight="1">
      <c r="A245" s="1172"/>
      <c r="B245" s="1172"/>
      <c r="C245" s="1172"/>
      <c r="D245" s="1172"/>
      <c r="E245" s="1172"/>
      <c r="F245" s="1172"/>
      <c r="G245" s="1172"/>
      <c r="H245" s="1172"/>
      <c r="I245" s="1172"/>
      <c r="J245" s="1172"/>
      <c r="K245" s="1172"/>
      <c r="L245" s="1172"/>
      <c r="M245" s="1172"/>
      <c r="N245" s="1172"/>
      <c r="O245" s="1172"/>
      <c r="P245" s="1172"/>
      <c r="Q245" s="1172"/>
      <c r="R245" s="1172"/>
      <c r="S245" s="1172"/>
      <c r="T245" s="1172"/>
      <c r="U245" s="1172"/>
      <c r="V245" s="1190"/>
      <c r="W245" s="1172"/>
      <c r="X245" s="1172"/>
      <c r="Y245" s="1172"/>
      <c r="Z245" s="1172"/>
    </row>
    <row r="246" spans="1:26" ht="24.75" customHeight="1">
      <c r="A246" s="1172"/>
      <c r="B246" s="1172"/>
      <c r="C246" s="1172"/>
      <c r="D246" s="1172"/>
      <c r="E246" s="1172"/>
      <c r="F246" s="1172"/>
      <c r="G246" s="1172"/>
      <c r="H246" s="1172"/>
      <c r="I246" s="1172"/>
      <c r="J246" s="1172"/>
      <c r="K246" s="1172"/>
      <c r="L246" s="1172"/>
      <c r="M246" s="1172"/>
      <c r="N246" s="1172"/>
      <c r="O246" s="1172"/>
      <c r="P246" s="1172"/>
      <c r="Q246" s="1172"/>
      <c r="R246" s="1172"/>
      <c r="S246" s="1172"/>
      <c r="T246" s="1172"/>
      <c r="U246" s="1172"/>
      <c r="V246" s="1190"/>
      <c r="W246" s="1172"/>
      <c r="X246" s="1172"/>
      <c r="Y246" s="1172"/>
      <c r="Z246" s="1172"/>
    </row>
    <row r="247" spans="1:26" ht="24.75" customHeight="1">
      <c r="A247" s="1172"/>
      <c r="B247" s="1172"/>
      <c r="C247" s="1172"/>
      <c r="D247" s="1172"/>
      <c r="E247" s="1172"/>
      <c r="F247" s="1172"/>
      <c r="G247" s="1172"/>
      <c r="H247" s="1172"/>
      <c r="I247" s="1172"/>
      <c r="J247" s="1172"/>
      <c r="K247" s="1172"/>
      <c r="L247" s="1172"/>
      <c r="M247" s="1172"/>
      <c r="N247" s="1172"/>
      <c r="O247" s="1172"/>
      <c r="P247" s="1172"/>
      <c r="Q247" s="1172"/>
      <c r="R247" s="1172"/>
      <c r="S247" s="1172"/>
      <c r="T247" s="1172"/>
      <c r="U247" s="1172"/>
      <c r="V247" s="1190"/>
      <c r="W247" s="1172"/>
      <c r="X247" s="1172"/>
      <c r="Y247" s="1172"/>
      <c r="Z247" s="1172"/>
    </row>
    <row r="248" spans="1:26" ht="24.75" customHeight="1">
      <c r="A248" s="1172"/>
      <c r="B248" s="1172"/>
      <c r="C248" s="1172"/>
      <c r="D248" s="1172"/>
      <c r="E248" s="1172"/>
      <c r="F248" s="1172"/>
      <c r="G248" s="1172"/>
      <c r="H248" s="1172"/>
      <c r="I248" s="1172"/>
      <c r="J248" s="1172"/>
      <c r="K248" s="1172"/>
      <c r="L248" s="1172"/>
      <c r="M248" s="1172"/>
      <c r="N248" s="1172"/>
      <c r="O248" s="1172"/>
      <c r="P248" s="1172"/>
      <c r="Q248" s="1172"/>
      <c r="R248" s="1172"/>
      <c r="S248" s="1172"/>
      <c r="T248" s="1172"/>
      <c r="U248" s="1172"/>
      <c r="V248" s="1190"/>
      <c r="W248" s="1172"/>
      <c r="X248" s="1172"/>
      <c r="Y248" s="1172"/>
      <c r="Z248" s="1172"/>
    </row>
    <row r="249" spans="1:26" ht="24.75" customHeight="1">
      <c r="A249" s="1172"/>
      <c r="B249" s="1172"/>
      <c r="C249" s="1172"/>
      <c r="D249" s="1172"/>
      <c r="E249" s="1172"/>
      <c r="F249" s="1172"/>
      <c r="G249" s="1172"/>
      <c r="H249" s="1172"/>
      <c r="I249" s="1172"/>
      <c r="J249" s="1172"/>
      <c r="K249" s="1172"/>
      <c r="L249" s="1172"/>
      <c r="M249" s="1172"/>
      <c r="N249" s="1172"/>
      <c r="O249" s="1172"/>
      <c r="P249" s="1172"/>
      <c r="Q249" s="1172"/>
      <c r="R249" s="1172"/>
      <c r="S249" s="1172"/>
      <c r="T249" s="1172"/>
      <c r="U249" s="1172"/>
      <c r="V249" s="1190"/>
      <c r="W249" s="1172"/>
      <c r="X249" s="1172"/>
      <c r="Y249" s="1172"/>
      <c r="Z249" s="1172"/>
    </row>
    <row r="250" spans="1:26" ht="24.75" customHeight="1">
      <c r="A250" s="1172"/>
      <c r="B250" s="1172"/>
      <c r="C250" s="1172"/>
      <c r="D250" s="1172"/>
      <c r="E250" s="1172"/>
      <c r="F250" s="1172"/>
      <c r="G250" s="1172"/>
      <c r="H250" s="1172"/>
      <c r="I250" s="1172"/>
      <c r="J250" s="1172"/>
      <c r="K250" s="1172"/>
      <c r="L250" s="1172"/>
      <c r="M250" s="1172"/>
      <c r="N250" s="1172"/>
      <c r="O250" s="1172"/>
      <c r="P250" s="1172"/>
      <c r="Q250" s="1172"/>
      <c r="R250" s="1172"/>
      <c r="S250" s="1172"/>
      <c r="T250" s="1172"/>
      <c r="U250" s="1172"/>
      <c r="V250" s="1190"/>
      <c r="W250" s="1172"/>
      <c r="X250" s="1172"/>
      <c r="Y250" s="1172"/>
      <c r="Z250" s="1172"/>
    </row>
    <row r="251" spans="1:26" ht="24.75" customHeight="1">
      <c r="A251" s="1172"/>
      <c r="B251" s="1172"/>
      <c r="C251" s="1172"/>
      <c r="D251" s="1172"/>
      <c r="E251" s="1172"/>
      <c r="F251" s="1172"/>
      <c r="G251" s="1172"/>
      <c r="H251" s="1172"/>
      <c r="I251" s="1172"/>
      <c r="J251" s="1172"/>
      <c r="K251" s="1172"/>
      <c r="L251" s="1172"/>
      <c r="M251" s="1172"/>
      <c r="N251" s="1172"/>
      <c r="O251" s="1172"/>
      <c r="P251" s="1172"/>
      <c r="Q251" s="1172"/>
      <c r="R251" s="1172"/>
      <c r="S251" s="1172"/>
      <c r="T251" s="1172"/>
      <c r="U251" s="1172"/>
      <c r="V251" s="1190"/>
      <c r="W251" s="1172"/>
      <c r="X251" s="1172"/>
      <c r="Y251" s="1172"/>
      <c r="Z251" s="1172"/>
    </row>
    <row r="252" spans="1:26" ht="24.75" customHeight="1">
      <c r="A252" s="1172"/>
      <c r="B252" s="1172"/>
      <c r="C252" s="1172"/>
      <c r="D252" s="1172"/>
      <c r="E252" s="1172"/>
      <c r="F252" s="1172"/>
      <c r="G252" s="1172"/>
      <c r="H252" s="1172"/>
      <c r="I252" s="1172"/>
      <c r="J252" s="1172"/>
      <c r="K252" s="1172"/>
      <c r="L252" s="1172"/>
      <c r="M252" s="1172"/>
      <c r="N252" s="1172"/>
      <c r="O252" s="1172"/>
      <c r="P252" s="1172"/>
      <c r="Q252" s="1172"/>
      <c r="R252" s="1172"/>
      <c r="S252" s="1172"/>
      <c r="T252" s="1172"/>
      <c r="U252" s="1172"/>
      <c r="V252" s="1190"/>
      <c r="W252" s="1172"/>
      <c r="X252" s="1172"/>
      <c r="Y252" s="1172"/>
      <c r="Z252" s="1172"/>
    </row>
    <row r="253" spans="1:26" ht="24.75" customHeight="1">
      <c r="A253" s="1172"/>
      <c r="B253" s="1172"/>
      <c r="C253" s="1172"/>
      <c r="D253" s="1172"/>
      <c r="E253" s="1172"/>
      <c r="F253" s="1172"/>
      <c r="G253" s="1172"/>
      <c r="H253" s="1172"/>
      <c r="I253" s="1172"/>
      <c r="J253" s="1172"/>
      <c r="K253" s="1172"/>
      <c r="L253" s="1172"/>
      <c r="M253" s="1172"/>
      <c r="N253" s="1172"/>
      <c r="O253" s="1172"/>
      <c r="P253" s="1172"/>
      <c r="Q253" s="1172"/>
      <c r="R253" s="1172"/>
      <c r="S253" s="1172"/>
      <c r="T253" s="1172"/>
      <c r="U253" s="1172"/>
      <c r="V253" s="1190"/>
      <c r="W253" s="1172"/>
      <c r="X253" s="1172"/>
      <c r="Y253" s="1172"/>
      <c r="Z253" s="1172"/>
    </row>
    <row r="254" spans="1:26" ht="24.75" customHeight="1">
      <c r="A254" s="1172"/>
      <c r="B254" s="1172"/>
      <c r="C254" s="1172"/>
      <c r="D254" s="1172"/>
      <c r="E254" s="1172"/>
      <c r="F254" s="1172"/>
      <c r="G254" s="1172"/>
      <c r="H254" s="1172"/>
      <c r="I254" s="1172"/>
      <c r="J254" s="1172"/>
      <c r="K254" s="1172"/>
      <c r="L254" s="1172"/>
      <c r="M254" s="1172"/>
      <c r="N254" s="1172"/>
      <c r="O254" s="1172"/>
      <c r="P254" s="1172"/>
      <c r="Q254" s="1172"/>
      <c r="R254" s="1172"/>
      <c r="S254" s="1172"/>
      <c r="T254" s="1172"/>
      <c r="U254" s="1172"/>
      <c r="V254" s="1190"/>
      <c r="W254" s="1172"/>
      <c r="X254" s="1172"/>
      <c r="Y254" s="1172"/>
      <c r="Z254" s="1172"/>
    </row>
    <row r="255" spans="1:26" ht="24.75" customHeight="1">
      <c r="A255" s="1172"/>
      <c r="B255" s="1172"/>
      <c r="C255" s="1172"/>
      <c r="D255" s="1172"/>
      <c r="E255" s="1172"/>
      <c r="F255" s="1172"/>
      <c r="G255" s="1172"/>
      <c r="H255" s="1172"/>
      <c r="I255" s="1172"/>
      <c r="J255" s="1172"/>
      <c r="K255" s="1172"/>
      <c r="L255" s="1172"/>
      <c r="M255" s="1172"/>
      <c r="N255" s="1172"/>
      <c r="O255" s="1172"/>
      <c r="P255" s="1172"/>
      <c r="Q255" s="1172"/>
      <c r="R255" s="1172"/>
      <c r="S255" s="1172"/>
      <c r="T255" s="1172"/>
      <c r="U255" s="1172"/>
      <c r="V255" s="1190"/>
      <c r="W255" s="1172"/>
      <c r="X255" s="1172"/>
      <c r="Y255" s="1172"/>
      <c r="Z255" s="1172"/>
    </row>
    <row r="256" spans="1:26" ht="24.75" customHeight="1">
      <c r="A256" s="1172"/>
      <c r="B256" s="1172"/>
      <c r="C256" s="1172"/>
      <c r="D256" s="1172"/>
      <c r="E256" s="1172"/>
      <c r="F256" s="1172"/>
      <c r="G256" s="1172"/>
      <c r="H256" s="1172"/>
      <c r="I256" s="1172"/>
      <c r="J256" s="1172"/>
      <c r="K256" s="1172"/>
      <c r="L256" s="1172"/>
      <c r="M256" s="1172"/>
      <c r="N256" s="1172"/>
      <c r="O256" s="1172"/>
      <c r="P256" s="1172"/>
      <c r="Q256" s="1172"/>
      <c r="R256" s="1172"/>
      <c r="S256" s="1172"/>
      <c r="T256" s="1172"/>
      <c r="U256" s="1172"/>
      <c r="V256" s="1190"/>
      <c r="W256" s="1172"/>
      <c r="X256" s="1172"/>
      <c r="Y256" s="1172"/>
      <c r="Z256" s="1172"/>
    </row>
    <row r="257" spans="1:26" ht="24.75" customHeight="1">
      <c r="A257" s="1172"/>
      <c r="B257" s="1172"/>
      <c r="C257" s="1172"/>
      <c r="D257" s="1172"/>
      <c r="E257" s="1172"/>
      <c r="F257" s="1172"/>
      <c r="G257" s="1172"/>
      <c r="H257" s="1172"/>
      <c r="I257" s="1172"/>
      <c r="J257" s="1172"/>
      <c r="K257" s="1172"/>
      <c r="L257" s="1172"/>
      <c r="M257" s="1172"/>
      <c r="N257" s="1172"/>
      <c r="O257" s="1172"/>
      <c r="P257" s="1172"/>
      <c r="Q257" s="1172"/>
      <c r="R257" s="1172"/>
      <c r="S257" s="1172"/>
      <c r="T257" s="1172"/>
      <c r="U257" s="1172"/>
      <c r="V257" s="1190"/>
      <c r="W257" s="1172"/>
      <c r="X257" s="1172"/>
      <c r="Y257" s="1172"/>
      <c r="Z257" s="1172"/>
    </row>
    <row r="258" spans="1:26" ht="24.75" customHeight="1">
      <c r="A258" s="1172"/>
      <c r="B258" s="1172"/>
      <c r="C258" s="1172"/>
      <c r="D258" s="1172"/>
      <c r="E258" s="1172"/>
      <c r="F258" s="1172"/>
      <c r="G258" s="1172"/>
      <c r="H258" s="1172"/>
      <c r="I258" s="1172"/>
      <c r="J258" s="1172"/>
      <c r="K258" s="1172"/>
      <c r="L258" s="1172"/>
      <c r="M258" s="1172"/>
      <c r="N258" s="1172"/>
      <c r="O258" s="1172"/>
      <c r="P258" s="1172"/>
      <c r="Q258" s="1172"/>
      <c r="R258" s="1172"/>
      <c r="S258" s="1172"/>
      <c r="T258" s="1172"/>
      <c r="U258" s="1172"/>
      <c r="V258" s="1190"/>
      <c r="W258" s="1172"/>
      <c r="X258" s="1172"/>
      <c r="Y258" s="1172"/>
      <c r="Z258" s="1172"/>
    </row>
    <row r="259" spans="1:26" ht="24.75" customHeight="1">
      <c r="A259" s="1172"/>
      <c r="B259" s="1172"/>
      <c r="C259" s="1172"/>
      <c r="D259" s="1172"/>
      <c r="E259" s="1172"/>
      <c r="F259" s="1172"/>
      <c r="G259" s="1172"/>
      <c r="H259" s="1172"/>
      <c r="I259" s="1172"/>
      <c r="J259" s="1172"/>
      <c r="K259" s="1172"/>
      <c r="L259" s="1172"/>
      <c r="M259" s="1172"/>
      <c r="N259" s="1172"/>
      <c r="O259" s="1172"/>
      <c r="P259" s="1172"/>
      <c r="Q259" s="1172"/>
      <c r="R259" s="1172"/>
      <c r="S259" s="1172"/>
      <c r="T259" s="1172"/>
      <c r="U259" s="1172"/>
      <c r="V259" s="1190"/>
      <c r="W259" s="1172"/>
      <c r="X259" s="1172"/>
      <c r="Y259" s="1172"/>
      <c r="Z259" s="1172"/>
    </row>
    <row r="260" spans="1:26" ht="24.75" customHeight="1">
      <c r="A260" s="1172"/>
      <c r="B260" s="1172"/>
      <c r="C260" s="1172"/>
      <c r="D260" s="1172"/>
      <c r="E260" s="1172"/>
      <c r="F260" s="1172"/>
      <c r="G260" s="1172"/>
      <c r="H260" s="1172"/>
      <c r="I260" s="1172"/>
      <c r="J260" s="1172"/>
      <c r="K260" s="1172"/>
      <c r="L260" s="1172"/>
      <c r="M260" s="1172"/>
      <c r="N260" s="1172"/>
      <c r="O260" s="1172"/>
      <c r="P260" s="1172"/>
      <c r="Q260" s="1172"/>
      <c r="R260" s="1172"/>
      <c r="S260" s="1172"/>
      <c r="T260" s="1172"/>
      <c r="U260" s="1172"/>
      <c r="V260" s="1190"/>
      <c r="W260" s="1172"/>
      <c r="X260" s="1172"/>
      <c r="Y260" s="1172"/>
      <c r="Z260" s="1172"/>
    </row>
    <row r="261" spans="1:26" ht="24.75" customHeight="1">
      <c r="A261" s="1172"/>
      <c r="B261" s="1172"/>
      <c r="C261" s="1172"/>
      <c r="D261" s="1172"/>
      <c r="E261" s="1172"/>
      <c r="F261" s="1172"/>
      <c r="G261" s="1172"/>
      <c r="H261" s="1172"/>
      <c r="I261" s="1172"/>
      <c r="J261" s="1172"/>
      <c r="K261" s="1172"/>
      <c r="L261" s="1172"/>
      <c r="M261" s="1172"/>
      <c r="N261" s="1172"/>
      <c r="O261" s="1172"/>
      <c r="P261" s="1172"/>
      <c r="Q261" s="1172"/>
      <c r="R261" s="1172"/>
      <c r="S261" s="1172"/>
      <c r="T261" s="1172"/>
      <c r="U261" s="1172"/>
      <c r="V261" s="1190"/>
      <c r="W261" s="1172"/>
      <c r="X261" s="1172"/>
      <c r="Y261" s="1172"/>
      <c r="Z261" s="1172"/>
    </row>
    <row r="262" spans="1:26" ht="24.75" customHeight="1">
      <c r="A262" s="1172"/>
      <c r="B262" s="1172"/>
      <c r="C262" s="1172"/>
      <c r="D262" s="1172"/>
      <c r="E262" s="1172"/>
      <c r="F262" s="1172"/>
      <c r="G262" s="1172"/>
      <c r="H262" s="1172"/>
      <c r="I262" s="1172"/>
      <c r="J262" s="1172"/>
      <c r="K262" s="1172"/>
      <c r="L262" s="1172"/>
      <c r="M262" s="1172"/>
      <c r="N262" s="1172"/>
      <c r="O262" s="1172"/>
      <c r="P262" s="1172"/>
      <c r="Q262" s="1172"/>
      <c r="R262" s="1172"/>
      <c r="S262" s="1172"/>
      <c r="T262" s="1172"/>
      <c r="U262" s="1172"/>
      <c r="V262" s="1190"/>
      <c r="W262" s="1172"/>
      <c r="X262" s="1172"/>
      <c r="Y262" s="1172"/>
      <c r="Z262" s="1172"/>
    </row>
    <row r="263" spans="1:26" ht="24.75" customHeight="1">
      <c r="A263" s="1172"/>
      <c r="B263" s="1172"/>
      <c r="C263" s="1172"/>
      <c r="D263" s="1172"/>
      <c r="E263" s="1172"/>
      <c r="F263" s="1172"/>
      <c r="G263" s="1172"/>
      <c r="H263" s="1172"/>
      <c r="I263" s="1172"/>
      <c r="J263" s="1172"/>
      <c r="K263" s="1172"/>
      <c r="L263" s="1172"/>
      <c r="M263" s="1172"/>
      <c r="N263" s="1172"/>
      <c r="O263" s="1172"/>
      <c r="P263" s="1172"/>
      <c r="Q263" s="1172"/>
      <c r="R263" s="1172"/>
      <c r="S263" s="1172"/>
      <c r="T263" s="1172"/>
      <c r="U263" s="1172"/>
      <c r="V263" s="1190"/>
      <c r="W263" s="1172"/>
      <c r="X263" s="1172"/>
      <c r="Y263" s="1172"/>
      <c r="Z263" s="1172"/>
    </row>
    <row r="264" spans="1:26" ht="24.75" customHeight="1">
      <c r="A264" s="1172"/>
      <c r="B264" s="1172"/>
      <c r="C264" s="1172"/>
      <c r="D264" s="1172"/>
      <c r="E264" s="1172"/>
      <c r="F264" s="1172"/>
      <c r="G264" s="1172"/>
      <c r="H264" s="1172"/>
      <c r="I264" s="1172"/>
      <c r="J264" s="1172"/>
      <c r="K264" s="1172"/>
      <c r="L264" s="1172"/>
      <c r="M264" s="1172"/>
      <c r="N264" s="1172"/>
      <c r="O264" s="1172"/>
      <c r="P264" s="1172"/>
      <c r="Q264" s="1172"/>
      <c r="R264" s="1172"/>
      <c r="S264" s="1172"/>
      <c r="T264" s="1172"/>
      <c r="U264" s="1172"/>
      <c r="V264" s="1190"/>
      <c r="W264" s="1172"/>
      <c r="X264" s="1172"/>
      <c r="Y264" s="1172"/>
      <c r="Z264" s="1172"/>
    </row>
    <row r="265" spans="1:26" ht="24.75" customHeight="1">
      <c r="A265" s="1172"/>
      <c r="B265" s="1172"/>
      <c r="C265" s="1172"/>
      <c r="D265" s="1172"/>
      <c r="E265" s="1172"/>
      <c r="F265" s="1172"/>
      <c r="G265" s="1172"/>
      <c r="H265" s="1172"/>
      <c r="I265" s="1172"/>
      <c r="J265" s="1172"/>
      <c r="K265" s="1172"/>
      <c r="L265" s="1172"/>
      <c r="M265" s="1172"/>
      <c r="N265" s="1172"/>
      <c r="O265" s="1172"/>
      <c r="P265" s="1172"/>
      <c r="Q265" s="1172"/>
      <c r="R265" s="1172"/>
      <c r="S265" s="1172"/>
      <c r="T265" s="1172"/>
      <c r="U265" s="1172"/>
      <c r="V265" s="1190"/>
      <c r="W265" s="1172"/>
      <c r="X265" s="1172"/>
      <c r="Y265" s="1172"/>
      <c r="Z265" s="1172"/>
    </row>
    <row r="266" spans="1:26" ht="24.75" customHeight="1">
      <c r="A266" s="1172"/>
      <c r="B266" s="1172"/>
      <c r="C266" s="1172"/>
      <c r="D266" s="1172"/>
      <c r="E266" s="1172"/>
      <c r="F266" s="1172"/>
      <c r="G266" s="1172"/>
      <c r="H266" s="1172"/>
      <c r="I266" s="1172"/>
      <c r="J266" s="1172"/>
      <c r="K266" s="1172"/>
      <c r="L266" s="1172"/>
      <c r="M266" s="1172"/>
      <c r="N266" s="1172"/>
      <c r="O266" s="1172"/>
      <c r="P266" s="1172"/>
      <c r="Q266" s="1172"/>
      <c r="R266" s="1172"/>
      <c r="S266" s="1172"/>
      <c r="T266" s="1172"/>
      <c r="U266" s="1172"/>
      <c r="V266" s="1190"/>
      <c r="W266" s="1172"/>
      <c r="X266" s="1172"/>
      <c r="Y266" s="1172"/>
      <c r="Z266" s="1172"/>
    </row>
    <row r="267" spans="1:26" ht="24.75" customHeight="1">
      <c r="A267" s="1172"/>
      <c r="B267" s="1172"/>
      <c r="C267" s="1172"/>
      <c r="D267" s="1172"/>
      <c r="E267" s="1172"/>
      <c r="F267" s="1172"/>
      <c r="G267" s="1172"/>
      <c r="H267" s="1172"/>
      <c r="I267" s="1172"/>
      <c r="J267" s="1172"/>
      <c r="K267" s="1172"/>
      <c r="L267" s="1172"/>
      <c r="M267" s="1172"/>
      <c r="N267" s="1172"/>
      <c r="O267" s="1172"/>
      <c r="P267" s="1172"/>
      <c r="Q267" s="1172"/>
      <c r="R267" s="1172"/>
      <c r="S267" s="1172"/>
      <c r="T267" s="1172"/>
      <c r="U267" s="1172"/>
      <c r="V267" s="1190"/>
      <c r="W267" s="1172"/>
      <c r="X267" s="1172"/>
      <c r="Y267" s="1172"/>
      <c r="Z267" s="1172"/>
    </row>
    <row r="268" spans="1:26" ht="24.75" customHeight="1">
      <c r="A268" s="1172"/>
      <c r="B268" s="1172"/>
      <c r="C268" s="1172"/>
      <c r="D268" s="1172"/>
      <c r="E268" s="1172"/>
      <c r="F268" s="1172"/>
      <c r="G268" s="1172"/>
      <c r="H268" s="1172"/>
      <c r="I268" s="1172"/>
      <c r="J268" s="1172"/>
      <c r="K268" s="1172"/>
      <c r="L268" s="1172"/>
      <c r="M268" s="1172"/>
      <c r="N268" s="1172"/>
      <c r="O268" s="1172"/>
      <c r="P268" s="1172"/>
      <c r="Q268" s="1172"/>
      <c r="R268" s="1172"/>
      <c r="S268" s="1172"/>
      <c r="T268" s="1172"/>
      <c r="U268" s="1172"/>
      <c r="V268" s="1190"/>
      <c r="W268" s="1172"/>
      <c r="X268" s="1172"/>
      <c r="Y268" s="1172"/>
      <c r="Z268" s="1172"/>
    </row>
    <row r="269" spans="1:26" ht="24.75" customHeight="1">
      <c r="A269" s="1172"/>
      <c r="B269" s="1172"/>
      <c r="C269" s="1172"/>
      <c r="D269" s="1172"/>
      <c r="E269" s="1172"/>
      <c r="F269" s="1172"/>
      <c r="G269" s="1172"/>
      <c r="H269" s="1172"/>
      <c r="I269" s="1172"/>
      <c r="J269" s="1172"/>
      <c r="K269" s="1172"/>
      <c r="L269" s="1172"/>
      <c r="M269" s="1172"/>
      <c r="N269" s="1172"/>
      <c r="O269" s="1172"/>
      <c r="P269" s="1172"/>
      <c r="Q269" s="1172"/>
      <c r="R269" s="1172"/>
      <c r="S269" s="1172"/>
      <c r="T269" s="1172"/>
      <c r="U269" s="1172"/>
      <c r="V269" s="1190"/>
      <c r="W269" s="1172"/>
      <c r="X269" s="1172"/>
      <c r="Y269" s="1172"/>
      <c r="Z269" s="1172"/>
    </row>
    <row r="270" spans="1:26" ht="24.75" customHeight="1">
      <c r="A270" s="1172"/>
      <c r="B270" s="1172"/>
      <c r="C270" s="1172"/>
      <c r="D270" s="1172"/>
      <c r="E270" s="1172"/>
      <c r="F270" s="1172"/>
      <c r="G270" s="1172"/>
      <c r="H270" s="1172"/>
      <c r="I270" s="1172"/>
      <c r="J270" s="1172"/>
      <c r="K270" s="1172"/>
      <c r="L270" s="1172"/>
      <c r="M270" s="1172"/>
      <c r="N270" s="1172"/>
      <c r="O270" s="1172"/>
      <c r="P270" s="1172"/>
      <c r="Q270" s="1172"/>
      <c r="R270" s="1172"/>
      <c r="S270" s="1172"/>
      <c r="T270" s="1172"/>
      <c r="U270" s="1172"/>
      <c r="V270" s="1190"/>
      <c r="W270" s="1172"/>
      <c r="X270" s="1172"/>
      <c r="Y270" s="1172"/>
      <c r="Z270" s="1172"/>
    </row>
    <row r="271" spans="1:26" ht="24.75" customHeight="1">
      <c r="A271" s="1172"/>
      <c r="B271" s="1172"/>
      <c r="C271" s="1172"/>
      <c r="D271" s="1172"/>
      <c r="E271" s="1172"/>
      <c r="F271" s="1172"/>
      <c r="G271" s="1172"/>
      <c r="H271" s="1172"/>
      <c r="I271" s="1172"/>
      <c r="J271" s="1172"/>
      <c r="K271" s="1172"/>
      <c r="L271" s="1172"/>
      <c r="M271" s="1172"/>
      <c r="N271" s="1172"/>
      <c r="O271" s="1172"/>
      <c r="P271" s="1172"/>
      <c r="Q271" s="1172"/>
      <c r="R271" s="1172"/>
      <c r="S271" s="1172"/>
      <c r="T271" s="1172"/>
      <c r="U271" s="1172"/>
      <c r="V271" s="1190"/>
      <c r="W271" s="1172"/>
      <c r="X271" s="1172"/>
      <c r="Y271" s="1172"/>
      <c r="Z271" s="1172"/>
    </row>
    <row r="272" spans="1:26" ht="24.75" customHeight="1">
      <c r="A272" s="1172"/>
      <c r="B272" s="1172"/>
      <c r="C272" s="1172"/>
      <c r="D272" s="1172"/>
      <c r="E272" s="1172"/>
      <c r="F272" s="1172"/>
      <c r="G272" s="1172"/>
      <c r="H272" s="1172"/>
      <c r="I272" s="1172"/>
      <c r="J272" s="1172"/>
      <c r="K272" s="1172"/>
      <c r="L272" s="1172"/>
      <c r="M272" s="1172"/>
      <c r="N272" s="1172"/>
      <c r="O272" s="1172"/>
      <c r="P272" s="1172"/>
      <c r="Q272" s="1172"/>
      <c r="R272" s="1172"/>
      <c r="S272" s="1172"/>
      <c r="T272" s="1172"/>
      <c r="U272" s="1172"/>
      <c r="V272" s="1190"/>
      <c r="W272" s="1172"/>
      <c r="X272" s="1172"/>
      <c r="Y272" s="1172"/>
      <c r="Z272" s="1172"/>
    </row>
    <row r="273" spans="1:26" ht="24.75" customHeight="1">
      <c r="A273" s="1172"/>
      <c r="B273" s="1172"/>
      <c r="C273" s="1172"/>
      <c r="D273" s="1172"/>
      <c r="E273" s="1172"/>
      <c r="F273" s="1172"/>
      <c r="G273" s="1172"/>
      <c r="H273" s="1172"/>
      <c r="I273" s="1172"/>
      <c r="J273" s="1172"/>
      <c r="K273" s="1172"/>
      <c r="L273" s="1172"/>
      <c r="M273" s="1172"/>
      <c r="N273" s="1172"/>
      <c r="O273" s="1172"/>
      <c r="P273" s="1172"/>
      <c r="Q273" s="1172"/>
      <c r="R273" s="1172"/>
      <c r="S273" s="1172"/>
      <c r="T273" s="1172"/>
      <c r="U273" s="1172"/>
      <c r="V273" s="1190"/>
      <c r="W273" s="1172"/>
      <c r="X273" s="1172"/>
      <c r="Y273" s="1172"/>
      <c r="Z273" s="1172"/>
    </row>
    <row r="274" spans="1:26" ht="24.75" customHeight="1">
      <c r="A274" s="1172"/>
      <c r="B274" s="1172"/>
      <c r="C274" s="1172"/>
      <c r="D274" s="1172"/>
      <c r="E274" s="1172"/>
      <c r="F274" s="1172"/>
      <c r="G274" s="1172"/>
      <c r="H274" s="1172"/>
      <c r="I274" s="1172"/>
      <c r="J274" s="1172"/>
      <c r="K274" s="1172"/>
      <c r="L274" s="1172"/>
      <c r="M274" s="1172"/>
      <c r="N274" s="1172"/>
      <c r="O274" s="1172"/>
      <c r="P274" s="1172"/>
      <c r="Q274" s="1172"/>
      <c r="R274" s="1172"/>
      <c r="S274" s="1172"/>
      <c r="T274" s="1172"/>
      <c r="U274" s="1172"/>
      <c r="V274" s="1190"/>
      <c r="W274" s="1172"/>
      <c r="X274" s="1172"/>
      <c r="Y274" s="1172"/>
      <c r="Z274" s="1172"/>
    </row>
    <row r="275" spans="1:26" ht="24.75" customHeight="1">
      <c r="A275" s="1172"/>
      <c r="B275" s="1172"/>
      <c r="C275" s="1172"/>
      <c r="D275" s="1172"/>
      <c r="E275" s="1172"/>
      <c r="F275" s="1172"/>
      <c r="G275" s="1172"/>
      <c r="H275" s="1172"/>
      <c r="I275" s="1172"/>
      <c r="J275" s="1172"/>
      <c r="K275" s="1172"/>
      <c r="L275" s="1172"/>
      <c r="M275" s="1172"/>
      <c r="N275" s="1172"/>
      <c r="O275" s="1172"/>
      <c r="P275" s="1172"/>
      <c r="Q275" s="1172"/>
      <c r="R275" s="1172"/>
      <c r="S275" s="1172"/>
      <c r="T275" s="1172"/>
      <c r="U275" s="1172"/>
      <c r="V275" s="1190"/>
      <c r="W275" s="1172"/>
      <c r="X275" s="1172"/>
      <c r="Y275" s="1172"/>
      <c r="Z275" s="1172"/>
    </row>
    <row r="276" spans="1:26" ht="24.75" customHeight="1">
      <c r="A276" s="1172"/>
      <c r="B276" s="1172"/>
      <c r="C276" s="1172"/>
      <c r="D276" s="1172"/>
      <c r="E276" s="1172"/>
      <c r="F276" s="1172"/>
      <c r="G276" s="1172"/>
      <c r="H276" s="1172"/>
      <c r="I276" s="1172"/>
      <c r="J276" s="1172"/>
      <c r="K276" s="1172"/>
      <c r="L276" s="1172"/>
      <c r="M276" s="1172"/>
      <c r="N276" s="1172"/>
      <c r="O276" s="1172"/>
      <c r="P276" s="1172"/>
      <c r="Q276" s="1172"/>
      <c r="R276" s="1172"/>
      <c r="S276" s="1172"/>
      <c r="T276" s="1172"/>
      <c r="U276" s="1172"/>
      <c r="V276" s="1190"/>
      <c r="W276" s="1172"/>
      <c r="X276" s="1172"/>
      <c r="Y276" s="1172"/>
      <c r="Z276" s="1172"/>
    </row>
    <row r="277" spans="1:26" ht="24.75" customHeight="1">
      <c r="A277" s="1172"/>
      <c r="B277" s="1172"/>
      <c r="C277" s="1172"/>
      <c r="D277" s="1172"/>
      <c r="E277" s="1172"/>
      <c r="F277" s="1172"/>
      <c r="G277" s="1172"/>
      <c r="H277" s="1172"/>
      <c r="I277" s="1172"/>
      <c r="J277" s="1172"/>
      <c r="K277" s="1172"/>
      <c r="L277" s="1172"/>
      <c r="M277" s="1172"/>
      <c r="N277" s="1172"/>
      <c r="O277" s="1172"/>
      <c r="P277" s="1172"/>
      <c r="Q277" s="1172"/>
      <c r="R277" s="1172"/>
      <c r="S277" s="1172"/>
      <c r="T277" s="1172"/>
      <c r="U277" s="1172"/>
      <c r="V277" s="1190"/>
      <c r="W277" s="1172"/>
      <c r="X277" s="1172"/>
      <c r="Y277" s="1172"/>
      <c r="Z277" s="1172"/>
    </row>
    <row r="278" spans="1:26" ht="24.75" customHeight="1">
      <c r="A278" s="1172"/>
      <c r="B278" s="1172"/>
      <c r="C278" s="1172"/>
      <c r="D278" s="1172"/>
      <c r="E278" s="1172"/>
      <c r="F278" s="1172"/>
      <c r="G278" s="1172"/>
      <c r="H278" s="1172"/>
      <c r="I278" s="1172"/>
      <c r="J278" s="1172"/>
      <c r="K278" s="1172"/>
      <c r="L278" s="1172"/>
      <c r="M278" s="1172"/>
      <c r="N278" s="1172"/>
      <c r="O278" s="1172"/>
      <c r="P278" s="1172"/>
      <c r="Q278" s="1172"/>
      <c r="R278" s="1172"/>
      <c r="S278" s="1172"/>
      <c r="T278" s="1172"/>
      <c r="U278" s="1172"/>
      <c r="V278" s="1190"/>
      <c r="W278" s="1172"/>
      <c r="X278" s="1172"/>
      <c r="Y278" s="1172"/>
      <c r="Z278" s="1172"/>
    </row>
    <row r="279" spans="1:26" ht="24.75" customHeight="1">
      <c r="A279" s="1172"/>
      <c r="B279" s="1172"/>
      <c r="C279" s="1172"/>
      <c r="D279" s="1172"/>
      <c r="E279" s="1172"/>
      <c r="F279" s="1172"/>
      <c r="G279" s="1172"/>
      <c r="H279" s="1172"/>
      <c r="I279" s="1172"/>
      <c r="J279" s="1172"/>
      <c r="K279" s="1172"/>
      <c r="L279" s="1172"/>
      <c r="M279" s="1172"/>
      <c r="N279" s="1172"/>
      <c r="O279" s="1172"/>
      <c r="P279" s="1172"/>
      <c r="Q279" s="1172"/>
      <c r="R279" s="1172"/>
      <c r="S279" s="1172"/>
      <c r="T279" s="1172"/>
      <c r="U279" s="1172"/>
      <c r="V279" s="1190"/>
      <c r="W279" s="1172"/>
      <c r="X279" s="1172"/>
      <c r="Y279" s="1172"/>
      <c r="Z279" s="1172"/>
    </row>
    <row r="280" spans="1:26" ht="24.75" customHeight="1">
      <c r="A280" s="1172"/>
      <c r="B280" s="1172"/>
      <c r="C280" s="1172"/>
      <c r="D280" s="1172"/>
      <c r="E280" s="1172"/>
      <c r="F280" s="1172"/>
      <c r="G280" s="1172"/>
      <c r="H280" s="1172"/>
      <c r="I280" s="1172"/>
      <c r="J280" s="1172"/>
      <c r="K280" s="1172"/>
      <c r="L280" s="1172"/>
      <c r="M280" s="1172"/>
      <c r="N280" s="1172"/>
      <c r="O280" s="1172"/>
      <c r="P280" s="1172"/>
      <c r="Q280" s="1172"/>
      <c r="R280" s="1172"/>
      <c r="S280" s="1172"/>
      <c r="T280" s="1172"/>
      <c r="U280" s="1172"/>
      <c r="V280" s="1190"/>
      <c r="W280" s="1172"/>
      <c r="X280" s="1172"/>
      <c r="Y280" s="1172"/>
      <c r="Z280" s="1172"/>
    </row>
    <row r="281" spans="1:26" ht="24.75" customHeight="1">
      <c r="A281" s="1172"/>
      <c r="B281" s="1172"/>
      <c r="C281" s="1172"/>
      <c r="D281" s="1172"/>
      <c r="E281" s="1172"/>
      <c r="F281" s="1172"/>
      <c r="G281" s="1172"/>
      <c r="H281" s="1172"/>
      <c r="I281" s="1172"/>
      <c r="J281" s="1172"/>
      <c r="K281" s="1172"/>
      <c r="L281" s="1172"/>
      <c r="M281" s="1172"/>
      <c r="N281" s="1172"/>
      <c r="O281" s="1172"/>
      <c r="P281" s="1172"/>
      <c r="Q281" s="1172"/>
      <c r="R281" s="1172"/>
      <c r="S281" s="1172"/>
      <c r="T281" s="1172"/>
      <c r="U281" s="1172"/>
      <c r="V281" s="1190"/>
      <c r="W281" s="1172"/>
      <c r="X281" s="1172"/>
      <c r="Y281" s="1172"/>
      <c r="Z281" s="1172"/>
    </row>
    <row r="282" spans="1:26" ht="24.75" customHeight="1">
      <c r="A282" s="1172"/>
      <c r="B282" s="1172"/>
      <c r="C282" s="1172"/>
      <c r="D282" s="1172"/>
      <c r="E282" s="1172"/>
      <c r="F282" s="1172"/>
      <c r="G282" s="1172"/>
      <c r="H282" s="1172"/>
      <c r="I282" s="1172"/>
      <c r="J282" s="1172"/>
      <c r="K282" s="1172"/>
      <c r="L282" s="1172"/>
      <c r="M282" s="1172"/>
      <c r="N282" s="1172"/>
      <c r="O282" s="1172"/>
      <c r="P282" s="1172"/>
      <c r="Q282" s="1172"/>
      <c r="R282" s="1172"/>
      <c r="S282" s="1172"/>
      <c r="T282" s="1172"/>
      <c r="U282" s="1172"/>
      <c r="V282" s="1190"/>
      <c r="W282" s="1172"/>
      <c r="X282" s="1172"/>
      <c r="Y282" s="1172"/>
      <c r="Z282" s="1172"/>
    </row>
    <row r="283" spans="1:26" ht="24.75" customHeight="1">
      <c r="A283" s="1172"/>
      <c r="B283" s="1172"/>
      <c r="C283" s="1172"/>
      <c r="D283" s="1172"/>
      <c r="E283" s="1172"/>
      <c r="F283" s="1172"/>
      <c r="G283" s="1172"/>
      <c r="H283" s="1172"/>
      <c r="I283" s="1172"/>
      <c r="J283" s="1172"/>
      <c r="K283" s="1172"/>
      <c r="L283" s="1172"/>
      <c r="M283" s="1172"/>
      <c r="N283" s="1172"/>
      <c r="O283" s="1172"/>
      <c r="P283" s="1172"/>
      <c r="Q283" s="1172"/>
      <c r="R283" s="1172"/>
      <c r="S283" s="1172"/>
      <c r="T283" s="1172"/>
      <c r="U283" s="1172"/>
      <c r="V283" s="1190"/>
      <c r="W283" s="1172"/>
      <c r="X283" s="1172"/>
      <c r="Y283" s="1172"/>
      <c r="Z283" s="1172"/>
    </row>
    <row r="284" spans="1:26" ht="24.75" customHeight="1">
      <c r="A284" s="1172"/>
      <c r="B284" s="1172"/>
      <c r="C284" s="1172"/>
      <c r="D284" s="1172"/>
      <c r="E284" s="1172"/>
      <c r="F284" s="1172"/>
      <c r="G284" s="1172"/>
      <c r="H284" s="1172"/>
      <c r="I284" s="1172"/>
      <c r="J284" s="1172"/>
      <c r="K284" s="1172"/>
      <c r="L284" s="1172"/>
      <c r="M284" s="1172"/>
      <c r="N284" s="1172"/>
      <c r="O284" s="1172"/>
      <c r="P284" s="1172"/>
      <c r="Q284" s="1172"/>
      <c r="R284" s="1172"/>
      <c r="S284" s="1172"/>
      <c r="T284" s="1172"/>
      <c r="U284" s="1172"/>
      <c r="V284" s="1190"/>
      <c r="W284" s="1172"/>
      <c r="X284" s="1172"/>
      <c r="Y284" s="1172"/>
      <c r="Z284" s="1172"/>
    </row>
    <row r="285" spans="1:26" ht="24.75" customHeight="1">
      <c r="A285" s="1172"/>
      <c r="B285" s="1172"/>
      <c r="C285" s="1172"/>
      <c r="D285" s="1172"/>
      <c r="E285" s="1172"/>
      <c r="F285" s="1172"/>
      <c r="G285" s="1172"/>
      <c r="H285" s="1172"/>
      <c r="I285" s="1172"/>
      <c r="J285" s="1172"/>
      <c r="K285" s="1172"/>
      <c r="L285" s="1172"/>
      <c r="M285" s="1172"/>
      <c r="N285" s="1172"/>
      <c r="O285" s="1172"/>
      <c r="P285" s="1172"/>
      <c r="Q285" s="1172"/>
      <c r="R285" s="1172"/>
      <c r="S285" s="1172"/>
      <c r="T285" s="1172"/>
      <c r="U285" s="1172"/>
      <c r="V285" s="1190"/>
      <c r="W285" s="1172"/>
      <c r="X285" s="1172"/>
      <c r="Y285" s="1172"/>
      <c r="Z285" s="1172"/>
    </row>
    <row r="286" spans="1:26" ht="24.75" customHeight="1">
      <c r="A286" s="1172"/>
      <c r="B286" s="1172"/>
      <c r="C286" s="1172"/>
      <c r="D286" s="1172"/>
      <c r="E286" s="1172"/>
      <c r="F286" s="1172"/>
      <c r="G286" s="1172"/>
      <c r="H286" s="1172"/>
      <c r="I286" s="1172"/>
      <c r="J286" s="1172"/>
      <c r="K286" s="1172"/>
      <c r="L286" s="1172"/>
      <c r="M286" s="1172"/>
      <c r="N286" s="1172"/>
      <c r="O286" s="1172"/>
      <c r="P286" s="1172"/>
      <c r="Q286" s="1172"/>
      <c r="R286" s="1172"/>
      <c r="S286" s="1172"/>
      <c r="T286" s="1172"/>
      <c r="U286" s="1172"/>
      <c r="V286" s="1190"/>
      <c r="W286" s="1172"/>
      <c r="X286" s="1172"/>
      <c r="Y286" s="1172"/>
      <c r="Z286" s="1172"/>
    </row>
    <row r="287" spans="1:26" ht="24.75" customHeight="1">
      <c r="A287" s="1172"/>
      <c r="B287" s="1172"/>
      <c r="C287" s="1172"/>
      <c r="D287" s="1172"/>
      <c r="E287" s="1172"/>
      <c r="F287" s="1172"/>
      <c r="G287" s="1172"/>
      <c r="H287" s="1172"/>
      <c r="I287" s="1172"/>
      <c r="J287" s="1172"/>
      <c r="K287" s="1172"/>
      <c r="L287" s="1172"/>
      <c r="M287" s="1172"/>
      <c r="N287" s="1172"/>
      <c r="O287" s="1172"/>
      <c r="P287" s="1172"/>
      <c r="Q287" s="1172"/>
      <c r="R287" s="1172"/>
      <c r="S287" s="1172"/>
      <c r="T287" s="1172"/>
      <c r="U287" s="1172"/>
      <c r="V287" s="1190"/>
      <c r="W287" s="1172"/>
      <c r="X287" s="1172"/>
      <c r="Y287" s="1172"/>
      <c r="Z287" s="1172"/>
    </row>
    <row r="288" spans="1:26" ht="24.75" customHeight="1">
      <c r="A288" s="1172"/>
      <c r="B288" s="1172"/>
      <c r="C288" s="1172"/>
      <c r="D288" s="1172"/>
      <c r="E288" s="1172"/>
      <c r="F288" s="1172"/>
      <c r="G288" s="1172"/>
      <c r="H288" s="1172"/>
      <c r="I288" s="1172"/>
      <c r="J288" s="1172"/>
      <c r="K288" s="1172"/>
      <c r="L288" s="1172"/>
      <c r="M288" s="1172"/>
      <c r="N288" s="1172"/>
      <c r="O288" s="1172"/>
      <c r="P288" s="1172"/>
      <c r="Q288" s="1172"/>
      <c r="R288" s="1172"/>
      <c r="S288" s="1172"/>
      <c r="T288" s="1172"/>
      <c r="U288" s="1172"/>
      <c r="V288" s="1190"/>
      <c r="W288" s="1172"/>
      <c r="X288" s="1172"/>
      <c r="Y288" s="1172"/>
      <c r="Z288" s="1172"/>
    </row>
    <row r="289" spans="1:26" ht="24.75" customHeight="1">
      <c r="A289" s="1172"/>
      <c r="B289" s="1172"/>
      <c r="C289" s="1172"/>
      <c r="D289" s="1172"/>
      <c r="E289" s="1172"/>
      <c r="F289" s="1172"/>
      <c r="G289" s="1172"/>
      <c r="H289" s="1172"/>
      <c r="I289" s="1172"/>
      <c r="J289" s="1172"/>
      <c r="K289" s="1172"/>
      <c r="L289" s="1172"/>
      <c r="M289" s="1172"/>
      <c r="N289" s="1172"/>
      <c r="O289" s="1172"/>
      <c r="P289" s="1172"/>
      <c r="Q289" s="1172"/>
      <c r="R289" s="1172"/>
      <c r="S289" s="1172"/>
      <c r="T289" s="1172"/>
      <c r="U289" s="1172"/>
      <c r="V289" s="1190"/>
      <c r="W289" s="1172"/>
      <c r="X289" s="1172"/>
      <c r="Y289" s="1172"/>
      <c r="Z289" s="1172"/>
    </row>
    <row r="290" spans="1:26" ht="24.75" customHeight="1">
      <c r="A290" s="1172"/>
      <c r="B290" s="1172"/>
      <c r="C290" s="1172"/>
      <c r="D290" s="1172"/>
      <c r="E290" s="1172"/>
      <c r="F290" s="1172"/>
      <c r="G290" s="1172"/>
      <c r="H290" s="1172"/>
      <c r="I290" s="1172"/>
      <c r="J290" s="1172"/>
      <c r="K290" s="1172"/>
      <c r="L290" s="1172"/>
      <c r="M290" s="1172"/>
      <c r="N290" s="1172"/>
      <c r="O290" s="1172"/>
      <c r="P290" s="1172"/>
      <c r="Q290" s="1172"/>
      <c r="R290" s="1172"/>
      <c r="S290" s="1172"/>
      <c r="T290" s="1172"/>
      <c r="U290" s="1172"/>
      <c r="V290" s="1190"/>
      <c r="W290" s="1172"/>
      <c r="X290" s="1172"/>
      <c r="Y290" s="1172"/>
      <c r="Z290" s="1172"/>
    </row>
    <row r="291" spans="1:26" ht="24.75" customHeight="1">
      <c r="A291" s="1172"/>
      <c r="B291" s="1172"/>
      <c r="C291" s="1172"/>
      <c r="D291" s="1172"/>
      <c r="E291" s="1172"/>
      <c r="F291" s="1172"/>
      <c r="G291" s="1172"/>
      <c r="H291" s="1172"/>
      <c r="I291" s="1172"/>
      <c r="J291" s="1172"/>
      <c r="K291" s="1172"/>
      <c r="L291" s="1172"/>
      <c r="M291" s="1172"/>
      <c r="N291" s="1172"/>
      <c r="O291" s="1172"/>
      <c r="P291" s="1172"/>
      <c r="Q291" s="1172"/>
      <c r="R291" s="1172"/>
      <c r="S291" s="1172"/>
      <c r="T291" s="1172"/>
      <c r="U291" s="1172"/>
      <c r="V291" s="1190"/>
      <c r="W291" s="1172"/>
      <c r="X291" s="1172"/>
      <c r="Y291" s="1172"/>
      <c r="Z291" s="1172"/>
    </row>
    <row r="292" spans="1:26" ht="24.75" customHeight="1">
      <c r="A292" s="1172"/>
      <c r="B292" s="1172"/>
      <c r="C292" s="1172"/>
      <c r="D292" s="1172"/>
      <c r="E292" s="1172"/>
      <c r="F292" s="1172"/>
      <c r="G292" s="1172"/>
      <c r="H292" s="1172"/>
      <c r="I292" s="1172"/>
      <c r="J292" s="1172"/>
      <c r="K292" s="1172"/>
      <c r="L292" s="1172"/>
      <c r="M292" s="1172"/>
      <c r="N292" s="1172"/>
      <c r="O292" s="1172"/>
      <c r="P292" s="1172"/>
      <c r="Q292" s="1172"/>
      <c r="R292" s="1172"/>
      <c r="S292" s="1172"/>
      <c r="T292" s="1172"/>
      <c r="U292" s="1172"/>
      <c r="V292" s="1190"/>
      <c r="W292" s="1172"/>
      <c r="X292" s="1172"/>
      <c r="Y292" s="1172"/>
      <c r="Z292" s="1172"/>
    </row>
    <row r="293" spans="1:26" ht="24.75" customHeight="1">
      <c r="A293" s="1172"/>
      <c r="B293" s="1172"/>
      <c r="C293" s="1172"/>
      <c r="D293" s="1172"/>
      <c r="E293" s="1172"/>
      <c r="F293" s="1172"/>
      <c r="G293" s="1172"/>
      <c r="H293" s="1172"/>
      <c r="I293" s="1172"/>
      <c r="J293" s="1172"/>
      <c r="K293" s="1172"/>
      <c r="L293" s="1172"/>
      <c r="M293" s="1172"/>
      <c r="N293" s="1172"/>
      <c r="O293" s="1172"/>
      <c r="P293" s="1172"/>
      <c r="Q293" s="1172"/>
      <c r="R293" s="1172"/>
      <c r="S293" s="1172"/>
      <c r="T293" s="1172"/>
      <c r="U293" s="1172"/>
      <c r="V293" s="1190"/>
      <c r="W293" s="1172"/>
      <c r="X293" s="1172"/>
      <c r="Y293" s="1172"/>
      <c r="Z293" s="1172"/>
    </row>
    <row r="294" spans="1:26" ht="24.75" customHeight="1">
      <c r="A294" s="1172"/>
      <c r="B294" s="1172"/>
      <c r="C294" s="1172"/>
      <c r="D294" s="1172"/>
      <c r="E294" s="1172"/>
      <c r="F294" s="1172"/>
      <c r="G294" s="1172"/>
      <c r="H294" s="1172"/>
      <c r="I294" s="1172"/>
      <c r="J294" s="1172"/>
      <c r="K294" s="1172"/>
      <c r="L294" s="1172"/>
      <c r="M294" s="1172"/>
      <c r="N294" s="1172"/>
      <c r="O294" s="1172"/>
      <c r="P294" s="1172"/>
      <c r="Q294" s="1172"/>
      <c r="R294" s="1172"/>
      <c r="S294" s="1172"/>
      <c r="T294" s="1172"/>
      <c r="U294" s="1172"/>
      <c r="V294" s="1190"/>
      <c r="W294" s="1172"/>
      <c r="X294" s="1172"/>
      <c r="Y294" s="1172"/>
      <c r="Z294" s="1172"/>
    </row>
    <row r="295" spans="1:26" ht="24.75" customHeight="1">
      <c r="A295" s="1172"/>
      <c r="B295" s="1172"/>
      <c r="C295" s="1172"/>
      <c r="D295" s="1172"/>
      <c r="E295" s="1172"/>
      <c r="F295" s="1172"/>
      <c r="G295" s="1172"/>
      <c r="H295" s="1172"/>
      <c r="I295" s="1172"/>
      <c r="J295" s="1172"/>
      <c r="K295" s="1172"/>
      <c r="L295" s="1172"/>
      <c r="M295" s="1172"/>
      <c r="N295" s="1172"/>
      <c r="O295" s="1172"/>
      <c r="P295" s="1172"/>
      <c r="Q295" s="1172"/>
      <c r="R295" s="1172"/>
      <c r="S295" s="1172"/>
      <c r="T295" s="1172"/>
      <c r="U295" s="1172"/>
      <c r="V295" s="1190"/>
      <c r="W295" s="1172"/>
      <c r="X295" s="1172"/>
      <c r="Y295" s="1172"/>
      <c r="Z295" s="1172"/>
    </row>
    <row r="296" spans="1:26" ht="24.75" customHeight="1">
      <c r="A296" s="1172"/>
      <c r="B296" s="1172"/>
      <c r="C296" s="1172"/>
      <c r="D296" s="1172"/>
      <c r="E296" s="1172"/>
      <c r="F296" s="1172"/>
      <c r="G296" s="1172"/>
      <c r="H296" s="1172"/>
      <c r="I296" s="1172"/>
      <c r="J296" s="1172"/>
      <c r="K296" s="1172"/>
      <c r="L296" s="1172"/>
      <c r="M296" s="1172"/>
      <c r="N296" s="1172"/>
      <c r="O296" s="1172"/>
      <c r="P296" s="1172"/>
      <c r="Q296" s="1172"/>
      <c r="R296" s="1172"/>
      <c r="S296" s="1172"/>
      <c r="T296" s="1172"/>
      <c r="U296" s="1172"/>
      <c r="V296" s="1190"/>
      <c r="W296" s="1172"/>
      <c r="X296" s="1172"/>
      <c r="Y296" s="1172"/>
      <c r="Z296" s="1172"/>
    </row>
    <row r="297" spans="1:26" ht="24.75" customHeight="1">
      <c r="A297" s="1172"/>
      <c r="B297" s="1172"/>
      <c r="C297" s="1172"/>
      <c r="D297" s="1172"/>
      <c r="E297" s="1172"/>
      <c r="F297" s="1172"/>
      <c r="G297" s="1172"/>
      <c r="H297" s="1172"/>
      <c r="I297" s="1172"/>
      <c r="J297" s="1172"/>
      <c r="K297" s="1172"/>
      <c r="L297" s="1172"/>
      <c r="M297" s="1172"/>
      <c r="N297" s="1172"/>
      <c r="O297" s="1172"/>
      <c r="P297" s="1172"/>
      <c r="Q297" s="1172"/>
      <c r="R297" s="1172"/>
      <c r="S297" s="1172"/>
      <c r="T297" s="1172"/>
      <c r="U297" s="1172"/>
      <c r="V297" s="1190"/>
      <c r="W297" s="1172"/>
      <c r="X297" s="1172"/>
      <c r="Y297" s="1172"/>
      <c r="Z297" s="1172"/>
    </row>
    <row r="298" spans="1:26" ht="24.75" customHeight="1">
      <c r="A298" s="1172"/>
      <c r="B298" s="1172"/>
      <c r="C298" s="1172"/>
      <c r="D298" s="1172"/>
      <c r="E298" s="1172"/>
      <c r="F298" s="1172"/>
      <c r="G298" s="1172"/>
      <c r="H298" s="1172"/>
      <c r="I298" s="1172"/>
      <c r="J298" s="1172"/>
      <c r="K298" s="1172"/>
      <c r="L298" s="1172"/>
      <c r="M298" s="1172"/>
      <c r="N298" s="1172"/>
      <c r="O298" s="1172"/>
      <c r="P298" s="1172"/>
      <c r="Q298" s="1172"/>
      <c r="R298" s="1172"/>
      <c r="S298" s="1172"/>
      <c r="T298" s="1172"/>
      <c r="U298" s="1172"/>
      <c r="V298" s="1190"/>
      <c r="W298" s="1172"/>
      <c r="X298" s="1172"/>
      <c r="Y298" s="1172"/>
      <c r="Z298" s="1172"/>
    </row>
    <row r="299" spans="1:26" ht="24.75" customHeight="1">
      <c r="A299" s="1172"/>
      <c r="B299" s="1172"/>
      <c r="C299" s="1172"/>
      <c r="D299" s="1172"/>
      <c r="E299" s="1172"/>
      <c r="F299" s="1172"/>
      <c r="G299" s="1172"/>
      <c r="H299" s="1172"/>
      <c r="I299" s="1172"/>
      <c r="J299" s="1172"/>
      <c r="K299" s="1172"/>
      <c r="L299" s="1172"/>
      <c r="M299" s="1172"/>
      <c r="N299" s="1172"/>
      <c r="O299" s="1172"/>
      <c r="P299" s="1172"/>
      <c r="Q299" s="1172"/>
      <c r="R299" s="1172"/>
      <c r="S299" s="1172"/>
      <c r="T299" s="1172"/>
      <c r="U299" s="1172"/>
      <c r="V299" s="1190"/>
      <c r="W299" s="1172"/>
      <c r="X299" s="1172"/>
      <c r="Y299" s="1172"/>
      <c r="Z299" s="1172"/>
    </row>
    <row r="300" spans="1:26" ht="24.75" customHeight="1">
      <c r="A300" s="1172"/>
      <c r="B300" s="1172"/>
      <c r="C300" s="1172"/>
      <c r="D300" s="1172"/>
      <c r="E300" s="1172"/>
      <c r="F300" s="1172"/>
      <c r="G300" s="1172"/>
      <c r="H300" s="1172"/>
      <c r="I300" s="1172"/>
      <c r="J300" s="1172"/>
      <c r="K300" s="1172"/>
      <c r="L300" s="1172"/>
      <c r="M300" s="1172"/>
      <c r="N300" s="1172"/>
      <c r="O300" s="1172"/>
      <c r="P300" s="1172"/>
      <c r="Q300" s="1172"/>
      <c r="R300" s="1172"/>
      <c r="S300" s="1172"/>
      <c r="T300" s="1172"/>
      <c r="U300" s="1172"/>
      <c r="V300" s="1190"/>
      <c r="W300" s="1172"/>
      <c r="X300" s="1172"/>
      <c r="Y300" s="1172"/>
      <c r="Z300" s="1172"/>
    </row>
    <row r="301" spans="1:26" ht="24.75" customHeight="1">
      <c r="A301" s="1172"/>
      <c r="B301" s="1172"/>
      <c r="C301" s="1172"/>
      <c r="D301" s="1172"/>
      <c r="E301" s="1172"/>
      <c r="F301" s="1172"/>
      <c r="G301" s="1172"/>
      <c r="H301" s="1172"/>
      <c r="I301" s="1172"/>
      <c r="J301" s="1172"/>
      <c r="K301" s="1172"/>
      <c r="L301" s="1172"/>
      <c r="M301" s="1172"/>
      <c r="N301" s="1172"/>
      <c r="O301" s="1172"/>
      <c r="P301" s="1172"/>
      <c r="Q301" s="1172"/>
      <c r="R301" s="1172"/>
      <c r="S301" s="1172"/>
      <c r="T301" s="1172"/>
      <c r="U301" s="1172"/>
      <c r="V301" s="1190"/>
      <c r="W301" s="1172"/>
      <c r="X301" s="1172"/>
      <c r="Y301" s="1172"/>
      <c r="Z301" s="1172"/>
    </row>
    <row r="302" spans="1:26" ht="24.75" customHeight="1">
      <c r="A302" s="1172"/>
      <c r="B302" s="1172"/>
      <c r="C302" s="1172"/>
      <c r="D302" s="1172"/>
      <c r="E302" s="1172"/>
      <c r="F302" s="1172"/>
      <c r="G302" s="1172"/>
      <c r="H302" s="1172"/>
      <c r="I302" s="1172"/>
      <c r="J302" s="1172"/>
      <c r="K302" s="1172"/>
      <c r="L302" s="1172"/>
      <c r="M302" s="1172"/>
      <c r="N302" s="1172"/>
      <c r="O302" s="1172"/>
      <c r="P302" s="1172"/>
      <c r="Q302" s="1172"/>
      <c r="R302" s="1172"/>
      <c r="S302" s="1172"/>
      <c r="T302" s="1172"/>
      <c r="U302" s="1172"/>
      <c r="V302" s="1190"/>
      <c r="W302" s="1172"/>
      <c r="X302" s="1172"/>
      <c r="Y302" s="1172"/>
      <c r="Z302" s="1172"/>
    </row>
    <row r="303" spans="1:26" ht="24.75" customHeight="1">
      <c r="A303" s="1172"/>
      <c r="B303" s="1172"/>
      <c r="C303" s="1172"/>
      <c r="D303" s="1172"/>
      <c r="E303" s="1172"/>
      <c r="F303" s="1172"/>
      <c r="G303" s="1172"/>
      <c r="H303" s="1172"/>
      <c r="I303" s="1172"/>
      <c r="J303" s="1172"/>
      <c r="K303" s="1172"/>
      <c r="L303" s="1172"/>
      <c r="M303" s="1172"/>
      <c r="N303" s="1172"/>
      <c r="O303" s="1172"/>
      <c r="P303" s="1172"/>
      <c r="Q303" s="1172"/>
      <c r="R303" s="1172"/>
      <c r="S303" s="1172"/>
      <c r="T303" s="1172"/>
      <c r="U303" s="1172"/>
      <c r="V303" s="1190"/>
      <c r="W303" s="1172"/>
      <c r="X303" s="1172"/>
      <c r="Y303" s="1172"/>
      <c r="Z303" s="1172"/>
    </row>
    <row r="304" spans="1:26" ht="24.75" customHeight="1">
      <c r="A304" s="1172"/>
      <c r="B304" s="1172"/>
      <c r="C304" s="1172"/>
      <c r="D304" s="1172"/>
      <c r="E304" s="1172"/>
      <c r="F304" s="1172"/>
      <c r="G304" s="1172"/>
      <c r="H304" s="1172"/>
      <c r="I304" s="1172"/>
      <c r="J304" s="1172"/>
      <c r="K304" s="1172"/>
      <c r="L304" s="1172"/>
      <c r="M304" s="1172"/>
      <c r="N304" s="1172"/>
      <c r="O304" s="1172"/>
      <c r="P304" s="1172"/>
      <c r="Q304" s="1172"/>
      <c r="R304" s="1172"/>
      <c r="S304" s="1172"/>
      <c r="T304" s="1172"/>
      <c r="U304" s="1172"/>
      <c r="V304" s="1190"/>
      <c r="W304" s="1172"/>
      <c r="X304" s="1172"/>
      <c r="Y304" s="1172"/>
      <c r="Z304" s="1172"/>
    </row>
    <row r="305" spans="1:26" ht="24.75" customHeight="1">
      <c r="A305" s="1172"/>
      <c r="B305" s="1172"/>
      <c r="C305" s="1172"/>
      <c r="D305" s="1172"/>
      <c r="E305" s="1172"/>
      <c r="F305" s="1172"/>
      <c r="G305" s="1172"/>
      <c r="H305" s="1172"/>
      <c r="I305" s="1172"/>
      <c r="J305" s="1172"/>
      <c r="K305" s="1172"/>
      <c r="L305" s="1172"/>
      <c r="M305" s="1172"/>
      <c r="N305" s="1172"/>
      <c r="O305" s="1172"/>
      <c r="P305" s="1172"/>
      <c r="Q305" s="1172"/>
      <c r="R305" s="1172"/>
      <c r="S305" s="1172"/>
      <c r="T305" s="1172"/>
      <c r="U305" s="1172"/>
      <c r="V305" s="1190"/>
      <c r="W305" s="1172"/>
      <c r="X305" s="1172"/>
      <c r="Y305" s="1172"/>
      <c r="Z305" s="1172"/>
    </row>
    <row r="306" spans="1:26" ht="24.75" customHeight="1">
      <c r="A306" s="1172"/>
      <c r="B306" s="1172"/>
      <c r="C306" s="1172"/>
      <c r="D306" s="1172"/>
      <c r="E306" s="1172"/>
      <c r="F306" s="1172"/>
      <c r="G306" s="1172"/>
      <c r="H306" s="1172"/>
      <c r="I306" s="1172"/>
      <c r="J306" s="1172"/>
      <c r="K306" s="1172"/>
      <c r="L306" s="1172"/>
      <c r="M306" s="1172"/>
      <c r="N306" s="1172"/>
      <c r="O306" s="1172"/>
      <c r="P306" s="1172"/>
      <c r="Q306" s="1172"/>
      <c r="R306" s="1172"/>
      <c r="S306" s="1172"/>
      <c r="T306" s="1172"/>
      <c r="U306" s="1172"/>
      <c r="V306" s="1190"/>
      <c r="W306" s="1172"/>
      <c r="X306" s="1172"/>
      <c r="Y306" s="1172"/>
      <c r="Z306" s="1172"/>
    </row>
    <row r="307" spans="1:26" ht="24.75" customHeight="1">
      <c r="A307" s="1172"/>
      <c r="B307" s="1172"/>
      <c r="C307" s="1172"/>
      <c r="D307" s="1172"/>
      <c r="E307" s="1172"/>
      <c r="F307" s="1172"/>
      <c r="G307" s="1172"/>
      <c r="H307" s="1172"/>
      <c r="I307" s="1172"/>
      <c r="J307" s="1172"/>
      <c r="K307" s="1172"/>
      <c r="L307" s="1172"/>
      <c r="M307" s="1172"/>
      <c r="N307" s="1172"/>
      <c r="O307" s="1172"/>
      <c r="P307" s="1172"/>
      <c r="Q307" s="1172"/>
      <c r="R307" s="1172"/>
      <c r="S307" s="1172"/>
      <c r="T307" s="1172"/>
      <c r="U307" s="1172"/>
      <c r="V307" s="1190"/>
      <c r="W307" s="1172"/>
      <c r="X307" s="1172"/>
      <c r="Y307" s="1172"/>
      <c r="Z307" s="1172"/>
    </row>
    <row r="308" spans="1:26" ht="24.75" customHeight="1">
      <c r="A308" s="1172"/>
      <c r="B308" s="1172"/>
      <c r="C308" s="1172"/>
      <c r="D308" s="1172"/>
      <c r="E308" s="1172"/>
      <c r="F308" s="1172"/>
      <c r="G308" s="1172"/>
      <c r="H308" s="1172"/>
      <c r="I308" s="1172"/>
      <c r="J308" s="1172"/>
      <c r="K308" s="1172"/>
      <c r="L308" s="1172"/>
      <c r="M308" s="1172"/>
      <c r="N308" s="1172"/>
      <c r="O308" s="1172"/>
      <c r="P308" s="1172"/>
      <c r="Q308" s="1172"/>
      <c r="R308" s="1172"/>
      <c r="S308" s="1172"/>
      <c r="T308" s="1172"/>
      <c r="U308" s="1172"/>
      <c r="V308" s="1190"/>
      <c r="W308" s="1172"/>
      <c r="X308" s="1172"/>
      <c r="Y308" s="1172"/>
      <c r="Z308" s="1172"/>
    </row>
    <row r="309" spans="1:26" ht="24.75" customHeight="1">
      <c r="A309" s="1172"/>
      <c r="B309" s="1172"/>
      <c r="C309" s="1172"/>
      <c r="D309" s="1172"/>
      <c r="E309" s="1172"/>
      <c r="F309" s="1172"/>
      <c r="G309" s="1172"/>
      <c r="H309" s="1172"/>
      <c r="I309" s="1172"/>
      <c r="J309" s="1172"/>
      <c r="K309" s="1172"/>
      <c r="L309" s="1172"/>
      <c r="M309" s="1172"/>
      <c r="N309" s="1172"/>
      <c r="O309" s="1172"/>
      <c r="P309" s="1172"/>
      <c r="Q309" s="1172"/>
      <c r="R309" s="1172"/>
      <c r="S309" s="1172"/>
      <c r="T309" s="1172"/>
      <c r="U309" s="1172"/>
      <c r="V309" s="1190"/>
      <c r="W309" s="1172"/>
      <c r="X309" s="1172"/>
      <c r="Y309" s="1172"/>
      <c r="Z309" s="1172"/>
    </row>
    <row r="310" spans="1:26" ht="24.75" customHeight="1">
      <c r="A310" s="1172"/>
      <c r="B310" s="1172"/>
      <c r="C310" s="1172"/>
      <c r="D310" s="1172"/>
      <c r="E310" s="1172"/>
      <c r="F310" s="1172"/>
      <c r="G310" s="1172"/>
      <c r="H310" s="1172"/>
      <c r="I310" s="1172"/>
      <c r="J310" s="1172"/>
      <c r="K310" s="1172"/>
      <c r="L310" s="1172"/>
      <c r="M310" s="1172"/>
      <c r="N310" s="1172"/>
      <c r="O310" s="1172"/>
      <c r="P310" s="1172"/>
      <c r="Q310" s="1172"/>
      <c r="R310" s="1172"/>
      <c r="S310" s="1172"/>
      <c r="T310" s="1172"/>
      <c r="U310" s="1172"/>
      <c r="V310" s="1190"/>
      <c r="W310" s="1172"/>
      <c r="X310" s="1172"/>
      <c r="Y310" s="1172"/>
      <c r="Z310" s="1172"/>
    </row>
    <row r="311" spans="1:26" ht="24.75" customHeight="1">
      <c r="A311" s="1172"/>
      <c r="B311" s="1172"/>
      <c r="C311" s="1172"/>
      <c r="D311" s="1172"/>
      <c r="E311" s="1172"/>
      <c r="F311" s="1172"/>
      <c r="G311" s="1172"/>
      <c r="H311" s="1172"/>
      <c r="I311" s="1172"/>
      <c r="J311" s="1172"/>
      <c r="K311" s="1172"/>
      <c r="L311" s="1172"/>
      <c r="M311" s="1172"/>
      <c r="N311" s="1172"/>
      <c r="O311" s="1172"/>
      <c r="P311" s="1172"/>
      <c r="Q311" s="1172"/>
      <c r="R311" s="1172"/>
      <c r="S311" s="1172"/>
      <c r="T311" s="1172"/>
      <c r="U311" s="1172"/>
      <c r="V311" s="1190"/>
      <c r="W311" s="1172"/>
      <c r="X311" s="1172"/>
      <c r="Y311" s="1172"/>
      <c r="Z311" s="1172"/>
    </row>
    <row r="312" spans="1:26" ht="24.75" customHeight="1">
      <c r="A312" s="1172"/>
      <c r="B312" s="1172"/>
      <c r="C312" s="1172"/>
      <c r="D312" s="1172"/>
      <c r="E312" s="1172"/>
      <c r="F312" s="1172"/>
      <c r="G312" s="1172"/>
      <c r="H312" s="1172"/>
      <c r="I312" s="1172"/>
      <c r="J312" s="1172"/>
      <c r="K312" s="1172"/>
      <c r="L312" s="1172"/>
      <c r="M312" s="1172"/>
      <c r="N312" s="1172"/>
      <c r="O312" s="1172"/>
      <c r="P312" s="1172"/>
      <c r="Q312" s="1172"/>
      <c r="R312" s="1172"/>
      <c r="S312" s="1172"/>
      <c r="T312" s="1172"/>
      <c r="U312" s="1172"/>
      <c r="V312" s="1190"/>
      <c r="W312" s="1172"/>
      <c r="X312" s="1172"/>
      <c r="Y312" s="1172"/>
      <c r="Z312" s="1172"/>
    </row>
    <row r="313" spans="1:26" ht="24.75" customHeight="1">
      <c r="A313" s="1172"/>
      <c r="B313" s="1172"/>
      <c r="C313" s="1172"/>
      <c r="D313" s="1172"/>
      <c r="E313" s="1172"/>
      <c r="F313" s="1172"/>
      <c r="G313" s="1172"/>
      <c r="H313" s="1172"/>
      <c r="I313" s="1172"/>
      <c r="J313" s="1172"/>
      <c r="K313" s="1172"/>
      <c r="L313" s="1172"/>
      <c r="M313" s="1172"/>
      <c r="N313" s="1172"/>
      <c r="O313" s="1172"/>
      <c r="P313" s="1172"/>
      <c r="Q313" s="1172"/>
      <c r="R313" s="1172"/>
      <c r="S313" s="1172"/>
      <c r="T313" s="1172"/>
      <c r="U313" s="1172"/>
      <c r="V313" s="1190"/>
      <c r="W313" s="1172"/>
      <c r="X313" s="1172"/>
      <c r="Y313" s="1172"/>
      <c r="Z313" s="1172"/>
    </row>
    <row r="314" spans="1:26" ht="24.75" customHeight="1">
      <c r="A314" s="1172"/>
      <c r="B314" s="1172"/>
      <c r="C314" s="1172"/>
      <c r="D314" s="1172"/>
      <c r="E314" s="1172"/>
      <c r="F314" s="1172"/>
      <c r="G314" s="1172"/>
      <c r="H314" s="1172"/>
      <c r="I314" s="1172"/>
      <c r="J314" s="1172"/>
      <c r="K314" s="1172"/>
      <c r="L314" s="1172"/>
      <c r="M314" s="1172"/>
      <c r="N314" s="1172"/>
      <c r="O314" s="1172"/>
      <c r="P314" s="1172"/>
      <c r="Q314" s="1172"/>
      <c r="R314" s="1172"/>
      <c r="S314" s="1172"/>
      <c r="T314" s="1172"/>
      <c r="U314" s="1172"/>
      <c r="V314" s="1190"/>
      <c r="W314" s="1172"/>
      <c r="X314" s="1172"/>
      <c r="Y314" s="1172"/>
      <c r="Z314" s="1172"/>
    </row>
    <row r="315" spans="1:26" ht="24.75" customHeight="1">
      <c r="A315" s="1172"/>
      <c r="B315" s="1172"/>
      <c r="C315" s="1172"/>
      <c r="D315" s="1172"/>
      <c r="E315" s="1172"/>
      <c r="F315" s="1172"/>
      <c r="G315" s="1172"/>
      <c r="H315" s="1172"/>
      <c r="I315" s="1172"/>
      <c r="J315" s="1172"/>
      <c r="K315" s="1172"/>
      <c r="L315" s="1172"/>
      <c r="M315" s="1172"/>
      <c r="N315" s="1172"/>
      <c r="O315" s="1172"/>
      <c r="P315" s="1172"/>
      <c r="Q315" s="1172"/>
      <c r="R315" s="1172"/>
      <c r="S315" s="1172"/>
      <c r="T315" s="1172"/>
      <c r="U315" s="1172"/>
      <c r="V315" s="1190"/>
      <c r="W315" s="1172"/>
      <c r="X315" s="1172"/>
      <c r="Y315" s="1172"/>
      <c r="Z315" s="1172"/>
    </row>
    <row r="316" spans="1:26" ht="24.75" customHeight="1">
      <c r="A316" s="1172"/>
      <c r="B316" s="1172"/>
      <c r="C316" s="1172"/>
      <c r="D316" s="1172"/>
      <c r="E316" s="1172"/>
      <c r="F316" s="1172"/>
      <c r="G316" s="1172"/>
      <c r="H316" s="1172"/>
      <c r="I316" s="1172"/>
      <c r="J316" s="1172"/>
      <c r="K316" s="1172"/>
      <c r="L316" s="1172"/>
      <c r="M316" s="1172"/>
      <c r="N316" s="1172"/>
      <c r="O316" s="1172"/>
      <c r="P316" s="1172"/>
      <c r="Q316" s="1172"/>
      <c r="R316" s="1172"/>
      <c r="S316" s="1172"/>
      <c r="T316" s="1172"/>
      <c r="U316" s="1172"/>
      <c r="V316" s="1190"/>
      <c r="W316" s="1172"/>
      <c r="X316" s="1172"/>
      <c r="Y316" s="1172"/>
      <c r="Z316" s="1172"/>
    </row>
    <row r="317" spans="1:26" ht="24.75" customHeight="1">
      <c r="A317" s="1172"/>
      <c r="B317" s="1172"/>
      <c r="C317" s="1172"/>
      <c r="D317" s="1172"/>
      <c r="E317" s="1172"/>
      <c r="F317" s="1172"/>
      <c r="G317" s="1172"/>
      <c r="H317" s="1172"/>
      <c r="I317" s="1172"/>
      <c r="J317" s="1172"/>
      <c r="K317" s="1172"/>
      <c r="L317" s="1172"/>
      <c r="M317" s="1172"/>
      <c r="N317" s="1172"/>
      <c r="O317" s="1172"/>
      <c r="P317" s="1172"/>
      <c r="Q317" s="1172"/>
      <c r="R317" s="1172"/>
      <c r="S317" s="1172"/>
      <c r="T317" s="1172"/>
      <c r="U317" s="1172"/>
      <c r="V317" s="1190"/>
      <c r="W317" s="1172"/>
      <c r="X317" s="1172"/>
      <c r="Y317" s="1172"/>
      <c r="Z317" s="1172"/>
    </row>
    <row r="318" spans="1:26" ht="24.75" customHeight="1">
      <c r="A318" s="1172"/>
      <c r="B318" s="1172"/>
      <c r="C318" s="1172"/>
      <c r="D318" s="1172"/>
      <c r="E318" s="1172"/>
      <c r="F318" s="1172"/>
      <c r="G318" s="1172"/>
      <c r="H318" s="1172"/>
      <c r="I318" s="1172"/>
      <c r="J318" s="1172"/>
      <c r="K318" s="1172"/>
      <c r="L318" s="1172"/>
      <c r="M318" s="1172"/>
      <c r="N318" s="1172"/>
      <c r="O318" s="1172"/>
      <c r="P318" s="1172"/>
      <c r="Q318" s="1172"/>
      <c r="R318" s="1172"/>
      <c r="S318" s="1172"/>
      <c r="T318" s="1172"/>
      <c r="U318" s="1172"/>
      <c r="V318" s="1190"/>
      <c r="W318" s="1172"/>
      <c r="X318" s="1172"/>
      <c r="Y318" s="1172"/>
      <c r="Z318" s="1172"/>
    </row>
    <row r="319" spans="1:26" ht="24.75" customHeight="1">
      <c r="A319" s="1172"/>
      <c r="B319" s="1172"/>
      <c r="C319" s="1172"/>
      <c r="D319" s="1172"/>
      <c r="E319" s="1172"/>
      <c r="F319" s="1172"/>
      <c r="G319" s="1172"/>
      <c r="H319" s="1172"/>
      <c r="I319" s="1172"/>
      <c r="J319" s="1172"/>
      <c r="K319" s="1172"/>
      <c r="L319" s="1172"/>
      <c r="M319" s="1172"/>
      <c r="N319" s="1172"/>
      <c r="O319" s="1172"/>
      <c r="P319" s="1172"/>
      <c r="Q319" s="1172"/>
      <c r="R319" s="1172"/>
      <c r="S319" s="1172"/>
      <c r="T319" s="1172"/>
      <c r="U319" s="1172"/>
      <c r="V319" s="1190"/>
      <c r="W319" s="1172"/>
      <c r="X319" s="1172"/>
      <c r="Y319" s="1172"/>
      <c r="Z319" s="1172"/>
    </row>
    <row r="320" spans="1:26" ht="24.75" customHeight="1">
      <c r="A320" s="1172"/>
      <c r="B320" s="1172"/>
      <c r="C320" s="1172"/>
      <c r="D320" s="1172"/>
      <c r="E320" s="1172"/>
      <c r="F320" s="1172"/>
      <c r="G320" s="1172"/>
      <c r="H320" s="1172"/>
      <c r="I320" s="1172"/>
      <c r="J320" s="1172"/>
      <c r="K320" s="1172"/>
      <c r="L320" s="1172"/>
      <c r="M320" s="1172"/>
      <c r="N320" s="1172"/>
      <c r="O320" s="1172"/>
      <c r="P320" s="1172"/>
      <c r="Q320" s="1172"/>
      <c r="R320" s="1172"/>
      <c r="S320" s="1172"/>
      <c r="T320" s="1172"/>
      <c r="U320" s="1172"/>
      <c r="V320" s="1190"/>
      <c r="W320" s="1172"/>
      <c r="X320" s="1172"/>
      <c r="Y320" s="1172"/>
      <c r="Z320" s="1172"/>
    </row>
    <row r="321" spans="1:26" ht="24.75" customHeight="1">
      <c r="A321" s="1172"/>
      <c r="B321" s="1172"/>
      <c r="C321" s="1172"/>
      <c r="D321" s="1172"/>
      <c r="E321" s="1172"/>
      <c r="F321" s="1172"/>
      <c r="G321" s="1172"/>
      <c r="H321" s="1172"/>
      <c r="I321" s="1172"/>
      <c r="J321" s="1172"/>
      <c r="K321" s="1172"/>
      <c r="L321" s="1172"/>
      <c r="M321" s="1172"/>
      <c r="N321" s="1172"/>
      <c r="O321" s="1172"/>
      <c r="P321" s="1172"/>
      <c r="Q321" s="1172"/>
      <c r="R321" s="1172"/>
      <c r="S321" s="1172"/>
      <c r="T321" s="1172"/>
      <c r="U321" s="1172"/>
      <c r="V321" s="1190"/>
      <c r="W321" s="1172"/>
      <c r="X321" s="1172"/>
      <c r="Y321" s="1172"/>
      <c r="Z321" s="1172"/>
    </row>
    <row r="322" spans="1:26" ht="24.75" customHeight="1">
      <c r="A322" s="1172"/>
      <c r="B322" s="1172"/>
      <c r="C322" s="1172"/>
      <c r="D322" s="1172"/>
      <c r="E322" s="1172"/>
      <c r="F322" s="1172"/>
      <c r="G322" s="1172"/>
      <c r="H322" s="1172"/>
      <c r="I322" s="1172"/>
      <c r="J322" s="1172"/>
      <c r="K322" s="1172"/>
      <c r="L322" s="1172"/>
      <c r="M322" s="1172"/>
      <c r="N322" s="1172"/>
      <c r="O322" s="1172"/>
      <c r="P322" s="1172"/>
      <c r="Q322" s="1172"/>
      <c r="R322" s="1172"/>
      <c r="S322" s="1172"/>
      <c r="T322" s="1172"/>
      <c r="U322" s="1172"/>
      <c r="V322" s="1190"/>
      <c r="W322" s="1172"/>
      <c r="X322" s="1172"/>
      <c r="Y322" s="1172"/>
      <c r="Z322" s="1172"/>
    </row>
    <row r="323" spans="1:26" ht="24.75" customHeight="1">
      <c r="A323" s="1172"/>
      <c r="B323" s="1172"/>
      <c r="C323" s="1172"/>
      <c r="D323" s="1172"/>
      <c r="E323" s="1172"/>
      <c r="F323" s="1172"/>
      <c r="G323" s="1172"/>
      <c r="H323" s="1172"/>
      <c r="I323" s="1172"/>
      <c r="J323" s="1172"/>
      <c r="K323" s="1172"/>
      <c r="L323" s="1172"/>
      <c r="M323" s="1172"/>
      <c r="N323" s="1172"/>
      <c r="O323" s="1172"/>
      <c r="P323" s="1172"/>
      <c r="Q323" s="1172"/>
      <c r="R323" s="1172"/>
      <c r="S323" s="1172"/>
      <c r="T323" s="1172"/>
      <c r="U323" s="1172"/>
      <c r="V323" s="1190"/>
      <c r="W323" s="1172"/>
      <c r="X323" s="1172"/>
      <c r="Y323" s="1172"/>
      <c r="Z323" s="1172"/>
    </row>
    <row r="324" spans="1:26" ht="24.75" customHeight="1">
      <c r="A324" s="1172"/>
      <c r="B324" s="1172"/>
      <c r="C324" s="1172"/>
      <c r="D324" s="1172"/>
      <c r="E324" s="1172"/>
      <c r="F324" s="1172"/>
      <c r="G324" s="1172"/>
      <c r="H324" s="1172"/>
      <c r="I324" s="1172"/>
      <c r="J324" s="1172"/>
      <c r="K324" s="1172"/>
      <c r="L324" s="1172"/>
      <c r="M324" s="1172"/>
      <c r="N324" s="1172"/>
      <c r="O324" s="1172"/>
      <c r="P324" s="1172"/>
      <c r="Q324" s="1172"/>
      <c r="R324" s="1172"/>
      <c r="S324" s="1172"/>
      <c r="T324" s="1172"/>
      <c r="U324" s="1172"/>
      <c r="V324" s="1190"/>
      <c r="W324" s="1172"/>
      <c r="X324" s="1172"/>
      <c r="Y324" s="1172"/>
      <c r="Z324" s="1172"/>
    </row>
    <row r="325" spans="1:26" ht="24.75" customHeight="1">
      <c r="A325" s="1172"/>
      <c r="B325" s="1172"/>
      <c r="C325" s="1172"/>
      <c r="D325" s="1172"/>
      <c r="E325" s="1172"/>
      <c r="F325" s="1172"/>
      <c r="G325" s="1172"/>
      <c r="H325" s="1172"/>
      <c r="I325" s="1172"/>
      <c r="J325" s="1172"/>
      <c r="K325" s="1172"/>
      <c r="L325" s="1172"/>
      <c r="M325" s="1172"/>
      <c r="N325" s="1172"/>
      <c r="O325" s="1172"/>
      <c r="P325" s="1172"/>
      <c r="Q325" s="1172"/>
      <c r="R325" s="1172"/>
      <c r="S325" s="1172"/>
      <c r="T325" s="1172"/>
      <c r="U325" s="1172"/>
      <c r="V325" s="1190"/>
      <c r="W325" s="1172"/>
      <c r="X325" s="1172"/>
      <c r="Y325" s="1172"/>
      <c r="Z325" s="1172"/>
    </row>
    <row r="326" spans="1:26" ht="24.75" customHeight="1">
      <c r="A326" s="1172"/>
      <c r="B326" s="1172"/>
      <c r="C326" s="1172"/>
      <c r="D326" s="1172"/>
      <c r="E326" s="1172"/>
      <c r="F326" s="1172"/>
      <c r="G326" s="1172"/>
      <c r="H326" s="1172"/>
      <c r="I326" s="1172"/>
      <c r="J326" s="1172"/>
      <c r="K326" s="1172"/>
      <c r="L326" s="1172"/>
      <c r="M326" s="1172"/>
      <c r="N326" s="1172"/>
      <c r="O326" s="1172"/>
      <c r="P326" s="1172"/>
      <c r="Q326" s="1172"/>
      <c r="R326" s="1172"/>
      <c r="S326" s="1172"/>
      <c r="T326" s="1172"/>
      <c r="U326" s="1172"/>
      <c r="V326" s="1190"/>
      <c r="W326" s="1172"/>
      <c r="X326" s="1172"/>
      <c r="Y326" s="1172"/>
      <c r="Z326" s="1172"/>
    </row>
    <row r="327" spans="1:26" ht="24.75" customHeight="1">
      <c r="A327" s="1172"/>
      <c r="B327" s="1172"/>
      <c r="C327" s="1172"/>
      <c r="D327" s="1172"/>
      <c r="E327" s="1172"/>
      <c r="F327" s="1172"/>
      <c r="G327" s="1172"/>
      <c r="H327" s="1172"/>
      <c r="I327" s="1172"/>
      <c r="J327" s="1172"/>
      <c r="K327" s="1172"/>
      <c r="L327" s="1172"/>
      <c r="M327" s="1172"/>
      <c r="N327" s="1172"/>
      <c r="O327" s="1172"/>
      <c r="P327" s="1172"/>
      <c r="Q327" s="1172"/>
      <c r="R327" s="1172"/>
      <c r="S327" s="1172"/>
      <c r="T327" s="1172"/>
      <c r="U327" s="1172"/>
      <c r="V327" s="1190"/>
      <c r="W327" s="1172"/>
      <c r="X327" s="1172"/>
      <c r="Y327" s="1172"/>
      <c r="Z327" s="1172"/>
    </row>
    <row r="328" spans="1:26" ht="24.75" customHeight="1">
      <c r="A328" s="1172"/>
      <c r="B328" s="1172"/>
      <c r="C328" s="1172"/>
      <c r="D328" s="1172"/>
      <c r="E328" s="1172"/>
      <c r="F328" s="1172"/>
      <c r="G328" s="1172"/>
      <c r="H328" s="1172"/>
      <c r="I328" s="1172"/>
      <c r="J328" s="1172"/>
      <c r="K328" s="1172"/>
      <c r="L328" s="1172"/>
      <c r="M328" s="1172"/>
      <c r="N328" s="1172"/>
      <c r="O328" s="1172"/>
      <c r="P328" s="1172"/>
      <c r="Q328" s="1172"/>
      <c r="R328" s="1172"/>
      <c r="S328" s="1172"/>
      <c r="T328" s="1172"/>
      <c r="U328" s="1172"/>
      <c r="V328" s="1190"/>
      <c r="W328" s="1172"/>
      <c r="X328" s="1172"/>
      <c r="Y328" s="1172"/>
      <c r="Z328" s="1172"/>
    </row>
    <row r="329" spans="1:26" ht="24.75" customHeight="1">
      <c r="A329" s="1172"/>
      <c r="B329" s="1172"/>
      <c r="C329" s="1172"/>
      <c r="D329" s="1172"/>
      <c r="E329" s="1172"/>
      <c r="F329" s="1172"/>
      <c r="G329" s="1172"/>
      <c r="H329" s="1172"/>
      <c r="I329" s="1172"/>
      <c r="J329" s="1172"/>
      <c r="K329" s="1172"/>
      <c r="L329" s="1172"/>
      <c r="M329" s="1172"/>
      <c r="N329" s="1172"/>
      <c r="O329" s="1172"/>
      <c r="P329" s="1172"/>
      <c r="Q329" s="1172"/>
      <c r="R329" s="1172"/>
      <c r="S329" s="1172"/>
      <c r="T329" s="1172"/>
      <c r="U329" s="1172"/>
      <c r="V329" s="1190"/>
      <c r="W329" s="1172"/>
      <c r="X329" s="1172"/>
      <c r="Y329" s="1172"/>
      <c r="Z329" s="1172"/>
    </row>
    <row r="330" spans="1:26" ht="24.75" customHeight="1">
      <c r="A330" s="1172"/>
      <c r="B330" s="1172"/>
      <c r="C330" s="1172"/>
      <c r="D330" s="1172"/>
      <c r="E330" s="1172"/>
      <c r="F330" s="1172"/>
      <c r="G330" s="1172"/>
      <c r="H330" s="1172"/>
      <c r="I330" s="1172"/>
      <c r="J330" s="1172"/>
      <c r="K330" s="1172"/>
      <c r="L330" s="1172"/>
      <c r="M330" s="1172"/>
      <c r="N330" s="1172"/>
      <c r="O330" s="1172"/>
      <c r="P330" s="1172"/>
      <c r="Q330" s="1172"/>
      <c r="R330" s="1172"/>
      <c r="S330" s="1172"/>
      <c r="T330" s="1172"/>
      <c r="U330" s="1172"/>
      <c r="V330" s="1190"/>
      <c r="W330" s="1172"/>
      <c r="X330" s="1172"/>
      <c r="Y330" s="1172"/>
      <c r="Z330" s="1172"/>
    </row>
    <row r="331" spans="1:26" ht="24.75" customHeight="1">
      <c r="A331" s="1172"/>
      <c r="B331" s="1172"/>
      <c r="C331" s="1172"/>
      <c r="D331" s="1172"/>
      <c r="E331" s="1172"/>
      <c r="F331" s="1172"/>
      <c r="G331" s="1172"/>
      <c r="H331" s="1172"/>
      <c r="I331" s="1172"/>
      <c r="J331" s="1172"/>
      <c r="K331" s="1172"/>
      <c r="L331" s="1172"/>
      <c r="M331" s="1172"/>
      <c r="N331" s="1172"/>
      <c r="O331" s="1172"/>
      <c r="P331" s="1172"/>
      <c r="Q331" s="1172"/>
      <c r="R331" s="1172"/>
      <c r="S331" s="1172"/>
      <c r="T331" s="1172"/>
      <c r="U331" s="1172"/>
      <c r="V331" s="1190"/>
      <c r="W331" s="1172"/>
      <c r="X331" s="1172"/>
      <c r="Y331" s="1172"/>
      <c r="Z331" s="1172"/>
    </row>
    <row r="332" spans="1:26" ht="24.75" customHeight="1">
      <c r="A332" s="1172"/>
      <c r="B332" s="1172"/>
      <c r="C332" s="1172"/>
      <c r="D332" s="1172"/>
      <c r="E332" s="1172"/>
      <c r="F332" s="1172"/>
      <c r="G332" s="1172"/>
      <c r="H332" s="1172"/>
      <c r="I332" s="1172"/>
      <c r="J332" s="1172"/>
      <c r="K332" s="1172"/>
      <c r="L332" s="1172"/>
      <c r="M332" s="1172"/>
      <c r="N332" s="1172"/>
      <c r="O332" s="1172"/>
      <c r="P332" s="1172"/>
      <c r="Q332" s="1172"/>
      <c r="R332" s="1172"/>
      <c r="S332" s="1172"/>
      <c r="T332" s="1172"/>
      <c r="U332" s="1172"/>
      <c r="V332" s="1190"/>
      <c r="W332" s="1172"/>
      <c r="X332" s="1172"/>
      <c r="Y332" s="1172"/>
      <c r="Z332" s="1172"/>
    </row>
    <row r="333" spans="1:26" ht="24.75" customHeight="1">
      <c r="A333" s="1172"/>
      <c r="B333" s="1172"/>
      <c r="C333" s="1172"/>
      <c r="D333" s="1172"/>
      <c r="E333" s="1172"/>
      <c r="F333" s="1172"/>
      <c r="G333" s="1172"/>
      <c r="H333" s="1172"/>
      <c r="I333" s="1172"/>
      <c r="J333" s="1172"/>
      <c r="K333" s="1172"/>
      <c r="L333" s="1172"/>
      <c r="M333" s="1172"/>
      <c r="N333" s="1172"/>
      <c r="O333" s="1172"/>
      <c r="P333" s="1172"/>
      <c r="Q333" s="1172"/>
      <c r="R333" s="1172"/>
      <c r="S333" s="1172"/>
      <c r="T333" s="1172"/>
      <c r="U333" s="1172"/>
      <c r="V333" s="1190"/>
      <c r="W333" s="1172"/>
      <c r="X333" s="1172"/>
      <c r="Y333" s="1172"/>
      <c r="Z333" s="1172"/>
    </row>
    <row r="334" spans="1:26" ht="24.75" customHeight="1">
      <c r="A334" s="1172"/>
      <c r="B334" s="1172"/>
      <c r="C334" s="1172"/>
      <c r="D334" s="1172"/>
      <c r="E334" s="1172"/>
      <c r="F334" s="1172"/>
      <c r="G334" s="1172"/>
      <c r="H334" s="1172"/>
      <c r="I334" s="1172"/>
      <c r="J334" s="1172"/>
      <c r="K334" s="1172"/>
      <c r="L334" s="1172"/>
      <c r="M334" s="1172"/>
      <c r="N334" s="1172"/>
      <c r="O334" s="1172"/>
      <c r="P334" s="1172"/>
      <c r="Q334" s="1172"/>
      <c r="R334" s="1172"/>
      <c r="S334" s="1172"/>
      <c r="T334" s="1172"/>
      <c r="U334" s="1172"/>
      <c r="V334" s="1190"/>
      <c r="W334" s="1172"/>
      <c r="X334" s="1172"/>
      <c r="Y334" s="1172"/>
      <c r="Z334" s="1172"/>
    </row>
    <row r="335" spans="1:26" ht="24.75" customHeight="1">
      <c r="A335" s="1172"/>
      <c r="B335" s="1172"/>
      <c r="C335" s="1172"/>
      <c r="D335" s="1172"/>
      <c r="E335" s="1172"/>
      <c r="F335" s="1172"/>
      <c r="G335" s="1172"/>
      <c r="H335" s="1172"/>
      <c r="I335" s="1172"/>
      <c r="J335" s="1172"/>
      <c r="K335" s="1172"/>
      <c r="L335" s="1172"/>
      <c r="M335" s="1172"/>
      <c r="N335" s="1172"/>
      <c r="O335" s="1172"/>
      <c r="P335" s="1172"/>
      <c r="Q335" s="1172"/>
      <c r="R335" s="1172"/>
      <c r="S335" s="1172"/>
      <c r="T335" s="1172"/>
      <c r="U335" s="1172"/>
      <c r="V335" s="1190"/>
      <c r="W335" s="1172"/>
      <c r="X335" s="1172"/>
      <c r="Y335" s="1172"/>
      <c r="Z335" s="1172"/>
    </row>
    <row r="336" spans="1:26" ht="24.75" customHeight="1">
      <c r="A336" s="1172"/>
      <c r="B336" s="1172"/>
      <c r="C336" s="1172"/>
      <c r="D336" s="1172"/>
      <c r="E336" s="1172"/>
      <c r="F336" s="1172"/>
      <c r="G336" s="1172"/>
      <c r="H336" s="1172"/>
      <c r="I336" s="1172"/>
      <c r="J336" s="1172"/>
      <c r="K336" s="1172"/>
      <c r="L336" s="1172"/>
      <c r="M336" s="1172"/>
      <c r="N336" s="1172"/>
      <c r="O336" s="1172"/>
      <c r="P336" s="1172"/>
      <c r="Q336" s="1172"/>
      <c r="R336" s="1172"/>
      <c r="S336" s="1172"/>
      <c r="T336" s="1172"/>
      <c r="U336" s="1172"/>
      <c r="V336" s="1190"/>
      <c r="W336" s="1172"/>
      <c r="X336" s="1172"/>
      <c r="Y336" s="1172"/>
      <c r="Z336" s="1172"/>
    </row>
    <row r="337" spans="1:26" ht="24.75" customHeight="1">
      <c r="A337" s="1172"/>
      <c r="B337" s="1172"/>
      <c r="C337" s="1172"/>
      <c r="D337" s="1172"/>
      <c r="E337" s="1172"/>
      <c r="F337" s="1172"/>
      <c r="G337" s="1172"/>
      <c r="H337" s="1172"/>
      <c r="I337" s="1172"/>
      <c r="J337" s="1172"/>
      <c r="K337" s="1172"/>
      <c r="L337" s="1172"/>
      <c r="M337" s="1172"/>
      <c r="N337" s="1172"/>
      <c r="O337" s="1172"/>
      <c r="P337" s="1172"/>
      <c r="Q337" s="1172"/>
      <c r="R337" s="1172"/>
      <c r="S337" s="1172"/>
      <c r="T337" s="1172"/>
      <c r="U337" s="1172"/>
      <c r="V337" s="1190"/>
      <c r="W337" s="1172"/>
      <c r="X337" s="1172"/>
      <c r="Y337" s="1172"/>
      <c r="Z337" s="1172"/>
    </row>
    <row r="338" spans="1:26" ht="24.75" customHeight="1">
      <c r="A338" s="1172"/>
      <c r="B338" s="1172"/>
      <c r="C338" s="1172"/>
      <c r="D338" s="1172"/>
      <c r="E338" s="1172"/>
      <c r="F338" s="1172"/>
      <c r="G338" s="1172"/>
      <c r="H338" s="1172"/>
      <c r="I338" s="1172"/>
      <c r="J338" s="1172"/>
      <c r="K338" s="1172"/>
      <c r="L338" s="1172"/>
      <c r="M338" s="1172"/>
      <c r="N338" s="1172"/>
      <c r="O338" s="1172"/>
      <c r="P338" s="1172"/>
      <c r="Q338" s="1172"/>
      <c r="R338" s="1172"/>
      <c r="S338" s="1172"/>
      <c r="T338" s="1172"/>
      <c r="U338" s="1172"/>
      <c r="V338" s="1190"/>
      <c r="W338" s="1172"/>
      <c r="X338" s="1172"/>
      <c r="Y338" s="1172"/>
      <c r="Z338" s="1172"/>
    </row>
    <row r="339" spans="1:26" ht="24.75" customHeight="1">
      <c r="A339" s="1172"/>
      <c r="B339" s="1172"/>
      <c r="C339" s="1172"/>
      <c r="D339" s="1172"/>
      <c r="E339" s="1172"/>
      <c r="F339" s="1172"/>
      <c r="G339" s="1172"/>
      <c r="H339" s="1172"/>
      <c r="I339" s="1172"/>
      <c r="J339" s="1172"/>
      <c r="K339" s="1172"/>
      <c r="L339" s="1172"/>
      <c r="M339" s="1172"/>
      <c r="N339" s="1172"/>
      <c r="O339" s="1172"/>
      <c r="P339" s="1172"/>
      <c r="Q339" s="1172"/>
      <c r="R339" s="1172"/>
      <c r="S339" s="1172"/>
      <c r="T339" s="1172"/>
      <c r="U339" s="1172"/>
      <c r="V339" s="1190"/>
      <c r="W339" s="1172"/>
      <c r="X339" s="1172"/>
      <c r="Y339" s="1172"/>
      <c r="Z339" s="1172"/>
    </row>
    <row r="340" spans="1:26" ht="24.75" customHeight="1">
      <c r="A340" s="1172"/>
      <c r="B340" s="1172"/>
      <c r="C340" s="1172"/>
      <c r="D340" s="1172"/>
      <c r="E340" s="1172"/>
      <c r="F340" s="1172"/>
      <c r="G340" s="1172"/>
      <c r="H340" s="1172"/>
      <c r="I340" s="1172"/>
      <c r="J340" s="1172"/>
      <c r="K340" s="1172"/>
      <c r="L340" s="1172"/>
      <c r="M340" s="1172"/>
      <c r="N340" s="1172"/>
      <c r="O340" s="1172"/>
      <c r="P340" s="1172"/>
      <c r="Q340" s="1172"/>
      <c r="R340" s="1172"/>
      <c r="S340" s="1172"/>
      <c r="T340" s="1172"/>
      <c r="U340" s="1172"/>
      <c r="V340" s="1190"/>
      <c r="W340" s="1172"/>
      <c r="X340" s="1172"/>
      <c r="Y340" s="1172"/>
      <c r="Z340" s="1172"/>
    </row>
    <row r="341" spans="1:26" ht="24.75" customHeight="1">
      <c r="A341" s="1172"/>
      <c r="B341" s="1172"/>
      <c r="C341" s="1172"/>
      <c r="D341" s="1172"/>
      <c r="E341" s="1172"/>
      <c r="F341" s="1172"/>
      <c r="G341" s="1172"/>
      <c r="H341" s="1172"/>
      <c r="I341" s="1172"/>
      <c r="J341" s="1172"/>
      <c r="K341" s="1172"/>
      <c r="L341" s="1172"/>
      <c r="M341" s="1172"/>
      <c r="N341" s="1172"/>
      <c r="O341" s="1172"/>
      <c r="P341" s="1172"/>
      <c r="Q341" s="1172"/>
      <c r="R341" s="1172"/>
      <c r="S341" s="1172"/>
      <c r="T341" s="1172"/>
      <c r="U341" s="1172"/>
      <c r="V341" s="1190"/>
      <c r="W341" s="1172"/>
      <c r="X341" s="1172"/>
      <c r="Y341" s="1172"/>
      <c r="Z341" s="1172"/>
    </row>
    <row r="342" spans="1:26" ht="24.75" customHeight="1">
      <c r="A342" s="1172"/>
      <c r="B342" s="1172"/>
      <c r="C342" s="1172"/>
      <c r="D342" s="1172"/>
      <c r="E342" s="1172"/>
      <c r="F342" s="1172"/>
      <c r="G342" s="1172"/>
      <c r="H342" s="1172"/>
      <c r="I342" s="1172"/>
      <c r="J342" s="1172"/>
      <c r="K342" s="1172"/>
      <c r="L342" s="1172"/>
      <c r="M342" s="1172"/>
      <c r="N342" s="1172"/>
      <c r="O342" s="1172"/>
      <c r="P342" s="1172"/>
      <c r="Q342" s="1172"/>
      <c r="R342" s="1172"/>
      <c r="S342" s="1172"/>
      <c r="T342" s="1172"/>
      <c r="U342" s="1172"/>
      <c r="V342" s="1190"/>
      <c r="W342" s="1172"/>
      <c r="X342" s="1172"/>
      <c r="Y342" s="1172"/>
      <c r="Z342" s="1172"/>
    </row>
    <row r="343" spans="1:26" ht="24.75" customHeight="1">
      <c r="A343" s="1172"/>
      <c r="B343" s="1172"/>
      <c r="C343" s="1172"/>
      <c r="D343" s="1172"/>
      <c r="E343" s="1172"/>
      <c r="F343" s="1172"/>
      <c r="G343" s="1172"/>
      <c r="H343" s="1172"/>
      <c r="I343" s="1172"/>
      <c r="J343" s="1172"/>
      <c r="K343" s="1172"/>
      <c r="L343" s="1172"/>
      <c r="M343" s="1172"/>
      <c r="N343" s="1172"/>
      <c r="O343" s="1172"/>
      <c r="P343" s="1172"/>
      <c r="Q343" s="1172"/>
      <c r="R343" s="1172"/>
      <c r="S343" s="1172"/>
      <c r="T343" s="1172"/>
      <c r="U343" s="1172"/>
      <c r="V343" s="1190"/>
      <c r="W343" s="1172"/>
      <c r="X343" s="1172"/>
      <c r="Y343" s="1172"/>
      <c r="Z343" s="1172"/>
    </row>
    <row r="344" spans="1:26" ht="24.75" customHeight="1">
      <c r="A344" s="1172"/>
      <c r="B344" s="1172"/>
      <c r="C344" s="1172"/>
      <c r="D344" s="1172"/>
      <c r="E344" s="1172"/>
      <c r="F344" s="1172"/>
      <c r="G344" s="1172"/>
      <c r="H344" s="1172"/>
      <c r="I344" s="1172"/>
      <c r="J344" s="1172"/>
      <c r="K344" s="1172"/>
      <c r="L344" s="1172"/>
      <c r="M344" s="1172"/>
      <c r="N344" s="1172"/>
      <c r="O344" s="1172"/>
      <c r="P344" s="1172"/>
      <c r="Q344" s="1172"/>
      <c r="R344" s="1172"/>
      <c r="S344" s="1172"/>
      <c r="T344" s="1172"/>
      <c r="U344" s="1172"/>
      <c r="V344" s="1190"/>
      <c r="W344" s="1172"/>
      <c r="X344" s="1172"/>
      <c r="Y344" s="1172"/>
      <c r="Z344" s="1172"/>
    </row>
    <row r="345" spans="1:26" ht="24.75" customHeight="1">
      <c r="A345" s="1172"/>
      <c r="B345" s="1172"/>
      <c r="C345" s="1172"/>
      <c r="D345" s="1172"/>
      <c r="E345" s="1172"/>
      <c r="F345" s="1172"/>
      <c r="G345" s="1172"/>
      <c r="H345" s="1172"/>
      <c r="I345" s="1172"/>
      <c r="J345" s="1172"/>
      <c r="K345" s="1172"/>
      <c r="L345" s="1172"/>
      <c r="M345" s="1172"/>
      <c r="N345" s="1172"/>
      <c r="O345" s="1172"/>
      <c r="P345" s="1172"/>
      <c r="Q345" s="1172"/>
      <c r="R345" s="1172"/>
      <c r="S345" s="1172"/>
      <c r="T345" s="1172"/>
      <c r="U345" s="1172"/>
      <c r="V345" s="1190"/>
      <c r="W345" s="1172"/>
      <c r="X345" s="1172"/>
      <c r="Y345" s="1172"/>
      <c r="Z345" s="1172"/>
    </row>
    <row r="346" spans="1:26" ht="24.75" customHeight="1">
      <c r="A346" s="1172"/>
      <c r="B346" s="1172"/>
      <c r="C346" s="1172"/>
      <c r="D346" s="1172"/>
      <c r="E346" s="1172"/>
      <c r="F346" s="1172"/>
      <c r="G346" s="1172"/>
      <c r="H346" s="1172"/>
      <c r="I346" s="1172"/>
      <c r="J346" s="1172"/>
      <c r="K346" s="1172"/>
      <c r="L346" s="1172"/>
      <c r="M346" s="1172"/>
      <c r="N346" s="1172"/>
      <c r="O346" s="1172"/>
      <c r="P346" s="1172"/>
      <c r="Q346" s="1172"/>
      <c r="R346" s="1172"/>
      <c r="S346" s="1172"/>
      <c r="T346" s="1172"/>
      <c r="U346" s="1172"/>
      <c r="V346" s="1190"/>
      <c r="W346" s="1172"/>
      <c r="X346" s="1172"/>
      <c r="Y346" s="1172"/>
      <c r="Z346" s="1172"/>
    </row>
    <row r="347" spans="1:26" ht="24.75" customHeight="1">
      <c r="A347" s="1172"/>
      <c r="B347" s="1172"/>
      <c r="C347" s="1172"/>
      <c r="D347" s="1172"/>
      <c r="E347" s="1172"/>
      <c r="F347" s="1172"/>
      <c r="G347" s="1172"/>
      <c r="H347" s="1172"/>
      <c r="I347" s="1172"/>
      <c r="J347" s="1172"/>
      <c r="K347" s="1172"/>
      <c r="L347" s="1172"/>
      <c r="M347" s="1172"/>
      <c r="N347" s="1172"/>
      <c r="O347" s="1172"/>
      <c r="P347" s="1172"/>
      <c r="Q347" s="1172"/>
      <c r="R347" s="1172"/>
      <c r="S347" s="1172"/>
      <c r="T347" s="1172"/>
      <c r="U347" s="1172"/>
      <c r="V347" s="1190"/>
      <c r="W347" s="1172"/>
      <c r="X347" s="1172"/>
      <c r="Y347" s="1172"/>
      <c r="Z347" s="1172"/>
    </row>
    <row r="348" spans="1:26" ht="24.75" customHeight="1">
      <c r="A348" s="1172"/>
      <c r="B348" s="1172"/>
      <c r="C348" s="1172"/>
      <c r="D348" s="1172"/>
      <c r="E348" s="1172"/>
      <c r="F348" s="1172"/>
      <c r="G348" s="1172"/>
      <c r="H348" s="1172"/>
      <c r="I348" s="1172"/>
      <c r="J348" s="1172"/>
      <c r="K348" s="1172"/>
      <c r="L348" s="1172"/>
      <c r="M348" s="1172"/>
      <c r="N348" s="1172"/>
      <c r="O348" s="1172"/>
      <c r="P348" s="1172"/>
      <c r="Q348" s="1172"/>
      <c r="R348" s="1172"/>
      <c r="S348" s="1172"/>
      <c r="T348" s="1172"/>
      <c r="U348" s="1172"/>
      <c r="V348" s="1190"/>
      <c r="W348" s="1172"/>
      <c r="X348" s="1172"/>
      <c r="Y348" s="1172"/>
      <c r="Z348" s="1172"/>
    </row>
    <row r="349" spans="1:26" ht="24.75" customHeight="1">
      <c r="A349" s="1172"/>
      <c r="B349" s="1172"/>
      <c r="C349" s="1172"/>
      <c r="D349" s="1172"/>
      <c r="E349" s="1172"/>
      <c r="F349" s="1172"/>
      <c r="G349" s="1172"/>
      <c r="H349" s="1172"/>
      <c r="I349" s="1172"/>
      <c r="J349" s="1172"/>
      <c r="K349" s="1172"/>
      <c r="L349" s="1172"/>
      <c r="M349" s="1172"/>
      <c r="N349" s="1172"/>
      <c r="O349" s="1172"/>
      <c r="P349" s="1172"/>
      <c r="Q349" s="1172"/>
      <c r="R349" s="1172"/>
      <c r="S349" s="1172"/>
      <c r="T349" s="1172"/>
      <c r="U349" s="1172"/>
      <c r="V349" s="1190"/>
      <c r="W349" s="1172"/>
      <c r="X349" s="1172"/>
      <c r="Y349" s="1172"/>
      <c r="Z349" s="1172"/>
    </row>
    <row r="350" spans="1:26" ht="24.75" customHeight="1">
      <c r="A350" s="1172"/>
      <c r="B350" s="1172"/>
      <c r="C350" s="1172"/>
      <c r="D350" s="1172"/>
      <c r="E350" s="1172"/>
      <c r="F350" s="1172"/>
      <c r="G350" s="1172"/>
      <c r="H350" s="1172"/>
      <c r="I350" s="1172"/>
      <c r="J350" s="1172"/>
      <c r="K350" s="1172"/>
      <c r="L350" s="1172"/>
      <c r="M350" s="1172"/>
      <c r="N350" s="1172"/>
      <c r="O350" s="1172"/>
      <c r="P350" s="1172"/>
      <c r="Q350" s="1172"/>
      <c r="R350" s="1172"/>
      <c r="S350" s="1172"/>
      <c r="T350" s="1172"/>
      <c r="U350" s="1172"/>
      <c r="V350" s="1190"/>
      <c r="W350" s="1172"/>
      <c r="X350" s="1172"/>
      <c r="Y350" s="1172"/>
      <c r="Z350" s="1172"/>
    </row>
    <row r="351" spans="1:26" ht="24.75" customHeight="1">
      <c r="A351" s="1172"/>
      <c r="B351" s="1172"/>
      <c r="C351" s="1172"/>
      <c r="D351" s="1172"/>
      <c r="E351" s="1172"/>
      <c r="F351" s="1172"/>
      <c r="G351" s="1172"/>
      <c r="H351" s="1172"/>
      <c r="I351" s="1172"/>
      <c r="J351" s="1172"/>
      <c r="K351" s="1172"/>
      <c r="L351" s="1172"/>
      <c r="M351" s="1172"/>
      <c r="N351" s="1172"/>
      <c r="O351" s="1172"/>
      <c r="P351" s="1172"/>
      <c r="Q351" s="1172"/>
      <c r="R351" s="1172"/>
      <c r="S351" s="1172"/>
      <c r="T351" s="1172"/>
      <c r="U351" s="1172"/>
      <c r="V351" s="1190"/>
      <c r="W351" s="1172"/>
      <c r="X351" s="1172"/>
      <c r="Y351" s="1172"/>
      <c r="Z351" s="1172"/>
    </row>
    <row r="352" spans="1:26" ht="24.75" customHeight="1">
      <c r="A352" s="1172"/>
      <c r="B352" s="1172"/>
      <c r="C352" s="1172"/>
      <c r="D352" s="1172"/>
      <c r="E352" s="1172"/>
      <c r="F352" s="1172"/>
      <c r="G352" s="1172"/>
      <c r="H352" s="1172"/>
      <c r="I352" s="1172"/>
      <c r="J352" s="1172"/>
      <c r="K352" s="1172"/>
      <c r="L352" s="1172"/>
      <c r="M352" s="1172"/>
      <c r="N352" s="1172"/>
      <c r="O352" s="1172"/>
      <c r="P352" s="1172"/>
      <c r="Q352" s="1172"/>
      <c r="R352" s="1172"/>
      <c r="S352" s="1172"/>
      <c r="T352" s="1172"/>
      <c r="U352" s="1172"/>
      <c r="V352" s="1190"/>
      <c r="W352" s="1172"/>
      <c r="X352" s="1172"/>
      <c r="Y352" s="1172"/>
      <c r="Z352" s="1172"/>
    </row>
    <row r="353" spans="1:26" ht="24.75" customHeight="1">
      <c r="A353" s="1172"/>
      <c r="B353" s="1172"/>
      <c r="C353" s="1172"/>
      <c r="D353" s="1172"/>
      <c r="E353" s="1172"/>
      <c r="F353" s="1172"/>
      <c r="G353" s="1172"/>
      <c r="H353" s="1172"/>
      <c r="I353" s="1172"/>
      <c r="J353" s="1172"/>
      <c r="K353" s="1172"/>
      <c r="L353" s="1172"/>
      <c r="M353" s="1172"/>
      <c r="N353" s="1172"/>
      <c r="O353" s="1172"/>
      <c r="P353" s="1172"/>
      <c r="Q353" s="1172"/>
      <c r="R353" s="1172"/>
      <c r="S353" s="1172"/>
      <c r="T353" s="1172"/>
      <c r="U353" s="1172"/>
      <c r="V353" s="1190"/>
      <c r="W353" s="1172"/>
      <c r="X353" s="1172"/>
      <c r="Y353" s="1172"/>
      <c r="Z353" s="1172"/>
    </row>
    <row r="354" spans="1:26" ht="24.75" customHeight="1">
      <c r="A354" s="1172"/>
      <c r="B354" s="1172"/>
      <c r="C354" s="1172"/>
      <c r="D354" s="1172"/>
      <c r="E354" s="1172"/>
      <c r="F354" s="1172"/>
      <c r="G354" s="1172"/>
      <c r="H354" s="1172"/>
      <c r="I354" s="1172"/>
      <c r="J354" s="1172"/>
      <c r="K354" s="1172"/>
      <c r="L354" s="1172"/>
      <c r="M354" s="1172"/>
      <c r="N354" s="1172"/>
      <c r="O354" s="1172"/>
      <c r="P354" s="1172"/>
      <c r="Q354" s="1172"/>
      <c r="R354" s="1172"/>
      <c r="S354" s="1172"/>
      <c r="T354" s="1172"/>
      <c r="U354" s="1172"/>
      <c r="V354" s="1190"/>
      <c r="W354" s="1172"/>
      <c r="X354" s="1172"/>
      <c r="Y354" s="1172"/>
      <c r="Z354" s="1172"/>
    </row>
    <row r="355" spans="1:26" ht="24.75" customHeight="1">
      <c r="A355" s="1172"/>
      <c r="B355" s="1172"/>
      <c r="C355" s="1172"/>
      <c r="D355" s="1172"/>
      <c r="E355" s="1172"/>
      <c r="F355" s="1172"/>
      <c r="G355" s="1172"/>
      <c r="H355" s="1172"/>
      <c r="I355" s="1172"/>
      <c r="J355" s="1172"/>
      <c r="K355" s="1172"/>
      <c r="L355" s="1172"/>
      <c r="M355" s="1172"/>
      <c r="N355" s="1172"/>
      <c r="O355" s="1172"/>
      <c r="P355" s="1172"/>
      <c r="Q355" s="1172"/>
      <c r="R355" s="1172"/>
      <c r="S355" s="1172"/>
      <c r="T355" s="1172"/>
      <c r="U355" s="1172"/>
      <c r="V355" s="1190"/>
      <c r="W355" s="1172"/>
      <c r="X355" s="1172"/>
      <c r="Y355" s="1172"/>
      <c r="Z355" s="1172"/>
    </row>
    <row r="356" spans="1:26" ht="24.75" customHeight="1">
      <c r="A356" s="1172"/>
      <c r="B356" s="1172"/>
      <c r="C356" s="1172"/>
      <c r="D356" s="1172"/>
      <c r="E356" s="1172"/>
      <c r="F356" s="1172"/>
      <c r="G356" s="1172"/>
      <c r="H356" s="1172"/>
      <c r="I356" s="1172"/>
      <c r="J356" s="1172"/>
      <c r="K356" s="1172"/>
      <c r="L356" s="1172"/>
      <c r="M356" s="1172"/>
      <c r="N356" s="1172"/>
      <c r="O356" s="1172"/>
      <c r="P356" s="1172"/>
      <c r="Q356" s="1172"/>
      <c r="R356" s="1172"/>
      <c r="S356" s="1172"/>
      <c r="T356" s="1172"/>
      <c r="U356" s="1172"/>
      <c r="V356" s="1190"/>
      <c r="W356" s="1172"/>
      <c r="X356" s="1172"/>
      <c r="Y356" s="1172"/>
      <c r="Z356" s="1172"/>
    </row>
    <row r="357" spans="1:26" ht="24.75" customHeight="1">
      <c r="A357" s="1172"/>
      <c r="B357" s="1172"/>
      <c r="C357" s="1172"/>
      <c r="D357" s="1172"/>
      <c r="E357" s="1172"/>
      <c r="F357" s="1172"/>
      <c r="G357" s="1172"/>
      <c r="H357" s="1172"/>
      <c r="I357" s="1172"/>
      <c r="J357" s="1172"/>
      <c r="K357" s="1172"/>
      <c r="L357" s="1172"/>
      <c r="M357" s="1172"/>
      <c r="N357" s="1172"/>
      <c r="O357" s="1172"/>
      <c r="P357" s="1172"/>
      <c r="Q357" s="1172"/>
      <c r="R357" s="1172"/>
      <c r="S357" s="1172"/>
      <c r="T357" s="1172"/>
      <c r="U357" s="1172"/>
      <c r="V357" s="1190"/>
      <c r="W357" s="1172"/>
      <c r="X357" s="1172"/>
      <c r="Y357" s="1172"/>
      <c r="Z357" s="1172"/>
    </row>
    <row r="358" spans="1:26" ht="24.75" customHeight="1">
      <c r="A358" s="1172"/>
      <c r="B358" s="1172"/>
      <c r="C358" s="1172"/>
      <c r="D358" s="1172"/>
      <c r="E358" s="1172"/>
      <c r="F358" s="1172"/>
      <c r="G358" s="1172"/>
      <c r="H358" s="1172"/>
      <c r="I358" s="1172"/>
      <c r="J358" s="1172"/>
      <c r="K358" s="1172"/>
      <c r="L358" s="1172"/>
      <c r="M358" s="1172"/>
      <c r="N358" s="1172"/>
      <c r="O358" s="1172"/>
      <c r="P358" s="1172"/>
      <c r="Q358" s="1172"/>
      <c r="R358" s="1172"/>
      <c r="S358" s="1172"/>
      <c r="T358" s="1172"/>
      <c r="U358" s="1172"/>
      <c r="V358" s="1190"/>
      <c r="W358" s="1172"/>
      <c r="X358" s="1172"/>
      <c r="Y358" s="1172"/>
      <c r="Z358" s="1172"/>
    </row>
    <row r="359" spans="1:26" ht="24.75" customHeight="1">
      <c r="A359" s="1172"/>
      <c r="B359" s="1172"/>
      <c r="C359" s="1172"/>
      <c r="D359" s="1172"/>
      <c r="E359" s="1172"/>
      <c r="F359" s="1172"/>
      <c r="G359" s="1172"/>
      <c r="H359" s="1172"/>
      <c r="I359" s="1172"/>
      <c r="J359" s="1172"/>
      <c r="K359" s="1172"/>
      <c r="L359" s="1172"/>
      <c r="M359" s="1172"/>
      <c r="N359" s="1172"/>
      <c r="O359" s="1172"/>
      <c r="P359" s="1172"/>
      <c r="Q359" s="1172"/>
      <c r="R359" s="1172"/>
      <c r="S359" s="1172"/>
      <c r="T359" s="1172"/>
      <c r="U359" s="1172"/>
      <c r="V359" s="1190"/>
      <c r="W359" s="1172"/>
      <c r="X359" s="1172"/>
      <c r="Y359" s="1172"/>
      <c r="Z359" s="1172"/>
    </row>
    <row r="360" spans="1:26" ht="24.75" customHeight="1">
      <c r="A360" s="1172"/>
      <c r="B360" s="1172"/>
      <c r="C360" s="1172"/>
      <c r="D360" s="1172"/>
      <c r="E360" s="1172"/>
      <c r="F360" s="1172"/>
      <c r="G360" s="1172"/>
      <c r="H360" s="1172"/>
      <c r="I360" s="1172"/>
      <c r="J360" s="1172"/>
      <c r="K360" s="1172"/>
      <c r="L360" s="1172"/>
      <c r="M360" s="1172"/>
      <c r="N360" s="1172"/>
      <c r="O360" s="1172"/>
      <c r="P360" s="1172"/>
      <c r="Q360" s="1172"/>
      <c r="R360" s="1172"/>
      <c r="S360" s="1172"/>
      <c r="T360" s="1172"/>
      <c r="U360" s="1172"/>
      <c r="V360" s="1190"/>
      <c r="W360" s="1172"/>
      <c r="X360" s="1172"/>
      <c r="Y360" s="1172"/>
      <c r="Z360" s="1172"/>
    </row>
    <row r="361" spans="1:26" ht="24.75" customHeight="1">
      <c r="A361" s="1172"/>
      <c r="B361" s="1172"/>
      <c r="C361" s="1172"/>
      <c r="D361" s="1172"/>
      <c r="E361" s="1172"/>
      <c r="F361" s="1172"/>
      <c r="G361" s="1172"/>
      <c r="H361" s="1172"/>
      <c r="I361" s="1172"/>
      <c r="J361" s="1172"/>
      <c r="K361" s="1172"/>
      <c r="L361" s="1172"/>
      <c r="M361" s="1172"/>
      <c r="N361" s="1172"/>
      <c r="O361" s="1172"/>
      <c r="P361" s="1172"/>
      <c r="Q361" s="1172"/>
      <c r="R361" s="1172"/>
      <c r="S361" s="1172"/>
      <c r="T361" s="1172"/>
      <c r="U361" s="1172"/>
      <c r="V361" s="1190"/>
      <c r="W361" s="1172"/>
      <c r="X361" s="1172"/>
      <c r="Y361" s="1172"/>
      <c r="Z361" s="1172"/>
    </row>
    <row r="362" spans="1:26" ht="24.75" customHeight="1">
      <c r="A362" s="1172"/>
      <c r="B362" s="1172"/>
      <c r="C362" s="1172"/>
      <c r="D362" s="1172"/>
      <c r="E362" s="1172"/>
      <c r="F362" s="1172"/>
      <c r="G362" s="1172"/>
      <c r="H362" s="1172"/>
      <c r="I362" s="1172"/>
      <c r="J362" s="1172"/>
      <c r="K362" s="1172"/>
      <c r="L362" s="1172"/>
      <c r="M362" s="1172"/>
      <c r="N362" s="1172"/>
      <c r="O362" s="1172"/>
      <c r="P362" s="1172"/>
      <c r="Q362" s="1172"/>
      <c r="R362" s="1172"/>
      <c r="S362" s="1172"/>
      <c r="T362" s="1172"/>
      <c r="U362" s="1172"/>
      <c r="V362" s="1190"/>
      <c r="W362" s="1172"/>
      <c r="X362" s="1172"/>
      <c r="Y362" s="1172"/>
      <c r="Z362" s="1172"/>
    </row>
    <row r="363" spans="1:26" ht="24.75" customHeight="1">
      <c r="A363" s="1172"/>
      <c r="B363" s="1172"/>
      <c r="C363" s="1172"/>
      <c r="D363" s="1172"/>
      <c r="E363" s="1172"/>
      <c r="F363" s="1172"/>
      <c r="G363" s="1172"/>
      <c r="H363" s="1172"/>
      <c r="I363" s="1172"/>
      <c r="J363" s="1172"/>
      <c r="K363" s="1172"/>
      <c r="L363" s="1172"/>
      <c r="M363" s="1172"/>
      <c r="N363" s="1172"/>
      <c r="O363" s="1172"/>
      <c r="P363" s="1172"/>
      <c r="Q363" s="1172"/>
      <c r="R363" s="1172"/>
      <c r="S363" s="1172"/>
      <c r="T363" s="1172"/>
      <c r="U363" s="1172"/>
      <c r="V363" s="1190"/>
      <c r="W363" s="1172"/>
      <c r="X363" s="1172"/>
      <c r="Y363" s="1172"/>
      <c r="Z363" s="1172"/>
    </row>
    <row r="364" spans="1:26" ht="24.75" customHeight="1">
      <c r="A364" s="1172"/>
      <c r="B364" s="1172"/>
      <c r="C364" s="1172"/>
      <c r="D364" s="1172"/>
      <c r="E364" s="1172"/>
      <c r="F364" s="1172"/>
      <c r="G364" s="1172"/>
      <c r="H364" s="1172"/>
      <c r="I364" s="1172"/>
      <c r="J364" s="1172"/>
      <c r="K364" s="1172"/>
      <c r="L364" s="1172"/>
      <c r="M364" s="1172"/>
      <c r="N364" s="1172"/>
      <c r="O364" s="1172"/>
      <c r="P364" s="1172"/>
      <c r="Q364" s="1172"/>
      <c r="R364" s="1172"/>
      <c r="S364" s="1172"/>
      <c r="T364" s="1172"/>
      <c r="U364" s="1172"/>
      <c r="V364" s="1190"/>
      <c r="W364" s="1172"/>
      <c r="X364" s="1172"/>
      <c r="Y364" s="1172"/>
      <c r="Z364" s="1172"/>
    </row>
    <row r="365" spans="1:26" ht="24.75" customHeight="1">
      <c r="A365" s="1172"/>
      <c r="B365" s="1172"/>
      <c r="C365" s="1172"/>
      <c r="D365" s="1172"/>
      <c r="E365" s="1172"/>
      <c r="F365" s="1172"/>
      <c r="G365" s="1172"/>
      <c r="H365" s="1172"/>
      <c r="I365" s="1172"/>
      <c r="J365" s="1172"/>
      <c r="K365" s="1172"/>
      <c r="L365" s="1172"/>
      <c r="M365" s="1172"/>
      <c r="N365" s="1172"/>
      <c r="O365" s="1172"/>
      <c r="P365" s="1172"/>
      <c r="Q365" s="1172"/>
      <c r="R365" s="1172"/>
      <c r="S365" s="1172"/>
      <c r="T365" s="1172"/>
      <c r="U365" s="1172"/>
      <c r="V365" s="1190"/>
      <c r="W365" s="1172"/>
      <c r="X365" s="1172"/>
      <c r="Y365" s="1172"/>
      <c r="Z365" s="1172"/>
    </row>
    <row r="366" spans="1:26" ht="24.75" customHeight="1">
      <c r="A366" s="1172"/>
      <c r="B366" s="1172"/>
      <c r="C366" s="1172"/>
      <c r="D366" s="1172"/>
      <c r="E366" s="1172"/>
      <c r="F366" s="1172"/>
      <c r="G366" s="1172"/>
      <c r="H366" s="1172"/>
      <c r="I366" s="1172"/>
      <c r="J366" s="1172"/>
      <c r="K366" s="1172"/>
      <c r="L366" s="1172"/>
      <c r="M366" s="1172"/>
      <c r="N366" s="1172"/>
      <c r="O366" s="1172"/>
      <c r="P366" s="1172"/>
      <c r="Q366" s="1172"/>
      <c r="R366" s="1172"/>
      <c r="S366" s="1172"/>
      <c r="T366" s="1172"/>
      <c r="U366" s="1172"/>
      <c r="V366" s="1190"/>
      <c r="W366" s="1172"/>
      <c r="X366" s="1172"/>
      <c r="Y366" s="1172"/>
      <c r="Z366" s="1172"/>
    </row>
    <row r="367" spans="1:26" ht="24.75" customHeight="1">
      <c r="A367" s="1172"/>
      <c r="B367" s="1172"/>
      <c r="C367" s="1172"/>
      <c r="D367" s="1172"/>
      <c r="E367" s="1172"/>
      <c r="F367" s="1172"/>
      <c r="G367" s="1172"/>
      <c r="H367" s="1172"/>
      <c r="I367" s="1172"/>
      <c r="J367" s="1172"/>
      <c r="K367" s="1172"/>
      <c r="L367" s="1172"/>
      <c r="M367" s="1172"/>
      <c r="N367" s="1172"/>
      <c r="O367" s="1172"/>
      <c r="P367" s="1172"/>
      <c r="Q367" s="1172"/>
      <c r="R367" s="1172"/>
      <c r="S367" s="1172"/>
      <c r="T367" s="1172"/>
      <c r="U367" s="1172"/>
      <c r="V367" s="1190"/>
      <c r="W367" s="1172"/>
      <c r="X367" s="1172"/>
      <c r="Y367" s="1172"/>
      <c r="Z367" s="1172"/>
    </row>
    <row r="368" spans="1:26" ht="24.75" customHeight="1">
      <c r="A368" s="1172"/>
      <c r="B368" s="1172"/>
      <c r="C368" s="1172"/>
      <c r="D368" s="1172"/>
      <c r="E368" s="1172"/>
      <c r="F368" s="1172"/>
      <c r="G368" s="1172"/>
      <c r="H368" s="1172"/>
      <c r="I368" s="1172"/>
      <c r="J368" s="1172"/>
      <c r="K368" s="1172"/>
      <c r="L368" s="1172"/>
      <c r="M368" s="1172"/>
      <c r="N368" s="1172"/>
      <c r="O368" s="1172"/>
      <c r="P368" s="1172"/>
      <c r="Q368" s="1172"/>
      <c r="R368" s="1172"/>
      <c r="S368" s="1172"/>
      <c r="T368" s="1172"/>
      <c r="U368" s="1172"/>
      <c r="V368" s="1190"/>
      <c r="W368" s="1172"/>
      <c r="X368" s="1172"/>
      <c r="Y368" s="1172"/>
      <c r="Z368" s="1172"/>
    </row>
    <row r="369" spans="1:26" ht="24.75" customHeight="1">
      <c r="A369" s="1172"/>
      <c r="B369" s="1172"/>
      <c r="C369" s="1172"/>
      <c r="D369" s="1172"/>
      <c r="E369" s="1172"/>
      <c r="F369" s="1172"/>
      <c r="G369" s="1172"/>
      <c r="H369" s="1172"/>
      <c r="I369" s="1172"/>
      <c r="J369" s="1172"/>
      <c r="K369" s="1172"/>
      <c r="L369" s="1172"/>
      <c r="M369" s="1172"/>
      <c r="N369" s="1172"/>
      <c r="O369" s="1172"/>
      <c r="P369" s="1172"/>
      <c r="Q369" s="1172"/>
      <c r="R369" s="1172"/>
      <c r="S369" s="1172"/>
      <c r="T369" s="1172"/>
      <c r="U369" s="1172"/>
      <c r="V369" s="1190"/>
      <c r="W369" s="1172"/>
      <c r="X369" s="1172"/>
      <c r="Y369" s="1172"/>
      <c r="Z369" s="1172"/>
    </row>
    <row r="370" spans="1:26" ht="24.75" customHeight="1">
      <c r="A370" s="1172"/>
      <c r="B370" s="1172"/>
      <c r="C370" s="1172"/>
      <c r="D370" s="1172"/>
      <c r="E370" s="1172"/>
      <c r="F370" s="1172"/>
      <c r="G370" s="1172"/>
      <c r="H370" s="1172"/>
      <c r="I370" s="1172"/>
      <c r="J370" s="1172"/>
      <c r="K370" s="1172"/>
      <c r="L370" s="1172"/>
      <c r="M370" s="1172"/>
      <c r="N370" s="1172"/>
      <c r="O370" s="1172"/>
      <c r="P370" s="1172"/>
      <c r="Q370" s="1172"/>
      <c r="R370" s="1172"/>
      <c r="S370" s="1172"/>
      <c r="T370" s="1172"/>
      <c r="U370" s="1172"/>
      <c r="V370" s="1190"/>
      <c r="W370" s="1172"/>
      <c r="X370" s="1172"/>
      <c r="Y370" s="1172"/>
      <c r="Z370" s="1172"/>
    </row>
    <row r="371" spans="1:26" ht="24.75" customHeight="1">
      <c r="A371" s="1172"/>
      <c r="B371" s="1172"/>
      <c r="C371" s="1172"/>
      <c r="D371" s="1172"/>
      <c r="E371" s="1172"/>
      <c r="F371" s="1172"/>
      <c r="G371" s="1172"/>
      <c r="H371" s="1172"/>
      <c r="I371" s="1172"/>
      <c r="J371" s="1172"/>
      <c r="K371" s="1172"/>
      <c r="L371" s="1172"/>
      <c r="M371" s="1172"/>
      <c r="N371" s="1172"/>
      <c r="O371" s="1172"/>
      <c r="P371" s="1172"/>
      <c r="Q371" s="1172"/>
      <c r="R371" s="1172"/>
      <c r="S371" s="1172"/>
      <c r="T371" s="1172"/>
      <c r="U371" s="1172"/>
      <c r="V371" s="1190"/>
      <c r="W371" s="1172"/>
      <c r="X371" s="1172"/>
      <c r="Y371" s="1172"/>
      <c r="Z371" s="1172"/>
    </row>
    <row r="372" spans="1:26" ht="24.75" customHeight="1">
      <c r="A372" s="1172"/>
      <c r="B372" s="1172"/>
      <c r="C372" s="1172"/>
      <c r="D372" s="1172"/>
      <c r="E372" s="1172"/>
      <c r="F372" s="1172"/>
      <c r="G372" s="1172"/>
      <c r="H372" s="1172"/>
      <c r="I372" s="1172"/>
      <c r="J372" s="1172"/>
      <c r="K372" s="1172"/>
      <c r="L372" s="1172"/>
      <c r="M372" s="1172"/>
      <c r="N372" s="1172"/>
      <c r="O372" s="1172"/>
      <c r="P372" s="1172"/>
      <c r="Q372" s="1172"/>
      <c r="R372" s="1172"/>
      <c r="S372" s="1172"/>
      <c r="T372" s="1172"/>
      <c r="U372" s="1172"/>
      <c r="V372" s="1190"/>
      <c r="W372" s="1172"/>
      <c r="X372" s="1172"/>
      <c r="Y372" s="1172"/>
      <c r="Z372" s="1172"/>
    </row>
    <row r="373" spans="1:26" ht="24.75" customHeight="1">
      <c r="A373" s="1172"/>
      <c r="B373" s="1172"/>
      <c r="C373" s="1172"/>
      <c r="D373" s="1172"/>
      <c r="E373" s="1172"/>
      <c r="F373" s="1172"/>
      <c r="G373" s="1172"/>
      <c r="H373" s="1172"/>
      <c r="I373" s="1172"/>
      <c r="J373" s="1172"/>
      <c r="K373" s="1172"/>
      <c r="L373" s="1172"/>
      <c r="M373" s="1172"/>
      <c r="N373" s="1172"/>
      <c r="O373" s="1172"/>
      <c r="P373" s="1172"/>
      <c r="Q373" s="1172"/>
      <c r="R373" s="1172"/>
      <c r="S373" s="1172"/>
      <c r="T373" s="1172"/>
      <c r="U373" s="1172"/>
      <c r="V373" s="1190"/>
      <c r="W373" s="1172"/>
      <c r="X373" s="1172"/>
      <c r="Y373" s="1172"/>
      <c r="Z373" s="1172"/>
    </row>
    <row r="374" spans="1:26" ht="24.75" customHeight="1">
      <c r="A374" s="1172"/>
      <c r="B374" s="1172"/>
      <c r="C374" s="1172"/>
      <c r="D374" s="1172"/>
      <c r="E374" s="1172"/>
      <c r="F374" s="1172"/>
      <c r="G374" s="1172"/>
      <c r="H374" s="1172"/>
      <c r="I374" s="1172"/>
      <c r="J374" s="1172"/>
      <c r="K374" s="1172"/>
      <c r="L374" s="1172"/>
      <c r="M374" s="1172"/>
      <c r="N374" s="1172"/>
      <c r="O374" s="1172"/>
      <c r="P374" s="1172"/>
      <c r="Q374" s="1172"/>
      <c r="R374" s="1172"/>
      <c r="S374" s="1172"/>
      <c r="T374" s="1172"/>
      <c r="U374" s="1172"/>
      <c r="V374" s="1190"/>
      <c r="W374" s="1172"/>
      <c r="X374" s="1172"/>
      <c r="Y374" s="1172"/>
      <c r="Z374" s="1172"/>
    </row>
    <row r="375" spans="1:26" ht="24.75" customHeight="1">
      <c r="A375" s="1172"/>
      <c r="B375" s="1172"/>
      <c r="C375" s="1172"/>
      <c r="D375" s="1172"/>
      <c r="E375" s="1172"/>
      <c r="F375" s="1172"/>
      <c r="G375" s="1172"/>
      <c r="H375" s="1172"/>
      <c r="I375" s="1172"/>
      <c r="J375" s="1172"/>
      <c r="K375" s="1172"/>
      <c r="L375" s="1172"/>
      <c r="M375" s="1172"/>
      <c r="N375" s="1172"/>
      <c r="O375" s="1172"/>
      <c r="P375" s="1172"/>
      <c r="Q375" s="1172"/>
      <c r="R375" s="1172"/>
      <c r="S375" s="1172"/>
      <c r="T375" s="1172"/>
      <c r="U375" s="1172"/>
      <c r="V375" s="1190"/>
      <c r="W375" s="1172"/>
      <c r="X375" s="1172"/>
      <c r="Y375" s="1172"/>
      <c r="Z375" s="1172"/>
    </row>
    <row r="376" spans="1:26" ht="24.75" customHeight="1">
      <c r="A376" s="1172"/>
      <c r="B376" s="1172"/>
      <c r="C376" s="1172"/>
      <c r="D376" s="1172"/>
      <c r="E376" s="1172"/>
      <c r="F376" s="1172"/>
      <c r="G376" s="1172"/>
      <c r="H376" s="1172"/>
      <c r="I376" s="1172"/>
      <c r="J376" s="1172"/>
      <c r="K376" s="1172"/>
      <c r="L376" s="1172"/>
      <c r="M376" s="1172"/>
      <c r="N376" s="1172"/>
      <c r="O376" s="1172"/>
      <c r="P376" s="1172"/>
      <c r="Q376" s="1172"/>
      <c r="R376" s="1172"/>
      <c r="S376" s="1172"/>
      <c r="T376" s="1172"/>
      <c r="U376" s="1172"/>
      <c r="V376" s="1190"/>
      <c r="W376" s="1172"/>
      <c r="X376" s="1172"/>
      <c r="Y376" s="1172"/>
      <c r="Z376" s="1172"/>
    </row>
    <row r="377" spans="1:26" ht="24.75" customHeight="1">
      <c r="A377" s="1172"/>
      <c r="B377" s="1172"/>
      <c r="C377" s="1172"/>
      <c r="D377" s="1172"/>
      <c r="E377" s="1172"/>
      <c r="F377" s="1172"/>
      <c r="G377" s="1172"/>
      <c r="H377" s="1172"/>
      <c r="I377" s="1172"/>
      <c r="J377" s="1172"/>
      <c r="K377" s="1172"/>
      <c r="L377" s="1172"/>
      <c r="M377" s="1172"/>
      <c r="N377" s="1172"/>
      <c r="O377" s="1172"/>
      <c r="P377" s="1172"/>
      <c r="Q377" s="1172"/>
      <c r="R377" s="1172"/>
      <c r="S377" s="1172"/>
      <c r="T377" s="1172"/>
      <c r="U377" s="1172"/>
      <c r="V377" s="1190"/>
      <c r="W377" s="1172"/>
      <c r="X377" s="1172"/>
      <c r="Y377" s="1172"/>
      <c r="Z377" s="1172"/>
    </row>
    <row r="378" spans="1:26" ht="24.75" customHeight="1">
      <c r="A378" s="1172"/>
      <c r="B378" s="1172"/>
      <c r="C378" s="1172"/>
      <c r="D378" s="1172"/>
      <c r="E378" s="1172"/>
      <c r="F378" s="1172"/>
      <c r="G378" s="1172"/>
      <c r="H378" s="1172"/>
      <c r="I378" s="1172"/>
      <c r="J378" s="1172"/>
      <c r="K378" s="1172"/>
      <c r="L378" s="1172"/>
      <c r="M378" s="1172"/>
      <c r="N378" s="1172"/>
      <c r="O378" s="1172"/>
      <c r="P378" s="1172"/>
      <c r="Q378" s="1172"/>
      <c r="R378" s="1172"/>
      <c r="S378" s="1172"/>
      <c r="T378" s="1172"/>
      <c r="U378" s="1172"/>
      <c r="V378" s="1190"/>
      <c r="W378" s="1172"/>
      <c r="X378" s="1172"/>
      <c r="Y378" s="1172"/>
      <c r="Z378" s="1172"/>
    </row>
    <row r="379" spans="1:26" ht="24.75" customHeight="1">
      <c r="A379" s="1172"/>
      <c r="B379" s="1172"/>
      <c r="C379" s="1172"/>
      <c r="D379" s="1172"/>
      <c r="E379" s="1172"/>
      <c r="F379" s="1172"/>
      <c r="G379" s="1172"/>
      <c r="H379" s="1172"/>
      <c r="I379" s="1172"/>
      <c r="J379" s="1172"/>
      <c r="K379" s="1172"/>
      <c r="L379" s="1172"/>
      <c r="M379" s="1172"/>
      <c r="N379" s="1172"/>
      <c r="O379" s="1172"/>
      <c r="P379" s="1172"/>
      <c r="Q379" s="1172"/>
      <c r="R379" s="1172"/>
      <c r="S379" s="1172"/>
      <c r="T379" s="1172"/>
      <c r="U379" s="1172"/>
      <c r="V379" s="1190"/>
      <c r="W379" s="1172"/>
      <c r="X379" s="1172"/>
      <c r="Y379" s="1172"/>
      <c r="Z379" s="1172"/>
    </row>
    <row r="380" spans="1:26" ht="24.75" customHeight="1">
      <c r="A380" s="1172"/>
      <c r="B380" s="1172"/>
      <c r="C380" s="1172"/>
      <c r="D380" s="1172"/>
      <c r="E380" s="1172"/>
      <c r="F380" s="1172"/>
      <c r="G380" s="1172"/>
      <c r="H380" s="1172"/>
      <c r="I380" s="1172"/>
      <c r="J380" s="1172"/>
      <c r="K380" s="1172"/>
      <c r="L380" s="1172"/>
      <c r="M380" s="1172"/>
      <c r="N380" s="1172"/>
      <c r="O380" s="1172"/>
      <c r="P380" s="1172"/>
      <c r="Q380" s="1172"/>
      <c r="R380" s="1172"/>
      <c r="S380" s="1172"/>
      <c r="T380" s="1172"/>
      <c r="U380" s="1172"/>
      <c r="V380" s="1190"/>
      <c r="W380" s="1172"/>
      <c r="X380" s="1172"/>
      <c r="Y380" s="1172"/>
      <c r="Z380" s="1172"/>
    </row>
    <row r="381" spans="1:26" ht="24.75" customHeight="1">
      <c r="A381" s="1172"/>
      <c r="B381" s="1172"/>
      <c r="C381" s="1172"/>
      <c r="D381" s="1172"/>
      <c r="E381" s="1172"/>
      <c r="F381" s="1172"/>
      <c r="G381" s="1172"/>
      <c r="H381" s="1172"/>
      <c r="I381" s="1172"/>
      <c r="J381" s="1172"/>
      <c r="K381" s="1172"/>
      <c r="L381" s="1172"/>
      <c r="M381" s="1172"/>
      <c r="N381" s="1172"/>
      <c r="O381" s="1172"/>
      <c r="P381" s="1172"/>
      <c r="Q381" s="1172"/>
      <c r="R381" s="1172"/>
      <c r="S381" s="1172"/>
      <c r="T381" s="1172"/>
      <c r="U381" s="1172"/>
      <c r="V381" s="1190"/>
      <c r="W381" s="1172"/>
      <c r="X381" s="1172"/>
      <c r="Y381" s="1172"/>
      <c r="Z381" s="1172"/>
    </row>
    <row r="382" spans="1:26" ht="24.75" customHeight="1">
      <c r="A382" s="1172"/>
      <c r="B382" s="1172"/>
      <c r="C382" s="1172"/>
      <c r="D382" s="1172"/>
      <c r="E382" s="1172"/>
      <c r="F382" s="1172"/>
      <c r="G382" s="1172"/>
      <c r="H382" s="1172"/>
      <c r="I382" s="1172"/>
      <c r="J382" s="1172"/>
      <c r="K382" s="1172"/>
      <c r="L382" s="1172"/>
      <c r="M382" s="1172"/>
      <c r="N382" s="1172"/>
      <c r="O382" s="1172"/>
      <c r="P382" s="1172"/>
      <c r="Q382" s="1172"/>
      <c r="R382" s="1172"/>
      <c r="S382" s="1172"/>
      <c r="T382" s="1172"/>
      <c r="U382" s="1172"/>
      <c r="V382" s="1190"/>
      <c r="W382" s="1172"/>
      <c r="X382" s="1172"/>
      <c r="Y382" s="1172"/>
      <c r="Z382" s="1172"/>
    </row>
    <row r="383" spans="1:26" ht="24.75" customHeight="1">
      <c r="A383" s="1172"/>
      <c r="B383" s="1172"/>
      <c r="C383" s="1172"/>
      <c r="D383" s="1172"/>
      <c r="E383" s="1172"/>
      <c r="F383" s="1172"/>
      <c r="G383" s="1172"/>
      <c r="H383" s="1172"/>
      <c r="I383" s="1172"/>
      <c r="J383" s="1172"/>
      <c r="K383" s="1172"/>
      <c r="L383" s="1172"/>
      <c r="M383" s="1172"/>
      <c r="N383" s="1172"/>
      <c r="O383" s="1172"/>
      <c r="P383" s="1172"/>
      <c r="Q383" s="1172"/>
      <c r="R383" s="1172"/>
      <c r="S383" s="1172"/>
      <c r="T383" s="1172"/>
      <c r="U383" s="1172"/>
      <c r="V383" s="1190"/>
      <c r="W383" s="1172"/>
      <c r="X383" s="1172"/>
      <c r="Y383" s="1172"/>
      <c r="Z383" s="1172"/>
    </row>
    <row r="384" spans="1:26" ht="24.75" customHeight="1">
      <c r="A384" s="1172"/>
      <c r="B384" s="1172"/>
      <c r="C384" s="1172"/>
      <c r="D384" s="1172"/>
      <c r="E384" s="1172"/>
      <c r="F384" s="1172"/>
      <c r="G384" s="1172"/>
      <c r="H384" s="1172"/>
      <c r="I384" s="1172"/>
      <c r="J384" s="1172"/>
      <c r="K384" s="1172"/>
      <c r="L384" s="1172"/>
      <c r="M384" s="1172"/>
      <c r="N384" s="1172"/>
      <c r="O384" s="1172"/>
      <c r="P384" s="1172"/>
      <c r="Q384" s="1172"/>
      <c r="R384" s="1172"/>
      <c r="S384" s="1172"/>
      <c r="T384" s="1172"/>
      <c r="U384" s="1172"/>
      <c r="V384" s="1190"/>
      <c r="W384" s="1172"/>
      <c r="X384" s="1172"/>
      <c r="Y384" s="1172"/>
      <c r="Z384" s="1172"/>
    </row>
    <row r="385" spans="1:26" ht="24.75" customHeight="1">
      <c r="A385" s="1172"/>
      <c r="B385" s="1172"/>
      <c r="C385" s="1172"/>
      <c r="D385" s="1172"/>
      <c r="E385" s="1172"/>
      <c r="F385" s="1172"/>
      <c r="G385" s="1172"/>
      <c r="H385" s="1172"/>
      <c r="I385" s="1172"/>
      <c r="J385" s="1172"/>
      <c r="K385" s="1172"/>
      <c r="L385" s="1172"/>
      <c r="M385" s="1172"/>
      <c r="N385" s="1172"/>
      <c r="O385" s="1172"/>
      <c r="P385" s="1172"/>
      <c r="Q385" s="1172"/>
      <c r="R385" s="1172"/>
      <c r="S385" s="1172"/>
      <c r="T385" s="1172"/>
      <c r="U385" s="1172"/>
      <c r="V385" s="1190"/>
      <c r="W385" s="1172"/>
      <c r="X385" s="1172"/>
      <c r="Y385" s="1172"/>
      <c r="Z385" s="1172"/>
    </row>
    <row r="386" spans="1:26" ht="24.75" customHeight="1">
      <c r="A386" s="1172"/>
      <c r="B386" s="1172"/>
      <c r="C386" s="1172"/>
      <c r="D386" s="1172"/>
      <c r="E386" s="1172"/>
      <c r="F386" s="1172"/>
      <c r="G386" s="1172"/>
      <c r="H386" s="1172"/>
      <c r="I386" s="1172"/>
      <c r="J386" s="1172"/>
      <c r="K386" s="1172"/>
      <c r="L386" s="1172"/>
      <c r="M386" s="1172"/>
      <c r="N386" s="1172"/>
      <c r="O386" s="1172"/>
      <c r="P386" s="1172"/>
      <c r="Q386" s="1172"/>
      <c r="R386" s="1172"/>
      <c r="S386" s="1172"/>
      <c r="T386" s="1172"/>
      <c r="U386" s="1172"/>
      <c r="V386" s="1190"/>
      <c r="W386" s="1172"/>
      <c r="X386" s="1172"/>
      <c r="Y386" s="1172"/>
      <c r="Z386" s="1172"/>
    </row>
    <row r="387" spans="1:26" ht="24.75" customHeight="1">
      <c r="A387" s="1172"/>
      <c r="B387" s="1172"/>
      <c r="C387" s="1172"/>
      <c r="D387" s="1172"/>
      <c r="E387" s="1172"/>
      <c r="F387" s="1172"/>
      <c r="G387" s="1172"/>
      <c r="H387" s="1172"/>
      <c r="I387" s="1172"/>
      <c r="J387" s="1172"/>
      <c r="K387" s="1172"/>
      <c r="L387" s="1172"/>
      <c r="M387" s="1172"/>
      <c r="N387" s="1172"/>
      <c r="O387" s="1172"/>
      <c r="P387" s="1172"/>
      <c r="Q387" s="1172"/>
      <c r="R387" s="1172"/>
      <c r="S387" s="1172"/>
      <c r="T387" s="1172"/>
      <c r="U387" s="1172"/>
      <c r="V387" s="1190"/>
      <c r="W387" s="1172"/>
      <c r="X387" s="1172"/>
      <c r="Y387" s="1172"/>
      <c r="Z387" s="1172"/>
    </row>
    <row r="388" spans="1:26" ht="24.75" customHeight="1">
      <c r="A388" s="1172"/>
      <c r="B388" s="1172"/>
      <c r="C388" s="1172"/>
      <c r="D388" s="1172"/>
      <c r="E388" s="1172"/>
      <c r="F388" s="1172"/>
      <c r="G388" s="1172"/>
      <c r="H388" s="1172"/>
      <c r="I388" s="1172"/>
      <c r="J388" s="1172"/>
      <c r="K388" s="1172"/>
      <c r="L388" s="1172"/>
      <c r="M388" s="1172"/>
      <c r="N388" s="1172"/>
      <c r="O388" s="1172"/>
      <c r="P388" s="1172"/>
      <c r="Q388" s="1172"/>
      <c r="R388" s="1172"/>
      <c r="S388" s="1172"/>
      <c r="T388" s="1172"/>
      <c r="U388" s="1172"/>
      <c r="V388" s="1190"/>
      <c r="W388" s="1172"/>
      <c r="X388" s="1172"/>
      <c r="Y388" s="1172"/>
      <c r="Z388" s="1172"/>
    </row>
    <row r="389" spans="1:26" ht="24.75" customHeight="1">
      <c r="A389" s="1172"/>
      <c r="B389" s="1172"/>
      <c r="C389" s="1172"/>
      <c r="D389" s="1172"/>
      <c r="E389" s="1172"/>
      <c r="F389" s="1172"/>
      <c r="G389" s="1172"/>
      <c r="H389" s="1172"/>
      <c r="I389" s="1172"/>
      <c r="J389" s="1172"/>
      <c r="K389" s="1172"/>
      <c r="L389" s="1172"/>
      <c r="M389" s="1172"/>
      <c r="N389" s="1172"/>
      <c r="O389" s="1172"/>
      <c r="P389" s="1172"/>
      <c r="Q389" s="1172"/>
      <c r="R389" s="1172"/>
      <c r="S389" s="1172"/>
      <c r="T389" s="1172"/>
      <c r="U389" s="1172"/>
      <c r="V389" s="1190"/>
      <c r="W389" s="1172"/>
      <c r="X389" s="1172"/>
      <c r="Y389" s="1172"/>
      <c r="Z389" s="1172"/>
    </row>
    <row r="390" spans="1:26" ht="24.75" customHeight="1">
      <c r="A390" s="1172"/>
      <c r="B390" s="1172"/>
      <c r="C390" s="1172"/>
      <c r="D390" s="1172"/>
      <c r="E390" s="1172"/>
      <c r="F390" s="1172"/>
      <c r="G390" s="1172"/>
      <c r="H390" s="1172"/>
      <c r="I390" s="1172"/>
      <c r="J390" s="1172"/>
      <c r="K390" s="1172"/>
      <c r="L390" s="1172"/>
      <c r="M390" s="1172"/>
      <c r="N390" s="1172"/>
      <c r="O390" s="1172"/>
      <c r="P390" s="1172"/>
      <c r="Q390" s="1172"/>
      <c r="R390" s="1172"/>
      <c r="S390" s="1172"/>
      <c r="T390" s="1172"/>
      <c r="U390" s="1172"/>
      <c r="V390" s="1190"/>
      <c r="W390" s="1172"/>
      <c r="X390" s="1172"/>
      <c r="Y390" s="1172"/>
      <c r="Z390" s="1172"/>
    </row>
    <row r="391" spans="1:26" ht="24.75" customHeight="1">
      <c r="A391" s="1172"/>
      <c r="B391" s="1172"/>
      <c r="C391" s="1172"/>
      <c r="D391" s="1172"/>
      <c r="E391" s="1172"/>
      <c r="F391" s="1172"/>
      <c r="G391" s="1172"/>
      <c r="H391" s="1172"/>
      <c r="I391" s="1172"/>
      <c r="J391" s="1172"/>
      <c r="K391" s="1172"/>
      <c r="L391" s="1172"/>
      <c r="M391" s="1172"/>
      <c r="N391" s="1172"/>
      <c r="O391" s="1172"/>
      <c r="P391" s="1172"/>
      <c r="Q391" s="1172"/>
      <c r="R391" s="1172"/>
      <c r="S391" s="1172"/>
      <c r="T391" s="1172"/>
      <c r="U391" s="1172"/>
      <c r="V391" s="1190"/>
      <c r="W391" s="1172"/>
      <c r="X391" s="1172"/>
      <c r="Y391" s="1172"/>
      <c r="Z391" s="1172"/>
    </row>
    <row r="392" spans="1:26" ht="24.75" customHeight="1">
      <c r="A392" s="1172"/>
      <c r="B392" s="1172"/>
      <c r="C392" s="1172"/>
      <c r="D392" s="1172"/>
      <c r="E392" s="1172"/>
      <c r="F392" s="1172"/>
      <c r="G392" s="1172"/>
      <c r="H392" s="1172"/>
      <c r="I392" s="1172"/>
      <c r="J392" s="1172"/>
      <c r="K392" s="1172"/>
      <c r="L392" s="1172"/>
      <c r="M392" s="1172"/>
      <c r="N392" s="1172"/>
      <c r="O392" s="1172"/>
      <c r="P392" s="1172"/>
      <c r="Q392" s="1172"/>
      <c r="R392" s="1172"/>
      <c r="S392" s="1172"/>
      <c r="T392" s="1172"/>
      <c r="U392" s="1172"/>
      <c r="V392" s="1190"/>
      <c r="W392" s="1172"/>
      <c r="X392" s="1172"/>
      <c r="Y392" s="1172"/>
      <c r="Z392" s="1172"/>
    </row>
    <row r="393" spans="1:26" ht="24.75" customHeight="1">
      <c r="A393" s="1172"/>
      <c r="B393" s="1172"/>
      <c r="C393" s="1172"/>
      <c r="D393" s="1172"/>
      <c r="E393" s="1172"/>
      <c r="F393" s="1172"/>
      <c r="G393" s="1172"/>
      <c r="H393" s="1172"/>
      <c r="I393" s="1172"/>
      <c r="J393" s="1172"/>
      <c r="K393" s="1172"/>
      <c r="L393" s="1172"/>
      <c r="M393" s="1172"/>
      <c r="N393" s="1172"/>
      <c r="O393" s="1172"/>
      <c r="P393" s="1172"/>
      <c r="Q393" s="1172"/>
      <c r="R393" s="1172"/>
      <c r="S393" s="1172"/>
      <c r="T393" s="1172"/>
      <c r="U393" s="1172"/>
      <c r="V393" s="1190"/>
      <c r="W393" s="1172"/>
      <c r="X393" s="1172"/>
      <c r="Y393" s="1172"/>
      <c r="Z393" s="1172"/>
    </row>
    <row r="394" spans="1:26" ht="24.75" customHeight="1">
      <c r="A394" s="1172"/>
      <c r="B394" s="1172"/>
      <c r="C394" s="1172"/>
      <c r="D394" s="1172"/>
      <c r="E394" s="1172"/>
      <c r="F394" s="1172"/>
      <c r="G394" s="1172"/>
      <c r="H394" s="1172"/>
      <c r="I394" s="1172"/>
      <c r="J394" s="1172"/>
      <c r="K394" s="1172"/>
      <c r="L394" s="1172"/>
      <c r="M394" s="1172"/>
      <c r="N394" s="1172"/>
      <c r="O394" s="1172"/>
      <c r="P394" s="1172"/>
      <c r="Q394" s="1172"/>
      <c r="R394" s="1172"/>
      <c r="S394" s="1172"/>
      <c r="T394" s="1172"/>
      <c r="U394" s="1172"/>
      <c r="V394" s="1190"/>
      <c r="W394" s="1172"/>
      <c r="X394" s="1172"/>
      <c r="Y394" s="1172"/>
      <c r="Z394" s="1172"/>
    </row>
    <row r="395" spans="1:26" ht="24.75" customHeight="1">
      <c r="A395" s="1172"/>
      <c r="B395" s="1172"/>
      <c r="C395" s="1172"/>
      <c r="D395" s="1172"/>
      <c r="E395" s="1172"/>
      <c r="F395" s="1172"/>
      <c r="G395" s="1172"/>
      <c r="H395" s="1172"/>
      <c r="I395" s="1172"/>
      <c r="J395" s="1172"/>
      <c r="K395" s="1172"/>
      <c r="L395" s="1172"/>
      <c r="M395" s="1172"/>
      <c r="N395" s="1172"/>
      <c r="O395" s="1172"/>
      <c r="P395" s="1172"/>
      <c r="Q395" s="1172"/>
      <c r="R395" s="1172"/>
      <c r="S395" s="1172"/>
      <c r="T395" s="1172"/>
      <c r="U395" s="1172"/>
      <c r="V395" s="1190"/>
      <c r="W395" s="1172"/>
      <c r="X395" s="1172"/>
      <c r="Y395" s="1172"/>
      <c r="Z395" s="1172"/>
    </row>
    <row r="396" spans="1:26" ht="24.75" customHeight="1">
      <c r="A396" s="1172"/>
      <c r="B396" s="1172"/>
      <c r="C396" s="1172"/>
      <c r="D396" s="1172"/>
      <c r="E396" s="1172"/>
      <c r="F396" s="1172"/>
      <c r="G396" s="1172"/>
      <c r="H396" s="1172"/>
      <c r="I396" s="1172"/>
      <c r="J396" s="1172"/>
      <c r="K396" s="1172"/>
      <c r="L396" s="1172"/>
      <c r="M396" s="1172"/>
      <c r="N396" s="1172"/>
      <c r="O396" s="1172"/>
      <c r="P396" s="1172"/>
      <c r="Q396" s="1172"/>
      <c r="R396" s="1172"/>
      <c r="S396" s="1172"/>
      <c r="T396" s="1172"/>
      <c r="U396" s="1172"/>
      <c r="V396" s="1190"/>
      <c r="W396" s="1172"/>
      <c r="X396" s="1172"/>
      <c r="Y396" s="1172"/>
      <c r="Z396" s="1172"/>
    </row>
    <row r="397" spans="1:26" ht="24.75" customHeight="1">
      <c r="A397" s="1172"/>
      <c r="B397" s="1172"/>
      <c r="C397" s="1172"/>
      <c r="D397" s="1172"/>
      <c r="E397" s="1172"/>
      <c r="F397" s="1172"/>
      <c r="G397" s="1172"/>
      <c r="H397" s="1172"/>
      <c r="I397" s="1172"/>
      <c r="J397" s="1172"/>
      <c r="K397" s="1172"/>
      <c r="L397" s="1172"/>
      <c r="M397" s="1172"/>
      <c r="N397" s="1172"/>
      <c r="O397" s="1172"/>
      <c r="P397" s="1172"/>
      <c r="Q397" s="1172"/>
      <c r="R397" s="1172"/>
      <c r="S397" s="1172"/>
      <c r="T397" s="1172"/>
      <c r="U397" s="1172"/>
      <c r="V397" s="1190"/>
      <c r="W397" s="1172"/>
      <c r="X397" s="1172"/>
      <c r="Y397" s="1172"/>
      <c r="Z397" s="1172"/>
    </row>
    <row r="398" spans="1:26" ht="24.75" customHeight="1">
      <c r="A398" s="1172"/>
      <c r="B398" s="1172"/>
      <c r="C398" s="1172"/>
      <c r="D398" s="1172"/>
      <c r="E398" s="1172"/>
      <c r="F398" s="1172"/>
      <c r="G398" s="1172"/>
      <c r="H398" s="1172"/>
      <c r="I398" s="1172"/>
      <c r="J398" s="1172"/>
      <c r="K398" s="1172"/>
      <c r="L398" s="1172"/>
      <c r="M398" s="1172"/>
      <c r="N398" s="1172"/>
      <c r="O398" s="1172"/>
      <c r="P398" s="1172"/>
      <c r="Q398" s="1172"/>
      <c r="R398" s="1172"/>
      <c r="S398" s="1172"/>
      <c r="T398" s="1172"/>
      <c r="U398" s="1172"/>
      <c r="V398" s="1190"/>
      <c r="W398" s="1172"/>
      <c r="X398" s="1172"/>
      <c r="Y398" s="1172"/>
      <c r="Z398" s="1172"/>
    </row>
    <row r="399" spans="1:26" ht="24.75" customHeight="1">
      <c r="A399" s="1172"/>
      <c r="B399" s="1172"/>
      <c r="C399" s="1172"/>
      <c r="D399" s="1172"/>
      <c r="E399" s="1172"/>
      <c r="F399" s="1172"/>
      <c r="G399" s="1172"/>
      <c r="H399" s="1172"/>
      <c r="I399" s="1172"/>
      <c r="J399" s="1172"/>
      <c r="K399" s="1172"/>
      <c r="L399" s="1172"/>
      <c r="M399" s="1172"/>
      <c r="N399" s="1172"/>
      <c r="O399" s="1172"/>
      <c r="P399" s="1172"/>
      <c r="Q399" s="1172"/>
      <c r="R399" s="1172"/>
      <c r="S399" s="1172"/>
      <c r="T399" s="1172"/>
      <c r="U399" s="1172"/>
      <c r="V399" s="1190"/>
      <c r="W399" s="1172"/>
      <c r="X399" s="1172"/>
      <c r="Y399" s="1172"/>
      <c r="Z399" s="1172"/>
    </row>
    <row r="400" spans="1:26" ht="24.75" customHeight="1">
      <c r="A400" s="1172"/>
      <c r="B400" s="1172"/>
      <c r="C400" s="1172"/>
      <c r="D400" s="1172"/>
      <c r="E400" s="1172"/>
      <c r="F400" s="1172"/>
      <c r="G400" s="1172"/>
      <c r="H400" s="1172"/>
      <c r="I400" s="1172"/>
      <c r="J400" s="1172"/>
      <c r="K400" s="1172"/>
      <c r="L400" s="1172"/>
      <c r="M400" s="1172"/>
      <c r="N400" s="1172"/>
      <c r="O400" s="1172"/>
      <c r="P400" s="1172"/>
      <c r="Q400" s="1172"/>
      <c r="R400" s="1172"/>
      <c r="S400" s="1172"/>
      <c r="T400" s="1172"/>
      <c r="U400" s="1172"/>
      <c r="V400" s="1190"/>
      <c r="W400" s="1172"/>
      <c r="X400" s="1172"/>
      <c r="Y400" s="1172"/>
      <c r="Z400" s="1172"/>
    </row>
    <row r="401" spans="1:26" ht="24.75" customHeight="1">
      <c r="A401" s="1172"/>
      <c r="B401" s="1172"/>
      <c r="C401" s="1172"/>
      <c r="D401" s="1172"/>
      <c r="E401" s="1172"/>
      <c r="F401" s="1172"/>
      <c r="G401" s="1172"/>
      <c r="H401" s="1172"/>
      <c r="I401" s="1172"/>
      <c r="J401" s="1172"/>
      <c r="K401" s="1172"/>
      <c r="L401" s="1172"/>
      <c r="M401" s="1172"/>
      <c r="N401" s="1172"/>
      <c r="O401" s="1172"/>
      <c r="P401" s="1172"/>
      <c r="Q401" s="1172"/>
      <c r="R401" s="1172"/>
      <c r="S401" s="1172"/>
      <c r="T401" s="1172"/>
      <c r="U401" s="1172"/>
      <c r="V401" s="1190"/>
      <c r="W401" s="1172"/>
      <c r="X401" s="1172"/>
      <c r="Y401" s="1172"/>
      <c r="Z401" s="1172"/>
    </row>
    <row r="402" spans="1:26" ht="24.75" customHeight="1">
      <c r="A402" s="1172"/>
      <c r="B402" s="1172"/>
      <c r="C402" s="1172"/>
      <c r="D402" s="1172"/>
      <c r="E402" s="1172"/>
      <c r="F402" s="1172"/>
      <c r="G402" s="1172"/>
      <c r="H402" s="1172"/>
      <c r="I402" s="1172"/>
      <c r="J402" s="1172"/>
      <c r="K402" s="1172"/>
      <c r="L402" s="1172"/>
      <c r="M402" s="1172"/>
      <c r="N402" s="1172"/>
      <c r="O402" s="1172"/>
      <c r="P402" s="1172"/>
      <c r="Q402" s="1172"/>
      <c r="R402" s="1172"/>
      <c r="S402" s="1172"/>
      <c r="T402" s="1172"/>
      <c r="U402" s="1172"/>
      <c r="V402" s="1190"/>
      <c r="W402" s="1172"/>
      <c r="X402" s="1172"/>
      <c r="Y402" s="1172"/>
      <c r="Z402" s="1172"/>
    </row>
    <row r="403" spans="1:26" ht="24.75" customHeight="1">
      <c r="A403" s="1172"/>
      <c r="B403" s="1172"/>
      <c r="C403" s="1172"/>
      <c r="D403" s="1172"/>
      <c r="E403" s="1172"/>
      <c r="F403" s="1172"/>
      <c r="G403" s="1172"/>
      <c r="H403" s="1172"/>
      <c r="I403" s="1172"/>
      <c r="J403" s="1172"/>
      <c r="K403" s="1172"/>
      <c r="L403" s="1172"/>
      <c r="M403" s="1172"/>
      <c r="N403" s="1172"/>
      <c r="O403" s="1172"/>
      <c r="P403" s="1172"/>
      <c r="Q403" s="1172"/>
      <c r="R403" s="1172"/>
      <c r="S403" s="1172"/>
      <c r="T403" s="1172"/>
      <c r="U403" s="1172"/>
      <c r="V403" s="1190"/>
      <c r="W403" s="1172"/>
      <c r="X403" s="1172"/>
      <c r="Y403" s="1172"/>
      <c r="Z403" s="1172"/>
    </row>
    <row r="404" spans="1:26" ht="24.75" customHeight="1">
      <c r="A404" s="1172"/>
      <c r="B404" s="1172"/>
      <c r="C404" s="1172"/>
      <c r="D404" s="1172"/>
      <c r="E404" s="1172"/>
      <c r="F404" s="1172"/>
      <c r="G404" s="1172"/>
      <c r="H404" s="1172"/>
      <c r="I404" s="1172"/>
      <c r="J404" s="1172"/>
      <c r="K404" s="1172"/>
      <c r="L404" s="1172"/>
      <c r="M404" s="1172"/>
      <c r="N404" s="1172"/>
      <c r="O404" s="1172"/>
      <c r="P404" s="1172"/>
      <c r="Q404" s="1172"/>
      <c r="R404" s="1172"/>
      <c r="S404" s="1172"/>
      <c r="T404" s="1172"/>
      <c r="U404" s="1172"/>
      <c r="V404" s="1190"/>
      <c r="W404" s="1172"/>
      <c r="X404" s="1172"/>
      <c r="Y404" s="1172"/>
      <c r="Z404" s="1172"/>
    </row>
    <row r="405" spans="1:26" ht="24.75" customHeight="1">
      <c r="A405" s="1172"/>
      <c r="B405" s="1172"/>
      <c r="C405" s="1172"/>
      <c r="D405" s="1172"/>
      <c r="E405" s="1172"/>
      <c r="F405" s="1172"/>
      <c r="G405" s="1172"/>
      <c r="H405" s="1172"/>
      <c r="I405" s="1172"/>
      <c r="J405" s="1172"/>
      <c r="K405" s="1172"/>
      <c r="L405" s="1172"/>
      <c r="M405" s="1172"/>
      <c r="N405" s="1172"/>
      <c r="O405" s="1172"/>
      <c r="P405" s="1172"/>
      <c r="Q405" s="1172"/>
      <c r="R405" s="1172"/>
      <c r="S405" s="1172"/>
      <c r="T405" s="1172"/>
      <c r="U405" s="1172"/>
      <c r="V405" s="1190"/>
      <c r="W405" s="1172"/>
      <c r="X405" s="1172"/>
      <c r="Y405" s="1172"/>
      <c r="Z405" s="1172"/>
    </row>
    <row r="406" spans="1:26" ht="24.75" customHeight="1">
      <c r="A406" s="1172"/>
      <c r="B406" s="1172"/>
      <c r="C406" s="1172"/>
      <c r="D406" s="1172"/>
      <c r="E406" s="1172"/>
      <c r="F406" s="1172"/>
      <c r="G406" s="1172"/>
      <c r="H406" s="1172"/>
      <c r="I406" s="1172"/>
      <c r="J406" s="1172"/>
      <c r="K406" s="1172"/>
      <c r="L406" s="1172"/>
      <c r="M406" s="1172"/>
      <c r="N406" s="1172"/>
      <c r="O406" s="1172"/>
      <c r="P406" s="1172"/>
      <c r="Q406" s="1172"/>
      <c r="R406" s="1172"/>
      <c r="S406" s="1172"/>
      <c r="T406" s="1172"/>
      <c r="U406" s="1172"/>
      <c r="V406" s="1190"/>
      <c r="W406" s="1172"/>
      <c r="X406" s="1172"/>
      <c r="Y406" s="1172"/>
      <c r="Z406" s="1172"/>
    </row>
    <row r="407" spans="1:26" ht="24.75" customHeight="1">
      <c r="A407" s="1172"/>
      <c r="B407" s="1172"/>
      <c r="C407" s="1172"/>
      <c r="D407" s="1172"/>
      <c r="E407" s="1172"/>
      <c r="F407" s="1172"/>
      <c r="G407" s="1172"/>
      <c r="H407" s="1172"/>
      <c r="I407" s="1172"/>
      <c r="J407" s="1172"/>
      <c r="K407" s="1172"/>
      <c r="L407" s="1172"/>
      <c r="M407" s="1172"/>
      <c r="N407" s="1172"/>
      <c r="O407" s="1172"/>
      <c r="P407" s="1172"/>
      <c r="Q407" s="1172"/>
      <c r="R407" s="1172"/>
      <c r="S407" s="1172"/>
      <c r="T407" s="1172"/>
      <c r="U407" s="1172"/>
      <c r="V407" s="1190"/>
      <c r="W407" s="1172"/>
      <c r="X407" s="1172"/>
      <c r="Y407" s="1172"/>
      <c r="Z407" s="1172"/>
    </row>
    <row r="408" spans="1:26" ht="24.75" customHeight="1">
      <c r="A408" s="1172"/>
      <c r="B408" s="1172"/>
      <c r="C408" s="1172"/>
      <c r="D408" s="1172"/>
      <c r="E408" s="1172"/>
      <c r="F408" s="1172"/>
      <c r="G408" s="1172"/>
      <c r="H408" s="1172"/>
      <c r="I408" s="1172"/>
      <c r="J408" s="1172"/>
      <c r="K408" s="1172"/>
      <c r="L408" s="1172"/>
      <c r="M408" s="1172"/>
      <c r="N408" s="1172"/>
      <c r="O408" s="1172"/>
      <c r="P408" s="1172"/>
      <c r="Q408" s="1172"/>
      <c r="R408" s="1172"/>
      <c r="S408" s="1172"/>
      <c r="T408" s="1172"/>
      <c r="U408" s="1172"/>
      <c r="V408" s="1190"/>
      <c r="W408" s="1172"/>
      <c r="X408" s="1172"/>
      <c r="Y408" s="1172"/>
      <c r="Z408" s="1172"/>
    </row>
    <row r="409" spans="1:26" ht="24.75" customHeight="1">
      <c r="A409" s="1172"/>
      <c r="B409" s="1172"/>
      <c r="C409" s="1172"/>
      <c r="D409" s="1172"/>
      <c r="E409" s="1172"/>
      <c r="F409" s="1172"/>
      <c r="G409" s="1172"/>
      <c r="H409" s="1172"/>
      <c r="I409" s="1172"/>
      <c r="J409" s="1172"/>
      <c r="K409" s="1172"/>
      <c r="L409" s="1172"/>
      <c r="M409" s="1172"/>
      <c r="N409" s="1172"/>
      <c r="O409" s="1172"/>
      <c r="P409" s="1172"/>
      <c r="Q409" s="1172"/>
      <c r="R409" s="1172"/>
      <c r="S409" s="1172"/>
      <c r="T409" s="1172"/>
      <c r="U409" s="1172"/>
      <c r="V409" s="1190"/>
      <c r="W409" s="1172"/>
      <c r="X409" s="1172"/>
      <c r="Y409" s="1172"/>
      <c r="Z409" s="1172"/>
    </row>
    <row r="410" spans="1:26" ht="24.75" customHeight="1">
      <c r="A410" s="1172"/>
      <c r="B410" s="1172"/>
      <c r="C410" s="1172"/>
      <c r="D410" s="1172"/>
      <c r="E410" s="1172"/>
      <c r="F410" s="1172"/>
      <c r="G410" s="1172"/>
      <c r="H410" s="1172"/>
      <c r="I410" s="1172"/>
      <c r="J410" s="1172"/>
      <c r="K410" s="1172"/>
      <c r="L410" s="1172"/>
      <c r="M410" s="1172"/>
      <c r="N410" s="1172"/>
      <c r="O410" s="1172"/>
      <c r="P410" s="1172"/>
      <c r="Q410" s="1172"/>
      <c r="R410" s="1172"/>
      <c r="S410" s="1172"/>
      <c r="T410" s="1172"/>
      <c r="U410" s="1172"/>
      <c r="V410" s="1190"/>
      <c r="W410" s="1172"/>
      <c r="X410" s="1172"/>
      <c r="Y410" s="1172"/>
      <c r="Z410" s="1172"/>
    </row>
    <row r="411" spans="1:26" ht="24.75" customHeight="1">
      <c r="A411" s="1172"/>
      <c r="B411" s="1172"/>
      <c r="C411" s="1172"/>
      <c r="D411" s="1172"/>
      <c r="E411" s="1172"/>
      <c r="F411" s="1172"/>
      <c r="G411" s="1172"/>
      <c r="H411" s="1172"/>
      <c r="I411" s="1172"/>
      <c r="J411" s="1172"/>
      <c r="K411" s="1172"/>
      <c r="L411" s="1172"/>
      <c r="M411" s="1172"/>
      <c r="N411" s="1172"/>
      <c r="O411" s="1172"/>
      <c r="P411" s="1172"/>
      <c r="Q411" s="1172"/>
      <c r="R411" s="1172"/>
      <c r="S411" s="1172"/>
      <c r="T411" s="1172"/>
      <c r="U411" s="1172"/>
      <c r="V411" s="1190"/>
      <c r="W411" s="1172"/>
      <c r="X411" s="1172"/>
      <c r="Y411" s="1172"/>
      <c r="Z411" s="1172"/>
    </row>
    <row r="412" spans="1:26" ht="15.75" customHeight="1">
      <c r="A412" s="1191"/>
      <c r="B412" s="1191"/>
      <c r="C412" s="1191"/>
      <c r="D412" s="1191"/>
      <c r="E412" s="1191"/>
      <c r="F412" s="1191"/>
      <c r="G412" s="1191"/>
      <c r="H412" s="1191"/>
      <c r="I412" s="1191"/>
      <c r="J412" s="1191"/>
      <c r="K412" s="1191"/>
      <c r="L412" s="1191"/>
      <c r="M412" s="1191"/>
      <c r="N412" s="1191"/>
      <c r="O412" s="1191"/>
      <c r="P412" s="1191"/>
      <c r="Q412" s="1191"/>
      <c r="R412" s="1191"/>
      <c r="S412" s="1191"/>
      <c r="T412" s="1191"/>
      <c r="U412" s="1191"/>
      <c r="V412" s="1192"/>
      <c r="W412" s="1191"/>
      <c r="X412" s="1191"/>
      <c r="Y412" s="1191"/>
      <c r="Z412" s="1191"/>
    </row>
    <row r="413" spans="1:26" ht="15.75" customHeight="1">
      <c r="A413" s="1191"/>
      <c r="B413" s="1191"/>
      <c r="C413" s="1191"/>
      <c r="D413" s="1191"/>
      <c r="E413" s="1191"/>
      <c r="F413" s="1191"/>
      <c r="G413" s="1191"/>
      <c r="H413" s="1191"/>
      <c r="I413" s="1191"/>
      <c r="J413" s="1191"/>
      <c r="K413" s="1191"/>
      <c r="L413" s="1191"/>
      <c r="M413" s="1191"/>
      <c r="N413" s="1191"/>
      <c r="O413" s="1191"/>
      <c r="P413" s="1191"/>
      <c r="Q413" s="1191"/>
      <c r="R413" s="1191"/>
      <c r="S413" s="1191"/>
      <c r="T413" s="1191"/>
      <c r="U413" s="1191"/>
      <c r="V413" s="1192"/>
      <c r="W413" s="1191"/>
      <c r="X413" s="1191"/>
      <c r="Y413" s="1191"/>
      <c r="Z413" s="1191"/>
    </row>
    <row r="414" spans="1:26" ht="15.75" customHeight="1">
      <c r="A414" s="1191"/>
      <c r="B414" s="1191"/>
      <c r="C414" s="1191"/>
      <c r="D414" s="1191"/>
      <c r="E414" s="1191"/>
      <c r="F414" s="1191"/>
      <c r="G414" s="1191"/>
      <c r="H414" s="1191"/>
      <c r="I414" s="1191"/>
      <c r="J414" s="1191"/>
      <c r="K414" s="1191"/>
      <c r="L414" s="1191"/>
      <c r="M414" s="1191"/>
      <c r="N414" s="1191"/>
      <c r="O414" s="1191"/>
      <c r="P414" s="1191"/>
      <c r="Q414" s="1191"/>
      <c r="R414" s="1191"/>
      <c r="S414" s="1191"/>
      <c r="T414" s="1191"/>
      <c r="U414" s="1191"/>
      <c r="V414" s="1192"/>
      <c r="W414" s="1191"/>
      <c r="X414" s="1191"/>
      <c r="Y414" s="1191"/>
      <c r="Z414" s="1191"/>
    </row>
    <row r="415" spans="1:26" ht="15.75" customHeight="1">
      <c r="A415" s="1191"/>
      <c r="B415" s="1191"/>
      <c r="C415" s="1191"/>
      <c r="D415" s="1191"/>
      <c r="E415" s="1191"/>
      <c r="F415" s="1191"/>
      <c r="G415" s="1191"/>
      <c r="H415" s="1191"/>
      <c r="I415" s="1191"/>
      <c r="J415" s="1191"/>
      <c r="K415" s="1191"/>
      <c r="L415" s="1191"/>
      <c r="M415" s="1191"/>
      <c r="N415" s="1191"/>
      <c r="O415" s="1191"/>
      <c r="P415" s="1191"/>
      <c r="Q415" s="1191"/>
      <c r="R415" s="1191"/>
      <c r="S415" s="1191"/>
      <c r="T415" s="1191"/>
      <c r="U415" s="1191"/>
      <c r="V415" s="1192"/>
      <c r="W415" s="1191"/>
      <c r="X415" s="1191"/>
      <c r="Y415" s="1191"/>
      <c r="Z415" s="1191"/>
    </row>
    <row r="416" spans="1:26" ht="15.75" customHeight="1">
      <c r="A416" s="1191"/>
      <c r="B416" s="1191"/>
      <c r="C416" s="1191"/>
      <c r="D416" s="1191"/>
      <c r="E416" s="1191"/>
      <c r="F416" s="1191"/>
      <c r="G416" s="1191"/>
      <c r="H416" s="1191"/>
      <c r="I416" s="1191"/>
      <c r="J416" s="1191"/>
      <c r="K416" s="1191"/>
      <c r="L416" s="1191"/>
      <c r="M416" s="1191"/>
      <c r="N416" s="1191"/>
      <c r="O416" s="1191"/>
      <c r="P416" s="1191"/>
      <c r="Q416" s="1191"/>
      <c r="R416" s="1191"/>
      <c r="S416" s="1191"/>
      <c r="T416" s="1191"/>
      <c r="U416" s="1191"/>
      <c r="V416" s="1192"/>
      <c r="W416" s="1191"/>
      <c r="X416" s="1191"/>
      <c r="Y416" s="1191"/>
      <c r="Z416" s="1191"/>
    </row>
    <row r="417" spans="1:26" ht="15.75" customHeight="1">
      <c r="A417" s="1191"/>
      <c r="B417" s="1191"/>
      <c r="C417" s="1191"/>
      <c r="D417" s="1191"/>
      <c r="E417" s="1191"/>
      <c r="F417" s="1191"/>
      <c r="G417" s="1191"/>
      <c r="H417" s="1191"/>
      <c r="I417" s="1191"/>
      <c r="J417" s="1191"/>
      <c r="K417" s="1191"/>
      <c r="L417" s="1191"/>
      <c r="M417" s="1191"/>
      <c r="N417" s="1191"/>
      <c r="O417" s="1191"/>
      <c r="P417" s="1191"/>
      <c r="Q417" s="1191"/>
      <c r="R417" s="1191"/>
      <c r="S417" s="1191"/>
      <c r="T417" s="1191"/>
      <c r="U417" s="1191"/>
      <c r="V417" s="1192"/>
      <c r="W417" s="1191"/>
      <c r="X417" s="1191"/>
      <c r="Y417" s="1191"/>
      <c r="Z417" s="1191"/>
    </row>
    <row r="418" spans="1:26" ht="15.75" customHeight="1">
      <c r="A418" s="1191"/>
      <c r="B418" s="1191"/>
      <c r="C418" s="1191"/>
      <c r="D418" s="1191"/>
      <c r="E418" s="1191"/>
      <c r="F418" s="1191"/>
      <c r="G418" s="1191"/>
      <c r="H418" s="1191"/>
      <c r="I418" s="1191"/>
      <c r="J418" s="1191"/>
      <c r="K418" s="1191"/>
      <c r="L418" s="1191"/>
      <c r="M418" s="1191"/>
      <c r="N418" s="1191"/>
      <c r="O418" s="1191"/>
      <c r="P418" s="1191"/>
      <c r="Q418" s="1191"/>
      <c r="R418" s="1191"/>
      <c r="S418" s="1191"/>
      <c r="T418" s="1191"/>
      <c r="U418" s="1191"/>
      <c r="V418" s="1192"/>
      <c r="W418" s="1191"/>
      <c r="X418" s="1191"/>
      <c r="Y418" s="1191"/>
      <c r="Z418" s="1191"/>
    </row>
    <row r="419" spans="1:26" ht="15.75" customHeight="1">
      <c r="A419" s="1191"/>
      <c r="B419" s="1191"/>
      <c r="C419" s="1191"/>
      <c r="D419" s="1191"/>
      <c r="E419" s="1191"/>
      <c r="F419" s="1191"/>
      <c r="G419" s="1191"/>
      <c r="H419" s="1191"/>
      <c r="I419" s="1191"/>
      <c r="J419" s="1191"/>
      <c r="K419" s="1191"/>
      <c r="L419" s="1191"/>
      <c r="M419" s="1191"/>
      <c r="N419" s="1191"/>
      <c r="O419" s="1191"/>
      <c r="P419" s="1191"/>
      <c r="Q419" s="1191"/>
      <c r="R419" s="1191"/>
      <c r="S419" s="1191"/>
      <c r="T419" s="1191"/>
      <c r="U419" s="1191"/>
      <c r="V419" s="1192"/>
      <c r="W419" s="1191"/>
      <c r="X419" s="1191"/>
      <c r="Y419" s="1191"/>
      <c r="Z419" s="1191"/>
    </row>
    <row r="420" spans="1:26" ht="15.75" customHeight="1">
      <c r="A420" s="1191"/>
      <c r="B420" s="1191"/>
      <c r="C420" s="1191"/>
      <c r="D420" s="1191"/>
      <c r="E420" s="1191"/>
      <c r="F420" s="1191"/>
      <c r="G420" s="1191"/>
      <c r="H420" s="1191"/>
      <c r="I420" s="1191"/>
      <c r="J420" s="1191"/>
      <c r="K420" s="1191"/>
      <c r="L420" s="1191"/>
      <c r="M420" s="1191"/>
      <c r="N420" s="1191"/>
      <c r="O420" s="1191"/>
      <c r="P420" s="1191"/>
      <c r="Q420" s="1191"/>
      <c r="R420" s="1191"/>
      <c r="S420" s="1191"/>
      <c r="T420" s="1191"/>
      <c r="U420" s="1191"/>
      <c r="V420" s="1192"/>
      <c r="W420" s="1191"/>
      <c r="X420" s="1191"/>
      <c r="Y420" s="1191"/>
      <c r="Z420" s="1191"/>
    </row>
    <row r="421" spans="1:26" ht="15.75" customHeight="1">
      <c r="A421" s="1191"/>
      <c r="B421" s="1191"/>
      <c r="C421" s="1191"/>
      <c r="D421" s="1191"/>
      <c r="E421" s="1191"/>
      <c r="F421" s="1191"/>
      <c r="G421" s="1191"/>
      <c r="H421" s="1191"/>
      <c r="I421" s="1191"/>
      <c r="J421" s="1191"/>
      <c r="K421" s="1191"/>
      <c r="L421" s="1191"/>
      <c r="M421" s="1191"/>
      <c r="N421" s="1191"/>
      <c r="O421" s="1191"/>
      <c r="P421" s="1191"/>
      <c r="Q421" s="1191"/>
      <c r="R421" s="1191"/>
      <c r="S421" s="1191"/>
      <c r="T421" s="1191"/>
      <c r="U421" s="1191"/>
      <c r="V421" s="1192"/>
      <c r="W421" s="1191"/>
      <c r="X421" s="1191"/>
      <c r="Y421" s="1191"/>
      <c r="Z421" s="1191"/>
    </row>
    <row r="422" spans="1:26" ht="15.75" customHeight="1">
      <c r="A422" s="1191"/>
      <c r="B422" s="1191"/>
      <c r="C422" s="1191"/>
      <c r="D422" s="1191"/>
      <c r="E422" s="1191"/>
      <c r="F422" s="1191"/>
      <c r="G422" s="1191"/>
      <c r="H422" s="1191"/>
      <c r="I422" s="1191"/>
      <c r="J422" s="1191"/>
      <c r="K422" s="1191"/>
      <c r="L422" s="1191"/>
      <c r="M422" s="1191"/>
      <c r="N422" s="1191"/>
      <c r="O422" s="1191"/>
      <c r="P422" s="1191"/>
      <c r="Q422" s="1191"/>
      <c r="R422" s="1191"/>
      <c r="S422" s="1191"/>
      <c r="T422" s="1191"/>
      <c r="U422" s="1191"/>
      <c r="V422" s="1192"/>
      <c r="W422" s="1191"/>
      <c r="X422" s="1191"/>
      <c r="Y422" s="1191"/>
      <c r="Z422" s="1191"/>
    </row>
    <row r="423" spans="1:26" ht="15.75" customHeight="1">
      <c r="A423" s="1191"/>
      <c r="B423" s="1191"/>
      <c r="C423" s="1191"/>
      <c r="D423" s="1191"/>
      <c r="E423" s="1191"/>
      <c r="F423" s="1191"/>
      <c r="G423" s="1191"/>
      <c r="H423" s="1191"/>
      <c r="I423" s="1191"/>
      <c r="J423" s="1191"/>
      <c r="K423" s="1191"/>
      <c r="L423" s="1191"/>
      <c r="M423" s="1191"/>
      <c r="N423" s="1191"/>
      <c r="O423" s="1191"/>
      <c r="P423" s="1191"/>
      <c r="Q423" s="1191"/>
      <c r="R423" s="1191"/>
      <c r="S423" s="1191"/>
      <c r="T423" s="1191"/>
      <c r="U423" s="1191"/>
      <c r="V423" s="1192"/>
      <c r="W423" s="1191"/>
      <c r="X423" s="1191"/>
      <c r="Y423" s="1191"/>
      <c r="Z423" s="1191"/>
    </row>
    <row r="424" spans="1:26" ht="15.75" customHeight="1">
      <c r="A424" s="1191"/>
      <c r="B424" s="1191"/>
      <c r="C424" s="1191"/>
      <c r="D424" s="1191"/>
      <c r="E424" s="1191"/>
      <c r="F424" s="1191"/>
      <c r="G424" s="1191"/>
      <c r="H424" s="1191"/>
      <c r="I424" s="1191"/>
      <c r="J424" s="1191"/>
      <c r="K424" s="1191"/>
      <c r="L424" s="1191"/>
      <c r="M424" s="1191"/>
      <c r="N424" s="1191"/>
      <c r="O424" s="1191"/>
      <c r="P424" s="1191"/>
      <c r="Q424" s="1191"/>
      <c r="R424" s="1191"/>
      <c r="S424" s="1191"/>
      <c r="T424" s="1191"/>
      <c r="U424" s="1191"/>
      <c r="V424" s="1192"/>
      <c r="W424" s="1191"/>
      <c r="X424" s="1191"/>
      <c r="Y424" s="1191"/>
      <c r="Z424" s="1191"/>
    </row>
    <row r="425" spans="1:26" ht="15.75" customHeight="1">
      <c r="A425" s="1191"/>
      <c r="B425" s="1191"/>
      <c r="C425" s="1191"/>
      <c r="D425" s="1191"/>
      <c r="E425" s="1191"/>
      <c r="F425" s="1191"/>
      <c r="G425" s="1191"/>
      <c r="H425" s="1191"/>
      <c r="I425" s="1191"/>
      <c r="J425" s="1191"/>
      <c r="K425" s="1191"/>
      <c r="L425" s="1191"/>
      <c r="M425" s="1191"/>
      <c r="N425" s="1191"/>
      <c r="O425" s="1191"/>
      <c r="P425" s="1191"/>
      <c r="Q425" s="1191"/>
      <c r="R425" s="1191"/>
      <c r="S425" s="1191"/>
      <c r="T425" s="1191"/>
      <c r="U425" s="1191"/>
      <c r="V425" s="1192"/>
      <c r="W425" s="1191"/>
      <c r="X425" s="1191"/>
      <c r="Y425" s="1191"/>
      <c r="Z425" s="1191"/>
    </row>
    <row r="426" spans="1:26" ht="15.75" customHeight="1">
      <c r="A426" s="1191"/>
      <c r="B426" s="1191"/>
      <c r="C426" s="1191"/>
      <c r="D426" s="1191"/>
      <c r="E426" s="1191"/>
      <c r="F426" s="1191"/>
      <c r="G426" s="1191"/>
      <c r="H426" s="1191"/>
      <c r="I426" s="1191"/>
      <c r="J426" s="1191"/>
      <c r="K426" s="1191"/>
      <c r="L426" s="1191"/>
      <c r="M426" s="1191"/>
      <c r="N426" s="1191"/>
      <c r="O426" s="1191"/>
      <c r="P426" s="1191"/>
      <c r="Q426" s="1191"/>
      <c r="R426" s="1191"/>
      <c r="S426" s="1191"/>
      <c r="T426" s="1191"/>
      <c r="U426" s="1191"/>
      <c r="V426" s="1192"/>
      <c r="W426" s="1191"/>
      <c r="X426" s="1191"/>
      <c r="Y426" s="1191"/>
      <c r="Z426" s="1191"/>
    </row>
    <row r="427" spans="1:26" ht="15.75" customHeight="1">
      <c r="A427" s="1191"/>
      <c r="B427" s="1191"/>
      <c r="C427" s="1191"/>
      <c r="D427" s="1191"/>
      <c r="E427" s="1191"/>
      <c r="F427" s="1191"/>
      <c r="G427" s="1191"/>
      <c r="H427" s="1191"/>
      <c r="I427" s="1191"/>
      <c r="J427" s="1191"/>
      <c r="K427" s="1191"/>
      <c r="L427" s="1191"/>
      <c r="M427" s="1191"/>
      <c r="N427" s="1191"/>
      <c r="O427" s="1191"/>
      <c r="P427" s="1191"/>
      <c r="Q427" s="1191"/>
      <c r="R427" s="1191"/>
      <c r="S427" s="1191"/>
      <c r="T427" s="1191"/>
      <c r="U427" s="1191"/>
      <c r="V427" s="1192"/>
      <c r="W427" s="1191"/>
      <c r="X427" s="1191"/>
      <c r="Y427" s="1191"/>
      <c r="Z427" s="1191"/>
    </row>
    <row r="428" spans="1:26" ht="15.75" customHeight="1">
      <c r="A428" s="1191"/>
      <c r="B428" s="1191"/>
      <c r="C428" s="1191"/>
      <c r="D428" s="1191"/>
      <c r="E428" s="1191"/>
      <c r="F428" s="1191"/>
      <c r="G428" s="1191"/>
      <c r="H428" s="1191"/>
      <c r="I428" s="1191"/>
      <c r="J428" s="1191"/>
      <c r="K428" s="1191"/>
      <c r="L428" s="1191"/>
      <c r="M428" s="1191"/>
      <c r="N428" s="1191"/>
      <c r="O428" s="1191"/>
      <c r="P428" s="1191"/>
      <c r="Q428" s="1191"/>
      <c r="R428" s="1191"/>
      <c r="S428" s="1191"/>
      <c r="T428" s="1191"/>
      <c r="U428" s="1191"/>
      <c r="V428" s="1192"/>
      <c r="W428" s="1191"/>
      <c r="X428" s="1191"/>
      <c r="Y428" s="1191"/>
      <c r="Z428" s="1191"/>
    </row>
    <row r="429" spans="1:26" ht="15.75" customHeight="1">
      <c r="A429" s="1191"/>
      <c r="B429" s="1191"/>
      <c r="C429" s="1191"/>
      <c r="D429" s="1191"/>
      <c r="E429" s="1191"/>
      <c r="F429" s="1191"/>
      <c r="G429" s="1191"/>
      <c r="H429" s="1191"/>
      <c r="I429" s="1191"/>
      <c r="J429" s="1191"/>
      <c r="K429" s="1191"/>
      <c r="L429" s="1191"/>
      <c r="M429" s="1191"/>
      <c r="N429" s="1191"/>
      <c r="O429" s="1191"/>
      <c r="P429" s="1191"/>
      <c r="Q429" s="1191"/>
      <c r="R429" s="1191"/>
      <c r="S429" s="1191"/>
      <c r="T429" s="1191"/>
      <c r="U429" s="1191"/>
      <c r="V429" s="1192"/>
      <c r="W429" s="1191"/>
      <c r="X429" s="1191"/>
      <c r="Y429" s="1191"/>
      <c r="Z429" s="1191"/>
    </row>
    <row r="430" spans="1:26" ht="15.75" customHeight="1">
      <c r="A430" s="1191"/>
      <c r="B430" s="1191"/>
      <c r="C430" s="1191"/>
      <c r="D430" s="1191"/>
      <c r="E430" s="1191"/>
      <c r="F430" s="1191"/>
      <c r="G430" s="1191"/>
      <c r="H430" s="1191"/>
      <c r="I430" s="1191"/>
      <c r="J430" s="1191"/>
      <c r="K430" s="1191"/>
      <c r="L430" s="1191"/>
      <c r="M430" s="1191"/>
      <c r="N430" s="1191"/>
      <c r="O430" s="1191"/>
      <c r="P430" s="1191"/>
      <c r="Q430" s="1191"/>
      <c r="R430" s="1191"/>
      <c r="S430" s="1191"/>
      <c r="T430" s="1191"/>
      <c r="U430" s="1191"/>
      <c r="V430" s="1192"/>
      <c r="W430" s="1191"/>
      <c r="X430" s="1191"/>
      <c r="Y430" s="1191"/>
      <c r="Z430" s="1191"/>
    </row>
    <row r="431" spans="1:26" ht="15.75" customHeight="1">
      <c r="A431" s="1191"/>
      <c r="B431" s="1191"/>
      <c r="C431" s="1191"/>
      <c r="D431" s="1191"/>
      <c r="E431" s="1191"/>
      <c r="F431" s="1191"/>
      <c r="G431" s="1191"/>
      <c r="H431" s="1191"/>
      <c r="I431" s="1191"/>
      <c r="J431" s="1191"/>
      <c r="K431" s="1191"/>
      <c r="L431" s="1191"/>
      <c r="M431" s="1191"/>
      <c r="N431" s="1191"/>
      <c r="O431" s="1191"/>
      <c r="P431" s="1191"/>
      <c r="Q431" s="1191"/>
      <c r="R431" s="1191"/>
      <c r="S431" s="1191"/>
      <c r="T431" s="1191"/>
      <c r="U431" s="1191"/>
      <c r="V431" s="1192"/>
      <c r="W431" s="1191"/>
      <c r="X431" s="1191"/>
      <c r="Y431" s="1191"/>
      <c r="Z431" s="1191"/>
    </row>
    <row r="432" spans="1:26" ht="15.75" customHeight="1">
      <c r="A432" s="1191"/>
      <c r="B432" s="1191"/>
      <c r="C432" s="1191"/>
      <c r="D432" s="1191"/>
      <c r="E432" s="1191"/>
      <c r="F432" s="1191"/>
      <c r="G432" s="1191"/>
      <c r="H432" s="1191"/>
      <c r="I432" s="1191"/>
      <c r="J432" s="1191"/>
      <c r="K432" s="1191"/>
      <c r="L432" s="1191"/>
      <c r="M432" s="1191"/>
      <c r="N432" s="1191"/>
      <c r="O432" s="1191"/>
      <c r="P432" s="1191"/>
      <c r="Q432" s="1191"/>
      <c r="R432" s="1191"/>
      <c r="S432" s="1191"/>
      <c r="T432" s="1191"/>
      <c r="U432" s="1191"/>
      <c r="V432" s="1192"/>
      <c r="W432" s="1191"/>
      <c r="X432" s="1191"/>
      <c r="Y432" s="1191"/>
      <c r="Z432" s="1191"/>
    </row>
    <row r="433" spans="1:26" ht="15.75" customHeight="1">
      <c r="A433" s="1191"/>
      <c r="B433" s="1191"/>
      <c r="C433" s="1191"/>
      <c r="D433" s="1191"/>
      <c r="E433" s="1191"/>
      <c r="F433" s="1191"/>
      <c r="G433" s="1191"/>
      <c r="H433" s="1191"/>
      <c r="I433" s="1191"/>
      <c r="J433" s="1191"/>
      <c r="K433" s="1191"/>
      <c r="L433" s="1191"/>
      <c r="M433" s="1191"/>
      <c r="N433" s="1191"/>
      <c r="O433" s="1191"/>
      <c r="P433" s="1191"/>
      <c r="Q433" s="1191"/>
      <c r="R433" s="1191"/>
      <c r="S433" s="1191"/>
      <c r="T433" s="1191"/>
      <c r="U433" s="1191"/>
      <c r="V433" s="1192"/>
      <c r="W433" s="1191"/>
      <c r="X433" s="1191"/>
      <c r="Y433" s="1191"/>
      <c r="Z433" s="1191"/>
    </row>
    <row r="434" spans="1:26" ht="15.75" customHeight="1">
      <c r="A434" s="1191"/>
      <c r="B434" s="1191"/>
      <c r="C434" s="1191"/>
      <c r="D434" s="1191"/>
      <c r="E434" s="1191"/>
      <c r="F434" s="1191"/>
      <c r="G434" s="1191"/>
      <c r="H434" s="1191"/>
      <c r="I434" s="1191"/>
      <c r="J434" s="1191"/>
      <c r="K434" s="1191"/>
      <c r="L434" s="1191"/>
      <c r="M434" s="1191"/>
      <c r="N434" s="1191"/>
      <c r="O434" s="1191"/>
      <c r="P434" s="1191"/>
      <c r="Q434" s="1191"/>
      <c r="R434" s="1191"/>
      <c r="S434" s="1191"/>
      <c r="T434" s="1191"/>
      <c r="U434" s="1191"/>
      <c r="V434" s="1192"/>
      <c r="W434" s="1191"/>
      <c r="X434" s="1191"/>
      <c r="Y434" s="1191"/>
      <c r="Z434" s="1191"/>
    </row>
    <row r="435" spans="1:26" ht="15.75" customHeight="1">
      <c r="A435" s="1191"/>
      <c r="B435" s="1191"/>
      <c r="C435" s="1191"/>
      <c r="D435" s="1191"/>
      <c r="E435" s="1191"/>
      <c r="F435" s="1191"/>
      <c r="G435" s="1191"/>
      <c r="H435" s="1191"/>
      <c r="I435" s="1191"/>
      <c r="J435" s="1191"/>
      <c r="K435" s="1191"/>
      <c r="L435" s="1191"/>
      <c r="M435" s="1191"/>
      <c r="N435" s="1191"/>
      <c r="O435" s="1191"/>
      <c r="P435" s="1191"/>
      <c r="Q435" s="1191"/>
      <c r="R435" s="1191"/>
      <c r="S435" s="1191"/>
      <c r="T435" s="1191"/>
      <c r="U435" s="1191"/>
      <c r="V435" s="1192"/>
      <c r="W435" s="1191"/>
      <c r="X435" s="1191"/>
      <c r="Y435" s="1191"/>
      <c r="Z435" s="1191"/>
    </row>
    <row r="436" spans="1:26" ht="15.75" customHeight="1">
      <c r="A436" s="1191"/>
      <c r="B436" s="1191"/>
      <c r="C436" s="1191"/>
      <c r="D436" s="1191"/>
      <c r="E436" s="1191"/>
      <c r="F436" s="1191"/>
      <c r="G436" s="1191"/>
      <c r="H436" s="1191"/>
      <c r="I436" s="1191"/>
      <c r="J436" s="1191"/>
      <c r="K436" s="1191"/>
      <c r="L436" s="1191"/>
      <c r="M436" s="1191"/>
      <c r="N436" s="1191"/>
      <c r="O436" s="1191"/>
      <c r="P436" s="1191"/>
      <c r="Q436" s="1191"/>
      <c r="R436" s="1191"/>
      <c r="S436" s="1191"/>
      <c r="T436" s="1191"/>
      <c r="U436" s="1191"/>
      <c r="V436" s="1192"/>
      <c r="W436" s="1191"/>
      <c r="X436" s="1191"/>
      <c r="Y436" s="1191"/>
      <c r="Z436" s="1191"/>
    </row>
    <row r="437" spans="1:26" ht="15.75" customHeight="1">
      <c r="A437" s="1191"/>
      <c r="B437" s="1191"/>
      <c r="C437" s="1191"/>
      <c r="D437" s="1191"/>
      <c r="E437" s="1191"/>
      <c r="F437" s="1191"/>
      <c r="G437" s="1191"/>
      <c r="H437" s="1191"/>
      <c r="I437" s="1191"/>
      <c r="J437" s="1191"/>
      <c r="K437" s="1191"/>
      <c r="L437" s="1191"/>
      <c r="M437" s="1191"/>
      <c r="N437" s="1191"/>
      <c r="O437" s="1191"/>
      <c r="P437" s="1191"/>
      <c r="Q437" s="1191"/>
      <c r="R437" s="1191"/>
      <c r="S437" s="1191"/>
      <c r="T437" s="1191"/>
      <c r="U437" s="1191"/>
      <c r="V437" s="1192"/>
      <c r="W437" s="1191"/>
      <c r="X437" s="1191"/>
      <c r="Y437" s="1191"/>
      <c r="Z437" s="1191"/>
    </row>
    <row r="438" spans="1:26" ht="15.75" customHeight="1">
      <c r="A438" s="1191"/>
      <c r="B438" s="1191"/>
      <c r="C438" s="1191"/>
      <c r="D438" s="1191"/>
      <c r="E438" s="1191"/>
      <c r="F438" s="1191"/>
      <c r="G438" s="1191"/>
      <c r="H438" s="1191"/>
      <c r="I438" s="1191"/>
      <c r="J438" s="1191"/>
      <c r="K438" s="1191"/>
      <c r="L438" s="1191"/>
      <c r="M438" s="1191"/>
      <c r="N438" s="1191"/>
      <c r="O438" s="1191"/>
      <c r="P438" s="1191"/>
      <c r="Q438" s="1191"/>
      <c r="R438" s="1191"/>
      <c r="S438" s="1191"/>
      <c r="T438" s="1191"/>
      <c r="U438" s="1191"/>
      <c r="V438" s="1192"/>
      <c r="W438" s="1191"/>
      <c r="X438" s="1191"/>
      <c r="Y438" s="1191"/>
      <c r="Z438" s="1191"/>
    </row>
    <row r="439" spans="1:26" ht="15.75" customHeight="1">
      <c r="A439" s="1191"/>
      <c r="B439" s="1191"/>
      <c r="C439" s="1191"/>
      <c r="D439" s="1191"/>
      <c r="E439" s="1191"/>
      <c r="F439" s="1191"/>
      <c r="G439" s="1191"/>
      <c r="H439" s="1191"/>
      <c r="I439" s="1191"/>
      <c r="J439" s="1191"/>
      <c r="K439" s="1191"/>
      <c r="L439" s="1191"/>
      <c r="M439" s="1191"/>
      <c r="N439" s="1191"/>
      <c r="O439" s="1191"/>
      <c r="P439" s="1191"/>
      <c r="Q439" s="1191"/>
      <c r="R439" s="1191"/>
      <c r="S439" s="1191"/>
      <c r="T439" s="1191"/>
      <c r="U439" s="1191"/>
      <c r="V439" s="1192"/>
      <c r="W439" s="1191"/>
      <c r="X439" s="1191"/>
      <c r="Y439" s="1191"/>
      <c r="Z439" s="1191"/>
    </row>
    <row r="440" spans="1:26" ht="15.75" customHeight="1">
      <c r="A440" s="1191"/>
      <c r="B440" s="1191"/>
      <c r="C440" s="1191"/>
      <c r="D440" s="1191"/>
      <c r="E440" s="1191"/>
      <c r="F440" s="1191"/>
      <c r="G440" s="1191"/>
      <c r="H440" s="1191"/>
      <c r="I440" s="1191"/>
      <c r="J440" s="1191"/>
      <c r="K440" s="1191"/>
      <c r="L440" s="1191"/>
      <c r="M440" s="1191"/>
      <c r="N440" s="1191"/>
      <c r="O440" s="1191"/>
      <c r="P440" s="1191"/>
      <c r="Q440" s="1191"/>
      <c r="R440" s="1191"/>
      <c r="S440" s="1191"/>
      <c r="T440" s="1191"/>
      <c r="U440" s="1191"/>
      <c r="V440" s="1192"/>
      <c r="W440" s="1191"/>
      <c r="X440" s="1191"/>
      <c r="Y440" s="1191"/>
      <c r="Z440" s="1191"/>
    </row>
    <row r="441" spans="1:26" ht="15.75" customHeight="1">
      <c r="A441" s="1191"/>
      <c r="B441" s="1191"/>
      <c r="C441" s="1191"/>
      <c r="D441" s="1191"/>
      <c r="E441" s="1191"/>
      <c r="F441" s="1191"/>
      <c r="G441" s="1191"/>
      <c r="H441" s="1191"/>
      <c r="I441" s="1191"/>
      <c r="J441" s="1191"/>
      <c r="K441" s="1191"/>
      <c r="L441" s="1191"/>
      <c r="M441" s="1191"/>
      <c r="N441" s="1191"/>
      <c r="O441" s="1191"/>
      <c r="P441" s="1191"/>
      <c r="Q441" s="1191"/>
      <c r="R441" s="1191"/>
      <c r="S441" s="1191"/>
      <c r="T441" s="1191"/>
      <c r="U441" s="1191"/>
      <c r="V441" s="1192"/>
      <c r="W441" s="1191"/>
      <c r="X441" s="1191"/>
      <c r="Y441" s="1191"/>
      <c r="Z441" s="1191"/>
    </row>
    <row r="442" spans="1:26" ht="15.75" customHeight="1">
      <c r="A442" s="1191"/>
      <c r="B442" s="1191"/>
      <c r="C442" s="1191"/>
      <c r="D442" s="1191"/>
      <c r="E442" s="1191"/>
      <c r="F442" s="1191"/>
      <c r="G442" s="1191"/>
      <c r="H442" s="1191"/>
      <c r="I442" s="1191"/>
      <c r="J442" s="1191"/>
      <c r="K442" s="1191"/>
      <c r="L442" s="1191"/>
      <c r="M442" s="1191"/>
      <c r="N442" s="1191"/>
      <c r="O442" s="1191"/>
      <c r="P442" s="1191"/>
      <c r="Q442" s="1191"/>
      <c r="R442" s="1191"/>
      <c r="S442" s="1191"/>
      <c r="T442" s="1191"/>
      <c r="U442" s="1191"/>
      <c r="V442" s="1192"/>
      <c r="W442" s="1191"/>
      <c r="X442" s="1191"/>
      <c r="Y442" s="1191"/>
      <c r="Z442" s="1191"/>
    </row>
    <row r="443" spans="1:26" ht="15.75" customHeight="1">
      <c r="A443" s="1191"/>
      <c r="B443" s="1191"/>
      <c r="C443" s="1191"/>
      <c r="D443" s="1191"/>
      <c r="E443" s="1191"/>
      <c r="F443" s="1191"/>
      <c r="G443" s="1191"/>
      <c r="H443" s="1191"/>
      <c r="I443" s="1191"/>
      <c r="J443" s="1191"/>
      <c r="K443" s="1191"/>
      <c r="L443" s="1191"/>
      <c r="M443" s="1191"/>
      <c r="N443" s="1191"/>
      <c r="O443" s="1191"/>
      <c r="P443" s="1191"/>
      <c r="Q443" s="1191"/>
      <c r="R443" s="1191"/>
      <c r="S443" s="1191"/>
      <c r="T443" s="1191"/>
      <c r="U443" s="1191"/>
      <c r="V443" s="1192"/>
      <c r="W443" s="1191"/>
      <c r="X443" s="1191"/>
      <c r="Y443" s="1191"/>
      <c r="Z443" s="1191"/>
    </row>
    <row r="444" spans="1:26" ht="15.75" customHeight="1">
      <c r="A444" s="1191"/>
      <c r="B444" s="1191"/>
      <c r="C444" s="1191"/>
      <c r="D444" s="1191"/>
      <c r="E444" s="1191"/>
      <c r="F444" s="1191"/>
      <c r="G444" s="1191"/>
      <c r="H444" s="1191"/>
      <c r="I444" s="1191"/>
      <c r="J444" s="1191"/>
      <c r="K444" s="1191"/>
      <c r="L444" s="1191"/>
      <c r="M444" s="1191"/>
      <c r="N444" s="1191"/>
      <c r="O444" s="1191"/>
      <c r="P444" s="1191"/>
      <c r="Q444" s="1191"/>
      <c r="R444" s="1191"/>
      <c r="S444" s="1191"/>
      <c r="T444" s="1191"/>
      <c r="U444" s="1191"/>
      <c r="V444" s="1192"/>
      <c r="W444" s="1191"/>
      <c r="X444" s="1191"/>
      <c r="Y444" s="1191"/>
      <c r="Z444" s="1191"/>
    </row>
    <row r="445" spans="1:26" ht="15.75" customHeight="1">
      <c r="A445" s="1191"/>
      <c r="B445" s="1191"/>
      <c r="C445" s="1191"/>
      <c r="D445" s="1191"/>
      <c r="E445" s="1191"/>
      <c r="F445" s="1191"/>
      <c r="G445" s="1191"/>
      <c r="H445" s="1191"/>
      <c r="I445" s="1191"/>
      <c r="J445" s="1191"/>
      <c r="K445" s="1191"/>
      <c r="L445" s="1191"/>
      <c r="M445" s="1191"/>
      <c r="N445" s="1191"/>
      <c r="O445" s="1191"/>
      <c r="P445" s="1191"/>
      <c r="Q445" s="1191"/>
      <c r="R445" s="1191"/>
      <c r="S445" s="1191"/>
      <c r="T445" s="1191"/>
      <c r="U445" s="1191"/>
      <c r="V445" s="1192"/>
      <c r="W445" s="1191"/>
      <c r="X445" s="1191"/>
      <c r="Y445" s="1191"/>
      <c r="Z445" s="1191"/>
    </row>
    <row r="446" spans="1:26" ht="15.75" customHeight="1">
      <c r="A446" s="1191"/>
      <c r="B446" s="1191"/>
      <c r="C446" s="1191"/>
      <c r="D446" s="1191"/>
      <c r="E446" s="1191"/>
      <c r="F446" s="1191"/>
      <c r="G446" s="1191"/>
      <c r="H446" s="1191"/>
      <c r="I446" s="1191"/>
      <c r="J446" s="1191"/>
      <c r="K446" s="1191"/>
      <c r="L446" s="1191"/>
      <c r="M446" s="1191"/>
      <c r="N446" s="1191"/>
      <c r="O446" s="1191"/>
      <c r="P446" s="1191"/>
      <c r="Q446" s="1191"/>
      <c r="R446" s="1191"/>
      <c r="S446" s="1191"/>
      <c r="T446" s="1191"/>
      <c r="U446" s="1191"/>
      <c r="V446" s="1192"/>
      <c r="W446" s="1191"/>
      <c r="X446" s="1191"/>
      <c r="Y446" s="1191"/>
      <c r="Z446" s="1191"/>
    </row>
    <row r="447" spans="1:26" ht="15.75" customHeight="1">
      <c r="A447" s="1191"/>
      <c r="B447" s="1191"/>
      <c r="C447" s="1191"/>
      <c r="D447" s="1191"/>
      <c r="E447" s="1191"/>
      <c r="F447" s="1191"/>
      <c r="G447" s="1191"/>
      <c r="H447" s="1191"/>
      <c r="I447" s="1191"/>
      <c r="J447" s="1191"/>
      <c r="K447" s="1191"/>
      <c r="L447" s="1191"/>
      <c r="M447" s="1191"/>
      <c r="N447" s="1191"/>
      <c r="O447" s="1191"/>
      <c r="P447" s="1191"/>
      <c r="Q447" s="1191"/>
      <c r="R447" s="1191"/>
      <c r="S447" s="1191"/>
      <c r="T447" s="1191"/>
      <c r="U447" s="1191"/>
      <c r="V447" s="1192"/>
      <c r="W447" s="1191"/>
      <c r="X447" s="1191"/>
      <c r="Y447" s="1191"/>
      <c r="Z447" s="1191"/>
    </row>
    <row r="448" spans="1:26" ht="15.75" customHeight="1">
      <c r="A448" s="1191"/>
      <c r="B448" s="1191"/>
      <c r="C448" s="1191"/>
      <c r="D448" s="1191"/>
      <c r="E448" s="1191"/>
      <c r="F448" s="1191"/>
      <c r="G448" s="1191"/>
      <c r="H448" s="1191"/>
      <c r="I448" s="1191"/>
      <c r="J448" s="1191"/>
      <c r="K448" s="1191"/>
      <c r="L448" s="1191"/>
      <c r="M448" s="1191"/>
      <c r="N448" s="1191"/>
      <c r="O448" s="1191"/>
      <c r="P448" s="1191"/>
      <c r="Q448" s="1191"/>
      <c r="R448" s="1191"/>
      <c r="S448" s="1191"/>
      <c r="T448" s="1191"/>
      <c r="U448" s="1191"/>
      <c r="V448" s="1192"/>
      <c r="W448" s="1191"/>
      <c r="X448" s="1191"/>
      <c r="Y448" s="1191"/>
      <c r="Z448" s="1191"/>
    </row>
    <row r="449" spans="1:26" ht="15.75" customHeight="1">
      <c r="A449" s="1191"/>
      <c r="B449" s="1191"/>
      <c r="C449" s="1191"/>
      <c r="D449" s="1191"/>
      <c r="E449" s="1191"/>
      <c r="F449" s="1191"/>
      <c r="G449" s="1191"/>
      <c r="H449" s="1191"/>
      <c r="I449" s="1191"/>
      <c r="J449" s="1191"/>
      <c r="K449" s="1191"/>
      <c r="L449" s="1191"/>
      <c r="M449" s="1191"/>
      <c r="N449" s="1191"/>
      <c r="O449" s="1191"/>
      <c r="P449" s="1191"/>
      <c r="Q449" s="1191"/>
      <c r="R449" s="1191"/>
      <c r="S449" s="1191"/>
      <c r="T449" s="1191"/>
      <c r="U449" s="1191"/>
      <c r="V449" s="1192"/>
      <c r="W449" s="1191"/>
      <c r="X449" s="1191"/>
      <c r="Y449" s="1191"/>
      <c r="Z449" s="1191"/>
    </row>
    <row r="450" spans="1:26" ht="15.75" customHeight="1">
      <c r="A450" s="1191"/>
      <c r="B450" s="1191"/>
      <c r="C450" s="1191"/>
      <c r="D450" s="1191"/>
      <c r="E450" s="1191"/>
      <c r="F450" s="1191"/>
      <c r="G450" s="1191"/>
      <c r="H450" s="1191"/>
      <c r="I450" s="1191"/>
      <c r="J450" s="1191"/>
      <c r="K450" s="1191"/>
      <c r="L450" s="1191"/>
      <c r="M450" s="1191"/>
      <c r="N450" s="1191"/>
      <c r="O450" s="1191"/>
      <c r="P450" s="1191"/>
      <c r="Q450" s="1191"/>
      <c r="R450" s="1191"/>
      <c r="S450" s="1191"/>
      <c r="T450" s="1191"/>
      <c r="U450" s="1191"/>
      <c r="V450" s="1192"/>
      <c r="W450" s="1191"/>
      <c r="X450" s="1191"/>
      <c r="Y450" s="1191"/>
      <c r="Z450" s="1191"/>
    </row>
    <row r="451" spans="1:26" ht="15.75" customHeight="1">
      <c r="A451" s="1191"/>
      <c r="B451" s="1191"/>
      <c r="C451" s="1191"/>
      <c r="D451" s="1191"/>
      <c r="E451" s="1191"/>
      <c r="F451" s="1191"/>
      <c r="G451" s="1191"/>
      <c r="H451" s="1191"/>
      <c r="I451" s="1191"/>
      <c r="J451" s="1191"/>
      <c r="K451" s="1191"/>
      <c r="L451" s="1191"/>
      <c r="M451" s="1191"/>
      <c r="N451" s="1191"/>
      <c r="O451" s="1191"/>
      <c r="P451" s="1191"/>
      <c r="Q451" s="1191"/>
      <c r="R451" s="1191"/>
      <c r="S451" s="1191"/>
      <c r="T451" s="1191"/>
      <c r="U451" s="1191"/>
      <c r="V451" s="1192"/>
      <c r="W451" s="1191"/>
      <c r="X451" s="1191"/>
      <c r="Y451" s="1191"/>
      <c r="Z451" s="1191"/>
    </row>
    <row r="452" spans="1:26" ht="15.75" customHeight="1">
      <c r="A452" s="1191"/>
      <c r="B452" s="1191"/>
      <c r="C452" s="1191"/>
      <c r="D452" s="1191"/>
      <c r="E452" s="1191"/>
      <c r="F452" s="1191"/>
      <c r="G452" s="1191"/>
      <c r="H452" s="1191"/>
      <c r="I452" s="1191"/>
      <c r="J452" s="1191"/>
      <c r="K452" s="1191"/>
      <c r="L452" s="1191"/>
      <c r="M452" s="1191"/>
      <c r="N452" s="1191"/>
      <c r="O452" s="1191"/>
      <c r="P452" s="1191"/>
      <c r="Q452" s="1191"/>
      <c r="R452" s="1191"/>
      <c r="S452" s="1191"/>
      <c r="T452" s="1191"/>
      <c r="U452" s="1191"/>
      <c r="V452" s="1192"/>
      <c r="W452" s="1191"/>
      <c r="X452" s="1191"/>
      <c r="Y452" s="1191"/>
      <c r="Z452" s="1191"/>
    </row>
    <row r="453" spans="1:26" ht="15.75" customHeight="1">
      <c r="A453" s="1191"/>
      <c r="B453" s="1191"/>
      <c r="C453" s="1191"/>
      <c r="D453" s="1191"/>
      <c r="E453" s="1191"/>
      <c r="F453" s="1191"/>
      <c r="G453" s="1191"/>
      <c r="H453" s="1191"/>
      <c r="I453" s="1191"/>
      <c r="J453" s="1191"/>
      <c r="K453" s="1191"/>
      <c r="L453" s="1191"/>
      <c r="M453" s="1191"/>
      <c r="N453" s="1191"/>
      <c r="O453" s="1191"/>
      <c r="P453" s="1191"/>
      <c r="Q453" s="1191"/>
      <c r="R453" s="1191"/>
      <c r="S453" s="1191"/>
      <c r="T453" s="1191"/>
      <c r="U453" s="1191"/>
      <c r="V453" s="1192"/>
      <c r="W453" s="1191"/>
      <c r="X453" s="1191"/>
      <c r="Y453" s="1191"/>
      <c r="Z453" s="1191"/>
    </row>
    <row r="454" spans="1:26" ht="15.75" customHeight="1">
      <c r="A454" s="1191"/>
      <c r="B454" s="1191"/>
      <c r="C454" s="1191"/>
      <c r="D454" s="1191"/>
      <c r="E454" s="1191"/>
      <c r="F454" s="1191"/>
      <c r="G454" s="1191"/>
      <c r="H454" s="1191"/>
      <c r="I454" s="1191"/>
      <c r="J454" s="1191"/>
      <c r="K454" s="1191"/>
      <c r="L454" s="1191"/>
      <c r="M454" s="1191"/>
      <c r="N454" s="1191"/>
      <c r="O454" s="1191"/>
      <c r="P454" s="1191"/>
      <c r="Q454" s="1191"/>
      <c r="R454" s="1191"/>
      <c r="S454" s="1191"/>
      <c r="T454" s="1191"/>
      <c r="U454" s="1191"/>
      <c r="V454" s="1192"/>
      <c r="W454" s="1191"/>
      <c r="X454" s="1191"/>
      <c r="Y454" s="1191"/>
      <c r="Z454" s="1191"/>
    </row>
    <row r="455" spans="1:26" ht="15.75" customHeight="1">
      <c r="A455" s="1191"/>
      <c r="B455" s="1191"/>
      <c r="C455" s="1191"/>
      <c r="D455" s="1191"/>
      <c r="E455" s="1191"/>
      <c r="F455" s="1191"/>
      <c r="G455" s="1191"/>
      <c r="H455" s="1191"/>
      <c r="I455" s="1191"/>
      <c r="J455" s="1191"/>
      <c r="K455" s="1191"/>
      <c r="L455" s="1191"/>
      <c r="M455" s="1191"/>
      <c r="N455" s="1191"/>
      <c r="O455" s="1191"/>
      <c r="P455" s="1191"/>
      <c r="Q455" s="1191"/>
      <c r="R455" s="1191"/>
      <c r="S455" s="1191"/>
      <c r="T455" s="1191"/>
      <c r="U455" s="1191"/>
      <c r="V455" s="1192"/>
      <c r="W455" s="1191"/>
      <c r="X455" s="1191"/>
      <c r="Y455" s="1191"/>
      <c r="Z455" s="1191"/>
    </row>
    <row r="456" spans="1:26" ht="15.75" customHeight="1">
      <c r="A456" s="1191"/>
      <c r="B456" s="1191"/>
      <c r="C456" s="1191"/>
      <c r="D456" s="1191"/>
      <c r="E456" s="1191"/>
      <c r="F456" s="1191"/>
      <c r="G456" s="1191"/>
      <c r="H456" s="1191"/>
      <c r="I456" s="1191"/>
      <c r="J456" s="1191"/>
      <c r="K456" s="1191"/>
      <c r="L456" s="1191"/>
      <c r="M456" s="1191"/>
      <c r="N456" s="1191"/>
      <c r="O456" s="1191"/>
      <c r="P456" s="1191"/>
      <c r="Q456" s="1191"/>
      <c r="R456" s="1191"/>
      <c r="S456" s="1191"/>
      <c r="T456" s="1191"/>
      <c r="U456" s="1191"/>
      <c r="V456" s="1192"/>
      <c r="W456" s="1191"/>
      <c r="X456" s="1191"/>
      <c r="Y456" s="1191"/>
      <c r="Z456" s="1191"/>
    </row>
    <row r="457" spans="1:26" ht="15.75" customHeight="1">
      <c r="A457" s="1191"/>
      <c r="B457" s="1191"/>
      <c r="C457" s="1191"/>
      <c r="D457" s="1191"/>
      <c r="E457" s="1191"/>
      <c r="F457" s="1191"/>
      <c r="G457" s="1191"/>
      <c r="H457" s="1191"/>
      <c r="I457" s="1191"/>
      <c r="J457" s="1191"/>
      <c r="K457" s="1191"/>
      <c r="L457" s="1191"/>
      <c r="M457" s="1191"/>
      <c r="N457" s="1191"/>
      <c r="O457" s="1191"/>
      <c r="P457" s="1191"/>
      <c r="Q457" s="1191"/>
      <c r="R457" s="1191"/>
      <c r="S457" s="1191"/>
      <c r="T457" s="1191"/>
      <c r="U457" s="1191"/>
      <c r="V457" s="1192"/>
      <c r="W457" s="1191"/>
      <c r="X457" s="1191"/>
      <c r="Y457" s="1191"/>
      <c r="Z457" s="1191"/>
    </row>
    <row r="458" spans="1:26" ht="15.75" customHeight="1">
      <c r="A458" s="1191"/>
      <c r="B458" s="1191"/>
      <c r="C458" s="1191"/>
      <c r="D458" s="1191"/>
      <c r="E458" s="1191"/>
      <c r="F458" s="1191"/>
      <c r="G458" s="1191"/>
      <c r="H458" s="1191"/>
      <c r="I458" s="1191"/>
      <c r="J458" s="1191"/>
      <c r="K458" s="1191"/>
      <c r="L458" s="1191"/>
      <c r="M458" s="1191"/>
      <c r="N458" s="1191"/>
      <c r="O458" s="1191"/>
      <c r="P458" s="1191"/>
      <c r="Q458" s="1191"/>
      <c r="R458" s="1191"/>
      <c r="S458" s="1191"/>
      <c r="T458" s="1191"/>
      <c r="U458" s="1191"/>
      <c r="V458" s="1192"/>
      <c r="W458" s="1191"/>
      <c r="X458" s="1191"/>
      <c r="Y458" s="1191"/>
      <c r="Z458" s="1191"/>
    </row>
    <row r="459" spans="1:26" ht="15.75" customHeight="1">
      <c r="A459" s="1191"/>
      <c r="B459" s="1191"/>
      <c r="C459" s="1191"/>
      <c r="D459" s="1191"/>
      <c r="E459" s="1191"/>
      <c r="F459" s="1191"/>
      <c r="G459" s="1191"/>
      <c r="H459" s="1191"/>
      <c r="I459" s="1191"/>
      <c r="J459" s="1191"/>
      <c r="K459" s="1191"/>
      <c r="L459" s="1191"/>
      <c r="M459" s="1191"/>
      <c r="N459" s="1191"/>
      <c r="O459" s="1191"/>
      <c r="P459" s="1191"/>
      <c r="Q459" s="1191"/>
      <c r="R459" s="1191"/>
      <c r="S459" s="1191"/>
      <c r="T459" s="1191"/>
      <c r="U459" s="1191"/>
      <c r="V459" s="1192"/>
      <c r="W459" s="1191"/>
      <c r="X459" s="1191"/>
      <c r="Y459" s="1191"/>
      <c r="Z459" s="1191"/>
    </row>
    <row r="460" spans="1:26" ht="15.75" customHeight="1">
      <c r="A460" s="1191"/>
      <c r="B460" s="1191"/>
      <c r="C460" s="1191"/>
      <c r="D460" s="1191"/>
      <c r="E460" s="1191"/>
      <c r="F460" s="1191"/>
      <c r="G460" s="1191"/>
      <c r="H460" s="1191"/>
      <c r="I460" s="1191"/>
      <c r="J460" s="1191"/>
      <c r="K460" s="1191"/>
      <c r="L460" s="1191"/>
      <c r="M460" s="1191"/>
      <c r="N460" s="1191"/>
      <c r="O460" s="1191"/>
      <c r="P460" s="1191"/>
      <c r="Q460" s="1191"/>
      <c r="R460" s="1191"/>
      <c r="S460" s="1191"/>
      <c r="T460" s="1191"/>
      <c r="U460" s="1191"/>
      <c r="V460" s="1192"/>
      <c r="W460" s="1191"/>
      <c r="X460" s="1191"/>
      <c r="Y460" s="1191"/>
      <c r="Z460" s="1191"/>
    </row>
    <row r="461" spans="1:26" ht="15.75" customHeight="1">
      <c r="A461" s="1191"/>
      <c r="B461" s="1191"/>
      <c r="C461" s="1191"/>
      <c r="D461" s="1191"/>
      <c r="E461" s="1191"/>
      <c r="F461" s="1191"/>
      <c r="G461" s="1191"/>
      <c r="H461" s="1191"/>
      <c r="I461" s="1191"/>
      <c r="J461" s="1191"/>
      <c r="K461" s="1191"/>
      <c r="L461" s="1191"/>
      <c r="M461" s="1191"/>
      <c r="N461" s="1191"/>
      <c r="O461" s="1191"/>
      <c r="P461" s="1191"/>
      <c r="Q461" s="1191"/>
      <c r="R461" s="1191"/>
      <c r="S461" s="1191"/>
      <c r="T461" s="1191"/>
      <c r="U461" s="1191"/>
      <c r="V461" s="1192"/>
      <c r="W461" s="1191"/>
      <c r="X461" s="1191"/>
      <c r="Y461" s="1191"/>
      <c r="Z461" s="1191"/>
    </row>
    <row r="462" spans="1:26" ht="15.75" customHeight="1">
      <c r="A462" s="1191"/>
      <c r="B462" s="1191"/>
      <c r="C462" s="1191"/>
      <c r="D462" s="1191"/>
      <c r="E462" s="1191"/>
      <c r="F462" s="1191"/>
      <c r="G462" s="1191"/>
      <c r="H462" s="1191"/>
      <c r="I462" s="1191"/>
      <c r="J462" s="1191"/>
      <c r="K462" s="1191"/>
      <c r="L462" s="1191"/>
      <c r="M462" s="1191"/>
      <c r="N462" s="1191"/>
      <c r="O462" s="1191"/>
      <c r="P462" s="1191"/>
      <c r="Q462" s="1191"/>
      <c r="R462" s="1191"/>
      <c r="S462" s="1191"/>
      <c r="T462" s="1191"/>
      <c r="U462" s="1191"/>
      <c r="V462" s="1192"/>
      <c r="W462" s="1191"/>
      <c r="X462" s="1191"/>
      <c r="Y462" s="1191"/>
      <c r="Z462" s="1191"/>
    </row>
    <row r="463" spans="1:26" ht="15.75" customHeight="1">
      <c r="A463" s="1191"/>
      <c r="B463" s="1191"/>
      <c r="C463" s="1191"/>
      <c r="D463" s="1191"/>
      <c r="E463" s="1191"/>
      <c r="F463" s="1191"/>
      <c r="G463" s="1191"/>
      <c r="H463" s="1191"/>
      <c r="I463" s="1191"/>
      <c r="J463" s="1191"/>
      <c r="K463" s="1191"/>
      <c r="L463" s="1191"/>
      <c r="M463" s="1191"/>
      <c r="N463" s="1191"/>
      <c r="O463" s="1191"/>
      <c r="P463" s="1191"/>
      <c r="Q463" s="1191"/>
      <c r="R463" s="1191"/>
      <c r="S463" s="1191"/>
      <c r="T463" s="1191"/>
      <c r="U463" s="1191"/>
      <c r="V463" s="1192"/>
      <c r="W463" s="1191"/>
      <c r="X463" s="1191"/>
      <c r="Y463" s="1191"/>
      <c r="Z463" s="1191"/>
    </row>
    <row r="464" spans="1:26" ht="15.75" customHeight="1">
      <c r="A464" s="1191"/>
      <c r="B464" s="1191"/>
      <c r="C464" s="1191"/>
      <c r="D464" s="1191"/>
      <c r="E464" s="1191"/>
      <c r="F464" s="1191"/>
      <c r="G464" s="1191"/>
      <c r="H464" s="1191"/>
      <c r="I464" s="1191"/>
      <c r="J464" s="1191"/>
      <c r="K464" s="1191"/>
      <c r="L464" s="1191"/>
      <c r="M464" s="1191"/>
      <c r="N464" s="1191"/>
      <c r="O464" s="1191"/>
      <c r="P464" s="1191"/>
      <c r="Q464" s="1191"/>
      <c r="R464" s="1191"/>
      <c r="S464" s="1191"/>
      <c r="T464" s="1191"/>
      <c r="U464" s="1191"/>
      <c r="V464" s="1192"/>
      <c r="W464" s="1191"/>
      <c r="X464" s="1191"/>
      <c r="Y464" s="1191"/>
      <c r="Z464" s="1191"/>
    </row>
    <row r="465" spans="1:26" ht="15.75" customHeight="1">
      <c r="A465" s="1191"/>
      <c r="B465" s="1191"/>
      <c r="C465" s="1191"/>
      <c r="D465" s="1191"/>
      <c r="E465" s="1191"/>
      <c r="F465" s="1191"/>
      <c r="G465" s="1191"/>
      <c r="H465" s="1191"/>
      <c r="I465" s="1191"/>
      <c r="J465" s="1191"/>
      <c r="K465" s="1191"/>
      <c r="L465" s="1191"/>
      <c r="M465" s="1191"/>
      <c r="N465" s="1191"/>
      <c r="O465" s="1191"/>
      <c r="P465" s="1191"/>
      <c r="Q465" s="1191"/>
      <c r="R465" s="1191"/>
      <c r="S465" s="1191"/>
      <c r="T465" s="1191"/>
      <c r="U465" s="1191"/>
      <c r="V465" s="1192"/>
      <c r="W465" s="1191"/>
      <c r="X465" s="1191"/>
      <c r="Y465" s="1191"/>
      <c r="Z465" s="1191"/>
    </row>
    <row r="466" spans="1:26" ht="15.75" customHeight="1">
      <c r="A466" s="1191"/>
      <c r="B466" s="1191"/>
      <c r="C466" s="1191"/>
      <c r="D466" s="1191"/>
      <c r="E466" s="1191"/>
      <c r="F466" s="1191"/>
      <c r="G466" s="1191"/>
      <c r="H466" s="1191"/>
      <c r="I466" s="1191"/>
      <c r="J466" s="1191"/>
      <c r="K466" s="1191"/>
      <c r="L466" s="1191"/>
      <c r="M466" s="1191"/>
      <c r="N466" s="1191"/>
      <c r="O466" s="1191"/>
      <c r="P466" s="1191"/>
      <c r="Q466" s="1191"/>
      <c r="R466" s="1191"/>
      <c r="S466" s="1191"/>
      <c r="T466" s="1191"/>
      <c r="U466" s="1191"/>
      <c r="V466" s="1192"/>
      <c r="W466" s="1191"/>
      <c r="X466" s="1191"/>
      <c r="Y466" s="1191"/>
      <c r="Z466" s="1191"/>
    </row>
    <row r="467" spans="1:26" ht="15.75" customHeight="1">
      <c r="A467" s="1191"/>
      <c r="B467" s="1191"/>
      <c r="C467" s="1191"/>
      <c r="D467" s="1191"/>
      <c r="E467" s="1191"/>
      <c r="F467" s="1191"/>
      <c r="G467" s="1191"/>
      <c r="H467" s="1191"/>
      <c r="I467" s="1191"/>
      <c r="J467" s="1191"/>
      <c r="K467" s="1191"/>
      <c r="L467" s="1191"/>
      <c r="M467" s="1191"/>
      <c r="N467" s="1191"/>
      <c r="O467" s="1191"/>
      <c r="P467" s="1191"/>
      <c r="Q467" s="1191"/>
      <c r="R467" s="1191"/>
      <c r="S467" s="1191"/>
      <c r="T467" s="1191"/>
      <c r="U467" s="1191"/>
      <c r="V467" s="1192"/>
      <c r="W467" s="1191"/>
      <c r="X467" s="1191"/>
      <c r="Y467" s="1191"/>
      <c r="Z467" s="1191"/>
    </row>
    <row r="468" spans="1:26" ht="15.75" customHeight="1">
      <c r="A468" s="1191"/>
      <c r="B468" s="1191"/>
      <c r="C468" s="1191"/>
      <c r="D468" s="1191"/>
      <c r="E468" s="1191"/>
      <c r="F468" s="1191"/>
      <c r="G468" s="1191"/>
      <c r="H468" s="1191"/>
      <c r="I468" s="1191"/>
      <c r="J468" s="1191"/>
      <c r="K468" s="1191"/>
      <c r="L468" s="1191"/>
      <c r="M468" s="1191"/>
      <c r="N468" s="1191"/>
      <c r="O468" s="1191"/>
      <c r="P468" s="1191"/>
      <c r="Q468" s="1191"/>
      <c r="R468" s="1191"/>
      <c r="S468" s="1191"/>
      <c r="T468" s="1191"/>
      <c r="U468" s="1191"/>
      <c r="V468" s="1192"/>
      <c r="W468" s="1191"/>
      <c r="X468" s="1191"/>
      <c r="Y468" s="1191"/>
      <c r="Z468" s="1191"/>
    </row>
    <row r="469" spans="1:26" ht="15.75" customHeight="1">
      <c r="A469" s="1191"/>
      <c r="B469" s="1191"/>
      <c r="C469" s="1191"/>
      <c r="D469" s="1191"/>
      <c r="E469" s="1191"/>
      <c r="F469" s="1191"/>
      <c r="G469" s="1191"/>
      <c r="H469" s="1191"/>
      <c r="I469" s="1191"/>
      <c r="J469" s="1191"/>
      <c r="K469" s="1191"/>
      <c r="L469" s="1191"/>
      <c r="M469" s="1191"/>
      <c r="N469" s="1191"/>
      <c r="O469" s="1191"/>
      <c r="P469" s="1191"/>
      <c r="Q469" s="1191"/>
      <c r="R469" s="1191"/>
      <c r="S469" s="1191"/>
      <c r="T469" s="1191"/>
      <c r="U469" s="1191"/>
      <c r="V469" s="1192"/>
      <c r="W469" s="1191"/>
      <c r="X469" s="1191"/>
      <c r="Y469" s="1191"/>
      <c r="Z469" s="1191"/>
    </row>
    <row r="470" spans="1:26" ht="15.75" customHeight="1">
      <c r="A470" s="1191"/>
      <c r="B470" s="1191"/>
      <c r="C470" s="1191"/>
      <c r="D470" s="1191"/>
      <c r="E470" s="1191"/>
      <c r="F470" s="1191"/>
      <c r="G470" s="1191"/>
      <c r="H470" s="1191"/>
      <c r="I470" s="1191"/>
      <c r="J470" s="1191"/>
      <c r="K470" s="1191"/>
      <c r="L470" s="1191"/>
      <c r="M470" s="1191"/>
      <c r="N470" s="1191"/>
      <c r="O470" s="1191"/>
      <c r="P470" s="1191"/>
      <c r="Q470" s="1191"/>
      <c r="R470" s="1191"/>
      <c r="S470" s="1191"/>
      <c r="T470" s="1191"/>
      <c r="U470" s="1191"/>
      <c r="V470" s="1192"/>
      <c r="W470" s="1191"/>
      <c r="X470" s="1191"/>
      <c r="Y470" s="1191"/>
      <c r="Z470" s="1191"/>
    </row>
    <row r="471" spans="1:26" ht="15.75" customHeight="1">
      <c r="A471" s="1191"/>
      <c r="B471" s="1191"/>
      <c r="C471" s="1191"/>
      <c r="D471" s="1191"/>
      <c r="E471" s="1191"/>
      <c r="F471" s="1191"/>
      <c r="G471" s="1191"/>
      <c r="H471" s="1191"/>
      <c r="I471" s="1191"/>
      <c r="J471" s="1191"/>
      <c r="K471" s="1191"/>
      <c r="L471" s="1191"/>
      <c r="M471" s="1191"/>
      <c r="N471" s="1191"/>
      <c r="O471" s="1191"/>
      <c r="P471" s="1191"/>
      <c r="Q471" s="1191"/>
      <c r="R471" s="1191"/>
      <c r="S471" s="1191"/>
      <c r="T471" s="1191"/>
      <c r="U471" s="1191"/>
      <c r="V471" s="1192"/>
      <c r="W471" s="1191"/>
      <c r="X471" s="1191"/>
      <c r="Y471" s="1191"/>
      <c r="Z471" s="1191"/>
    </row>
    <row r="472" spans="1:26" ht="15.75" customHeight="1">
      <c r="A472" s="1191"/>
      <c r="B472" s="1191"/>
      <c r="C472" s="1191"/>
      <c r="D472" s="1191"/>
      <c r="E472" s="1191"/>
      <c r="F472" s="1191"/>
      <c r="G472" s="1191"/>
      <c r="H472" s="1191"/>
      <c r="I472" s="1191"/>
      <c r="J472" s="1191"/>
      <c r="K472" s="1191"/>
      <c r="L472" s="1191"/>
      <c r="M472" s="1191"/>
      <c r="N472" s="1191"/>
      <c r="O472" s="1191"/>
      <c r="P472" s="1191"/>
      <c r="Q472" s="1191"/>
      <c r="R472" s="1191"/>
      <c r="S472" s="1191"/>
      <c r="T472" s="1191"/>
      <c r="U472" s="1191"/>
      <c r="V472" s="1192"/>
      <c r="W472" s="1191"/>
      <c r="X472" s="1191"/>
      <c r="Y472" s="1191"/>
      <c r="Z472" s="1191"/>
    </row>
    <row r="473" spans="1:26" ht="15.75" customHeight="1">
      <c r="A473" s="1191"/>
      <c r="B473" s="1191"/>
      <c r="C473" s="1191"/>
      <c r="D473" s="1191"/>
      <c r="E473" s="1191"/>
      <c r="F473" s="1191"/>
      <c r="G473" s="1191"/>
      <c r="H473" s="1191"/>
      <c r="I473" s="1191"/>
      <c r="J473" s="1191"/>
      <c r="K473" s="1191"/>
      <c r="L473" s="1191"/>
      <c r="M473" s="1191"/>
      <c r="N473" s="1191"/>
      <c r="O473" s="1191"/>
      <c r="P473" s="1191"/>
      <c r="Q473" s="1191"/>
      <c r="R473" s="1191"/>
      <c r="S473" s="1191"/>
      <c r="T473" s="1191"/>
      <c r="U473" s="1191"/>
      <c r="V473" s="1192"/>
      <c r="W473" s="1191"/>
      <c r="X473" s="1191"/>
      <c r="Y473" s="1191"/>
      <c r="Z473" s="1191"/>
    </row>
    <row r="474" spans="1:26" ht="15.75" customHeight="1">
      <c r="A474" s="1191"/>
      <c r="B474" s="1191"/>
      <c r="C474" s="1191"/>
      <c r="D474" s="1191"/>
      <c r="E474" s="1191"/>
      <c r="F474" s="1191"/>
      <c r="G474" s="1191"/>
      <c r="H474" s="1191"/>
      <c r="I474" s="1191"/>
      <c r="J474" s="1191"/>
      <c r="K474" s="1191"/>
      <c r="L474" s="1191"/>
      <c r="M474" s="1191"/>
      <c r="N474" s="1191"/>
      <c r="O474" s="1191"/>
      <c r="P474" s="1191"/>
      <c r="Q474" s="1191"/>
      <c r="R474" s="1191"/>
      <c r="S474" s="1191"/>
      <c r="T474" s="1191"/>
      <c r="U474" s="1191"/>
      <c r="V474" s="1192"/>
      <c r="W474" s="1191"/>
      <c r="X474" s="1191"/>
      <c r="Y474" s="1191"/>
      <c r="Z474" s="1191"/>
    </row>
    <row r="475" spans="1:26" ht="15.75" customHeight="1">
      <c r="A475" s="1191"/>
      <c r="B475" s="1191"/>
      <c r="C475" s="1191"/>
      <c r="D475" s="1191"/>
      <c r="E475" s="1191"/>
      <c r="F475" s="1191"/>
      <c r="G475" s="1191"/>
      <c r="H475" s="1191"/>
      <c r="I475" s="1191"/>
      <c r="J475" s="1191"/>
      <c r="K475" s="1191"/>
      <c r="L475" s="1191"/>
      <c r="M475" s="1191"/>
      <c r="N475" s="1191"/>
      <c r="O475" s="1191"/>
      <c r="P475" s="1191"/>
      <c r="Q475" s="1191"/>
      <c r="R475" s="1191"/>
      <c r="S475" s="1191"/>
      <c r="T475" s="1191"/>
      <c r="U475" s="1191"/>
      <c r="V475" s="1192"/>
      <c r="W475" s="1191"/>
      <c r="X475" s="1191"/>
      <c r="Y475" s="1191"/>
      <c r="Z475" s="1191"/>
    </row>
    <row r="476" spans="1:26" ht="15.75" customHeight="1">
      <c r="A476" s="1191"/>
      <c r="B476" s="1191"/>
      <c r="C476" s="1191"/>
      <c r="D476" s="1191"/>
      <c r="E476" s="1191"/>
      <c r="F476" s="1191"/>
      <c r="G476" s="1191"/>
      <c r="H476" s="1191"/>
      <c r="I476" s="1191"/>
      <c r="J476" s="1191"/>
      <c r="K476" s="1191"/>
      <c r="L476" s="1191"/>
      <c r="M476" s="1191"/>
      <c r="N476" s="1191"/>
      <c r="O476" s="1191"/>
      <c r="P476" s="1191"/>
      <c r="Q476" s="1191"/>
      <c r="R476" s="1191"/>
      <c r="S476" s="1191"/>
      <c r="T476" s="1191"/>
      <c r="U476" s="1191"/>
      <c r="V476" s="1192"/>
      <c r="W476" s="1191"/>
      <c r="X476" s="1191"/>
      <c r="Y476" s="1191"/>
      <c r="Z476" s="1191"/>
    </row>
    <row r="477" spans="1:26" ht="15.75" customHeight="1">
      <c r="A477" s="1191"/>
      <c r="B477" s="1191"/>
      <c r="C477" s="1191"/>
      <c r="D477" s="1191"/>
      <c r="E477" s="1191"/>
      <c r="F477" s="1191"/>
      <c r="G477" s="1191"/>
      <c r="H477" s="1191"/>
      <c r="I477" s="1191"/>
      <c r="J477" s="1191"/>
      <c r="K477" s="1191"/>
      <c r="L477" s="1191"/>
      <c r="M477" s="1191"/>
      <c r="N477" s="1191"/>
      <c r="O477" s="1191"/>
      <c r="P477" s="1191"/>
      <c r="Q477" s="1191"/>
      <c r="R477" s="1191"/>
      <c r="S477" s="1191"/>
      <c r="T477" s="1191"/>
      <c r="U477" s="1191"/>
      <c r="V477" s="1192"/>
      <c r="W477" s="1191"/>
      <c r="X477" s="1191"/>
      <c r="Y477" s="1191"/>
      <c r="Z477" s="1191"/>
    </row>
    <row r="478" spans="1:26" ht="15.75" customHeight="1">
      <c r="A478" s="1191"/>
      <c r="B478" s="1191"/>
      <c r="C478" s="1191"/>
      <c r="D478" s="1191"/>
      <c r="E478" s="1191"/>
      <c r="F478" s="1191"/>
      <c r="G478" s="1191"/>
      <c r="H478" s="1191"/>
      <c r="I478" s="1191"/>
      <c r="J478" s="1191"/>
      <c r="K478" s="1191"/>
      <c r="L478" s="1191"/>
      <c r="M478" s="1191"/>
      <c r="N478" s="1191"/>
      <c r="O478" s="1191"/>
      <c r="P478" s="1191"/>
      <c r="Q478" s="1191"/>
      <c r="R478" s="1191"/>
      <c r="S478" s="1191"/>
      <c r="T478" s="1191"/>
      <c r="U478" s="1191"/>
      <c r="V478" s="1192"/>
      <c r="W478" s="1191"/>
      <c r="X478" s="1191"/>
      <c r="Y478" s="1191"/>
      <c r="Z478" s="1191"/>
    </row>
    <row r="479" spans="1:26" ht="15.75" customHeight="1">
      <c r="A479" s="1191"/>
      <c r="B479" s="1191"/>
      <c r="C479" s="1191"/>
      <c r="D479" s="1191"/>
      <c r="E479" s="1191"/>
      <c r="F479" s="1191"/>
      <c r="G479" s="1191"/>
      <c r="H479" s="1191"/>
      <c r="I479" s="1191"/>
      <c r="J479" s="1191"/>
      <c r="K479" s="1191"/>
      <c r="L479" s="1191"/>
      <c r="M479" s="1191"/>
      <c r="N479" s="1191"/>
      <c r="O479" s="1191"/>
      <c r="P479" s="1191"/>
      <c r="Q479" s="1191"/>
      <c r="R479" s="1191"/>
      <c r="S479" s="1191"/>
      <c r="T479" s="1191"/>
      <c r="U479" s="1191"/>
      <c r="V479" s="1192"/>
      <c r="W479" s="1191"/>
      <c r="X479" s="1191"/>
      <c r="Y479" s="1191"/>
      <c r="Z479" s="1191"/>
    </row>
    <row r="480" spans="1:26" ht="15.75" customHeight="1">
      <c r="A480" s="1191"/>
      <c r="B480" s="1191"/>
      <c r="C480" s="1191"/>
      <c r="D480" s="1191"/>
      <c r="E480" s="1191"/>
      <c r="F480" s="1191"/>
      <c r="G480" s="1191"/>
      <c r="H480" s="1191"/>
      <c r="I480" s="1191"/>
      <c r="J480" s="1191"/>
      <c r="K480" s="1191"/>
      <c r="L480" s="1191"/>
      <c r="M480" s="1191"/>
      <c r="N480" s="1191"/>
      <c r="O480" s="1191"/>
      <c r="P480" s="1191"/>
      <c r="Q480" s="1191"/>
      <c r="R480" s="1191"/>
      <c r="S480" s="1191"/>
      <c r="T480" s="1191"/>
      <c r="U480" s="1191"/>
      <c r="V480" s="1192"/>
      <c r="W480" s="1191"/>
      <c r="X480" s="1191"/>
      <c r="Y480" s="1191"/>
      <c r="Z480" s="1191"/>
    </row>
    <row r="481" spans="1:26" ht="15.75" customHeight="1">
      <c r="A481" s="1191"/>
      <c r="B481" s="1191"/>
      <c r="C481" s="1191"/>
      <c r="D481" s="1191"/>
      <c r="E481" s="1191"/>
      <c r="F481" s="1191"/>
      <c r="G481" s="1191"/>
      <c r="H481" s="1191"/>
      <c r="I481" s="1191"/>
      <c r="J481" s="1191"/>
      <c r="K481" s="1191"/>
      <c r="L481" s="1191"/>
      <c r="M481" s="1191"/>
      <c r="N481" s="1191"/>
      <c r="O481" s="1191"/>
      <c r="P481" s="1191"/>
      <c r="Q481" s="1191"/>
      <c r="R481" s="1191"/>
      <c r="S481" s="1191"/>
      <c r="T481" s="1191"/>
      <c r="U481" s="1191"/>
      <c r="V481" s="1192"/>
      <c r="W481" s="1191"/>
      <c r="X481" s="1191"/>
      <c r="Y481" s="1191"/>
      <c r="Z481" s="1191"/>
    </row>
    <row r="482" spans="1:26" ht="15.75" customHeight="1">
      <c r="A482" s="1191"/>
      <c r="B482" s="1191"/>
      <c r="C482" s="1191"/>
      <c r="D482" s="1191"/>
      <c r="E482" s="1191"/>
      <c r="F482" s="1191"/>
      <c r="G482" s="1191"/>
      <c r="H482" s="1191"/>
      <c r="I482" s="1191"/>
      <c r="J482" s="1191"/>
      <c r="K482" s="1191"/>
      <c r="L482" s="1191"/>
      <c r="M482" s="1191"/>
      <c r="N482" s="1191"/>
      <c r="O482" s="1191"/>
      <c r="P482" s="1191"/>
      <c r="Q482" s="1191"/>
      <c r="R482" s="1191"/>
      <c r="S482" s="1191"/>
      <c r="T482" s="1191"/>
      <c r="U482" s="1191"/>
      <c r="V482" s="1192"/>
      <c r="W482" s="1191"/>
      <c r="X482" s="1191"/>
      <c r="Y482" s="1191"/>
      <c r="Z482" s="1191"/>
    </row>
    <row r="483" spans="1:26" ht="15.75" customHeight="1">
      <c r="A483" s="1191"/>
      <c r="B483" s="1191"/>
      <c r="C483" s="1191"/>
      <c r="D483" s="1191"/>
      <c r="E483" s="1191"/>
      <c r="F483" s="1191"/>
      <c r="G483" s="1191"/>
      <c r="H483" s="1191"/>
      <c r="I483" s="1191"/>
      <c r="J483" s="1191"/>
      <c r="K483" s="1191"/>
      <c r="L483" s="1191"/>
      <c r="M483" s="1191"/>
      <c r="N483" s="1191"/>
      <c r="O483" s="1191"/>
      <c r="P483" s="1191"/>
      <c r="Q483" s="1191"/>
      <c r="R483" s="1191"/>
      <c r="S483" s="1191"/>
      <c r="T483" s="1191"/>
      <c r="U483" s="1191"/>
      <c r="V483" s="1192"/>
      <c r="W483" s="1191"/>
      <c r="X483" s="1191"/>
      <c r="Y483" s="1191"/>
      <c r="Z483" s="1191"/>
    </row>
    <row r="484" spans="1:26" ht="15.75" customHeight="1">
      <c r="A484" s="1191"/>
      <c r="B484" s="1191"/>
      <c r="C484" s="1191"/>
      <c r="D484" s="1191"/>
      <c r="E484" s="1191"/>
      <c r="F484" s="1191"/>
      <c r="G484" s="1191"/>
      <c r="H484" s="1191"/>
      <c r="I484" s="1191"/>
      <c r="J484" s="1191"/>
      <c r="K484" s="1191"/>
      <c r="L484" s="1191"/>
      <c r="M484" s="1191"/>
      <c r="N484" s="1191"/>
      <c r="O484" s="1191"/>
      <c r="P484" s="1191"/>
      <c r="Q484" s="1191"/>
      <c r="R484" s="1191"/>
      <c r="S484" s="1191"/>
      <c r="T484" s="1191"/>
      <c r="U484" s="1191"/>
      <c r="V484" s="1192"/>
      <c r="W484" s="1191"/>
      <c r="X484" s="1191"/>
      <c r="Y484" s="1191"/>
      <c r="Z484" s="1191"/>
    </row>
    <row r="485" spans="1:26" ht="15.75" customHeight="1">
      <c r="A485" s="1191"/>
      <c r="B485" s="1191"/>
      <c r="C485" s="1191"/>
      <c r="D485" s="1191"/>
      <c r="E485" s="1191"/>
      <c r="F485" s="1191"/>
      <c r="G485" s="1191"/>
      <c r="H485" s="1191"/>
      <c r="I485" s="1191"/>
      <c r="J485" s="1191"/>
      <c r="K485" s="1191"/>
      <c r="L485" s="1191"/>
      <c r="M485" s="1191"/>
      <c r="N485" s="1191"/>
      <c r="O485" s="1191"/>
      <c r="P485" s="1191"/>
      <c r="Q485" s="1191"/>
      <c r="R485" s="1191"/>
      <c r="S485" s="1191"/>
      <c r="T485" s="1191"/>
      <c r="U485" s="1191"/>
      <c r="V485" s="1192"/>
      <c r="W485" s="1191"/>
      <c r="X485" s="1191"/>
      <c r="Y485" s="1191"/>
      <c r="Z485" s="1191"/>
    </row>
    <row r="486" spans="1:26" ht="15.75" customHeight="1">
      <c r="A486" s="1191"/>
      <c r="B486" s="1191"/>
      <c r="C486" s="1191"/>
      <c r="D486" s="1191"/>
      <c r="E486" s="1191"/>
      <c r="F486" s="1191"/>
      <c r="G486" s="1191"/>
      <c r="H486" s="1191"/>
      <c r="I486" s="1191"/>
      <c r="J486" s="1191"/>
      <c r="K486" s="1191"/>
      <c r="L486" s="1191"/>
      <c r="M486" s="1191"/>
      <c r="N486" s="1191"/>
      <c r="O486" s="1191"/>
      <c r="P486" s="1191"/>
      <c r="Q486" s="1191"/>
      <c r="R486" s="1191"/>
      <c r="S486" s="1191"/>
      <c r="T486" s="1191"/>
      <c r="U486" s="1191"/>
      <c r="V486" s="1192"/>
      <c r="W486" s="1191"/>
      <c r="X486" s="1191"/>
      <c r="Y486" s="1191"/>
      <c r="Z486" s="1191"/>
    </row>
    <row r="487" spans="1:26" ht="15.75" customHeight="1">
      <c r="A487" s="1191"/>
      <c r="B487" s="1191"/>
      <c r="C487" s="1191"/>
      <c r="D487" s="1191"/>
      <c r="E487" s="1191"/>
      <c r="F487" s="1191"/>
      <c r="G487" s="1191"/>
      <c r="H487" s="1191"/>
      <c r="I487" s="1191"/>
      <c r="J487" s="1191"/>
      <c r="K487" s="1191"/>
      <c r="L487" s="1191"/>
      <c r="M487" s="1191"/>
      <c r="N487" s="1191"/>
      <c r="O487" s="1191"/>
      <c r="P487" s="1191"/>
      <c r="Q487" s="1191"/>
      <c r="R487" s="1191"/>
      <c r="S487" s="1191"/>
      <c r="T487" s="1191"/>
      <c r="U487" s="1191"/>
      <c r="V487" s="1192"/>
      <c r="W487" s="1191"/>
      <c r="X487" s="1191"/>
      <c r="Y487" s="1191"/>
      <c r="Z487" s="1191"/>
    </row>
    <row r="488" spans="1:26" ht="15.75" customHeight="1">
      <c r="A488" s="1191"/>
      <c r="B488" s="1191"/>
      <c r="C488" s="1191"/>
      <c r="D488" s="1191"/>
      <c r="E488" s="1191"/>
      <c r="F488" s="1191"/>
      <c r="G488" s="1191"/>
      <c r="H488" s="1191"/>
      <c r="I488" s="1191"/>
      <c r="J488" s="1191"/>
      <c r="K488" s="1191"/>
      <c r="L488" s="1191"/>
      <c r="M488" s="1191"/>
      <c r="N488" s="1191"/>
      <c r="O488" s="1191"/>
      <c r="P488" s="1191"/>
      <c r="Q488" s="1191"/>
      <c r="R488" s="1191"/>
      <c r="S488" s="1191"/>
      <c r="T488" s="1191"/>
      <c r="U488" s="1191"/>
      <c r="V488" s="1192"/>
      <c r="W488" s="1191"/>
      <c r="X488" s="1191"/>
      <c r="Y488" s="1191"/>
      <c r="Z488" s="1191"/>
    </row>
    <row r="489" spans="1:26" ht="15.75" customHeight="1">
      <c r="A489" s="1191"/>
      <c r="B489" s="1191"/>
      <c r="C489" s="1191"/>
      <c r="D489" s="1191"/>
      <c r="E489" s="1191"/>
      <c r="F489" s="1191"/>
      <c r="G489" s="1191"/>
      <c r="H489" s="1191"/>
      <c r="I489" s="1191"/>
      <c r="J489" s="1191"/>
      <c r="K489" s="1191"/>
      <c r="L489" s="1191"/>
      <c r="M489" s="1191"/>
      <c r="N489" s="1191"/>
      <c r="O489" s="1191"/>
      <c r="P489" s="1191"/>
      <c r="Q489" s="1191"/>
      <c r="R489" s="1191"/>
      <c r="S489" s="1191"/>
      <c r="T489" s="1191"/>
      <c r="U489" s="1191"/>
      <c r="V489" s="1192"/>
      <c r="W489" s="1191"/>
      <c r="X489" s="1191"/>
      <c r="Y489" s="1191"/>
      <c r="Z489" s="1191"/>
    </row>
    <row r="490" spans="1:26" ht="15.75" customHeight="1">
      <c r="A490" s="1191"/>
      <c r="B490" s="1191"/>
      <c r="C490" s="1191"/>
      <c r="D490" s="1191"/>
      <c r="E490" s="1191"/>
      <c r="F490" s="1191"/>
      <c r="G490" s="1191"/>
      <c r="H490" s="1191"/>
      <c r="I490" s="1191"/>
      <c r="J490" s="1191"/>
      <c r="K490" s="1191"/>
      <c r="L490" s="1191"/>
      <c r="M490" s="1191"/>
      <c r="N490" s="1191"/>
      <c r="O490" s="1191"/>
      <c r="P490" s="1191"/>
      <c r="Q490" s="1191"/>
      <c r="R490" s="1191"/>
      <c r="S490" s="1191"/>
      <c r="T490" s="1191"/>
      <c r="U490" s="1191"/>
      <c r="V490" s="1192"/>
      <c r="W490" s="1191"/>
      <c r="X490" s="1191"/>
      <c r="Y490" s="1191"/>
      <c r="Z490" s="1191"/>
    </row>
    <row r="491" spans="1:26" ht="15.75" customHeight="1">
      <c r="A491" s="1191"/>
      <c r="B491" s="1191"/>
      <c r="C491" s="1191"/>
      <c r="D491" s="1191"/>
      <c r="E491" s="1191"/>
      <c r="F491" s="1191"/>
      <c r="G491" s="1191"/>
      <c r="H491" s="1191"/>
      <c r="I491" s="1191"/>
      <c r="J491" s="1191"/>
      <c r="K491" s="1191"/>
      <c r="L491" s="1191"/>
      <c r="M491" s="1191"/>
      <c r="N491" s="1191"/>
      <c r="O491" s="1191"/>
      <c r="P491" s="1191"/>
      <c r="Q491" s="1191"/>
      <c r="R491" s="1191"/>
      <c r="S491" s="1191"/>
      <c r="T491" s="1191"/>
      <c r="U491" s="1191"/>
      <c r="V491" s="1192"/>
      <c r="W491" s="1191"/>
      <c r="X491" s="1191"/>
      <c r="Y491" s="1191"/>
      <c r="Z491" s="1191"/>
    </row>
    <row r="492" spans="1:26" ht="15.75" customHeight="1">
      <c r="A492" s="1191"/>
      <c r="B492" s="1191"/>
      <c r="C492" s="1191"/>
      <c r="D492" s="1191"/>
      <c r="E492" s="1191"/>
      <c r="F492" s="1191"/>
      <c r="G492" s="1191"/>
      <c r="H492" s="1191"/>
      <c r="I492" s="1191"/>
      <c r="J492" s="1191"/>
      <c r="K492" s="1191"/>
      <c r="L492" s="1191"/>
      <c r="M492" s="1191"/>
      <c r="N492" s="1191"/>
      <c r="O492" s="1191"/>
      <c r="P492" s="1191"/>
      <c r="Q492" s="1191"/>
      <c r="R492" s="1191"/>
      <c r="S492" s="1191"/>
      <c r="T492" s="1191"/>
      <c r="U492" s="1191"/>
      <c r="V492" s="1192"/>
      <c r="W492" s="1191"/>
      <c r="X492" s="1191"/>
      <c r="Y492" s="1191"/>
      <c r="Z492" s="1191"/>
    </row>
    <row r="493" spans="1:26" ht="15.75" customHeight="1">
      <c r="A493" s="1191"/>
      <c r="B493" s="1191"/>
      <c r="C493" s="1191"/>
      <c r="D493" s="1191"/>
      <c r="E493" s="1191"/>
      <c r="F493" s="1191"/>
      <c r="G493" s="1191"/>
      <c r="H493" s="1191"/>
      <c r="I493" s="1191"/>
      <c r="J493" s="1191"/>
      <c r="K493" s="1191"/>
      <c r="L493" s="1191"/>
      <c r="M493" s="1191"/>
      <c r="N493" s="1191"/>
      <c r="O493" s="1191"/>
      <c r="P493" s="1191"/>
      <c r="Q493" s="1191"/>
      <c r="R493" s="1191"/>
      <c r="S493" s="1191"/>
      <c r="T493" s="1191"/>
      <c r="U493" s="1191"/>
      <c r="V493" s="1192"/>
      <c r="W493" s="1191"/>
      <c r="X493" s="1191"/>
      <c r="Y493" s="1191"/>
      <c r="Z493" s="1191"/>
    </row>
    <row r="494" spans="1:26" ht="15.75" customHeight="1">
      <c r="A494" s="1191"/>
      <c r="B494" s="1191"/>
      <c r="C494" s="1191"/>
      <c r="D494" s="1191"/>
      <c r="E494" s="1191"/>
      <c r="F494" s="1191"/>
      <c r="G494" s="1191"/>
      <c r="H494" s="1191"/>
      <c r="I494" s="1191"/>
      <c r="J494" s="1191"/>
      <c r="K494" s="1191"/>
      <c r="L494" s="1191"/>
      <c r="M494" s="1191"/>
      <c r="N494" s="1191"/>
      <c r="O494" s="1191"/>
      <c r="P494" s="1191"/>
      <c r="Q494" s="1191"/>
      <c r="R494" s="1191"/>
      <c r="S494" s="1191"/>
      <c r="T494" s="1191"/>
      <c r="U494" s="1191"/>
      <c r="V494" s="1192"/>
      <c r="W494" s="1191"/>
      <c r="X494" s="1191"/>
      <c r="Y494" s="1191"/>
      <c r="Z494" s="1191"/>
    </row>
    <row r="495" spans="1:26" ht="15.75" customHeight="1">
      <c r="A495" s="1191"/>
      <c r="B495" s="1191"/>
      <c r="C495" s="1191"/>
      <c r="D495" s="1191"/>
      <c r="E495" s="1191"/>
      <c r="F495" s="1191"/>
      <c r="G495" s="1191"/>
      <c r="H495" s="1191"/>
      <c r="I495" s="1191"/>
      <c r="J495" s="1191"/>
      <c r="K495" s="1191"/>
      <c r="L495" s="1191"/>
      <c r="M495" s="1191"/>
      <c r="N495" s="1191"/>
      <c r="O495" s="1191"/>
      <c r="P495" s="1191"/>
      <c r="Q495" s="1191"/>
      <c r="R495" s="1191"/>
      <c r="S495" s="1191"/>
      <c r="T495" s="1191"/>
      <c r="U495" s="1191"/>
      <c r="V495" s="1192"/>
      <c r="W495" s="1191"/>
      <c r="X495" s="1191"/>
      <c r="Y495" s="1191"/>
      <c r="Z495" s="1191"/>
    </row>
    <row r="496" spans="1:26" ht="15.75" customHeight="1">
      <c r="A496" s="1191"/>
      <c r="B496" s="1191"/>
      <c r="C496" s="1191"/>
      <c r="D496" s="1191"/>
      <c r="E496" s="1191"/>
      <c r="F496" s="1191"/>
      <c r="G496" s="1191"/>
      <c r="H496" s="1191"/>
      <c r="I496" s="1191"/>
      <c r="J496" s="1191"/>
      <c r="K496" s="1191"/>
      <c r="L496" s="1191"/>
      <c r="M496" s="1191"/>
      <c r="N496" s="1191"/>
      <c r="O496" s="1191"/>
      <c r="P496" s="1191"/>
      <c r="Q496" s="1191"/>
      <c r="R496" s="1191"/>
      <c r="S496" s="1191"/>
      <c r="T496" s="1191"/>
      <c r="U496" s="1191"/>
      <c r="V496" s="1192"/>
      <c r="W496" s="1191"/>
      <c r="X496" s="1191"/>
      <c r="Y496" s="1191"/>
      <c r="Z496" s="1191"/>
    </row>
    <row r="497" spans="1:26" ht="15.75" customHeight="1">
      <c r="A497" s="1191"/>
      <c r="B497" s="1191"/>
      <c r="C497" s="1191"/>
      <c r="D497" s="1191"/>
      <c r="E497" s="1191"/>
      <c r="F497" s="1191"/>
      <c r="G497" s="1191"/>
      <c r="H497" s="1191"/>
      <c r="I497" s="1191"/>
      <c r="J497" s="1191"/>
      <c r="K497" s="1191"/>
      <c r="L497" s="1191"/>
      <c r="M497" s="1191"/>
      <c r="N497" s="1191"/>
      <c r="O497" s="1191"/>
      <c r="P497" s="1191"/>
      <c r="Q497" s="1191"/>
      <c r="R497" s="1191"/>
      <c r="S497" s="1191"/>
      <c r="T497" s="1191"/>
      <c r="U497" s="1191"/>
      <c r="V497" s="1192"/>
      <c r="W497" s="1191"/>
      <c r="X497" s="1191"/>
      <c r="Y497" s="1191"/>
      <c r="Z497" s="1191"/>
    </row>
    <row r="498" spans="1:26" ht="15.75" customHeight="1">
      <c r="A498" s="1191"/>
      <c r="B498" s="1191"/>
      <c r="C498" s="1191"/>
      <c r="D498" s="1191"/>
      <c r="E498" s="1191"/>
      <c r="F498" s="1191"/>
      <c r="G498" s="1191"/>
      <c r="H498" s="1191"/>
      <c r="I498" s="1191"/>
      <c r="J498" s="1191"/>
      <c r="K498" s="1191"/>
      <c r="L498" s="1191"/>
      <c r="M498" s="1191"/>
      <c r="N498" s="1191"/>
      <c r="O498" s="1191"/>
      <c r="P498" s="1191"/>
      <c r="Q498" s="1191"/>
      <c r="R498" s="1191"/>
      <c r="S498" s="1191"/>
      <c r="T498" s="1191"/>
      <c r="U498" s="1191"/>
      <c r="V498" s="1192"/>
      <c r="W498" s="1191"/>
      <c r="X498" s="1191"/>
      <c r="Y498" s="1191"/>
      <c r="Z498" s="1191"/>
    </row>
    <row r="499" spans="1:26" ht="15.75" customHeight="1">
      <c r="A499" s="1191"/>
      <c r="B499" s="1191"/>
      <c r="C499" s="1191"/>
      <c r="D499" s="1191"/>
      <c r="E499" s="1191"/>
      <c r="F499" s="1191"/>
      <c r="G499" s="1191"/>
      <c r="H499" s="1191"/>
      <c r="I499" s="1191"/>
      <c r="J499" s="1191"/>
      <c r="K499" s="1191"/>
      <c r="L499" s="1191"/>
      <c r="M499" s="1191"/>
      <c r="N499" s="1191"/>
      <c r="O499" s="1191"/>
      <c r="P499" s="1191"/>
      <c r="Q499" s="1191"/>
      <c r="R499" s="1191"/>
      <c r="S499" s="1191"/>
      <c r="T499" s="1191"/>
      <c r="U499" s="1191"/>
      <c r="V499" s="1192"/>
      <c r="W499" s="1191"/>
      <c r="X499" s="1191"/>
      <c r="Y499" s="1191"/>
      <c r="Z499" s="1191"/>
    </row>
    <row r="500" spans="1:26" ht="15.75" customHeight="1">
      <c r="A500" s="1191"/>
      <c r="B500" s="1191"/>
      <c r="C500" s="1191"/>
      <c r="D500" s="1191"/>
      <c r="E500" s="1191"/>
      <c r="F500" s="1191"/>
      <c r="G500" s="1191"/>
      <c r="H500" s="1191"/>
      <c r="I500" s="1191"/>
      <c r="J500" s="1191"/>
      <c r="K500" s="1191"/>
      <c r="L500" s="1191"/>
      <c r="M500" s="1191"/>
      <c r="N500" s="1191"/>
      <c r="O500" s="1191"/>
      <c r="P500" s="1191"/>
      <c r="Q500" s="1191"/>
      <c r="R500" s="1191"/>
      <c r="S500" s="1191"/>
      <c r="T500" s="1191"/>
      <c r="U500" s="1191"/>
      <c r="V500" s="1192"/>
      <c r="W500" s="1191"/>
      <c r="X500" s="1191"/>
      <c r="Y500" s="1191"/>
      <c r="Z500" s="1191"/>
    </row>
    <row r="501" spans="1:26" ht="15.75" customHeight="1">
      <c r="A501" s="1191"/>
      <c r="B501" s="1191"/>
      <c r="C501" s="1191"/>
      <c r="D501" s="1191"/>
      <c r="E501" s="1191"/>
      <c r="F501" s="1191"/>
      <c r="G501" s="1191"/>
      <c r="H501" s="1191"/>
      <c r="I501" s="1191"/>
      <c r="J501" s="1191"/>
      <c r="K501" s="1191"/>
      <c r="L501" s="1191"/>
      <c r="M501" s="1191"/>
      <c r="N501" s="1191"/>
      <c r="O501" s="1191"/>
      <c r="P501" s="1191"/>
      <c r="Q501" s="1191"/>
      <c r="R501" s="1191"/>
      <c r="S501" s="1191"/>
      <c r="T501" s="1191"/>
      <c r="U501" s="1191"/>
      <c r="V501" s="1192"/>
      <c r="W501" s="1191"/>
      <c r="X501" s="1191"/>
      <c r="Y501" s="1191"/>
      <c r="Z501" s="1191"/>
    </row>
    <row r="502" spans="1:26" ht="15.75" customHeight="1">
      <c r="A502" s="1191"/>
      <c r="B502" s="1191"/>
      <c r="C502" s="1191"/>
      <c r="D502" s="1191"/>
      <c r="E502" s="1191"/>
      <c r="F502" s="1191"/>
      <c r="G502" s="1191"/>
      <c r="H502" s="1191"/>
      <c r="I502" s="1191"/>
      <c r="J502" s="1191"/>
      <c r="K502" s="1191"/>
      <c r="L502" s="1191"/>
      <c r="M502" s="1191"/>
      <c r="N502" s="1191"/>
      <c r="O502" s="1191"/>
      <c r="P502" s="1191"/>
      <c r="Q502" s="1191"/>
      <c r="R502" s="1191"/>
      <c r="S502" s="1191"/>
      <c r="T502" s="1191"/>
      <c r="U502" s="1191"/>
      <c r="V502" s="1192"/>
      <c r="W502" s="1191"/>
      <c r="X502" s="1191"/>
      <c r="Y502" s="1191"/>
      <c r="Z502" s="1191"/>
    </row>
    <row r="503" spans="1:26" ht="15.75" customHeight="1">
      <c r="A503" s="1191"/>
      <c r="B503" s="1191"/>
      <c r="C503" s="1191"/>
      <c r="D503" s="1191"/>
      <c r="E503" s="1191"/>
      <c r="F503" s="1191"/>
      <c r="G503" s="1191"/>
      <c r="H503" s="1191"/>
      <c r="I503" s="1191"/>
      <c r="J503" s="1191"/>
      <c r="K503" s="1191"/>
      <c r="L503" s="1191"/>
      <c r="M503" s="1191"/>
      <c r="N503" s="1191"/>
      <c r="O503" s="1191"/>
      <c r="P503" s="1191"/>
      <c r="Q503" s="1191"/>
      <c r="R503" s="1191"/>
      <c r="S503" s="1191"/>
      <c r="T503" s="1191"/>
      <c r="U503" s="1191"/>
      <c r="V503" s="1192"/>
      <c r="W503" s="1191"/>
      <c r="X503" s="1191"/>
      <c r="Y503" s="1191"/>
      <c r="Z503" s="1191"/>
    </row>
    <row r="504" spans="1:26" ht="15.75" customHeight="1">
      <c r="A504" s="1191"/>
      <c r="B504" s="1191"/>
      <c r="C504" s="1191"/>
      <c r="D504" s="1191"/>
      <c r="E504" s="1191"/>
      <c r="F504" s="1191"/>
      <c r="G504" s="1191"/>
      <c r="H504" s="1191"/>
      <c r="I504" s="1191"/>
      <c r="J504" s="1191"/>
      <c r="K504" s="1191"/>
      <c r="L504" s="1191"/>
      <c r="M504" s="1191"/>
      <c r="N504" s="1191"/>
      <c r="O504" s="1191"/>
      <c r="P504" s="1191"/>
      <c r="Q504" s="1191"/>
      <c r="R504" s="1191"/>
      <c r="S504" s="1191"/>
      <c r="T504" s="1191"/>
      <c r="U504" s="1191"/>
      <c r="V504" s="1192"/>
      <c r="W504" s="1191"/>
      <c r="X504" s="1191"/>
      <c r="Y504" s="1191"/>
      <c r="Z504" s="1191"/>
    </row>
    <row r="505" spans="1:26" ht="15.75" customHeight="1">
      <c r="A505" s="1191"/>
      <c r="B505" s="1191"/>
      <c r="C505" s="1191"/>
      <c r="D505" s="1191"/>
      <c r="E505" s="1191"/>
      <c r="F505" s="1191"/>
      <c r="G505" s="1191"/>
      <c r="H505" s="1191"/>
      <c r="I505" s="1191"/>
      <c r="J505" s="1191"/>
      <c r="K505" s="1191"/>
      <c r="L505" s="1191"/>
      <c r="M505" s="1191"/>
      <c r="N505" s="1191"/>
      <c r="O505" s="1191"/>
      <c r="P505" s="1191"/>
      <c r="Q505" s="1191"/>
      <c r="R505" s="1191"/>
      <c r="S505" s="1191"/>
      <c r="T505" s="1191"/>
      <c r="U505" s="1191"/>
      <c r="V505" s="1192"/>
      <c r="W505" s="1191"/>
      <c r="X505" s="1191"/>
      <c r="Y505" s="1191"/>
      <c r="Z505" s="1191"/>
    </row>
    <row r="506" spans="1:26" ht="15.75" customHeight="1">
      <c r="A506" s="1191"/>
      <c r="B506" s="1191"/>
      <c r="C506" s="1191"/>
      <c r="D506" s="1191"/>
      <c r="E506" s="1191"/>
      <c r="F506" s="1191"/>
      <c r="G506" s="1191"/>
      <c r="H506" s="1191"/>
      <c r="I506" s="1191"/>
      <c r="J506" s="1191"/>
      <c r="K506" s="1191"/>
      <c r="L506" s="1191"/>
      <c r="M506" s="1191"/>
      <c r="N506" s="1191"/>
      <c r="O506" s="1191"/>
      <c r="P506" s="1191"/>
      <c r="Q506" s="1191"/>
      <c r="R506" s="1191"/>
      <c r="S506" s="1191"/>
      <c r="T506" s="1191"/>
      <c r="U506" s="1191"/>
      <c r="V506" s="1192"/>
      <c r="W506" s="1191"/>
      <c r="X506" s="1191"/>
      <c r="Y506" s="1191"/>
      <c r="Z506" s="1191"/>
    </row>
    <row r="507" spans="1:26" ht="15.75" customHeight="1">
      <c r="A507" s="1191"/>
      <c r="B507" s="1191"/>
      <c r="C507" s="1191"/>
      <c r="D507" s="1191"/>
      <c r="E507" s="1191"/>
      <c r="F507" s="1191"/>
      <c r="G507" s="1191"/>
      <c r="H507" s="1191"/>
      <c r="I507" s="1191"/>
      <c r="J507" s="1191"/>
      <c r="K507" s="1191"/>
      <c r="L507" s="1191"/>
      <c r="M507" s="1191"/>
      <c r="N507" s="1191"/>
      <c r="O507" s="1191"/>
      <c r="P507" s="1191"/>
      <c r="Q507" s="1191"/>
      <c r="R507" s="1191"/>
      <c r="S507" s="1191"/>
      <c r="T507" s="1191"/>
      <c r="U507" s="1191"/>
      <c r="V507" s="1192"/>
      <c r="W507" s="1191"/>
      <c r="X507" s="1191"/>
      <c r="Y507" s="1191"/>
      <c r="Z507" s="1191"/>
    </row>
    <row r="508" spans="1:26" ht="15.75" customHeight="1">
      <c r="A508" s="1191"/>
      <c r="B508" s="1191"/>
      <c r="C508" s="1191"/>
      <c r="D508" s="1191"/>
      <c r="E508" s="1191"/>
      <c r="F508" s="1191"/>
      <c r="G508" s="1191"/>
      <c r="H508" s="1191"/>
      <c r="I508" s="1191"/>
      <c r="J508" s="1191"/>
      <c r="K508" s="1191"/>
      <c r="L508" s="1191"/>
      <c r="M508" s="1191"/>
      <c r="N508" s="1191"/>
      <c r="O508" s="1191"/>
      <c r="P508" s="1191"/>
      <c r="Q508" s="1191"/>
      <c r="R508" s="1191"/>
      <c r="S508" s="1191"/>
      <c r="T508" s="1191"/>
      <c r="U508" s="1191"/>
      <c r="V508" s="1192"/>
      <c r="W508" s="1191"/>
      <c r="X508" s="1191"/>
      <c r="Y508" s="1191"/>
      <c r="Z508" s="1191"/>
    </row>
    <row r="509" spans="1:26" ht="15.75" customHeight="1">
      <c r="A509" s="1191"/>
      <c r="B509" s="1191"/>
      <c r="C509" s="1191"/>
      <c r="D509" s="1191"/>
      <c r="E509" s="1191"/>
      <c r="F509" s="1191"/>
      <c r="G509" s="1191"/>
      <c r="H509" s="1191"/>
      <c r="I509" s="1191"/>
      <c r="J509" s="1191"/>
      <c r="K509" s="1191"/>
      <c r="L509" s="1191"/>
      <c r="M509" s="1191"/>
      <c r="N509" s="1191"/>
      <c r="O509" s="1191"/>
      <c r="P509" s="1191"/>
      <c r="Q509" s="1191"/>
      <c r="R509" s="1191"/>
      <c r="S509" s="1191"/>
      <c r="T509" s="1191"/>
      <c r="U509" s="1191"/>
      <c r="V509" s="1192"/>
      <c r="W509" s="1191"/>
      <c r="X509" s="1191"/>
      <c r="Y509" s="1191"/>
      <c r="Z509" s="1191"/>
    </row>
    <row r="510" spans="1:26" ht="15.75" customHeight="1">
      <c r="A510" s="1191"/>
      <c r="B510" s="1191"/>
      <c r="C510" s="1191"/>
      <c r="D510" s="1191"/>
      <c r="E510" s="1191"/>
      <c r="F510" s="1191"/>
      <c r="G510" s="1191"/>
      <c r="H510" s="1191"/>
      <c r="I510" s="1191"/>
      <c r="J510" s="1191"/>
      <c r="K510" s="1191"/>
      <c r="L510" s="1191"/>
      <c r="M510" s="1191"/>
      <c r="N510" s="1191"/>
      <c r="O510" s="1191"/>
      <c r="P510" s="1191"/>
      <c r="Q510" s="1191"/>
      <c r="R510" s="1191"/>
      <c r="S510" s="1191"/>
      <c r="T510" s="1191"/>
      <c r="U510" s="1191"/>
      <c r="V510" s="1192"/>
      <c r="W510" s="1191"/>
      <c r="X510" s="1191"/>
      <c r="Y510" s="1191"/>
      <c r="Z510" s="1191"/>
    </row>
    <row r="511" spans="1:26" ht="15.75" customHeight="1">
      <c r="A511" s="1191"/>
      <c r="B511" s="1191"/>
      <c r="C511" s="1191"/>
      <c r="D511" s="1191"/>
      <c r="E511" s="1191"/>
      <c r="F511" s="1191"/>
      <c r="G511" s="1191"/>
      <c r="H511" s="1191"/>
      <c r="I511" s="1191"/>
      <c r="J511" s="1191"/>
      <c r="K511" s="1191"/>
      <c r="L511" s="1191"/>
      <c r="M511" s="1191"/>
      <c r="N511" s="1191"/>
      <c r="O511" s="1191"/>
      <c r="P511" s="1191"/>
      <c r="Q511" s="1191"/>
      <c r="R511" s="1191"/>
      <c r="S511" s="1191"/>
      <c r="T511" s="1191"/>
      <c r="U511" s="1191"/>
      <c r="V511" s="1192"/>
      <c r="W511" s="1191"/>
      <c r="X511" s="1191"/>
      <c r="Y511" s="1191"/>
      <c r="Z511" s="1191"/>
    </row>
    <row r="512" spans="1:26" ht="15.75" customHeight="1">
      <c r="A512" s="1191"/>
      <c r="B512" s="1191"/>
      <c r="C512" s="1191"/>
      <c r="D512" s="1191"/>
      <c r="E512" s="1191"/>
      <c r="F512" s="1191"/>
      <c r="G512" s="1191"/>
      <c r="H512" s="1191"/>
      <c r="I512" s="1191"/>
      <c r="J512" s="1191"/>
      <c r="K512" s="1191"/>
      <c r="L512" s="1191"/>
      <c r="M512" s="1191"/>
      <c r="N512" s="1191"/>
      <c r="O512" s="1191"/>
      <c r="P512" s="1191"/>
      <c r="Q512" s="1191"/>
      <c r="R512" s="1191"/>
      <c r="S512" s="1191"/>
      <c r="T512" s="1191"/>
      <c r="U512" s="1191"/>
      <c r="V512" s="1192"/>
      <c r="W512" s="1191"/>
      <c r="X512" s="1191"/>
      <c r="Y512" s="1191"/>
      <c r="Z512" s="1191"/>
    </row>
    <row r="513" spans="1:26" ht="15.75" customHeight="1">
      <c r="A513" s="1191"/>
      <c r="B513" s="1191"/>
      <c r="C513" s="1191"/>
      <c r="D513" s="1191"/>
      <c r="E513" s="1191"/>
      <c r="F513" s="1191"/>
      <c r="G513" s="1191"/>
      <c r="H513" s="1191"/>
      <c r="I513" s="1191"/>
      <c r="J513" s="1191"/>
      <c r="K513" s="1191"/>
      <c r="L513" s="1191"/>
      <c r="M513" s="1191"/>
      <c r="N513" s="1191"/>
      <c r="O513" s="1191"/>
      <c r="P513" s="1191"/>
      <c r="Q513" s="1191"/>
      <c r="R513" s="1191"/>
      <c r="S513" s="1191"/>
      <c r="T513" s="1191"/>
      <c r="U513" s="1191"/>
      <c r="V513" s="1192"/>
      <c r="W513" s="1191"/>
      <c r="X513" s="1191"/>
      <c r="Y513" s="1191"/>
      <c r="Z513" s="1191"/>
    </row>
    <row r="514" spans="1:26" ht="15.75" customHeight="1">
      <c r="A514" s="1191"/>
      <c r="B514" s="1191"/>
      <c r="C514" s="1191"/>
      <c r="D514" s="1191"/>
      <c r="E514" s="1191"/>
      <c r="F514" s="1191"/>
      <c r="G514" s="1191"/>
      <c r="H514" s="1191"/>
      <c r="I514" s="1191"/>
      <c r="J514" s="1191"/>
      <c r="K514" s="1191"/>
      <c r="L514" s="1191"/>
      <c r="M514" s="1191"/>
      <c r="N514" s="1191"/>
      <c r="O514" s="1191"/>
      <c r="P514" s="1191"/>
      <c r="Q514" s="1191"/>
      <c r="R514" s="1191"/>
      <c r="S514" s="1191"/>
      <c r="T514" s="1191"/>
      <c r="U514" s="1191"/>
      <c r="V514" s="1192"/>
      <c r="W514" s="1191"/>
      <c r="X514" s="1191"/>
      <c r="Y514" s="1191"/>
      <c r="Z514" s="1191"/>
    </row>
    <row r="515" spans="1:26" ht="15.75" customHeight="1">
      <c r="A515" s="1191"/>
      <c r="B515" s="1191"/>
      <c r="C515" s="1191"/>
      <c r="D515" s="1191"/>
      <c r="E515" s="1191"/>
      <c r="F515" s="1191"/>
      <c r="G515" s="1191"/>
      <c r="H515" s="1191"/>
      <c r="I515" s="1191"/>
      <c r="J515" s="1191"/>
      <c r="K515" s="1191"/>
      <c r="L515" s="1191"/>
      <c r="M515" s="1191"/>
      <c r="N515" s="1191"/>
      <c r="O515" s="1191"/>
      <c r="P515" s="1191"/>
      <c r="Q515" s="1191"/>
      <c r="R515" s="1191"/>
      <c r="S515" s="1191"/>
      <c r="T515" s="1191"/>
      <c r="U515" s="1191"/>
      <c r="V515" s="1192"/>
      <c r="W515" s="1191"/>
      <c r="X515" s="1191"/>
      <c r="Y515" s="1191"/>
      <c r="Z515" s="1191"/>
    </row>
    <row r="516" spans="1:26" ht="15.75" customHeight="1">
      <c r="A516" s="1191"/>
      <c r="B516" s="1191"/>
      <c r="C516" s="1191"/>
      <c r="D516" s="1191"/>
      <c r="E516" s="1191"/>
      <c r="F516" s="1191"/>
      <c r="G516" s="1191"/>
      <c r="H516" s="1191"/>
      <c r="I516" s="1191"/>
      <c r="J516" s="1191"/>
      <c r="K516" s="1191"/>
      <c r="L516" s="1191"/>
      <c r="M516" s="1191"/>
      <c r="N516" s="1191"/>
      <c r="O516" s="1191"/>
      <c r="P516" s="1191"/>
      <c r="Q516" s="1191"/>
      <c r="R516" s="1191"/>
      <c r="S516" s="1191"/>
      <c r="T516" s="1191"/>
      <c r="U516" s="1191"/>
      <c r="V516" s="1192"/>
      <c r="W516" s="1191"/>
      <c r="X516" s="1191"/>
      <c r="Y516" s="1191"/>
      <c r="Z516" s="1191"/>
    </row>
    <row r="517" spans="1:26" ht="15.75" customHeight="1">
      <c r="A517" s="1191"/>
      <c r="B517" s="1191"/>
      <c r="C517" s="1191"/>
      <c r="D517" s="1191"/>
      <c r="E517" s="1191"/>
      <c r="F517" s="1191"/>
      <c r="G517" s="1191"/>
      <c r="H517" s="1191"/>
      <c r="I517" s="1191"/>
      <c r="J517" s="1191"/>
      <c r="K517" s="1191"/>
      <c r="L517" s="1191"/>
      <c r="M517" s="1191"/>
      <c r="N517" s="1191"/>
      <c r="O517" s="1191"/>
      <c r="P517" s="1191"/>
      <c r="Q517" s="1191"/>
      <c r="R517" s="1191"/>
      <c r="S517" s="1191"/>
      <c r="T517" s="1191"/>
      <c r="U517" s="1191"/>
      <c r="V517" s="1192"/>
      <c r="W517" s="1191"/>
      <c r="X517" s="1191"/>
      <c r="Y517" s="1191"/>
      <c r="Z517" s="1191"/>
    </row>
    <row r="518" spans="1:26" ht="15.75" customHeight="1">
      <c r="A518" s="1191"/>
      <c r="B518" s="1191"/>
      <c r="C518" s="1191"/>
      <c r="D518" s="1191"/>
      <c r="E518" s="1191"/>
      <c r="F518" s="1191"/>
      <c r="G518" s="1191"/>
      <c r="H518" s="1191"/>
      <c r="I518" s="1191"/>
      <c r="J518" s="1191"/>
      <c r="K518" s="1191"/>
      <c r="L518" s="1191"/>
      <c r="M518" s="1191"/>
      <c r="N518" s="1191"/>
      <c r="O518" s="1191"/>
      <c r="P518" s="1191"/>
      <c r="Q518" s="1191"/>
      <c r="R518" s="1191"/>
      <c r="S518" s="1191"/>
      <c r="T518" s="1191"/>
      <c r="U518" s="1191"/>
      <c r="V518" s="1192"/>
      <c r="W518" s="1191"/>
      <c r="X518" s="1191"/>
      <c r="Y518" s="1191"/>
      <c r="Z518" s="1191"/>
    </row>
    <row r="519" spans="1:26" ht="15.75" customHeight="1">
      <c r="A519" s="1191"/>
      <c r="B519" s="1191"/>
      <c r="C519" s="1191"/>
      <c r="D519" s="1191"/>
      <c r="E519" s="1191"/>
      <c r="F519" s="1191"/>
      <c r="G519" s="1191"/>
      <c r="H519" s="1191"/>
      <c r="I519" s="1191"/>
      <c r="J519" s="1191"/>
      <c r="K519" s="1191"/>
      <c r="L519" s="1191"/>
      <c r="M519" s="1191"/>
      <c r="N519" s="1191"/>
      <c r="O519" s="1191"/>
      <c r="P519" s="1191"/>
      <c r="Q519" s="1191"/>
      <c r="R519" s="1191"/>
      <c r="S519" s="1191"/>
      <c r="T519" s="1191"/>
      <c r="U519" s="1191"/>
      <c r="V519" s="1192"/>
      <c r="W519" s="1191"/>
      <c r="X519" s="1191"/>
      <c r="Y519" s="1191"/>
      <c r="Z519" s="1191"/>
    </row>
    <row r="520" spans="1:26" ht="15.75" customHeight="1">
      <c r="A520" s="1191"/>
      <c r="B520" s="1191"/>
      <c r="C520" s="1191"/>
      <c r="D520" s="1191"/>
      <c r="E520" s="1191"/>
      <c r="F520" s="1191"/>
      <c r="G520" s="1191"/>
      <c r="H520" s="1191"/>
      <c r="I520" s="1191"/>
      <c r="J520" s="1191"/>
      <c r="K520" s="1191"/>
      <c r="L520" s="1191"/>
      <c r="M520" s="1191"/>
      <c r="N520" s="1191"/>
      <c r="O520" s="1191"/>
      <c r="P520" s="1191"/>
      <c r="Q520" s="1191"/>
      <c r="R520" s="1191"/>
      <c r="S520" s="1191"/>
      <c r="T520" s="1191"/>
      <c r="U520" s="1191"/>
      <c r="V520" s="1192"/>
      <c r="W520" s="1191"/>
      <c r="X520" s="1191"/>
      <c r="Y520" s="1191"/>
      <c r="Z520" s="1191"/>
    </row>
    <row r="521" spans="1:26" ht="15.75" customHeight="1">
      <c r="A521" s="1191"/>
      <c r="B521" s="1191"/>
      <c r="C521" s="1191"/>
      <c r="D521" s="1191"/>
      <c r="E521" s="1191"/>
      <c r="F521" s="1191"/>
      <c r="G521" s="1191"/>
      <c r="H521" s="1191"/>
      <c r="I521" s="1191"/>
      <c r="J521" s="1191"/>
      <c r="K521" s="1191"/>
      <c r="L521" s="1191"/>
      <c r="M521" s="1191"/>
      <c r="N521" s="1191"/>
      <c r="O521" s="1191"/>
      <c r="P521" s="1191"/>
      <c r="Q521" s="1191"/>
      <c r="R521" s="1191"/>
      <c r="S521" s="1191"/>
      <c r="T521" s="1191"/>
      <c r="U521" s="1191"/>
      <c r="V521" s="1192"/>
      <c r="W521" s="1191"/>
      <c r="X521" s="1191"/>
      <c r="Y521" s="1191"/>
      <c r="Z521" s="1191"/>
    </row>
    <row r="522" spans="1:26" ht="15.75" customHeight="1">
      <c r="A522" s="1191"/>
      <c r="B522" s="1191"/>
      <c r="C522" s="1191"/>
      <c r="D522" s="1191"/>
      <c r="E522" s="1191"/>
      <c r="F522" s="1191"/>
      <c r="G522" s="1191"/>
      <c r="H522" s="1191"/>
      <c r="I522" s="1191"/>
      <c r="J522" s="1191"/>
      <c r="K522" s="1191"/>
      <c r="L522" s="1191"/>
      <c r="M522" s="1191"/>
      <c r="N522" s="1191"/>
      <c r="O522" s="1191"/>
      <c r="P522" s="1191"/>
      <c r="Q522" s="1191"/>
      <c r="R522" s="1191"/>
      <c r="S522" s="1191"/>
      <c r="T522" s="1191"/>
      <c r="U522" s="1191"/>
      <c r="V522" s="1192"/>
      <c r="W522" s="1191"/>
      <c r="X522" s="1191"/>
      <c r="Y522" s="1191"/>
      <c r="Z522" s="1191"/>
    </row>
    <row r="523" spans="1:26" ht="15.75" customHeight="1">
      <c r="A523" s="1191"/>
      <c r="B523" s="1191"/>
      <c r="C523" s="1191"/>
      <c r="D523" s="1191"/>
      <c r="E523" s="1191"/>
      <c r="F523" s="1191"/>
      <c r="G523" s="1191"/>
      <c r="H523" s="1191"/>
      <c r="I523" s="1191"/>
      <c r="J523" s="1191"/>
      <c r="K523" s="1191"/>
      <c r="L523" s="1191"/>
      <c r="M523" s="1191"/>
      <c r="N523" s="1191"/>
      <c r="O523" s="1191"/>
      <c r="P523" s="1191"/>
      <c r="Q523" s="1191"/>
      <c r="R523" s="1191"/>
      <c r="S523" s="1191"/>
      <c r="T523" s="1191"/>
      <c r="U523" s="1191"/>
      <c r="V523" s="1192"/>
      <c r="W523" s="1191"/>
      <c r="X523" s="1191"/>
      <c r="Y523" s="1191"/>
      <c r="Z523" s="1191"/>
    </row>
    <row r="524" spans="1:26" ht="15.75" customHeight="1">
      <c r="A524" s="1191"/>
      <c r="B524" s="1191"/>
      <c r="C524" s="1191"/>
      <c r="D524" s="1191"/>
      <c r="E524" s="1191"/>
      <c r="F524" s="1191"/>
      <c r="G524" s="1191"/>
      <c r="H524" s="1191"/>
      <c r="I524" s="1191"/>
      <c r="J524" s="1191"/>
      <c r="K524" s="1191"/>
      <c r="L524" s="1191"/>
      <c r="M524" s="1191"/>
      <c r="N524" s="1191"/>
      <c r="O524" s="1191"/>
      <c r="P524" s="1191"/>
      <c r="Q524" s="1191"/>
      <c r="R524" s="1191"/>
      <c r="S524" s="1191"/>
      <c r="T524" s="1191"/>
      <c r="U524" s="1191"/>
      <c r="V524" s="1192"/>
      <c r="W524" s="1191"/>
      <c r="X524" s="1191"/>
      <c r="Y524" s="1191"/>
      <c r="Z524" s="1191"/>
    </row>
    <row r="525" spans="1:26" ht="15.75" customHeight="1">
      <c r="A525" s="1191"/>
      <c r="B525" s="1191"/>
      <c r="C525" s="1191"/>
      <c r="D525" s="1191"/>
      <c r="E525" s="1191"/>
      <c r="F525" s="1191"/>
      <c r="G525" s="1191"/>
      <c r="H525" s="1191"/>
      <c r="I525" s="1191"/>
      <c r="J525" s="1191"/>
      <c r="K525" s="1191"/>
      <c r="L525" s="1191"/>
      <c r="M525" s="1191"/>
      <c r="N525" s="1191"/>
      <c r="O525" s="1191"/>
      <c r="P525" s="1191"/>
      <c r="Q525" s="1191"/>
      <c r="R525" s="1191"/>
      <c r="S525" s="1191"/>
      <c r="T525" s="1191"/>
      <c r="U525" s="1191"/>
      <c r="V525" s="1192"/>
      <c r="W525" s="1191"/>
      <c r="X525" s="1191"/>
      <c r="Y525" s="1191"/>
      <c r="Z525" s="1191"/>
    </row>
    <row r="526" spans="1:26" ht="15.75" customHeight="1">
      <c r="A526" s="1191"/>
      <c r="B526" s="1191"/>
      <c r="C526" s="1191"/>
      <c r="D526" s="1191"/>
      <c r="E526" s="1191"/>
      <c r="F526" s="1191"/>
      <c r="G526" s="1191"/>
      <c r="H526" s="1191"/>
      <c r="I526" s="1191"/>
      <c r="J526" s="1191"/>
      <c r="K526" s="1191"/>
      <c r="L526" s="1191"/>
      <c r="M526" s="1191"/>
      <c r="N526" s="1191"/>
      <c r="O526" s="1191"/>
      <c r="P526" s="1191"/>
      <c r="Q526" s="1191"/>
      <c r="R526" s="1191"/>
      <c r="S526" s="1191"/>
      <c r="T526" s="1191"/>
      <c r="U526" s="1191"/>
      <c r="V526" s="1192"/>
      <c r="W526" s="1191"/>
      <c r="X526" s="1191"/>
      <c r="Y526" s="1191"/>
      <c r="Z526" s="1191"/>
    </row>
    <row r="527" spans="1:26" ht="15.75" customHeight="1">
      <c r="A527" s="1191"/>
      <c r="B527" s="1191"/>
      <c r="C527" s="1191"/>
      <c r="D527" s="1191"/>
      <c r="E527" s="1191"/>
      <c r="F527" s="1191"/>
      <c r="G527" s="1191"/>
      <c r="H527" s="1191"/>
      <c r="I527" s="1191"/>
      <c r="J527" s="1191"/>
      <c r="K527" s="1191"/>
      <c r="L527" s="1191"/>
      <c r="M527" s="1191"/>
      <c r="N527" s="1191"/>
      <c r="O527" s="1191"/>
      <c r="P527" s="1191"/>
      <c r="Q527" s="1191"/>
      <c r="R527" s="1191"/>
      <c r="S527" s="1191"/>
      <c r="T527" s="1191"/>
      <c r="U527" s="1191"/>
      <c r="V527" s="1192"/>
      <c r="W527" s="1191"/>
      <c r="X527" s="1191"/>
      <c r="Y527" s="1191"/>
      <c r="Z527" s="1191"/>
    </row>
    <row r="528" spans="1:26" ht="15.75" customHeight="1">
      <c r="A528" s="1191"/>
      <c r="B528" s="1191"/>
      <c r="C528" s="1191"/>
      <c r="D528" s="1191"/>
      <c r="E528" s="1191"/>
      <c r="F528" s="1191"/>
      <c r="G528" s="1191"/>
      <c r="H528" s="1191"/>
      <c r="I528" s="1191"/>
      <c r="J528" s="1191"/>
      <c r="K528" s="1191"/>
      <c r="L528" s="1191"/>
      <c r="M528" s="1191"/>
      <c r="N528" s="1191"/>
      <c r="O528" s="1191"/>
      <c r="P528" s="1191"/>
      <c r="Q528" s="1191"/>
      <c r="R528" s="1191"/>
      <c r="S528" s="1191"/>
      <c r="T528" s="1191"/>
      <c r="U528" s="1191"/>
      <c r="V528" s="1192"/>
      <c r="W528" s="1191"/>
      <c r="X528" s="1191"/>
      <c r="Y528" s="1191"/>
      <c r="Z528" s="1191"/>
    </row>
    <row r="529" spans="1:26" ht="15.75" customHeight="1">
      <c r="A529" s="1191"/>
      <c r="B529" s="1191"/>
      <c r="C529" s="1191"/>
      <c r="D529" s="1191"/>
      <c r="E529" s="1191"/>
      <c r="F529" s="1191"/>
      <c r="G529" s="1191"/>
      <c r="H529" s="1191"/>
      <c r="I529" s="1191"/>
      <c r="J529" s="1191"/>
      <c r="K529" s="1191"/>
      <c r="L529" s="1191"/>
      <c r="M529" s="1191"/>
      <c r="N529" s="1191"/>
      <c r="O529" s="1191"/>
      <c r="P529" s="1191"/>
      <c r="Q529" s="1191"/>
      <c r="R529" s="1191"/>
      <c r="S529" s="1191"/>
      <c r="T529" s="1191"/>
      <c r="U529" s="1191"/>
      <c r="V529" s="1192"/>
      <c r="W529" s="1191"/>
      <c r="X529" s="1191"/>
      <c r="Y529" s="1191"/>
      <c r="Z529" s="1191"/>
    </row>
    <row r="530" spans="1:26" ht="15.75" customHeight="1">
      <c r="A530" s="1191"/>
      <c r="B530" s="1191"/>
      <c r="C530" s="1191"/>
      <c r="D530" s="1191"/>
      <c r="E530" s="1191"/>
      <c r="F530" s="1191"/>
      <c r="G530" s="1191"/>
      <c r="H530" s="1191"/>
      <c r="I530" s="1191"/>
      <c r="J530" s="1191"/>
      <c r="K530" s="1191"/>
      <c r="L530" s="1191"/>
      <c r="M530" s="1191"/>
      <c r="N530" s="1191"/>
      <c r="O530" s="1191"/>
      <c r="P530" s="1191"/>
      <c r="Q530" s="1191"/>
      <c r="R530" s="1191"/>
      <c r="S530" s="1191"/>
      <c r="T530" s="1191"/>
      <c r="U530" s="1191"/>
      <c r="V530" s="1192"/>
      <c r="W530" s="1191"/>
      <c r="X530" s="1191"/>
      <c r="Y530" s="1191"/>
      <c r="Z530" s="1191"/>
    </row>
    <row r="531" spans="1:26" ht="15.75" customHeight="1">
      <c r="A531" s="1191"/>
      <c r="B531" s="1191"/>
      <c r="C531" s="1191"/>
      <c r="D531" s="1191"/>
      <c r="E531" s="1191"/>
      <c r="F531" s="1191"/>
      <c r="G531" s="1191"/>
      <c r="H531" s="1191"/>
      <c r="I531" s="1191"/>
      <c r="J531" s="1191"/>
      <c r="K531" s="1191"/>
      <c r="L531" s="1191"/>
      <c r="M531" s="1191"/>
      <c r="N531" s="1191"/>
      <c r="O531" s="1191"/>
      <c r="P531" s="1191"/>
      <c r="Q531" s="1191"/>
      <c r="R531" s="1191"/>
      <c r="S531" s="1191"/>
      <c r="T531" s="1191"/>
      <c r="U531" s="1191"/>
      <c r="V531" s="1192"/>
      <c r="W531" s="1191"/>
      <c r="X531" s="1191"/>
      <c r="Y531" s="1191"/>
      <c r="Z531" s="1191"/>
    </row>
    <row r="532" spans="1:26" ht="15.75" customHeight="1">
      <c r="A532" s="1191"/>
      <c r="B532" s="1191"/>
      <c r="C532" s="1191"/>
      <c r="D532" s="1191"/>
      <c r="E532" s="1191"/>
      <c r="F532" s="1191"/>
      <c r="G532" s="1191"/>
      <c r="H532" s="1191"/>
      <c r="I532" s="1191"/>
      <c r="J532" s="1191"/>
      <c r="K532" s="1191"/>
      <c r="L532" s="1191"/>
      <c r="M532" s="1191"/>
      <c r="N532" s="1191"/>
      <c r="O532" s="1191"/>
      <c r="P532" s="1191"/>
      <c r="Q532" s="1191"/>
      <c r="R532" s="1191"/>
      <c r="S532" s="1191"/>
      <c r="T532" s="1191"/>
      <c r="U532" s="1191"/>
      <c r="V532" s="1192"/>
      <c r="W532" s="1191"/>
      <c r="X532" s="1191"/>
      <c r="Y532" s="1191"/>
      <c r="Z532" s="1191"/>
    </row>
    <row r="533" spans="1:26" ht="15.75" customHeight="1">
      <c r="A533" s="1191"/>
      <c r="B533" s="1191"/>
      <c r="C533" s="1191"/>
      <c r="D533" s="1191"/>
      <c r="E533" s="1191"/>
      <c r="F533" s="1191"/>
      <c r="G533" s="1191"/>
      <c r="H533" s="1191"/>
      <c r="I533" s="1191"/>
      <c r="J533" s="1191"/>
      <c r="K533" s="1191"/>
      <c r="L533" s="1191"/>
      <c r="M533" s="1191"/>
      <c r="N533" s="1191"/>
      <c r="O533" s="1191"/>
      <c r="P533" s="1191"/>
      <c r="Q533" s="1191"/>
      <c r="R533" s="1191"/>
      <c r="S533" s="1191"/>
      <c r="T533" s="1191"/>
      <c r="U533" s="1191"/>
      <c r="V533" s="1192"/>
      <c r="W533" s="1191"/>
      <c r="X533" s="1191"/>
      <c r="Y533" s="1191"/>
      <c r="Z533" s="1191"/>
    </row>
    <row r="534" spans="1:26" ht="15.75" customHeight="1">
      <c r="A534" s="1191"/>
      <c r="B534" s="1191"/>
      <c r="C534" s="1191"/>
      <c r="D534" s="1191"/>
      <c r="E534" s="1191"/>
      <c r="F534" s="1191"/>
      <c r="G534" s="1191"/>
      <c r="H534" s="1191"/>
      <c r="I534" s="1191"/>
      <c r="J534" s="1191"/>
      <c r="K534" s="1191"/>
      <c r="L534" s="1191"/>
      <c r="M534" s="1191"/>
      <c r="N534" s="1191"/>
      <c r="O534" s="1191"/>
      <c r="P534" s="1191"/>
      <c r="Q534" s="1191"/>
      <c r="R534" s="1191"/>
      <c r="S534" s="1191"/>
      <c r="T534" s="1191"/>
      <c r="U534" s="1191"/>
      <c r="V534" s="1192"/>
      <c r="W534" s="1191"/>
      <c r="X534" s="1191"/>
      <c r="Y534" s="1191"/>
      <c r="Z534" s="1191"/>
    </row>
    <row r="535" spans="1:26" ht="15.75" customHeight="1">
      <c r="A535" s="1191"/>
      <c r="B535" s="1191"/>
      <c r="C535" s="1191"/>
      <c r="D535" s="1191"/>
      <c r="E535" s="1191"/>
      <c r="F535" s="1191"/>
      <c r="G535" s="1191"/>
      <c r="H535" s="1191"/>
      <c r="I535" s="1191"/>
      <c r="J535" s="1191"/>
      <c r="K535" s="1191"/>
      <c r="L535" s="1191"/>
      <c r="M535" s="1191"/>
      <c r="N535" s="1191"/>
      <c r="O535" s="1191"/>
      <c r="P535" s="1191"/>
      <c r="Q535" s="1191"/>
      <c r="R535" s="1191"/>
      <c r="S535" s="1191"/>
      <c r="T535" s="1191"/>
      <c r="U535" s="1191"/>
      <c r="V535" s="1192"/>
      <c r="W535" s="1191"/>
      <c r="X535" s="1191"/>
      <c r="Y535" s="1191"/>
      <c r="Z535" s="1191"/>
    </row>
    <row r="536" spans="1:26" ht="15.75" customHeight="1">
      <c r="A536" s="1191"/>
      <c r="B536" s="1191"/>
      <c r="C536" s="1191"/>
      <c r="D536" s="1191"/>
      <c r="E536" s="1191"/>
      <c r="F536" s="1191"/>
      <c r="G536" s="1191"/>
      <c r="H536" s="1191"/>
      <c r="I536" s="1191"/>
      <c r="J536" s="1191"/>
      <c r="K536" s="1191"/>
      <c r="L536" s="1191"/>
      <c r="M536" s="1191"/>
      <c r="N536" s="1191"/>
      <c r="O536" s="1191"/>
      <c r="P536" s="1191"/>
      <c r="Q536" s="1191"/>
      <c r="R536" s="1191"/>
      <c r="S536" s="1191"/>
      <c r="T536" s="1191"/>
      <c r="U536" s="1191"/>
      <c r="V536" s="1192"/>
      <c r="W536" s="1191"/>
      <c r="X536" s="1191"/>
      <c r="Y536" s="1191"/>
      <c r="Z536" s="1191"/>
    </row>
    <row r="537" spans="1:26" ht="15.75" customHeight="1">
      <c r="A537" s="1191"/>
      <c r="B537" s="1191"/>
      <c r="C537" s="1191"/>
      <c r="D537" s="1191"/>
      <c r="E537" s="1191"/>
      <c r="F537" s="1191"/>
      <c r="G537" s="1191"/>
      <c r="H537" s="1191"/>
      <c r="I537" s="1191"/>
      <c r="J537" s="1191"/>
      <c r="K537" s="1191"/>
      <c r="L537" s="1191"/>
      <c r="M537" s="1191"/>
      <c r="N537" s="1191"/>
      <c r="O537" s="1191"/>
      <c r="P537" s="1191"/>
      <c r="Q537" s="1191"/>
      <c r="R537" s="1191"/>
      <c r="S537" s="1191"/>
      <c r="T537" s="1191"/>
      <c r="U537" s="1191"/>
      <c r="V537" s="1192"/>
      <c r="W537" s="1191"/>
      <c r="X537" s="1191"/>
      <c r="Y537" s="1191"/>
      <c r="Z537" s="1191"/>
    </row>
    <row r="538" spans="1:26" ht="15.75" customHeight="1">
      <c r="A538" s="1191"/>
      <c r="B538" s="1191"/>
      <c r="C538" s="1191"/>
      <c r="D538" s="1191"/>
      <c r="E538" s="1191"/>
      <c r="F538" s="1191"/>
      <c r="G538" s="1191"/>
      <c r="H538" s="1191"/>
      <c r="I538" s="1191"/>
      <c r="J538" s="1191"/>
      <c r="K538" s="1191"/>
      <c r="L538" s="1191"/>
      <c r="M538" s="1191"/>
      <c r="N538" s="1191"/>
      <c r="O538" s="1191"/>
      <c r="P538" s="1191"/>
      <c r="Q538" s="1191"/>
      <c r="R538" s="1191"/>
      <c r="S538" s="1191"/>
      <c r="T538" s="1191"/>
      <c r="U538" s="1191"/>
      <c r="V538" s="1192"/>
      <c r="W538" s="1191"/>
      <c r="X538" s="1191"/>
      <c r="Y538" s="1191"/>
      <c r="Z538" s="1191"/>
    </row>
    <row r="539" spans="1:26" ht="15.75" customHeight="1">
      <c r="A539" s="1191"/>
      <c r="B539" s="1191"/>
      <c r="C539" s="1191"/>
      <c r="D539" s="1191"/>
      <c r="E539" s="1191"/>
      <c r="F539" s="1191"/>
      <c r="G539" s="1191"/>
      <c r="H539" s="1191"/>
      <c r="I539" s="1191"/>
      <c r="J539" s="1191"/>
      <c r="K539" s="1191"/>
      <c r="L539" s="1191"/>
      <c r="M539" s="1191"/>
      <c r="N539" s="1191"/>
      <c r="O539" s="1191"/>
      <c r="P539" s="1191"/>
      <c r="Q539" s="1191"/>
      <c r="R539" s="1191"/>
      <c r="S539" s="1191"/>
      <c r="T539" s="1191"/>
      <c r="U539" s="1191"/>
      <c r="V539" s="1192"/>
      <c r="W539" s="1191"/>
      <c r="X539" s="1191"/>
      <c r="Y539" s="1191"/>
      <c r="Z539" s="1191"/>
    </row>
    <row r="540" spans="1:26" ht="15.75" customHeight="1">
      <c r="A540" s="1191"/>
      <c r="B540" s="1191"/>
      <c r="C540" s="1191"/>
      <c r="D540" s="1191"/>
      <c r="E540" s="1191"/>
      <c r="F540" s="1191"/>
      <c r="G540" s="1191"/>
      <c r="H540" s="1191"/>
      <c r="I540" s="1191"/>
      <c r="J540" s="1191"/>
      <c r="K540" s="1191"/>
      <c r="L540" s="1191"/>
      <c r="M540" s="1191"/>
      <c r="N540" s="1191"/>
      <c r="O540" s="1191"/>
      <c r="P540" s="1191"/>
      <c r="Q540" s="1191"/>
      <c r="R540" s="1191"/>
      <c r="S540" s="1191"/>
      <c r="T540" s="1191"/>
      <c r="U540" s="1191"/>
      <c r="V540" s="1192"/>
      <c r="W540" s="1191"/>
      <c r="X540" s="1191"/>
      <c r="Y540" s="1191"/>
      <c r="Z540" s="1191"/>
    </row>
    <row r="541" spans="1:26" ht="15.75" customHeight="1">
      <c r="A541" s="1191"/>
      <c r="B541" s="1191"/>
      <c r="C541" s="1191"/>
      <c r="D541" s="1191"/>
      <c r="E541" s="1191"/>
      <c r="F541" s="1191"/>
      <c r="G541" s="1191"/>
      <c r="H541" s="1191"/>
      <c r="I541" s="1191"/>
      <c r="J541" s="1191"/>
      <c r="K541" s="1191"/>
      <c r="L541" s="1191"/>
      <c r="M541" s="1191"/>
      <c r="N541" s="1191"/>
      <c r="O541" s="1191"/>
      <c r="P541" s="1191"/>
      <c r="Q541" s="1191"/>
      <c r="R541" s="1191"/>
      <c r="S541" s="1191"/>
      <c r="T541" s="1191"/>
      <c r="U541" s="1191"/>
      <c r="V541" s="1192"/>
      <c r="W541" s="1191"/>
      <c r="X541" s="1191"/>
      <c r="Y541" s="1191"/>
      <c r="Z541" s="1191"/>
    </row>
    <row r="542" spans="1:26" ht="15.75" customHeight="1">
      <c r="A542" s="1191"/>
      <c r="B542" s="1191"/>
      <c r="C542" s="1191"/>
      <c r="D542" s="1191"/>
      <c r="E542" s="1191"/>
      <c r="F542" s="1191"/>
      <c r="G542" s="1191"/>
      <c r="H542" s="1191"/>
      <c r="I542" s="1191"/>
      <c r="J542" s="1191"/>
      <c r="K542" s="1191"/>
      <c r="L542" s="1191"/>
      <c r="M542" s="1191"/>
      <c r="N542" s="1191"/>
      <c r="O542" s="1191"/>
      <c r="P542" s="1191"/>
      <c r="Q542" s="1191"/>
      <c r="R542" s="1191"/>
      <c r="S542" s="1191"/>
      <c r="T542" s="1191"/>
      <c r="U542" s="1191"/>
      <c r="V542" s="1192"/>
      <c r="W542" s="1191"/>
      <c r="X542" s="1191"/>
      <c r="Y542" s="1191"/>
      <c r="Z542" s="1191"/>
    </row>
    <row r="543" spans="1:26" ht="15.75" customHeight="1">
      <c r="A543" s="1191"/>
      <c r="B543" s="1191"/>
      <c r="C543" s="1191"/>
      <c r="D543" s="1191"/>
      <c r="E543" s="1191"/>
      <c r="F543" s="1191"/>
      <c r="G543" s="1191"/>
      <c r="H543" s="1191"/>
      <c r="I543" s="1191"/>
      <c r="J543" s="1191"/>
      <c r="K543" s="1191"/>
      <c r="L543" s="1191"/>
      <c r="M543" s="1191"/>
      <c r="N543" s="1191"/>
      <c r="O543" s="1191"/>
      <c r="P543" s="1191"/>
      <c r="Q543" s="1191"/>
      <c r="R543" s="1191"/>
      <c r="S543" s="1191"/>
      <c r="T543" s="1191"/>
      <c r="U543" s="1191"/>
      <c r="V543" s="1192"/>
      <c r="W543" s="1191"/>
      <c r="X543" s="1191"/>
      <c r="Y543" s="1191"/>
      <c r="Z543" s="1191"/>
    </row>
    <row r="544" spans="1:26" ht="15.75" customHeight="1">
      <c r="A544" s="1191"/>
      <c r="B544" s="1191"/>
      <c r="C544" s="1191"/>
      <c r="D544" s="1191"/>
      <c r="E544" s="1191"/>
      <c r="F544" s="1191"/>
      <c r="G544" s="1191"/>
      <c r="H544" s="1191"/>
      <c r="I544" s="1191"/>
      <c r="J544" s="1191"/>
      <c r="K544" s="1191"/>
      <c r="L544" s="1191"/>
      <c r="M544" s="1191"/>
      <c r="N544" s="1191"/>
      <c r="O544" s="1191"/>
      <c r="P544" s="1191"/>
      <c r="Q544" s="1191"/>
      <c r="R544" s="1191"/>
      <c r="S544" s="1191"/>
      <c r="T544" s="1191"/>
      <c r="U544" s="1191"/>
      <c r="V544" s="1192"/>
      <c r="W544" s="1191"/>
      <c r="X544" s="1191"/>
      <c r="Y544" s="1191"/>
      <c r="Z544" s="1191"/>
    </row>
    <row r="545" spans="1:26" ht="15.75" customHeight="1">
      <c r="A545" s="1191"/>
      <c r="B545" s="1191"/>
      <c r="C545" s="1191"/>
      <c r="D545" s="1191"/>
      <c r="E545" s="1191"/>
      <c r="F545" s="1191"/>
      <c r="G545" s="1191"/>
      <c r="H545" s="1191"/>
      <c r="I545" s="1191"/>
      <c r="J545" s="1191"/>
      <c r="K545" s="1191"/>
      <c r="L545" s="1191"/>
      <c r="M545" s="1191"/>
      <c r="N545" s="1191"/>
      <c r="O545" s="1191"/>
      <c r="P545" s="1191"/>
      <c r="Q545" s="1191"/>
      <c r="R545" s="1191"/>
      <c r="S545" s="1191"/>
      <c r="T545" s="1191"/>
      <c r="U545" s="1191"/>
      <c r="V545" s="1192"/>
      <c r="W545" s="1191"/>
      <c r="X545" s="1191"/>
      <c r="Y545" s="1191"/>
      <c r="Z545" s="1191"/>
    </row>
    <row r="546" spans="1:26" ht="15.75" customHeight="1">
      <c r="A546" s="1191"/>
      <c r="B546" s="1191"/>
      <c r="C546" s="1191"/>
      <c r="D546" s="1191"/>
      <c r="E546" s="1191"/>
      <c r="F546" s="1191"/>
      <c r="G546" s="1191"/>
      <c r="H546" s="1191"/>
      <c r="I546" s="1191"/>
      <c r="J546" s="1191"/>
      <c r="K546" s="1191"/>
      <c r="L546" s="1191"/>
      <c r="M546" s="1191"/>
      <c r="N546" s="1191"/>
      <c r="O546" s="1191"/>
      <c r="P546" s="1191"/>
      <c r="Q546" s="1191"/>
      <c r="R546" s="1191"/>
      <c r="S546" s="1191"/>
      <c r="T546" s="1191"/>
      <c r="U546" s="1191"/>
      <c r="V546" s="1192"/>
      <c r="W546" s="1191"/>
      <c r="X546" s="1191"/>
      <c r="Y546" s="1191"/>
      <c r="Z546" s="1191"/>
    </row>
    <row r="547" spans="1:26" ht="15.75" customHeight="1">
      <c r="A547" s="1191"/>
      <c r="B547" s="1191"/>
      <c r="C547" s="1191"/>
      <c r="D547" s="1191"/>
      <c r="E547" s="1191"/>
      <c r="F547" s="1191"/>
      <c r="G547" s="1191"/>
      <c r="H547" s="1191"/>
      <c r="I547" s="1191"/>
      <c r="J547" s="1191"/>
      <c r="K547" s="1191"/>
      <c r="L547" s="1191"/>
      <c r="M547" s="1191"/>
      <c r="N547" s="1191"/>
      <c r="O547" s="1191"/>
      <c r="P547" s="1191"/>
      <c r="Q547" s="1191"/>
      <c r="R547" s="1191"/>
      <c r="S547" s="1191"/>
      <c r="T547" s="1191"/>
      <c r="U547" s="1191"/>
      <c r="V547" s="1192"/>
      <c r="W547" s="1191"/>
      <c r="X547" s="1191"/>
      <c r="Y547" s="1191"/>
      <c r="Z547" s="1191"/>
    </row>
    <row r="548" spans="1:26" ht="15.75" customHeight="1">
      <c r="A548" s="1191"/>
      <c r="B548" s="1191"/>
      <c r="C548" s="1191"/>
      <c r="D548" s="1191"/>
      <c r="E548" s="1191"/>
      <c r="F548" s="1191"/>
      <c r="G548" s="1191"/>
      <c r="H548" s="1191"/>
      <c r="I548" s="1191"/>
      <c r="J548" s="1191"/>
      <c r="K548" s="1191"/>
      <c r="L548" s="1191"/>
      <c r="M548" s="1191"/>
      <c r="N548" s="1191"/>
      <c r="O548" s="1191"/>
      <c r="P548" s="1191"/>
      <c r="Q548" s="1191"/>
      <c r="R548" s="1191"/>
      <c r="S548" s="1191"/>
      <c r="T548" s="1191"/>
      <c r="U548" s="1191"/>
      <c r="V548" s="1192"/>
      <c r="W548" s="1191"/>
      <c r="X548" s="1191"/>
      <c r="Y548" s="1191"/>
      <c r="Z548" s="1191"/>
    </row>
    <row r="549" spans="1:26" ht="15.75" customHeight="1">
      <c r="A549" s="1191"/>
      <c r="B549" s="1191"/>
      <c r="C549" s="1191"/>
      <c r="D549" s="1191"/>
      <c r="E549" s="1191"/>
      <c r="F549" s="1191"/>
      <c r="G549" s="1191"/>
      <c r="H549" s="1191"/>
      <c r="I549" s="1191"/>
      <c r="J549" s="1191"/>
      <c r="K549" s="1191"/>
      <c r="L549" s="1191"/>
      <c r="M549" s="1191"/>
      <c r="N549" s="1191"/>
      <c r="O549" s="1191"/>
      <c r="P549" s="1191"/>
      <c r="Q549" s="1191"/>
      <c r="R549" s="1191"/>
      <c r="S549" s="1191"/>
      <c r="T549" s="1191"/>
      <c r="U549" s="1191"/>
      <c r="V549" s="1192"/>
      <c r="W549" s="1191"/>
      <c r="X549" s="1191"/>
      <c r="Y549" s="1191"/>
      <c r="Z549" s="1191"/>
    </row>
    <row r="550" spans="1:26" ht="15.75" customHeight="1">
      <c r="A550" s="1191"/>
      <c r="B550" s="1191"/>
      <c r="C550" s="1191"/>
      <c r="D550" s="1191"/>
      <c r="E550" s="1191"/>
      <c r="F550" s="1191"/>
      <c r="G550" s="1191"/>
      <c r="H550" s="1191"/>
      <c r="I550" s="1191"/>
      <c r="J550" s="1191"/>
      <c r="K550" s="1191"/>
      <c r="L550" s="1191"/>
      <c r="M550" s="1191"/>
      <c r="N550" s="1191"/>
      <c r="O550" s="1191"/>
      <c r="P550" s="1191"/>
      <c r="Q550" s="1191"/>
      <c r="R550" s="1191"/>
      <c r="S550" s="1191"/>
      <c r="T550" s="1191"/>
      <c r="U550" s="1191"/>
      <c r="V550" s="1192"/>
      <c r="W550" s="1191"/>
      <c r="X550" s="1191"/>
      <c r="Y550" s="1191"/>
      <c r="Z550" s="1191"/>
    </row>
    <row r="551" spans="1:26" ht="15.75" customHeight="1">
      <c r="A551" s="1191"/>
      <c r="B551" s="1191"/>
      <c r="C551" s="1191"/>
      <c r="D551" s="1191"/>
      <c r="E551" s="1191"/>
      <c r="F551" s="1191"/>
      <c r="G551" s="1191"/>
      <c r="H551" s="1191"/>
      <c r="I551" s="1191"/>
      <c r="J551" s="1191"/>
      <c r="K551" s="1191"/>
      <c r="L551" s="1191"/>
      <c r="M551" s="1191"/>
      <c r="N551" s="1191"/>
      <c r="O551" s="1191"/>
      <c r="P551" s="1191"/>
      <c r="Q551" s="1191"/>
      <c r="R551" s="1191"/>
      <c r="S551" s="1191"/>
      <c r="T551" s="1191"/>
      <c r="U551" s="1191"/>
      <c r="V551" s="1192"/>
      <c r="W551" s="1191"/>
      <c r="X551" s="1191"/>
      <c r="Y551" s="1191"/>
      <c r="Z551" s="1191"/>
    </row>
    <row r="552" spans="1:26" ht="15.75" customHeight="1">
      <c r="A552" s="1191"/>
      <c r="B552" s="1191"/>
      <c r="C552" s="1191"/>
      <c r="D552" s="1191"/>
      <c r="E552" s="1191"/>
      <c r="F552" s="1191"/>
      <c r="G552" s="1191"/>
      <c r="H552" s="1191"/>
      <c r="I552" s="1191"/>
      <c r="J552" s="1191"/>
      <c r="K552" s="1191"/>
      <c r="L552" s="1191"/>
      <c r="M552" s="1191"/>
      <c r="N552" s="1191"/>
      <c r="O552" s="1191"/>
      <c r="P552" s="1191"/>
      <c r="Q552" s="1191"/>
      <c r="R552" s="1191"/>
      <c r="S552" s="1191"/>
      <c r="T552" s="1191"/>
      <c r="U552" s="1191"/>
      <c r="V552" s="1192"/>
      <c r="W552" s="1191"/>
      <c r="X552" s="1191"/>
      <c r="Y552" s="1191"/>
      <c r="Z552" s="1191"/>
    </row>
    <row r="553" spans="1:26" ht="15.75" customHeight="1">
      <c r="A553" s="1191"/>
      <c r="B553" s="1191"/>
      <c r="C553" s="1191"/>
      <c r="D553" s="1191"/>
      <c r="E553" s="1191"/>
      <c r="F553" s="1191"/>
      <c r="G553" s="1191"/>
      <c r="H553" s="1191"/>
      <c r="I553" s="1191"/>
      <c r="J553" s="1191"/>
      <c r="K553" s="1191"/>
      <c r="L553" s="1191"/>
      <c r="M553" s="1191"/>
      <c r="N553" s="1191"/>
      <c r="O553" s="1191"/>
      <c r="P553" s="1191"/>
      <c r="Q553" s="1191"/>
      <c r="R553" s="1191"/>
      <c r="S553" s="1191"/>
      <c r="T553" s="1191"/>
      <c r="U553" s="1191"/>
      <c r="V553" s="1192"/>
      <c r="W553" s="1191"/>
      <c r="X553" s="1191"/>
      <c r="Y553" s="1191"/>
      <c r="Z553" s="1191"/>
    </row>
    <row r="554" spans="1:26" ht="15.75" customHeight="1">
      <c r="A554" s="1191"/>
      <c r="B554" s="1191"/>
      <c r="C554" s="1191"/>
      <c r="D554" s="1191"/>
      <c r="E554" s="1191"/>
      <c r="F554" s="1191"/>
      <c r="G554" s="1191"/>
      <c r="H554" s="1191"/>
      <c r="I554" s="1191"/>
      <c r="J554" s="1191"/>
      <c r="K554" s="1191"/>
      <c r="L554" s="1191"/>
      <c r="M554" s="1191"/>
      <c r="N554" s="1191"/>
      <c r="O554" s="1191"/>
      <c r="P554" s="1191"/>
      <c r="Q554" s="1191"/>
      <c r="R554" s="1191"/>
      <c r="S554" s="1191"/>
      <c r="T554" s="1191"/>
      <c r="U554" s="1191"/>
      <c r="V554" s="1192"/>
      <c r="W554" s="1191"/>
      <c r="X554" s="1191"/>
      <c r="Y554" s="1191"/>
      <c r="Z554" s="1191"/>
    </row>
    <row r="555" spans="1:26" ht="15.75" customHeight="1">
      <c r="A555" s="1191"/>
      <c r="B555" s="1191"/>
      <c r="C555" s="1191"/>
      <c r="D555" s="1191"/>
      <c r="E555" s="1191"/>
      <c r="F555" s="1191"/>
      <c r="G555" s="1191"/>
      <c r="H555" s="1191"/>
      <c r="I555" s="1191"/>
      <c r="J555" s="1191"/>
      <c r="K555" s="1191"/>
      <c r="L555" s="1191"/>
      <c r="M555" s="1191"/>
      <c r="N555" s="1191"/>
      <c r="O555" s="1191"/>
      <c r="P555" s="1191"/>
      <c r="Q555" s="1191"/>
      <c r="R555" s="1191"/>
      <c r="S555" s="1191"/>
      <c r="T555" s="1191"/>
      <c r="U555" s="1191"/>
      <c r="V555" s="1192"/>
      <c r="W555" s="1191"/>
      <c r="X555" s="1191"/>
      <c r="Y555" s="1191"/>
      <c r="Z555" s="1191"/>
    </row>
    <row r="556" spans="1:26" ht="15.75" customHeight="1">
      <c r="A556" s="1191"/>
      <c r="B556" s="1191"/>
      <c r="C556" s="1191"/>
      <c r="D556" s="1191"/>
      <c r="E556" s="1191"/>
      <c r="F556" s="1191"/>
      <c r="G556" s="1191"/>
      <c r="H556" s="1191"/>
      <c r="I556" s="1191"/>
      <c r="J556" s="1191"/>
      <c r="K556" s="1191"/>
      <c r="L556" s="1191"/>
      <c r="M556" s="1191"/>
      <c r="N556" s="1191"/>
      <c r="O556" s="1191"/>
      <c r="P556" s="1191"/>
      <c r="Q556" s="1191"/>
      <c r="R556" s="1191"/>
      <c r="S556" s="1191"/>
      <c r="T556" s="1191"/>
      <c r="U556" s="1191"/>
      <c r="V556" s="1192"/>
      <c r="W556" s="1191"/>
      <c r="X556" s="1191"/>
      <c r="Y556" s="1191"/>
      <c r="Z556" s="1191"/>
    </row>
    <row r="557" spans="1:26" ht="15.75" customHeight="1">
      <c r="A557" s="1191"/>
      <c r="B557" s="1191"/>
      <c r="C557" s="1191"/>
      <c r="D557" s="1191"/>
      <c r="E557" s="1191"/>
      <c r="F557" s="1191"/>
      <c r="G557" s="1191"/>
      <c r="H557" s="1191"/>
      <c r="I557" s="1191"/>
      <c r="J557" s="1191"/>
      <c r="K557" s="1191"/>
      <c r="L557" s="1191"/>
      <c r="M557" s="1191"/>
      <c r="N557" s="1191"/>
      <c r="O557" s="1191"/>
      <c r="P557" s="1191"/>
      <c r="Q557" s="1191"/>
      <c r="R557" s="1191"/>
      <c r="S557" s="1191"/>
      <c r="T557" s="1191"/>
      <c r="U557" s="1191"/>
      <c r="V557" s="1192"/>
      <c r="W557" s="1191"/>
      <c r="X557" s="1191"/>
      <c r="Y557" s="1191"/>
      <c r="Z557" s="1191"/>
    </row>
    <row r="558" spans="1:26" ht="15.75" customHeight="1">
      <c r="A558" s="1191"/>
      <c r="B558" s="1191"/>
      <c r="C558" s="1191"/>
      <c r="D558" s="1191"/>
      <c r="E558" s="1191"/>
      <c r="F558" s="1191"/>
      <c r="G558" s="1191"/>
      <c r="H558" s="1191"/>
      <c r="I558" s="1191"/>
      <c r="J558" s="1191"/>
      <c r="K558" s="1191"/>
      <c r="L558" s="1191"/>
      <c r="M558" s="1191"/>
      <c r="N558" s="1191"/>
      <c r="O558" s="1191"/>
      <c r="P558" s="1191"/>
      <c r="Q558" s="1191"/>
      <c r="R558" s="1191"/>
      <c r="S558" s="1191"/>
      <c r="T558" s="1191"/>
      <c r="U558" s="1191"/>
      <c r="V558" s="1192"/>
      <c r="W558" s="1191"/>
      <c r="X558" s="1191"/>
      <c r="Y558" s="1191"/>
      <c r="Z558" s="1191"/>
    </row>
    <row r="559" spans="1:26" ht="15.75" customHeight="1">
      <c r="A559" s="1191"/>
      <c r="B559" s="1191"/>
      <c r="C559" s="1191"/>
      <c r="D559" s="1191"/>
      <c r="E559" s="1191"/>
      <c r="F559" s="1191"/>
      <c r="G559" s="1191"/>
      <c r="H559" s="1191"/>
      <c r="I559" s="1191"/>
      <c r="J559" s="1191"/>
      <c r="K559" s="1191"/>
      <c r="L559" s="1191"/>
      <c r="M559" s="1191"/>
      <c r="N559" s="1191"/>
      <c r="O559" s="1191"/>
      <c r="P559" s="1191"/>
      <c r="Q559" s="1191"/>
      <c r="R559" s="1191"/>
      <c r="S559" s="1191"/>
      <c r="T559" s="1191"/>
      <c r="U559" s="1191"/>
      <c r="V559" s="1192"/>
      <c r="W559" s="1191"/>
      <c r="X559" s="1191"/>
      <c r="Y559" s="1191"/>
      <c r="Z559" s="1191"/>
    </row>
    <row r="560" spans="1:26" ht="15.75" customHeight="1">
      <c r="A560" s="1191"/>
      <c r="B560" s="1191"/>
      <c r="C560" s="1191"/>
      <c r="D560" s="1191"/>
      <c r="E560" s="1191"/>
      <c r="F560" s="1191"/>
      <c r="G560" s="1191"/>
      <c r="H560" s="1191"/>
      <c r="I560" s="1191"/>
      <c r="J560" s="1191"/>
      <c r="K560" s="1191"/>
      <c r="L560" s="1191"/>
      <c r="M560" s="1191"/>
      <c r="N560" s="1191"/>
      <c r="O560" s="1191"/>
      <c r="P560" s="1191"/>
      <c r="Q560" s="1191"/>
      <c r="R560" s="1191"/>
      <c r="S560" s="1191"/>
      <c r="T560" s="1191"/>
      <c r="U560" s="1191"/>
      <c r="V560" s="1192"/>
      <c r="W560" s="1191"/>
      <c r="X560" s="1191"/>
      <c r="Y560" s="1191"/>
      <c r="Z560" s="1191"/>
    </row>
    <row r="561" spans="1:26" ht="15.75" customHeight="1">
      <c r="A561" s="1191"/>
      <c r="B561" s="1191"/>
      <c r="C561" s="1191"/>
      <c r="D561" s="1191"/>
      <c r="E561" s="1191"/>
      <c r="F561" s="1191"/>
      <c r="G561" s="1191"/>
      <c r="H561" s="1191"/>
      <c r="I561" s="1191"/>
      <c r="J561" s="1191"/>
      <c r="K561" s="1191"/>
      <c r="L561" s="1191"/>
      <c r="M561" s="1191"/>
      <c r="N561" s="1191"/>
      <c r="O561" s="1191"/>
      <c r="P561" s="1191"/>
      <c r="Q561" s="1191"/>
      <c r="R561" s="1191"/>
      <c r="S561" s="1191"/>
      <c r="T561" s="1191"/>
      <c r="U561" s="1191"/>
      <c r="V561" s="1192"/>
      <c r="W561" s="1191"/>
      <c r="X561" s="1191"/>
      <c r="Y561" s="1191"/>
      <c r="Z561" s="1191"/>
    </row>
    <row r="562" spans="1:26" ht="15.75" customHeight="1">
      <c r="A562" s="1191"/>
      <c r="B562" s="1191"/>
      <c r="C562" s="1191"/>
      <c r="D562" s="1191"/>
      <c r="E562" s="1191"/>
      <c r="F562" s="1191"/>
      <c r="G562" s="1191"/>
      <c r="H562" s="1191"/>
      <c r="I562" s="1191"/>
      <c r="J562" s="1191"/>
      <c r="K562" s="1191"/>
      <c r="L562" s="1191"/>
      <c r="M562" s="1191"/>
      <c r="N562" s="1191"/>
      <c r="O562" s="1191"/>
      <c r="P562" s="1191"/>
      <c r="Q562" s="1191"/>
      <c r="R562" s="1191"/>
      <c r="S562" s="1191"/>
      <c r="T562" s="1191"/>
      <c r="U562" s="1191"/>
      <c r="V562" s="1192"/>
      <c r="W562" s="1191"/>
      <c r="X562" s="1191"/>
      <c r="Y562" s="1191"/>
      <c r="Z562" s="1191"/>
    </row>
    <row r="563" spans="1:26" ht="15.75" customHeight="1">
      <c r="A563" s="1191"/>
      <c r="B563" s="1191"/>
      <c r="C563" s="1191"/>
      <c r="D563" s="1191"/>
      <c r="E563" s="1191"/>
      <c r="F563" s="1191"/>
      <c r="G563" s="1191"/>
      <c r="H563" s="1191"/>
      <c r="I563" s="1191"/>
      <c r="J563" s="1191"/>
      <c r="K563" s="1191"/>
      <c r="L563" s="1191"/>
      <c r="M563" s="1191"/>
      <c r="N563" s="1191"/>
      <c r="O563" s="1191"/>
      <c r="P563" s="1191"/>
      <c r="Q563" s="1191"/>
      <c r="R563" s="1191"/>
      <c r="S563" s="1191"/>
      <c r="T563" s="1191"/>
      <c r="U563" s="1191"/>
      <c r="V563" s="1192"/>
      <c r="W563" s="1191"/>
      <c r="X563" s="1191"/>
      <c r="Y563" s="1191"/>
      <c r="Z563" s="1191"/>
    </row>
    <row r="564" spans="1:26" ht="15.75" customHeight="1">
      <c r="A564" s="1191"/>
      <c r="B564" s="1191"/>
      <c r="C564" s="1191"/>
      <c r="D564" s="1191"/>
      <c r="E564" s="1191"/>
      <c r="F564" s="1191"/>
      <c r="G564" s="1191"/>
      <c r="H564" s="1191"/>
      <c r="I564" s="1191"/>
      <c r="J564" s="1191"/>
      <c r="K564" s="1191"/>
      <c r="L564" s="1191"/>
      <c r="M564" s="1191"/>
      <c r="N564" s="1191"/>
      <c r="O564" s="1191"/>
      <c r="P564" s="1191"/>
      <c r="Q564" s="1191"/>
      <c r="R564" s="1191"/>
      <c r="S564" s="1191"/>
      <c r="T564" s="1191"/>
      <c r="U564" s="1191"/>
      <c r="V564" s="1192"/>
      <c r="W564" s="1191"/>
      <c r="X564" s="1191"/>
      <c r="Y564" s="1191"/>
      <c r="Z564" s="1191"/>
    </row>
    <row r="565" spans="1:26" ht="15.75" customHeight="1">
      <c r="A565" s="1191"/>
      <c r="B565" s="1191"/>
      <c r="C565" s="1191"/>
      <c r="D565" s="1191"/>
      <c r="E565" s="1191"/>
      <c r="F565" s="1191"/>
      <c r="G565" s="1191"/>
      <c r="H565" s="1191"/>
      <c r="I565" s="1191"/>
      <c r="J565" s="1191"/>
      <c r="K565" s="1191"/>
      <c r="L565" s="1191"/>
      <c r="M565" s="1191"/>
      <c r="N565" s="1191"/>
      <c r="O565" s="1191"/>
      <c r="P565" s="1191"/>
      <c r="Q565" s="1191"/>
      <c r="R565" s="1191"/>
      <c r="S565" s="1191"/>
      <c r="T565" s="1191"/>
      <c r="U565" s="1191"/>
      <c r="V565" s="1192"/>
      <c r="W565" s="1191"/>
      <c r="X565" s="1191"/>
      <c r="Y565" s="1191"/>
      <c r="Z565" s="1191"/>
    </row>
    <row r="566" spans="1:26" ht="15.75" customHeight="1">
      <c r="A566" s="1191"/>
      <c r="B566" s="1191"/>
      <c r="C566" s="1191"/>
      <c r="D566" s="1191"/>
      <c r="E566" s="1191"/>
      <c r="F566" s="1191"/>
      <c r="G566" s="1191"/>
      <c r="H566" s="1191"/>
      <c r="I566" s="1191"/>
      <c r="J566" s="1191"/>
      <c r="K566" s="1191"/>
      <c r="L566" s="1191"/>
      <c r="M566" s="1191"/>
      <c r="N566" s="1191"/>
      <c r="O566" s="1191"/>
      <c r="P566" s="1191"/>
      <c r="Q566" s="1191"/>
      <c r="R566" s="1191"/>
      <c r="S566" s="1191"/>
      <c r="T566" s="1191"/>
      <c r="U566" s="1191"/>
      <c r="V566" s="1192"/>
      <c r="W566" s="1191"/>
      <c r="X566" s="1191"/>
      <c r="Y566" s="1191"/>
      <c r="Z566" s="1191"/>
    </row>
    <row r="567" spans="1:26" ht="15.75" customHeight="1">
      <c r="A567" s="1191"/>
      <c r="B567" s="1191"/>
      <c r="C567" s="1191"/>
      <c r="D567" s="1191"/>
      <c r="E567" s="1191"/>
      <c r="F567" s="1191"/>
      <c r="G567" s="1191"/>
      <c r="H567" s="1191"/>
      <c r="I567" s="1191"/>
      <c r="J567" s="1191"/>
      <c r="K567" s="1191"/>
      <c r="L567" s="1191"/>
      <c r="M567" s="1191"/>
      <c r="N567" s="1191"/>
      <c r="O567" s="1191"/>
      <c r="P567" s="1191"/>
      <c r="Q567" s="1191"/>
      <c r="R567" s="1191"/>
      <c r="S567" s="1191"/>
      <c r="T567" s="1191"/>
      <c r="U567" s="1191"/>
      <c r="V567" s="1192"/>
      <c r="W567" s="1191"/>
      <c r="X567" s="1191"/>
      <c r="Y567" s="1191"/>
      <c r="Z567" s="1191"/>
    </row>
    <row r="568" spans="1:26" ht="15.75" customHeight="1">
      <c r="A568" s="1191"/>
      <c r="B568" s="1191"/>
      <c r="C568" s="1191"/>
      <c r="D568" s="1191"/>
      <c r="E568" s="1191"/>
      <c r="F568" s="1191"/>
      <c r="G568" s="1191"/>
      <c r="H568" s="1191"/>
      <c r="I568" s="1191"/>
      <c r="J568" s="1191"/>
      <c r="K568" s="1191"/>
      <c r="L568" s="1191"/>
      <c r="M568" s="1191"/>
      <c r="N568" s="1191"/>
      <c r="O568" s="1191"/>
      <c r="P568" s="1191"/>
      <c r="Q568" s="1191"/>
      <c r="R568" s="1191"/>
      <c r="S568" s="1191"/>
      <c r="T568" s="1191"/>
      <c r="U568" s="1191"/>
      <c r="V568" s="1192"/>
      <c r="W568" s="1191"/>
      <c r="X568" s="1191"/>
      <c r="Y568" s="1191"/>
      <c r="Z568" s="1191"/>
    </row>
    <row r="569" spans="1:26" ht="15.75" customHeight="1">
      <c r="A569" s="1191"/>
      <c r="B569" s="1191"/>
      <c r="C569" s="1191"/>
      <c r="D569" s="1191"/>
      <c r="E569" s="1191"/>
      <c r="F569" s="1191"/>
      <c r="G569" s="1191"/>
      <c r="H569" s="1191"/>
      <c r="I569" s="1191"/>
      <c r="J569" s="1191"/>
      <c r="K569" s="1191"/>
      <c r="L569" s="1191"/>
      <c r="M569" s="1191"/>
      <c r="N569" s="1191"/>
      <c r="O569" s="1191"/>
      <c r="P569" s="1191"/>
      <c r="Q569" s="1191"/>
      <c r="R569" s="1191"/>
      <c r="S569" s="1191"/>
      <c r="T569" s="1191"/>
      <c r="U569" s="1191"/>
      <c r="V569" s="1192"/>
      <c r="W569" s="1191"/>
      <c r="X569" s="1191"/>
      <c r="Y569" s="1191"/>
      <c r="Z569" s="1191"/>
    </row>
    <row r="570" spans="1:26" ht="15.75" customHeight="1">
      <c r="A570" s="1191"/>
      <c r="B570" s="1191"/>
      <c r="C570" s="1191"/>
      <c r="D570" s="1191"/>
      <c r="E570" s="1191"/>
      <c r="F570" s="1191"/>
      <c r="G570" s="1191"/>
      <c r="H570" s="1191"/>
      <c r="I570" s="1191"/>
      <c r="J570" s="1191"/>
      <c r="K570" s="1191"/>
      <c r="L570" s="1191"/>
      <c r="M570" s="1191"/>
      <c r="N570" s="1191"/>
      <c r="O570" s="1191"/>
      <c r="P570" s="1191"/>
      <c r="Q570" s="1191"/>
      <c r="R570" s="1191"/>
      <c r="S570" s="1191"/>
      <c r="T570" s="1191"/>
      <c r="U570" s="1191"/>
      <c r="V570" s="1192"/>
      <c r="W570" s="1191"/>
      <c r="X570" s="1191"/>
      <c r="Y570" s="1191"/>
      <c r="Z570" s="1191"/>
    </row>
    <row r="571" spans="1:26" ht="15.75" customHeight="1">
      <c r="A571" s="1191"/>
      <c r="B571" s="1191"/>
      <c r="C571" s="1191"/>
      <c r="D571" s="1191"/>
      <c r="E571" s="1191"/>
      <c r="F571" s="1191"/>
      <c r="G571" s="1191"/>
      <c r="H571" s="1191"/>
      <c r="I571" s="1191"/>
      <c r="J571" s="1191"/>
      <c r="K571" s="1191"/>
      <c r="L571" s="1191"/>
      <c r="M571" s="1191"/>
      <c r="N571" s="1191"/>
      <c r="O571" s="1191"/>
      <c r="P571" s="1191"/>
      <c r="Q571" s="1191"/>
      <c r="R571" s="1191"/>
      <c r="S571" s="1191"/>
      <c r="T571" s="1191"/>
      <c r="U571" s="1191"/>
      <c r="V571" s="1192"/>
      <c r="W571" s="1191"/>
      <c r="X571" s="1191"/>
      <c r="Y571" s="1191"/>
      <c r="Z571" s="1191"/>
    </row>
    <row r="572" spans="1:26" ht="15.75" customHeight="1">
      <c r="A572" s="1191"/>
      <c r="B572" s="1191"/>
      <c r="C572" s="1191"/>
      <c r="D572" s="1191"/>
      <c r="E572" s="1191"/>
      <c r="F572" s="1191"/>
      <c r="G572" s="1191"/>
      <c r="H572" s="1191"/>
      <c r="I572" s="1191"/>
      <c r="J572" s="1191"/>
      <c r="K572" s="1191"/>
      <c r="L572" s="1191"/>
      <c r="M572" s="1191"/>
      <c r="N572" s="1191"/>
      <c r="O572" s="1191"/>
      <c r="P572" s="1191"/>
      <c r="Q572" s="1191"/>
      <c r="R572" s="1191"/>
      <c r="S572" s="1191"/>
      <c r="T572" s="1191"/>
      <c r="U572" s="1191"/>
      <c r="V572" s="1192"/>
      <c r="W572" s="1191"/>
      <c r="X572" s="1191"/>
      <c r="Y572" s="1191"/>
      <c r="Z572" s="1191"/>
    </row>
    <row r="573" spans="1:26" ht="15.75" customHeight="1">
      <c r="A573" s="1191"/>
      <c r="B573" s="1191"/>
      <c r="C573" s="1191"/>
      <c r="D573" s="1191"/>
      <c r="E573" s="1191"/>
      <c r="F573" s="1191"/>
      <c r="G573" s="1191"/>
      <c r="H573" s="1191"/>
      <c r="I573" s="1191"/>
      <c r="J573" s="1191"/>
      <c r="K573" s="1191"/>
      <c r="L573" s="1191"/>
      <c r="M573" s="1191"/>
      <c r="N573" s="1191"/>
      <c r="O573" s="1191"/>
      <c r="P573" s="1191"/>
      <c r="Q573" s="1191"/>
      <c r="R573" s="1191"/>
      <c r="S573" s="1191"/>
      <c r="T573" s="1191"/>
      <c r="U573" s="1191"/>
      <c r="V573" s="1192"/>
      <c r="W573" s="1191"/>
      <c r="X573" s="1191"/>
      <c r="Y573" s="1191"/>
      <c r="Z573" s="1191"/>
    </row>
    <row r="574" spans="1:26" ht="15.75" customHeight="1">
      <c r="A574" s="1191"/>
      <c r="B574" s="1191"/>
      <c r="C574" s="1191"/>
      <c r="D574" s="1191"/>
      <c r="E574" s="1191"/>
      <c r="F574" s="1191"/>
      <c r="G574" s="1191"/>
      <c r="H574" s="1191"/>
      <c r="I574" s="1191"/>
      <c r="J574" s="1191"/>
      <c r="K574" s="1191"/>
      <c r="L574" s="1191"/>
      <c r="M574" s="1191"/>
      <c r="N574" s="1191"/>
      <c r="O574" s="1191"/>
      <c r="P574" s="1191"/>
      <c r="Q574" s="1191"/>
      <c r="R574" s="1191"/>
      <c r="S574" s="1191"/>
      <c r="T574" s="1191"/>
      <c r="U574" s="1191"/>
      <c r="V574" s="1192"/>
      <c r="W574" s="1191"/>
      <c r="X574" s="1191"/>
      <c r="Y574" s="1191"/>
      <c r="Z574" s="1191"/>
    </row>
    <row r="575" spans="1:26" ht="15.75" customHeight="1">
      <c r="A575" s="1191"/>
      <c r="B575" s="1191"/>
      <c r="C575" s="1191"/>
      <c r="D575" s="1191"/>
      <c r="E575" s="1191"/>
      <c r="F575" s="1191"/>
      <c r="G575" s="1191"/>
      <c r="H575" s="1191"/>
      <c r="I575" s="1191"/>
      <c r="J575" s="1191"/>
      <c r="K575" s="1191"/>
      <c r="L575" s="1191"/>
      <c r="M575" s="1191"/>
      <c r="N575" s="1191"/>
      <c r="O575" s="1191"/>
      <c r="P575" s="1191"/>
      <c r="Q575" s="1191"/>
      <c r="R575" s="1191"/>
      <c r="S575" s="1191"/>
      <c r="T575" s="1191"/>
      <c r="U575" s="1191"/>
      <c r="V575" s="1192"/>
      <c r="W575" s="1191"/>
      <c r="X575" s="1191"/>
      <c r="Y575" s="1191"/>
      <c r="Z575" s="1191"/>
    </row>
    <row r="576" spans="1:26" ht="15.75" customHeight="1">
      <c r="A576" s="1191"/>
      <c r="B576" s="1191"/>
      <c r="C576" s="1191"/>
      <c r="D576" s="1191"/>
      <c r="E576" s="1191"/>
      <c r="F576" s="1191"/>
      <c r="G576" s="1191"/>
      <c r="H576" s="1191"/>
      <c r="I576" s="1191"/>
      <c r="J576" s="1191"/>
      <c r="K576" s="1191"/>
      <c r="L576" s="1191"/>
      <c r="M576" s="1191"/>
      <c r="N576" s="1191"/>
      <c r="O576" s="1191"/>
      <c r="P576" s="1191"/>
      <c r="Q576" s="1191"/>
      <c r="R576" s="1191"/>
      <c r="S576" s="1191"/>
      <c r="T576" s="1191"/>
      <c r="U576" s="1191"/>
      <c r="V576" s="1192"/>
      <c r="W576" s="1191"/>
      <c r="X576" s="1191"/>
      <c r="Y576" s="1191"/>
      <c r="Z576" s="1191"/>
    </row>
    <row r="577" spans="1:26" ht="15.75" customHeight="1">
      <c r="A577" s="1191"/>
      <c r="B577" s="1191"/>
      <c r="C577" s="1191"/>
      <c r="D577" s="1191"/>
      <c r="E577" s="1191"/>
      <c r="F577" s="1191"/>
      <c r="G577" s="1191"/>
      <c r="H577" s="1191"/>
      <c r="I577" s="1191"/>
      <c r="J577" s="1191"/>
      <c r="K577" s="1191"/>
      <c r="L577" s="1191"/>
      <c r="M577" s="1191"/>
      <c r="N577" s="1191"/>
      <c r="O577" s="1191"/>
      <c r="P577" s="1191"/>
      <c r="Q577" s="1191"/>
      <c r="R577" s="1191"/>
      <c r="S577" s="1191"/>
      <c r="T577" s="1191"/>
      <c r="U577" s="1191"/>
      <c r="V577" s="1192"/>
      <c r="W577" s="1191"/>
      <c r="X577" s="1191"/>
      <c r="Y577" s="1191"/>
      <c r="Z577" s="1191"/>
    </row>
    <row r="578" spans="1:26" ht="15.75" customHeight="1">
      <c r="A578" s="1191"/>
      <c r="B578" s="1191"/>
      <c r="C578" s="1191"/>
      <c r="D578" s="1191"/>
      <c r="E578" s="1191"/>
      <c r="F578" s="1191"/>
      <c r="G578" s="1191"/>
      <c r="H578" s="1191"/>
      <c r="I578" s="1191"/>
      <c r="J578" s="1191"/>
      <c r="K578" s="1191"/>
      <c r="L578" s="1191"/>
      <c r="M578" s="1191"/>
      <c r="N578" s="1191"/>
      <c r="O578" s="1191"/>
      <c r="P578" s="1191"/>
      <c r="Q578" s="1191"/>
      <c r="R578" s="1191"/>
      <c r="S578" s="1191"/>
      <c r="T578" s="1191"/>
      <c r="U578" s="1191"/>
      <c r="V578" s="1192"/>
      <c r="W578" s="1191"/>
      <c r="X578" s="1191"/>
      <c r="Y578" s="1191"/>
      <c r="Z578" s="1191"/>
    </row>
    <row r="579" spans="1:26" ht="15.75" customHeight="1">
      <c r="A579" s="1191"/>
      <c r="B579" s="1191"/>
      <c r="C579" s="1191"/>
      <c r="D579" s="1191"/>
      <c r="E579" s="1191"/>
      <c r="F579" s="1191"/>
      <c r="G579" s="1191"/>
      <c r="H579" s="1191"/>
      <c r="I579" s="1191"/>
      <c r="J579" s="1191"/>
      <c r="K579" s="1191"/>
      <c r="L579" s="1191"/>
      <c r="M579" s="1191"/>
      <c r="N579" s="1191"/>
      <c r="O579" s="1191"/>
      <c r="P579" s="1191"/>
      <c r="Q579" s="1191"/>
      <c r="R579" s="1191"/>
      <c r="S579" s="1191"/>
      <c r="T579" s="1191"/>
      <c r="U579" s="1191"/>
      <c r="V579" s="1192"/>
      <c r="W579" s="1191"/>
      <c r="X579" s="1191"/>
      <c r="Y579" s="1191"/>
      <c r="Z579" s="1191"/>
    </row>
    <row r="580" spans="1:26" ht="15.75" customHeight="1">
      <c r="A580" s="1191"/>
      <c r="B580" s="1191"/>
      <c r="C580" s="1191"/>
      <c r="D580" s="1191"/>
      <c r="E580" s="1191"/>
      <c r="F580" s="1191"/>
      <c r="G580" s="1191"/>
      <c r="H580" s="1191"/>
      <c r="I580" s="1191"/>
      <c r="J580" s="1191"/>
      <c r="K580" s="1191"/>
      <c r="L580" s="1191"/>
      <c r="M580" s="1191"/>
      <c r="N580" s="1191"/>
      <c r="O580" s="1191"/>
      <c r="P580" s="1191"/>
      <c r="Q580" s="1191"/>
      <c r="R580" s="1191"/>
      <c r="S580" s="1191"/>
      <c r="T580" s="1191"/>
      <c r="U580" s="1191"/>
      <c r="V580" s="1192"/>
      <c r="W580" s="1191"/>
      <c r="X580" s="1191"/>
      <c r="Y580" s="1191"/>
      <c r="Z580" s="1191"/>
    </row>
    <row r="581" spans="1:26" ht="15.75" customHeight="1">
      <c r="A581" s="1191"/>
      <c r="B581" s="1191"/>
      <c r="C581" s="1191"/>
      <c r="D581" s="1191"/>
      <c r="E581" s="1191"/>
      <c r="F581" s="1191"/>
      <c r="G581" s="1191"/>
      <c r="H581" s="1191"/>
      <c r="I581" s="1191"/>
      <c r="J581" s="1191"/>
      <c r="K581" s="1191"/>
      <c r="L581" s="1191"/>
      <c r="M581" s="1191"/>
      <c r="N581" s="1191"/>
      <c r="O581" s="1191"/>
      <c r="P581" s="1191"/>
      <c r="Q581" s="1191"/>
      <c r="R581" s="1191"/>
      <c r="S581" s="1191"/>
      <c r="T581" s="1191"/>
      <c r="U581" s="1191"/>
      <c r="V581" s="1192"/>
      <c r="W581" s="1191"/>
      <c r="X581" s="1191"/>
      <c r="Y581" s="1191"/>
      <c r="Z581" s="1191"/>
    </row>
    <row r="582" spans="1:26" ht="15.75" customHeight="1">
      <c r="A582" s="1191"/>
      <c r="B582" s="1191"/>
      <c r="C582" s="1191"/>
      <c r="D582" s="1191"/>
      <c r="E582" s="1191"/>
      <c r="F582" s="1191"/>
      <c r="G582" s="1191"/>
      <c r="H582" s="1191"/>
      <c r="I582" s="1191"/>
      <c r="J582" s="1191"/>
      <c r="K582" s="1191"/>
      <c r="L582" s="1191"/>
      <c r="M582" s="1191"/>
      <c r="N582" s="1191"/>
      <c r="O582" s="1191"/>
      <c r="P582" s="1191"/>
      <c r="Q582" s="1191"/>
      <c r="R582" s="1191"/>
      <c r="S582" s="1191"/>
      <c r="T582" s="1191"/>
      <c r="U582" s="1191"/>
      <c r="V582" s="1192"/>
      <c r="W582" s="1191"/>
      <c r="X582" s="1191"/>
      <c r="Y582" s="1191"/>
      <c r="Z582" s="1191"/>
    </row>
    <row r="583" spans="1:26" ht="15.75" customHeight="1">
      <c r="A583" s="1191"/>
      <c r="B583" s="1191"/>
      <c r="C583" s="1191"/>
      <c r="D583" s="1191"/>
      <c r="E583" s="1191"/>
      <c r="F583" s="1191"/>
      <c r="G583" s="1191"/>
      <c r="H583" s="1191"/>
      <c r="I583" s="1191"/>
      <c r="J583" s="1191"/>
      <c r="K583" s="1191"/>
      <c r="L583" s="1191"/>
      <c r="M583" s="1191"/>
      <c r="N583" s="1191"/>
      <c r="O583" s="1191"/>
      <c r="P583" s="1191"/>
      <c r="Q583" s="1191"/>
      <c r="R583" s="1191"/>
      <c r="S583" s="1191"/>
      <c r="T583" s="1191"/>
      <c r="U583" s="1191"/>
      <c r="V583" s="1192"/>
      <c r="W583" s="1191"/>
      <c r="X583" s="1191"/>
      <c r="Y583" s="1191"/>
      <c r="Z583" s="1191"/>
    </row>
    <row r="584" spans="1:26" ht="15.75" customHeight="1">
      <c r="A584" s="1191"/>
      <c r="B584" s="1191"/>
      <c r="C584" s="1191"/>
      <c r="D584" s="1191"/>
      <c r="E584" s="1191"/>
      <c r="F584" s="1191"/>
      <c r="G584" s="1191"/>
      <c r="H584" s="1191"/>
      <c r="I584" s="1191"/>
      <c r="J584" s="1191"/>
      <c r="K584" s="1191"/>
      <c r="L584" s="1191"/>
      <c r="M584" s="1191"/>
      <c r="N584" s="1191"/>
      <c r="O584" s="1191"/>
      <c r="P584" s="1191"/>
      <c r="Q584" s="1191"/>
      <c r="R584" s="1191"/>
      <c r="S584" s="1191"/>
      <c r="T584" s="1191"/>
      <c r="U584" s="1191"/>
      <c r="V584" s="1192"/>
      <c r="W584" s="1191"/>
      <c r="X584" s="1191"/>
      <c r="Y584" s="1191"/>
      <c r="Z584" s="1191"/>
    </row>
    <row r="585" spans="1:26" ht="15.75" customHeight="1">
      <c r="A585" s="1191"/>
      <c r="B585" s="1191"/>
      <c r="C585" s="1191"/>
      <c r="D585" s="1191"/>
      <c r="E585" s="1191"/>
      <c r="F585" s="1191"/>
      <c r="G585" s="1191"/>
      <c r="H585" s="1191"/>
      <c r="I585" s="1191"/>
      <c r="J585" s="1191"/>
      <c r="K585" s="1191"/>
      <c r="L585" s="1191"/>
      <c r="M585" s="1191"/>
      <c r="N585" s="1191"/>
      <c r="O585" s="1191"/>
      <c r="P585" s="1191"/>
      <c r="Q585" s="1191"/>
      <c r="R585" s="1191"/>
      <c r="S585" s="1191"/>
      <c r="T585" s="1191"/>
      <c r="U585" s="1191"/>
      <c r="V585" s="1192"/>
      <c r="W585" s="1191"/>
      <c r="X585" s="1191"/>
      <c r="Y585" s="1191"/>
      <c r="Z585" s="1191"/>
    </row>
    <row r="586" spans="1:26" ht="15.75" customHeight="1">
      <c r="A586" s="1191"/>
      <c r="B586" s="1191"/>
      <c r="C586" s="1191"/>
      <c r="D586" s="1191"/>
      <c r="E586" s="1191"/>
      <c r="F586" s="1191"/>
      <c r="G586" s="1191"/>
      <c r="H586" s="1191"/>
      <c r="I586" s="1191"/>
      <c r="J586" s="1191"/>
      <c r="K586" s="1191"/>
      <c r="L586" s="1191"/>
      <c r="M586" s="1191"/>
      <c r="N586" s="1191"/>
      <c r="O586" s="1191"/>
      <c r="P586" s="1191"/>
      <c r="Q586" s="1191"/>
      <c r="R586" s="1191"/>
      <c r="S586" s="1191"/>
      <c r="T586" s="1191"/>
      <c r="U586" s="1191"/>
      <c r="V586" s="1192"/>
      <c r="W586" s="1191"/>
      <c r="X586" s="1191"/>
      <c r="Y586" s="1191"/>
      <c r="Z586" s="1191"/>
    </row>
    <row r="587" spans="1:26" ht="15.75" customHeight="1">
      <c r="A587" s="1191"/>
      <c r="B587" s="1191"/>
      <c r="C587" s="1191"/>
      <c r="D587" s="1191"/>
      <c r="E587" s="1191"/>
      <c r="F587" s="1191"/>
      <c r="G587" s="1191"/>
      <c r="H587" s="1191"/>
      <c r="I587" s="1191"/>
      <c r="J587" s="1191"/>
      <c r="K587" s="1191"/>
      <c r="L587" s="1191"/>
      <c r="M587" s="1191"/>
      <c r="N587" s="1191"/>
      <c r="O587" s="1191"/>
      <c r="P587" s="1191"/>
      <c r="Q587" s="1191"/>
      <c r="R587" s="1191"/>
      <c r="S587" s="1191"/>
      <c r="T587" s="1191"/>
      <c r="U587" s="1191"/>
      <c r="V587" s="1192"/>
      <c r="W587" s="1191"/>
      <c r="X587" s="1191"/>
      <c r="Y587" s="1191"/>
      <c r="Z587" s="1191"/>
    </row>
    <row r="588" spans="1:26" ht="15.75" customHeight="1">
      <c r="A588" s="1191"/>
      <c r="B588" s="1191"/>
      <c r="C588" s="1191"/>
      <c r="D588" s="1191"/>
      <c r="E588" s="1191"/>
      <c r="F588" s="1191"/>
      <c r="G588" s="1191"/>
      <c r="H588" s="1191"/>
      <c r="I588" s="1191"/>
      <c r="J588" s="1191"/>
      <c r="K588" s="1191"/>
      <c r="L588" s="1191"/>
      <c r="M588" s="1191"/>
      <c r="N588" s="1191"/>
      <c r="O588" s="1191"/>
      <c r="P588" s="1191"/>
      <c r="Q588" s="1191"/>
      <c r="R588" s="1191"/>
      <c r="S588" s="1191"/>
      <c r="T588" s="1191"/>
      <c r="U588" s="1191"/>
      <c r="V588" s="1192"/>
      <c r="W588" s="1191"/>
      <c r="X588" s="1191"/>
      <c r="Y588" s="1191"/>
      <c r="Z588" s="1191"/>
    </row>
    <row r="589" spans="1:26" ht="15.75" customHeight="1">
      <c r="A589" s="1191"/>
      <c r="B589" s="1191"/>
      <c r="C589" s="1191"/>
      <c r="D589" s="1191"/>
      <c r="E589" s="1191"/>
      <c r="F589" s="1191"/>
      <c r="G589" s="1191"/>
      <c r="H589" s="1191"/>
      <c r="I589" s="1191"/>
      <c r="J589" s="1191"/>
      <c r="K589" s="1191"/>
      <c r="L589" s="1191"/>
      <c r="M589" s="1191"/>
      <c r="N589" s="1191"/>
      <c r="O589" s="1191"/>
      <c r="P589" s="1191"/>
      <c r="Q589" s="1191"/>
      <c r="R589" s="1191"/>
      <c r="S589" s="1191"/>
      <c r="T589" s="1191"/>
      <c r="U589" s="1191"/>
      <c r="V589" s="1192"/>
      <c r="W589" s="1191"/>
      <c r="X589" s="1191"/>
      <c r="Y589" s="1191"/>
      <c r="Z589" s="1191"/>
    </row>
    <row r="590" spans="1:26" ht="15.75" customHeight="1">
      <c r="A590" s="1191"/>
      <c r="B590" s="1191"/>
      <c r="C590" s="1191"/>
      <c r="D590" s="1191"/>
      <c r="E590" s="1191"/>
      <c r="F590" s="1191"/>
      <c r="G590" s="1191"/>
      <c r="H590" s="1191"/>
      <c r="I590" s="1191"/>
      <c r="J590" s="1191"/>
      <c r="K590" s="1191"/>
      <c r="L590" s="1191"/>
      <c r="M590" s="1191"/>
      <c r="N590" s="1191"/>
      <c r="O590" s="1191"/>
      <c r="P590" s="1191"/>
      <c r="Q590" s="1191"/>
      <c r="R590" s="1191"/>
      <c r="S590" s="1191"/>
      <c r="T590" s="1191"/>
      <c r="U590" s="1191"/>
      <c r="V590" s="1192"/>
      <c r="W590" s="1191"/>
      <c r="X590" s="1191"/>
      <c r="Y590" s="1191"/>
      <c r="Z590" s="1191"/>
    </row>
    <row r="591" spans="1:26" ht="15.75" customHeight="1">
      <c r="A591" s="1191"/>
      <c r="B591" s="1191"/>
      <c r="C591" s="1191"/>
      <c r="D591" s="1191"/>
      <c r="E591" s="1191"/>
      <c r="F591" s="1191"/>
      <c r="G591" s="1191"/>
      <c r="H591" s="1191"/>
      <c r="I591" s="1191"/>
      <c r="J591" s="1191"/>
      <c r="K591" s="1191"/>
      <c r="L591" s="1191"/>
      <c r="M591" s="1191"/>
      <c r="N591" s="1191"/>
      <c r="O591" s="1191"/>
      <c r="P591" s="1191"/>
      <c r="Q591" s="1191"/>
      <c r="R591" s="1191"/>
      <c r="S591" s="1191"/>
      <c r="T591" s="1191"/>
      <c r="U591" s="1191"/>
      <c r="V591" s="1192"/>
      <c r="W591" s="1191"/>
      <c r="X591" s="1191"/>
      <c r="Y591" s="1191"/>
      <c r="Z591" s="1191"/>
    </row>
    <row r="592" spans="1:26" ht="15.75" customHeight="1">
      <c r="A592" s="1191"/>
      <c r="B592" s="1191"/>
      <c r="C592" s="1191"/>
      <c r="D592" s="1191"/>
      <c r="E592" s="1191"/>
      <c r="F592" s="1191"/>
      <c r="G592" s="1191"/>
      <c r="H592" s="1191"/>
      <c r="I592" s="1191"/>
      <c r="J592" s="1191"/>
      <c r="K592" s="1191"/>
      <c r="L592" s="1191"/>
      <c r="M592" s="1191"/>
      <c r="N592" s="1191"/>
      <c r="O592" s="1191"/>
      <c r="P592" s="1191"/>
      <c r="Q592" s="1191"/>
      <c r="R592" s="1191"/>
      <c r="S592" s="1191"/>
      <c r="T592" s="1191"/>
      <c r="U592" s="1191"/>
      <c r="V592" s="1192"/>
      <c r="W592" s="1191"/>
      <c r="X592" s="1191"/>
      <c r="Y592" s="1191"/>
      <c r="Z592" s="1191"/>
    </row>
    <row r="593" spans="1:26" ht="15.75" customHeight="1">
      <c r="A593" s="1191"/>
      <c r="B593" s="1191"/>
      <c r="C593" s="1191"/>
      <c r="D593" s="1191"/>
      <c r="E593" s="1191"/>
      <c r="F593" s="1191"/>
      <c r="G593" s="1191"/>
      <c r="H593" s="1191"/>
      <c r="I593" s="1191"/>
      <c r="J593" s="1191"/>
      <c r="K593" s="1191"/>
      <c r="L593" s="1191"/>
      <c r="M593" s="1191"/>
      <c r="N593" s="1191"/>
      <c r="O593" s="1191"/>
      <c r="P593" s="1191"/>
      <c r="Q593" s="1191"/>
      <c r="R593" s="1191"/>
      <c r="S593" s="1191"/>
      <c r="T593" s="1191"/>
      <c r="U593" s="1191"/>
      <c r="V593" s="1192"/>
      <c r="W593" s="1191"/>
      <c r="X593" s="1191"/>
      <c r="Y593" s="1191"/>
      <c r="Z593" s="1191"/>
    </row>
    <row r="594" spans="1:26" ht="15.75" customHeight="1">
      <c r="A594" s="1191"/>
      <c r="B594" s="1191"/>
      <c r="C594" s="1191"/>
      <c r="D594" s="1191"/>
      <c r="E594" s="1191"/>
      <c r="F594" s="1191"/>
      <c r="G594" s="1191"/>
      <c r="H594" s="1191"/>
      <c r="I594" s="1191"/>
      <c r="J594" s="1191"/>
      <c r="K594" s="1191"/>
      <c r="L594" s="1191"/>
      <c r="M594" s="1191"/>
      <c r="N594" s="1191"/>
      <c r="O594" s="1191"/>
      <c r="P594" s="1191"/>
      <c r="Q594" s="1191"/>
      <c r="R594" s="1191"/>
      <c r="S594" s="1191"/>
      <c r="T594" s="1191"/>
      <c r="U594" s="1191"/>
      <c r="V594" s="1192"/>
      <c r="W594" s="1191"/>
      <c r="X594" s="1191"/>
      <c r="Y594" s="1191"/>
      <c r="Z594" s="1191"/>
    </row>
    <row r="595" spans="1:26" ht="15.75" customHeight="1">
      <c r="A595" s="1191"/>
      <c r="B595" s="1191"/>
      <c r="C595" s="1191"/>
      <c r="D595" s="1191"/>
      <c r="E595" s="1191"/>
      <c r="F595" s="1191"/>
      <c r="G595" s="1191"/>
      <c r="H595" s="1191"/>
      <c r="I595" s="1191"/>
      <c r="J595" s="1191"/>
      <c r="K595" s="1191"/>
      <c r="L595" s="1191"/>
      <c r="M595" s="1191"/>
      <c r="N595" s="1191"/>
      <c r="O595" s="1191"/>
      <c r="P595" s="1191"/>
      <c r="Q595" s="1191"/>
      <c r="R595" s="1191"/>
      <c r="S595" s="1191"/>
      <c r="T595" s="1191"/>
      <c r="U595" s="1191"/>
      <c r="V595" s="1192"/>
      <c r="W595" s="1191"/>
      <c r="X595" s="1191"/>
      <c r="Y595" s="1191"/>
      <c r="Z595" s="1191"/>
    </row>
    <row r="596" spans="1:26" ht="15.75" customHeight="1">
      <c r="A596" s="1191"/>
      <c r="B596" s="1191"/>
      <c r="C596" s="1191"/>
      <c r="D596" s="1191"/>
      <c r="E596" s="1191"/>
      <c r="F596" s="1191"/>
      <c r="G596" s="1191"/>
      <c r="H596" s="1191"/>
      <c r="I596" s="1191"/>
      <c r="J596" s="1191"/>
      <c r="K596" s="1191"/>
      <c r="L596" s="1191"/>
      <c r="M596" s="1191"/>
      <c r="N596" s="1191"/>
      <c r="O596" s="1191"/>
      <c r="P596" s="1191"/>
      <c r="Q596" s="1191"/>
      <c r="R596" s="1191"/>
      <c r="S596" s="1191"/>
      <c r="T596" s="1191"/>
      <c r="U596" s="1191"/>
      <c r="V596" s="1192"/>
      <c r="W596" s="1191"/>
      <c r="X596" s="1191"/>
      <c r="Y596" s="1191"/>
      <c r="Z596" s="1191"/>
    </row>
    <row r="597" spans="1:26" ht="15.75" customHeight="1">
      <c r="A597" s="1191"/>
      <c r="B597" s="1191"/>
      <c r="C597" s="1191"/>
      <c r="D597" s="1191"/>
      <c r="E597" s="1191"/>
      <c r="F597" s="1191"/>
      <c r="G597" s="1191"/>
      <c r="H597" s="1191"/>
      <c r="I597" s="1191"/>
      <c r="J597" s="1191"/>
      <c r="K597" s="1191"/>
      <c r="L597" s="1191"/>
      <c r="M597" s="1191"/>
      <c r="N597" s="1191"/>
      <c r="O597" s="1191"/>
      <c r="P597" s="1191"/>
      <c r="Q597" s="1191"/>
      <c r="R597" s="1191"/>
      <c r="S597" s="1191"/>
      <c r="T597" s="1191"/>
      <c r="U597" s="1191"/>
      <c r="V597" s="1192"/>
      <c r="W597" s="1191"/>
      <c r="X597" s="1191"/>
      <c r="Y597" s="1191"/>
      <c r="Z597" s="1191"/>
    </row>
    <row r="598" spans="1:26" ht="15.75" customHeight="1">
      <c r="A598" s="1191"/>
      <c r="B598" s="1191"/>
      <c r="C598" s="1191"/>
      <c r="D598" s="1191"/>
      <c r="E598" s="1191"/>
      <c r="F598" s="1191"/>
      <c r="G598" s="1191"/>
      <c r="H598" s="1191"/>
      <c r="I598" s="1191"/>
      <c r="J598" s="1191"/>
      <c r="K598" s="1191"/>
      <c r="L598" s="1191"/>
      <c r="M598" s="1191"/>
      <c r="N598" s="1191"/>
      <c r="O598" s="1191"/>
      <c r="P598" s="1191"/>
      <c r="Q598" s="1191"/>
      <c r="R598" s="1191"/>
      <c r="S598" s="1191"/>
      <c r="T598" s="1191"/>
      <c r="U598" s="1191"/>
      <c r="V598" s="1192"/>
      <c r="W598" s="1191"/>
      <c r="X598" s="1191"/>
      <c r="Y598" s="1191"/>
      <c r="Z598" s="1191"/>
    </row>
    <row r="599" spans="1:26" ht="15.75" customHeight="1">
      <c r="A599" s="1191"/>
      <c r="B599" s="1191"/>
      <c r="C599" s="1191"/>
      <c r="D599" s="1191"/>
      <c r="E599" s="1191"/>
      <c r="F599" s="1191"/>
      <c r="G599" s="1191"/>
      <c r="H599" s="1191"/>
      <c r="I599" s="1191"/>
      <c r="J599" s="1191"/>
      <c r="K599" s="1191"/>
      <c r="L599" s="1191"/>
      <c r="M599" s="1191"/>
      <c r="N599" s="1191"/>
      <c r="O599" s="1191"/>
      <c r="P599" s="1191"/>
      <c r="Q599" s="1191"/>
      <c r="R599" s="1191"/>
      <c r="S599" s="1191"/>
      <c r="T599" s="1191"/>
      <c r="U599" s="1191"/>
      <c r="V599" s="1192"/>
      <c r="W599" s="1191"/>
      <c r="X599" s="1191"/>
      <c r="Y599" s="1191"/>
      <c r="Z599" s="1191"/>
    </row>
    <row r="600" spans="1:26" ht="15.75" customHeight="1">
      <c r="A600" s="1191"/>
      <c r="B600" s="1191"/>
      <c r="C600" s="1191"/>
      <c r="D600" s="1191"/>
      <c r="E600" s="1191"/>
      <c r="F600" s="1191"/>
      <c r="G600" s="1191"/>
      <c r="H600" s="1191"/>
      <c r="I600" s="1191"/>
      <c r="J600" s="1191"/>
      <c r="K600" s="1191"/>
      <c r="L600" s="1191"/>
      <c r="M600" s="1191"/>
      <c r="N600" s="1191"/>
      <c r="O600" s="1191"/>
      <c r="P600" s="1191"/>
      <c r="Q600" s="1191"/>
      <c r="R600" s="1191"/>
      <c r="S600" s="1191"/>
      <c r="T600" s="1191"/>
      <c r="U600" s="1191"/>
      <c r="V600" s="1192"/>
      <c r="W600" s="1191"/>
      <c r="X600" s="1191"/>
      <c r="Y600" s="1191"/>
      <c r="Z600" s="1191"/>
    </row>
    <row r="601" spans="1:26" ht="15.75" customHeight="1">
      <c r="A601" s="1191"/>
      <c r="B601" s="1191"/>
      <c r="C601" s="1191"/>
      <c r="D601" s="1191"/>
      <c r="E601" s="1191"/>
      <c r="F601" s="1191"/>
      <c r="G601" s="1191"/>
      <c r="H601" s="1191"/>
      <c r="I601" s="1191"/>
      <c r="J601" s="1191"/>
      <c r="K601" s="1191"/>
      <c r="L601" s="1191"/>
      <c r="M601" s="1191"/>
      <c r="N601" s="1191"/>
      <c r="O601" s="1191"/>
      <c r="P601" s="1191"/>
      <c r="Q601" s="1191"/>
      <c r="R601" s="1191"/>
      <c r="S601" s="1191"/>
      <c r="T601" s="1191"/>
      <c r="U601" s="1191"/>
      <c r="V601" s="1192"/>
      <c r="W601" s="1191"/>
      <c r="X601" s="1191"/>
      <c r="Y601" s="1191"/>
      <c r="Z601" s="1191"/>
    </row>
    <row r="602" spans="1:26" ht="15.75" customHeight="1">
      <c r="A602" s="1191"/>
      <c r="B602" s="1191"/>
      <c r="C602" s="1191"/>
      <c r="D602" s="1191"/>
      <c r="E602" s="1191"/>
      <c r="F602" s="1191"/>
      <c r="G602" s="1191"/>
      <c r="H602" s="1191"/>
      <c r="I602" s="1191"/>
      <c r="J602" s="1191"/>
      <c r="K602" s="1191"/>
      <c r="L602" s="1191"/>
      <c r="M602" s="1191"/>
      <c r="N602" s="1191"/>
      <c r="O602" s="1191"/>
      <c r="P602" s="1191"/>
      <c r="Q602" s="1191"/>
      <c r="R602" s="1191"/>
      <c r="S602" s="1191"/>
      <c r="T602" s="1191"/>
      <c r="U602" s="1191"/>
      <c r="V602" s="1192"/>
      <c r="W602" s="1191"/>
      <c r="X602" s="1191"/>
      <c r="Y602" s="1191"/>
      <c r="Z602" s="1191"/>
    </row>
    <row r="603" spans="1:26" ht="15.75" customHeight="1">
      <c r="A603" s="1191"/>
      <c r="B603" s="1191"/>
      <c r="C603" s="1191"/>
      <c r="D603" s="1191"/>
      <c r="E603" s="1191"/>
      <c r="F603" s="1191"/>
      <c r="G603" s="1191"/>
      <c r="H603" s="1191"/>
      <c r="I603" s="1191"/>
      <c r="J603" s="1191"/>
      <c r="K603" s="1191"/>
      <c r="L603" s="1191"/>
      <c r="M603" s="1191"/>
      <c r="N603" s="1191"/>
      <c r="O603" s="1191"/>
      <c r="P603" s="1191"/>
      <c r="Q603" s="1191"/>
      <c r="R603" s="1191"/>
      <c r="S603" s="1191"/>
      <c r="T603" s="1191"/>
      <c r="U603" s="1191"/>
      <c r="V603" s="1192"/>
      <c r="W603" s="1191"/>
      <c r="X603" s="1191"/>
      <c r="Y603" s="1191"/>
      <c r="Z603" s="1191"/>
    </row>
    <row r="604" spans="1:26" ht="15.75" customHeight="1">
      <c r="A604" s="1191"/>
      <c r="B604" s="1191"/>
      <c r="C604" s="1191"/>
      <c r="D604" s="1191"/>
      <c r="E604" s="1191"/>
      <c r="F604" s="1191"/>
      <c r="G604" s="1191"/>
      <c r="H604" s="1191"/>
      <c r="I604" s="1191"/>
      <c r="J604" s="1191"/>
      <c r="K604" s="1191"/>
      <c r="L604" s="1191"/>
      <c r="M604" s="1191"/>
      <c r="N604" s="1191"/>
      <c r="O604" s="1191"/>
      <c r="P604" s="1191"/>
      <c r="Q604" s="1191"/>
      <c r="R604" s="1191"/>
      <c r="S604" s="1191"/>
      <c r="T604" s="1191"/>
      <c r="U604" s="1191"/>
      <c r="V604" s="1192"/>
      <c r="W604" s="1191"/>
      <c r="X604" s="1191"/>
      <c r="Y604" s="1191"/>
      <c r="Z604" s="1191"/>
    </row>
    <row r="605" spans="1:26" ht="15.75" customHeight="1">
      <c r="A605" s="1191"/>
      <c r="B605" s="1191"/>
      <c r="C605" s="1191"/>
      <c r="D605" s="1191"/>
      <c r="E605" s="1191"/>
      <c r="F605" s="1191"/>
      <c r="G605" s="1191"/>
      <c r="H605" s="1191"/>
      <c r="I605" s="1191"/>
      <c r="J605" s="1191"/>
      <c r="K605" s="1191"/>
      <c r="L605" s="1191"/>
      <c r="M605" s="1191"/>
      <c r="N605" s="1191"/>
      <c r="O605" s="1191"/>
      <c r="P605" s="1191"/>
      <c r="Q605" s="1191"/>
      <c r="R605" s="1191"/>
      <c r="S605" s="1191"/>
      <c r="T605" s="1191"/>
      <c r="U605" s="1191"/>
      <c r="V605" s="1192"/>
      <c r="W605" s="1191"/>
      <c r="X605" s="1191"/>
      <c r="Y605" s="1191"/>
      <c r="Z605" s="1191"/>
    </row>
    <row r="606" spans="1:26" ht="15.75" customHeight="1">
      <c r="A606" s="1191"/>
      <c r="B606" s="1191"/>
      <c r="C606" s="1191"/>
      <c r="D606" s="1191"/>
      <c r="E606" s="1191"/>
      <c r="F606" s="1191"/>
      <c r="G606" s="1191"/>
      <c r="H606" s="1191"/>
      <c r="I606" s="1191"/>
      <c r="J606" s="1191"/>
      <c r="K606" s="1191"/>
      <c r="L606" s="1191"/>
      <c r="M606" s="1191"/>
      <c r="N606" s="1191"/>
      <c r="O606" s="1191"/>
      <c r="P606" s="1191"/>
      <c r="Q606" s="1191"/>
      <c r="R606" s="1191"/>
      <c r="S606" s="1191"/>
      <c r="T606" s="1191"/>
      <c r="U606" s="1191"/>
      <c r="V606" s="1192"/>
      <c r="W606" s="1191"/>
      <c r="X606" s="1191"/>
      <c r="Y606" s="1191"/>
      <c r="Z606" s="1191"/>
    </row>
    <row r="607" spans="1:26" ht="15.75" customHeight="1">
      <c r="A607" s="1191"/>
      <c r="B607" s="1191"/>
      <c r="C607" s="1191"/>
      <c r="D607" s="1191"/>
      <c r="E607" s="1191"/>
      <c r="F607" s="1191"/>
      <c r="G607" s="1191"/>
      <c r="H607" s="1191"/>
      <c r="I607" s="1191"/>
      <c r="J607" s="1191"/>
      <c r="K607" s="1191"/>
      <c r="L607" s="1191"/>
      <c r="M607" s="1191"/>
      <c r="N607" s="1191"/>
      <c r="O607" s="1191"/>
      <c r="P607" s="1191"/>
      <c r="Q607" s="1191"/>
      <c r="R607" s="1191"/>
      <c r="S607" s="1191"/>
      <c r="T607" s="1191"/>
      <c r="U607" s="1191"/>
      <c r="V607" s="1192"/>
      <c r="W607" s="1191"/>
      <c r="X607" s="1191"/>
      <c r="Y607" s="1191"/>
      <c r="Z607" s="1191"/>
    </row>
    <row r="608" spans="1:26" ht="15.75" customHeight="1">
      <c r="A608" s="1191"/>
      <c r="B608" s="1191"/>
      <c r="C608" s="1191"/>
      <c r="D608" s="1191"/>
      <c r="E608" s="1191"/>
      <c r="F608" s="1191"/>
      <c r="G608" s="1191"/>
      <c r="H608" s="1191"/>
      <c r="I608" s="1191"/>
      <c r="J608" s="1191"/>
      <c r="K608" s="1191"/>
      <c r="L608" s="1191"/>
      <c r="M608" s="1191"/>
      <c r="N608" s="1191"/>
      <c r="O608" s="1191"/>
      <c r="P608" s="1191"/>
      <c r="Q608" s="1191"/>
      <c r="R608" s="1191"/>
      <c r="S608" s="1191"/>
      <c r="T608" s="1191"/>
      <c r="U608" s="1191"/>
      <c r="V608" s="1192"/>
      <c r="W608" s="1191"/>
      <c r="X608" s="1191"/>
      <c r="Y608" s="1191"/>
      <c r="Z608" s="1191"/>
    </row>
    <row r="609" spans="1:26" ht="15.75" customHeight="1">
      <c r="A609" s="1191"/>
      <c r="B609" s="1191"/>
      <c r="C609" s="1191"/>
      <c r="D609" s="1191"/>
      <c r="E609" s="1191"/>
      <c r="F609" s="1191"/>
      <c r="G609" s="1191"/>
      <c r="H609" s="1191"/>
      <c r="I609" s="1191"/>
      <c r="J609" s="1191"/>
      <c r="K609" s="1191"/>
      <c r="L609" s="1191"/>
      <c r="M609" s="1191"/>
      <c r="N609" s="1191"/>
      <c r="O609" s="1191"/>
      <c r="P609" s="1191"/>
      <c r="Q609" s="1191"/>
      <c r="R609" s="1191"/>
      <c r="S609" s="1191"/>
      <c r="T609" s="1191"/>
      <c r="U609" s="1191"/>
      <c r="V609" s="1192"/>
      <c r="W609" s="1191"/>
      <c r="X609" s="1191"/>
      <c r="Y609" s="1191"/>
      <c r="Z609" s="1191"/>
    </row>
    <row r="610" spans="1:26" ht="15.75" customHeight="1">
      <c r="A610" s="1191"/>
      <c r="B610" s="1191"/>
      <c r="C610" s="1191"/>
      <c r="D610" s="1191"/>
      <c r="E610" s="1191"/>
      <c r="F610" s="1191"/>
      <c r="G610" s="1191"/>
      <c r="H610" s="1191"/>
      <c r="I610" s="1191"/>
      <c r="J610" s="1191"/>
      <c r="K610" s="1191"/>
      <c r="L610" s="1191"/>
      <c r="M610" s="1191"/>
      <c r="N610" s="1191"/>
      <c r="O610" s="1191"/>
      <c r="P610" s="1191"/>
      <c r="Q610" s="1191"/>
      <c r="R610" s="1191"/>
      <c r="S610" s="1191"/>
      <c r="T610" s="1191"/>
      <c r="U610" s="1191"/>
      <c r="V610" s="1192"/>
      <c r="W610" s="1191"/>
      <c r="X610" s="1191"/>
      <c r="Y610" s="1191"/>
      <c r="Z610" s="1191"/>
    </row>
    <row r="611" spans="1:26" ht="15.75" customHeight="1">
      <c r="A611" s="1191"/>
      <c r="B611" s="1191"/>
      <c r="C611" s="1191"/>
      <c r="D611" s="1191"/>
      <c r="E611" s="1191"/>
      <c r="F611" s="1191"/>
      <c r="G611" s="1191"/>
      <c r="H611" s="1191"/>
      <c r="I611" s="1191"/>
      <c r="J611" s="1191"/>
      <c r="K611" s="1191"/>
      <c r="L611" s="1191"/>
      <c r="M611" s="1191"/>
      <c r="N611" s="1191"/>
      <c r="O611" s="1191"/>
      <c r="P611" s="1191"/>
      <c r="Q611" s="1191"/>
      <c r="R611" s="1191"/>
      <c r="S611" s="1191"/>
      <c r="T611" s="1191"/>
      <c r="U611" s="1191"/>
      <c r="V611" s="1192"/>
      <c r="W611" s="1191"/>
      <c r="X611" s="1191"/>
      <c r="Y611" s="1191"/>
      <c r="Z611" s="1191"/>
    </row>
    <row r="612" spans="1:26" ht="15.75" customHeight="1">
      <c r="A612" s="1191"/>
      <c r="B612" s="1191"/>
      <c r="C612" s="1191"/>
      <c r="D612" s="1191"/>
      <c r="E612" s="1191"/>
      <c r="F612" s="1191"/>
      <c r="G612" s="1191"/>
      <c r="H612" s="1191"/>
      <c r="I612" s="1191"/>
      <c r="J612" s="1191"/>
      <c r="K612" s="1191"/>
      <c r="L612" s="1191"/>
      <c r="M612" s="1191"/>
      <c r="N612" s="1191"/>
      <c r="O612" s="1191"/>
      <c r="P612" s="1191"/>
      <c r="Q612" s="1191"/>
      <c r="R612" s="1191"/>
      <c r="S612" s="1191"/>
      <c r="T612" s="1191"/>
      <c r="U612" s="1191"/>
      <c r="V612" s="1192"/>
      <c r="W612" s="1191"/>
      <c r="X612" s="1191"/>
      <c r="Y612" s="1191"/>
      <c r="Z612" s="1191"/>
    </row>
    <row r="613" spans="1:26" ht="15.75" customHeight="1">
      <c r="A613" s="1191"/>
      <c r="B613" s="1191"/>
      <c r="C613" s="1191"/>
      <c r="D613" s="1191"/>
      <c r="E613" s="1191"/>
      <c r="F613" s="1191"/>
      <c r="G613" s="1191"/>
      <c r="H613" s="1191"/>
      <c r="I613" s="1191"/>
      <c r="J613" s="1191"/>
      <c r="K613" s="1191"/>
      <c r="L613" s="1191"/>
      <c r="M613" s="1191"/>
      <c r="N613" s="1191"/>
      <c r="O613" s="1191"/>
      <c r="P613" s="1191"/>
      <c r="Q613" s="1191"/>
      <c r="R613" s="1191"/>
      <c r="S613" s="1191"/>
      <c r="T613" s="1191"/>
      <c r="U613" s="1191"/>
      <c r="V613" s="1192"/>
      <c r="W613" s="1191"/>
      <c r="X613" s="1191"/>
      <c r="Y613" s="1191"/>
      <c r="Z613" s="1191"/>
    </row>
    <row r="614" spans="1:26" ht="15.75" customHeight="1">
      <c r="A614" s="1191"/>
      <c r="B614" s="1191"/>
      <c r="C614" s="1191"/>
      <c r="D614" s="1191"/>
      <c r="E614" s="1191"/>
      <c r="F614" s="1191"/>
      <c r="G614" s="1191"/>
      <c r="H614" s="1191"/>
      <c r="I614" s="1191"/>
      <c r="J614" s="1191"/>
      <c r="K614" s="1191"/>
      <c r="L614" s="1191"/>
      <c r="M614" s="1191"/>
      <c r="N614" s="1191"/>
      <c r="O614" s="1191"/>
      <c r="P614" s="1191"/>
      <c r="Q614" s="1191"/>
      <c r="R614" s="1191"/>
      <c r="S614" s="1191"/>
      <c r="T614" s="1191"/>
      <c r="U614" s="1191"/>
      <c r="V614" s="1192"/>
      <c r="W614" s="1191"/>
      <c r="X614" s="1191"/>
      <c r="Y614" s="1191"/>
      <c r="Z614" s="1191"/>
    </row>
    <row r="615" spans="1:26" ht="15.75" customHeight="1">
      <c r="A615" s="1191"/>
      <c r="B615" s="1191"/>
      <c r="C615" s="1191"/>
      <c r="D615" s="1191"/>
      <c r="E615" s="1191"/>
      <c r="F615" s="1191"/>
      <c r="G615" s="1191"/>
      <c r="H615" s="1191"/>
      <c r="I615" s="1191"/>
      <c r="J615" s="1191"/>
      <c r="K615" s="1191"/>
      <c r="L615" s="1191"/>
      <c r="M615" s="1191"/>
      <c r="N615" s="1191"/>
      <c r="O615" s="1191"/>
      <c r="P615" s="1191"/>
      <c r="Q615" s="1191"/>
      <c r="R615" s="1191"/>
      <c r="S615" s="1191"/>
      <c r="T615" s="1191"/>
      <c r="U615" s="1191"/>
      <c r="V615" s="1192"/>
      <c r="W615" s="1191"/>
      <c r="X615" s="1191"/>
      <c r="Y615" s="1191"/>
      <c r="Z615" s="1191"/>
    </row>
    <row r="616" spans="1:26" ht="15.75" customHeight="1">
      <c r="A616" s="1191"/>
      <c r="B616" s="1191"/>
      <c r="C616" s="1191"/>
      <c r="D616" s="1191"/>
      <c r="E616" s="1191"/>
      <c r="F616" s="1191"/>
      <c r="G616" s="1191"/>
      <c r="H616" s="1191"/>
      <c r="I616" s="1191"/>
      <c r="J616" s="1191"/>
      <c r="K616" s="1191"/>
      <c r="L616" s="1191"/>
      <c r="M616" s="1191"/>
      <c r="N616" s="1191"/>
      <c r="O616" s="1191"/>
      <c r="P616" s="1191"/>
      <c r="Q616" s="1191"/>
      <c r="R616" s="1191"/>
      <c r="S616" s="1191"/>
      <c r="T616" s="1191"/>
      <c r="U616" s="1191"/>
      <c r="V616" s="1192"/>
      <c r="W616" s="1191"/>
      <c r="X616" s="1191"/>
      <c r="Y616" s="1191"/>
      <c r="Z616" s="1191"/>
    </row>
    <row r="617" spans="1:26" ht="15.75" customHeight="1">
      <c r="A617" s="1191"/>
      <c r="B617" s="1191"/>
      <c r="C617" s="1191"/>
      <c r="D617" s="1191"/>
      <c r="E617" s="1191"/>
      <c r="F617" s="1191"/>
      <c r="G617" s="1191"/>
      <c r="H617" s="1191"/>
      <c r="I617" s="1191"/>
      <c r="J617" s="1191"/>
      <c r="K617" s="1191"/>
      <c r="L617" s="1191"/>
      <c r="M617" s="1191"/>
      <c r="N617" s="1191"/>
      <c r="O617" s="1191"/>
      <c r="P617" s="1191"/>
      <c r="Q617" s="1191"/>
      <c r="R617" s="1191"/>
      <c r="S617" s="1191"/>
      <c r="T617" s="1191"/>
      <c r="U617" s="1191"/>
      <c r="V617" s="1192"/>
      <c r="W617" s="1191"/>
      <c r="X617" s="1191"/>
      <c r="Y617" s="1191"/>
      <c r="Z617" s="1191"/>
    </row>
    <row r="618" spans="1:26" ht="15.75" customHeight="1">
      <c r="A618" s="1191"/>
      <c r="B618" s="1191"/>
      <c r="C618" s="1191"/>
      <c r="D618" s="1191"/>
      <c r="E618" s="1191"/>
      <c r="F618" s="1191"/>
      <c r="G618" s="1191"/>
      <c r="H618" s="1191"/>
      <c r="I618" s="1191"/>
      <c r="J618" s="1191"/>
      <c r="K618" s="1191"/>
      <c r="L618" s="1191"/>
      <c r="M618" s="1191"/>
      <c r="N618" s="1191"/>
      <c r="O618" s="1191"/>
      <c r="P618" s="1191"/>
      <c r="Q618" s="1191"/>
      <c r="R618" s="1191"/>
      <c r="S618" s="1191"/>
      <c r="T618" s="1191"/>
      <c r="U618" s="1191"/>
      <c r="V618" s="1192"/>
      <c r="W618" s="1191"/>
      <c r="X618" s="1191"/>
      <c r="Y618" s="1191"/>
      <c r="Z618" s="1191"/>
    </row>
    <row r="619" spans="1:26" ht="15.75" customHeight="1">
      <c r="A619" s="1191"/>
      <c r="B619" s="1191"/>
      <c r="C619" s="1191"/>
      <c r="D619" s="1191"/>
      <c r="E619" s="1191"/>
      <c r="F619" s="1191"/>
      <c r="G619" s="1191"/>
      <c r="H619" s="1191"/>
      <c r="I619" s="1191"/>
      <c r="J619" s="1191"/>
      <c r="K619" s="1191"/>
      <c r="L619" s="1191"/>
      <c r="M619" s="1191"/>
      <c r="N619" s="1191"/>
      <c r="O619" s="1191"/>
      <c r="P619" s="1191"/>
      <c r="Q619" s="1191"/>
      <c r="R619" s="1191"/>
      <c r="S619" s="1191"/>
      <c r="T619" s="1191"/>
      <c r="U619" s="1191"/>
      <c r="V619" s="1192"/>
      <c r="W619" s="1191"/>
      <c r="X619" s="1191"/>
      <c r="Y619" s="1191"/>
      <c r="Z619" s="1191"/>
    </row>
    <row r="620" spans="1:26" ht="15.75" customHeight="1">
      <c r="A620" s="1191"/>
      <c r="B620" s="1191"/>
      <c r="C620" s="1191"/>
      <c r="D620" s="1191"/>
      <c r="E620" s="1191"/>
      <c r="F620" s="1191"/>
      <c r="G620" s="1191"/>
      <c r="H620" s="1191"/>
      <c r="I620" s="1191"/>
      <c r="J620" s="1191"/>
      <c r="K620" s="1191"/>
      <c r="L620" s="1191"/>
      <c r="M620" s="1191"/>
      <c r="N620" s="1191"/>
      <c r="O620" s="1191"/>
      <c r="P620" s="1191"/>
      <c r="Q620" s="1191"/>
      <c r="R620" s="1191"/>
      <c r="S620" s="1191"/>
      <c r="T620" s="1191"/>
      <c r="U620" s="1191"/>
      <c r="V620" s="1192"/>
      <c r="W620" s="1191"/>
      <c r="X620" s="1191"/>
      <c r="Y620" s="1191"/>
      <c r="Z620" s="1191"/>
    </row>
    <row r="621" spans="1:26" ht="15.75" customHeight="1">
      <c r="A621" s="1191"/>
      <c r="B621" s="1191"/>
      <c r="C621" s="1191"/>
      <c r="D621" s="1191"/>
      <c r="E621" s="1191"/>
      <c r="F621" s="1191"/>
      <c r="G621" s="1191"/>
      <c r="H621" s="1191"/>
      <c r="I621" s="1191"/>
      <c r="J621" s="1191"/>
      <c r="K621" s="1191"/>
      <c r="L621" s="1191"/>
      <c r="M621" s="1191"/>
      <c r="N621" s="1191"/>
      <c r="O621" s="1191"/>
      <c r="P621" s="1191"/>
      <c r="Q621" s="1191"/>
      <c r="R621" s="1191"/>
      <c r="S621" s="1191"/>
      <c r="T621" s="1191"/>
      <c r="U621" s="1191"/>
      <c r="V621" s="1192"/>
      <c r="W621" s="1191"/>
      <c r="X621" s="1191"/>
      <c r="Y621" s="1191"/>
      <c r="Z621" s="1191"/>
    </row>
    <row r="622" spans="1:26" ht="15.75" customHeight="1">
      <c r="A622" s="1191"/>
      <c r="B622" s="1191"/>
      <c r="C622" s="1191"/>
      <c r="D622" s="1191"/>
      <c r="E622" s="1191"/>
      <c r="F622" s="1191"/>
      <c r="G622" s="1191"/>
      <c r="H622" s="1191"/>
      <c r="I622" s="1191"/>
      <c r="J622" s="1191"/>
      <c r="K622" s="1191"/>
      <c r="L622" s="1191"/>
      <c r="M622" s="1191"/>
      <c r="N622" s="1191"/>
      <c r="O622" s="1191"/>
      <c r="P622" s="1191"/>
      <c r="Q622" s="1191"/>
      <c r="R622" s="1191"/>
      <c r="S622" s="1191"/>
      <c r="T622" s="1191"/>
      <c r="U622" s="1191"/>
      <c r="V622" s="1192"/>
      <c r="W622" s="1191"/>
      <c r="X622" s="1191"/>
      <c r="Y622" s="1191"/>
      <c r="Z622" s="1191"/>
    </row>
    <row r="623" spans="1:26" ht="15.75" customHeight="1">
      <c r="A623" s="1191"/>
      <c r="B623" s="1191"/>
      <c r="C623" s="1191"/>
      <c r="D623" s="1191"/>
      <c r="E623" s="1191"/>
      <c r="F623" s="1191"/>
      <c r="G623" s="1191"/>
      <c r="H623" s="1191"/>
      <c r="I623" s="1191"/>
      <c r="J623" s="1191"/>
      <c r="K623" s="1191"/>
      <c r="L623" s="1191"/>
      <c r="M623" s="1191"/>
      <c r="N623" s="1191"/>
      <c r="O623" s="1191"/>
      <c r="P623" s="1191"/>
      <c r="Q623" s="1191"/>
      <c r="R623" s="1191"/>
      <c r="S623" s="1191"/>
      <c r="T623" s="1191"/>
      <c r="U623" s="1191"/>
      <c r="V623" s="1192"/>
      <c r="W623" s="1191"/>
      <c r="X623" s="1191"/>
      <c r="Y623" s="1191"/>
      <c r="Z623" s="1191"/>
    </row>
    <row r="624" spans="1:26" ht="15.75" customHeight="1">
      <c r="A624" s="1191"/>
      <c r="B624" s="1191"/>
      <c r="C624" s="1191"/>
      <c r="D624" s="1191"/>
      <c r="E624" s="1191"/>
      <c r="F624" s="1191"/>
      <c r="G624" s="1191"/>
      <c r="H624" s="1191"/>
      <c r="I624" s="1191"/>
      <c r="J624" s="1191"/>
      <c r="K624" s="1191"/>
      <c r="L624" s="1191"/>
      <c r="M624" s="1191"/>
      <c r="N624" s="1191"/>
      <c r="O624" s="1191"/>
      <c r="P624" s="1191"/>
      <c r="Q624" s="1191"/>
      <c r="R624" s="1191"/>
      <c r="S624" s="1191"/>
      <c r="T624" s="1191"/>
      <c r="U624" s="1191"/>
      <c r="V624" s="1192"/>
      <c r="W624" s="1191"/>
      <c r="X624" s="1191"/>
      <c r="Y624" s="1191"/>
      <c r="Z624" s="1191"/>
    </row>
    <row r="625" spans="1:26" ht="15.75" customHeight="1">
      <c r="A625" s="1191"/>
      <c r="B625" s="1191"/>
      <c r="C625" s="1191"/>
      <c r="D625" s="1191"/>
      <c r="E625" s="1191"/>
      <c r="F625" s="1191"/>
      <c r="G625" s="1191"/>
      <c r="H625" s="1191"/>
      <c r="I625" s="1191"/>
      <c r="J625" s="1191"/>
      <c r="K625" s="1191"/>
      <c r="L625" s="1191"/>
      <c r="M625" s="1191"/>
      <c r="N625" s="1191"/>
      <c r="O625" s="1191"/>
      <c r="P625" s="1191"/>
      <c r="Q625" s="1191"/>
      <c r="R625" s="1191"/>
      <c r="S625" s="1191"/>
      <c r="T625" s="1191"/>
      <c r="U625" s="1191"/>
      <c r="V625" s="1192"/>
      <c r="W625" s="1191"/>
      <c r="X625" s="1191"/>
      <c r="Y625" s="1191"/>
      <c r="Z625" s="1191"/>
    </row>
    <row r="626" spans="1:26" ht="15.75" customHeight="1">
      <c r="A626" s="1191"/>
      <c r="B626" s="1191"/>
      <c r="C626" s="1191"/>
      <c r="D626" s="1191"/>
      <c r="E626" s="1191"/>
      <c r="F626" s="1191"/>
      <c r="G626" s="1191"/>
      <c r="H626" s="1191"/>
      <c r="I626" s="1191"/>
      <c r="J626" s="1191"/>
      <c r="K626" s="1191"/>
      <c r="L626" s="1191"/>
      <c r="M626" s="1191"/>
      <c r="N626" s="1191"/>
      <c r="O626" s="1191"/>
      <c r="P626" s="1191"/>
      <c r="Q626" s="1191"/>
      <c r="R626" s="1191"/>
      <c r="S626" s="1191"/>
      <c r="T626" s="1191"/>
      <c r="U626" s="1191"/>
      <c r="V626" s="1192"/>
      <c r="W626" s="1191"/>
      <c r="X626" s="1191"/>
      <c r="Y626" s="1191"/>
      <c r="Z626" s="1191"/>
    </row>
    <row r="627" spans="1:26" ht="15.75" customHeight="1">
      <c r="A627" s="1191"/>
      <c r="B627" s="1191"/>
      <c r="C627" s="1191"/>
      <c r="D627" s="1191"/>
      <c r="E627" s="1191"/>
      <c r="F627" s="1191"/>
      <c r="G627" s="1191"/>
      <c r="H627" s="1191"/>
      <c r="I627" s="1191"/>
      <c r="J627" s="1191"/>
      <c r="K627" s="1191"/>
      <c r="L627" s="1191"/>
      <c r="M627" s="1191"/>
      <c r="N627" s="1191"/>
      <c r="O627" s="1191"/>
      <c r="P627" s="1191"/>
      <c r="Q627" s="1191"/>
      <c r="R627" s="1191"/>
      <c r="S627" s="1191"/>
      <c r="T627" s="1191"/>
      <c r="U627" s="1191"/>
      <c r="V627" s="1192"/>
      <c r="W627" s="1191"/>
      <c r="X627" s="1191"/>
      <c r="Y627" s="1191"/>
      <c r="Z627" s="1191"/>
    </row>
    <row r="628" spans="1:26" ht="15.75" customHeight="1">
      <c r="A628" s="1191"/>
      <c r="B628" s="1191"/>
      <c r="C628" s="1191"/>
      <c r="D628" s="1191"/>
      <c r="E628" s="1191"/>
      <c r="F628" s="1191"/>
      <c r="G628" s="1191"/>
      <c r="H628" s="1191"/>
      <c r="I628" s="1191"/>
      <c r="J628" s="1191"/>
      <c r="K628" s="1191"/>
      <c r="L628" s="1191"/>
      <c r="M628" s="1191"/>
      <c r="N628" s="1191"/>
      <c r="O628" s="1191"/>
      <c r="P628" s="1191"/>
      <c r="Q628" s="1191"/>
      <c r="R628" s="1191"/>
      <c r="S628" s="1191"/>
      <c r="T628" s="1191"/>
      <c r="U628" s="1191"/>
      <c r="V628" s="1192"/>
      <c r="W628" s="1191"/>
      <c r="X628" s="1191"/>
      <c r="Y628" s="1191"/>
      <c r="Z628" s="1191"/>
    </row>
    <row r="629" spans="1:26" ht="15.75" customHeight="1">
      <c r="A629" s="1191"/>
      <c r="B629" s="1191"/>
      <c r="C629" s="1191"/>
      <c r="D629" s="1191"/>
      <c r="E629" s="1191"/>
      <c r="F629" s="1191"/>
      <c r="G629" s="1191"/>
      <c r="H629" s="1191"/>
      <c r="I629" s="1191"/>
      <c r="J629" s="1191"/>
      <c r="K629" s="1191"/>
      <c r="L629" s="1191"/>
      <c r="M629" s="1191"/>
      <c r="N629" s="1191"/>
      <c r="O629" s="1191"/>
      <c r="P629" s="1191"/>
      <c r="Q629" s="1191"/>
      <c r="R629" s="1191"/>
      <c r="S629" s="1191"/>
      <c r="T629" s="1191"/>
      <c r="U629" s="1191"/>
      <c r="V629" s="1192"/>
      <c r="W629" s="1191"/>
      <c r="X629" s="1191"/>
      <c r="Y629" s="1191"/>
      <c r="Z629" s="1191"/>
    </row>
    <row r="630" spans="1:26" ht="15.75" customHeight="1">
      <c r="A630" s="1191"/>
      <c r="B630" s="1191"/>
      <c r="C630" s="1191"/>
      <c r="D630" s="1191"/>
      <c r="E630" s="1191"/>
      <c r="F630" s="1191"/>
      <c r="G630" s="1191"/>
      <c r="H630" s="1191"/>
      <c r="I630" s="1191"/>
      <c r="J630" s="1191"/>
      <c r="K630" s="1191"/>
      <c r="L630" s="1191"/>
      <c r="M630" s="1191"/>
      <c r="N630" s="1191"/>
      <c r="O630" s="1191"/>
      <c r="P630" s="1191"/>
      <c r="Q630" s="1191"/>
      <c r="R630" s="1191"/>
      <c r="S630" s="1191"/>
      <c r="T630" s="1191"/>
      <c r="U630" s="1191"/>
      <c r="V630" s="1192"/>
      <c r="W630" s="1191"/>
      <c r="X630" s="1191"/>
      <c r="Y630" s="1191"/>
      <c r="Z630" s="1191"/>
    </row>
    <row r="631" spans="1:26" ht="15.75" customHeight="1">
      <c r="A631" s="1191"/>
      <c r="B631" s="1191"/>
      <c r="C631" s="1191"/>
      <c r="D631" s="1191"/>
      <c r="E631" s="1191"/>
      <c r="F631" s="1191"/>
      <c r="G631" s="1191"/>
      <c r="H631" s="1191"/>
      <c r="I631" s="1191"/>
      <c r="J631" s="1191"/>
      <c r="K631" s="1191"/>
      <c r="L631" s="1191"/>
      <c r="M631" s="1191"/>
      <c r="N631" s="1191"/>
      <c r="O631" s="1191"/>
      <c r="P631" s="1191"/>
      <c r="Q631" s="1191"/>
      <c r="R631" s="1191"/>
      <c r="S631" s="1191"/>
      <c r="T631" s="1191"/>
      <c r="U631" s="1191"/>
      <c r="V631" s="1192"/>
      <c r="W631" s="1191"/>
      <c r="X631" s="1191"/>
      <c r="Y631" s="1191"/>
      <c r="Z631" s="1191"/>
    </row>
    <row r="632" spans="1:26" ht="15.75" customHeight="1">
      <c r="A632" s="1191"/>
      <c r="B632" s="1191"/>
      <c r="C632" s="1191"/>
      <c r="D632" s="1191"/>
      <c r="E632" s="1191"/>
      <c r="F632" s="1191"/>
      <c r="G632" s="1191"/>
      <c r="H632" s="1191"/>
      <c r="I632" s="1191"/>
      <c r="J632" s="1191"/>
      <c r="K632" s="1191"/>
      <c r="L632" s="1191"/>
      <c r="M632" s="1191"/>
      <c r="N632" s="1191"/>
      <c r="O632" s="1191"/>
      <c r="P632" s="1191"/>
      <c r="Q632" s="1191"/>
      <c r="R632" s="1191"/>
      <c r="S632" s="1191"/>
      <c r="T632" s="1191"/>
      <c r="U632" s="1191"/>
      <c r="V632" s="1192"/>
      <c r="W632" s="1191"/>
      <c r="X632" s="1191"/>
      <c r="Y632" s="1191"/>
      <c r="Z632" s="1191"/>
    </row>
    <row r="633" spans="1:26" ht="15.75" customHeight="1">
      <c r="A633" s="1191"/>
      <c r="B633" s="1191"/>
      <c r="C633" s="1191"/>
      <c r="D633" s="1191"/>
      <c r="E633" s="1191"/>
      <c r="F633" s="1191"/>
      <c r="G633" s="1191"/>
      <c r="H633" s="1191"/>
      <c r="I633" s="1191"/>
      <c r="J633" s="1191"/>
      <c r="K633" s="1191"/>
      <c r="L633" s="1191"/>
      <c r="M633" s="1191"/>
      <c r="N633" s="1191"/>
      <c r="O633" s="1191"/>
      <c r="P633" s="1191"/>
      <c r="Q633" s="1191"/>
      <c r="R633" s="1191"/>
      <c r="S633" s="1191"/>
      <c r="T633" s="1191"/>
      <c r="U633" s="1191"/>
      <c r="V633" s="1192"/>
      <c r="W633" s="1191"/>
      <c r="X633" s="1191"/>
      <c r="Y633" s="1191"/>
      <c r="Z633" s="1191"/>
    </row>
    <row r="634" spans="1:26" ht="15.75" customHeight="1">
      <c r="A634" s="1191"/>
      <c r="B634" s="1191"/>
      <c r="C634" s="1191"/>
      <c r="D634" s="1191"/>
      <c r="E634" s="1191"/>
      <c r="F634" s="1191"/>
      <c r="G634" s="1191"/>
      <c r="H634" s="1191"/>
      <c r="I634" s="1191"/>
      <c r="J634" s="1191"/>
      <c r="K634" s="1191"/>
      <c r="L634" s="1191"/>
      <c r="M634" s="1191"/>
      <c r="N634" s="1191"/>
      <c r="O634" s="1191"/>
      <c r="P634" s="1191"/>
      <c r="Q634" s="1191"/>
      <c r="R634" s="1191"/>
      <c r="S634" s="1191"/>
      <c r="T634" s="1191"/>
      <c r="U634" s="1191"/>
      <c r="V634" s="1192"/>
      <c r="W634" s="1191"/>
      <c r="X634" s="1191"/>
      <c r="Y634" s="1191"/>
      <c r="Z634" s="1191"/>
    </row>
    <row r="635" spans="1:26" ht="15.75" customHeight="1">
      <c r="A635" s="1191"/>
      <c r="B635" s="1191"/>
      <c r="C635" s="1191"/>
      <c r="D635" s="1191"/>
      <c r="E635" s="1191"/>
      <c r="F635" s="1191"/>
      <c r="G635" s="1191"/>
      <c r="H635" s="1191"/>
      <c r="I635" s="1191"/>
      <c r="J635" s="1191"/>
      <c r="K635" s="1191"/>
      <c r="L635" s="1191"/>
      <c r="M635" s="1191"/>
      <c r="N635" s="1191"/>
      <c r="O635" s="1191"/>
      <c r="P635" s="1191"/>
      <c r="Q635" s="1191"/>
      <c r="R635" s="1191"/>
      <c r="S635" s="1191"/>
      <c r="T635" s="1191"/>
      <c r="U635" s="1191"/>
      <c r="V635" s="1192"/>
      <c r="W635" s="1191"/>
      <c r="X635" s="1191"/>
      <c r="Y635" s="1191"/>
      <c r="Z635" s="1191"/>
    </row>
    <row r="636" spans="1:26" ht="15.75" customHeight="1">
      <c r="A636" s="1191"/>
      <c r="B636" s="1191"/>
      <c r="C636" s="1191"/>
      <c r="D636" s="1191"/>
      <c r="E636" s="1191"/>
      <c r="F636" s="1191"/>
      <c r="G636" s="1191"/>
      <c r="H636" s="1191"/>
      <c r="I636" s="1191"/>
      <c r="J636" s="1191"/>
      <c r="K636" s="1191"/>
      <c r="L636" s="1191"/>
      <c r="M636" s="1191"/>
      <c r="N636" s="1191"/>
      <c r="O636" s="1191"/>
      <c r="P636" s="1191"/>
      <c r="Q636" s="1191"/>
      <c r="R636" s="1191"/>
      <c r="S636" s="1191"/>
      <c r="T636" s="1191"/>
      <c r="U636" s="1191"/>
      <c r="V636" s="1192"/>
      <c r="W636" s="1191"/>
      <c r="X636" s="1191"/>
      <c r="Y636" s="1191"/>
      <c r="Z636" s="1191"/>
    </row>
    <row r="637" spans="1:26" ht="15.75" customHeight="1">
      <c r="A637" s="1191"/>
      <c r="B637" s="1191"/>
      <c r="C637" s="1191"/>
      <c r="D637" s="1191"/>
      <c r="E637" s="1191"/>
      <c r="F637" s="1191"/>
      <c r="G637" s="1191"/>
      <c r="H637" s="1191"/>
      <c r="I637" s="1191"/>
      <c r="J637" s="1191"/>
      <c r="K637" s="1191"/>
      <c r="L637" s="1191"/>
      <c r="M637" s="1191"/>
      <c r="N637" s="1191"/>
      <c r="O637" s="1191"/>
      <c r="P637" s="1191"/>
      <c r="Q637" s="1191"/>
      <c r="R637" s="1191"/>
      <c r="S637" s="1191"/>
      <c r="T637" s="1191"/>
      <c r="U637" s="1191"/>
      <c r="V637" s="1192"/>
      <c r="W637" s="1191"/>
      <c r="X637" s="1191"/>
      <c r="Y637" s="1191"/>
      <c r="Z637" s="1191"/>
    </row>
    <row r="638" spans="1:26" ht="15.75" customHeight="1">
      <c r="A638" s="1191"/>
      <c r="B638" s="1191"/>
      <c r="C638" s="1191"/>
      <c r="D638" s="1191"/>
      <c r="E638" s="1191"/>
      <c r="F638" s="1191"/>
      <c r="G638" s="1191"/>
      <c r="H638" s="1191"/>
      <c r="I638" s="1191"/>
      <c r="J638" s="1191"/>
      <c r="K638" s="1191"/>
      <c r="L638" s="1191"/>
      <c r="M638" s="1191"/>
      <c r="N638" s="1191"/>
      <c r="O638" s="1191"/>
      <c r="P638" s="1191"/>
      <c r="Q638" s="1191"/>
      <c r="R638" s="1191"/>
      <c r="S638" s="1191"/>
      <c r="T638" s="1191"/>
      <c r="U638" s="1191"/>
      <c r="V638" s="1192"/>
      <c r="W638" s="1191"/>
      <c r="X638" s="1191"/>
      <c r="Y638" s="1191"/>
      <c r="Z638" s="1191"/>
    </row>
    <row r="639" spans="1:26" ht="15.75" customHeight="1">
      <c r="A639" s="1191"/>
      <c r="B639" s="1191"/>
      <c r="C639" s="1191"/>
      <c r="D639" s="1191"/>
      <c r="E639" s="1191"/>
      <c r="F639" s="1191"/>
      <c r="G639" s="1191"/>
      <c r="H639" s="1191"/>
      <c r="I639" s="1191"/>
      <c r="J639" s="1191"/>
      <c r="K639" s="1191"/>
      <c r="L639" s="1191"/>
      <c r="M639" s="1191"/>
      <c r="N639" s="1191"/>
      <c r="O639" s="1191"/>
      <c r="P639" s="1191"/>
      <c r="Q639" s="1191"/>
      <c r="R639" s="1191"/>
      <c r="S639" s="1191"/>
      <c r="T639" s="1191"/>
      <c r="U639" s="1191"/>
      <c r="V639" s="1192"/>
      <c r="W639" s="1191"/>
      <c r="X639" s="1191"/>
      <c r="Y639" s="1191"/>
      <c r="Z639" s="1191"/>
    </row>
    <row r="640" spans="1:26" ht="15.75" customHeight="1">
      <c r="A640" s="1191"/>
      <c r="B640" s="1191"/>
      <c r="C640" s="1191"/>
      <c r="D640" s="1191"/>
      <c r="E640" s="1191"/>
      <c r="F640" s="1191"/>
      <c r="G640" s="1191"/>
      <c r="H640" s="1191"/>
      <c r="I640" s="1191"/>
      <c r="J640" s="1191"/>
      <c r="K640" s="1191"/>
      <c r="L640" s="1191"/>
      <c r="M640" s="1191"/>
      <c r="N640" s="1191"/>
      <c r="O640" s="1191"/>
      <c r="P640" s="1191"/>
      <c r="Q640" s="1191"/>
      <c r="R640" s="1191"/>
      <c r="S640" s="1191"/>
      <c r="T640" s="1191"/>
      <c r="U640" s="1191"/>
      <c r="V640" s="1192"/>
      <c r="W640" s="1191"/>
      <c r="X640" s="1191"/>
      <c r="Y640" s="1191"/>
      <c r="Z640" s="1191"/>
    </row>
    <row r="641" spans="1:26" ht="15.75" customHeight="1">
      <c r="A641" s="1191"/>
      <c r="B641" s="1191"/>
      <c r="C641" s="1191"/>
      <c r="D641" s="1191"/>
      <c r="E641" s="1191"/>
      <c r="F641" s="1191"/>
      <c r="G641" s="1191"/>
      <c r="H641" s="1191"/>
      <c r="I641" s="1191"/>
      <c r="J641" s="1191"/>
      <c r="K641" s="1191"/>
      <c r="L641" s="1191"/>
      <c r="M641" s="1191"/>
      <c r="N641" s="1191"/>
      <c r="O641" s="1191"/>
      <c r="P641" s="1191"/>
      <c r="Q641" s="1191"/>
      <c r="R641" s="1191"/>
      <c r="S641" s="1191"/>
      <c r="T641" s="1191"/>
      <c r="U641" s="1191"/>
      <c r="V641" s="1192"/>
      <c r="W641" s="1191"/>
      <c r="X641" s="1191"/>
      <c r="Y641" s="1191"/>
      <c r="Z641" s="1191"/>
    </row>
    <row r="642" spans="1:26" ht="15.75" customHeight="1">
      <c r="A642" s="1191"/>
      <c r="B642" s="1191"/>
      <c r="C642" s="1191"/>
      <c r="D642" s="1191"/>
      <c r="E642" s="1191"/>
      <c r="F642" s="1191"/>
      <c r="G642" s="1191"/>
      <c r="H642" s="1191"/>
      <c r="I642" s="1191"/>
      <c r="J642" s="1191"/>
      <c r="K642" s="1191"/>
      <c r="L642" s="1191"/>
      <c r="M642" s="1191"/>
      <c r="N642" s="1191"/>
      <c r="O642" s="1191"/>
      <c r="P642" s="1191"/>
      <c r="Q642" s="1191"/>
      <c r="R642" s="1191"/>
      <c r="S642" s="1191"/>
      <c r="T642" s="1191"/>
      <c r="U642" s="1191"/>
      <c r="V642" s="1192"/>
      <c r="W642" s="1191"/>
      <c r="X642" s="1191"/>
      <c r="Y642" s="1191"/>
      <c r="Z642" s="1191"/>
    </row>
    <row r="643" spans="1:26" ht="15.75" customHeight="1">
      <c r="A643" s="1191"/>
      <c r="B643" s="1191"/>
      <c r="C643" s="1191"/>
      <c r="D643" s="1191"/>
      <c r="E643" s="1191"/>
      <c r="F643" s="1191"/>
      <c r="G643" s="1191"/>
      <c r="H643" s="1191"/>
      <c r="I643" s="1191"/>
      <c r="J643" s="1191"/>
      <c r="K643" s="1191"/>
      <c r="L643" s="1191"/>
      <c r="M643" s="1191"/>
      <c r="N643" s="1191"/>
      <c r="O643" s="1191"/>
      <c r="P643" s="1191"/>
      <c r="Q643" s="1191"/>
      <c r="R643" s="1191"/>
      <c r="S643" s="1191"/>
      <c r="T643" s="1191"/>
      <c r="U643" s="1191"/>
      <c r="V643" s="1192"/>
      <c r="W643" s="1191"/>
      <c r="X643" s="1191"/>
      <c r="Y643" s="1191"/>
      <c r="Z643" s="1191"/>
    </row>
    <row r="644" spans="1:26" ht="15.75" customHeight="1">
      <c r="A644" s="1191"/>
      <c r="B644" s="1191"/>
      <c r="C644" s="1191"/>
      <c r="D644" s="1191"/>
      <c r="E644" s="1191"/>
      <c r="F644" s="1191"/>
      <c r="G644" s="1191"/>
      <c r="H644" s="1191"/>
      <c r="I644" s="1191"/>
      <c r="J644" s="1191"/>
      <c r="K644" s="1191"/>
      <c r="L644" s="1191"/>
      <c r="M644" s="1191"/>
      <c r="N644" s="1191"/>
      <c r="O644" s="1191"/>
      <c r="P644" s="1191"/>
      <c r="Q644" s="1191"/>
      <c r="R644" s="1191"/>
      <c r="S644" s="1191"/>
      <c r="T644" s="1191"/>
      <c r="U644" s="1191"/>
      <c r="V644" s="1192"/>
      <c r="W644" s="1191"/>
      <c r="X644" s="1191"/>
      <c r="Y644" s="1191"/>
      <c r="Z644" s="1191"/>
    </row>
    <row r="645" spans="1:26" ht="15.75" customHeight="1">
      <c r="A645" s="1191"/>
      <c r="B645" s="1191"/>
      <c r="C645" s="1191"/>
      <c r="D645" s="1191"/>
      <c r="E645" s="1191"/>
      <c r="F645" s="1191"/>
      <c r="G645" s="1191"/>
      <c r="H645" s="1191"/>
      <c r="I645" s="1191"/>
      <c r="J645" s="1191"/>
      <c r="K645" s="1191"/>
      <c r="L645" s="1191"/>
      <c r="M645" s="1191"/>
      <c r="N645" s="1191"/>
      <c r="O645" s="1191"/>
      <c r="P645" s="1191"/>
      <c r="Q645" s="1191"/>
      <c r="R645" s="1191"/>
      <c r="S645" s="1191"/>
      <c r="T645" s="1191"/>
      <c r="U645" s="1191"/>
      <c r="V645" s="1192"/>
      <c r="W645" s="1191"/>
      <c r="X645" s="1191"/>
      <c r="Y645" s="1191"/>
      <c r="Z645" s="1191"/>
    </row>
    <row r="646" spans="1:26" ht="15.75" customHeight="1">
      <c r="A646" s="1191"/>
      <c r="B646" s="1191"/>
      <c r="C646" s="1191"/>
      <c r="D646" s="1191"/>
      <c r="E646" s="1191"/>
      <c r="F646" s="1191"/>
      <c r="G646" s="1191"/>
      <c r="H646" s="1191"/>
      <c r="I646" s="1191"/>
      <c r="J646" s="1191"/>
      <c r="K646" s="1191"/>
      <c r="L646" s="1191"/>
      <c r="M646" s="1191"/>
      <c r="N646" s="1191"/>
      <c r="O646" s="1191"/>
      <c r="P646" s="1191"/>
      <c r="Q646" s="1191"/>
      <c r="R646" s="1191"/>
      <c r="S646" s="1191"/>
      <c r="T646" s="1191"/>
      <c r="U646" s="1191"/>
      <c r="V646" s="1192"/>
      <c r="W646" s="1191"/>
      <c r="X646" s="1191"/>
      <c r="Y646" s="1191"/>
      <c r="Z646" s="1191"/>
    </row>
    <row r="647" spans="1:26" ht="15.75" customHeight="1">
      <c r="A647" s="1191"/>
      <c r="B647" s="1191"/>
      <c r="C647" s="1191"/>
      <c r="D647" s="1191"/>
      <c r="E647" s="1191"/>
      <c r="F647" s="1191"/>
      <c r="G647" s="1191"/>
      <c r="H647" s="1191"/>
      <c r="I647" s="1191"/>
      <c r="J647" s="1191"/>
      <c r="K647" s="1191"/>
      <c r="L647" s="1191"/>
      <c r="M647" s="1191"/>
      <c r="N647" s="1191"/>
      <c r="O647" s="1191"/>
      <c r="P647" s="1191"/>
      <c r="Q647" s="1191"/>
      <c r="R647" s="1191"/>
      <c r="S647" s="1191"/>
      <c r="T647" s="1191"/>
      <c r="U647" s="1191"/>
      <c r="V647" s="1192"/>
      <c r="W647" s="1191"/>
      <c r="X647" s="1191"/>
      <c r="Y647" s="1191"/>
      <c r="Z647" s="1191"/>
    </row>
    <row r="648" spans="1:26" ht="15.75" customHeight="1">
      <c r="A648" s="1191"/>
      <c r="B648" s="1191"/>
      <c r="C648" s="1191"/>
      <c r="D648" s="1191"/>
      <c r="E648" s="1191"/>
      <c r="F648" s="1191"/>
      <c r="G648" s="1191"/>
      <c r="H648" s="1191"/>
      <c r="I648" s="1191"/>
      <c r="J648" s="1191"/>
      <c r="K648" s="1191"/>
      <c r="L648" s="1191"/>
      <c r="M648" s="1191"/>
      <c r="N648" s="1191"/>
      <c r="O648" s="1191"/>
      <c r="P648" s="1191"/>
      <c r="Q648" s="1191"/>
      <c r="R648" s="1191"/>
      <c r="S648" s="1191"/>
      <c r="T648" s="1191"/>
      <c r="U648" s="1191"/>
      <c r="V648" s="1192"/>
      <c r="W648" s="1191"/>
      <c r="X648" s="1191"/>
      <c r="Y648" s="1191"/>
      <c r="Z648" s="1191"/>
    </row>
    <row r="649" spans="1:26" ht="15.75" customHeight="1">
      <c r="A649" s="1191"/>
      <c r="B649" s="1191"/>
      <c r="C649" s="1191"/>
      <c r="D649" s="1191"/>
      <c r="E649" s="1191"/>
      <c r="F649" s="1191"/>
      <c r="G649" s="1191"/>
      <c r="H649" s="1191"/>
      <c r="I649" s="1191"/>
      <c r="J649" s="1191"/>
      <c r="K649" s="1191"/>
      <c r="L649" s="1191"/>
      <c r="M649" s="1191"/>
      <c r="N649" s="1191"/>
      <c r="O649" s="1191"/>
      <c r="P649" s="1191"/>
      <c r="Q649" s="1191"/>
      <c r="R649" s="1191"/>
      <c r="S649" s="1191"/>
      <c r="T649" s="1191"/>
      <c r="U649" s="1191"/>
      <c r="V649" s="1192"/>
      <c r="W649" s="1191"/>
      <c r="X649" s="1191"/>
      <c r="Y649" s="1191"/>
      <c r="Z649" s="1191"/>
    </row>
    <row r="650" spans="1:26" ht="15.75" customHeight="1">
      <c r="A650" s="1191"/>
      <c r="B650" s="1191"/>
      <c r="C650" s="1191"/>
      <c r="D650" s="1191"/>
      <c r="E650" s="1191"/>
      <c r="F650" s="1191"/>
      <c r="G650" s="1191"/>
      <c r="H650" s="1191"/>
      <c r="I650" s="1191"/>
      <c r="J650" s="1191"/>
      <c r="K650" s="1191"/>
      <c r="L650" s="1191"/>
      <c r="M650" s="1191"/>
      <c r="N650" s="1191"/>
      <c r="O650" s="1191"/>
      <c r="P650" s="1191"/>
      <c r="Q650" s="1191"/>
      <c r="R650" s="1191"/>
      <c r="S650" s="1191"/>
      <c r="T650" s="1191"/>
      <c r="U650" s="1191"/>
      <c r="V650" s="1192"/>
      <c r="W650" s="1191"/>
      <c r="X650" s="1191"/>
      <c r="Y650" s="1191"/>
      <c r="Z650" s="1191"/>
    </row>
    <row r="651" spans="1:26" ht="15.75" customHeight="1">
      <c r="A651" s="1191"/>
      <c r="B651" s="1191"/>
      <c r="C651" s="1191"/>
      <c r="D651" s="1191"/>
      <c r="E651" s="1191"/>
      <c r="F651" s="1191"/>
      <c r="G651" s="1191"/>
      <c r="H651" s="1191"/>
      <c r="I651" s="1191"/>
      <c r="J651" s="1191"/>
      <c r="K651" s="1191"/>
      <c r="L651" s="1191"/>
      <c r="M651" s="1191"/>
      <c r="N651" s="1191"/>
      <c r="O651" s="1191"/>
      <c r="P651" s="1191"/>
      <c r="Q651" s="1191"/>
      <c r="R651" s="1191"/>
      <c r="S651" s="1191"/>
      <c r="T651" s="1191"/>
      <c r="U651" s="1191"/>
      <c r="V651" s="1192"/>
      <c r="W651" s="1191"/>
      <c r="X651" s="1191"/>
      <c r="Y651" s="1191"/>
      <c r="Z651" s="1191"/>
    </row>
    <row r="652" spans="1:26" ht="15.75" customHeight="1">
      <c r="A652" s="1191"/>
      <c r="B652" s="1191"/>
      <c r="C652" s="1191"/>
      <c r="D652" s="1191"/>
      <c r="E652" s="1191"/>
      <c r="F652" s="1191"/>
      <c r="G652" s="1191"/>
      <c r="H652" s="1191"/>
      <c r="I652" s="1191"/>
      <c r="J652" s="1191"/>
      <c r="K652" s="1191"/>
      <c r="L652" s="1191"/>
      <c r="M652" s="1191"/>
      <c r="N652" s="1191"/>
      <c r="O652" s="1191"/>
      <c r="P652" s="1191"/>
      <c r="Q652" s="1191"/>
      <c r="R652" s="1191"/>
      <c r="S652" s="1191"/>
      <c r="T652" s="1191"/>
      <c r="U652" s="1191"/>
      <c r="V652" s="1192"/>
      <c r="W652" s="1191"/>
      <c r="X652" s="1191"/>
      <c r="Y652" s="1191"/>
      <c r="Z652" s="1191"/>
    </row>
    <row r="653" spans="1:26" ht="15.75" customHeight="1">
      <c r="A653" s="1191"/>
      <c r="B653" s="1191"/>
      <c r="C653" s="1191"/>
      <c r="D653" s="1191"/>
      <c r="E653" s="1191"/>
      <c r="F653" s="1191"/>
      <c r="G653" s="1191"/>
      <c r="H653" s="1191"/>
      <c r="I653" s="1191"/>
      <c r="J653" s="1191"/>
      <c r="K653" s="1191"/>
      <c r="L653" s="1191"/>
      <c r="M653" s="1191"/>
      <c r="N653" s="1191"/>
      <c r="O653" s="1191"/>
      <c r="P653" s="1191"/>
      <c r="Q653" s="1191"/>
      <c r="R653" s="1191"/>
      <c r="S653" s="1191"/>
      <c r="T653" s="1191"/>
      <c r="U653" s="1191"/>
      <c r="V653" s="1192"/>
      <c r="W653" s="1191"/>
      <c r="X653" s="1191"/>
      <c r="Y653" s="1191"/>
      <c r="Z653" s="1191"/>
    </row>
    <row r="654" spans="1:26" ht="15.75" customHeight="1">
      <c r="A654" s="1191"/>
      <c r="B654" s="1191"/>
      <c r="C654" s="1191"/>
      <c r="D654" s="1191"/>
      <c r="E654" s="1191"/>
      <c r="F654" s="1191"/>
      <c r="G654" s="1191"/>
      <c r="H654" s="1191"/>
      <c r="I654" s="1191"/>
      <c r="J654" s="1191"/>
      <c r="K654" s="1191"/>
      <c r="L654" s="1191"/>
      <c r="M654" s="1191"/>
      <c r="N654" s="1191"/>
      <c r="O654" s="1191"/>
      <c r="P654" s="1191"/>
      <c r="Q654" s="1191"/>
      <c r="R654" s="1191"/>
      <c r="S654" s="1191"/>
      <c r="T654" s="1191"/>
      <c r="U654" s="1191"/>
      <c r="V654" s="1192"/>
      <c r="W654" s="1191"/>
      <c r="X654" s="1191"/>
      <c r="Y654" s="1191"/>
      <c r="Z654" s="1191"/>
    </row>
    <row r="655" spans="1:26" ht="15.75" customHeight="1">
      <c r="A655" s="1191"/>
      <c r="B655" s="1191"/>
      <c r="C655" s="1191"/>
      <c r="D655" s="1191"/>
      <c r="E655" s="1191"/>
      <c r="F655" s="1191"/>
      <c r="G655" s="1191"/>
      <c r="H655" s="1191"/>
      <c r="I655" s="1191"/>
      <c r="J655" s="1191"/>
      <c r="K655" s="1191"/>
      <c r="L655" s="1191"/>
      <c r="M655" s="1191"/>
      <c r="N655" s="1191"/>
      <c r="O655" s="1191"/>
      <c r="P655" s="1191"/>
      <c r="Q655" s="1191"/>
      <c r="R655" s="1191"/>
      <c r="S655" s="1191"/>
      <c r="T655" s="1191"/>
      <c r="U655" s="1191"/>
      <c r="V655" s="1192"/>
      <c r="W655" s="1191"/>
      <c r="X655" s="1191"/>
      <c r="Y655" s="1191"/>
      <c r="Z655" s="1191"/>
    </row>
    <row r="656" spans="1:26" ht="15.75" customHeight="1">
      <c r="A656" s="1191"/>
      <c r="B656" s="1191"/>
      <c r="C656" s="1191"/>
      <c r="D656" s="1191"/>
      <c r="E656" s="1191"/>
      <c r="F656" s="1191"/>
      <c r="G656" s="1191"/>
      <c r="H656" s="1191"/>
      <c r="I656" s="1191"/>
      <c r="J656" s="1191"/>
      <c r="K656" s="1191"/>
      <c r="L656" s="1191"/>
      <c r="M656" s="1191"/>
      <c r="N656" s="1191"/>
      <c r="O656" s="1191"/>
      <c r="P656" s="1191"/>
      <c r="Q656" s="1191"/>
      <c r="R656" s="1191"/>
      <c r="S656" s="1191"/>
      <c r="T656" s="1191"/>
      <c r="U656" s="1191"/>
      <c r="V656" s="1192"/>
      <c r="W656" s="1191"/>
      <c r="X656" s="1191"/>
      <c r="Y656" s="1191"/>
      <c r="Z656" s="1191"/>
    </row>
    <row r="657" spans="1:26" ht="15.75" customHeight="1">
      <c r="A657" s="1191"/>
      <c r="B657" s="1191"/>
      <c r="C657" s="1191"/>
      <c r="D657" s="1191"/>
      <c r="E657" s="1191"/>
      <c r="F657" s="1191"/>
      <c r="G657" s="1191"/>
      <c r="H657" s="1191"/>
      <c r="I657" s="1191"/>
      <c r="J657" s="1191"/>
      <c r="K657" s="1191"/>
      <c r="L657" s="1191"/>
      <c r="M657" s="1191"/>
      <c r="N657" s="1191"/>
      <c r="O657" s="1191"/>
      <c r="P657" s="1191"/>
      <c r="Q657" s="1191"/>
      <c r="R657" s="1191"/>
      <c r="S657" s="1191"/>
      <c r="T657" s="1191"/>
      <c r="U657" s="1191"/>
      <c r="V657" s="1192"/>
      <c r="W657" s="1191"/>
      <c r="X657" s="1191"/>
      <c r="Y657" s="1191"/>
      <c r="Z657" s="1191"/>
    </row>
    <row r="658" spans="1:26" ht="15.75" customHeight="1">
      <c r="A658" s="1191"/>
      <c r="B658" s="1191"/>
      <c r="C658" s="1191"/>
      <c r="D658" s="1191"/>
      <c r="E658" s="1191"/>
      <c r="F658" s="1191"/>
      <c r="G658" s="1191"/>
      <c r="H658" s="1191"/>
      <c r="I658" s="1191"/>
      <c r="J658" s="1191"/>
      <c r="K658" s="1191"/>
      <c r="L658" s="1191"/>
      <c r="M658" s="1191"/>
      <c r="N658" s="1191"/>
      <c r="O658" s="1191"/>
      <c r="P658" s="1191"/>
      <c r="Q658" s="1191"/>
      <c r="R658" s="1191"/>
      <c r="S658" s="1191"/>
      <c r="T658" s="1191"/>
      <c r="U658" s="1191"/>
      <c r="V658" s="1192"/>
      <c r="W658" s="1191"/>
      <c r="X658" s="1191"/>
      <c r="Y658" s="1191"/>
      <c r="Z658" s="1191"/>
    </row>
    <row r="659" spans="1:26" ht="15.75" customHeight="1">
      <c r="A659" s="1191"/>
      <c r="B659" s="1191"/>
      <c r="C659" s="1191"/>
      <c r="D659" s="1191"/>
      <c r="E659" s="1191"/>
      <c r="F659" s="1191"/>
      <c r="G659" s="1191"/>
      <c r="H659" s="1191"/>
      <c r="I659" s="1191"/>
      <c r="J659" s="1191"/>
      <c r="K659" s="1191"/>
      <c r="L659" s="1191"/>
      <c r="M659" s="1191"/>
      <c r="N659" s="1191"/>
      <c r="O659" s="1191"/>
      <c r="P659" s="1191"/>
      <c r="Q659" s="1191"/>
      <c r="R659" s="1191"/>
      <c r="S659" s="1191"/>
      <c r="T659" s="1191"/>
      <c r="U659" s="1191"/>
      <c r="V659" s="1192"/>
      <c r="W659" s="1191"/>
      <c r="X659" s="1191"/>
      <c r="Y659" s="1191"/>
      <c r="Z659" s="1191"/>
    </row>
    <row r="660" spans="1:26" ht="15.75" customHeight="1">
      <c r="A660" s="1191"/>
      <c r="B660" s="1191"/>
      <c r="C660" s="1191"/>
      <c r="D660" s="1191"/>
      <c r="E660" s="1191"/>
      <c r="F660" s="1191"/>
      <c r="G660" s="1191"/>
      <c r="H660" s="1191"/>
      <c r="I660" s="1191"/>
      <c r="J660" s="1191"/>
      <c r="K660" s="1191"/>
      <c r="L660" s="1191"/>
      <c r="M660" s="1191"/>
      <c r="N660" s="1191"/>
      <c r="O660" s="1191"/>
      <c r="P660" s="1191"/>
      <c r="Q660" s="1191"/>
      <c r="R660" s="1191"/>
      <c r="S660" s="1191"/>
      <c r="T660" s="1191"/>
      <c r="U660" s="1191"/>
      <c r="V660" s="1192"/>
      <c r="W660" s="1191"/>
      <c r="X660" s="1191"/>
      <c r="Y660" s="1191"/>
      <c r="Z660" s="1191"/>
    </row>
    <row r="661" spans="1:26" ht="15.75" customHeight="1">
      <c r="A661" s="1191"/>
      <c r="B661" s="1191"/>
      <c r="C661" s="1191"/>
      <c r="D661" s="1191"/>
      <c r="E661" s="1191"/>
      <c r="F661" s="1191"/>
      <c r="G661" s="1191"/>
      <c r="H661" s="1191"/>
      <c r="I661" s="1191"/>
      <c r="J661" s="1191"/>
      <c r="K661" s="1191"/>
      <c r="L661" s="1191"/>
      <c r="M661" s="1191"/>
      <c r="N661" s="1191"/>
      <c r="O661" s="1191"/>
      <c r="P661" s="1191"/>
      <c r="Q661" s="1191"/>
      <c r="R661" s="1191"/>
      <c r="S661" s="1191"/>
      <c r="T661" s="1191"/>
      <c r="U661" s="1191"/>
      <c r="V661" s="1192"/>
      <c r="W661" s="1191"/>
      <c r="X661" s="1191"/>
      <c r="Y661" s="1191"/>
      <c r="Z661" s="1191"/>
    </row>
    <row r="662" spans="1:26" ht="15.75" customHeight="1">
      <c r="A662" s="1191"/>
      <c r="B662" s="1191"/>
      <c r="C662" s="1191"/>
      <c r="D662" s="1191"/>
      <c r="E662" s="1191"/>
      <c r="F662" s="1191"/>
      <c r="G662" s="1191"/>
      <c r="H662" s="1191"/>
      <c r="I662" s="1191"/>
      <c r="J662" s="1191"/>
      <c r="K662" s="1191"/>
      <c r="L662" s="1191"/>
      <c r="M662" s="1191"/>
      <c r="N662" s="1191"/>
      <c r="O662" s="1191"/>
      <c r="P662" s="1191"/>
      <c r="Q662" s="1191"/>
      <c r="R662" s="1191"/>
      <c r="S662" s="1191"/>
      <c r="T662" s="1191"/>
      <c r="U662" s="1191"/>
      <c r="V662" s="1192"/>
      <c r="W662" s="1191"/>
      <c r="X662" s="1191"/>
      <c r="Y662" s="1191"/>
      <c r="Z662" s="1191"/>
    </row>
    <row r="663" spans="1:26" ht="15.75" customHeight="1">
      <c r="A663" s="1191"/>
      <c r="B663" s="1191"/>
      <c r="C663" s="1191"/>
      <c r="D663" s="1191"/>
      <c r="E663" s="1191"/>
      <c r="F663" s="1191"/>
      <c r="G663" s="1191"/>
      <c r="H663" s="1191"/>
      <c r="I663" s="1191"/>
      <c r="J663" s="1191"/>
      <c r="K663" s="1191"/>
      <c r="L663" s="1191"/>
      <c r="M663" s="1191"/>
      <c r="N663" s="1191"/>
      <c r="O663" s="1191"/>
      <c r="P663" s="1191"/>
      <c r="Q663" s="1191"/>
      <c r="R663" s="1191"/>
      <c r="S663" s="1191"/>
      <c r="T663" s="1191"/>
      <c r="U663" s="1191"/>
      <c r="V663" s="1192"/>
      <c r="W663" s="1191"/>
      <c r="X663" s="1191"/>
      <c r="Y663" s="1191"/>
      <c r="Z663" s="1191"/>
    </row>
    <row r="664" spans="1:26" ht="15.75" customHeight="1">
      <c r="A664" s="1191"/>
      <c r="B664" s="1191"/>
      <c r="C664" s="1191"/>
      <c r="D664" s="1191"/>
      <c r="E664" s="1191"/>
      <c r="F664" s="1191"/>
      <c r="G664" s="1191"/>
      <c r="H664" s="1191"/>
      <c r="I664" s="1191"/>
      <c r="J664" s="1191"/>
      <c r="K664" s="1191"/>
      <c r="L664" s="1191"/>
      <c r="M664" s="1191"/>
      <c r="N664" s="1191"/>
      <c r="O664" s="1191"/>
      <c r="P664" s="1191"/>
      <c r="Q664" s="1191"/>
      <c r="R664" s="1191"/>
      <c r="S664" s="1191"/>
      <c r="T664" s="1191"/>
      <c r="U664" s="1191"/>
      <c r="V664" s="1192"/>
      <c r="W664" s="1191"/>
      <c r="X664" s="1191"/>
      <c r="Y664" s="1191"/>
      <c r="Z664" s="1191"/>
    </row>
    <row r="665" spans="1:26" ht="15.75" customHeight="1">
      <c r="A665" s="1191"/>
      <c r="B665" s="1191"/>
      <c r="C665" s="1191"/>
      <c r="D665" s="1191"/>
      <c r="E665" s="1191"/>
      <c r="F665" s="1191"/>
      <c r="G665" s="1191"/>
      <c r="H665" s="1191"/>
      <c r="I665" s="1191"/>
      <c r="J665" s="1191"/>
      <c r="K665" s="1191"/>
      <c r="L665" s="1191"/>
      <c r="M665" s="1191"/>
      <c r="N665" s="1191"/>
      <c r="O665" s="1191"/>
      <c r="P665" s="1191"/>
      <c r="Q665" s="1191"/>
      <c r="R665" s="1191"/>
      <c r="S665" s="1191"/>
      <c r="T665" s="1191"/>
      <c r="U665" s="1191"/>
      <c r="V665" s="1192"/>
      <c r="W665" s="1191"/>
      <c r="X665" s="1191"/>
      <c r="Y665" s="1191"/>
      <c r="Z665" s="1191"/>
    </row>
    <row r="666" spans="1:26" ht="15.75" customHeight="1">
      <c r="A666" s="1191"/>
      <c r="B666" s="1191"/>
      <c r="C666" s="1191"/>
      <c r="D666" s="1191"/>
      <c r="E666" s="1191"/>
      <c r="F666" s="1191"/>
      <c r="G666" s="1191"/>
      <c r="H666" s="1191"/>
      <c r="I666" s="1191"/>
      <c r="J666" s="1191"/>
      <c r="K666" s="1191"/>
      <c r="L666" s="1191"/>
      <c r="M666" s="1191"/>
      <c r="N666" s="1191"/>
      <c r="O666" s="1191"/>
      <c r="P666" s="1191"/>
      <c r="Q666" s="1191"/>
      <c r="R666" s="1191"/>
      <c r="S666" s="1191"/>
      <c r="T666" s="1191"/>
      <c r="U666" s="1191"/>
      <c r="V666" s="1192"/>
      <c r="W666" s="1191"/>
      <c r="X666" s="1191"/>
      <c r="Y666" s="1191"/>
      <c r="Z666" s="1191"/>
    </row>
    <row r="667" spans="1:26" ht="15.75" customHeight="1">
      <c r="A667" s="1191"/>
      <c r="B667" s="1191"/>
      <c r="C667" s="1191"/>
      <c r="D667" s="1191"/>
      <c r="E667" s="1191"/>
      <c r="F667" s="1191"/>
      <c r="G667" s="1191"/>
      <c r="H667" s="1191"/>
      <c r="I667" s="1191"/>
      <c r="J667" s="1191"/>
      <c r="K667" s="1191"/>
      <c r="L667" s="1191"/>
      <c r="M667" s="1191"/>
      <c r="N667" s="1191"/>
      <c r="O667" s="1191"/>
      <c r="P667" s="1191"/>
      <c r="Q667" s="1191"/>
      <c r="R667" s="1191"/>
      <c r="S667" s="1191"/>
      <c r="T667" s="1191"/>
      <c r="U667" s="1191"/>
      <c r="V667" s="1192"/>
      <c r="W667" s="1191"/>
      <c r="X667" s="1191"/>
      <c r="Y667" s="1191"/>
      <c r="Z667" s="1191"/>
    </row>
    <row r="668" spans="1:26" ht="15.75" customHeight="1">
      <c r="A668" s="1191"/>
      <c r="B668" s="1191"/>
      <c r="C668" s="1191"/>
      <c r="D668" s="1191"/>
      <c r="E668" s="1191"/>
      <c r="F668" s="1191"/>
      <c r="G668" s="1191"/>
      <c r="H668" s="1191"/>
      <c r="I668" s="1191"/>
      <c r="J668" s="1191"/>
      <c r="K668" s="1191"/>
      <c r="L668" s="1191"/>
      <c r="M668" s="1191"/>
      <c r="N668" s="1191"/>
      <c r="O668" s="1191"/>
      <c r="P668" s="1191"/>
      <c r="Q668" s="1191"/>
      <c r="R668" s="1191"/>
      <c r="S668" s="1191"/>
      <c r="T668" s="1191"/>
      <c r="U668" s="1191"/>
      <c r="V668" s="1192"/>
      <c r="W668" s="1191"/>
      <c r="X668" s="1191"/>
      <c r="Y668" s="1191"/>
      <c r="Z668" s="1191"/>
    </row>
    <row r="669" spans="1:26" ht="15.75" customHeight="1">
      <c r="A669" s="1191"/>
      <c r="B669" s="1191"/>
      <c r="C669" s="1191"/>
      <c r="D669" s="1191"/>
      <c r="E669" s="1191"/>
      <c r="F669" s="1191"/>
      <c r="G669" s="1191"/>
      <c r="H669" s="1191"/>
      <c r="I669" s="1191"/>
      <c r="J669" s="1191"/>
      <c r="K669" s="1191"/>
      <c r="L669" s="1191"/>
      <c r="M669" s="1191"/>
      <c r="N669" s="1191"/>
      <c r="O669" s="1191"/>
      <c r="P669" s="1191"/>
      <c r="Q669" s="1191"/>
      <c r="R669" s="1191"/>
      <c r="S669" s="1191"/>
      <c r="T669" s="1191"/>
      <c r="U669" s="1191"/>
      <c r="V669" s="1192"/>
      <c r="W669" s="1191"/>
      <c r="X669" s="1191"/>
      <c r="Y669" s="1191"/>
      <c r="Z669" s="1191"/>
    </row>
    <row r="670" spans="1:26" ht="15.75" customHeight="1">
      <c r="A670" s="1191"/>
      <c r="B670" s="1191"/>
      <c r="C670" s="1191"/>
      <c r="D670" s="1191"/>
      <c r="E670" s="1191"/>
      <c r="F670" s="1191"/>
      <c r="G670" s="1191"/>
      <c r="H670" s="1191"/>
      <c r="I670" s="1191"/>
      <c r="J670" s="1191"/>
      <c r="K670" s="1191"/>
      <c r="L670" s="1191"/>
      <c r="M670" s="1191"/>
      <c r="N670" s="1191"/>
      <c r="O670" s="1191"/>
      <c r="P670" s="1191"/>
      <c r="Q670" s="1191"/>
      <c r="R670" s="1191"/>
      <c r="S670" s="1191"/>
      <c r="T670" s="1191"/>
      <c r="U670" s="1191"/>
      <c r="V670" s="1192"/>
      <c r="W670" s="1191"/>
      <c r="X670" s="1191"/>
      <c r="Y670" s="1191"/>
      <c r="Z670" s="1191"/>
    </row>
    <row r="671" spans="1:26" ht="15.75" customHeight="1">
      <c r="A671" s="1191"/>
      <c r="B671" s="1191"/>
      <c r="C671" s="1191"/>
      <c r="D671" s="1191"/>
      <c r="E671" s="1191"/>
      <c r="F671" s="1191"/>
      <c r="G671" s="1191"/>
      <c r="H671" s="1191"/>
      <c r="I671" s="1191"/>
      <c r="J671" s="1191"/>
      <c r="K671" s="1191"/>
      <c r="L671" s="1191"/>
      <c r="M671" s="1191"/>
      <c r="N671" s="1191"/>
      <c r="O671" s="1191"/>
      <c r="P671" s="1191"/>
      <c r="Q671" s="1191"/>
      <c r="R671" s="1191"/>
      <c r="S671" s="1191"/>
      <c r="T671" s="1191"/>
      <c r="U671" s="1191"/>
      <c r="V671" s="1192"/>
      <c r="W671" s="1191"/>
      <c r="X671" s="1191"/>
      <c r="Y671" s="1191"/>
      <c r="Z671" s="1191"/>
    </row>
    <row r="672" spans="1:26" ht="15.75" customHeight="1">
      <c r="A672" s="1191"/>
      <c r="B672" s="1191"/>
      <c r="C672" s="1191"/>
      <c r="D672" s="1191"/>
      <c r="E672" s="1191"/>
      <c r="F672" s="1191"/>
      <c r="G672" s="1191"/>
      <c r="H672" s="1191"/>
      <c r="I672" s="1191"/>
      <c r="J672" s="1191"/>
      <c r="K672" s="1191"/>
      <c r="L672" s="1191"/>
      <c r="M672" s="1191"/>
      <c r="N672" s="1191"/>
      <c r="O672" s="1191"/>
      <c r="P672" s="1191"/>
      <c r="Q672" s="1191"/>
      <c r="R672" s="1191"/>
      <c r="S672" s="1191"/>
      <c r="T672" s="1191"/>
      <c r="U672" s="1191"/>
      <c r="V672" s="1192"/>
      <c r="W672" s="1191"/>
      <c r="X672" s="1191"/>
      <c r="Y672" s="1191"/>
      <c r="Z672" s="1191"/>
    </row>
    <row r="673" spans="1:26" ht="15.75" customHeight="1">
      <c r="A673" s="1191"/>
      <c r="B673" s="1191"/>
      <c r="C673" s="1191"/>
      <c r="D673" s="1191"/>
      <c r="E673" s="1191"/>
      <c r="F673" s="1191"/>
      <c r="G673" s="1191"/>
      <c r="H673" s="1191"/>
      <c r="I673" s="1191"/>
      <c r="J673" s="1191"/>
      <c r="K673" s="1191"/>
      <c r="L673" s="1191"/>
      <c r="M673" s="1191"/>
      <c r="N673" s="1191"/>
      <c r="O673" s="1191"/>
      <c r="P673" s="1191"/>
      <c r="Q673" s="1191"/>
      <c r="R673" s="1191"/>
      <c r="S673" s="1191"/>
      <c r="T673" s="1191"/>
      <c r="U673" s="1191"/>
      <c r="V673" s="1192"/>
      <c r="W673" s="1191"/>
      <c r="X673" s="1191"/>
      <c r="Y673" s="1191"/>
      <c r="Z673" s="1191"/>
    </row>
    <row r="674" spans="1:26" ht="15.75" customHeight="1">
      <c r="A674" s="1191"/>
      <c r="B674" s="1191"/>
      <c r="C674" s="1191"/>
      <c r="D674" s="1191"/>
      <c r="E674" s="1191"/>
      <c r="F674" s="1191"/>
      <c r="G674" s="1191"/>
      <c r="H674" s="1191"/>
      <c r="I674" s="1191"/>
      <c r="J674" s="1191"/>
      <c r="K674" s="1191"/>
      <c r="L674" s="1191"/>
      <c r="M674" s="1191"/>
      <c r="N674" s="1191"/>
      <c r="O674" s="1191"/>
      <c r="P674" s="1191"/>
      <c r="Q674" s="1191"/>
      <c r="R674" s="1191"/>
      <c r="S674" s="1191"/>
      <c r="T674" s="1191"/>
      <c r="U674" s="1191"/>
      <c r="V674" s="1192"/>
      <c r="W674" s="1191"/>
      <c r="X674" s="1191"/>
      <c r="Y674" s="1191"/>
      <c r="Z674" s="1191"/>
    </row>
    <row r="675" spans="1:26" ht="15.75" customHeight="1">
      <c r="A675" s="1191"/>
      <c r="B675" s="1191"/>
      <c r="C675" s="1191"/>
      <c r="D675" s="1191"/>
      <c r="E675" s="1191"/>
      <c r="F675" s="1191"/>
      <c r="G675" s="1191"/>
      <c r="H675" s="1191"/>
      <c r="I675" s="1191"/>
      <c r="J675" s="1191"/>
      <c r="K675" s="1191"/>
      <c r="L675" s="1191"/>
      <c r="M675" s="1191"/>
      <c r="N675" s="1191"/>
      <c r="O675" s="1191"/>
      <c r="P675" s="1191"/>
      <c r="Q675" s="1191"/>
      <c r="R675" s="1191"/>
      <c r="S675" s="1191"/>
      <c r="T675" s="1191"/>
      <c r="U675" s="1191"/>
      <c r="V675" s="1192"/>
      <c r="W675" s="1191"/>
      <c r="X675" s="1191"/>
      <c r="Y675" s="1191"/>
      <c r="Z675" s="1191"/>
    </row>
    <row r="676" spans="1:26" ht="15.75" customHeight="1">
      <c r="A676" s="1191"/>
      <c r="B676" s="1191"/>
      <c r="C676" s="1191"/>
      <c r="D676" s="1191"/>
      <c r="E676" s="1191"/>
      <c r="F676" s="1191"/>
      <c r="G676" s="1191"/>
      <c r="H676" s="1191"/>
      <c r="I676" s="1191"/>
      <c r="J676" s="1191"/>
      <c r="K676" s="1191"/>
      <c r="L676" s="1191"/>
      <c r="M676" s="1191"/>
      <c r="N676" s="1191"/>
      <c r="O676" s="1191"/>
      <c r="P676" s="1191"/>
      <c r="Q676" s="1191"/>
      <c r="R676" s="1191"/>
      <c r="S676" s="1191"/>
      <c r="T676" s="1191"/>
      <c r="U676" s="1191"/>
      <c r="V676" s="1192"/>
      <c r="W676" s="1191"/>
      <c r="X676" s="1191"/>
      <c r="Y676" s="1191"/>
      <c r="Z676" s="1191"/>
    </row>
    <row r="677" spans="1:26" ht="15.75" customHeight="1">
      <c r="A677" s="1191"/>
      <c r="B677" s="1191"/>
      <c r="C677" s="1191"/>
      <c r="D677" s="1191"/>
      <c r="E677" s="1191"/>
      <c r="F677" s="1191"/>
      <c r="G677" s="1191"/>
      <c r="H677" s="1191"/>
      <c r="I677" s="1191"/>
      <c r="J677" s="1191"/>
      <c r="K677" s="1191"/>
      <c r="L677" s="1191"/>
      <c r="M677" s="1191"/>
      <c r="N677" s="1191"/>
      <c r="O677" s="1191"/>
      <c r="P677" s="1191"/>
      <c r="Q677" s="1191"/>
      <c r="R677" s="1191"/>
      <c r="S677" s="1191"/>
      <c r="T677" s="1191"/>
      <c r="U677" s="1191"/>
      <c r="V677" s="1192"/>
      <c r="W677" s="1191"/>
      <c r="X677" s="1191"/>
      <c r="Y677" s="1191"/>
      <c r="Z677" s="1191"/>
    </row>
    <row r="678" spans="1:26" ht="15.75" customHeight="1">
      <c r="A678" s="1191"/>
      <c r="B678" s="1191"/>
      <c r="C678" s="1191"/>
      <c r="D678" s="1191"/>
      <c r="E678" s="1191"/>
      <c r="F678" s="1191"/>
      <c r="G678" s="1191"/>
      <c r="H678" s="1191"/>
      <c r="I678" s="1191"/>
      <c r="J678" s="1191"/>
      <c r="K678" s="1191"/>
      <c r="L678" s="1191"/>
      <c r="M678" s="1191"/>
      <c r="N678" s="1191"/>
      <c r="O678" s="1191"/>
      <c r="P678" s="1191"/>
      <c r="Q678" s="1191"/>
      <c r="R678" s="1191"/>
      <c r="S678" s="1191"/>
      <c r="T678" s="1191"/>
      <c r="U678" s="1191"/>
      <c r="V678" s="1192"/>
      <c r="W678" s="1191"/>
      <c r="X678" s="1191"/>
      <c r="Y678" s="1191"/>
      <c r="Z678" s="1191"/>
    </row>
    <row r="679" spans="1:26" ht="15.75" customHeight="1">
      <c r="A679" s="1191"/>
      <c r="B679" s="1191"/>
      <c r="C679" s="1191"/>
      <c r="D679" s="1191"/>
      <c r="E679" s="1191"/>
      <c r="F679" s="1191"/>
      <c r="G679" s="1191"/>
      <c r="H679" s="1191"/>
      <c r="I679" s="1191"/>
      <c r="J679" s="1191"/>
      <c r="K679" s="1191"/>
      <c r="L679" s="1191"/>
      <c r="M679" s="1191"/>
      <c r="N679" s="1191"/>
      <c r="O679" s="1191"/>
      <c r="P679" s="1191"/>
      <c r="Q679" s="1191"/>
      <c r="R679" s="1191"/>
      <c r="S679" s="1191"/>
      <c r="T679" s="1191"/>
      <c r="U679" s="1191"/>
      <c r="V679" s="1192"/>
      <c r="W679" s="1191"/>
      <c r="X679" s="1191"/>
      <c r="Y679" s="1191"/>
      <c r="Z679" s="1191"/>
    </row>
    <row r="680" spans="1:26" ht="15.75" customHeight="1">
      <c r="A680" s="1191"/>
      <c r="B680" s="1191"/>
      <c r="C680" s="1191"/>
      <c r="D680" s="1191"/>
      <c r="E680" s="1191"/>
      <c r="F680" s="1191"/>
      <c r="G680" s="1191"/>
      <c r="H680" s="1191"/>
      <c r="I680" s="1191"/>
      <c r="J680" s="1191"/>
      <c r="K680" s="1191"/>
      <c r="L680" s="1191"/>
      <c r="M680" s="1191"/>
      <c r="N680" s="1191"/>
      <c r="O680" s="1191"/>
      <c r="P680" s="1191"/>
      <c r="Q680" s="1191"/>
      <c r="R680" s="1191"/>
      <c r="S680" s="1191"/>
      <c r="T680" s="1191"/>
      <c r="U680" s="1191"/>
      <c r="V680" s="1192"/>
      <c r="W680" s="1191"/>
      <c r="X680" s="1191"/>
      <c r="Y680" s="1191"/>
      <c r="Z680" s="1191"/>
    </row>
    <row r="681" spans="1:26" ht="15.75" customHeight="1">
      <c r="A681" s="1191"/>
      <c r="B681" s="1191"/>
      <c r="C681" s="1191"/>
      <c r="D681" s="1191"/>
      <c r="E681" s="1191"/>
      <c r="F681" s="1191"/>
      <c r="G681" s="1191"/>
      <c r="H681" s="1191"/>
      <c r="I681" s="1191"/>
      <c r="J681" s="1191"/>
      <c r="K681" s="1191"/>
      <c r="L681" s="1191"/>
      <c r="M681" s="1191"/>
      <c r="N681" s="1191"/>
      <c r="O681" s="1191"/>
      <c r="P681" s="1191"/>
      <c r="Q681" s="1191"/>
      <c r="R681" s="1191"/>
      <c r="S681" s="1191"/>
      <c r="T681" s="1191"/>
      <c r="U681" s="1191"/>
      <c r="V681" s="1192"/>
      <c r="W681" s="1191"/>
      <c r="X681" s="1191"/>
      <c r="Y681" s="1191"/>
      <c r="Z681" s="1191"/>
    </row>
    <row r="682" spans="1:26" ht="15.75" customHeight="1">
      <c r="A682" s="1191"/>
      <c r="B682" s="1191"/>
      <c r="C682" s="1191"/>
      <c r="D682" s="1191"/>
      <c r="E682" s="1191"/>
      <c r="F682" s="1191"/>
      <c r="G682" s="1191"/>
      <c r="H682" s="1191"/>
      <c r="I682" s="1191"/>
      <c r="J682" s="1191"/>
      <c r="K682" s="1191"/>
      <c r="L682" s="1191"/>
      <c r="M682" s="1191"/>
      <c r="N682" s="1191"/>
      <c r="O682" s="1191"/>
      <c r="P682" s="1191"/>
      <c r="Q682" s="1191"/>
      <c r="R682" s="1191"/>
      <c r="S682" s="1191"/>
      <c r="T682" s="1191"/>
      <c r="U682" s="1191"/>
      <c r="V682" s="1192"/>
      <c r="W682" s="1191"/>
      <c r="X682" s="1191"/>
      <c r="Y682" s="1191"/>
      <c r="Z682" s="1191"/>
    </row>
    <row r="683" spans="1:26" ht="15.75" customHeight="1">
      <c r="A683" s="1191"/>
      <c r="B683" s="1191"/>
      <c r="C683" s="1191"/>
      <c r="D683" s="1191"/>
      <c r="E683" s="1191"/>
      <c r="F683" s="1191"/>
      <c r="G683" s="1191"/>
      <c r="H683" s="1191"/>
      <c r="I683" s="1191"/>
      <c r="J683" s="1191"/>
      <c r="K683" s="1191"/>
      <c r="L683" s="1191"/>
      <c r="M683" s="1191"/>
      <c r="N683" s="1191"/>
      <c r="O683" s="1191"/>
      <c r="P683" s="1191"/>
      <c r="Q683" s="1191"/>
      <c r="R683" s="1191"/>
      <c r="S683" s="1191"/>
      <c r="T683" s="1191"/>
      <c r="U683" s="1191"/>
      <c r="V683" s="1192"/>
      <c r="W683" s="1191"/>
      <c r="X683" s="1191"/>
      <c r="Y683" s="1191"/>
      <c r="Z683" s="1191"/>
    </row>
    <row r="684" spans="1:26" ht="15.75" customHeight="1">
      <c r="A684" s="1191"/>
      <c r="B684" s="1191"/>
      <c r="C684" s="1191"/>
      <c r="D684" s="1191"/>
      <c r="E684" s="1191"/>
      <c r="F684" s="1191"/>
      <c r="G684" s="1191"/>
      <c r="H684" s="1191"/>
      <c r="I684" s="1191"/>
      <c r="J684" s="1191"/>
      <c r="K684" s="1191"/>
      <c r="L684" s="1191"/>
      <c r="M684" s="1191"/>
      <c r="N684" s="1191"/>
      <c r="O684" s="1191"/>
      <c r="P684" s="1191"/>
      <c r="Q684" s="1191"/>
      <c r="R684" s="1191"/>
      <c r="S684" s="1191"/>
      <c r="T684" s="1191"/>
      <c r="U684" s="1191"/>
      <c r="V684" s="1192"/>
      <c r="W684" s="1191"/>
      <c r="X684" s="1191"/>
      <c r="Y684" s="1191"/>
      <c r="Z684" s="1191"/>
    </row>
    <row r="685" spans="1:26" ht="15.75" customHeight="1">
      <c r="A685" s="1191"/>
      <c r="B685" s="1191"/>
      <c r="C685" s="1191"/>
      <c r="D685" s="1191"/>
      <c r="E685" s="1191"/>
      <c r="F685" s="1191"/>
      <c r="G685" s="1191"/>
      <c r="H685" s="1191"/>
      <c r="I685" s="1191"/>
      <c r="J685" s="1191"/>
      <c r="K685" s="1191"/>
      <c r="L685" s="1191"/>
      <c r="M685" s="1191"/>
      <c r="N685" s="1191"/>
      <c r="O685" s="1191"/>
      <c r="P685" s="1191"/>
      <c r="Q685" s="1191"/>
      <c r="R685" s="1191"/>
      <c r="S685" s="1191"/>
      <c r="T685" s="1191"/>
      <c r="U685" s="1191"/>
      <c r="V685" s="1192"/>
      <c r="W685" s="1191"/>
      <c r="X685" s="1191"/>
      <c r="Y685" s="1191"/>
      <c r="Z685" s="1191"/>
    </row>
    <row r="686" spans="1:26" ht="15.75" customHeight="1">
      <c r="A686" s="1191"/>
      <c r="B686" s="1191"/>
      <c r="C686" s="1191"/>
      <c r="D686" s="1191"/>
      <c r="E686" s="1191"/>
      <c r="F686" s="1191"/>
      <c r="G686" s="1191"/>
      <c r="H686" s="1191"/>
      <c r="I686" s="1191"/>
      <c r="J686" s="1191"/>
      <c r="K686" s="1191"/>
      <c r="L686" s="1191"/>
      <c r="M686" s="1191"/>
      <c r="N686" s="1191"/>
      <c r="O686" s="1191"/>
      <c r="P686" s="1191"/>
      <c r="Q686" s="1191"/>
      <c r="R686" s="1191"/>
      <c r="S686" s="1191"/>
      <c r="T686" s="1191"/>
      <c r="U686" s="1191"/>
      <c r="V686" s="1192"/>
      <c r="W686" s="1191"/>
      <c r="X686" s="1191"/>
      <c r="Y686" s="1191"/>
      <c r="Z686" s="1191"/>
    </row>
    <row r="687" spans="1:26" ht="15.75" customHeight="1">
      <c r="A687" s="1191"/>
      <c r="B687" s="1191"/>
      <c r="C687" s="1191"/>
      <c r="D687" s="1191"/>
      <c r="E687" s="1191"/>
      <c r="F687" s="1191"/>
      <c r="G687" s="1191"/>
      <c r="H687" s="1191"/>
      <c r="I687" s="1191"/>
      <c r="J687" s="1191"/>
      <c r="K687" s="1191"/>
      <c r="L687" s="1191"/>
      <c r="M687" s="1191"/>
      <c r="N687" s="1191"/>
      <c r="O687" s="1191"/>
      <c r="P687" s="1191"/>
      <c r="Q687" s="1191"/>
      <c r="R687" s="1191"/>
      <c r="S687" s="1191"/>
      <c r="T687" s="1191"/>
      <c r="U687" s="1191"/>
      <c r="V687" s="1192"/>
      <c r="W687" s="1191"/>
      <c r="X687" s="1191"/>
      <c r="Y687" s="1191"/>
      <c r="Z687" s="1191"/>
    </row>
    <row r="688" spans="1:26" ht="15.75" customHeight="1">
      <c r="A688" s="1191"/>
      <c r="B688" s="1191"/>
      <c r="C688" s="1191"/>
      <c r="D688" s="1191"/>
      <c r="E688" s="1191"/>
      <c r="F688" s="1191"/>
      <c r="G688" s="1191"/>
      <c r="H688" s="1191"/>
      <c r="I688" s="1191"/>
      <c r="J688" s="1191"/>
      <c r="K688" s="1191"/>
      <c r="L688" s="1191"/>
      <c r="M688" s="1191"/>
      <c r="N688" s="1191"/>
      <c r="O688" s="1191"/>
      <c r="P688" s="1191"/>
      <c r="Q688" s="1191"/>
      <c r="R688" s="1191"/>
      <c r="S688" s="1191"/>
      <c r="T688" s="1191"/>
      <c r="U688" s="1191"/>
      <c r="V688" s="1192"/>
      <c r="W688" s="1191"/>
      <c r="X688" s="1191"/>
      <c r="Y688" s="1191"/>
      <c r="Z688" s="1191"/>
    </row>
    <row r="689" spans="1:26" ht="15.75" customHeight="1">
      <c r="A689" s="1191"/>
      <c r="B689" s="1191"/>
      <c r="C689" s="1191"/>
      <c r="D689" s="1191"/>
      <c r="E689" s="1191"/>
      <c r="F689" s="1191"/>
      <c r="G689" s="1191"/>
      <c r="H689" s="1191"/>
      <c r="I689" s="1191"/>
      <c r="J689" s="1191"/>
      <c r="K689" s="1191"/>
      <c r="L689" s="1191"/>
      <c r="M689" s="1191"/>
      <c r="N689" s="1191"/>
      <c r="O689" s="1191"/>
      <c r="P689" s="1191"/>
      <c r="Q689" s="1191"/>
      <c r="R689" s="1191"/>
      <c r="S689" s="1191"/>
      <c r="T689" s="1191"/>
      <c r="U689" s="1191"/>
      <c r="V689" s="1192"/>
      <c r="W689" s="1191"/>
      <c r="X689" s="1191"/>
      <c r="Y689" s="1191"/>
      <c r="Z689" s="1191"/>
    </row>
    <row r="690" spans="1:26" ht="15.75" customHeight="1">
      <c r="A690" s="1191"/>
      <c r="B690" s="1191"/>
      <c r="C690" s="1191"/>
      <c r="D690" s="1191"/>
      <c r="E690" s="1191"/>
      <c r="F690" s="1191"/>
      <c r="G690" s="1191"/>
      <c r="H690" s="1191"/>
      <c r="I690" s="1191"/>
      <c r="J690" s="1191"/>
      <c r="K690" s="1191"/>
      <c r="L690" s="1191"/>
      <c r="M690" s="1191"/>
      <c r="N690" s="1191"/>
      <c r="O690" s="1191"/>
      <c r="P690" s="1191"/>
      <c r="Q690" s="1191"/>
      <c r="R690" s="1191"/>
      <c r="S690" s="1191"/>
      <c r="T690" s="1191"/>
      <c r="U690" s="1191"/>
      <c r="V690" s="1192"/>
      <c r="W690" s="1191"/>
      <c r="X690" s="1191"/>
      <c r="Y690" s="1191"/>
      <c r="Z690" s="1191"/>
    </row>
    <row r="691" spans="1:26" ht="15.75" customHeight="1">
      <c r="A691" s="1191"/>
      <c r="B691" s="1191"/>
      <c r="C691" s="1191"/>
      <c r="D691" s="1191"/>
      <c r="E691" s="1191"/>
      <c r="F691" s="1191"/>
      <c r="G691" s="1191"/>
      <c r="H691" s="1191"/>
      <c r="I691" s="1191"/>
      <c r="J691" s="1191"/>
      <c r="K691" s="1191"/>
      <c r="L691" s="1191"/>
      <c r="M691" s="1191"/>
      <c r="N691" s="1191"/>
      <c r="O691" s="1191"/>
      <c r="P691" s="1191"/>
      <c r="Q691" s="1191"/>
      <c r="R691" s="1191"/>
      <c r="S691" s="1191"/>
      <c r="T691" s="1191"/>
      <c r="U691" s="1191"/>
      <c r="V691" s="1192"/>
      <c r="W691" s="1191"/>
      <c r="X691" s="1191"/>
      <c r="Y691" s="1191"/>
      <c r="Z691" s="1191"/>
    </row>
    <row r="692" spans="1:26" ht="15.75" customHeight="1">
      <c r="A692" s="1191"/>
      <c r="B692" s="1191"/>
      <c r="C692" s="1191"/>
      <c r="D692" s="1191"/>
      <c r="E692" s="1191"/>
      <c r="F692" s="1191"/>
      <c r="G692" s="1191"/>
      <c r="H692" s="1191"/>
      <c r="I692" s="1191"/>
      <c r="J692" s="1191"/>
      <c r="K692" s="1191"/>
      <c r="L692" s="1191"/>
      <c r="M692" s="1191"/>
      <c r="N692" s="1191"/>
      <c r="O692" s="1191"/>
      <c r="P692" s="1191"/>
      <c r="Q692" s="1191"/>
      <c r="R692" s="1191"/>
      <c r="S692" s="1191"/>
      <c r="T692" s="1191"/>
      <c r="U692" s="1191"/>
      <c r="V692" s="1192"/>
      <c r="W692" s="1191"/>
      <c r="X692" s="1191"/>
      <c r="Y692" s="1191"/>
      <c r="Z692" s="1191"/>
    </row>
    <row r="693" spans="1:26" ht="15.75" customHeight="1">
      <c r="A693" s="1191"/>
      <c r="B693" s="1191"/>
      <c r="C693" s="1191"/>
      <c r="D693" s="1191"/>
      <c r="E693" s="1191"/>
      <c r="F693" s="1191"/>
      <c r="G693" s="1191"/>
      <c r="H693" s="1191"/>
      <c r="I693" s="1191"/>
      <c r="J693" s="1191"/>
      <c r="K693" s="1191"/>
      <c r="L693" s="1191"/>
      <c r="M693" s="1191"/>
      <c r="N693" s="1191"/>
      <c r="O693" s="1191"/>
      <c r="P693" s="1191"/>
      <c r="Q693" s="1191"/>
      <c r="R693" s="1191"/>
      <c r="S693" s="1191"/>
      <c r="T693" s="1191"/>
      <c r="U693" s="1191"/>
      <c r="V693" s="1192"/>
      <c r="W693" s="1191"/>
      <c r="X693" s="1191"/>
      <c r="Y693" s="1191"/>
      <c r="Z693" s="1191"/>
    </row>
    <row r="694" spans="1:26" ht="15.75" customHeight="1">
      <c r="A694" s="1191"/>
      <c r="B694" s="1191"/>
      <c r="C694" s="1191"/>
      <c r="D694" s="1191"/>
      <c r="E694" s="1191"/>
      <c r="F694" s="1191"/>
      <c r="G694" s="1191"/>
      <c r="H694" s="1191"/>
      <c r="I694" s="1191"/>
      <c r="J694" s="1191"/>
      <c r="K694" s="1191"/>
      <c r="L694" s="1191"/>
      <c r="M694" s="1191"/>
      <c r="N694" s="1191"/>
      <c r="O694" s="1191"/>
      <c r="P694" s="1191"/>
      <c r="Q694" s="1191"/>
      <c r="R694" s="1191"/>
      <c r="S694" s="1191"/>
      <c r="T694" s="1191"/>
      <c r="U694" s="1191"/>
      <c r="V694" s="1192"/>
      <c r="W694" s="1191"/>
      <c r="X694" s="1191"/>
      <c r="Y694" s="1191"/>
      <c r="Z694" s="1191"/>
    </row>
    <row r="695" spans="1:26" ht="15.75" customHeight="1">
      <c r="A695" s="1191"/>
      <c r="B695" s="1191"/>
      <c r="C695" s="1191"/>
      <c r="D695" s="1191"/>
      <c r="E695" s="1191"/>
      <c r="F695" s="1191"/>
      <c r="G695" s="1191"/>
      <c r="H695" s="1191"/>
      <c r="I695" s="1191"/>
      <c r="J695" s="1191"/>
      <c r="K695" s="1191"/>
      <c r="L695" s="1191"/>
      <c r="M695" s="1191"/>
      <c r="N695" s="1191"/>
      <c r="O695" s="1191"/>
      <c r="P695" s="1191"/>
      <c r="Q695" s="1191"/>
      <c r="R695" s="1191"/>
      <c r="S695" s="1191"/>
      <c r="T695" s="1191"/>
      <c r="U695" s="1191"/>
      <c r="V695" s="1192"/>
      <c r="W695" s="1191"/>
      <c r="X695" s="1191"/>
      <c r="Y695" s="1191"/>
      <c r="Z695" s="1191"/>
    </row>
    <row r="696" spans="1:26" ht="15.75" customHeight="1">
      <c r="A696" s="1191"/>
      <c r="B696" s="1191"/>
      <c r="C696" s="1191"/>
      <c r="D696" s="1191"/>
      <c r="E696" s="1191"/>
      <c r="F696" s="1191"/>
      <c r="G696" s="1191"/>
      <c r="H696" s="1191"/>
      <c r="I696" s="1191"/>
      <c r="J696" s="1191"/>
      <c r="K696" s="1191"/>
      <c r="L696" s="1191"/>
      <c r="M696" s="1191"/>
      <c r="N696" s="1191"/>
      <c r="O696" s="1191"/>
      <c r="P696" s="1191"/>
      <c r="Q696" s="1191"/>
      <c r="R696" s="1191"/>
      <c r="S696" s="1191"/>
      <c r="T696" s="1191"/>
      <c r="U696" s="1191"/>
      <c r="V696" s="1192"/>
      <c r="W696" s="1191"/>
      <c r="X696" s="1191"/>
      <c r="Y696" s="1191"/>
      <c r="Z696" s="1191"/>
    </row>
    <row r="697" spans="1:26" ht="15.75" customHeight="1">
      <c r="A697" s="1191"/>
      <c r="B697" s="1191"/>
      <c r="C697" s="1191"/>
      <c r="D697" s="1191"/>
      <c r="E697" s="1191"/>
      <c r="F697" s="1191"/>
      <c r="G697" s="1191"/>
      <c r="H697" s="1191"/>
      <c r="I697" s="1191"/>
      <c r="J697" s="1191"/>
      <c r="K697" s="1191"/>
      <c r="L697" s="1191"/>
      <c r="M697" s="1191"/>
      <c r="N697" s="1191"/>
      <c r="O697" s="1191"/>
      <c r="P697" s="1191"/>
      <c r="Q697" s="1191"/>
      <c r="R697" s="1191"/>
      <c r="S697" s="1191"/>
      <c r="T697" s="1191"/>
      <c r="U697" s="1191"/>
      <c r="V697" s="1192"/>
      <c r="W697" s="1191"/>
      <c r="X697" s="1191"/>
      <c r="Y697" s="1191"/>
      <c r="Z697" s="1191"/>
    </row>
    <row r="698" spans="1:26" ht="15.75" customHeight="1">
      <c r="A698" s="1191"/>
      <c r="B698" s="1191"/>
      <c r="C698" s="1191"/>
      <c r="D698" s="1191"/>
      <c r="E698" s="1191"/>
      <c r="F698" s="1191"/>
      <c r="G698" s="1191"/>
      <c r="H698" s="1191"/>
      <c r="I698" s="1191"/>
      <c r="J698" s="1191"/>
      <c r="K698" s="1191"/>
      <c r="L698" s="1191"/>
      <c r="M698" s="1191"/>
      <c r="N698" s="1191"/>
      <c r="O698" s="1191"/>
      <c r="P698" s="1191"/>
      <c r="Q698" s="1191"/>
      <c r="R698" s="1191"/>
      <c r="S698" s="1191"/>
      <c r="T698" s="1191"/>
      <c r="U698" s="1191"/>
      <c r="V698" s="1192"/>
      <c r="W698" s="1191"/>
      <c r="X698" s="1191"/>
      <c r="Y698" s="1191"/>
      <c r="Z698" s="1191"/>
    </row>
    <row r="699" spans="1:26" ht="15.75" customHeight="1">
      <c r="A699" s="1191"/>
      <c r="B699" s="1191"/>
      <c r="C699" s="1191"/>
      <c r="D699" s="1191"/>
      <c r="E699" s="1191"/>
      <c r="F699" s="1191"/>
      <c r="G699" s="1191"/>
      <c r="H699" s="1191"/>
      <c r="I699" s="1191"/>
      <c r="J699" s="1191"/>
      <c r="K699" s="1191"/>
      <c r="L699" s="1191"/>
      <c r="M699" s="1191"/>
      <c r="N699" s="1191"/>
      <c r="O699" s="1191"/>
      <c r="P699" s="1191"/>
      <c r="Q699" s="1191"/>
      <c r="R699" s="1191"/>
      <c r="S699" s="1191"/>
      <c r="T699" s="1191"/>
      <c r="U699" s="1191"/>
      <c r="V699" s="1192"/>
      <c r="W699" s="1191"/>
      <c r="X699" s="1191"/>
      <c r="Y699" s="1191"/>
      <c r="Z699" s="1191"/>
    </row>
    <row r="700" spans="1:26" ht="15.75" customHeight="1">
      <c r="A700" s="1191"/>
      <c r="B700" s="1191"/>
      <c r="C700" s="1191"/>
      <c r="D700" s="1191"/>
      <c r="E700" s="1191"/>
      <c r="F700" s="1191"/>
      <c r="G700" s="1191"/>
      <c r="H700" s="1191"/>
      <c r="I700" s="1191"/>
      <c r="J700" s="1191"/>
      <c r="K700" s="1191"/>
      <c r="L700" s="1191"/>
      <c r="M700" s="1191"/>
      <c r="N700" s="1191"/>
      <c r="O700" s="1191"/>
      <c r="P700" s="1191"/>
      <c r="Q700" s="1191"/>
      <c r="R700" s="1191"/>
      <c r="S700" s="1191"/>
      <c r="T700" s="1191"/>
      <c r="U700" s="1191"/>
      <c r="V700" s="1192"/>
      <c r="W700" s="1191"/>
      <c r="X700" s="1191"/>
      <c r="Y700" s="1191"/>
      <c r="Z700" s="1191"/>
    </row>
    <row r="701" spans="1:26" ht="15.75" customHeight="1">
      <c r="A701" s="1191"/>
      <c r="B701" s="1191"/>
      <c r="C701" s="1191"/>
      <c r="D701" s="1191"/>
      <c r="E701" s="1191"/>
      <c r="F701" s="1191"/>
      <c r="G701" s="1191"/>
      <c r="H701" s="1191"/>
      <c r="I701" s="1191"/>
      <c r="J701" s="1191"/>
      <c r="K701" s="1191"/>
      <c r="L701" s="1191"/>
      <c r="M701" s="1191"/>
      <c r="N701" s="1191"/>
      <c r="O701" s="1191"/>
      <c r="P701" s="1191"/>
      <c r="Q701" s="1191"/>
      <c r="R701" s="1191"/>
      <c r="S701" s="1191"/>
      <c r="T701" s="1191"/>
      <c r="U701" s="1191"/>
      <c r="V701" s="1192"/>
      <c r="W701" s="1191"/>
      <c r="X701" s="1191"/>
      <c r="Y701" s="1191"/>
      <c r="Z701" s="1191"/>
    </row>
    <row r="702" spans="1:26" ht="15.75" customHeight="1">
      <c r="A702" s="1191"/>
      <c r="B702" s="1191"/>
      <c r="C702" s="1191"/>
      <c r="D702" s="1191"/>
      <c r="E702" s="1191"/>
      <c r="F702" s="1191"/>
      <c r="G702" s="1191"/>
      <c r="H702" s="1191"/>
      <c r="I702" s="1191"/>
      <c r="J702" s="1191"/>
      <c r="K702" s="1191"/>
      <c r="L702" s="1191"/>
      <c r="M702" s="1191"/>
      <c r="N702" s="1191"/>
      <c r="O702" s="1191"/>
      <c r="P702" s="1191"/>
      <c r="Q702" s="1191"/>
      <c r="R702" s="1191"/>
      <c r="S702" s="1191"/>
      <c r="T702" s="1191"/>
      <c r="U702" s="1191"/>
      <c r="V702" s="1192"/>
      <c r="W702" s="1191"/>
      <c r="X702" s="1191"/>
      <c r="Y702" s="1191"/>
      <c r="Z702" s="1191"/>
    </row>
    <row r="703" spans="1:26" ht="15.75" customHeight="1">
      <c r="A703" s="1191"/>
      <c r="B703" s="1191"/>
      <c r="C703" s="1191"/>
      <c r="D703" s="1191"/>
      <c r="E703" s="1191"/>
      <c r="F703" s="1191"/>
      <c r="G703" s="1191"/>
      <c r="H703" s="1191"/>
      <c r="I703" s="1191"/>
      <c r="J703" s="1191"/>
      <c r="K703" s="1191"/>
      <c r="L703" s="1191"/>
      <c r="M703" s="1191"/>
      <c r="N703" s="1191"/>
      <c r="O703" s="1191"/>
      <c r="P703" s="1191"/>
      <c r="Q703" s="1191"/>
      <c r="R703" s="1191"/>
      <c r="S703" s="1191"/>
      <c r="T703" s="1191"/>
      <c r="U703" s="1191"/>
      <c r="V703" s="1192"/>
      <c r="W703" s="1191"/>
      <c r="X703" s="1191"/>
      <c r="Y703" s="1191"/>
      <c r="Z703" s="1191"/>
    </row>
    <row r="704" spans="1:26" ht="15.75" customHeight="1">
      <c r="A704" s="1191"/>
      <c r="B704" s="1191"/>
      <c r="C704" s="1191"/>
      <c r="D704" s="1191"/>
      <c r="E704" s="1191"/>
      <c r="F704" s="1191"/>
      <c r="G704" s="1191"/>
      <c r="H704" s="1191"/>
      <c r="I704" s="1191"/>
      <c r="J704" s="1191"/>
      <c r="K704" s="1191"/>
      <c r="L704" s="1191"/>
      <c r="M704" s="1191"/>
      <c r="N704" s="1191"/>
      <c r="O704" s="1191"/>
      <c r="P704" s="1191"/>
      <c r="Q704" s="1191"/>
      <c r="R704" s="1191"/>
      <c r="S704" s="1191"/>
      <c r="T704" s="1191"/>
      <c r="U704" s="1191"/>
      <c r="V704" s="1192"/>
      <c r="W704" s="1191"/>
      <c r="X704" s="1191"/>
      <c r="Y704" s="1191"/>
      <c r="Z704" s="1191"/>
    </row>
    <row r="705" spans="1:26" ht="15.75" customHeight="1">
      <c r="A705" s="1191"/>
      <c r="B705" s="1191"/>
      <c r="C705" s="1191"/>
      <c r="D705" s="1191"/>
      <c r="E705" s="1191"/>
      <c r="F705" s="1191"/>
      <c r="G705" s="1191"/>
      <c r="H705" s="1191"/>
      <c r="I705" s="1191"/>
      <c r="J705" s="1191"/>
      <c r="K705" s="1191"/>
      <c r="L705" s="1191"/>
      <c r="M705" s="1191"/>
      <c r="N705" s="1191"/>
      <c r="O705" s="1191"/>
      <c r="P705" s="1191"/>
      <c r="Q705" s="1191"/>
      <c r="R705" s="1191"/>
      <c r="S705" s="1191"/>
      <c r="T705" s="1191"/>
      <c r="U705" s="1191"/>
      <c r="V705" s="1192"/>
      <c r="W705" s="1191"/>
      <c r="X705" s="1191"/>
      <c r="Y705" s="1191"/>
      <c r="Z705" s="1191"/>
    </row>
    <row r="706" spans="1:26" ht="15.75" customHeight="1">
      <c r="A706" s="1191"/>
      <c r="B706" s="1191"/>
      <c r="C706" s="1191"/>
      <c r="D706" s="1191"/>
      <c r="E706" s="1191"/>
      <c r="F706" s="1191"/>
      <c r="G706" s="1191"/>
      <c r="H706" s="1191"/>
      <c r="I706" s="1191"/>
      <c r="J706" s="1191"/>
      <c r="K706" s="1191"/>
      <c r="L706" s="1191"/>
      <c r="M706" s="1191"/>
      <c r="N706" s="1191"/>
      <c r="O706" s="1191"/>
      <c r="P706" s="1191"/>
      <c r="Q706" s="1191"/>
      <c r="R706" s="1191"/>
      <c r="S706" s="1191"/>
      <c r="T706" s="1191"/>
      <c r="U706" s="1191"/>
      <c r="V706" s="1192"/>
      <c r="W706" s="1191"/>
      <c r="X706" s="1191"/>
      <c r="Y706" s="1191"/>
      <c r="Z706" s="1191"/>
    </row>
    <row r="707" spans="1:26" ht="15.75" customHeight="1">
      <c r="A707" s="1191"/>
      <c r="B707" s="1191"/>
      <c r="C707" s="1191"/>
      <c r="D707" s="1191"/>
      <c r="E707" s="1191"/>
      <c r="F707" s="1191"/>
      <c r="G707" s="1191"/>
      <c r="H707" s="1191"/>
      <c r="I707" s="1191"/>
      <c r="J707" s="1191"/>
      <c r="K707" s="1191"/>
      <c r="L707" s="1191"/>
      <c r="M707" s="1191"/>
      <c r="N707" s="1191"/>
      <c r="O707" s="1191"/>
      <c r="P707" s="1191"/>
      <c r="Q707" s="1191"/>
      <c r="R707" s="1191"/>
      <c r="S707" s="1191"/>
      <c r="T707" s="1191"/>
      <c r="U707" s="1191"/>
      <c r="V707" s="1192"/>
      <c r="W707" s="1191"/>
      <c r="X707" s="1191"/>
      <c r="Y707" s="1191"/>
      <c r="Z707" s="1191"/>
    </row>
    <row r="708" spans="1:26" ht="15.75" customHeight="1">
      <c r="A708" s="1191"/>
      <c r="B708" s="1191"/>
      <c r="C708" s="1191"/>
      <c r="D708" s="1191"/>
      <c r="E708" s="1191"/>
      <c r="F708" s="1191"/>
      <c r="G708" s="1191"/>
      <c r="H708" s="1191"/>
      <c r="I708" s="1191"/>
      <c r="J708" s="1191"/>
      <c r="K708" s="1191"/>
      <c r="L708" s="1191"/>
      <c r="M708" s="1191"/>
      <c r="N708" s="1191"/>
      <c r="O708" s="1191"/>
      <c r="P708" s="1191"/>
      <c r="Q708" s="1191"/>
      <c r="R708" s="1191"/>
      <c r="S708" s="1191"/>
      <c r="T708" s="1191"/>
      <c r="U708" s="1191"/>
      <c r="V708" s="1192"/>
      <c r="W708" s="1191"/>
      <c r="X708" s="1191"/>
      <c r="Y708" s="1191"/>
      <c r="Z708" s="1191"/>
    </row>
    <row r="709" spans="1:26" ht="15.75" customHeight="1">
      <c r="A709" s="1191"/>
      <c r="B709" s="1191"/>
      <c r="C709" s="1191"/>
      <c r="D709" s="1191"/>
      <c r="E709" s="1191"/>
      <c r="F709" s="1191"/>
      <c r="G709" s="1191"/>
      <c r="H709" s="1191"/>
      <c r="I709" s="1191"/>
      <c r="J709" s="1191"/>
      <c r="K709" s="1191"/>
      <c r="L709" s="1191"/>
      <c r="M709" s="1191"/>
      <c r="N709" s="1191"/>
      <c r="O709" s="1191"/>
      <c r="P709" s="1191"/>
      <c r="Q709" s="1191"/>
      <c r="R709" s="1191"/>
      <c r="S709" s="1191"/>
      <c r="T709" s="1191"/>
      <c r="U709" s="1191"/>
      <c r="V709" s="1192"/>
      <c r="W709" s="1191"/>
      <c r="X709" s="1191"/>
      <c r="Y709" s="1191"/>
      <c r="Z709" s="1191"/>
    </row>
    <row r="710" spans="1:26" ht="15.75" customHeight="1">
      <c r="A710" s="1191"/>
      <c r="B710" s="1191"/>
      <c r="C710" s="1191"/>
      <c r="D710" s="1191"/>
      <c r="E710" s="1191"/>
      <c r="F710" s="1191"/>
      <c r="G710" s="1191"/>
      <c r="H710" s="1191"/>
      <c r="I710" s="1191"/>
      <c r="J710" s="1191"/>
      <c r="K710" s="1191"/>
      <c r="L710" s="1191"/>
      <c r="M710" s="1191"/>
      <c r="N710" s="1191"/>
      <c r="O710" s="1191"/>
      <c r="P710" s="1191"/>
      <c r="Q710" s="1191"/>
      <c r="R710" s="1191"/>
      <c r="S710" s="1191"/>
      <c r="T710" s="1191"/>
      <c r="U710" s="1191"/>
      <c r="V710" s="1192"/>
      <c r="W710" s="1191"/>
      <c r="X710" s="1191"/>
      <c r="Y710" s="1191"/>
      <c r="Z710" s="1191"/>
    </row>
    <row r="711" spans="1:26" ht="15.75" customHeight="1">
      <c r="A711" s="1191"/>
      <c r="B711" s="1191"/>
      <c r="C711" s="1191"/>
      <c r="D711" s="1191"/>
      <c r="E711" s="1191"/>
      <c r="F711" s="1191"/>
      <c r="G711" s="1191"/>
      <c r="H711" s="1191"/>
      <c r="I711" s="1191"/>
      <c r="J711" s="1191"/>
      <c r="K711" s="1191"/>
      <c r="L711" s="1191"/>
      <c r="M711" s="1191"/>
      <c r="N711" s="1191"/>
      <c r="O711" s="1191"/>
      <c r="P711" s="1191"/>
      <c r="Q711" s="1191"/>
      <c r="R711" s="1191"/>
      <c r="S711" s="1191"/>
      <c r="T711" s="1191"/>
      <c r="U711" s="1191"/>
      <c r="V711" s="1192"/>
      <c r="W711" s="1191"/>
      <c r="X711" s="1191"/>
      <c r="Y711" s="1191"/>
      <c r="Z711" s="1191"/>
    </row>
    <row r="712" spans="1:26" ht="15.75" customHeight="1">
      <c r="A712" s="1191"/>
      <c r="B712" s="1191"/>
      <c r="C712" s="1191"/>
      <c r="D712" s="1191"/>
      <c r="E712" s="1191"/>
      <c r="F712" s="1191"/>
      <c r="G712" s="1191"/>
      <c r="H712" s="1191"/>
      <c r="I712" s="1191"/>
      <c r="J712" s="1191"/>
      <c r="K712" s="1191"/>
      <c r="L712" s="1191"/>
      <c r="M712" s="1191"/>
      <c r="N712" s="1191"/>
      <c r="O712" s="1191"/>
      <c r="P712" s="1191"/>
      <c r="Q712" s="1191"/>
      <c r="R712" s="1191"/>
      <c r="S712" s="1191"/>
      <c r="T712" s="1191"/>
      <c r="U712" s="1191"/>
      <c r="V712" s="1192"/>
      <c r="W712" s="1191"/>
      <c r="X712" s="1191"/>
      <c r="Y712" s="1191"/>
      <c r="Z712" s="1191"/>
    </row>
    <row r="713" spans="1:26" ht="15.75" customHeight="1">
      <c r="A713" s="1191"/>
      <c r="B713" s="1191"/>
      <c r="C713" s="1191"/>
      <c r="D713" s="1191"/>
      <c r="E713" s="1191"/>
      <c r="F713" s="1191"/>
      <c r="G713" s="1191"/>
      <c r="H713" s="1191"/>
      <c r="I713" s="1191"/>
      <c r="J713" s="1191"/>
      <c r="K713" s="1191"/>
      <c r="L713" s="1191"/>
      <c r="M713" s="1191"/>
      <c r="N713" s="1191"/>
      <c r="O713" s="1191"/>
      <c r="P713" s="1191"/>
      <c r="Q713" s="1191"/>
      <c r="R713" s="1191"/>
      <c r="S713" s="1191"/>
      <c r="T713" s="1191"/>
      <c r="U713" s="1191"/>
      <c r="V713" s="1192"/>
      <c r="W713" s="1191"/>
      <c r="X713" s="1191"/>
      <c r="Y713" s="1191"/>
      <c r="Z713" s="1191"/>
    </row>
    <row r="714" spans="1:26" ht="15.75" customHeight="1">
      <c r="A714" s="1191"/>
      <c r="B714" s="1191"/>
      <c r="C714" s="1191"/>
      <c r="D714" s="1191"/>
      <c r="E714" s="1191"/>
      <c r="F714" s="1191"/>
      <c r="G714" s="1191"/>
      <c r="H714" s="1191"/>
      <c r="I714" s="1191"/>
      <c r="J714" s="1191"/>
      <c r="K714" s="1191"/>
      <c r="L714" s="1191"/>
      <c r="M714" s="1191"/>
      <c r="N714" s="1191"/>
      <c r="O714" s="1191"/>
      <c r="P714" s="1191"/>
      <c r="Q714" s="1191"/>
      <c r="R714" s="1191"/>
      <c r="S714" s="1191"/>
      <c r="T714" s="1191"/>
      <c r="U714" s="1191"/>
      <c r="V714" s="1192"/>
      <c r="W714" s="1191"/>
      <c r="X714" s="1191"/>
      <c r="Y714" s="1191"/>
      <c r="Z714" s="1191"/>
    </row>
    <row r="715" spans="1:26" ht="15.75" customHeight="1">
      <c r="A715" s="1191"/>
      <c r="B715" s="1191"/>
      <c r="C715" s="1191"/>
      <c r="D715" s="1191"/>
      <c r="E715" s="1191"/>
      <c r="F715" s="1191"/>
      <c r="G715" s="1191"/>
      <c r="H715" s="1191"/>
      <c r="I715" s="1191"/>
      <c r="J715" s="1191"/>
      <c r="K715" s="1191"/>
      <c r="L715" s="1191"/>
      <c r="M715" s="1191"/>
      <c r="N715" s="1191"/>
      <c r="O715" s="1191"/>
      <c r="P715" s="1191"/>
      <c r="Q715" s="1191"/>
      <c r="R715" s="1191"/>
      <c r="S715" s="1191"/>
      <c r="T715" s="1191"/>
      <c r="U715" s="1191"/>
      <c r="V715" s="1192"/>
      <c r="W715" s="1191"/>
      <c r="X715" s="1191"/>
      <c r="Y715" s="1191"/>
      <c r="Z715" s="1191"/>
    </row>
    <row r="716" spans="1:26" ht="15.75" customHeight="1">
      <c r="A716" s="1191"/>
      <c r="B716" s="1191"/>
      <c r="C716" s="1191"/>
      <c r="D716" s="1191"/>
      <c r="E716" s="1191"/>
      <c r="F716" s="1191"/>
      <c r="G716" s="1191"/>
      <c r="H716" s="1191"/>
      <c r="I716" s="1191"/>
      <c r="J716" s="1191"/>
      <c r="K716" s="1191"/>
      <c r="L716" s="1191"/>
      <c r="M716" s="1191"/>
      <c r="N716" s="1191"/>
      <c r="O716" s="1191"/>
      <c r="P716" s="1191"/>
      <c r="Q716" s="1191"/>
      <c r="R716" s="1191"/>
      <c r="S716" s="1191"/>
      <c r="T716" s="1191"/>
      <c r="U716" s="1191"/>
      <c r="V716" s="1192"/>
      <c r="W716" s="1191"/>
      <c r="X716" s="1191"/>
      <c r="Y716" s="1191"/>
      <c r="Z716" s="1191"/>
    </row>
    <row r="717" spans="1:26" ht="15.75" customHeight="1">
      <c r="A717" s="1191"/>
      <c r="B717" s="1191"/>
      <c r="C717" s="1191"/>
      <c r="D717" s="1191"/>
      <c r="E717" s="1191"/>
      <c r="F717" s="1191"/>
      <c r="G717" s="1191"/>
      <c r="H717" s="1191"/>
      <c r="I717" s="1191"/>
      <c r="J717" s="1191"/>
      <c r="K717" s="1191"/>
      <c r="L717" s="1191"/>
      <c r="M717" s="1191"/>
      <c r="N717" s="1191"/>
      <c r="O717" s="1191"/>
      <c r="P717" s="1191"/>
      <c r="Q717" s="1191"/>
      <c r="R717" s="1191"/>
      <c r="S717" s="1191"/>
      <c r="T717" s="1191"/>
      <c r="U717" s="1191"/>
      <c r="V717" s="1192"/>
      <c r="W717" s="1191"/>
      <c r="X717" s="1191"/>
      <c r="Y717" s="1191"/>
      <c r="Z717" s="1191"/>
    </row>
    <row r="718" spans="1:26" ht="15.75" customHeight="1">
      <c r="A718" s="1191"/>
      <c r="B718" s="1191"/>
      <c r="C718" s="1191"/>
      <c r="D718" s="1191"/>
      <c r="E718" s="1191"/>
      <c r="F718" s="1191"/>
      <c r="G718" s="1191"/>
      <c r="H718" s="1191"/>
      <c r="I718" s="1191"/>
      <c r="J718" s="1191"/>
      <c r="K718" s="1191"/>
      <c r="L718" s="1191"/>
      <c r="M718" s="1191"/>
      <c r="N718" s="1191"/>
      <c r="O718" s="1191"/>
      <c r="P718" s="1191"/>
      <c r="Q718" s="1191"/>
      <c r="R718" s="1191"/>
      <c r="S718" s="1191"/>
      <c r="T718" s="1191"/>
      <c r="U718" s="1191"/>
      <c r="V718" s="1192"/>
      <c r="W718" s="1191"/>
      <c r="X718" s="1191"/>
      <c r="Y718" s="1191"/>
      <c r="Z718" s="1191"/>
    </row>
    <row r="719" spans="1:26" ht="15.75" customHeight="1">
      <c r="A719" s="1191"/>
      <c r="B719" s="1191"/>
      <c r="C719" s="1191"/>
      <c r="D719" s="1191"/>
      <c r="E719" s="1191"/>
      <c r="F719" s="1191"/>
      <c r="G719" s="1191"/>
      <c r="H719" s="1191"/>
      <c r="I719" s="1191"/>
      <c r="J719" s="1191"/>
      <c r="K719" s="1191"/>
      <c r="L719" s="1191"/>
      <c r="M719" s="1191"/>
      <c r="N719" s="1191"/>
      <c r="O719" s="1191"/>
      <c r="P719" s="1191"/>
      <c r="Q719" s="1191"/>
      <c r="R719" s="1191"/>
      <c r="S719" s="1191"/>
      <c r="T719" s="1191"/>
      <c r="U719" s="1191"/>
      <c r="V719" s="1192"/>
      <c r="W719" s="1191"/>
      <c r="X719" s="1191"/>
      <c r="Y719" s="1191"/>
      <c r="Z719" s="1191"/>
    </row>
    <row r="720" spans="1:26" ht="15.75" customHeight="1">
      <c r="A720" s="1191"/>
      <c r="B720" s="1191"/>
      <c r="C720" s="1191"/>
      <c r="D720" s="1191"/>
      <c r="E720" s="1191"/>
      <c r="F720" s="1191"/>
      <c r="G720" s="1191"/>
      <c r="H720" s="1191"/>
      <c r="I720" s="1191"/>
      <c r="J720" s="1191"/>
      <c r="K720" s="1191"/>
      <c r="L720" s="1191"/>
      <c r="M720" s="1191"/>
      <c r="N720" s="1191"/>
      <c r="O720" s="1191"/>
      <c r="P720" s="1191"/>
      <c r="Q720" s="1191"/>
      <c r="R720" s="1191"/>
      <c r="S720" s="1191"/>
      <c r="T720" s="1191"/>
      <c r="U720" s="1191"/>
      <c r="V720" s="1192"/>
      <c r="W720" s="1191"/>
      <c r="X720" s="1191"/>
      <c r="Y720" s="1191"/>
      <c r="Z720" s="1191"/>
    </row>
    <row r="721" spans="1:26" ht="15.75" customHeight="1">
      <c r="A721" s="1191"/>
      <c r="B721" s="1191"/>
      <c r="C721" s="1191"/>
      <c r="D721" s="1191"/>
      <c r="E721" s="1191"/>
      <c r="F721" s="1191"/>
      <c r="G721" s="1191"/>
      <c r="H721" s="1191"/>
      <c r="I721" s="1191"/>
      <c r="J721" s="1191"/>
      <c r="K721" s="1191"/>
      <c r="L721" s="1191"/>
      <c r="M721" s="1191"/>
      <c r="N721" s="1191"/>
      <c r="O721" s="1191"/>
      <c r="P721" s="1191"/>
      <c r="Q721" s="1191"/>
      <c r="R721" s="1191"/>
      <c r="S721" s="1191"/>
      <c r="T721" s="1191"/>
      <c r="U721" s="1191"/>
      <c r="V721" s="1192"/>
      <c r="W721" s="1191"/>
      <c r="X721" s="1191"/>
      <c r="Y721" s="1191"/>
      <c r="Z721" s="1191"/>
    </row>
    <row r="722" spans="1:26" ht="15.75" customHeight="1">
      <c r="A722" s="1191"/>
      <c r="B722" s="1191"/>
      <c r="C722" s="1191"/>
      <c r="D722" s="1191"/>
      <c r="E722" s="1191"/>
      <c r="F722" s="1191"/>
      <c r="G722" s="1191"/>
      <c r="H722" s="1191"/>
      <c r="I722" s="1191"/>
      <c r="J722" s="1191"/>
      <c r="K722" s="1191"/>
      <c r="L722" s="1191"/>
      <c r="M722" s="1191"/>
      <c r="N722" s="1191"/>
      <c r="O722" s="1191"/>
      <c r="P722" s="1191"/>
      <c r="Q722" s="1191"/>
      <c r="R722" s="1191"/>
      <c r="S722" s="1191"/>
      <c r="T722" s="1191"/>
      <c r="U722" s="1191"/>
      <c r="V722" s="1192"/>
      <c r="W722" s="1191"/>
      <c r="X722" s="1191"/>
      <c r="Y722" s="1191"/>
      <c r="Z722" s="1191"/>
    </row>
    <row r="723" spans="1:26" ht="15.75" customHeight="1">
      <c r="A723" s="1191"/>
      <c r="B723" s="1191"/>
      <c r="C723" s="1191"/>
      <c r="D723" s="1191"/>
      <c r="E723" s="1191"/>
      <c r="F723" s="1191"/>
      <c r="G723" s="1191"/>
      <c r="H723" s="1191"/>
      <c r="I723" s="1191"/>
      <c r="J723" s="1191"/>
      <c r="K723" s="1191"/>
      <c r="L723" s="1191"/>
      <c r="M723" s="1191"/>
      <c r="N723" s="1191"/>
      <c r="O723" s="1191"/>
      <c r="P723" s="1191"/>
      <c r="Q723" s="1191"/>
      <c r="R723" s="1191"/>
      <c r="S723" s="1191"/>
      <c r="T723" s="1191"/>
      <c r="U723" s="1191"/>
      <c r="V723" s="1192"/>
      <c r="W723" s="1191"/>
      <c r="X723" s="1191"/>
      <c r="Y723" s="1191"/>
      <c r="Z723" s="1191"/>
    </row>
    <row r="724" spans="1:26" ht="15.75" customHeight="1">
      <c r="A724" s="1191"/>
      <c r="B724" s="1191"/>
      <c r="C724" s="1191"/>
      <c r="D724" s="1191"/>
      <c r="E724" s="1191"/>
      <c r="F724" s="1191"/>
      <c r="G724" s="1191"/>
      <c r="H724" s="1191"/>
      <c r="I724" s="1191"/>
      <c r="J724" s="1191"/>
      <c r="K724" s="1191"/>
      <c r="L724" s="1191"/>
      <c r="M724" s="1191"/>
      <c r="N724" s="1191"/>
      <c r="O724" s="1191"/>
      <c r="P724" s="1191"/>
      <c r="Q724" s="1191"/>
      <c r="R724" s="1191"/>
      <c r="S724" s="1191"/>
      <c r="T724" s="1191"/>
      <c r="U724" s="1191"/>
      <c r="V724" s="1192"/>
      <c r="W724" s="1191"/>
      <c r="X724" s="1191"/>
      <c r="Y724" s="1191"/>
      <c r="Z724" s="1191"/>
    </row>
    <row r="725" spans="1:26" ht="15.75" customHeight="1">
      <c r="A725" s="1191"/>
      <c r="B725" s="1191"/>
      <c r="C725" s="1191"/>
      <c r="D725" s="1191"/>
      <c r="E725" s="1191"/>
      <c r="F725" s="1191"/>
      <c r="G725" s="1191"/>
      <c r="H725" s="1191"/>
      <c r="I725" s="1191"/>
      <c r="J725" s="1191"/>
      <c r="K725" s="1191"/>
      <c r="L725" s="1191"/>
      <c r="M725" s="1191"/>
      <c r="N725" s="1191"/>
      <c r="O725" s="1191"/>
      <c r="P725" s="1191"/>
      <c r="Q725" s="1191"/>
      <c r="R725" s="1191"/>
      <c r="S725" s="1191"/>
      <c r="T725" s="1191"/>
      <c r="U725" s="1191"/>
      <c r="V725" s="1192"/>
      <c r="W725" s="1191"/>
      <c r="X725" s="1191"/>
      <c r="Y725" s="1191"/>
      <c r="Z725" s="1191"/>
    </row>
    <row r="726" spans="1:26" ht="15.75" customHeight="1">
      <c r="A726" s="1191"/>
      <c r="B726" s="1191"/>
      <c r="C726" s="1191"/>
      <c r="D726" s="1191"/>
      <c r="E726" s="1191"/>
      <c r="F726" s="1191"/>
      <c r="G726" s="1191"/>
      <c r="H726" s="1191"/>
      <c r="I726" s="1191"/>
      <c r="J726" s="1191"/>
      <c r="K726" s="1191"/>
      <c r="L726" s="1191"/>
      <c r="M726" s="1191"/>
      <c r="N726" s="1191"/>
      <c r="O726" s="1191"/>
      <c r="P726" s="1191"/>
      <c r="Q726" s="1191"/>
      <c r="R726" s="1191"/>
      <c r="S726" s="1191"/>
      <c r="T726" s="1191"/>
      <c r="U726" s="1191"/>
      <c r="V726" s="1192"/>
      <c r="W726" s="1191"/>
      <c r="X726" s="1191"/>
      <c r="Y726" s="1191"/>
      <c r="Z726" s="1191"/>
    </row>
    <row r="727" spans="1:26" ht="15.75" customHeight="1">
      <c r="A727" s="1191"/>
      <c r="B727" s="1191"/>
      <c r="C727" s="1191"/>
      <c r="D727" s="1191"/>
      <c r="E727" s="1191"/>
      <c r="F727" s="1191"/>
      <c r="G727" s="1191"/>
      <c r="H727" s="1191"/>
      <c r="I727" s="1191"/>
      <c r="J727" s="1191"/>
      <c r="K727" s="1191"/>
      <c r="L727" s="1191"/>
      <c r="M727" s="1191"/>
      <c r="N727" s="1191"/>
      <c r="O727" s="1191"/>
      <c r="P727" s="1191"/>
      <c r="Q727" s="1191"/>
      <c r="R727" s="1191"/>
      <c r="S727" s="1191"/>
      <c r="T727" s="1191"/>
      <c r="U727" s="1191"/>
      <c r="V727" s="1192"/>
      <c r="W727" s="1191"/>
      <c r="X727" s="1191"/>
      <c r="Y727" s="1191"/>
      <c r="Z727" s="1191"/>
    </row>
    <row r="728" spans="1:26" ht="15.75" customHeight="1">
      <c r="A728" s="1191"/>
      <c r="B728" s="1191"/>
      <c r="C728" s="1191"/>
      <c r="D728" s="1191"/>
      <c r="E728" s="1191"/>
      <c r="F728" s="1191"/>
      <c r="G728" s="1191"/>
      <c r="H728" s="1191"/>
      <c r="I728" s="1191"/>
      <c r="J728" s="1191"/>
      <c r="K728" s="1191"/>
      <c r="L728" s="1191"/>
      <c r="M728" s="1191"/>
      <c r="N728" s="1191"/>
      <c r="O728" s="1191"/>
      <c r="P728" s="1191"/>
      <c r="Q728" s="1191"/>
      <c r="R728" s="1191"/>
      <c r="S728" s="1191"/>
      <c r="T728" s="1191"/>
      <c r="U728" s="1191"/>
      <c r="V728" s="1192"/>
      <c r="W728" s="1191"/>
      <c r="X728" s="1191"/>
      <c r="Y728" s="1191"/>
      <c r="Z728" s="1191"/>
    </row>
    <row r="729" spans="1:26" ht="15.75" customHeight="1">
      <c r="A729" s="1191"/>
      <c r="B729" s="1191"/>
      <c r="C729" s="1191"/>
      <c r="D729" s="1191"/>
      <c r="E729" s="1191"/>
      <c r="F729" s="1191"/>
      <c r="G729" s="1191"/>
      <c r="H729" s="1191"/>
      <c r="I729" s="1191"/>
      <c r="J729" s="1191"/>
      <c r="K729" s="1191"/>
      <c r="L729" s="1191"/>
      <c r="M729" s="1191"/>
      <c r="N729" s="1191"/>
      <c r="O729" s="1191"/>
      <c r="P729" s="1191"/>
      <c r="Q729" s="1191"/>
      <c r="R729" s="1191"/>
      <c r="S729" s="1191"/>
      <c r="T729" s="1191"/>
      <c r="U729" s="1191"/>
      <c r="V729" s="1192"/>
      <c r="W729" s="1191"/>
      <c r="X729" s="1191"/>
      <c r="Y729" s="1191"/>
      <c r="Z729" s="1191"/>
    </row>
    <row r="730" spans="1:26" ht="15.75" customHeight="1">
      <c r="A730" s="1191"/>
      <c r="B730" s="1191"/>
      <c r="C730" s="1191"/>
      <c r="D730" s="1191"/>
      <c r="E730" s="1191"/>
      <c r="F730" s="1191"/>
      <c r="G730" s="1191"/>
      <c r="H730" s="1191"/>
      <c r="I730" s="1191"/>
      <c r="J730" s="1191"/>
      <c r="K730" s="1191"/>
      <c r="L730" s="1191"/>
      <c r="M730" s="1191"/>
      <c r="N730" s="1191"/>
      <c r="O730" s="1191"/>
      <c r="P730" s="1191"/>
      <c r="Q730" s="1191"/>
      <c r="R730" s="1191"/>
      <c r="S730" s="1191"/>
      <c r="T730" s="1191"/>
      <c r="U730" s="1191"/>
      <c r="V730" s="1192"/>
      <c r="W730" s="1191"/>
      <c r="X730" s="1191"/>
      <c r="Y730" s="1191"/>
      <c r="Z730" s="1191"/>
    </row>
    <row r="731" spans="1:26" ht="15.75" customHeight="1">
      <c r="A731" s="1191"/>
      <c r="B731" s="1191"/>
      <c r="C731" s="1191"/>
      <c r="D731" s="1191"/>
      <c r="E731" s="1191"/>
      <c r="F731" s="1191"/>
      <c r="G731" s="1191"/>
      <c r="H731" s="1191"/>
      <c r="I731" s="1191"/>
      <c r="J731" s="1191"/>
      <c r="K731" s="1191"/>
      <c r="L731" s="1191"/>
      <c r="M731" s="1191"/>
      <c r="N731" s="1191"/>
      <c r="O731" s="1191"/>
      <c r="P731" s="1191"/>
      <c r="Q731" s="1191"/>
      <c r="R731" s="1191"/>
      <c r="S731" s="1191"/>
      <c r="T731" s="1191"/>
      <c r="U731" s="1191"/>
      <c r="V731" s="1192"/>
      <c r="W731" s="1191"/>
      <c r="X731" s="1191"/>
      <c r="Y731" s="1191"/>
      <c r="Z731" s="1191"/>
    </row>
    <row r="732" spans="1:26" ht="15.75" customHeight="1">
      <c r="A732" s="1191"/>
      <c r="B732" s="1191"/>
      <c r="C732" s="1191"/>
      <c r="D732" s="1191"/>
      <c r="E732" s="1191"/>
      <c r="F732" s="1191"/>
      <c r="G732" s="1191"/>
      <c r="H732" s="1191"/>
      <c r="I732" s="1191"/>
      <c r="J732" s="1191"/>
      <c r="K732" s="1191"/>
      <c r="L732" s="1191"/>
      <c r="M732" s="1191"/>
      <c r="N732" s="1191"/>
      <c r="O732" s="1191"/>
      <c r="P732" s="1191"/>
      <c r="Q732" s="1191"/>
      <c r="R732" s="1191"/>
      <c r="S732" s="1191"/>
      <c r="T732" s="1191"/>
      <c r="U732" s="1191"/>
      <c r="V732" s="1192"/>
      <c r="W732" s="1191"/>
      <c r="X732" s="1191"/>
      <c r="Y732" s="1191"/>
      <c r="Z732" s="1191"/>
    </row>
    <row r="733" spans="1:26" ht="15.75" customHeight="1">
      <c r="A733" s="1191"/>
      <c r="B733" s="1191"/>
      <c r="C733" s="1191"/>
      <c r="D733" s="1191"/>
      <c r="E733" s="1191"/>
      <c r="F733" s="1191"/>
      <c r="G733" s="1191"/>
      <c r="H733" s="1191"/>
      <c r="I733" s="1191"/>
      <c r="J733" s="1191"/>
      <c r="K733" s="1191"/>
      <c r="L733" s="1191"/>
      <c r="M733" s="1191"/>
      <c r="N733" s="1191"/>
      <c r="O733" s="1191"/>
      <c r="P733" s="1191"/>
      <c r="Q733" s="1191"/>
      <c r="R733" s="1191"/>
      <c r="S733" s="1191"/>
      <c r="T733" s="1191"/>
      <c r="U733" s="1191"/>
      <c r="V733" s="1192"/>
      <c r="W733" s="1191"/>
      <c r="X733" s="1191"/>
      <c r="Y733" s="1191"/>
      <c r="Z733" s="1191"/>
    </row>
    <row r="734" spans="1:26" ht="15.75" customHeight="1">
      <c r="A734" s="1191"/>
      <c r="B734" s="1191"/>
      <c r="C734" s="1191"/>
      <c r="D734" s="1191"/>
      <c r="E734" s="1191"/>
      <c r="F734" s="1191"/>
      <c r="G734" s="1191"/>
      <c r="H734" s="1191"/>
      <c r="I734" s="1191"/>
      <c r="J734" s="1191"/>
      <c r="K734" s="1191"/>
      <c r="L734" s="1191"/>
      <c r="M734" s="1191"/>
      <c r="N734" s="1191"/>
      <c r="O734" s="1191"/>
      <c r="P734" s="1191"/>
      <c r="Q734" s="1191"/>
      <c r="R734" s="1191"/>
      <c r="S734" s="1191"/>
      <c r="T734" s="1191"/>
      <c r="U734" s="1191"/>
      <c r="V734" s="1192"/>
      <c r="W734" s="1191"/>
      <c r="X734" s="1191"/>
      <c r="Y734" s="1191"/>
      <c r="Z734" s="1191"/>
    </row>
    <row r="735" spans="1:26" ht="15.75" customHeight="1">
      <c r="A735" s="1191"/>
      <c r="B735" s="1191"/>
      <c r="C735" s="1191"/>
      <c r="D735" s="1191"/>
      <c r="E735" s="1191"/>
      <c r="F735" s="1191"/>
      <c r="G735" s="1191"/>
      <c r="H735" s="1191"/>
      <c r="I735" s="1191"/>
      <c r="J735" s="1191"/>
      <c r="K735" s="1191"/>
      <c r="L735" s="1191"/>
      <c r="M735" s="1191"/>
      <c r="N735" s="1191"/>
      <c r="O735" s="1191"/>
      <c r="P735" s="1191"/>
      <c r="Q735" s="1191"/>
      <c r="R735" s="1191"/>
      <c r="S735" s="1191"/>
      <c r="T735" s="1191"/>
      <c r="U735" s="1191"/>
      <c r="V735" s="1192"/>
      <c r="W735" s="1191"/>
      <c r="X735" s="1191"/>
      <c r="Y735" s="1191"/>
      <c r="Z735" s="1191"/>
    </row>
    <row r="736" spans="1:26" ht="15.75" customHeight="1">
      <c r="A736" s="1191"/>
      <c r="B736" s="1191"/>
      <c r="C736" s="1191"/>
      <c r="D736" s="1191"/>
      <c r="E736" s="1191"/>
      <c r="F736" s="1191"/>
      <c r="G736" s="1191"/>
      <c r="H736" s="1191"/>
      <c r="I736" s="1191"/>
      <c r="J736" s="1191"/>
      <c r="K736" s="1191"/>
      <c r="L736" s="1191"/>
      <c r="M736" s="1191"/>
      <c r="N736" s="1191"/>
      <c r="O736" s="1191"/>
      <c r="P736" s="1191"/>
      <c r="Q736" s="1191"/>
      <c r="R736" s="1191"/>
      <c r="S736" s="1191"/>
      <c r="T736" s="1191"/>
      <c r="U736" s="1191"/>
      <c r="V736" s="1192"/>
      <c r="W736" s="1191"/>
      <c r="X736" s="1191"/>
      <c r="Y736" s="1191"/>
      <c r="Z736" s="1191"/>
    </row>
    <row r="737" spans="1:26" ht="15.75" customHeight="1">
      <c r="A737" s="1191"/>
      <c r="B737" s="1191"/>
      <c r="C737" s="1191"/>
      <c r="D737" s="1191"/>
      <c r="E737" s="1191"/>
      <c r="F737" s="1191"/>
      <c r="G737" s="1191"/>
      <c r="H737" s="1191"/>
      <c r="I737" s="1191"/>
      <c r="J737" s="1191"/>
      <c r="K737" s="1191"/>
      <c r="L737" s="1191"/>
      <c r="M737" s="1191"/>
      <c r="N737" s="1191"/>
      <c r="O737" s="1191"/>
      <c r="P737" s="1191"/>
      <c r="Q737" s="1191"/>
      <c r="R737" s="1191"/>
      <c r="S737" s="1191"/>
      <c r="T737" s="1191"/>
      <c r="U737" s="1191"/>
      <c r="V737" s="1192"/>
      <c r="W737" s="1191"/>
      <c r="X737" s="1191"/>
      <c r="Y737" s="1191"/>
      <c r="Z737" s="1191"/>
    </row>
    <row r="738" spans="1:26" ht="15.75" customHeight="1">
      <c r="A738" s="1191"/>
      <c r="B738" s="1191"/>
      <c r="C738" s="1191"/>
      <c r="D738" s="1191"/>
      <c r="E738" s="1191"/>
      <c r="F738" s="1191"/>
      <c r="G738" s="1191"/>
      <c r="H738" s="1191"/>
      <c r="I738" s="1191"/>
      <c r="J738" s="1191"/>
      <c r="K738" s="1191"/>
      <c r="L738" s="1191"/>
      <c r="M738" s="1191"/>
      <c r="N738" s="1191"/>
      <c r="O738" s="1191"/>
      <c r="P738" s="1191"/>
      <c r="Q738" s="1191"/>
      <c r="R738" s="1191"/>
      <c r="S738" s="1191"/>
      <c r="T738" s="1191"/>
      <c r="U738" s="1191"/>
      <c r="V738" s="1192"/>
      <c r="W738" s="1191"/>
      <c r="X738" s="1191"/>
      <c r="Y738" s="1191"/>
      <c r="Z738" s="1191"/>
    </row>
    <row r="739" spans="1:26" ht="15.75" customHeight="1">
      <c r="A739" s="1191"/>
      <c r="B739" s="1191"/>
      <c r="C739" s="1191"/>
      <c r="D739" s="1191"/>
      <c r="E739" s="1191"/>
      <c r="F739" s="1191"/>
      <c r="G739" s="1191"/>
      <c r="H739" s="1191"/>
      <c r="I739" s="1191"/>
      <c r="J739" s="1191"/>
      <c r="K739" s="1191"/>
      <c r="L739" s="1191"/>
      <c r="M739" s="1191"/>
      <c r="N739" s="1191"/>
      <c r="O739" s="1191"/>
      <c r="P739" s="1191"/>
      <c r="Q739" s="1191"/>
      <c r="R739" s="1191"/>
      <c r="S739" s="1191"/>
      <c r="T739" s="1191"/>
      <c r="U739" s="1191"/>
      <c r="V739" s="1192"/>
      <c r="W739" s="1191"/>
      <c r="X739" s="1191"/>
      <c r="Y739" s="1191"/>
      <c r="Z739" s="1191"/>
    </row>
    <row r="740" spans="1:26" ht="15.75" customHeight="1">
      <c r="A740" s="1191"/>
      <c r="B740" s="1191"/>
      <c r="C740" s="1191"/>
      <c r="D740" s="1191"/>
      <c r="E740" s="1191"/>
      <c r="F740" s="1191"/>
      <c r="G740" s="1191"/>
      <c r="H740" s="1191"/>
      <c r="I740" s="1191"/>
      <c r="J740" s="1191"/>
      <c r="K740" s="1191"/>
      <c r="L740" s="1191"/>
      <c r="M740" s="1191"/>
      <c r="N740" s="1191"/>
      <c r="O740" s="1191"/>
      <c r="P740" s="1191"/>
      <c r="Q740" s="1191"/>
      <c r="R740" s="1191"/>
      <c r="S740" s="1191"/>
      <c r="T740" s="1191"/>
      <c r="U740" s="1191"/>
      <c r="V740" s="1192"/>
      <c r="W740" s="1191"/>
      <c r="X740" s="1191"/>
      <c r="Y740" s="1191"/>
      <c r="Z740" s="1191"/>
    </row>
    <row r="741" spans="1:26" ht="15.75" customHeight="1">
      <c r="A741" s="1191"/>
      <c r="B741" s="1191"/>
      <c r="C741" s="1191"/>
      <c r="D741" s="1191"/>
      <c r="E741" s="1191"/>
      <c r="F741" s="1191"/>
      <c r="G741" s="1191"/>
      <c r="H741" s="1191"/>
      <c r="I741" s="1191"/>
      <c r="J741" s="1191"/>
      <c r="K741" s="1191"/>
      <c r="L741" s="1191"/>
      <c r="M741" s="1191"/>
      <c r="N741" s="1191"/>
      <c r="O741" s="1191"/>
      <c r="P741" s="1191"/>
      <c r="Q741" s="1191"/>
      <c r="R741" s="1191"/>
      <c r="S741" s="1191"/>
      <c r="T741" s="1191"/>
      <c r="U741" s="1191"/>
      <c r="V741" s="1192"/>
      <c r="W741" s="1191"/>
      <c r="X741" s="1191"/>
      <c r="Y741" s="1191"/>
      <c r="Z741" s="1191"/>
    </row>
    <row r="742" spans="1:26" ht="15.75" customHeight="1">
      <c r="A742" s="1191"/>
      <c r="B742" s="1191"/>
      <c r="C742" s="1191"/>
      <c r="D742" s="1191"/>
      <c r="E742" s="1191"/>
      <c r="F742" s="1191"/>
      <c r="G742" s="1191"/>
      <c r="H742" s="1191"/>
      <c r="I742" s="1191"/>
      <c r="J742" s="1191"/>
      <c r="K742" s="1191"/>
      <c r="L742" s="1191"/>
      <c r="M742" s="1191"/>
      <c r="N742" s="1191"/>
      <c r="O742" s="1191"/>
      <c r="P742" s="1191"/>
      <c r="Q742" s="1191"/>
      <c r="R742" s="1191"/>
      <c r="S742" s="1191"/>
      <c r="T742" s="1191"/>
      <c r="U742" s="1191"/>
      <c r="V742" s="1192"/>
      <c r="W742" s="1191"/>
      <c r="X742" s="1191"/>
      <c r="Y742" s="1191"/>
      <c r="Z742" s="1191"/>
    </row>
    <row r="743" spans="1:26" ht="15.75" customHeight="1">
      <c r="A743" s="1191"/>
      <c r="B743" s="1191"/>
      <c r="C743" s="1191"/>
      <c r="D743" s="1191"/>
      <c r="E743" s="1191"/>
      <c r="F743" s="1191"/>
      <c r="G743" s="1191"/>
      <c r="H743" s="1191"/>
      <c r="I743" s="1191"/>
      <c r="J743" s="1191"/>
      <c r="K743" s="1191"/>
      <c r="L743" s="1191"/>
      <c r="M743" s="1191"/>
      <c r="N743" s="1191"/>
      <c r="O743" s="1191"/>
      <c r="P743" s="1191"/>
      <c r="Q743" s="1191"/>
      <c r="R743" s="1191"/>
      <c r="S743" s="1191"/>
      <c r="T743" s="1191"/>
      <c r="U743" s="1191"/>
      <c r="V743" s="1192"/>
      <c r="W743" s="1191"/>
      <c r="X743" s="1191"/>
      <c r="Y743" s="1191"/>
      <c r="Z743" s="1191"/>
    </row>
    <row r="744" spans="1:26" ht="15.75" customHeight="1">
      <c r="A744" s="1191"/>
      <c r="B744" s="1191"/>
      <c r="C744" s="1191"/>
      <c r="D744" s="1191"/>
      <c r="E744" s="1191"/>
      <c r="F744" s="1191"/>
      <c r="G744" s="1191"/>
      <c r="H744" s="1191"/>
      <c r="I744" s="1191"/>
      <c r="J744" s="1191"/>
      <c r="K744" s="1191"/>
      <c r="L744" s="1191"/>
      <c r="M744" s="1191"/>
      <c r="N744" s="1191"/>
      <c r="O744" s="1191"/>
      <c r="P744" s="1191"/>
      <c r="Q744" s="1191"/>
      <c r="R744" s="1191"/>
      <c r="S744" s="1191"/>
      <c r="T744" s="1191"/>
      <c r="U744" s="1191"/>
      <c r="V744" s="1192"/>
      <c r="W744" s="1191"/>
      <c r="X744" s="1191"/>
      <c r="Y744" s="1191"/>
      <c r="Z744" s="1191"/>
    </row>
    <row r="745" spans="1:26" ht="15.75" customHeight="1">
      <c r="A745" s="1191"/>
      <c r="B745" s="1191"/>
      <c r="C745" s="1191"/>
      <c r="D745" s="1191"/>
      <c r="E745" s="1191"/>
      <c r="F745" s="1191"/>
      <c r="G745" s="1191"/>
      <c r="H745" s="1191"/>
      <c r="I745" s="1191"/>
      <c r="J745" s="1191"/>
      <c r="K745" s="1191"/>
      <c r="L745" s="1191"/>
      <c r="M745" s="1191"/>
      <c r="N745" s="1191"/>
      <c r="O745" s="1191"/>
      <c r="P745" s="1191"/>
      <c r="Q745" s="1191"/>
      <c r="R745" s="1191"/>
      <c r="S745" s="1191"/>
      <c r="T745" s="1191"/>
      <c r="U745" s="1191"/>
      <c r="V745" s="1192"/>
      <c r="W745" s="1191"/>
      <c r="X745" s="1191"/>
      <c r="Y745" s="1191"/>
      <c r="Z745" s="1191"/>
    </row>
    <row r="746" spans="1:26" ht="15.75" customHeight="1">
      <c r="A746" s="1191"/>
      <c r="B746" s="1191"/>
      <c r="C746" s="1191"/>
      <c r="D746" s="1191"/>
      <c r="E746" s="1191"/>
      <c r="F746" s="1191"/>
      <c r="G746" s="1191"/>
      <c r="H746" s="1191"/>
      <c r="I746" s="1191"/>
      <c r="J746" s="1191"/>
      <c r="K746" s="1191"/>
      <c r="L746" s="1191"/>
      <c r="M746" s="1191"/>
      <c r="N746" s="1191"/>
      <c r="O746" s="1191"/>
      <c r="P746" s="1191"/>
      <c r="Q746" s="1191"/>
      <c r="R746" s="1191"/>
      <c r="S746" s="1191"/>
      <c r="T746" s="1191"/>
      <c r="U746" s="1191"/>
      <c r="V746" s="1192"/>
      <c r="W746" s="1191"/>
      <c r="X746" s="1191"/>
      <c r="Y746" s="1191"/>
      <c r="Z746" s="1191"/>
    </row>
    <row r="747" spans="1:26" ht="15.75" customHeight="1">
      <c r="A747" s="1191"/>
      <c r="B747" s="1191"/>
      <c r="C747" s="1191"/>
      <c r="D747" s="1191"/>
      <c r="E747" s="1191"/>
      <c r="F747" s="1191"/>
      <c r="G747" s="1191"/>
      <c r="H747" s="1191"/>
      <c r="I747" s="1191"/>
      <c r="J747" s="1191"/>
      <c r="K747" s="1191"/>
      <c r="L747" s="1191"/>
      <c r="M747" s="1191"/>
      <c r="N747" s="1191"/>
      <c r="O747" s="1191"/>
      <c r="P747" s="1191"/>
      <c r="Q747" s="1191"/>
      <c r="R747" s="1191"/>
      <c r="S747" s="1191"/>
      <c r="T747" s="1191"/>
      <c r="U747" s="1191"/>
      <c r="V747" s="1192"/>
      <c r="W747" s="1191"/>
      <c r="X747" s="1191"/>
      <c r="Y747" s="1191"/>
      <c r="Z747" s="1191"/>
    </row>
    <row r="748" spans="1:26" ht="15.75" customHeight="1">
      <c r="A748" s="1191"/>
      <c r="B748" s="1191"/>
      <c r="C748" s="1191"/>
      <c r="D748" s="1191"/>
      <c r="E748" s="1191"/>
      <c r="F748" s="1191"/>
      <c r="G748" s="1191"/>
      <c r="H748" s="1191"/>
      <c r="I748" s="1191"/>
      <c r="J748" s="1191"/>
      <c r="K748" s="1191"/>
      <c r="L748" s="1191"/>
      <c r="M748" s="1191"/>
      <c r="N748" s="1191"/>
      <c r="O748" s="1191"/>
      <c r="P748" s="1191"/>
      <c r="Q748" s="1191"/>
      <c r="R748" s="1191"/>
      <c r="S748" s="1191"/>
      <c r="T748" s="1191"/>
      <c r="U748" s="1191"/>
      <c r="V748" s="1192"/>
      <c r="W748" s="1191"/>
      <c r="X748" s="1191"/>
      <c r="Y748" s="1191"/>
      <c r="Z748" s="1191"/>
    </row>
    <row r="749" spans="1:26" ht="15.75" customHeight="1">
      <c r="A749" s="1191"/>
      <c r="B749" s="1191"/>
      <c r="C749" s="1191"/>
      <c r="D749" s="1191"/>
      <c r="E749" s="1191"/>
      <c r="F749" s="1191"/>
      <c r="G749" s="1191"/>
      <c r="H749" s="1191"/>
      <c r="I749" s="1191"/>
      <c r="J749" s="1191"/>
      <c r="K749" s="1191"/>
      <c r="L749" s="1191"/>
      <c r="M749" s="1191"/>
      <c r="N749" s="1191"/>
      <c r="O749" s="1191"/>
      <c r="P749" s="1191"/>
      <c r="Q749" s="1191"/>
      <c r="R749" s="1191"/>
      <c r="S749" s="1191"/>
      <c r="T749" s="1191"/>
      <c r="U749" s="1191"/>
      <c r="V749" s="1192"/>
      <c r="W749" s="1191"/>
      <c r="X749" s="1191"/>
      <c r="Y749" s="1191"/>
      <c r="Z749" s="1191"/>
    </row>
    <row r="750" spans="1:26" ht="15.75" customHeight="1">
      <c r="A750" s="1191"/>
      <c r="B750" s="1191"/>
      <c r="C750" s="1191"/>
      <c r="D750" s="1191"/>
      <c r="E750" s="1191"/>
      <c r="F750" s="1191"/>
      <c r="G750" s="1191"/>
      <c r="H750" s="1191"/>
      <c r="I750" s="1191"/>
      <c r="J750" s="1191"/>
      <c r="K750" s="1191"/>
      <c r="L750" s="1191"/>
      <c r="M750" s="1191"/>
      <c r="N750" s="1191"/>
      <c r="O750" s="1191"/>
      <c r="P750" s="1191"/>
      <c r="Q750" s="1191"/>
      <c r="R750" s="1191"/>
      <c r="S750" s="1191"/>
      <c r="T750" s="1191"/>
      <c r="U750" s="1191"/>
      <c r="V750" s="1192"/>
      <c r="W750" s="1191"/>
      <c r="X750" s="1191"/>
      <c r="Y750" s="1191"/>
      <c r="Z750" s="1191"/>
    </row>
    <row r="751" spans="1:26" ht="15.75" customHeight="1">
      <c r="A751" s="1191"/>
      <c r="B751" s="1191"/>
      <c r="C751" s="1191"/>
      <c r="D751" s="1191"/>
      <c r="E751" s="1191"/>
      <c r="F751" s="1191"/>
      <c r="G751" s="1191"/>
      <c r="H751" s="1191"/>
      <c r="I751" s="1191"/>
      <c r="J751" s="1191"/>
      <c r="K751" s="1191"/>
      <c r="L751" s="1191"/>
      <c r="M751" s="1191"/>
      <c r="N751" s="1191"/>
      <c r="O751" s="1191"/>
      <c r="P751" s="1191"/>
      <c r="Q751" s="1191"/>
      <c r="R751" s="1191"/>
      <c r="S751" s="1191"/>
      <c r="T751" s="1191"/>
      <c r="U751" s="1191"/>
      <c r="V751" s="1192"/>
      <c r="W751" s="1191"/>
      <c r="X751" s="1191"/>
      <c r="Y751" s="1191"/>
      <c r="Z751" s="1191"/>
    </row>
    <row r="752" spans="1:26" ht="15.75" customHeight="1">
      <c r="A752" s="1191"/>
      <c r="B752" s="1191"/>
      <c r="C752" s="1191"/>
      <c r="D752" s="1191"/>
      <c r="E752" s="1191"/>
      <c r="F752" s="1191"/>
      <c r="G752" s="1191"/>
      <c r="H752" s="1191"/>
      <c r="I752" s="1191"/>
      <c r="J752" s="1191"/>
      <c r="K752" s="1191"/>
      <c r="L752" s="1191"/>
      <c r="M752" s="1191"/>
      <c r="N752" s="1191"/>
      <c r="O752" s="1191"/>
      <c r="P752" s="1191"/>
      <c r="Q752" s="1191"/>
      <c r="R752" s="1191"/>
      <c r="S752" s="1191"/>
      <c r="T752" s="1191"/>
      <c r="U752" s="1191"/>
      <c r="V752" s="1192"/>
      <c r="W752" s="1191"/>
      <c r="X752" s="1191"/>
      <c r="Y752" s="1191"/>
      <c r="Z752" s="1191"/>
    </row>
    <row r="753" spans="1:26" ht="15.75" customHeight="1">
      <c r="A753" s="1191"/>
      <c r="B753" s="1191"/>
      <c r="C753" s="1191"/>
      <c r="D753" s="1191"/>
      <c r="E753" s="1191"/>
      <c r="F753" s="1191"/>
      <c r="G753" s="1191"/>
      <c r="H753" s="1191"/>
      <c r="I753" s="1191"/>
      <c r="J753" s="1191"/>
      <c r="K753" s="1191"/>
      <c r="L753" s="1191"/>
      <c r="M753" s="1191"/>
      <c r="N753" s="1191"/>
      <c r="O753" s="1191"/>
      <c r="P753" s="1191"/>
      <c r="Q753" s="1191"/>
      <c r="R753" s="1191"/>
      <c r="S753" s="1191"/>
      <c r="T753" s="1191"/>
      <c r="U753" s="1191"/>
      <c r="V753" s="1192"/>
      <c r="W753" s="1191"/>
      <c r="X753" s="1191"/>
      <c r="Y753" s="1191"/>
      <c r="Z753" s="1191"/>
    </row>
    <row r="754" spans="1:26" ht="15.75" customHeight="1">
      <c r="A754" s="1191"/>
      <c r="B754" s="1191"/>
      <c r="C754" s="1191"/>
      <c r="D754" s="1191"/>
      <c r="E754" s="1191"/>
      <c r="F754" s="1191"/>
      <c r="G754" s="1191"/>
      <c r="H754" s="1191"/>
      <c r="I754" s="1191"/>
      <c r="J754" s="1191"/>
      <c r="K754" s="1191"/>
      <c r="L754" s="1191"/>
      <c r="M754" s="1191"/>
      <c r="N754" s="1191"/>
      <c r="O754" s="1191"/>
      <c r="P754" s="1191"/>
      <c r="Q754" s="1191"/>
      <c r="R754" s="1191"/>
      <c r="S754" s="1191"/>
      <c r="T754" s="1191"/>
      <c r="U754" s="1191"/>
      <c r="V754" s="1192"/>
      <c r="W754" s="1191"/>
      <c r="X754" s="1191"/>
      <c r="Y754" s="1191"/>
      <c r="Z754" s="1191"/>
    </row>
    <row r="755" spans="1:26" ht="15.75" customHeight="1">
      <c r="A755" s="1191"/>
      <c r="B755" s="1191"/>
      <c r="C755" s="1191"/>
      <c r="D755" s="1191"/>
      <c r="E755" s="1191"/>
      <c r="F755" s="1191"/>
      <c r="G755" s="1191"/>
      <c r="H755" s="1191"/>
      <c r="I755" s="1191"/>
      <c r="J755" s="1191"/>
      <c r="K755" s="1191"/>
      <c r="L755" s="1191"/>
      <c r="M755" s="1191"/>
      <c r="N755" s="1191"/>
      <c r="O755" s="1191"/>
      <c r="P755" s="1191"/>
      <c r="Q755" s="1191"/>
      <c r="R755" s="1191"/>
      <c r="S755" s="1191"/>
      <c r="T755" s="1191"/>
      <c r="U755" s="1191"/>
      <c r="V755" s="1192"/>
      <c r="W755" s="1191"/>
      <c r="X755" s="1191"/>
      <c r="Y755" s="1191"/>
      <c r="Z755" s="1191"/>
    </row>
    <row r="756" spans="1:26" ht="15.75" customHeight="1">
      <c r="A756" s="1191"/>
      <c r="B756" s="1191"/>
      <c r="C756" s="1191"/>
      <c r="D756" s="1191"/>
      <c r="E756" s="1191"/>
      <c r="F756" s="1191"/>
      <c r="G756" s="1191"/>
      <c r="H756" s="1191"/>
      <c r="I756" s="1191"/>
      <c r="J756" s="1191"/>
      <c r="K756" s="1191"/>
      <c r="L756" s="1191"/>
      <c r="M756" s="1191"/>
      <c r="N756" s="1191"/>
      <c r="O756" s="1191"/>
      <c r="P756" s="1191"/>
      <c r="Q756" s="1191"/>
      <c r="R756" s="1191"/>
      <c r="S756" s="1191"/>
      <c r="T756" s="1191"/>
      <c r="U756" s="1191"/>
      <c r="V756" s="1192"/>
      <c r="W756" s="1191"/>
      <c r="X756" s="1191"/>
      <c r="Y756" s="1191"/>
      <c r="Z756" s="1191"/>
    </row>
    <row r="757" spans="1:26" ht="15.75" customHeight="1">
      <c r="A757" s="1191"/>
      <c r="B757" s="1191"/>
      <c r="C757" s="1191"/>
      <c r="D757" s="1191"/>
      <c r="E757" s="1191"/>
      <c r="F757" s="1191"/>
      <c r="G757" s="1191"/>
      <c r="H757" s="1191"/>
      <c r="I757" s="1191"/>
      <c r="J757" s="1191"/>
      <c r="K757" s="1191"/>
      <c r="L757" s="1191"/>
      <c r="M757" s="1191"/>
      <c r="N757" s="1191"/>
      <c r="O757" s="1191"/>
      <c r="P757" s="1191"/>
      <c r="Q757" s="1191"/>
      <c r="R757" s="1191"/>
      <c r="S757" s="1191"/>
      <c r="T757" s="1191"/>
      <c r="U757" s="1191"/>
      <c r="V757" s="1192"/>
      <c r="W757" s="1191"/>
      <c r="X757" s="1191"/>
      <c r="Y757" s="1191"/>
      <c r="Z757" s="1191"/>
    </row>
    <row r="758" spans="1:26" ht="15.75" customHeight="1">
      <c r="A758" s="1191"/>
      <c r="B758" s="1191"/>
      <c r="C758" s="1191"/>
      <c r="D758" s="1191"/>
      <c r="E758" s="1191"/>
      <c r="F758" s="1191"/>
      <c r="G758" s="1191"/>
      <c r="H758" s="1191"/>
      <c r="I758" s="1191"/>
      <c r="J758" s="1191"/>
      <c r="K758" s="1191"/>
      <c r="L758" s="1191"/>
      <c r="M758" s="1191"/>
      <c r="N758" s="1191"/>
      <c r="O758" s="1191"/>
      <c r="P758" s="1191"/>
      <c r="Q758" s="1191"/>
      <c r="R758" s="1191"/>
      <c r="S758" s="1191"/>
      <c r="T758" s="1191"/>
      <c r="U758" s="1191"/>
      <c r="V758" s="1192"/>
      <c r="W758" s="1191"/>
      <c r="X758" s="1191"/>
      <c r="Y758" s="1191"/>
      <c r="Z758" s="1191"/>
    </row>
    <row r="759" spans="1:26" ht="15.75" customHeight="1">
      <c r="A759" s="1191"/>
      <c r="B759" s="1191"/>
      <c r="C759" s="1191"/>
      <c r="D759" s="1191"/>
      <c r="E759" s="1191"/>
      <c r="F759" s="1191"/>
      <c r="G759" s="1191"/>
      <c r="H759" s="1191"/>
      <c r="I759" s="1191"/>
      <c r="J759" s="1191"/>
      <c r="K759" s="1191"/>
      <c r="L759" s="1191"/>
      <c r="M759" s="1191"/>
      <c r="N759" s="1191"/>
      <c r="O759" s="1191"/>
      <c r="P759" s="1191"/>
      <c r="Q759" s="1191"/>
      <c r="R759" s="1191"/>
      <c r="S759" s="1191"/>
      <c r="T759" s="1191"/>
      <c r="U759" s="1191"/>
      <c r="V759" s="1192"/>
      <c r="W759" s="1191"/>
      <c r="X759" s="1191"/>
      <c r="Y759" s="1191"/>
      <c r="Z759" s="1191"/>
    </row>
    <row r="760" spans="1:26" ht="15.75" customHeight="1">
      <c r="A760" s="1191"/>
      <c r="B760" s="1191"/>
      <c r="C760" s="1191"/>
      <c r="D760" s="1191"/>
      <c r="E760" s="1191"/>
      <c r="F760" s="1191"/>
      <c r="G760" s="1191"/>
      <c r="H760" s="1191"/>
      <c r="I760" s="1191"/>
      <c r="J760" s="1191"/>
      <c r="K760" s="1191"/>
      <c r="L760" s="1191"/>
      <c r="M760" s="1191"/>
      <c r="N760" s="1191"/>
      <c r="O760" s="1191"/>
      <c r="P760" s="1191"/>
      <c r="Q760" s="1191"/>
      <c r="R760" s="1191"/>
      <c r="S760" s="1191"/>
      <c r="T760" s="1191"/>
      <c r="U760" s="1191"/>
      <c r="V760" s="1192"/>
      <c r="W760" s="1191"/>
      <c r="X760" s="1191"/>
      <c r="Y760" s="1191"/>
      <c r="Z760" s="1191"/>
    </row>
    <row r="761" spans="1:26" ht="15.75" customHeight="1">
      <c r="A761" s="1191"/>
      <c r="B761" s="1191"/>
      <c r="C761" s="1191"/>
      <c r="D761" s="1191"/>
      <c r="E761" s="1191"/>
      <c r="F761" s="1191"/>
      <c r="G761" s="1191"/>
      <c r="H761" s="1191"/>
      <c r="I761" s="1191"/>
      <c r="J761" s="1191"/>
      <c r="K761" s="1191"/>
      <c r="L761" s="1191"/>
      <c r="M761" s="1191"/>
      <c r="N761" s="1191"/>
      <c r="O761" s="1191"/>
      <c r="P761" s="1191"/>
      <c r="Q761" s="1191"/>
      <c r="R761" s="1191"/>
      <c r="S761" s="1191"/>
      <c r="T761" s="1191"/>
      <c r="U761" s="1191"/>
      <c r="V761" s="1192"/>
      <c r="W761" s="1191"/>
      <c r="X761" s="1191"/>
      <c r="Y761" s="1191"/>
      <c r="Z761" s="1191"/>
    </row>
    <row r="762" spans="1:26" ht="15.75" customHeight="1">
      <c r="A762" s="1191"/>
      <c r="B762" s="1191"/>
      <c r="C762" s="1191"/>
      <c r="D762" s="1191"/>
      <c r="E762" s="1191"/>
      <c r="F762" s="1191"/>
      <c r="G762" s="1191"/>
      <c r="H762" s="1191"/>
      <c r="I762" s="1191"/>
      <c r="J762" s="1191"/>
      <c r="K762" s="1191"/>
      <c r="L762" s="1191"/>
      <c r="M762" s="1191"/>
      <c r="N762" s="1191"/>
      <c r="O762" s="1191"/>
      <c r="P762" s="1191"/>
      <c r="Q762" s="1191"/>
      <c r="R762" s="1191"/>
      <c r="S762" s="1191"/>
      <c r="T762" s="1191"/>
      <c r="U762" s="1191"/>
      <c r="V762" s="1192"/>
      <c r="W762" s="1191"/>
      <c r="X762" s="1191"/>
      <c r="Y762" s="1191"/>
      <c r="Z762" s="1191"/>
    </row>
    <row r="763" spans="1:26" ht="15.75" customHeight="1">
      <c r="A763" s="1191"/>
      <c r="B763" s="1191"/>
      <c r="C763" s="1191"/>
      <c r="D763" s="1191"/>
      <c r="E763" s="1191"/>
      <c r="F763" s="1191"/>
      <c r="G763" s="1191"/>
      <c r="H763" s="1191"/>
      <c r="I763" s="1191"/>
      <c r="J763" s="1191"/>
      <c r="K763" s="1191"/>
      <c r="L763" s="1191"/>
      <c r="M763" s="1191"/>
      <c r="N763" s="1191"/>
      <c r="O763" s="1191"/>
      <c r="P763" s="1191"/>
      <c r="Q763" s="1191"/>
      <c r="R763" s="1191"/>
      <c r="S763" s="1191"/>
      <c r="T763" s="1191"/>
      <c r="U763" s="1191"/>
      <c r="V763" s="1192"/>
      <c r="W763" s="1191"/>
      <c r="X763" s="1191"/>
      <c r="Y763" s="1191"/>
      <c r="Z763" s="1191"/>
    </row>
    <row r="764" spans="1:26" ht="15.75" customHeight="1">
      <c r="A764" s="1191"/>
      <c r="B764" s="1191"/>
      <c r="C764" s="1191"/>
      <c r="D764" s="1191"/>
      <c r="E764" s="1191"/>
      <c r="F764" s="1191"/>
      <c r="G764" s="1191"/>
      <c r="H764" s="1191"/>
      <c r="I764" s="1191"/>
      <c r="J764" s="1191"/>
      <c r="K764" s="1191"/>
      <c r="L764" s="1191"/>
      <c r="M764" s="1191"/>
      <c r="N764" s="1191"/>
      <c r="O764" s="1191"/>
      <c r="P764" s="1191"/>
      <c r="Q764" s="1191"/>
      <c r="R764" s="1191"/>
      <c r="S764" s="1191"/>
      <c r="T764" s="1191"/>
      <c r="U764" s="1191"/>
      <c r="V764" s="1192"/>
      <c r="W764" s="1191"/>
      <c r="X764" s="1191"/>
      <c r="Y764" s="1191"/>
      <c r="Z764" s="1191"/>
    </row>
    <row r="765" spans="1:26" ht="15.75" customHeight="1">
      <c r="A765" s="1191"/>
      <c r="B765" s="1191"/>
      <c r="C765" s="1191"/>
      <c r="D765" s="1191"/>
      <c r="E765" s="1191"/>
      <c r="F765" s="1191"/>
      <c r="G765" s="1191"/>
      <c r="H765" s="1191"/>
      <c r="I765" s="1191"/>
      <c r="J765" s="1191"/>
      <c r="K765" s="1191"/>
      <c r="L765" s="1191"/>
      <c r="M765" s="1191"/>
      <c r="N765" s="1191"/>
      <c r="O765" s="1191"/>
      <c r="P765" s="1191"/>
      <c r="Q765" s="1191"/>
      <c r="R765" s="1191"/>
      <c r="S765" s="1191"/>
      <c r="T765" s="1191"/>
      <c r="U765" s="1191"/>
      <c r="V765" s="1192"/>
      <c r="W765" s="1191"/>
      <c r="X765" s="1191"/>
      <c r="Y765" s="1191"/>
      <c r="Z765" s="1191"/>
    </row>
    <row r="766" spans="1:26" ht="15.75" customHeight="1">
      <c r="A766" s="1191"/>
      <c r="B766" s="1191"/>
      <c r="C766" s="1191"/>
      <c r="D766" s="1191"/>
      <c r="E766" s="1191"/>
      <c r="F766" s="1191"/>
      <c r="G766" s="1191"/>
      <c r="H766" s="1191"/>
      <c r="I766" s="1191"/>
      <c r="J766" s="1191"/>
      <c r="K766" s="1191"/>
      <c r="L766" s="1191"/>
      <c r="M766" s="1191"/>
      <c r="N766" s="1191"/>
      <c r="O766" s="1191"/>
      <c r="P766" s="1191"/>
      <c r="Q766" s="1191"/>
      <c r="R766" s="1191"/>
      <c r="S766" s="1191"/>
      <c r="T766" s="1191"/>
      <c r="U766" s="1191"/>
      <c r="V766" s="1192"/>
      <c r="W766" s="1191"/>
      <c r="X766" s="1191"/>
      <c r="Y766" s="1191"/>
      <c r="Z766" s="1191"/>
    </row>
    <row r="767" spans="1:26" ht="15.75" customHeight="1">
      <c r="A767" s="1191"/>
      <c r="B767" s="1191"/>
      <c r="C767" s="1191"/>
      <c r="D767" s="1191"/>
      <c r="E767" s="1191"/>
      <c r="F767" s="1191"/>
      <c r="G767" s="1191"/>
      <c r="H767" s="1191"/>
      <c r="I767" s="1191"/>
      <c r="J767" s="1191"/>
      <c r="K767" s="1191"/>
      <c r="L767" s="1191"/>
      <c r="M767" s="1191"/>
      <c r="N767" s="1191"/>
      <c r="O767" s="1191"/>
      <c r="P767" s="1191"/>
      <c r="Q767" s="1191"/>
      <c r="R767" s="1191"/>
      <c r="S767" s="1191"/>
      <c r="T767" s="1191"/>
      <c r="U767" s="1191"/>
      <c r="V767" s="1192"/>
      <c r="W767" s="1191"/>
      <c r="X767" s="1191"/>
      <c r="Y767" s="1191"/>
      <c r="Z767" s="1191"/>
    </row>
    <row r="768" spans="1:26" ht="15.75" customHeight="1">
      <c r="A768" s="1191"/>
      <c r="B768" s="1191"/>
      <c r="C768" s="1191"/>
      <c r="D768" s="1191"/>
      <c r="E768" s="1191"/>
      <c r="F768" s="1191"/>
      <c r="G768" s="1191"/>
      <c r="H768" s="1191"/>
      <c r="I768" s="1191"/>
      <c r="J768" s="1191"/>
      <c r="K768" s="1191"/>
      <c r="L768" s="1191"/>
      <c r="M768" s="1191"/>
      <c r="N768" s="1191"/>
      <c r="O768" s="1191"/>
      <c r="P768" s="1191"/>
      <c r="Q768" s="1191"/>
      <c r="R768" s="1191"/>
      <c r="S768" s="1191"/>
      <c r="T768" s="1191"/>
      <c r="U768" s="1191"/>
      <c r="V768" s="1192"/>
      <c r="W768" s="1191"/>
      <c r="X768" s="1191"/>
      <c r="Y768" s="1191"/>
      <c r="Z768" s="1191"/>
    </row>
    <row r="769" spans="1:26" ht="15.75" customHeight="1">
      <c r="A769" s="1191"/>
      <c r="B769" s="1191"/>
      <c r="C769" s="1191"/>
      <c r="D769" s="1191"/>
      <c r="E769" s="1191"/>
      <c r="F769" s="1191"/>
      <c r="G769" s="1191"/>
      <c r="H769" s="1191"/>
      <c r="I769" s="1191"/>
      <c r="J769" s="1191"/>
      <c r="K769" s="1191"/>
      <c r="L769" s="1191"/>
      <c r="M769" s="1191"/>
      <c r="N769" s="1191"/>
      <c r="O769" s="1191"/>
      <c r="P769" s="1191"/>
      <c r="Q769" s="1191"/>
      <c r="R769" s="1191"/>
      <c r="S769" s="1191"/>
      <c r="T769" s="1191"/>
      <c r="U769" s="1191"/>
      <c r="V769" s="1192"/>
      <c r="W769" s="1191"/>
      <c r="X769" s="1191"/>
      <c r="Y769" s="1191"/>
      <c r="Z769" s="1191"/>
    </row>
    <row r="770" spans="1:26" ht="15.75" customHeight="1">
      <c r="A770" s="1191"/>
      <c r="B770" s="1191"/>
      <c r="C770" s="1191"/>
      <c r="D770" s="1191"/>
      <c r="E770" s="1191"/>
      <c r="F770" s="1191"/>
      <c r="G770" s="1191"/>
      <c r="H770" s="1191"/>
      <c r="I770" s="1191"/>
      <c r="J770" s="1191"/>
      <c r="K770" s="1191"/>
      <c r="L770" s="1191"/>
      <c r="M770" s="1191"/>
      <c r="N770" s="1191"/>
      <c r="O770" s="1191"/>
      <c r="P770" s="1191"/>
      <c r="Q770" s="1191"/>
      <c r="R770" s="1191"/>
      <c r="S770" s="1191"/>
      <c r="T770" s="1191"/>
      <c r="U770" s="1191"/>
      <c r="V770" s="1192"/>
      <c r="W770" s="1191"/>
      <c r="X770" s="1191"/>
      <c r="Y770" s="1191"/>
      <c r="Z770" s="1191"/>
    </row>
    <row r="771" spans="1:26" ht="15.75" customHeight="1">
      <c r="A771" s="1191"/>
      <c r="B771" s="1191"/>
      <c r="C771" s="1191"/>
      <c r="D771" s="1191"/>
      <c r="E771" s="1191"/>
      <c r="F771" s="1191"/>
      <c r="G771" s="1191"/>
      <c r="H771" s="1191"/>
      <c r="I771" s="1191"/>
      <c r="J771" s="1191"/>
      <c r="K771" s="1191"/>
      <c r="L771" s="1191"/>
      <c r="M771" s="1191"/>
      <c r="N771" s="1191"/>
      <c r="O771" s="1191"/>
      <c r="P771" s="1191"/>
      <c r="Q771" s="1191"/>
      <c r="R771" s="1191"/>
      <c r="S771" s="1191"/>
      <c r="T771" s="1191"/>
      <c r="U771" s="1191"/>
      <c r="V771" s="1192"/>
      <c r="W771" s="1191"/>
      <c r="X771" s="1191"/>
      <c r="Y771" s="1191"/>
      <c r="Z771" s="1191"/>
    </row>
    <row r="772" spans="1:26" ht="15.75" customHeight="1">
      <c r="A772" s="1191"/>
      <c r="B772" s="1191"/>
      <c r="C772" s="1191"/>
      <c r="D772" s="1191"/>
      <c r="E772" s="1191"/>
      <c r="F772" s="1191"/>
      <c r="G772" s="1191"/>
      <c r="H772" s="1191"/>
      <c r="I772" s="1191"/>
      <c r="J772" s="1191"/>
      <c r="K772" s="1191"/>
      <c r="L772" s="1191"/>
      <c r="M772" s="1191"/>
      <c r="N772" s="1191"/>
      <c r="O772" s="1191"/>
      <c r="P772" s="1191"/>
      <c r="Q772" s="1191"/>
      <c r="R772" s="1191"/>
      <c r="S772" s="1191"/>
      <c r="T772" s="1191"/>
      <c r="U772" s="1191"/>
      <c r="V772" s="1192"/>
      <c r="W772" s="1191"/>
      <c r="X772" s="1191"/>
      <c r="Y772" s="1191"/>
      <c r="Z772" s="1191"/>
    </row>
    <row r="773" spans="1:26" ht="15.75" customHeight="1">
      <c r="A773" s="1191"/>
      <c r="B773" s="1191"/>
      <c r="C773" s="1191"/>
      <c r="D773" s="1191"/>
      <c r="E773" s="1191"/>
      <c r="F773" s="1191"/>
      <c r="G773" s="1191"/>
      <c r="H773" s="1191"/>
      <c r="I773" s="1191"/>
      <c r="J773" s="1191"/>
      <c r="K773" s="1191"/>
      <c r="L773" s="1191"/>
      <c r="M773" s="1191"/>
      <c r="N773" s="1191"/>
      <c r="O773" s="1191"/>
      <c r="P773" s="1191"/>
      <c r="Q773" s="1191"/>
      <c r="R773" s="1191"/>
      <c r="S773" s="1191"/>
      <c r="T773" s="1191"/>
      <c r="U773" s="1191"/>
      <c r="V773" s="1192"/>
      <c r="W773" s="1191"/>
      <c r="X773" s="1191"/>
      <c r="Y773" s="1191"/>
      <c r="Z773" s="1191"/>
    </row>
    <row r="774" spans="1:26" ht="15.75" customHeight="1">
      <c r="A774" s="1191"/>
      <c r="B774" s="1191"/>
      <c r="C774" s="1191"/>
      <c r="D774" s="1191"/>
      <c r="E774" s="1191"/>
      <c r="F774" s="1191"/>
      <c r="G774" s="1191"/>
      <c r="H774" s="1191"/>
      <c r="I774" s="1191"/>
      <c r="J774" s="1191"/>
      <c r="K774" s="1191"/>
      <c r="L774" s="1191"/>
      <c r="M774" s="1191"/>
      <c r="N774" s="1191"/>
      <c r="O774" s="1191"/>
      <c r="P774" s="1191"/>
      <c r="Q774" s="1191"/>
      <c r="R774" s="1191"/>
      <c r="S774" s="1191"/>
      <c r="T774" s="1191"/>
      <c r="U774" s="1191"/>
      <c r="V774" s="1192"/>
      <c r="W774" s="1191"/>
      <c r="X774" s="1191"/>
      <c r="Y774" s="1191"/>
      <c r="Z774" s="1191"/>
    </row>
    <row r="775" spans="1:26" ht="15.75" customHeight="1">
      <c r="A775" s="1191"/>
      <c r="B775" s="1191"/>
      <c r="C775" s="1191"/>
      <c r="D775" s="1191"/>
      <c r="E775" s="1191"/>
      <c r="F775" s="1191"/>
      <c r="G775" s="1191"/>
      <c r="H775" s="1191"/>
      <c r="I775" s="1191"/>
      <c r="J775" s="1191"/>
      <c r="K775" s="1191"/>
      <c r="L775" s="1191"/>
      <c r="M775" s="1191"/>
      <c r="N775" s="1191"/>
      <c r="O775" s="1191"/>
      <c r="P775" s="1191"/>
      <c r="Q775" s="1191"/>
      <c r="R775" s="1191"/>
      <c r="S775" s="1191"/>
      <c r="T775" s="1191"/>
      <c r="U775" s="1191"/>
      <c r="V775" s="1192"/>
      <c r="W775" s="1191"/>
      <c r="X775" s="1191"/>
      <c r="Y775" s="1191"/>
      <c r="Z775" s="1191"/>
    </row>
    <row r="776" spans="1:26" ht="15.75" customHeight="1">
      <c r="A776" s="1191"/>
      <c r="B776" s="1191"/>
      <c r="C776" s="1191"/>
      <c r="D776" s="1191"/>
      <c r="E776" s="1191"/>
      <c r="F776" s="1191"/>
      <c r="G776" s="1191"/>
      <c r="H776" s="1191"/>
      <c r="I776" s="1191"/>
      <c r="J776" s="1191"/>
      <c r="K776" s="1191"/>
      <c r="L776" s="1191"/>
      <c r="M776" s="1191"/>
      <c r="N776" s="1191"/>
      <c r="O776" s="1191"/>
      <c r="P776" s="1191"/>
      <c r="Q776" s="1191"/>
      <c r="R776" s="1191"/>
      <c r="S776" s="1191"/>
      <c r="T776" s="1191"/>
      <c r="U776" s="1191"/>
      <c r="V776" s="1192"/>
      <c r="W776" s="1191"/>
      <c r="X776" s="1191"/>
      <c r="Y776" s="1191"/>
      <c r="Z776" s="1191"/>
    </row>
    <row r="777" spans="1:26" ht="15.75" customHeight="1">
      <c r="A777" s="1191"/>
      <c r="B777" s="1191"/>
      <c r="C777" s="1191"/>
      <c r="D777" s="1191"/>
      <c r="E777" s="1191"/>
      <c r="F777" s="1191"/>
      <c r="G777" s="1191"/>
      <c r="H777" s="1191"/>
      <c r="I777" s="1191"/>
      <c r="J777" s="1191"/>
      <c r="K777" s="1191"/>
      <c r="L777" s="1191"/>
      <c r="M777" s="1191"/>
      <c r="N777" s="1191"/>
      <c r="O777" s="1191"/>
      <c r="P777" s="1191"/>
      <c r="Q777" s="1191"/>
      <c r="R777" s="1191"/>
      <c r="S777" s="1191"/>
      <c r="T777" s="1191"/>
      <c r="U777" s="1191"/>
      <c r="V777" s="1192"/>
      <c r="W777" s="1191"/>
      <c r="X777" s="1191"/>
      <c r="Y777" s="1191"/>
      <c r="Z777" s="1191"/>
    </row>
    <row r="778" spans="1:26" ht="15.75" customHeight="1">
      <c r="A778" s="1191"/>
      <c r="B778" s="1191"/>
      <c r="C778" s="1191"/>
      <c r="D778" s="1191"/>
      <c r="E778" s="1191"/>
      <c r="F778" s="1191"/>
      <c r="G778" s="1191"/>
      <c r="H778" s="1191"/>
      <c r="I778" s="1191"/>
      <c r="J778" s="1191"/>
      <c r="K778" s="1191"/>
      <c r="L778" s="1191"/>
      <c r="M778" s="1191"/>
      <c r="N778" s="1191"/>
      <c r="O778" s="1191"/>
      <c r="P778" s="1191"/>
      <c r="Q778" s="1191"/>
      <c r="R778" s="1191"/>
      <c r="S778" s="1191"/>
      <c r="T778" s="1191"/>
      <c r="U778" s="1191"/>
      <c r="V778" s="1192"/>
      <c r="W778" s="1191"/>
      <c r="X778" s="1191"/>
      <c r="Y778" s="1191"/>
      <c r="Z778" s="1191"/>
    </row>
    <row r="779" spans="1:26" ht="15.75" customHeight="1">
      <c r="A779" s="1191"/>
      <c r="B779" s="1191"/>
      <c r="C779" s="1191"/>
      <c r="D779" s="1191"/>
      <c r="E779" s="1191"/>
      <c r="F779" s="1191"/>
      <c r="G779" s="1191"/>
      <c r="H779" s="1191"/>
      <c r="I779" s="1191"/>
      <c r="J779" s="1191"/>
      <c r="K779" s="1191"/>
      <c r="L779" s="1191"/>
      <c r="M779" s="1191"/>
      <c r="N779" s="1191"/>
      <c r="O779" s="1191"/>
      <c r="P779" s="1191"/>
      <c r="Q779" s="1191"/>
      <c r="R779" s="1191"/>
      <c r="S779" s="1191"/>
      <c r="T779" s="1191"/>
      <c r="U779" s="1191"/>
      <c r="V779" s="1192"/>
      <c r="W779" s="1191"/>
      <c r="X779" s="1191"/>
      <c r="Y779" s="1191"/>
      <c r="Z779" s="1191"/>
    </row>
    <row r="780" spans="1:26" ht="15.75" customHeight="1">
      <c r="A780" s="1191"/>
      <c r="B780" s="1191"/>
      <c r="C780" s="1191"/>
      <c r="D780" s="1191"/>
      <c r="E780" s="1191"/>
      <c r="F780" s="1191"/>
      <c r="G780" s="1191"/>
      <c r="H780" s="1191"/>
      <c r="I780" s="1191"/>
      <c r="J780" s="1191"/>
      <c r="K780" s="1191"/>
      <c r="L780" s="1191"/>
      <c r="M780" s="1191"/>
      <c r="N780" s="1191"/>
      <c r="O780" s="1191"/>
      <c r="P780" s="1191"/>
      <c r="Q780" s="1191"/>
      <c r="R780" s="1191"/>
      <c r="S780" s="1191"/>
      <c r="T780" s="1191"/>
      <c r="U780" s="1191"/>
      <c r="V780" s="1192"/>
      <c r="W780" s="1191"/>
      <c r="X780" s="1191"/>
      <c r="Y780" s="1191"/>
      <c r="Z780" s="1191"/>
    </row>
    <row r="781" spans="1:26" ht="15.75" customHeight="1">
      <c r="A781" s="1191"/>
      <c r="B781" s="1191"/>
      <c r="C781" s="1191"/>
      <c r="D781" s="1191"/>
      <c r="E781" s="1191"/>
      <c r="F781" s="1191"/>
      <c r="G781" s="1191"/>
      <c r="H781" s="1191"/>
      <c r="I781" s="1191"/>
      <c r="J781" s="1191"/>
      <c r="K781" s="1191"/>
      <c r="L781" s="1191"/>
      <c r="M781" s="1191"/>
      <c r="N781" s="1191"/>
      <c r="O781" s="1191"/>
      <c r="P781" s="1191"/>
      <c r="Q781" s="1191"/>
      <c r="R781" s="1191"/>
      <c r="S781" s="1191"/>
      <c r="T781" s="1191"/>
      <c r="U781" s="1191"/>
      <c r="V781" s="1192"/>
      <c r="W781" s="1191"/>
      <c r="X781" s="1191"/>
      <c r="Y781" s="1191"/>
      <c r="Z781" s="1191"/>
    </row>
    <row r="782" spans="1:26" ht="15.75" customHeight="1">
      <c r="A782" s="1191"/>
      <c r="B782" s="1191"/>
      <c r="C782" s="1191"/>
      <c r="D782" s="1191"/>
      <c r="E782" s="1191"/>
      <c r="F782" s="1191"/>
      <c r="G782" s="1191"/>
      <c r="H782" s="1191"/>
      <c r="I782" s="1191"/>
      <c r="J782" s="1191"/>
      <c r="K782" s="1191"/>
      <c r="L782" s="1191"/>
      <c r="M782" s="1191"/>
      <c r="N782" s="1191"/>
      <c r="O782" s="1191"/>
      <c r="P782" s="1191"/>
      <c r="Q782" s="1191"/>
      <c r="R782" s="1191"/>
      <c r="S782" s="1191"/>
      <c r="T782" s="1191"/>
      <c r="U782" s="1191"/>
      <c r="V782" s="1192"/>
      <c r="W782" s="1191"/>
      <c r="X782" s="1191"/>
      <c r="Y782" s="1191"/>
      <c r="Z782" s="1191"/>
    </row>
    <row r="783" spans="1:26" ht="15.75" customHeight="1">
      <c r="A783" s="1191"/>
      <c r="B783" s="1191"/>
      <c r="C783" s="1191"/>
      <c r="D783" s="1191"/>
      <c r="E783" s="1191"/>
      <c r="F783" s="1191"/>
      <c r="G783" s="1191"/>
      <c r="H783" s="1191"/>
      <c r="I783" s="1191"/>
      <c r="J783" s="1191"/>
      <c r="K783" s="1191"/>
      <c r="L783" s="1191"/>
      <c r="M783" s="1191"/>
      <c r="N783" s="1191"/>
      <c r="O783" s="1191"/>
      <c r="P783" s="1191"/>
      <c r="Q783" s="1191"/>
      <c r="R783" s="1191"/>
      <c r="S783" s="1191"/>
      <c r="T783" s="1191"/>
      <c r="U783" s="1191"/>
      <c r="V783" s="1192"/>
      <c r="W783" s="1191"/>
      <c r="X783" s="1191"/>
      <c r="Y783" s="1191"/>
      <c r="Z783" s="1191"/>
    </row>
    <row r="784" spans="1:26" ht="15.75" customHeight="1">
      <c r="A784" s="1191"/>
      <c r="B784" s="1191"/>
      <c r="C784" s="1191"/>
      <c r="D784" s="1191"/>
      <c r="E784" s="1191"/>
      <c r="F784" s="1191"/>
      <c r="G784" s="1191"/>
      <c r="H784" s="1191"/>
      <c r="I784" s="1191"/>
      <c r="J784" s="1191"/>
      <c r="K784" s="1191"/>
      <c r="L784" s="1191"/>
      <c r="M784" s="1191"/>
      <c r="N784" s="1191"/>
      <c r="O784" s="1191"/>
      <c r="P784" s="1191"/>
      <c r="Q784" s="1191"/>
      <c r="R784" s="1191"/>
      <c r="S784" s="1191"/>
      <c r="T784" s="1191"/>
      <c r="U784" s="1191"/>
      <c r="V784" s="1192"/>
      <c r="W784" s="1191"/>
      <c r="X784" s="1191"/>
      <c r="Y784" s="1191"/>
      <c r="Z784" s="1191"/>
    </row>
    <row r="785" spans="1:26" ht="15.75" customHeight="1">
      <c r="A785" s="1191"/>
      <c r="B785" s="1191"/>
      <c r="C785" s="1191"/>
      <c r="D785" s="1191"/>
      <c r="E785" s="1191"/>
      <c r="F785" s="1191"/>
      <c r="G785" s="1191"/>
      <c r="H785" s="1191"/>
      <c r="I785" s="1191"/>
      <c r="J785" s="1191"/>
      <c r="K785" s="1191"/>
      <c r="L785" s="1191"/>
      <c r="M785" s="1191"/>
      <c r="N785" s="1191"/>
      <c r="O785" s="1191"/>
      <c r="P785" s="1191"/>
      <c r="Q785" s="1191"/>
      <c r="R785" s="1191"/>
      <c r="S785" s="1191"/>
      <c r="T785" s="1191"/>
      <c r="U785" s="1191"/>
      <c r="V785" s="1192"/>
      <c r="W785" s="1191"/>
      <c r="X785" s="1191"/>
      <c r="Y785" s="1191"/>
      <c r="Z785" s="1191"/>
    </row>
    <row r="786" spans="1:26" ht="15.75" customHeight="1">
      <c r="A786" s="1191"/>
      <c r="B786" s="1191"/>
      <c r="C786" s="1191"/>
      <c r="D786" s="1191"/>
      <c r="E786" s="1191"/>
      <c r="F786" s="1191"/>
      <c r="G786" s="1191"/>
      <c r="H786" s="1191"/>
      <c r="I786" s="1191"/>
      <c r="J786" s="1191"/>
      <c r="K786" s="1191"/>
      <c r="L786" s="1191"/>
      <c r="M786" s="1191"/>
      <c r="N786" s="1191"/>
      <c r="O786" s="1191"/>
      <c r="P786" s="1191"/>
      <c r="Q786" s="1191"/>
      <c r="R786" s="1191"/>
      <c r="S786" s="1191"/>
      <c r="T786" s="1191"/>
      <c r="U786" s="1191"/>
      <c r="V786" s="1192"/>
      <c r="W786" s="1191"/>
      <c r="X786" s="1191"/>
      <c r="Y786" s="1191"/>
      <c r="Z786" s="1191"/>
    </row>
    <row r="787" spans="1:26" ht="15.75" customHeight="1">
      <c r="A787" s="1191"/>
      <c r="B787" s="1191"/>
      <c r="C787" s="1191"/>
      <c r="D787" s="1191"/>
      <c r="E787" s="1191"/>
      <c r="F787" s="1191"/>
      <c r="G787" s="1191"/>
      <c r="H787" s="1191"/>
      <c r="I787" s="1191"/>
      <c r="J787" s="1191"/>
      <c r="K787" s="1191"/>
      <c r="L787" s="1191"/>
      <c r="M787" s="1191"/>
      <c r="N787" s="1191"/>
      <c r="O787" s="1191"/>
      <c r="P787" s="1191"/>
      <c r="Q787" s="1191"/>
      <c r="R787" s="1191"/>
      <c r="S787" s="1191"/>
      <c r="T787" s="1191"/>
      <c r="U787" s="1191"/>
      <c r="V787" s="1192"/>
      <c r="W787" s="1191"/>
      <c r="X787" s="1191"/>
      <c r="Y787" s="1191"/>
      <c r="Z787" s="1191"/>
    </row>
    <row r="788" spans="1:26" ht="15.75" customHeight="1">
      <c r="A788" s="1191"/>
      <c r="B788" s="1191"/>
      <c r="C788" s="1191"/>
      <c r="D788" s="1191"/>
      <c r="E788" s="1191"/>
      <c r="F788" s="1191"/>
      <c r="G788" s="1191"/>
      <c r="H788" s="1191"/>
      <c r="I788" s="1191"/>
      <c r="J788" s="1191"/>
      <c r="K788" s="1191"/>
      <c r="L788" s="1191"/>
      <c r="M788" s="1191"/>
      <c r="N788" s="1191"/>
      <c r="O788" s="1191"/>
      <c r="P788" s="1191"/>
      <c r="Q788" s="1191"/>
      <c r="R788" s="1191"/>
      <c r="S788" s="1191"/>
      <c r="T788" s="1191"/>
      <c r="U788" s="1191"/>
      <c r="V788" s="1192"/>
      <c r="W788" s="1191"/>
      <c r="X788" s="1191"/>
      <c r="Y788" s="1191"/>
      <c r="Z788" s="1191"/>
    </row>
    <row r="789" spans="1:26" ht="15.75" customHeight="1">
      <c r="A789" s="1191"/>
      <c r="B789" s="1191"/>
      <c r="C789" s="1191"/>
      <c r="D789" s="1191"/>
      <c r="E789" s="1191"/>
      <c r="F789" s="1191"/>
      <c r="G789" s="1191"/>
      <c r="H789" s="1191"/>
      <c r="I789" s="1191"/>
      <c r="J789" s="1191"/>
      <c r="K789" s="1191"/>
      <c r="L789" s="1191"/>
      <c r="M789" s="1191"/>
      <c r="N789" s="1191"/>
      <c r="O789" s="1191"/>
      <c r="P789" s="1191"/>
      <c r="Q789" s="1191"/>
      <c r="R789" s="1191"/>
      <c r="S789" s="1191"/>
      <c r="T789" s="1191"/>
      <c r="U789" s="1191"/>
      <c r="V789" s="1192"/>
      <c r="W789" s="1191"/>
      <c r="X789" s="1191"/>
      <c r="Y789" s="1191"/>
      <c r="Z789" s="1191"/>
    </row>
    <row r="790" spans="1:26" ht="15.75" customHeight="1">
      <c r="A790" s="1191"/>
      <c r="B790" s="1191"/>
      <c r="C790" s="1191"/>
      <c r="D790" s="1191"/>
      <c r="E790" s="1191"/>
      <c r="F790" s="1191"/>
      <c r="G790" s="1191"/>
      <c r="H790" s="1191"/>
      <c r="I790" s="1191"/>
      <c r="J790" s="1191"/>
      <c r="K790" s="1191"/>
      <c r="L790" s="1191"/>
      <c r="M790" s="1191"/>
      <c r="N790" s="1191"/>
      <c r="O790" s="1191"/>
      <c r="P790" s="1191"/>
      <c r="Q790" s="1191"/>
      <c r="R790" s="1191"/>
      <c r="S790" s="1191"/>
      <c r="T790" s="1191"/>
      <c r="U790" s="1191"/>
      <c r="V790" s="1192"/>
      <c r="W790" s="1191"/>
      <c r="X790" s="1191"/>
      <c r="Y790" s="1191"/>
      <c r="Z790" s="1191"/>
    </row>
    <row r="791" spans="1:26" ht="15.75" customHeight="1">
      <c r="A791" s="1191"/>
      <c r="B791" s="1191"/>
      <c r="C791" s="1191"/>
      <c r="D791" s="1191"/>
      <c r="E791" s="1191"/>
      <c r="F791" s="1191"/>
      <c r="G791" s="1191"/>
      <c r="H791" s="1191"/>
      <c r="I791" s="1191"/>
      <c r="J791" s="1191"/>
      <c r="K791" s="1191"/>
      <c r="L791" s="1191"/>
      <c r="M791" s="1191"/>
      <c r="N791" s="1191"/>
      <c r="O791" s="1191"/>
      <c r="P791" s="1191"/>
      <c r="Q791" s="1191"/>
      <c r="R791" s="1191"/>
      <c r="S791" s="1191"/>
      <c r="T791" s="1191"/>
      <c r="U791" s="1191"/>
      <c r="V791" s="1192"/>
      <c r="W791" s="1191"/>
      <c r="X791" s="1191"/>
      <c r="Y791" s="1191"/>
      <c r="Z791" s="1191"/>
    </row>
    <row r="792" spans="1:26" ht="15.75" customHeight="1">
      <c r="A792" s="1191"/>
      <c r="B792" s="1191"/>
      <c r="C792" s="1191"/>
      <c r="D792" s="1191"/>
      <c r="E792" s="1191"/>
      <c r="F792" s="1191"/>
      <c r="G792" s="1191"/>
      <c r="H792" s="1191"/>
      <c r="I792" s="1191"/>
      <c r="J792" s="1191"/>
      <c r="K792" s="1191"/>
      <c r="L792" s="1191"/>
      <c r="M792" s="1191"/>
      <c r="N792" s="1191"/>
      <c r="O792" s="1191"/>
      <c r="P792" s="1191"/>
      <c r="Q792" s="1191"/>
      <c r="R792" s="1191"/>
      <c r="S792" s="1191"/>
      <c r="T792" s="1191"/>
      <c r="U792" s="1191"/>
      <c r="V792" s="1192"/>
      <c r="W792" s="1191"/>
      <c r="X792" s="1191"/>
      <c r="Y792" s="1191"/>
      <c r="Z792" s="1191"/>
    </row>
    <row r="793" spans="1:26" ht="15.75" customHeight="1">
      <c r="A793" s="1191"/>
      <c r="B793" s="1191"/>
      <c r="C793" s="1191"/>
      <c r="D793" s="1191"/>
      <c r="E793" s="1191"/>
      <c r="F793" s="1191"/>
      <c r="G793" s="1191"/>
      <c r="H793" s="1191"/>
      <c r="I793" s="1191"/>
      <c r="J793" s="1191"/>
      <c r="K793" s="1191"/>
      <c r="L793" s="1191"/>
      <c r="M793" s="1191"/>
      <c r="N793" s="1191"/>
      <c r="O793" s="1191"/>
      <c r="P793" s="1191"/>
      <c r="Q793" s="1191"/>
      <c r="R793" s="1191"/>
      <c r="S793" s="1191"/>
      <c r="T793" s="1191"/>
      <c r="U793" s="1191"/>
      <c r="V793" s="1192"/>
      <c r="W793" s="1191"/>
      <c r="X793" s="1191"/>
      <c r="Y793" s="1191"/>
      <c r="Z793" s="1191"/>
    </row>
    <row r="794" spans="1:26" ht="15.75" customHeight="1">
      <c r="A794" s="1191"/>
      <c r="B794" s="1191"/>
      <c r="C794" s="1191"/>
      <c r="D794" s="1191"/>
      <c r="E794" s="1191"/>
      <c r="F794" s="1191"/>
      <c r="G794" s="1191"/>
      <c r="H794" s="1191"/>
      <c r="I794" s="1191"/>
      <c r="J794" s="1191"/>
      <c r="K794" s="1191"/>
      <c r="L794" s="1191"/>
      <c r="M794" s="1191"/>
      <c r="N794" s="1191"/>
      <c r="O794" s="1191"/>
      <c r="P794" s="1191"/>
      <c r="Q794" s="1191"/>
      <c r="R794" s="1191"/>
      <c r="S794" s="1191"/>
      <c r="T794" s="1191"/>
      <c r="U794" s="1191"/>
      <c r="V794" s="1192"/>
      <c r="W794" s="1191"/>
      <c r="X794" s="1191"/>
      <c r="Y794" s="1191"/>
      <c r="Z794" s="1191"/>
    </row>
    <row r="795" spans="1:26" ht="15.75" customHeight="1">
      <c r="A795" s="1191"/>
      <c r="B795" s="1191"/>
      <c r="C795" s="1191"/>
      <c r="D795" s="1191"/>
      <c r="E795" s="1191"/>
      <c r="F795" s="1191"/>
      <c r="G795" s="1191"/>
      <c r="H795" s="1191"/>
      <c r="I795" s="1191"/>
      <c r="J795" s="1191"/>
      <c r="K795" s="1191"/>
      <c r="L795" s="1191"/>
      <c r="M795" s="1191"/>
      <c r="N795" s="1191"/>
      <c r="O795" s="1191"/>
      <c r="P795" s="1191"/>
      <c r="Q795" s="1191"/>
      <c r="R795" s="1191"/>
      <c r="S795" s="1191"/>
      <c r="T795" s="1191"/>
      <c r="U795" s="1191"/>
      <c r="V795" s="1192"/>
      <c r="W795" s="1191"/>
      <c r="X795" s="1191"/>
      <c r="Y795" s="1191"/>
      <c r="Z795" s="1191"/>
    </row>
    <row r="796" spans="1:26" ht="15.75" customHeight="1">
      <c r="A796" s="1191"/>
      <c r="B796" s="1191"/>
      <c r="C796" s="1191"/>
      <c r="D796" s="1191"/>
      <c r="E796" s="1191"/>
      <c r="F796" s="1191"/>
      <c r="G796" s="1191"/>
      <c r="H796" s="1191"/>
      <c r="I796" s="1191"/>
      <c r="J796" s="1191"/>
      <c r="K796" s="1191"/>
      <c r="L796" s="1191"/>
      <c r="M796" s="1191"/>
      <c r="N796" s="1191"/>
      <c r="O796" s="1191"/>
      <c r="P796" s="1191"/>
      <c r="Q796" s="1191"/>
      <c r="R796" s="1191"/>
      <c r="S796" s="1191"/>
      <c r="T796" s="1191"/>
      <c r="U796" s="1191"/>
      <c r="V796" s="1192"/>
      <c r="W796" s="1191"/>
      <c r="X796" s="1191"/>
      <c r="Y796" s="1191"/>
      <c r="Z796" s="1191"/>
    </row>
    <row r="797" spans="1:26" ht="15.75" customHeight="1">
      <c r="A797" s="1191"/>
      <c r="B797" s="1191"/>
      <c r="C797" s="1191"/>
      <c r="D797" s="1191"/>
      <c r="E797" s="1191"/>
      <c r="F797" s="1191"/>
      <c r="G797" s="1191"/>
      <c r="H797" s="1191"/>
      <c r="I797" s="1191"/>
      <c r="J797" s="1191"/>
      <c r="K797" s="1191"/>
      <c r="L797" s="1191"/>
      <c r="M797" s="1191"/>
      <c r="N797" s="1191"/>
      <c r="O797" s="1191"/>
      <c r="P797" s="1191"/>
      <c r="Q797" s="1191"/>
      <c r="R797" s="1191"/>
      <c r="S797" s="1191"/>
      <c r="T797" s="1191"/>
      <c r="U797" s="1191"/>
      <c r="V797" s="1192"/>
      <c r="W797" s="1191"/>
      <c r="X797" s="1191"/>
      <c r="Y797" s="1191"/>
      <c r="Z797" s="1191"/>
    </row>
    <row r="798" spans="1:26" ht="15.75" customHeight="1">
      <c r="A798" s="1191"/>
      <c r="B798" s="1191"/>
      <c r="C798" s="1191"/>
      <c r="D798" s="1191"/>
      <c r="E798" s="1191"/>
      <c r="F798" s="1191"/>
      <c r="G798" s="1191"/>
      <c r="H798" s="1191"/>
      <c r="I798" s="1191"/>
      <c r="J798" s="1191"/>
      <c r="K798" s="1191"/>
      <c r="L798" s="1191"/>
      <c r="M798" s="1191"/>
      <c r="N798" s="1191"/>
      <c r="O798" s="1191"/>
      <c r="P798" s="1191"/>
      <c r="Q798" s="1191"/>
      <c r="R798" s="1191"/>
      <c r="S798" s="1191"/>
      <c r="T798" s="1191"/>
      <c r="U798" s="1191"/>
      <c r="V798" s="1192"/>
      <c r="W798" s="1191"/>
      <c r="X798" s="1191"/>
      <c r="Y798" s="1191"/>
      <c r="Z798" s="1191"/>
    </row>
    <row r="799" spans="1:26" ht="15.75" customHeight="1">
      <c r="A799" s="1191"/>
      <c r="B799" s="1191"/>
      <c r="C799" s="1191"/>
      <c r="D799" s="1191"/>
      <c r="E799" s="1191"/>
      <c r="F799" s="1191"/>
      <c r="G799" s="1191"/>
      <c r="H799" s="1191"/>
      <c r="I799" s="1191"/>
      <c r="J799" s="1191"/>
      <c r="K799" s="1191"/>
      <c r="L799" s="1191"/>
      <c r="M799" s="1191"/>
      <c r="N799" s="1191"/>
      <c r="O799" s="1191"/>
      <c r="P799" s="1191"/>
      <c r="Q799" s="1191"/>
      <c r="R799" s="1191"/>
      <c r="S799" s="1191"/>
      <c r="T799" s="1191"/>
      <c r="U799" s="1191"/>
      <c r="V799" s="1192"/>
      <c r="W799" s="1191"/>
      <c r="X799" s="1191"/>
      <c r="Y799" s="1191"/>
      <c r="Z799" s="1191"/>
    </row>
    <row r="800" spans="1:26" ht="15.75" customHeight="1">
      <c r="A800" s="1191"/>
      <c r="B800" s="1191"/>
      <c r="C800" s="1191"/>
      <c r="D800" s="1191"/>
      <c r="E800" s="1191"/>
      <c r="F800" s="1191"/>
      <c r="G800" s="1191"/>
      <c r="H800" s="1191"/>
      <c r="I800" s="1191"/>
      <c r="J800" s="1191"/>
      <c r="K800" s="1191"/>
      <c r="L800" s="1191"/>
      <c r="M800" s="1191"/>
      <c r="N800" s="1191"/>
      <c r="O800" s="1191"/>
      <c r="P800" s="1191"/>
      <c r="Q800" s="1191"/>
      <c r="R800" s="1191"/>
      <c r="S800" s="1191"/>
      <c r="T800" s="1191"/>
      <c r="U800" s="1191"/>
      <c r="V800" s="1192"/>
      <c r="W800" s="1191"/>
      <c r="X800" s="1191"/>
      <c r="Y800" s="1191"/>
      <c r="Z800" s="1191"/>
    </row>
    <row r="801" spans="1:26" ht="15.75" customHeight="1">
      <c r="A801" s="1191"/>
      <c r="B801" s="1191"/>
      <c r="C801" s="1191"/>
      <c r="D801" s="1191"/>
      <c r="E801" s="1191"/>
      <c r="F801" s="1191"/>
      <c r="G801" s="1191"/>
      <c r="H801" s="1191"/>
      <c r="I801" s="1191"/>
      <c r="J801" s="1191"/>
      <c r="K801" s="1191"/>
      <c r="L801" s="1191"/>
      <c r="M801" s="1191"/>
      <c r="N801" s="1191"/>
      <c r="O801" s="1191"/>
      <c r="P801" s="1191"/>
      <c r="Q801" s="1191"/>
      <c r="R801" s="1191"/>
      <c r="S801" s="1191"/>
      <c r="T801" s="1191"/>
      <c r="U801" s="1191"/>
      <c r="V801" s="1192"/>
      <c r="W801" s="1191"/>
      <c r="X801" s="1191"/>
      <c r="Y801" s="1191"/>
      <c r="Z801" s="1191"/>
    </row>
    <row r="802" spans="1:26" ht="15.75" customHeight="1">
      <c r="A802" s="1191"/>
      <c r="B802" s="1191"/>
      <c r="C802" s="1191"/>
      <c r="D802" s="1191"/>
      <c r="E802" s="1191"/>
      <c r="F802" s="1191"/>
      <c r="G802" s="1191"/>
      <c r="H802" s="1191"/>
      <c r="I802" s="1191"/>
      <c r="J802" s="1191"/>
      <c r="K802" s="1191"/>
      <c r="L802" s="1191"/>
      <c r="M802" s="1191"/>
      <c r="N802" s="1191"/>
      <c r="O802" s="1191"/>
      <c r="P802" s="1191"/>
      <c r="Q802" s="1191"/>
      <c r="R802" s="1191"/>
      <c r="S802" s="1191"/>
      <c r="T802" s="1191"/>
      <c r="U802" s="1191"/>
      <c r="V802" s="1192"/>
      <c r="W802" s="1191"/>
      <c r="X802" s="1191"/>
      <c r="Y802" s="1191"/>
      <c r="Z802" s="1191"/>
    </row>
    <row r="803" spans="1:26" ht="15.75" customHeight="1">
      <c r="A803" s="1191"/>
      <c r="B803" s="1191"/>
      <c r="C803" s="1191"/>
      <c r="D803" s="1191"/>
      <c r="E803" s="1191"/>
      <c r="F803" s="1191"/>
      <c r="G803" s="1191"/>
      <c r="H803" s="1191"/>
      <c r="I803" s="1191"/>
      <c r="J803" s="1191"/>
      <c r="K803" s="1191"/>
      <c r="L803" s="1191"/>
      <c r="M803" s="1191"/>
      <c r="N803" s="1191"/>
      <c r="O803" s="1191"/>
      <c r="P803" s="1191"/>
      <c r="Q803" s="1191"/>
      <c r="R803" s="1191"/>
      <c r="S803" s="1191"/>
      <c r="T803" s="1191"/>
      <c r="U803" s="1191"/>
      <c r="V803" s="1192"/>
      <c r="W803" s="1191"/>
      <c r="X803" s="1191"/>
      <c r="Y803" s="1191"/>
      <c r="Z803" s="1191"/>
    </row>
    <row r="804" spans="1:26" ht="15.75" customHeight="1">
      <c r="A804" s="1191"/>
      <c r="B804" s="1191"/>
      <c r="C804" s="1191"/>
      <c r="D804" s="1191"/>
      <c r="E804" s="1191"/>
      <c r="F804" s="1191"/>
      <c r="G804" s="1191"/>
      <c r="H804" s="1191"/>
      <c r="I804" s="1191"/>
      <c r="J804" s="1191"/>
      <c r="K804" s="1191"/>
      <c r="L804" s="1191"/>
      <c r="M804" s="1191"/>
      <c r="N804" s="1191"/>
      <c r="O804" s="1191"/>
      <c r="P804" s="1191"/>
      <c r="Q804" s="1191"/>
      <c r="R804" s="1191"/>
      <c r="S804" s="1191"/>
      <c r="T804" s="1191"/>
      <c r="U804" s="1191"/>
      <c r="V804" s="1192"/>
      <c r="W804" s="1191"/>
      <c r="X804" s="1191"/>
      <c r="Y804" s="1191"/>
      <c r="Z804" s="1191"/>
    </row>
    <row r="805" spans="1:26" ht="15.75" customHeight="1">
      <c r="A805" s="1191"/>
      <c r="B805" s="1191"/>
      <c r="C805" s="1191"/>
      <c r="D805" s="1191"/>
      <c r="E805" s="1191"/>
      <c r="F805" s="1191"/>
      <c r="G805" s="1191"/>
      <c r="H805" s="1191"/>
      <c r="I805" s="1191"/>
      <c r="J805" s="1191"/>
      <c r="K805" s="1191"/>
      <c r="L805" s="1191"/>
      <c r="M805" s="1191"/>
      <c r="N805" s="1191"/>
      <c r="O805" s="1191"/>
      <c r="P805" s="1191"/>
      <c r="Q805" s="1191"/>
      <c r="R805" s="1191"/>
      <c r="S805" s="1191"/>
      <c r="T805" s="1191"/>
      <c r="U805" s="1191"/>
      <c r="V805" s="1192"/>
      <c r="W805" s="1191"/>
      <c r="X805" s="1191"/>
      <c r="Y805" s="1191"/>
      <c r="Z805" s="1191"/>
    </row>
    <row r="806" spans="1:26" ht="15.75" customHeight="1">
      <c r="A806" s="1191"/>
      <c r="B806" s="1191"/>
      <c r="C806" s="1191"/>
      <c r="D806" s="1191"/>
      <c r="E806" s="1191"/>
      <c r="F806" s="1191"/>
      <c r="G806" s="1191"/>
      <c r="H806" s="1191"/>
      <c r="I806" s="1191"/>
      <c r="J806" s="1191"/>
      <c r="K806" s="1191"/>
      <c r="L806" s="1191"/>
      <c r="M806" s="1191"/>
      <c r="N806" s="1191"/>
      <c r="O806" s="1191"/>
      <c r="P806" s="1191"/>
      <c r="Q806" s="1191"/>
      <c r="R806" s="1191"/>
      <c r="S806" s="1191"/>
      <c r="T806" s="1191"/>
      <c r="U806" s="1191"/>
      <c r="V806" s="1192"/>
      <c r="W806" s="1191"/>
      <c r="X806" s="1191"/>
      <c r="Y806" s="1191"/>
      <c r="Z806" s="1191"/>
    </row>
    <row r="807" spans="1:26" ht="15.75" customHeight="1">
      <c r="A807" s="1191"/>
      <c r="B807" s="1191"/>
      <c r="C807" s="1191"/>
      <c r="D807" s="1191"/>
      <c r="E807" s="1191"/>
      <c r="F807" s="1191"/>
      <c r="G807" s="1191"/>
      <c r="H807" s="1191"/>
      <c r="I807" s="1191"/>
      <c r="J807" s="1191"/>
      <c r="K807" s="1191"/>
      <c r="L807" s="1191"/>
      <c r="M807" s="1191"/>
      <c r="N807" s="1191"/>
      <c r="O807" s="1191"/>
      <c r="P807" s="1191"/>
      <c r="Q807" s="1191"/>
      <c r="R807" s="1191"/>
      <c r="S807" s="1191"/>
      <c r="T807" s="1191"/>
      <c r="U807" s="1191"/>
      <c r="V807" s="1192"/>
      <c r="W807" s="1191"/>
      <c r="X807" s="1191"/>
      <c r="Y807" s="1191"/>
      <c r="Z807" s="1191"/>
    </row>
    <row r="808" spans="1:26" ht="15.75" customHeight="1">
      <c r="A808" s="1191"/>
      <c r="B808" s="1191"/>
      <c r="C808" s="1191"/>
      <c r="D808" s="1191"/>
      <c r="E808" s="1191"/>
      <c r="F808" s="1191"/>
      <c r="G808" s="1191"/>
      <c r="H808" s="1191"/>
      <c r="I808" s="1191"/>
      <c r="J808" s="1191"/>
      <c r="K808" s="1191"/>
      <c r="L808" s="1191"/>
      <c r="M808" s="1191"/>
      <c r="N808" s="1191"/>
      <c r="O808" s="1191"/>
      <c r="P808" s="1191"/>
      <c r="Q808" s="1191"/>
      <c r="R808" s="1191"/>
      <c r="S808" s="1191"/>
      <c r="T808" s="1191"/>
      <c r="U808" s="1191"/>
      <c r="V808" s="1192"/>
      <c r="W808" s="1191"/>
      <c r="X808" s="1191"/>
      <c r="Y808" s="1191"/>
      <c r="Z808" s="1191"/>
    </row>
    <row r="809" spans="1:26" ht="15.75" customHeight="1">
      <c r="A809" s="1191"/>
      <c r="B809" s="1191"/>
      <c r="C809" s="1191"/>
      <c r="D809" s="1191"/>
      <c r="E809" s="1191"/>
      <c r="F809" s="1191"/>
      <c r="G809" s="1191"/>
      <c r="H809" s="1191"/>
      <c r="I809" s="1191"/>
      <c r="J809" s="1191"/>
      <c r="K809" s="1191"/>
      <c r="L809" s="1191"/>
      <c r="M809" s="1191"/>
      <c r="N809" s="1191"/>
      <c r="O809" s="1191"/>
      <c r="P809" s="1191"/>
      <c r="Q809" s="1191"/>
      <c r="R809" s="1191"/>
      <c r="S809" s="1191"/>
      <c r="T809" s="1191"/>
      <c r="U809" s="1191"/>
      <c r="V809" s="1192"/>
      <c r="W809" s="1191"/>
      <c r="X809" s="1191"/>
      <c r="Y809" s="1191"/>
      <c r="Z809" s="1191"/>
    </row>
    <row r="810" spans="1:26" ht="15.75" customHeight="1">
      <c r="A810" s="1191"/>
      <c r="B810" s="1191"/>
      <c r="C810" s="1191"/>
      <c r="D810" s="1191"/>
      <c r="E810" s="1191"/>
      <c r="F810" s="1191"/>
      <c r="G810" s="1191"/>
      <c r="H810" s="1191"/>
      <c r="I810" s="1191"/>
      <c r="J810" s="1191"/>
      <c r="K810" s="1191"/>
      <c r="L810" s="1191"/>
      <c r="M810" s="1191"/>
      <c r="N810" s="1191"/>
      <c r="O810" s="1191"/>
      <c r="P810" s="1191"/>
      <c r="Q810" s="1191"/>
      <c r="R810" s="1191"/>
      <c r="S810" s="1191"/>
      <c r="T810" s="1191"/>
      <c r="U810" s="1191"/>
      <c r="V810" s="1192"/>
      <c r="W810" s="1191"/>
      <c r="X810" s="1191"/>
      <c r="Y810" s="1191"/>
      <c r="Z810" s="1191"/>
    </row>
    <row r="811" spans="1:26" ht="15.75" customHeight="1">
      <c r="A811" s="1191"/>
      <c r="B811" s="1191"/>
      <c r="C811" s="1191"/>
      <c r="D811" s="1191"/>
      <c r="E811" s="1191"/>
      <c r="F811" s="1191"/>
      <c r="G811" s="1191"/>
      <c r="H811" s="1191"/>
      <c r="I811" s="1191"/>
      <c r="J811" s="1191"/>
      <c r="K811" s="1191"/>
      <c r="L811" s="1191"/>
      <c r="M811" s="1191"/>
      <c r="N811" s="1191"/>
      <c r="O811" s="1191"/>
      <c r="P811" s="1191"/>
      <c r="Q811" s="1191"/>
      <c r="R811" s="1191"/>
      <c r="S811" s="1191"/>
      <c r="T811" s="1191"/>
      <c r="U811" s="1191"/>
      <c r="V811" s="1192"/>
      <c r="W811" s="1191"/>
      <c r="X811" s="1191"/>
      <c r="Y811" s="1191"/>
      <c r="Z811" s="1191"/>
    </row>
    <row r="812" spans="1:26" ht="15.75" customHeight="1">
      <c r="A812" s="1191"/>
      <c r="B812" s="1191"/>
      <c r="C812" s="1191"/>
      <c r="D812" s="1191"/>
      <c r="E812" s="1191"/>
      <c r="F812" s="1191"/>
      <c r="G812" s="1191"/>
      <c r="H812" s="1191"/>
      <c r="I812" s="1191"/>
      <c r="J812" s="1191"/>
      <c r="K812" s="1191"/>
      <c r="L812" s="1191"/>
      <c r="M812" s="1191"/>
      <c r="N812" s="1191"/>
      <c r="O812" s="1191"/>
      <c r="P812" s="1191"/>
      <c r="Q812" s="1191"/>
      <c r="R812" s="1191"/>
      <c r="S812" s="1191"/>
      <c r="T812" s="1191"/>
      <c r="U812" s="1191"/>
      <c r="V812" s="1192"/>
      <c r="W812" s="1191"/>
      <c r="X812" s="1191"/>
      <c r="Y812" s="1191"/>
      <c r="Z812" s="1191"/>
    </row>
    <row r="813" spans="1:26" ht="15.75" customHeight="1">
      <c r="A813" s="1191"/>
      <c r="B813" s="1191"/>
      <c r="C813" s="1191"/>
      <c r="D813" s="1191"/>
      <c r="E813" s="1191"/>
      <c r="F813" s="1191"/>
      <c r="G813" s="1191"/>
      <c r="H813" s="1191"/>
      <c r="I813" s="1191"/>
      <c r="J813" s="1191"/>
      <c r="K813" s="1191"/>
      <c r="L813" s="1191"/>
      <c r="M813" s="1191"/>
      <c r="N813" s="1191"/>
      <c r="O813" s="1191"/>
      <c r="P813" s="1191"/>
      <c r="Q813" s="1191"/>
      <c r="R813" s="1191"/>
      <c r="S813" s="1191"/>
      <c r="T813" s="1191"/>
      <c r="U813" s="1191"/>
      <c r="V813" s="1192"/>
      <c r="W813" s="1191"/>
      <c r="X813" s="1191"/>
      <c r="Y813" s="1191"/>
      <c r="Z813" s="1191"/>
    </row>
    <row r="814" spans="1:26" ht="15.75" customHeight="1">
      <c r="A814" s="1191"/>
      <c r="B814" s="1191"/>
      <c r="C814" s="1191"/>
      <c r="D814" s="1191"/>
      <c r="E814" s="1191"/>
      <c r="F814" s="1191"/>
      <c r="G814" s="1191"/>
      <c r="H814" s="1191"/>
      <c r="I814" s="1191"/>
      <c r="J814" s="1191"/>
      <c r="K814" s="1191"/>
      <c r="L814" s="1191"/>
      <c r="M814" s="1191"/>
      <c r="N814" s="1191"/>
      <c r="O814" s="1191"/>
      <c r="P814" s="1191"/>
      <c r="Q814" s="1191"/>
      <c r="R814" s="1191"/>
      <c r="S814" s="1191"/>
      <c r="T814" s="1191"/>
      <c r="U814" s="1191"/>
      <c r="V814" s="1192"/>
      <c r="W814" s="1191"/>
      <c r="X814" s="1191"/>
      <c r="Y814" s="1191"/>
      <c r="Z814" s="1191"/>
    </row>
    <row r="815" spans="1:26" ht="15.75" customHeight="1">
      <c r="A815" s="1191"/>
      <c r="B815" s="1191"/>
      <c r="C815" s="1191"/>
      <c r="D815" s="1191"/>
      <c r="E815" s="1191"/>
      <c r="F815" s="1191"/>
      <c r="G815" s="1191"/>
      <c r="H815" s="1191"/>
      <c r="I815" s="1191"/>
      <c r="J815" s="1191"/>
      <c r="K815" s="1191"/>
      <c r="L815" s="1191"/>
      <c r="M815" s="1191"/>
      <c r="N815" s="1191"/>
      <c r="O815" s="1191"/>
      <c r="P815" s="1191"/>
      <c r="Q815" s="1191"/>
      <c r="R815" s="1191"/>
      <c r="S815" s="1191"/>
      <c r="T815" s="1191"/>
      <c r="U815" s="1191"/>
      <c r="V815" s="1192"/>
      <c r="W815" s="1191"/>
      <c r="X815" s="1191"/>
      <c r="Y815" s="1191"/>
      <c r="Z815" s="1191"/>
    </row>
    <row r="816" spans="1:26" ht="15.75" customHeight="1">
      <c r="A816" s="1191"/>
      <c r="B816" s="1191"/>
      <c r="C816" s="1191"/>
      <c r="D816" s="1191"/>
      <c r="E816" s="1191"/>
      <c r="F816" s="1191"/>
      <c r="G816" s="1191"/>
      <c r="H816" s="1191"/>
      <c r="I816" s="1191"/>
      <c r="J816" s="1191"/>
      <c r="K816" s="1191"/>
      <c r="L816" s="1191"/>
      <c r="M816" s="1191"/>
      <c r="N816" s="1191"/>
      <c r="O816" s="1191"/>
      <c r="P816" s="1191"/>
      <c r="Q816" s="1191"/>
      <c r="R816" s="1191"/>
      <c r="S816" s="1191"/>
      <c r="T816" s="1191"/>
      <c r="U816" s="1191"/>
      <c r="V816" s="1192"/>
      <c r="W816" s="1191"/>
      <c r="X816" s="1191"/>
      <c r="Y816" s="1191"/>
      <c r="Z816" s="1191"/>
    </row>
    <row r="817" spans="1:26" ht="15.75" customHeight="1">
      <c r="A817" s="1191"/>
      <c r="B817" s="1191"/>
      <c r="C817" s="1191"/>
      <c r="D817" s="1191"/>
      <c r="E817" s="1191"/>
      <c r="F817" s="1191"/>
      <c r="G817" s="1191"/>
      <c r="H817" s="1191"/>
      <c r="I817" s="1191"/>
      <c r="J817" s="1191"/>
      <c r="K817" s="1191"/>
      <c r="L817" s="1191"/>
      <c r="M817" s="1191"/>
      <c r="N817" s="1191"/>
      <c r="O817" s="1191"/>
      <c r="P817" s="1191"/>
      <c r="Q817" s="1191"/>
      <c r="R817" s="1191"/>
      <c r="S817" s="1191"/>
      <c r="T817" s="1191"/>
      <c r="U817" s="1191"/>
      <c r="V817" s="1192"/>
      <c r="W817" s="1191"/>
      <c r="X817" s="1191"/>
      <c r="Y817" s="1191"/>
      <c r="Z817" s="1191"/>
    </row>
    <row r="818" spans="1:26" ht="15.75" customHeight="1">
      <c r="A818" s="1191"/>
      <c r="B818" s="1191"/>
      <c r="C818" s="1191"/>
      <c r="D818" s="1191"/>
      <c r="E818" s="1191"/>
      <c r="F818" s="1191"/>
      <c r="G818" s="1191"/>
      <c r="H818" s="1191"/>
      <c r="I818" s="1191"/>
      <c r="J818" s="1191"/>
      <c r="K818" s="1191"/>
      <c r="L818" s="1191"/>
      <c r="M818" s="1191"/>
      <c r="N818" s="1191"/>
      <c r="O818" s="1191"/>
      <c r="P818" s="1191"/>
      <c r="Q818" s="1191"/>
      <c r="R818" s="1191"/>
      <c r="S818" s="1191"/>
      <c r="T818" s="1191"/>
      <c r="U818" s="1191"/>
      <c r="V818" s="1192"/>
      <c r="W818" s="1191"/>
      <c r="X818" s="1191"/>
      <c r="Y818" s="1191"/>
      <c r="Z818" s="1191"/>
    </row>
    <row r="819" spans="1:26" ht="15.75" customHeight="1">
      <c r="A819" s="1191"/>
      <c r="B819" s="1191"/>
      <c r="C819" s="1191"/>
      <c r="D819" s="1191"/>
      <c r="E819" s="1191"/>
      <c r="F819" s="1191"/>
      <c r="G819" s="1191"/>
      <c r="H819" s="1191"/>
      <c r="I819" s="1191"/>
      <c r="J819" s="1191"/>
      <c r="K819" s="1191"/>
      <c r="L819" s="1191"/>
      <c r="M819" s="1191"/>
      <c r="N819" s="1191"/>
      <c r="O819" s="1191"/>
      <c r="P819" s="1191"/>
      <c r="Q819" s="1191"/>
      <c r="R819" s="1191"/>
      <c r="S819" s="1191"/>
      <c r="T819" s="1191"/>
      <c r="U819" s="1191"/>
      <c r="V819" s="1192"/>
      <c r="W819" s="1191"/>
      <c r="X819" s="1191"/>
      <c r="Y819" s="1191"/>
      <c r="Z819" s="1191"/>
    </row>
    <row r="820" spans="1:26" ht="15.75" customHeight="1">
      <c r="A820" s="1191"/>
      <c r="B820" s="1191"/>
      <c r="C820" s="1191"/>
      <c r="D820" s="1191"/>
      <c r="E820" s="1191"/>
      <c r="F820" s="1191"/>
      <c r="G820" s="1191"/>
      <c r="H820" s="1191"/>
      <c r="I820" s="1191"/>
      <c r="J820" s="1191"/>
      <c r="K820" s="1191"/>
      <c r="L820" s="1191"/>
      <c r="M820" s="1191"/>
      <c r="N820" s="1191"/>
      <c r="O820" s="1191"/>
      <c r="P820" s="1191"/>
      <c r="Q820" s="1191"/>
      <c r="R820" s="1191"/>
      <c r="S820" s="1191"/>
      <c r="T820" s="1191"/>
      <c r="U820" s="1191"/>
      <c r="V820" s="1192"/>
      <c r="W820" s="1191"/>
      <c r="X820" s="1191"/>
      <c r="Y820" s="1191"/>
      <c r="Z820" s="1191"/>
    </row>
    <row r="821" spans="1:26" ht="15.75" customHeight="1">
      <c r="A821" s="1191"/>
      <c r="B821" s="1191"/>
      <c r="C821" s="1191"/>
      <c r="D821" s="1191"/>
      <c r="E821" s="1191"/>
      <c r="F821" s="1191"/>
      <c r="G821" s="1191"/>
      <c r="H821" s="1191"/>
      <c r="I821" s="1191"/>
      <c r="J821" s="1191"/>
      <c r="K821" s="1191"/>
      <c r="L821" s="1191"/>
      <c r="M821" s="1191"/>
      <c r="N821" s="1191"/>
      <c r="O821" s="1191"/>
      <c r="P821" s="1191"/>
      <c r="Q821" s="1191"/>
      <c r="R821" s="1191"/>
      <c r="S821" s="1191"/>
      <c r="T821" s="1191"/>
      <c r="U821" s="1191"/>
      <c r="V821" s="1192"/>
      <c r="W821" s="1191"/>
      <c r="X821" s="1191"/>
      <c r="Y821" s="1191"/>
      <c r="Z821" s="1191"/>
    </row>
    <row r="822" spans="1:26" ht="15.75" customHeight="1">
      <c r="A822" s="1191"/>
      <c r="B822" s="1191"/>
      <c r="C822" s="1191"/>
      <c r="D822" s="1191"/>
      <c r="E822" s="1191"/>
      <c r="F822" s="1191"/>
      <c r="G822" s="1191"/>
      <c r="H822" s="1191"/>
      <c r="I822" s="1191"/>
      <c r="J822" s="1191"/>
      <c r="K822" s="1191"/>
      <c r="L822" s="1191"/>
      <c r="M822" s="1191"/>
      <c r="N822" s="1191"/>
      <c r="O822" s="1191"/>
      <c r="P822" s="1191"/>
      <c r="Q822" s="1191"/>
      <c r="R822" s="1191"/>
      <c r="S822" s="1191"/>
      <c r="T822" s="1191"/>
      <c r="U822" s="1191"/>
      <c r="V822" s="1192"/>
      <c r="W822" s="1191"/>
      <c r="X822" s="1191"/>
      <c r="Y822" s="1191"/>
      <c r="Z822" s="1191"/>
    </row>
    <row r="823" spans="1:26" ht="15.75" customHeight="1">
      <c r="A823" s="1191"/>
      <c r="B823" s="1191"/>
      <c r="C823" s="1191"/>
      <c r="D823" s="1191"/>
      <c r="E823" s="1191"/>
      <c r="F823" s="1191"/>
      <c r="G823" s="1191"/>
      <c r="H823" s="1191"/>
      <c r="I823" s="1191"/>
      <c r="J823" s="1191"/>
      <c r="K823" s="1191"/>
      <c r="L823" s="1191"/>
      <c r="M823" s="1191"/>
      <c r="N823" s="1191"/>
      <c r="O823" s="1191"/>
      <c r="P823" s="1191"/>
      <c r="Q823" s="1191"/>
      <c r="R823" s="1191"/>
      <c r="S823" s="1191"/>
      <c r="T823" s="1191"/>
      <c r="U823" s="1191"/>
      <c r="V823" s="1192"/>
      <c r="W823" s="1191"/>
      <c r="X823" s="1191"/>
      <c r="Y823" s="1191"/>
      <c r="Z823" s="1191"/>
    </row>
    <row r="824" spans="1:26" ht="15.75" customHeight="1">
      <c r="A824" s="1191"/>
      <c r="B824" s="1191"/>
      <c r="C824" s="1191"/>
      <c r="D824" s="1191"/>
      <c r="E824" s="1191"/>
      <c r="F824" s="1191"/>
      <c r="G824" s="1191"/>
      <c r="H824" s="1191"/>
      <c r="I824" s="1191"/>
      <c r="J824" s="1191"/>
      <c r="K824" s="1191"/>
      <c r="L824" s="1191"/>
      <c r="M824" s="1191"/>
      <c r="N824" s="1191"/>
      <c r="O824" s="1191"/>
      <c r="P824" s="1191"/>
      <c r="Q824" s="1191"/>
      <c r="R824" s="1191"/>
      <c r="S824" s="1191"/>
      <c r="T824" s="1191"/>
      <c r="U824" s="1191"/>
      <c r="V824" s="1192"/>
      <c r="W824" s="1191"/>
      <c r="X824" s="1191"/>
      <c r="Y824" s="1191"/>
      <c r="Z824" s="1191"/>
    </row>
    <row r="825" spans="1:26" ht="15.75" customHeight="1">
      <c r="A825" s="1191"/>
      <c r="B825" s="1191"/>
      <c r="C825" s="1191"/>
      <c r="D825" s="1191"/>
      <c r="E825" s="1191"/>
      <c r="F825" s="1191"/>
      <c r="G825" s="1191"/>
      <c r="H825" s="1191"/>
      <c r="I825" s="1191"/>
      <c r="J825" s="1191"/>
      <c r="K825" s="1191"/>
      <c r="L825" s="1191"/>
      <c r="M825" s="1191"/>
      <c r="N825" s="1191"/>
      <c r="O825" s="1191"/>
      <c r="P825" s="1191"/>
      <c r="Q825" s="1191"/>
      <c r="R825" s="1191"/>
      <c r="S825" s="1191"/>
      <c r="T825" s="1191"/>
      <c r="U825" s="1191"/>
      <c r="V825" s="1192"/>
      <c r="W825" s="1191"/>
      <c r="X825" s="1191"/>
      <c r="Y825" s="1191"/>
      <c r="Z825" s="1191"/>
    </row>
    <row r="826" spans="1:26" ht="15.75" customHeight="1">
      <c r="A826" s="1191"/>
      <c r="B826" s="1191"/>
      <c r="C826" s="1191"/>
      <c r="D826" s="1191"/>
      <c r="E826" s="1191"/>
      <c r="F826" s="1191"/>
      <c r="G826" s="1191"/>
      <c r="H826" s="1191"/>
      <c r="I826" s="1191"/>
      <c r="J826" s="1191"/>
      <c r="K826" s="1191"/>
      <c r="L826" s="1191"/>
      <c r="M826" s="1191"/>
      <c r="N826" s="1191"/>
      <c r="O826" s="1191"/>
      <c r="P826" s="1191"/>
      <c r="Q826" s="1191"/>
      <c r="R826" s="1191"/>
      <c r="S826" s="1191"/>
      <c r="T826" s="1191"/>
      <c r="U826" s="1191"/>
      <c r="V826" s="1192"/>
      <c r="W826" s="1191"/>
      <c r="X826" s="1191"/>
      <c r="Y826" s="1191"/>
      <c r="Z826" s="1191"/>
    </row>
    <row r="827" spans="1:26" ht="15.75" customHeight="1">
      <c r="A827" s="1191"/>
      <c r="B827" s="1191"/>
      <c r="C827" s="1191"/>
      <c r="D827" s="1191"/>
      <c r="E827" s="1191"/>
      <c r="F827" s="1191"/>
      <c r="G827" s="1191"/>
      <c r="H827" s="1191"/>
      <c r="I827" s="1191"/>
      <c r="J827" s="1191"/>
      <c r="K827" s="1191"/>
      <c r="L827" s="1191"/>
      <c r="M827" s="1191"/>
      <c r="N827" s="1191"/>
      <c r="O827" s="1191"/>
      <c r="P827" s="1191"/>
      <c r="Q827" s="1191"/>
      <c r="R827" s="1191"/>
      <c r="S827" s="1191"/>
      <c r="T827" s="1191"/>
      <c r="U827" s="1191"/>
      <c r="V827" s="1192"/>
      <c r="W827" s="1191"/>
      <c r="X827" s="1191"/>
      <c r="Y827" s="1191"/>
      <c r="Z827" s="1191"/>
    </row>
    <row r="828" spans="1:26" ht="15.75" customHeight="1">
      <c r="A828" s="1191"/>
      <c r="B828" s="1191"/>
      <c r="C828" s="1191"/>
      <c r="D828" s="1191"/>
      <c r="E828" s="1191"/>
      <c r="F828" s="1191"/>
      <c r="G828" s="1191"/>
      <c r="H828" s="1191"/>
      <c r="I828" s="1191"/>
      <c r="J828" s="1191"/>
      <c r="K828" s="1191"/>
      <c r="L828" s="1191"/>
      <c r="M828" s="1191"/>
      <c r="N828" s="1191"/>
      <c r="O828" s="1191"/>
      <c r="P828" s="1191"/>
      <c r="Q828" s="1191"/>
      <c r="R828" s="1191"/>
      <c r="S828" s="1191"/>
      <c r="T828" s="1191"/>
      <c r="U828" s="1191"/>
      <c r="V828" s="1192"/>
      <c r="W828" s="1191"/>
      <c r="X828" s="1191"/>
      <c r="Y828" s="1191"/>
      <c r="Z828" s="1191"/>
    </row>
    <row r="829" spans="1:26" ht="15.75" customHeight="1">
      <c r="A829" s="1191"/>
      <c r="B829" s="1191"/>
      <c r="C829" s="1191"/>
      <c r="D829" s="1191"/>
      <c r="E829" s="1191"/>
      <c r="F829" s="1191"/>
      <c r="G829" s="1191"/>
      <c r="H829" s="1191"/>
      <c r="I829" s="1191"/>
      <c r="J829" s="1191"/>
      <c r="K829" s="1191"/>
      <c r="L829" s="1191"/>
      <c r="M829" s="1191"/>
      <c r="N829" s="1191"/>
      <c r="O829" s="1191"/>
      <c r="P829" s="1191"/>
      <c r="Q829" s="1191"/>
      <c r="R829" s="1191"/>
      <c r="S829" s="1191"/>
      <c r="T829" s="1191"/>
      <c r="U829" s="1191"/>
      <c r="V829" s="1192"/>
      <c r="W829" s="1191"/>
      <c r="X829" s="1191"/>
      <c r="Y829" s="1191"/>
      <c r="Z829" s="1191"/>
    </row>
    <row r="830" spans="1:26" ht="15.75" customHeight="1">
      <c r="A830" s="1191"/>
      <c r="B830" s="1191"/>
      <c r="C830" s="1191"/>
      <c r="D830" s="1191"/>
      <c r="E830" s="1191"/>
      <c r="F830" s="1191"/>
      <c r="G830" s="1191"/>
      <c r="H830" s="1191"/>
      <c r="I830" s="1191"/>
      <c r="J830" s="1191"/>
      <c r="K830" s="1191"/>
      <c r="L830" s="1191"/>
      <c r="M830" s="1191"/>
      <c r="N830" s="1191"/>
      <c r="O830" s="1191"/>
      <c r="P830" s="1191"/>
      <c r="Q830" s="1191"/>
      <c r="R830" s="1191"/>
      <c r="S830" s="1191"/>
      <c r="T830" s="1191"/>
      <c r="U830" s="1191"/>
      <c r="V830" s="1192"/>
      <c r="W830" s="1191"/>
      <c r="X830" s="1191"/>
      <c r="Y830" s="1191"/>
      <c r="Z830" s="1191"/>
    </row>
    <row r="831" spans="1:26" ht="15.75" customHeight="1">
      <c r="A831" s="1191"/>
      <c r="B831" s="1191"/>
      <c r="C831" s="1191"/>
      <c r="D831" s="1191"/>
      <c r="E831" s="1191"/>
      <c r="F831" s="1191"/>
      <c r="G831" s="1191"/>
      <c r="H831" s="1191"/>
      <c r="I831" s="1191"/>
      <c r="J831" s="1191"/>
      <c r="K831" s="1191"/>
      <c r="L831" s="1191"/>
      <c r="M831" s="1191"/>
      <c r="N831" s="1191"/>
      <c r="O831" s="1191"/>
      <c r="P831" s="1191"/>
      <c r="Q831" s="1191"/>
      <c r="R831" s="1191"/>
      <c r="S831" s="1191"/>
      <c r="T831" s="1191"/>
      <c r="U831" s="1191"/>
      <c r="V831" s="1192"/>
      <c r="W831" s="1191"/>
      <c r="X831" s="1191"/>
      <c r="Y831" s="1191"/>
      <c r="Z831" s="1191"/>
    </row>
    <row r="832" spans="1:26" ht="15.75" customHeight="1">
      <c r="A832" s="1191"/>
      <c r="B832" s="1191"/>
      <c r="C832" s="1191"/>
      <c r="D832" s="1191"/>
      <c r="E832" s="1191"/>
      <c r="F832" s="1191"/>
      <c r="G832" s="1191"/>
      <c r="H832" s="1191"/>
      <c r="I832" s="1191"/>
      <c r="J832" s="1191"/>
      <c r="K832" s="1191"/>
      <c r="L832" s="1191"/>
      <c r="M832" s="1191"/>
      <c r="N832" s="1191"/>
      <c r="O832" s="1191"/>
      <c r="P832" s="1191"/>
      <c r="Q832" s="1191"/>
      <c r="R832" s="1191"/>
      <c r="S832" s="1191"/>
      <c r="T832" s="1191"/>
      <c r="U832" s="1191"/>
      <c r="V832" s="1192"/>
      <c r="W832" s="1191"/>
      <c r="X832" s="1191"/>
      <c r="Y832" s="1191"/>
      <c r="Z832" s="1191"/>
    </row>
    <row r="833" spans="1:26" ht="15.75" customHeight="1">
      <c r="A833" s="1191"/>
      <c r="B833" s="1191"/>
      <c r="C833" s="1191"/>
      <c r="D833" s="1191"/>
      <c r="E833" s="1191"/>
      <c r="F833" s="1191"/>
      <c r="G833" s="1191"/>
      <c r="H833" s="1191"/>
      <c r="I833" s="1191"/>
      <c r="J833" s="1191"/>
      <c r="K833" s="1191"/>
      <c r="L833" s="1191"/>
      <c r="M833" s="1191"/>
      <c r="N833" s="1191"/>
      <c r="O833" s="1191"/>
      <c r="P833" s="1191"/>
      <c r="Q833" s="1191"/>
      <c r="R833" s="1191"/>
      <c r="S833" s="1191"/>
      <c r="T833" s="1191"/>
      <c r="U833" s="1191"/>
      <c r="V833" s="1192"/>
      <c r="W833" s="1191"/>
      <c r="X833" s="1191"/>
      <c r="Y833" s="1191"/>
      <c r="Z833" s="1191"/>
    </row>
    <row r="834" spans="1:26" ht="15.75" customHeight="1">
      <c r="A834" s="1191"/>
      <c r="B834" s="1191"/>
      <c r="C834" s="1191"/>
      <c r="D834" s="1191"/>
      <c r="E834" s="1191"/>
      <c r="F834" s="1191"/>
      <c r="G834" s="1191"/>
      <c r="H834" s="1191"/>
      <c r="I834" s="1191"/>
      <c r="J834" s="1191"/>
      <c r="K834" s="1191"/>
      <c r="L834" s="1191"/>
      <c r="M834" s="1191"/>
      <c r="N834" s="1191"/>
      <c r="O834" s="1191"/>
      <c r="P834" s="1191"/>
      <c r="Q834" s="1191"/>
      <c r="R834" s="1191"/>
      <c r="S834" s="1191"/>
      <c r="T834" s="1191"/>
      <c r="U834" s="1191"/>
      <c r="V834" s="1192"/>
      <c r="W834" s="1191"/>
      <c r="X834" s="1191"/>
      <c r="Y834" s="1191"/>
      <c r="Z834" s="1191"/>
    </row>
    <row r="835" spans="1:26" ht="15.75" customHeight="1">
      <c r="A835" s="1191"/>
      <c r="B835" s="1191"/>
      <c r="C835" s="1191"/>
      <c r="D835" s="1191"/>
      <c r="E835" s="1191"/>
      <c r="F835" s="1191"/>
      <c r="G835" s="1191"/>
      <c r="H835" s="1191"/>
      <c r="I835" s="1191"/>
      <c r="J835" s="1191"/>
      <c r="K835" s="1191"/>
      <c r="L835" s="1191"/>
      <c r="M835" s="1191"/>
      <c r="N835" s="1191"/>
      <c r="O835" s="1191"/>
      <c r="P835" s="1191"/>
      <c r="Q835" s="1191"/>
      <c r="R835" s="1191"/>
      <c r="S835" s="1191"/>
      <c r="T835" s="1191"/>
      <c r="U835" s="1191"/>
      <c r="V835" s="1192"/>
      <c r="W835" s="1191"/>
      <c r="X835" s="1191"/>
      <c r="Y835" s="1191"/>
      <c r="Z835" s="1191"/>
    </row>
    <row r="836" spans="1:26" ht="15.75" customHeight="1">
      <c r="A836" s="1191"/>
      <c r="B836" s="1191"/>
      <c r="C836" s="1191"/>
      <c r="D836" s="1191"/>
      <c r="E836" s="1191"/>
      <c r="F836" s="1191"/>
      <c r="G836" s="1191"/>
      <c r="H836" s="1191"/>
      <c r="I836" s="1191"/>
      <c r="J836" s="1191"/>
      <c r="K836" s="1191"/>
      <c r="L836" s="1191"/>
      <c r="M836" s="1191"/>
      <c r="N836" s="1191"/>
      <c r="O836" s="1191"/>
      <c r="P836" s="1191"/>
      <c r="Q836" s="1191"/>
      <c r="R836" s="1191"/>
      <c r="S836" s="1191"/>
      <c r="T836" s="1191"/>
      <c r="U836" s="1191"/>
      <c r="V836" s="1192"/>
      <c r="W836" s="1191"/>
      <c r="X836" s="1191"/>
      <c r="Y836" s="1191"/>
      <c r="Z836" s="1191"/>
    </row>
    <row r="837" spans="1:26" ht="15.75" customHeight="1">
      <c r="A837" s="1191"/>
      <c r="B837" s="1191"/>
      <c r="C837" s="1191"/>
      <c r="D837" s="1191"/>
      <c r="E837" s="1191"/>
      <c r="F837" s="1191"/>
      <c r="G837" s="1191"/>
      <c r="H837" s="1191"/>
      <c r="I837" s="1191"/>
      <c r="J837" s="1191"/>
      <c r="K837" s="1191"/>
      <c r="L837" s="1191"/>
      <c r="M837" s="1191"/>
      <c r="N837" s="1191"/>
      <c r="O837" s="1191"/>
      <c r="P837" s="1191"/>
      <c r="Q837" s="1191"/>
      <c r="R837" s="1191"/>
      <c r="S837" s="1191"/>
      <c r="T837" s="1191"/>
      <c r="U837" s="1191"/>
      <c r="V837" s="1192"/>
      <c r="W837" s="1191"/>
      <c r="X837" s="1191"/>
      <c r="Y837" s="1191"/>
      <c r="Z837" s="1191"/>
    </row>
    <row r="838" spans="1:26" ht="15.75" customHeight="1">
      <c r="A838" s="1191"/>
      <c r="B838" s="1191"/>
      <c r="C838" s="1191"/>
      <c r="D838" s="1191"/>
      <c r="E838" s="1191"/>
      <c r="F838" s="1191"/>
      <c r="G838" s="1191"/>
      <c r="H838" s="1191"/>
      <c r="I838" s="1191"/>
      <c r="J838" s="1191"/>
      <c r="K838" s="1191"/>
      <c r="L838" s="1191"/>
      <c r="M838" s="1191"/>
      <c r="N838" s="1191"/>
      <c r="O838" s="1191"/>
      <c r="P838" s="1191"/>
      <c r="Q838" s="1191"/>
      <c r="R838" s="1191"/>
      <c r="S838" s="1191"/>
      <c r="T838" s="1191"/>
      <c r="U838" s="1191"/>
      <c r="V838" s="1192"/>
      <c r="W838" s="1191"/>
      <c r="X838" s="1191"/>
      <c r="Y838" s="1191"/>
      <c r="Z838" s="1191"/>
    </row>
    <row r="839" spans="1:26" ht="15.75" customHeight="1">
      <c r="A839" s="1191"/>
      <c r="B839" s="1191"/>
      <c r="C839" s="1191"/>
      <c r="D839" s="1191"/>
      <c r="E839" s="1191"/>
      <c r="F839" s="1191"/>
      <c r="G839" s="1191"/>
      <c r="H839" s="1191"/>
      <c r="I839" s="1191"/>
      <c r="J839" s="1191"/>
      <c r="K839" s="1191"/>
      <c r="L839" s="1191"/>
      <c r="M839" s="1191"/>
      <c r="N839" s="1191"/>
      <c r="O839" s="1191"/>
      <c r="P839" s="1191"/>
      <c r="Q839" s="1191"/>
      <c r="R839" s="1191"/>
      <c r="S839" s="1191"/>
      <c r="T839" s="1191"/>
      <c r="U839" s="1191"/>
      <c r="V839" s="1192"/>
      <c r="W839" s="1191"/>
      <c r="X839" s="1191"/>
      <c r="Y839" s="1191"/>
      <c r="Z839" s="1191"/>
    </row>
    <row r="840" spans="1:26" ht="15.75" customHeight="1">
      <c r="A840" s="1191"/>
      <c r="B840" s="1191"/>
      <c r="C840" s="1191"/>
      <c r="D840" s="1191"/>
      <c r="E840" s="1191"/>
      <c r="F840" s="1191"/>
      <c r="G840" s="1191"/>
      <c r="H840" s="1191"/>
      <c r="I840" s="1191"/>
      <c r="J840" s="1191"/>
      <c r="K840" s="1191"/>
      <c r="L840" s="1191"/>
      <c r="M840" s="1191"/>
      <c r="N840" s="1191"/>
      <c r="O840" s="1191"/>
      <c r="P840" s="1191"/>
      <c r="Q840" s="1191"/>
      <c r="R840" s="1191"/>
      <c r="S840" s="1191"/>
      <c r="T840" s="1191"/>
      <c r="U840" s="1191"/>
      <c r="V840" s="1192"/>
      <c r="W840" s="1191"/>
      <c r="X840" s="1191"/>
      <c r="Y840" s="1191"/>
      <c r="Z840" s="1191"/>
    </row>
    <row r="841" spans="1:26" ht="15.75" customHeight="1">
      <c r="A841" s="1191"/>
      <c r="B841" s="1191"/>
      <c r="C841" s="1191"/>
      <c r="D841" s="1191"/>
      <c r="E841" s="1191"/>
      <c r="F841" s="1191"/>
      <c r="G841" s="1191"/>
      <c r="H841" s="1191"/>
      <c r="I841" s="1191"/>
      <c r="J841" s="1191"/>
      <c r="K841" s="1191"/>
      <c r="L841" s="1191"/>
      <c r="M841" s="1191"/>
      <c r="N841" s="1191"/>
      <c r="O841" s="1191"/>
      <c r="P841" s="1191"/>
      <c r="Q841" s="1191"/>
      <c r="R841" s="1191"/>
      <c r="S841" s="1191"/>
      <c r="T841" s="1191"/>
      <c r="U841" s="1191"/>
      <c r="V841" s="1192"/>
      <c r="W841" s="1191"/>
      <c r="X841" s="1191"/>
      <c r="Y841" s="1191"/>
      <c r="Z841" s="1191"/>
    </row>
    <row r="842" spans="1:26" ht="15.75" customHeight="1">
      <c r="A842" s="1191"/>
      <c r="B842" s="1191"/>
      <c r="C842" s="1191"/>
      <c r="D842" s="1191"/>
      <c r="E842" s="1191"/>
      <c r="F842" s="1191"/>
      <c r="G842" s="1191"/>
      <c r="H842" s="1191"/>
      <c r="I842" s="1191"/>
      <c r="J842" s="1191"/>
      <c r="K842" s="1191"/>
      <c r="L842" s="1191"/>
      <c r="M842" s="1191"/>
      <c r="N842" s="1191"/>
      <c r="O842" s="1191"/>
      <c r="P842" s="1191"/>
      <c r="Q842" s="1191"/>
      <c r="R842" s="1191"/>
      <c r="S842" s="1191"/>
      <c r="T842" s="1191"/>
      <c r="U842" s="1191"/>
      <c r="V842" s="1192"/>
      <c r="W842" s="1191"/>
      <c r="X842" s="1191"/>
      <c r="Y842" s="1191"/>
      <c r="Z842" s="1191"/>
    </row>
    <row r="843" spans="1:26" ht="15.75" customHeight="1">
      <c r="A843" s="1191"/>
      <c r="B843" s="1191"/>
      <c r="C843" s="1191"/>
      <c r="D843" s="1191"/>
      <c r="E843" s="1191"/>
      <c r="F843" s="1191"/>
      <c r="G843" s="1191"/>
      <c r="H843" s="1191"/>
      <c r="I843" s="1191"/>
      <c r="J843" s="1191"/>
      <c r="K843" s="1191"/>
      <c r="L843" s="1191"/>
      <c r="M843" s="1191"/>
      <c r="N843" s="1191"/>
      <c r="O843" s="1191"/>
      <c r="P843" s="1191"/>
      <c r="Q843" s="1191"/>
      <c r="R843" s="1191"/>
      <c r="S843" s="1191"/>
      <c r="T843" s="1191"/>
      <c r="U843" s="1191"/>
      <c r="V843" s="1192"/>
      <c r="W843" s="1191"/>
      <c r="X843" s="1191"/>
      <c r="Y843" s="1191"/>
      <c r="Z843" s="1191"/>
    </row>
    <row r="844" spans="1:26" ht="15.75" customHeight="1">
      <c r="A844" s="1191"/>
      <c r="B844" s="1191"/>
      <c r="C844" s="1191"/>
      <c r="D844" s="1191"/>
      <c r="E844" s="1191"/>
      <c r="F844" s="1191"/>
      <c r="G844" s="1191"/>
      <c r="H844" s="1191"/>
      <c r="I844" s="1191"/>
      <c r="J844" s="1191"/>
      <c r="K844" s="1191"/>
      <c r="L844" s="1191"/>
      <c r="M844" s="1191"/>
      <c r="N844" s="1191"/>
      <c r="O844" s="1191"/>
      <c r="P844" s="1191"/>
      <c r="Q844" s="1191"/>
      <c r="R844" s="1191"/>
      <c r="S844" s="1191"/>
      <c r="T844" s="1191"/>
      <c r="U844" s="1191"/>
      <c r="V844" s="1192"/>
      <c r="W844" s="1191"/>
      <c r="X844" s="1191"/>
      <c r="Y844" s="1191"/>
      <c r="Z844" s="1191"/>
    </row>
    <row r="845" spans="1:26" ht="15.75" customHeight="1">
      <c r="A845" s="1191"/>
      <c r="B845" s="1191"/>
      <c r="C845" s="1191"/>
      <c r="D845" s="1191"/>
      <c r="E845" s="1191"/>
      <c r="F845" s="1191"/>
      <c r="G845" s="1191"/>
      <c r="H845" s="1191"/>
      <c r="I845" s="1191"/>
      <c r="J845" s="1191"/>
      <c r="K845" s="1191"/>
      <c r="L845" s="1191"/>
      <c r="M845" s="1191"/>
      <c r="N845" s="1191"/>
      <c r="O845" s="1191"/>
      <c r="P845" s="1191"/>
      <c r="Q845" s="1191"/>
      <c r="R845" s="1191"/>
      <c r="S845" s="1191"/>
      <c r="T845" s="1191"/>
      <c r="U845" s="1191"/>
      <c r="V845" s="1192"/>
      <c r="W845" s="1191"/>
      <c r="X845" s="1191"/>
      <c r="Y845" s="1191"/>
      <c r="Z845" s="1191"/>
    </row>
    <row r="846" spans="1:26" ht="15.75" customHeight="1">
      <c r="A846" s="1191"/>
      <c r="B846" s="1191"/>
      <c r="C846" s="1191"/>
      <c r="D846" s="1191"/>
      <c r="E846" s="1191"/>
      <c r="F846" s="1191"/>
      <c r="G846" s="1191"/>
      <c r="H846" s="1191"/>
      <c r="I846" s="1191"/>
      <c r="J846" s="1191"/>
      <c r="K846" s="1191"/>
      <c r="L846" s="1191"/>
      <c r="M846" s="1191"/>
      <c r="N846" s="1191"/>
      <c r="O846" s="1191"/>
      <c r="P846" s="1191"/>
      <c r="Q846" s="1191"/>
      <c r="R846" s="1191"/>
      <c r="S846" s="1191"/>
      <c r="T846" s="1191"/>
      <c r="U846" s="1191"/>
      <c r="V846" s="1192"/>
      <c r="W846" s="1191"/>
      <c r="X846" s="1191"/>
      <c r="Y846" s="1191"/>
      <c r="Z846" s="1191"/>
    </row>
    <row r="847" spans="1:26" ht="15.75" customHeight="1">
      <c r="A847" s="1191"/>
      <c r="B847" s="1191"/>
      <c r="C847" s="1191"/>
      <c r="D847" s="1191"/>
      <c r="E847" s="1191"/>
      <c r="F847" s="1191"/>
      <c r="G847" s="1191"/>
      <c r="H847" s="1191"/>
      <c r="I847" s="1191"/>
      <c r="J847" s="1191"/>
      <c r="K847" s="1191"/>
      <c r="L847" s="1191"/>
      <c r="M847" s="1191"/>
      <c r="N847" s="1191"/>
      <c r="O847" s="1191"/>
      <c r="P847" s="1191"/>
      <c r="Q847" s="1191"/>
      <c r="R847" s="1191"/>
      <c r="S847" s="1191"/>
      <c r="T847" s="1191"/>
      <c r="U847" s="1191"/>
      <c r="V847" s="1192"/>
      <c r="W847" s="1191"/>
      <c r="X847" s="1191"/>
      <c r="Y847" s="1191"/>
      <c r="Z847" s="1191"/>
    </row>
    <row r="848" spans="1:26" ht="15.75" customHeight="1">
      <c r="A848" s="1191"/>
      <c r="B848" s="1191"/>
      <c r="C848" s="1191"/>
      <c r="D848" s="1191"/>
      <c r="E848" s="1191"/>
      <c r="F848" s="1191"/>
      <c r="G848" s="1191"/>
      <c r="H848" s="1191"/>
      <c r="I848" s="1191"/>
      <c r="J848" s="1191"/>
      <c r="K848" s="1191"/>
      <c r="L848" s="1191"/>
      <c r="M848" s="1191"/>
      <c r="N848" s="1191"/>
      <c r="O848" s="1191"/>
      <c r="P848" s="1191"/>
      <c r="Q848" s="1191"/>
      <c r="R848" s="1191"/>
      <c r="S848" s="1191"/>
      <c r="T848" s="1191"/>
      <c r="U848" s="1191"/>
      <c r="V848" s="1192"/>
      <c r="W848" s="1191"/>
      <c r="X848" s="1191"/>
      <c r="Y848" s="1191"/>
      <c r="Z848" s="1191"/>
    </row>
    <row r="849" spans="1:26" ht="15.75" customHeight="1">
      <c r="A849" s="1191"/>
      <c r="B849" s="1191"/>
      <c r="C849" s="1191"/>
      <c r="D849" s="1191"/>
      <c r="E849" s="1191"/>
      <c r="F849" s="1191"/>
      <c r="G849" s="1191"/>
      <c r="H849" s="1191"/>
      <c r="I849" s="1191"/>
      <c r="J849" s="1191"/>
      <c r="K849" s="1191"/>
      <c r="L849" s="1191"/>
      <c r="M849" s="1191"/>
      <c r="N849" s="1191"/>
      <c r="O849" s="1191"/>
      <c r="P849" s="1191"/>
      <c r="Q849" s="1191"/>
      <c r="R849" s="1191"/>
      <c r="S849" s="1191"/>
      <c r="T849" s="1191"/>
      <c r="U849" s="1191"/>
      <c r="V849" s="1192"/>
      <c r="W849" s="1191"/>
      <c r="X849" s="1191"/>
      <c r="Y849" s="1191"/>
      <c r="Z849" s="1191"/>
    </row>
    <row r="850" spans="1:26" ht="15.75" customHeight="1">
      <c r="A850" s="1191"/>
      <c r="B850" s="1191"/>
      <c r="C850" s="1191"/>
      <c r="D850" s="1191"/>
      <c r="E850" s="1191"/>
      <c r="F850" s="1191"/>
      <c r="G850" s="1191"/>
      <c r="H850" s="1191"/>
      <c r="I850" s="1191"/>
      <c r="J850" s="1191"/>
      <c r="K850" s="1191"/>
      <c r="L850" s="1191"/>
      <c r="M850" s="1191"/>
      <c r="N850" s="1191"/>
      <c r="O850" s="1191"/>
      <c r="P850" s="1191"/>
      <c r="Q850" s="1191"/>
      <c r="R850" s="1191"/>
      <c r="S850" s="1191"/>
      <c r="T850" s="1191"/>
      <c r="U850" s="1191"/>
      <c r="V850" s="1192"/>
      <c r="W850" s="1191"/>
      <c r="X850" s="1191"/>
      <c r="Y850" s="1191"/>
      <c r="Z850" s="1191"/>
    </row>
    <row r="851" spans="1:26" ht="15.75" customHeight="1">
      <c r="A851" s="1191"/>
      <c r="B851" s="1191"/>
      <c r="C851" s="1191"/>
      <c r="D851" s="1191"/>
      <c r="E851" s="1191"/>
      <c r="F851" s="1191"/>
      <c r="G851" s="1191"/>
      <c r="H851" s="1191"/>
      <c r="I851" s="1191"/>
      <c r="J851" s="1191"/>
      <c r="K851" s="1191"/>
      <c r="L851" s="1191"/>
      <c r="M851" s="1191"/>
      <c r="N851" s="1191"/>
      <c r="O851" s="1191"/>
      <c r="P851" s="1191"/>
      <c r="Q851" s="1191"/>
      <c r="R851" s="1191"/>
      <c r="S851" s="1191"/>
      <c r="T851" s="1191"/>
      <c r="U851" s="1191"/>
      <c r="V851" s="1192"/>
      <c r="W851" s="1191"/>
      <c r="X851" s="1191"/>
      <c r="Y851" s="1191"/>
      <c r="Z851" s="1191"/>
    </row>
    <row r="852" spans="1:26" ht="15.75" customHeight="1">
      <c r="A852" s="1191"/>
      <c r="B852" s="1191"/>
      <c r="C852" s="1191"/>
      <c r="D852" s="1191"/>
      <c r="E852" s="1191"/>
      <c r="F852" s="1191"/>
      <c r="G852" s="1191"/>
      <c r="H852" s="1191"/>
      <c r="I852" s="1191"/>
      <c r="J852" s="1191"/>
      <c r="K852" s="1191"/>
      <c r="L852" s="1191"/>
      <c r="M852" s="1191"/>
      <c r="N852" s="1191"/>
      <c r="O852" s="1191"/>
      <c r="P852" s="1191"/>
      <c r="Q852" s="1191"/>
      <c r="R852" s="1191"/>
      <c r="S852" s="1191"/>
      <c r="T852" s="1191"/>
      <c r="U852" s="1191"/>
      <c r="V852" s="1192"/>
      <c r="W852" s="1191"/>
      <c r="X852" s="1191"/>
      <c r="Y852" s="1191"/>
      <c r="Z852" s="1191"/>
    </row>
    <row r="853" spans="1:26" ht="15.75" customHeight="1">
      <c r="A853" s="1191"/>
      <c r="B853" s="1191"/>
      <c r="C853" s="1191"/>
      <c r="D853" s="1191"/>
      <c r="E853" s="1191"/>
      <c r="F853" s="1191"/>
      <c r="G853" s="1191"/>
      <c r="H853" s="1191"/>
      <c r="I853" s="1191"/>
      <c r="J853" s="1191"/>
      <c r="K853" s="1191"/>
      <c r="L853" s="1191"/>
      <c r="M853" s="1191"/>
      <c r="N853" s="1191"/>
      <c r="O853" s="1191"/>
      <c r="P853" s="1191"/>
      <c r="Q853" s="1191"/>
      <c r="R853" s="1191"/>
      <c r="S853" s="1191"/>
      <c r="T853" s="1191"/>
      <c r="U853" s="1191"/>
      <c r="V853" s="1192"/>
      <c r="W853" s="1191"/>
      <c r="X853" s="1191"/>
      <c r="Y853" s="1191"/>
      <c r="Z853" s="1191"/>
    </row>
    <row r="854" spans="1:26" ht="15.75" customHeight="1">
      <c r="A854" s="1191"/>
      <c r="B854" s="1191"/>
      <c r="C854" s="1191"/>
      <c r="D854" s="1191"/>
      <c r="E854" s="1191"/>
      <c r="F854" s="1191"/>
      <c r="G854" s="1191"/>
      <c r="H854" s="1191"/>
      <c r="I854" s="1191"/>
      <c r="J854" s="1191"/>
      <c r="K854" s="1191"/>
      <c r="L854" s="1191"/>
      <c r="M854" s="1191"/>
      <c r="N854" s="1191"/>
      <c r="O854" s="1191"/>
      <c r="P854" s="1191"/>
      <c r="Q854" s="1191"/>
      <c r="R854" s="1191"/>
      <c r="S854" s="1191"/>
      <c r="T854" s="1191"/>
      <c r="U854" s="1191"/>
      <c r="V854" s="1192"/>
      <c r="W854" s="1191"/>
      <c r="X854" s="1191"/>
      <c r="Y854" s="1191"/>
      <c r="Z854" s="1191"/>
    </row>
    <row r="855" spans="1:26" ht="15.75" customHeight="1">
      <c r="A855" s="1191"/>
      <c r="B855" s="1191"/>
      <c r="C855" s="1191"/>
      <c r="D855" s="1191"/>
      <c r="E855" s="1191"/>
      <c r="F855" s="1191"/>
      <c r="G855" s="1191"/>
      <c r="H855" s="1191"/>
      <c r="I855" s="1191"/>
      <c r="J855" s="1191"/>
      <c r="K855" s="1191"/>
      <c r="L855" s="1191"/>
      <c r="M855" s="1191"/>
      <c r="N855" s="1191"/>
      <c r="O855" s="1191"/>
      <c r="P855" s="1191"/>
      <c r="Q855" s="1191"/>
      <c r="R855" s="1191"/>
      <c r="S855" s="1191"/>
      <c r="T855" s="1191"/>
      <c r="U855" s="1191"/>
      <c r="V855" s="1192"/>
      <c r="W855" s="1191"/>
      <c r="X855" s="1191"/>
      <c r="Y855" s="1191"/>
      <c r="Z855" s="1191"/>
    </row>
    <row r="856" spans="1:26" ht="15.75" customHeight="1">
      <c r="A856" s="1191"/>
      <c r="B856" s="1191"/>
      <c r="C856" s="1191"/>
      <c r="D856" s="1191"/>
      <c r="E856" s="1191"/>
      <c r="F856" s="1191"/>
      <c r="G856" s="1191"/>
      <c r="H856" s="1191"/>
      <c r="I856" s="1191"/>
      <c r="J856" s="1191"/>
      <c r="K856" s="1191"/>
      <c r="L856" s="1191"/>
      <c r="M856" s="1191"/>
      <c r="N856" s="1191"/>
      <c r="O856" s="1191"/>
      <c r="P856" s="1191"/>
      <c r="Q856" s="1191"/>
      <c r="R856" s="1191"/>
      <c r="S856" s="1191"/>
      <c r="T856" s="1191"/>
      <c r="U856" s="1191"/>
      <c r="V856" s="1192"/>
      <c r="W856" s="1191"/>
      <c r="X856" s="1191"/>
      <c r="Y856" s="1191"/>
      <c r="Z856" s="1191"/>
    </row>
    <row r="857" spans="1:26" ht="15.75" customHeight="1">
      <c r="A857" s="1191"/>
      <c r="B857" s="1191"/>
      <c r="C857" s="1191"/>
      <c r="D857" s="1191"/>
      <c r="E857" s="1191"/>
      <c r="F857" s="1191"/>
      <c r="G857" s="1191"/>
      <c r="H857" s="1191"/>
      <c r="I857" s="1191"/>
      <c r="J857" s="1191"/>
      <c r="K857" s="1191"/>
      <c r="L857" s="1191"/>
      <c r="M857" s="1191"/>
      <c r="N857" s="1191"/>
      <c r="O857" s="1191"/>
      <c r="P857" s="1191"/>
      <c r="Q857" s="1191"/>
      <c r="R857" s="1191"/>
      <c r="S857" s="1191"/>
      <c r="T857" s="1191"/>
      <c r="U857" s="1191"/>
      <c r="V857" s="1192"/>
      <c r="W857" s="1191"/>
      <c r="X857" s="1191"/>
      <c r="Y857" s="1191"/>
      <c r="Z857" s="1191"/>
    </row>
    <row r="858" spans="1:26" ht="15.75" customHeight="1">
      <c r="A858" s="1191"/>
      <c r="B858" s="1191"/>
      <c r="C858" s="1191"/>
      <c r="D858" s="1191"/>
      <c r="E858" s="1191"/>
      <c r="F858" s="1191"/>
      <c r="G858" s="1191"/>
      <c r="H858" s="1191"/>
      <c r="I858" s="1191"/>
      <c r="J858" s="1191"/>
      <c r="K858" s="1191"/>
      <c r="L858" s="1191"/>
      <c r="M858" s="1191"/>
      <c r="N858" s="1191"/>
      <c r="O858" s="1191"/>
      <c r="P858" s="1191"/>
      <c r="Q858" s="1191"/>
      <c r="R858" s="1191"/>
      <c r="S858" s="1191"/>
      <c r="T858" s="1191"/>
      <c r="U858" s="1191"/>
      <c r="V858" s="1192"/>
      <c r="W858" s="1191"/>
      <c r="X858" s="1191"/>
      <c r="Y858" s="1191"/>
      <c r="Z858" s="1191"/>
    </row>
    <row r="859" spans="1:26" ht="15.75" customHeight="1">
      <c r="A859" s="1191"/>
      <c r="B859" s="1191"/>
      <c r="C859" s="1191"/>
      <c r="D859" s="1191"/>
      <c r="E859" s="1191"/>
      <c r="F859" s="1191"/>
      <c r="G859" s="1191"/>
      <c r="H859" s="1191"/>
      <c r="I859" s="1191"/>
      <c r="J859" s="1191"/>
      <c r="K859" s="1191"/>
      <c r="L859" s="1191"/>
      <c r="M859" s="1191"/>
      <c r="N859" s="1191"/>
      <c r="O859" s="1191"/>
      <c r="P859" s="1191"/>
      <c r="Q859" s="1191"/>
      <c r="R859" s="1191"/>
      <c r="S859" s="1191"/>
      <c r="T859" s="1191"/>
      <c r="U859" s="1191"/>
      <c r="V859" s="1192"/>
      <c r="W859" s="1191"/>
      <c r="X859" s="1191"/>
      <c r="Y859" s="1191"/>
      <c r="Z859" s="1191"/>
    </row>
    <row r="860" spans="1:26" ht="15.75" customHeight="1">
      <c r="A860" s="1191"/>
      <c r="B860" s="1191"/>
      <c r="C860" s="1191"/>
      <c r="D860" s="1191"/>
      <c r="E860" s="1191"/>
      <c r="F860" s="1191"/>
      <c r="G860" s="1191"/>
      <c r="H860" s="1191"/>
      <c r="I860" s="1191"/>
      <c r="J860" s="1191"/>
      <c r="K860" s="1191"/>
      <c r="L860" s="1191"/>
      <c r="M860" s="1191"/>
      <c r="N860" s="1191"/>
      <c r="O860" s="1191"/>
      <c r="P860" s="1191"/>
      <c r="Q860" s="1191"/>
      <c r="R860" s="1191"/>
      <c r="S860" s="1191"/>
      <c r="T860" s="1191"/>
      <c r="U860" s="1191"/>
      <c r="V860" s="1192"/>
      <c r="W860" s="1191"/>
      <c r="X860" s="1191"/>
      <c r="Y860" s="1191"/>
      <c r="Z860" s="1191"/>
    </row>
    <row r="861" spans="1:26" ht="15.75" customHeight="1">
      <c r="A861" s="1191"/>
      <c r="B861" s="1191"/>
      <c r="C861" s="1191"/>
      <c r="D861" s="1191"/>
      <c r="E861" s="1191"/>
      <c r="F861" s="1191"/>
      <c r="G861" s="1191"/>
      <c r="H861" s="1191"/>
      <c r="I861" s="1191"/>
      <c r="J861" s="1191"/>
      <c r="K861" s="1191"/>
      <c r="L861" s="1191"/>
      <c r="M861" s="1191"/>
      <c r="N861" s="1191"/>
      <c r="O861" s="1191"/>
      <c r="P861" s="1191"/>
      <c r="Q861" s="1191"/>
      <c r="R861" s="1191"/>
      <c r="S861" s="1191"/>
      <c r="T861" s="1191"/>
      <c r="U861" s="1191"/>
      <c r="V861" s="1192"/>
      <c r="W861" s="1191"/>
      <c r="X861" s="1191"/>
      <c r="Y861" s="1191"/>
      <c r="Z861" s="1191"/>
    </row>
    <row r="862" spans="1:26" ht="15.75" customHeight="1">
      <c r="A862" s="1191"/>
      <c r="B862" s="1191"/>
      <c r="C862" s="1191"/>
      <c r="D862" s="1191"/>
      <c r="E862" s="1191"/>
      <c r="F862" s="1191"/>
      <c r="G862" s="1191"/>
      <c r="H862" s="1191"/>
      <c r="I862" s="1191"/>
      <c r="J862" s="1191"/>
      <c r="K862" s="1191"/>
      <c r="L862" s="1191"/>
      <c r="M862" s="1191"/>
      <c r="N862" s="1191"/>
      <c r="O862" s="1191"/>
      <c r="P862" s="1191"/>
      <c r="Q862" s="1191"/>
      <c r="R862" s="1191"/>
      <c r="S862" s="1191"/>
      <c r="T862" s="1191"/>
      <c r="U862" s="1191"/>
      <c r="V862" s="1192"/>
      <c r="W862" s="1191"/>
      <c r="X862" s="1191"/>
      <c r="Y862" s="1191"/>
      <c r="Z862" s="1191"/>
    </row>
    <row r="863" spans="1:26" ht="15.75" customHeight="1">
      <c r="A863" s="1191"/>
      <c r="B863" s="1191"/>
      <c r="C863" s="1191"/>
      <c r="D863" s="1191"/>
      <c r="E863" s="1191"/>
      <c r="F863" s="1191"/>
      <c r="G863" s="1191"/>
      <c r="H863" s="1191"/>
      <c r="I863" s="1191"/>
      <c r="J863" s="1191"/>
      <c r="K863" s="1191"/>
      <c r="L863" s="1191"/>
      <c r="M863" s="1191"/>
      <c r="N863" s="1191"/>
      <c r="O863" s="1191"/>
      <c r="P863" s="1191"/>
      <c r="Q863" s="1191"/>
      <c r="R863" s="1191"/>
      <c r="S863" s="1191"/>
      <c r="T863" s="1191"/>
      <c r="U863" s="1191"/>
      <c r="V863" s="1192"/>
      <c r="W863" s="1191"/>
      <c r="X863" s="1191"/>
      <c r="Y863" s="1191"/>
      <c r="Z863" s="1191"/>
    </row>
    <row r="864" spans="1:26" ht="15.75" customHeight="1">
      <c r="A864" s="1191"/>
      <c r="B864" s="1191"/>
      <c r="C864" s="1191"/>
      <c r="D864" s="1191"/>
      <c r="E864" s="1191"/>
      <c r="F864" s="1191"/>
      <c r="G864" s="1191"/>
      <c r="H864" s="1191"/>
      <c r="I864" s="1191"/>
      <c r="J864" s="1191"/>
      <c r="K864" s="1191"/>
      <c r="L864" s="1191"/>
      <c r="M864" s="1191"/>
      <c r="N864" s="1191"/>
      <c r="O864" s="1191"/>
      <c r="P864" s="1191"/>
      <c r="Q864" s="1191"/>
      <c r="R864" s="1191"/>
      <c r="S864" s="1191"/>
      <c r="T864" s="1191"/>
      <c r="U864" s="1191"/>
      <c r="V864" s="1192"/>
      <c r="W864" s="1191"/>
      <c r="X864" s="1191"/>
      <c r="Y864" s="1191"/>
      <c r="Z864" s="1191"/>
    </row>
    <row r="865" spans="1:26" ht="15.75" customHeight="1">
      <c r="A865" s="1191"/>
      <c r="B865" s="1191"/>
      <c r="C865" s="1191"/>
      <c r="D865" s="1191"/>
      <c r="E865" s="1191"/>
      <c r="F865" s="1191"/>
      <c r="G865" s="1191"/>
      <c r="H865" s="1191"/>
      <c r="I865" s="1191"/>
      <c r="J865" s="1191"/>
      <c r="K865" s="1191"/>
      <c r="L865" s="1191"/>
      <c r="M865" s="1191"/>
      <c r="N865" s="1191"/>
      <c r="O865" s="1191"/>
      <c r="P865" s="1191"/>
      <c r="Q865" s="1191"/>
      <c r="R865" s="1191"/>
      <c r="S865" s="1191"/>
      <c r="T865" s="1191"/>
      <c r="U865" s="1191"/>
      <c r="V865" s="1192"/>
      <c r="W865" s="1191"/>
      <c r="X865" s="1191"/>
      <c r="Y865" s="1191"/>
      <c r="Z865" s="1191"/>
    </row>
    <row r="866" spans="1:26" ht="15.75" customHeight="1">
      <c r="A866" s="1191"/>
      <c r="B866" s="1191"/>
      <c r="C866" s="1191"/>
      <c r="D866" s="1191"/>
      <c r="E866" s="1191"/>
      <c r="F866" s="1191"/>
      <c r="G866" s="1191"/>
      <c r="H866" s="1191"/>
      <c r="I866" s="1191"/>
      <c r="J866" s="1191"/>
      <c r="K866" s="1191"/>
      <c r="L866" s="1191"/>
      <c r="M866" s="1191"/>
      <c r="N866" s="1191"/>
      <c r="O866" s="1191"/>
      <c r="P866" s="1191"/>
      <c r="Q866" s="1191"/>
      <c r="R866" s="1191"/>
      <c r="S866" s="1191"/>
      <c r="T866" s="1191"/>
      <c r="U866" s="1191"/>
      <c r="V866" s="1192"/>
      <c r="W866" s="1191"/>
      <c r="X866" s="1191"/>
      <c r="Y866" s="1191"/>
      <c r="Z866" s="1191"/>
    </row>
    <row r="867" spans="1:26" ht="15.75" customHeight="1">
      <c r="A867" s="1191"/>
      <c r="B867" s="1191"/>
      <c r="C867" s="1191"/>
      <c r="D867" s="1191"/>
      <c r="E867" s="1191"/>
      <c r="F867" s="1191"/>
      <c r="G867" s="1191"/>
      <c r="H867" s="1191"/>
      <c r="I867" s="1191"/>
      <c r="J867" s="1191"/>
      <c r="K867" s="1191"/>
      <c r="L867" s="1191"/>
      <c r="M867" s="1191"/>
      <c r="N867" s="1191"/>
      <c r="O867" s="1191"/>
      <c r="P867" s="1191"/>
      <c r="Q867" s="1191"/>
      <c r="R867" s="1191"/>
      <c r="S867" s="1191"/>
      <c r="T867" s="1191"/>
      <c r="U867" s="1191"/>
      <c r="V867" s="1192"/>
      <c r="W867" s="1191"/>
      <c r="X867" s="1191"/>
      <c r="Y867" s="1191"/>
      <c r="Z867" s="1191"/>
    </row>
    <row r="868" spans="1:26" ht="15.75" customHeight="1">
      <c r="A868" s="1191"/>
      <c r="B868" s="1191"/>
      <c r="C868" s="1191"/>
      <c r="D868" s="1191"/>
      <c r="E868" s="1191"/>
      <c r="F868" s="1191"/>
      <c r="G868" s="1191"/>
      <c r="H868" s="1191"/>
      <c r="I868" s="1191"/>
      <c r="J868" s="1191"/>
      <c r="K868" s="1191"/>
      <c r="L868" s="1191"/>
      <c r="M868" s="1191"/>
      <c r="N868" s="1191"/>
      <c r="O868" s="1191"/>
      <c r="P868" s="1191"/>
      <c r="Q868" s="1191"/>
      <c r="R868" s="1191"/>
      <c r="S868" s="1191"/>
      <c r="T868" s="1191"/>
      <c r="U868" s="1191"/>
      <c r="V868" s="1192"/>
      <c r="W868" s="1191"/>
      <c r="X868" s="1191"/>
      <c r="Y868" s="1191"/>
      <c r="Z868" s="1191"/>
    </row>
    <row r="869" spans="1:26" ht="15.75" customHeight="1">
      <c r="A869" s="1191"/>
      <c r="B869" s="1191"/>
      <c r="C869" s="1191"/>
      <c r="D869" s="1191"/>
      <c r="E869" s="1191"/>
      <c r="F869" s="1191"/>
      <c r="G869" s="1191"/>
      <c r="H869" s="1191"/>
      <c r="I869" s="1191"/>
      <c r="J869" s="1191"/>
      <c r="K869" s="1191"/>
      <c r="L869" s="1191"/>
      <c r="M869" s="1191"/>
      <c r="N869" s="1191"/>
      <c r="O869" s="1191"/>
      <c r="P869" s="1191"/>
      <c r="Q869" s="1191"/>
      <c r="R869" s="1191"/>
      <c r="S869" s="1191"/>
      <c r="T869" s="1191"/>
      <c r="U869" s="1191"/>
      <c r="V869" s="1192"/>
      <c r="W869" s="1191"/>
      <c r="X869" s="1191"/>
      <c r="Y869" s="1191"/>
      <c r="Z869" s="1191"/>
    </row>
    <row r="870" spans="1:26" ht="15.75" customHeight="1">
      <c r="A870" s="1191"/>
      <c r="B870" s="1191"/>
      <c r="C870" s="1191"/>
      <c r="D870" s="1191"/>
      <c r="E870" s="1191"/>
      <c r="F870" s="1191"/>
      <c r="G870" s="1191"/>
      <c r="H870" s="1191"/>
      <c r="I870" s="1191"/>
      <c r="J870" s="1191"/>
      <c r="K870" s="1191"/>
      <c r="L870" s="1191"/>
      <c r="M870" s="1191"/>
      <c r="N870" s="1191"/>
      <c r="O870" s="1191"/>
      <c r="P870" s="1191"/>
      <c r="Q870" s="1191"/>
      <c r="R870" s="1191"/>
      <c r="S870" s="1191"/>
      <c r="T870" s="1191"/>
      <c r="U870" s="1191"/>
      <c r="V870" s="1192"/>
      <c r="W870" s="1191"/>
      <c r="X870" s="1191"/>
      <c r="Y870" s="1191"/>
      <c r="Z870" s="1191"/>
    </row>
    <row r="871" spans="1:26" ht="15.75" customHeight="1">
      <c r="A871" s="1191"/>
      <c r="B871" s="1191"/>
      <c r="C871" s="1191"/>
      <c r="D871" s="1191"/>
      <c r="E871" s="1191"/>
      <c r="F871" s="1191"/>
      <c r="G871" s="1191"/>
      <c r="H871" s="1191"/>
      <c r="I871" s="1191"/>
      <c r="J871" s="1191"/>
      <c r="K871" s="1191"/>
      <c r="L871" s="1191"/>
      <c r="M871" s="1191"/>
      <c r="N871" s="1191"/>
      <c r="O871" s="1191"/>
      <c r="P871" s="1191"/>
      <c r="Q871" s="1191"/>
      <c r="R871" s="1191"/>
      <c r="S871" s="1191"/>
      <c r="T871" s="1191"/>
      <c r="U871" s="1191"/>
      <c r="V871" s="1192"/>
      <c r="W871" s="1191"/>
      <c r="X871" s="1191"/>
      <c r="Y871" s="1191"/>
      <c r="Z871" s="1191"/>
    </row>
    <row r="872" spans="1:26" ht="15.75" customHeight="1">
      <c r="A872" s="1191"/>
      <c r="B872" s="1191"/>
      <c r="C872" s="1191"/>
      <c r="D872" s="1191"/>
      <c r="E872" s="1191"/>
      <c r="F872" s="1191"/>
      <c r="G872" s="1191"/>
      <c r="H872" s="1191"/>
      <c r="I872" s="1191"/>
      <c r="J872" s="1191"/>
      <c r="K872" s="1191"/>
      <c r="L872" s="1191"/>
      <c r="M872" s="1191"/>
      <c r="N872" s="1191"/>
      <c r="O872" s="1191"/>
      <c r="P872" s="1191"/>
      <c r="Q872" s="1191"/>
      <c r="R872" s="1191"/>
      <c r="S872" s="1191"/>
      <c r="T872" s="1191"/>
      <c r="U872" s="1191"/>
      <c r="V872" s="1192"/>
      <c r="W872" s="1191"/>
      <c r="X872" s="1191"/>
      <c r="Y872" s="1191"/>
      <c r="Z872" s="1191"/>
    </row>
    <row r="873" spans="1:26" ht="15.75" customHeight="1">
      <c r="A873" s="1191"/>
      <c r="B873" s="1191"/>
      <c r="C873" s="1191"/>
      <c r="D873" s="1191"/>
      <c r="E873" s="1191"/>
      <c r="F873" s="1191"/>
      <c r="G873" s="1191"/>
      <c r="H873" s="1191"/>
      <c r="I873" s="1191"/>
      <c r="J873" s="1191"/>
      <c r="K873" s="1191"/>
      <c r="L873" s="1191"/>
      <c r="M873" s="1191"/>
      <c r="N873" s="1191"/>
      <c r="O873" s="1191"/>
      <c r="P873" s="1191"/>
      <c r="Q873" s="1191"/>
      <c r="R873" s="1191"/>
      <c r="S873" s="1191"/>
      <c r="T873" s="1191"/>
      <c r="U873" s="1191"/>
      <c r="V873" s="1192"/>
      <c r="W873" s="1191"/>
      <c r="X873" s="1191"/>
      <c r="Y873" s="1191"/>
      <c r="Z873" s="1191"/>
    </row>
    <row r="874" spans="1:26" ht="15.75" customHeight="1">
      <c r="A874" s="1191"/>
      <c r="B874" s="1191"/>
      <c r="C874" s="1191"/>
      <c r="D874" s="1191"/>
      <c r="E874" s="1191"/>
      <c r="F874" s="1191"/>
      <c r="G874" s="1191"/>
      <c r="H874" s="1191"/>
      <c r="I874" s="1191"/>
      <c r="J874" s="1191"/>
      <c r="K874" s="1191"/>
      <c r="L874" s="1191"/>
      <c r="M874" s="1191"/>
      <c r="N874" s="1191"/>
      <c r="O874" s="1191"/>
      <c r="P874" s="1191"/>
      <c r="Q874" s="1191"/>
      <c r="R874" s="1191"/>
      <c r="S874" s="1191"/>
      <c r="T874" s="1191"/>
      <c r="U874" s="1191"/>
      <c r="V874" s="1192"/>
      <c r="W874" s="1191"/>
      <c r="X874" s="1191"/>
      <c r="Y874" s="1191"/>
      <c r="Z874" s="1191"/>
    </row>
    <row r="875" spans="1:26" ht="15.75" customHeight="1">
      <c r="A875" s="1191"/>
      <c r="B875" s="1191"/>
      <c r="C875" s="1191"/>
      <c r="D875" s="1191"/>
      <c r="E875" s="1191"/>
      <c r="F875" s="1191"/>
      <c r="G875" s="1191"/>
      <c r="H875" s="1191"/>
      <c r="I875" s="1191"/>
      <c r="J875" s="1191"/>
      <c r="K875" s="1191"/>
      <c r="L875" s="1191"/>
      <c r="M875" s="1191"/>
      <c r="N875" s="1191"/>
      <c r="O875" s="1191"/>
      <c r="P875" s="1191"/>
      <c r="Q875" s="1191"/>
      <c r="R875" s="1191"/>
      <c r="S875" s="1191"/>
      <c r="T875" s="1191"/>
      <c r="U875" s="1191"/>
      <c r="V875" s="1192"/>
      <c r="W875" s="1191"/>
      <c r="X875" s="1191"/>
      <c r="Y875" s="1191"/>
      <c r="Z875" s="1191"/>
    </row>
    <row r="876" spans="1:26" ht="15.75" customHeight="1">
      <c r="A876" s="1191"/>
      <c r="B876" s="1191"/>
      <c r="C876" s="1191"/>
      <c r="D876" s="1191"/>
      <c r="E876" s="1191"/>
      <c r="F876" s="1191"/>
      <c r="G876" s="1191"/>
      <c r="H876" s="1191"/>
      <c r="I876" s="1191"/>
      <c r="J876" s="1191"/>
      <c r="K876" s="1191"/>
      <c r="L876" s="1191"/>
      <c r="M876" s="1191"/>
      <c r="N876" s="1191"/>
      <c r="O876" s="1191"/>
      <c r="P876" s="1191"/>
      <c r="Q876" s="1191"/>
      <c r="R876" s="1191"/>
      <c r="S876" s="1191"/>
      <c r="T876" s="1191"/>
      <c r="U876" s="1191"/>
      <c r="V876" s="1192"/>
      <c r="W876" s="1191"/>
      <c r="X876" s="1191"/>
      <c r="Y876" s="1191"/>
      <c r="Z876" s="1191"/>
    </row>
    <row r="877" spans="1:26" ht="15.75" customHeight="1">
      <c r="A877" s="1191"/>
      <c r="B877" s="1191"/>
      <c r="C877" s="1191"/>
      <c r="D877" s="1191"/>
      <c r="E877" s="1191"/>
      <c r="F877" s="1191"/>
      <c r="G877" s="1191"/>
      <c r="H877" s="1191"/>
      <c r="I877" s="1191"/>
      <c r="J877" s="1191"/>
      <c r="K877" s="1191"/>
      <c r="L877" s="1191"/>
      <c r="M877" s="1191"/>
      <c r="N877" s="1191"/>
      <c r="O877" s="1191"/>
      <c r="P877" s="1191"/>
      <c r="Q877" s="1191"/>
      <c r="R877" s="1191"/>
      <c r="S877" s="1191"/>
      <c r="T877" s="1191"/>
      <c r="U877" s="1191"/>
      <c r="V877" s="1192"/>
      <c r="W877" s="1191"/>
      <c r="X877" s="1191"/>
      <c r="Y877" s="1191"/>
      <c r="Z877" s="1191"/>
    </row>
    <row r="878" spans="1:26" ht="15.75" customHeight="1">
      <c r="A878" s="1191"/>
      <c r="B878" s="1191"/>
      <c r="C878" s="1191"/>
      <c r="D878" s="1191"/>
      <c r="E878" s="1191"/>
      <c r="F878" s="1191"/>
      <c r="G878" s="1191"/>
      <c r="H878" s="1191"/>
      <c r="I878" s="1191"/>
      <c r="J878" s="1191"/>
      <c r="K878" s="1191"/>
      <c r="L878" s="1191"/>
      <c r="M878" s="1191"/>
      <c r="N878" s="1191"/>
      <c r="O878" s="1191"/>
      <c r="P878" s="1191"/>
      <c r="Q878" s="1191"/>
      <c r="R878" s="1191"/>
      <c r="S878" s="1191"/>
      <c r="T878" s="1191"/>
      <c r="U878" s="1191"/>
      <c r="V878" s="1192"/>
      <c r="W878" s="1191"/>
      <c r="X878" s="1191"/>
      <c r="Y878" s="1191"/>
      <c r="Z878" s="1191"/>
    </row>
    <row r="879" spans="1:26" ht="15.75" customHeight="1">
      <c r="A879" s="1191"/>
      <c r="B879" s="1191"/>
      <c r="C879" s="1191"/>
      <c r="D879" s="1191"/>
      <c r="E879" s="1191"/>
      <c r="F879" s="1191"/>
      <c r="G879" s="1191"/>
      <c r="H879" s="1191"/>
      <c r="I879" s="1191"/>
      <c r="J879" s="1191"/>
      <c r="K879" s="1191"/>
      <c r="L879" s="1191"/>
      <c r="M879" s="1191"/>
      <c r="N879" s="1191"/>
      <c r="O879" s="1191"/>
      <c r="P879" s="1191"/>
      <c r="Q879" s="1191"/>
      <c r="R879" s="1191"/>
      <c r="S879" s="1191"/>
      <c r="T879" s="1191"/>
      <c r="U879" s="1191"/>
      <c r="V879" s="1192"/>
      <c r="W879" s="1191"/>
      <c r="X879" s="1191"/>
      <c r="Y879" s="1191"/>
      <c r="Z879" s="1191"/>
    </row>
    <row r="880" spans="1:26" ht="15.75" customHeight="1">
      <c r="A880" s="1191"/>
      <c r="B880" s="1191"/>
      <c r="C880" s="1191"/>
      <c r="D880" s="1191"/>
      <c r="E880" s="1191"/>
      <c r="F880" s="1191"/>
      <c r="G880" s="1191"/>
      <c r="H880" s="1191"/>
      <c r="I880" s="1191"/>
      <c r="J880" s="1191"/>
      <c r="K880" s="1191"/>
      <c r="L880" s="1191"/>
      <c r="M880" s="1191"/>
      <c r="N880" s="1191"/>
      <c r="O880" s="1191"/>
      <c r="P880" s="1191"/>
      <c r="Q880" s="1191"/>
      <c r="R880" s="1191"/>
      <c r="S880" s="1191"/>
      <c r="T880" s="1191"/>
      <c r="U880" s="1191"/>
      <c r="V880" s="1192"/>
      <c r="W880" s="1191"/>
      <c r="X880" s="1191"/>
      <c r="Y880" s="1191"/>
      <c r="Z880" s="1191"/>
    </row>
    <row r="881" spans="1:26" ht="15.75" customHeight="1">
      <c r="A881" s="1191"/>
      <c r="B881" s="1191"/>
      <c r="C881" s="1191"/>
      <c r="D881" s="1191"/>
      <c r="E881" s="1191"/>
      <c r="F881" s="1191"/>
      <c r="G881" s="1191"/>
      <c r="H881" s="1191"/>
      <c r="I881" s="1191"/>
      <c r="J881" s="1191"/>
      <c r="K881" s="1191"/>
      <c r="L881" s="1191"/>
      <c r="M881" s="1191"/>
      <c r="N881" s="1191"/>
      <c r="O881" s="1191"/>
      <c r="P881" s="1191"/>
      <c r="Q881" s="1191"/>
      <c r="R881" s="1191"/>
      <c r="S881" s="1191"/>
      <c r="T881" s="1191"/>
      <c r="U881" s="1191"/>
      <c r="V881" s="1192"/>
      <c r="W881" s="1191"/>
      <c r="X881" s="1191"/>
      <c r="Y881" s="1191"/>
      <c r="Z881" s="1191"/>
    </row>
    <row r="882" spans="1:26" ht="15.75" customHeight="1">
      <c r="A882" s="1191"/>
      <c r="B882" s="1191"/>
      <c r="C882" s="1191"/>
      <c r="D882" s="1191"/>
      <c r="E882" s="1191"/>
      <c r="F882" s="1191"/>
      <c r="G882" s="1191"/>
      <c r="H882" s="1191"/>
      <c r="I882" s="1191"/>
      <c r="J882" s="1191"/>
      <c r="K882" s="1191"/>
      <c r="L882" s="1191"/>
      <c r="M882" s="1191"/>
      <c r="N882" s="1191"/>
      <c r="O882" s="1191"/>
      <c r="P882" s="1191"/>
      <c r="Q882" s="1191"/>
      <c r="R882" s="1191"/>
      <c r="S882" s="1191"/>
      <c r="T882" s="1191"/>
      <c r="U882" s="1191"/>
      <c r="V882" s="1192"/>
      <c r="W882" s="1191"/>
      <c r="X882" s="1191"/>
      <c r="Y882" s="1191"/>
      <c r="Z882" s="1191"/>
    </row>
    <row r="883" spans="1:26" ht="15.75" customHeight="1">
      <c r="A883" s="1191"/>
      <c r="B883" s="1191"/>
      <c r="C883" s="1191"/>
      <c r="D883" s="1191"/>
      <c r="E883" s="1191"/>
      <c r="F883" s="1191"/>
      <c r="G883" s="1191"/>
      <c r="H883" s="1191"/>
      <c r="I883" s="1191"/>
      <c r="J883" s="1191"/>
      <c r="K883" s="1191"/>
      <c r="L883" s="1191"/>
      <c r="M883" s="1191"/>
      <c r="N883" s="1191"/>
      <c r="O883" s="1191"/>
      <c r="P883" s="1191"/>
      <c r="Q883" s="1191"/>
      <c r="R883" s="1191"/>
      <c r="S883" s="1191"/>
      <c r="T883" s="1191"/>
      <c r="U883" s="1191"/>
      <c r="V883" s="1192"/>
      <c r="W883" s="1191"/>
      <c r="X883" s="1191"/>
      <c r="Y883" s="1191"/>
      <c r="Z883" s="1191"/>
    </row>
    <row r="884" spans="1:26" ht="15.75" customHeight="1">
      <c r="A884" s="1191"/>
      <c r="B884" s="1191"/>
      <c r="C884" s="1191"/>
      <c r="D884" s="1191"/>
      <c r="E884" s="1191"/>
      <c r="F884" s="1191"/>
      <c r="G884" s="1191"/>
      <c r="H884" s="1191"/>
      <c r="I884" s="1191"/>
      <c r="J884" s="1191"/>
      <c r="K884" s="1191"/>
      <c r="L884" s="1191"/>
      <c r="M884" s="1191"/>
      <c r="N884" s="1191"/>
      <c r="O884" s="1191"/>
      <c r="P884" s="1191"/>
      <c r="Q884" s="1191"/>
      <c r="R884" s="1191"/>
      <c r="S884" s="1191"/>
      <c r="T884" s="1191"/>
      <c r="U884" s="1191"/>
      <c r="V884" s="1192"/>
      <c r="W884" s="1191"/>
      <c r="X884" s="1191"/>
      <c r="Y884" s="1191"/>
      <c r="Z884" s="1191"/>
    </row>
    <row r="885" spans="1:26" ht="15.75" customHeight="1">
      <c r="A885" s="1191"/>
      <c r="B885" s="1191"/>
      <c r="C885" s="1191"/>
      <c r="D885" s="1191"/>
      <c r="E885" s="1191"/>
      <c r="F885" s="1191"/>
      <c r="G885" s="1191"/>
      <c r="H885" s="1191"/>
      <c r="I885" s="1191"/>
      <c r="J885" s="1191"/>
      <c r="K885" s="1191"/>
      <c r="L885" s="1191"/>
      <c r="M885" s="1191"/>
      <c r="N885" s="1191"/>
      <c r="O885" s="1191"/>
      <c r="P885" s="1191"/>
      <c r="Q885" s="1191"/>
      <c r="R885" s="1191"/>
      <c r="S885" s="1191"/>
      <c r="T885" s="1191"/>
      <c r="U885" s="1191"/>
      <c r="V885" s="1192"/>
      <c r="W885" s="1191"/>
      <c r="X885" s="1191"/>
      <c r="Y885" s="1191"/>
      <c r="Z885" s="1191"/>
    </row>
    <row r="886" spans="1:26" ht="15.75" customHeight="1">
      <c r="A886" s="1191"/>
      <c r="B886" s="1191"/>
      <c r="C886" s="1191"/>
      <c r="D886" s="1191"/>
      <c r="E886" s="1191"/>
      <c r="F886" s="1191"/>
      <c r="G886" s="1191"/>
      <c r="H886" s="1191"/>
      <c r="I886" s="1191"/>
      <c r="J886" s="1191"/>
      <c r="K886" s="1191"/>
      <c r="L886" s="1191"/>
      <c r="M886" s="1191"/>
      <c r="N886" s="1191"/>
      <c r="O886" s="1191"/>
      <c r="P886" s="1191"/>
      <c r="Q886" s="1191"/>
      <c r="R886" s="1191"/>
      <c r="S886" s="1191"/>
      <c r="T886" s="1191"/>
      <c r="U886" s="1191"/>
      <c r="V886" s="1192"/>
      <c r="W886" s="1191"/>
      <c r="X886" s="1191"/>
      <c r="Y886" s="1191"/>
      <c r="Z886" s="1191"/>
    </row>
    <row r="887" spans="1:26" ht="15.75" customHeight="1">
      <c r="A887" s="1191"/>
      <c r="B887" s="1191"/>
      <c r="C887" s="1191"/>
      <c r="D887" s="1191"/>
      <c r="E887" s="1191"/>
      <c r="F887" s="1191"/>
      <c r="G887" s="1191"/>
      <c r="H887" s="1191"/>
      <c r="I887" s="1191"/>
      <c r="J887" s="1191"/>
      <c r="K887" s="1191"/>
      <c r="L887" s="1191"/>
      <c r="M887" s="1191"/>
      <c r="N887" s="1191"/>
      <c r="O887" s="1191"/>
      <c r="P887" s="1191"/>
      <c r="Q887" s="1191"/>
      <c r="R887" s="1191"/>
      <c r="S887" s="1191"/>
      <c r="T887" s="1191"/>
      <c r="U887" s="1191"/>
      <c r="V887" s="1192"/>
      <c r="W887" s="1191"/>
      <c r="X887" s="1191"/>
      <c r="Y887" s="1191"/>
      <c r="Z887" s="1191"/>
    </row>
    <row r="888" spans="1:26" ht="15.75" customHeight="1">
      <c r="A888" s="1191"/>
      <c r="B888" s="1191"/>
      <c r="C888" s="1191"/>
      <c r="D888" s="1191"/>
      <c r="E888" s="1191"/>
      <c r="F888" s="1191"/>
      <c r="G888" s="1191"/>
      <c r="H888" s="1191"/>
      <c r="I888" s="1191"/>
      <c r="J888" s="1191"/>
      <c r="K888" s="1191"/>
      <c r="L888" s="1191"/>
      <c r="M888" s="1191"/>
      <c r="N888" s="1191"/>
      <c r="O888" s="1191"/>
      <c r="P888" s="1191"/>
      <c r="Q888" s="1191"/>
      <c r="R888" s="1191"/>
      <c r="S888" s="1191"/>
      <c r="T888" s="1191"/>
      <c r="U888" s="1191"/>
      <c r="V888" s="1192"/>
      <c r="W888" s="1191"/>
      <c r="X888" s="1191"/>
      <c r="Y888" s="1191"/>
      <c r="Z888" s="1191"/>
    </row>
    <row r="889" spans="1:26" ht="15.75" customHeight="1">
      <c r="A889" s="1191"/>
      <c r="B889" s="1191"/>
      <c r="C889" s="1191"/>
      <c r="D889" s="1191"/>
      <c r="E889" s="1191"/>
      <c r="F889" s="1191"/>
      <c r="G889" s="1191"/>
      <c r="H889" s="1191"/>
      <c r="I889" s="1191"/>
      <c r="J889" s="1191"/>
      <c r="K889" s="1191"/>
      <c r="L889" s="1191"/>
      <c r="M889" s="1191"/>
      <c r="N889" s="1191"/>
      <c r="O889" s="1191"/>
      <c r="P889" s="1191"/>
      <c r="Q889" s="1191"/>
      <c r="R889" s="1191"/>
      <c r="S889" s="1191"/>
      <c r="T889" s="1191"/>
      <c r="U889" s="1191"/>
      <c r="V889" s="1192"/>
      <c r="W889" s="1191"/>
      <c r="X889" s="1191"/>
      <c r="Y889" s="1191"/>
      <c r="Z889" s="1191"/>
    </row>
    <row r="890" spans="1:26" ht="15.75" customHeight="1">
      <c r="A890" s="1191"/>
      <c r="B890" s="1191"/>
      <c r="C890" s="1191"/>
      <c r="D890" s="1191"/>
      <c r="E890" s="1191"/>
      <c r="F890" s="1191"/>
      <c r="G890" s="1191"/>
      <c r="H890" s="1191"/>
      <c r="I890" s="1191"/>
      <c r="J890" s="1191"/>
      <c r="K890" s="1191"/>
      <c r="L890" s="1191"/>
      <c r="M890" s="1191"/>
      <c r="N890" s="1191"/>
      <c r="O890" s="1191"/>
      <c r="P890" s="1191"/>
      <c r="Q890" s="1191"/>
      <c r="R890" s="1191"/>
      <c r="S890" s="1191"/>
      <c r="T890" s="1191"/>
      <c r="U890" s="1191"/>
      <c r="V890" s="1192"/>
      <c r="W890" s="1191"/>
      <c r="X890" s="1191"/>
      <c r="Y890" s="1191"/>
      <c r="Z890" s="1191"/>
    </row>
    <row r="891" spans="1:26" ht="15.75" customHeight="1">
      <c r="A891" s="1191"/>
      <c r="B891" s="1191"/>
      <c r="C891" s="1191"/>
      <c r="D891" s="1191"/>
      <c r="E891" s="1191"/>
      <c r="F891" s="1191"/>
      <c r="G891" s="1191"/>
      <c r="H891" s="1191"/>
      <c r="I891" s="1191"/>
      <c r="J891" s="1191"/>
      <c r="K891" s="1191"/>
      <c r="L891" s="1191"/>
      <c r="M891" s="1191"/>
      <c r="N891" s="1191"/>
      <c r="O891" s="1191"/>
      <c r="P891" s="1191"/>
      <c r="Q891" s="1191"/>
      <c r="R891" s="1191"/>
      <c r="S891" s="1191"/>
      <c r="T891" s="1191"/>
      <c r="U891" s="1191"/>
      <c r="V891" s="1192"/>
      <c r="W891" s="1191"/>
      <c r="X891" s="1191"/>
      <c r="Y891" s="1191"/>
      <c r="Z891" s="1191"/>
    </row>
    <row r="892" spans="1:26" ht="15.75" customHeight="1">
      <c r="A892" s="1191"/>
      <c r="B892" s="1191"/>
      <c r="C892" s="1191"/>
      <c r="D892" s="1191"/>
      <c r="E892" s="1191"/>
      <c r="F892" s="1191"/>
      <c r="G892" s="1191"/>
      <c r="H892" s="1191"/>
      <c r="I892" s="1191"/>
      <c r="J892" s="1191"/>
      <c r="K892" s="1191"/>
      <c r="L892" s="1191"/>
      <c r="M892" s="1191"/>
      <c r="N892" s="1191"/>
      <c r="O892" s="1191"/>
      <c r="P892" s="1191"/>
      <c r="Q892" s="1191"/>
      <c r="R892" s="1191"/>
      <c r="S892" s="1191"/>
      <c r="T892" s="1191"/>
      <c r="U892" s="1191"/>
      <c r="V892" s="1192"/>
      <c r="W892" s="1191"/>
      <c r="X892" s="1191"/>
      <c r="Y892" s="1191"/>
      <c r="Z892" s="1191"/>
    </row>
    <row r="893" spans="1:26" ht="15.75" customHeight="1">
      <c r="A893" s="1191"/>
      <c r="B893" s="1191"/>
      <c r="C893" s="1191"/>
      <c r="D893" s="1191"/>
      <c r="E893" s="1191"/>
      <c r="F893" s="1191"/>
      <c r="G893" s="1191"/>
      <c r="H893" s="1191"/>
      <c r="I893" s="1191"/>
      <c r="J893" s="1191"/>
      <c r="K893" s="1191"/>
      <c r="L893" s="1191"/>
      <c r="M893" s="1191"/>
      <c r="N893" s="1191"/>
      <c r="O893" s="1191"/>
      <c r="P893" s="1191"/>
      <c r="Q893" s="1191"/>
      <c r="R893" s="1191"/>
      <c r="S893" s="1191"/>
      <c r="T893" s="1191"/>
      <c r="U893" s="1191"/>
      <c r="V893" s="1192"/>
      <c r="W893" s="1191"/>
      <c r="X893" s="1191"/>
      <c r="Y893" s="1191"/>
      <c r="Z893" s="1191"/>
    </row>
    <row r="894" spans="1:26" ht="15.75" customHeight="1">
      <c r="A894" s="1191"/>
      <c r="B894" s="1191"/>
      <c r="C894" s="1191"/>
      <c r="D894" s="1191"/>
      <c r="E894" s="1191"/>
      <c r="F894" s="1191"/>
      <c r="G894" s="1191"/>
      <c r="H894" s="1191"/>
      <c r="I894" s="1191"/>
      <c r="J894" s="1191"/>
      <c r="K894" s="1191"/>
      <c r="L894" s="1191"/>
      <c r="M894" s="1191"/>
      <c r="N894" s="1191"/>
      <c r="O894" s="1191"/>
      <c r="P894" s="1191"/>
      <c r="Q894" s="1191"/>
      <c r="R894" s="1191"/>
      <c r="S894" s="1191"/>
      <c r="T894" s="1191"/>
      <c r="U894" s="1191"/>
      <c r="V894" s="1192"/>
      <c r="W894" s="1191"/>
      <c r="X894" s="1191"/>
      <c r="Y894" s="1191"/>
      <c r="Z894" s="1191"/>
    </row>
    <row r="895" spans="1:26" ht="15.75" customHeight="1">
      <c r="A895" s="1191"/>
      <c r="B895" s="1191"/>
      <c r="C895" s="1191"/>
      <c r="D895" s="1191"/>
      <c r="E895" s="1191"/>
      <c r="F895" s="1191"/>
      <c r="G895" s="1191"/>
      <c r="H895" s="1191"/>
      <c r="I895" s="1191"/>
      <c r="J895" s="1191"/>
      <c r="K895" s="1191"/>
      <c r="L895" s="1191"/>
      <c r="M895" s="1191"/>
      <c r="N895" s="1191"/>
      <c r="O895" s="1191"/>
      <c r="P895" s="1191"/>
      <c r="Q895" s="1191"/>
      <c r="R895" s="1191"/>
      <c r="S895" s="1191"/>
      <c r="T895" s="1191"/>
      <c r="U895" s="1191"/>
      <c r="V895" s="1192"/>
      <c r="W895" s="1191"/>
      <c r="X895" s="1191"/>
      <c r="Y895" s="1191"/>
      <c r="Z895" s="1191"/>
    </row>
    <row r="896" spans="1:26" ht="15.75" customHeight="1">
      <c r="A896" s="1191"/>
      <c r="B896" s="1191"/>
      <c r="C896" s="1191"/>
      <c r="D896" s="1191"/>
      <c r="E896" s="1191"/>
      <c r="F896" s="1191"/>
      <c r="G896" s="1191"/>
      <c r="H896" s="1191"/>
      <c r="I896" s="1191"/>
      <c r="J896" s="1191"/>
      <c r="K896" s="1191"/>
      <c r="L896" s="1191"/>
      <c r="M896" s="1191"/>
      <c r="N896" s="1191"/>
      <c r="O896" s="1191"/>
      <c r="P896" s="1191"/>
      <c r="Q896" s="1191"/>
      <c r="R896" s="1191"/>
      <c r="S896" s="1191"/>
      <c r="T896" s="1191"/>
      <c r="U896" s="1191"/>
      <c r="V896" s="1192"/>
      <c r="W896" s="1191"/>
      <c r="X896" s="1191"/>
      <c r="Y896" s="1191"/>
      <c r="Z896" s="1191"/>
    </row>
    <row r="897" spans="1:26" ht="15.75" customHeight="1">
      <c r="A897" s="1191"/>
      <c r="B897" s="1191"/>
      <c r="C897" s="1191"/>
      <c r="D897" s="1191"/>
      <c r="E897" s="1191"/>
      <c r="F897" s="1191"/>
      <c r="G897" s="1191"/>
      <c r="H897" s="1191"/>
      <c r="I897" s="1191"/>
      <c r="J897" s="1191"/>
      <c r="K897" s="1191"/>
      <c r="L897" s="1191"/>
      <c r="M897" s="1191"/>
      <c r="N897" s="1191"/>
      <c r="O897" s="1191"/>
      <c r="P897" s="1191"/>
      <c r="Q897" s="1191"/>
      <c r="R897" s="1191"/>
      <c r="S897" s="1191"/>
      <c r="T897" s="1191"/>
      <c r="U897" s="1191"/>
      <c r="V897" s="1192"/>
      <c r="W897" s="1191"/>
      <c r="X897" s="1191"/>
      <c r="Y897" s="1191"/>
      <c r="Z897" s="1191"/>
    </row>
    <row r="898" spans="1:26" ht="15.75" customHeight="1">
      <c r="A898" s="1191"/>
      <c r="B898" s="1191"/>
      <c r="C898" s="1191"/>
      <c r="D898" s="1191"/>
      <c r="E898" s="1191"/>
      <c r="F898" s="1191"/>
      <c r="G898" s="1191"/>
      <c r="H898" s="1191"/>
      <c r="I898" s="1191"/>
      <c r="J898" s="1191"/>
      <c r="K898" s="1191"/>
      <c r="L898" s="1191"/>
      <c r="M898" s="1191"/>
      <c r="N898" s="1191"/>
      <c r="O898" s="1191"/>
      <c r="P898" s="1191"/>
      <c r="Q898" s="1191"/>
      <c r="R898" s="1191"/>
      <c r="S898" s="1191"/>
      <c r="T898" s="1191"/>
      <c r="U898" s="1191"/>
      <c r="V898" s="1192"/>
      <c r="W898" s="1191"/>
      <c r="X898" s="1191"/>
      <c r="Y898" s="1191"/>
      <c r="Z898" s="1191"/>
    </row>
    <row r="899" spans="1:26" ht="15.75" customHeight="1">
      <c r="A899" s="1191"/>
      <c r="B899" s="1191"/>
      <c r="C899" s="1191"/>
      <c r="D899" s="1191"/>
      <c r="E899" s="1191"/>
      <c r="F899" s="1191"/>
      <c r="G899" s="1191"/>
      <c r="H899" s="1191"/>
      <c r="I899" s="1191"/>
      <c r="J899" s="1191"/>
      <c r="K899" s="1191"/>
      <c r="L899" s="1191"/>
      <c r="M899" s="1191"/>
      <c r="N899" s="1191"/>
      <c r="O899" s="1191"/>
      <c r="P899" s="1191"/>
      <c r="Q899" s="1191"/>
      <c r="R899" s="1191"/>
      <c r="S899" s="1191"/>
      <c r="T899" s="1191"/>
      <c r="U899" s="1191"/>
      <c r="V899" s="1192"/>
      <c r="W899" s="1191"/>
      <c r="X899" s="1191"/>
      <c r="Y899" s="1191"/>
      <c r="Z899" s="1191"/>
    </row>
    <row r="900" spans="1:26" ht="15.75" customHeight="1">
      <c r="A900" s="1191"/>
      <c r="B900" s="1191"/>
      <c r="C900" s="1191"/>
      <c r="D900" s="1191"/>
      <c r="E900" s="1191"/>
      <c r="F900" s="1191"/>
      <c r="G900" s="1191"/>
      <c r="H900" s="1191"/>
      <c r="I900" s="1191"/>
      <c r="J900" s="1191"/>
      <c r="K900" s="1191"/>
      <c r="L900" s="1191"/>
      <c r="M900" s="1191"/>
      <c r="N900" s="1191"/>
      <c r="O900" s="1191"/>
      <c r="P900" s="1191"/>
      <c r="Q900" s="1191"/>
      <c r="R900" s="1191"/>
      <c r="S900" s="1191"/>
      <c r="T900" s="1191"/>
      <c r="U900" s="1191"/>
      <c r="V900" s="1192"/>
      <c r="W900" s="1191"/>
      <c r="X900" s="1191"/>
      <c r="Y900" s="1191"/>
      <c r="Z900" s="1191"/>
    </row>
    <row r="901" spans="1:26" ht="15.75" customHeight="1">
      <c r="A901" s="1191"/>
      <c r="B901" s="1191"/>
      <c r="C901" s="1191"/>
      <c r="D901" s="1191"/>
      <c r="E901" s="1191"/>
      <c r="F901" s="1191"/>
      <c r="G901" s="1191"/>
      <c r="H901" s="1191"/>
      <c r="I901" s="1191"/>
      <c r="J901" s="1191"/>
      <c r="K901" s="1191"/>
      <c r="L901" s="1191"/>
      <c r="M901" s="1191"/>
      <c r="N901" s="1191"/>
      <c r="O901" s="1191"/>
      <c r="P901" s="1191"/>
      <c r="Q901" s="1191"/>
      <c r="R901" s="1191"/>
      <c r="S901" s="1191"/>
      <c r="T901" s="1191"/>
      <c r="U901" s="1191"/>
      <c r="V901" s="1192"/>
      <c r="W901" s="1191"/>
      <c r="X901" s="1191"/>
      <c r="Y901" s="1191"/>
      <c r="Z901" s="1191"/>
    </row>
    <row r="902" spans="1:26" ht="15.75" customHeight="1">
      <c r="A902" s="1191"/>
      <c r="B902" s="1191"/>
      <c r="C902" s="1191"/>
      <c r="D902" s="1191"/>
      <c r="E902" s="1191"/>
      <c r="F902" s="1191"/>
      <c r="G902" s="1191"/>
      <c r="H902" s="1191"/>
      <c r="I902" s="1191"/>
      <c r="J902" s="1191"/>
      <c r="K902" s="1191"/>
      <c r="L902" s="1191"/>
      <c r="M902" s="1191"/>
      <c r="N902" s="1191"/>
      <c r="O902" s="1191"/>
      <c r="P902" s="1191"/>
      <c r="Q902" s="1191"/>
      <c r="R902" s="1191"/>
      <c r="S902" s="1191"/>
      <c r="T902" s="1191"/>
      <c r="U902" s="1191"/>
      <c r="V902" s="1192"/>
      <c r="W902" s="1191"/>
      <c r="X902" s="1191"/>
      <c r="Y902" s="1191"/>
      <c r="Z902" s="1191"/>
    </row>
    <row r="903" spans="1:26" ht="15.75" customHeight="1">
      <c r="A903" s="1191"/>
      <c r="B903" s="1191"/>
      <c r="C903" s="1191"/>
      <c r="D903" s="1191"/>
      <c r="E903" s="1191"/>
      <c r="F903" s="1191"/>
      <c r="G903" s="1191"/>
      <c r="H903" s="1191"/>
      <c r="I903" s="1191"/>
      <c r="J903" s="1191"/>
      <c r="K903" s="1191"/>
      <c r="L903" s="1191"/>
      <c r="M903" s="1191"/>
      <c r="N903" s="1191"/>
      <c r="O903" s="1191"/>
      <c r="P903" s="1191"/>
      <c r="Q903" s="1191"/>
      <c r="R903" s="1191"/>
      <c r="S903" s="1191"/>
      <c r="T903" s="1191"/>
      <c r="U903" s="1191"/>
      <c r="V903" s="1192"/>
      <c r="W903" s="1191"/>
      <c r="X903" s="1191"/>
      <c r="Y903" s="1191"/>
      <c r="Z903" s="1191"/>
    </row>
    <row r="904" spans="1:26" ht="15.75" customHeight="1">
      <c r="A904" s="1191"/>
      <c r="B904" s="1191"/>
      <c r="C904" s="1191"/>
      <c r="D904" s="1191"/>
      <c r="E904" s="1191"/>
      <c r="F904" s="1191"/>
      <c r="G904" s="1191"/>
      <c r="H904" s="1191"/>
      <c r="I904" s="1191"/>
      <c r="J904" s="1191"/>
      <c r="K904" s="1191"/>
      <c r="L904" s="1191"/>
      <c r="M904" s="1191"/>
      <c r="N904" s="1191"/>
      <c r="O904" s="1191"/>
      <c r="P904" s="1191"/>
      <c r="Q904" s="1191"/>
      <c r="R904" s="1191"/>
      <c r="S904" s="1191"/>
      <c r="T904" s="1191"/>
      <c r="U904" s="1191"/>
      <c r="V904" s="1192"/>
      <c r="W904" s="1191"/>
      <c r="X904" s="1191"/>
      <c r="Y904" s="1191"/>
      <c r="Z904" s="1191"/>
    </row>
    <row r="905" spans="1:26" ht="15.75" customHeight="1">
      <c r="A905" s="1191"/>
      <c r="B905" s="1191"/>
      <c r="C905" s="1191"/>
      <c r="D905" s="1191"/>
      <c r="E905" s="1191"/>
      <c r="F905" s="1191"/>
      <c r="G905" s="1191"/>
      <c r="H905" s="1191"/>
      <c r="I905" s="1191"/>
      <c r="J905" s="1191"/>
      <c r="K905" s="1191"/>
      <c r="L905" s="1191"/>
      <c r="M905" s="1191"/>
      <c r="N905" s="1191"/>
      <c r="O905" s="1191"/>
      <c r="P905" s="1191"/>
      <c r="Q905" s="1191"/>
      <c r="R905" s="1191"/>
      <c r="S905" s="1191"/>
      <c r="T905" s="1191"/>
      <c r="U905" s="1191"/>
      <c r="V905" s="1192"/>
      <c r="W905" s="1191"/>
      <c r="X905" s="1191"/>
      <c r="Y905" s="1191"/>
      <c r="Z905" s="1191"/>
    </row>
    <row r="906" spans="1:26" ht="15.75" customHeight="1">
      <c r="A906" s="1191"/>
      <c r="B906" s="1191"/>
      <c r="C906" s="1191"/>
      <c r="D906" s="1191"/>
      <c r="E906" s="1191"/>
      <c r="F906" s="1191"/>
      <c r="G906" s="1191"/>
      <c r="H906" s="1191"/>
      <c r="I906" s="1191"/>
      <c r="J906" s="1191"/>
      <c r="K906" s="1191"/>
      <c r="L906" s="1191"/>
      <c r="M906" s="1191"/>
      <c r="N906" s="1191"/>
      <c r="O906" s="1191"/>
      <c r="P906" s="1191"/>
      <c r="Q906" s="1191"/>
      <c r="R906" s="1191"/>
      <c r="S906" s="1191"/>
      <c r="T906" s="1191"/>
      <c r="U906" s="1191"/>
      <c r="V906" s="1192"/>
      <c r="W906" s="1191"/>
      <c r="X906" s="1191"/>
      <c r="Y906" s="1191"/>
      <c r="Z906" s="1191"/>
    </row>
    <row r="907" spans="1:26" ht="15.75" customHeight="1">
      <c r="A907" s="1191"/>
      <c r="B907" s="1191"/>
      <c r="C907" s="1191"/>
      <c r="D907" s="1191"/>
      <c r="E907" s="1191"/>
      <c r="F907" s="1191"/>
      <c r="G907" s="1191"/>
      <c r="H907" s="1191"/>
      <c r="I907" s="1191"/>
      <c r="J907" s="1191"/>
      <c r="K907" s="1191"/>
      <c r="L907" s="1191"/>
      <c r="M907" s="1191"/>
      <c r="N907" s="1191"/>
      <c r="O907" s="1191"/>
      <c r="P907" s="1191"/>
      <c r="Q907" s="1191"/>
      <c r="R907" s="1191"/>
      <c r="S907" s="1191"/>
      <c r="T907" s="1191"/>
      <c r="U907" s="1191"/>
      <c r="V907" s="1192"/>
      <c r="W907" s="1191"/>
      <c r="X907" s="1191"/>
      <c r="Y907" s="1191"/>
      <c r="Z907" s="1191"/>
    </row>
    <row r="908" spans="1:26" ht="15.75" customHeight="1">
      <c r="A908" s="1191"/>
      <c r="B908" s="1191"/>
      <c r="C908" s="1191"/>
      <c r="D908" s="1191"/>
      <c r="E908" s="1191"/>
      <c r="F908" s="1191"/>
      <c r="G908" s="1191"/>
      <c r="H908" s="1191"/>
      <c r="I908" s="1191"/>
      <c r="J908" s="1191"/>
      <c r="K908" s="1191"/>
      <c r="L908" s="1191"/>
      <c r="M908" s="1191"/>
      <c r="N908" s="1191"/>
      <c r="O908" s="1191"/>
      <c r="P908" s="1191"/>
      <c r="Q908" s="1191"/>
      <c r="R908" s="1191"/>
      <c r="S908" s="1191"/>
      <c r="T908" s="1191"/>
      <c r="U908" s="1191"/>
      <c r="V908" s="1192"/>
      <c r="W908" s="1191"/>
      <c r="X908" s="1191"/>
      <c r="Y908" s="1191"/>
      <c r="Z908" s="1191"/>
    </row>
    <row r="909" spans="1:26" ht="15.75" customHeight="1">
      <c r="A909" s="1191"/>
      <c r="B909" s="1191"/>
      <c r="C909" s="1191"/>
      <c r="D909" s="1191"/>
      <c r="E909" s="1191"/>
      <c r="F909" s="1191"/>
      <c r="G909" s="1191"/>
      <c r="H909" s="1191"/>
      <c r="I909" s="1191"/>
      <c r="J909" s="1191"/>
      <c r="K909" s="1191"/>
      <c r="L909" s="1191"/>
      <c r="M909" s="1191"/>
      <c r="N909" s="1191"/>
      <c r="O909" s="1191"/>
      <c r="P909" s="1191"/>
      <c r="Q909" s="1191"/>
      <c r="R909" s="1191"/>
      <c r="S909" s="1191"/>
      <c r="T909" s="1191"/>
      <c r="U909" s="1191"/>
      <c r="V909" s="1192"/>
      <c r="W909" s="1191"/>
      <c r="X909" s="1191"/>
      <c r="Y909" s="1191"/>
      <c r="Z909" s="1191"/>
    </row>
    <row r="910" spans="1:26" ht="15.75" customHeight="1">
      <c r="A910" s="1191"/>
      <c r="B910" s="1191"/>
      <c r="C910" s="1191"/>
      <c r="D910" s="1191"/>
      <c r="E910" s="1191"/>
      <c r="F910" s="1191"/>
      <c r="G910" s="1191"/>
      <c r="H910" s="1191"/>
      <c r="I910" s="1191"/>
      <c r="J910" s="1191"/>
      <c r="K910" s="1191"/>
      <c r="L910" s="1191"/>
      <c r="M910" s="1191"/>
      <c r="N910" s="1191"/>
      <c r="O910" s="1191"/>
      <c r="P910" s="1191"/>
      <c r="Q910" s="1191"/>
      <c r="R910" s="1191"/>
      <c r="S910" s="1191"/>
      <c r="T910" s="1191"/>
      <c r="U910" s="1191"/>
      <c r="V910" s="1192"/>
      <c r="W910" s="1191"/>
      <c r="X910" s="1191"/>
      <c r="Y910" s="1191"/>
      <c r="Z910" s="1191"/>
    </row>
    <row r="911" spans="1:26" ht="15.75" customHeight="1">
      <c r="A911" s="1191"/>
      <c r="B911" s="1191"/>
      <c r="C911" s="1191"/>
      <c r="D911" s="1191"/>
      <c r="E911" s="1191"/>
      <c r="F911" s="1191"/>
      <c r="G911" s="1191"/>
      <c r="H911" s="1191"/>
      <c r="I911" s="1191"/>
      <c r="J911" s="1191"/>
      <c r="K911" s="1191"/>
      <c r="L911" s="1191"/>
      <c r="M911" s="1191"/>
      <c r="N911" s="1191"/>
      <c r="O911" s="1191"/>
      <c r="P911" s="1191"/>
      <c r="Q911" s="1191"/>
      <c r="R911" s="1191"/>
      <c r="S911" s="1191"/>
      <c r="T911" s="1191"/>
      <c r="U911" s="1191"/>
      <c r="V911" s="1192"/>
      <c r="W911" s="1191"/>
      <c r="X911" s="1191"/>
      <c r="Y911" s="1191"/>
      <c r="Z911" s="1191"/>
    </row>
    <row r="912" spans="1:26" ht="15.75" customHeight="1">
      <c r="A912" s="1191"/>
      <c r="B912" s="1191"/>
      <c r="C912" s="1191"/>
      <c r="D912" s="1191"/>
      <c r="E912" s="1191"/>
      <c r="F912" s="1191"/>
      <c r="G912" s="1191"/>
      <c r="H912" s="1191"/>
      <c r="I912" s="1191"/>
      <c r="J912" s="1191"/>
      <c r="K912" s="1191"/>
      <c r="L912" s="1191"/>
      <c r="M912" s="1191"/>
      <c r="N912" s="1191"/>
      <c r="O912" s="1191"/>
      <c r="P912" s="1191"/>
      <c r="Q912" s="1191"/>
      <c r="R912" s="1191"/>
      <c r="S912" s="1191"/>
      <c r="T912" s="1191"/>
      <c r="U912" s="1191"/>
      <c r="V912" s="1192"/>
      <c r="W912" s="1191"/>
      <c r="X912" s="1191"/>
      <c r="Y912" s="1191"/>
      <c r="Z912" s="1191"/>
    </row>
    <row r="913" spans="1:26" ht="15.75" customHeight="1">
      <c r="A913" s="1191"/>
      <c r="B913" s="1191"/>
      <c r="C913" s="1191"/>
      <c r="D913" s="1191"/>
      <c r="E913" s="1191"/>
      <c r="F913" s="1191"/>
      <c r="G913" s="1191"/>
      <c r="H913" s="1191"/>
      <c r="I913" s="1191"/>
      <c r="J913" s="1191"/>
      <c r="K913" s="1191"/>
      <c r="L913" s="1191"/>
      <c r="M913" s="1191"/>
      <c r="N913" s="1191"/>
      <c r="O913" s="1191"/>
      <c r="P913" s="1191"/>
      <c r="Q913" s="1191"/>
      <c r="R913" s="1191"/>
      <c r="S913" s="1191"/>
      <c r="T913" s="1191"/>
      <c r="U913" s="1191"/>
      <c r="V913" s="1192"/>
      <c r="W913" s="1191"/>
      <c r="X913" s="1191"/>
      <c r="Y913" s="1191"/>
      <c r="Z913" s="1191"/>
    </row>
    <row r="914" spans="1:26" ht="15.75" customHeight="1">
      <c r="A914" s="1191"/>
      <c r="B914" s="1191"/>
      <c r="C914" s="1191"/>
      <c r="D914" s="1191"/>
      <c r="E914" s="1191"/>
      <c r="F914" s="1191"/>
      <c r="G914" s="1191"/>
      <c r="H914" s="1191"/>
      <c r="I914" s="1191"/>
      <c r="J914" s="1191"/>
      <c r="K914" s="1191"/>
      <c r="L914" s="1191"/>
      <c r="M914" s="1191"/>
      <c r="N914" s="1191"/>
      <c r="O914" s="1191"/>
      <c r="P914" s="1191"/>
      <c r="Q914" s="1191"/>
      <c r="R914" s="1191"/>
      <c r="S914" s="1191"/>
      <c r="T914" s="1191"/>
      <c r="U914" s="1191"/>
      <c r="V914" s="1192"/>
      <c r="W914" s="1191"/>
      <c r="X914" s="1191"/>
      <c r="Y914" s="1191"/>
      <c r="Z914" s="1191"/>
    </row>
    <row r="915" spans="1:26" ht="15.75" customHeight="1">
      <c r="A915" s="1191"/>
      <c r="B915" s="1191"/>
      <c r="C915" s="1191"/>
      <c r="D915" s="1191"/>
      <c r="E915" s="1191"/>
      <c r="F915" s="1191"/>
      <c r="G915" s="1191"/>
      <c r="H915" s="1191"/>
      <c r="I915" s="1191"/>
      <c r="J915" s="1191"/>
      <c r="K915" s="1191"/>
      <c r="L915" s="1191"/>
      <c r="M915" s="1191"/>
      <c r="N915" s="1191"/>
      <c r="O915" s="1191"/>
      <c r="P915" s="1191"/>
      <c r="Q915" s="1191"/>
      <c r="R915" s="1191"/>
      <c r="S915" s="1191"/>
      <c r="T915" s="1191"/>
      <c r="U915" s="1191"/>
      <c r="V915" s="1192"/>
      <c r="W915" s="1191"/>
      <c r="X915" s="1191"/>
      <c r="Y915" s="1191"/>
      <c r="Z915" s="1191"/>
    </row>
    <row r="916" spans="1:26" ht="15.75" customHeight="1">
      <c r="A916" s="1191"/>
      <c r="B916" s="1191"/>
      <c r="C916" s="1191"/>
      <c r="D916" s="1191"/>
      <c r="E916" s="1191"/>
      <c r="F916" s="1191"/>
      <c r="G916" s="1191"/>
      <c r="H916" s="1191"/>
      <c r="I916" s="1191"/>
      <c r="J916" s="1191"/>
      <c r="K916" s="1191"/>
      <c r="L916" s="1191"/>
      <c r="M916" s="1191"/>
      <c r="N916" s="1191"/>
      <c r="O916" s="1191"/>
      <c r="P916" s="1191"/>
      <c r="Q916" s="1191"/>
      <c r="R916" s="1191"/>
      <c r="S916" s="1191"/>
      <c r="T916" s="1191"/>
      <c r="U916" s="1191"/>
      <c r="V916" s="1192"/>
      <c r="W916" s="1191"/>
      <c r="X916" s="1191"/>
      <c r="Y916" s="1191"/>
      <c r="Z916" s="1191"/>
    </row>
    <row r="917" spans="1:26" ht="15.75" customHeight="1">
      <c r="A917" s="1191"/>
      <c r="B917" s="1191"/>
      <c r="C917" s="1191"/>
      <c r="D917" s="1191"/>
      <c r="E917" s="1191"/>
      <c r="F917" s="1191"/>
      <c r="G917" s="1191"/>
      <c r="H917" s="1191"/>
      <c r="I917" s="1191"/>
      <c r="J917" s="1191"/>
      <c r="K917" s="1191"/>
      <c r="L917" s="1191"/>
      <c r="M917" s="1191"/>
      <c r="N917" s="1191"/>
      <c r="O917" s="1191"/>
      <c r="P917" s="1191"/>
      <c r="Q917" s="1191"/>
      <c r="R917" s="1191"/>
      <c r="S917" s="1191"/>
      <c r="T917" s="1191"/>
      <c r="U917" s="1191"/>
      <c r="V917" s="1192"/>
      <c r="W917" s="1191"/>
      <c r="X917" s="1191"/>
      <c r="Y917" s="1191"/>
      <c r="Z917" s="1191"/>
    </row>
    <row r="918" spans="1:26" ht="15.75" customHeight="1">
      <c r="A918" s="1191"/>
      <c r="B918" s="1191"/>
      <c r="C918" s="1191"/>
      <c r="D918" s="1191"/>
      <c r="E918" s="1191"/>
      <c r="F918" s="1191"/>
      <c r="G918" s="1191"/>
      <c r="H918" s="1191"/>
      <c r="I918" s="1191"/>
      <c r="J918" s="1191"/>
      <c r="K918" s="1191"/>
      <c r="L918" s="1191"/>
      <c r="M918" s="1191"/>
      <c r="N918" s="1191"/>
      <c r="O918" s="1191"/>
      <c r="P918" s="1191"/>
      <c r="Q918" s="1191"/>
      <c r="R918" s="1191"/>
      <c r="S918" s="1191"/>
      <c r="T918" s="1191"/>
      <c r="U918" s="1191"/>
      <c r="V918" s="1192"/>
      <c r="W918" s="1191"/>
      <c r="X918" s="1191"/>
      <c r="Y918" s="1191"/>
      <c r="Z918" s="1191"/>
    </row>
    <row r="919" spans="1:26" ht="15.75" customHeight="1">
      <c r="A919" s="1191"/>
      <c r="B919" s="1191"/>
      <c r="C919" s="1191"/>
      <c r="D919" s="1191"/>
      <c r="E919" s="1191"/>
      <c r="F919" s="1191"/>
      <c r="G919" s="1191"/>
      <c r="H919" s="1191"/>
      <c r="I919" s="1191"/>
      <c r="J919" s="1191"/>
      <c r="K919" s="1191"/>
      <c r="L919" s="1191"/>
      <c r="M919" s="1191"/>
      <c r="N919" s="1191"/>
      <c r="O919" s="1191"/>
      <c r="P919" s="1191"/>
      <c r="Q919" s="1191"/>
      <c r="R919" s="1191"/>
      <c r="S919" s="1191"/>
      <c r="T919" s="1191"/>
      <c r="U919" s="1191"/>
      <c r="V919" s="1192"/>
      <c r="W919" s="1191"/>
      <c r="X919" s="1191"/>
      <c r="Y919" s="1191"/>
      <c r="Z919" s="1191"/>
    </row>
    <row r="920" spans="1:26" ht="15.75" customHeight="1">
      <c r="A920" s="1191"/>
      <c r="B920" s="1191"/>
      <c r="C920" s="1191"/>
      <c r="D920" s="1191"/>
      <c r="E920" s="1191"/>
      <c r="F920" s="1191"/>
      <c r="G920" s="1191"/>
      <c r="H920" s="1191"/>
      <c r="I920" s="1191"/>
      <c r="J920" s="1191"/>
      <c r="K920" s="1191"/>
      <c r="L920" s="1191"/>
      <c r="M920" s="1191"/>
      <c r="N920" s="1191"/>
      <c r="O920" s="1191"/>
      <c r="P920" s="1191"/>
      <c r="Q920" s="1191"/>
      <c r="R920" s="1191"/>
      <c r="S920" s="1191"/>
      <c r="T920" s="1191"/>
      <c r="U920" s="1191"/>
      <c r="V920" s="1192"/>
      <c r="W920" s="1191"/>
      <c r="X920" s="1191"/>
      <c r="Y920" s="1191"/>
      <c r="Z920" s="1191"/>
    </row>
    <row r="921" spans="1:26" ht="15.75" customHeight="1">
      <c r="A921" s="1191"/>
      <c r="B921" s="1191"/>
      <c r="C921" s="1191"/>
      <c r="D921" s="1191"/>
      <c r="E921" s="1191"/>
      <c r="F921" s="1191"/>
      <c r="G921" s="1191"/>
      <c r="H921" s="1191"/>
      <c r="I921" s="1191"/>
      <c r="J921" s="1191"/>
      <c r="K921" s="1191"/>
      <c r="L921" s="1191"/>
      <c r="M921" s="1191"/>
      <c r="N921" s="1191"/>
      <c r="O921" s="1191"/>
      <c r="P921" s="1191"/>
      <c r="Q921" s="1191"/>
      <c r="R921" s="1191"/>
      <c r="S921" s="1191"/>
      <c r="T921" s="1191"/>
      <c r="U921" s="1191"/>
      <c r="V921" s="1192"/>
      <c r="W921" s="1191"/>
      <c r="X921" s="1191"/>
      <c r="Y921" s="1191"/>
      <c r="Z921" s="1191"/>
    </row>
    <row r="922" spans="1:26" ht="15.75" customHeight="1">
      <c r="A922" s="1191"/>
      <c r="B922" s="1191"/>
      <c r="C922" s="1191"/>
      <c r="D922" s="1191"/>
      <c r="E922" s="1191"/>
      <c r="F922" s="1191"/>
      <c r="G922" s="1191"/>
      <c r="H922" s="1191"/>
      <c r="I922" s="1191"/>
      <c r="J922" s="1191"/>
      <c r="K922" s="1191"/>
      <c r="L922" s="1191"/>
      <c r="M922" s="1191"/>
      <c r="N922" s="1191"/>
      <c r="O922" s="1191"/>
      <c r="P922" s="1191"/>
      <c r="Q922" s="1191"/>
      <c r="R922" s="1191"/>
      <c r="S922" s="1191"/>
      <c r="T922" s="1191"/>
      <c r="U922" s="1191"/>
      <c r="V922" s="1192"/>
      <c r="W922" s="1191"/>
      <c r="X922" s="1191"/>
      <c r="Y922" s="1191"/>
      <c r="Z922" s="1191"/>
    </row>
    <row r="923" spans="1:26" ht="15.75" customHeight="1">
      <c r="A923" s="1191"/>
      <c r="B923" s="1191"/>
      <c r="C923" s="1191"/>
      <c r="D923" s="1191"/>
      <c r="E923" s="1191"/>
      <c r="F923" s="1191"/>
      <c r="G923" s="1191"/>
      <c r="H923" s="1191"/>
      <c r="I923" s="1191"/>
      <c r="J923" s="1191"/>
      <c r="K923" s="1191"/>
      <c r="L923" s="1191"/>
      <c r="M923" s="1191"/>
      <c r="N923" s="1191"/>
      <c r="O923" s="1191"/>
      <c r="P923" s="1191"/>
      <c r="Q923" s="1191"/>
      <c r="R923" s="1191"/>
      <c r="S923" s="1191"/>
      <c r="T923" s="1191"/>
      <c r="U923" s="1191"/>
      <c r="V923" s="1192"/>
      <c r="W923" s="1191"/>
      <c r="X923" s="1191"/>
      <c r="Y923" s="1191"/>
      <c r="Z923" s="1191"/>
    </row>
    <row r="924" spans="1:26" ht="15.75" customHeight="1">
      <c r="A924" s="1191"/>
      <c r="B924" s="1191"/>
      <c r="C924" s="1191"/>
      <c r="D924" s="1191"/>
      <c r="E924" s="1191"/>
      <c r="F924" s="1191"/>
      <c r="G924" s="1191"/>
      <c r="H924" s="1191"/>
      <c r="I924" s="1191"/>
      <c r="J924" s="1191"/>
      <c r="K924" s="1191"/>
      <c r="L924" s="1191"/>
      <c r="M924" s="1191"/>
      <c r="N924" s="1191"/>
      <c r="O924" s="1191"/>
      <c r="P924" s="1191"/>
      <c r="Q924" s="1191"/>
      <c r="R924" s="1191"/>
      <c r="S924" s="1191"/>
      <c r="T924" s="1191"/>
      <c r="U924" s="1191"/>
      <c r="V924" s="1192"/>
      <c r="W924" s="1191"/>
      <c r="X924" s="1191"/>
      <c r="Y924" s="1191"/>
      <c r="Z924" s="1191"/>
    </row>
    <row r="925" spans="1:26" ht="15.75" customHeight="1">
      <c r="A925" s="1191"/>
      <c r="B925" s="1191"/>
      <c r="C925" s="1191"/>
      <c r="D925" s="1191"/>
      <c r="E925" s="1191"/>
      <c r="F925" s="1191"/>
      <c r="G925" s="1191"/>
      <c r="H925" s="1191"/>
      <c r="I925" s="1191"/>
      <c r="J925" s="1191"/>
      <c r="K925" s="1191"/>
      <c r="L925" s="1191"/>
      <c r="M925" s="1191"/>
      <c r="N925" s="1191"/>
      <c r="O925" s="1191"/>
      <c r="P925" s="1191"/>
      <c r="Q925" s="1191"/>
      <c r="R925" s="1191"/>
      <c r="S925" s="1191"/>
      <c r="T925" s="1191"/>
      <c r="U925" s="1191"/>
      <c r="V925" s="1192"/>
      <c r="W925" s="1191"/>
      <c r="X925" s="1191"/>
      <c r="Y925" s="1191"/>
      <c r="Z925" s="1191"/>
    </row>
    <row r="926" spans="1:26" ht="15.75" customHeight="1">
      <c r="A926" s="1191"/>
      <c r="B926" s="1191"/>
      <c r="C926" s="1191"/>
      <c r="D926" s="1191"/>
      <c r="E926" s="1191"/>
      <c r="F926" s="1191"/>
      <c r="G926" s="1191"/>
      <c r="H926" s="1191"/>
      <c r="I926" s="1191"/>
      <c r="J926" s="1191"/>
      <c r="K926" s="1191"/>
      <c r="L926" s="1191"/>
      <c r="M926" s="1191"/>
      <c r="N926" s="1191"/>
      <c r="O926" s="1191"/>
      <c r="P926" s="1191"/>
      <c r="Q926" s="1191"/>
      <c r="R926" s="1191"/>
      <c r="S926" s="1191"/>
      <c r="T926" s="1191"/>
      <c r="U926" s="1191"/>
      <c r="V926" s="1192"/>
      <c r="W926" s="1191"/>
      <c r="X926" s="1191"/>
      <c r="Y926" s="1191"/>
      <c r="Z926" s="1191"/>
    </row>
    <row r="927" spans="1:26" ht="15.75" customHeight="1">
      <c r="A927" s="1191"/>
      <c r="B927" s="1191"/>
      <c r="C927" s="1191"/>
      <c r="D927" s="1191"/>
      <c r="E927" s="1191"/>
      <c r="F927" s="1191"/>
      <c r="G927" s="1191"/>
      <c r="H927" s="1191"/>
      <c r="I927" s="1191"/>
      <c r="J927" s="1191"/>
      <c r="K927" s="1191"/>
      <c r="L927" s="1191"/>
      <c r="M927" s="1191"/>
      <c r="N927" s="1191"/>
      <c r="O927" s="1191"/>
      <c r="P927" s="1191"/>
      <c r="Q927" s="1191"/>
      <c r="R927" s="1191"/>
      <c r="S927" s="1191"/>
      <c r="T927" s="1191"/>
      <c r="U927" s="1191"/>
      <c r="V927" s="1192"/>
      <c r="W927" s="1191"/>
      <c r="X927" s="1191"/>
      <c r="Y927" s="1191"/>
      <c r="Z927" s="1191"/>
    </row>
    <row r="928" spans="1:26" ht="15.75" customHeight="1">
      <c r="A928" s="1191"/>
      <c r="B928" s="1191"/>
      <c r="C928" s="1191"/>
      <c r="D928" s="1191"/>
      <c r="E928" s="1191"/>
      <c r="F928" s="1191"/>
      <c r="G928" s="1191"/>
      <c r="H928" s="1191"/>
      <c r="I928" s="1191"/>
      <c r="J928" s="1191"/>
      <c r="K928" s="1191"/>
      <c r="L928" s="1191"/>
      <c r="M928" s="1191"/>
      <c r="N928" s="1191"/>
      <c r="O928" s="1191"/>
      <c r="P928" s="1191"/>
      <c r="Q928" s="1191"/>
      <c r="R928" s="1191"/>
      <c r="S928" s="1191"/>
      <c r="T928" s="1191"/>
      <c r="U928" s="1191"/>
      <c r="V928" s="1192"/>
      <c r="W928" s="1191"/>
      <c r="X928" s="1191"/>
      <c r="Y928" s="1191"/>
      <c r="Z928" s="1191"/>
    </row>
    <row r="929" spans="1:26" ht="15.75" customHeight="1">
      <c r="A929" s="1191"/>
      <c r="B929" s="1191"/>
      <c r="C929" s="1191"/>
      <c r="D929" s="1191"/>
      <c r="E929" s="1191"/>
      <c r="F929" s="1191"/>
      <c r="G929" s="1191"/>
      <c r="H929" s="1191"/>
      <c r="I929" s="1191"/>
      <c r="J929" s="1191"/>
      <c r="K929" s="1191"/>
      <c r="L929" s="1191"/>
      <c r="M929" s="1191"/>
      <c r="N929" s="1191"/>
      <c r="O929" s="1191"/>
      <c r="P929" s="1191"/>
      <c r="Q929" s="1191"/>
      <c r="R929" s="1191"/>
      <c r="S929" s="1191"/>
      <c r="T929" s="1191"/>
      <c r="U929" s="1191"/>
      <c r="V929" s="1192"/>
      <c r="W929" s="1191"/>
      <c r="X929" s="1191"/>
      <c r="Y929" s="1191"/>
      <c r="Z929" s="1191"/>
    </row>
    <row r="930" spans="1:26" ht="15.75" customHeight="1">
      <c r="A930" s="1191"/>
      <c r="B930" s="1191"/>
      <c r="C930" s="1191"/>
      <c r="D930" s="1191"/>
      <c r="E930" s="1191"/>
      <c r="F930" s="1191"/>
      <c r="G930" s="1191"/>
      <c r="H930" s="1191"/>
      <c r="I930" s="1191"/>
      <c r="J930" s="1191"/>
      <c r="K930" s="1191"/>
      <c r="L930" s="1191"/>
      <c r="M930" s="1191"/>
      <c r="N930" s="1191"/>
      <c r="O930" s="1191"/>
      <c r="P930" s="1191"/>
      <c r="Q930" s="1191"/>
      <c r="R930" s="1191"/>
      <c r="S930" s="1191"/>
      <c r="T930" s="1191"/>
      <c r="U930" s="1191"/>
      <c r="V930" s="1192"/>
      <c r="W930" s="1191"/>
      <c r="X930" s="1191"/>
      <c r="Y930" s="1191"/>
      <c r="Z930" s="1191"/>
    </row>
    <row r="931" spans="1:26" ht="15.75" customHeight="1">
      <c r="A931" s="1191"/>
      <c r="B931" s="1191"/>
      <c r="C931" s="1191"/>
      <c r="D931" s="1191"/>
      <c r="E931" s="1191"/>
      <c r="F931" s="1191"/>
      <c r="G931" s="1191"/>
      <c r="H931" s="1191"/>
      <c r="I931" s="1191"/>
      <c r="J931" s="1191"/>
      <c r="K931" s="1191"/>
      <c r="L931" s="1191"/>
      <c r="M931" s="1191"/>
      <c r="N931" s="1191"/>
      <c r="O931" s="1191"/>
      <c r="P931" s="1191"/>
      <c r="Q931" s="1191"/>
      <c r="R931" s="1191"/>
      <c r="S931" s="1191"/>
      <c r="T931" s="1191"/>
      <c r="U931" s="1191"/>
      <c r="V931" s="1192"/>
      <c r="W931" s="1191"/>
      <c r="X931" s="1191"/>
      <c r="Y931" s="1191"/>
      <c r="Z931" s="1191"/>
    </row>
    <row r="932" spans="1:26" ht="15.75" customHeight="1">
      <c r="A932" s="1191"/>
      <c r="B932" s="1191"/>
      <c r="C932" s="1191"/>
      <c r="D932" s="1191"/>
      <c r="E932" s="1191"/>
      <c r="F932" s="1191"/>
      <c r="G932" s="1191"/>
      <c r="H932" s="1191"/>
      <c r="I932" s="1191"/>
      <c r="J932" s="1191"/>
      <c r="K932" s="1191"/>
      <c r="L932" s="1191"/>
      <c r="M932" s="1191"/>
      <c r="N932" s="1191"/>
      <c r="O932" s="1191"/>
      <c r="P932" s="1191"/>
      <c r="Q932" s="1191"/>
      <c r="R932" s="1191"/>
      <c r="S932" s="1191"/>
      <c r="T932" s="1191"/>
      <c r="U932" s="1191"/>
      <c r="V932" s="1192"/>
      <c r="W932" s="1191"/>
      <c r="X932" s="1191"/>
      <c r="Y932" s="1191"/>
      <c r="Z932" s="1191"/>
    </row>
    <row r="933" spans="1:26" ht="15.75" customHeight="1">
      <c r="A933" s="1191"/>
      <c r="B933" s="1191"/>
      <c r="C933" s="1191"/>
      <c r="D933" s="1191"/>
      <c r="E933" s="1191"/>
      <c r="F933" s="1191"/>
      <c r="G933" s="1191"/>
      <c r="H933" s="1191"/>
      <c r="I933" s="1191"/>
      <c r="J933" s="1191"/>
      <c r="K933" s="1191"/>
      <c r="L933" s="1191"/>
      <c r="M933" s="1191"/>
      <c r="N933" s="1191"/>
      <c r="O933" s="1191"/>
      <c r="P933" s="1191"/>
      <c r="Q933" s="1191"/>
      <c r="R933" s="1191"/>
      <c r="S933" s="1191"/>
      <c r="T933" s="1191"/>
      <c r="U933" s="1191"/>
      <c r="V933" s="1192"/>
      <c r="W933" s="1191"/>
      <c r="X933" s="1191"/>
      <c r="Y933" s="1191"/>
      <c r="Z933" s="1191"/>
    </row>
    <row r="934" spans="1:26" ht="15.75" customHeight="1">
      <c r="A934" s="1191"/>
      <c r="B934" s="1191"/>
      <c r="C934" s="1191"/>
      <c r="D934" s="1191"/>
      <c r="E934" s="1191"/>
      <c r="F934" s="1191"/>
      <c r="G934" s="1191"/>
      <c r="H934" s="1191"/>
      <c r="I934" s="1191"/>
      <c r="J934" s="1191"/>
      <c r="K934" s="1191"/>
      <c r="L934" s="1191"/>
      <c r="M934" s="1191"/>
      <c r="N934" s="1191"/>
      <c r="O934" s="1191"/>
      <c r="P934" s="1191"/>
      <c r="Q934" s="1191"/>
      <c r="R934" s="1191"/>
      <c r="S934" s="1191"/>
      <c r="T934" s="1191"/>
      <c r="U934" s="1191"/>
      <c r="V934" s="1192"/>
      <c r="W934" s="1191"/>
      <c r="X934" s="1191"/>
      <c r="Y934" s="1191"/>
      <c r="Z934" s="1191"/>
    </row>
    <row r="935" spans="1:26" ht="15.75" customHeight="1">
      <c r="A935" s="1191"/>
      <c r="B935" s="1191"/>
      <c r="C935" s="1191"/>
      <c r="D935" s="1191"/>
      <c r="E935" s="1191"/>
      <c r="F935" s="1191"/>
      <c r="G935" s="1191"/>
      <c r="H935" s="1191"/>
      <c r="I935" s="1191"/>
      <c r="J935" s="1191"/>
      <c r="K935" s="1191"/>
      <c r="L935" s="1191"/>
      <c r="M935" s="1191"/>
      <c r="N935" s="1191"/>
      <c r="O935" s="1191"/>
      <c r="P935" s="1191"/>
      <c r="Q935" s="1191"/>
      <c r="R935" s="1191"/>
      <c r="S935" s="1191"/>
      <c r="T935" s="1191"/>
      <c r="U935" s="1191"/>
      <c r="V935" s="1192"/>
      <c r="W935" s="1191"/>
      <c r="X935" s="1191"/>
      <c r="Y935" s="1191"/>
      <c r="Z935" s="1191"/>
    </row>
    <row r="936" spans="1:26" ht="15.75" customHeight="1">
      <c r="A936" s="1191"/>
      <c r="B936" s="1191"/>
      <c r="C936" s="1191"/>
      <c r="D936" s="1191"/>
      <c r="E936" s="1191"/>
      <c r="F936" s="1191"/>
      <c r="G936" s="1191"/>
      <c r="H936" s="1191"/>
      <c r="I936" s="1191"/>
      <c r="J936" s="1191"/>
      <c r="K936" s="1191"/>
      <c r="L936" s="1191"/>
      <c r="M936" s="1191"/>
      <c r="N936" s="1191"/>
      <c r="O936" s="1191"/>
      <c r="P936" s="1191"/>
      <c r="Q936" s="1191"/>
      <c r="R936" s="1191"/>
      <c r="S936" s="1191"/>
      <c r="T936" s="1191"/>
      <c r="U936" s="1191"/>
      <c r="V936" s="1192"/>
      <c r="W936" s="1191"/>
      <c r="X936" s="1191"/>
      <c r="Y936" s="1191"/>
      <c r="Z936" s="1191"/>
    </row>
    <row r="937" spans="1:26" ht="15.75" customHeight="1">
      <c r="A937" s="1191"/>
      <c r="B937" s="1191"/>
      <c r="C937" s="1191"/>
      <c r="D937" s="1191"/>
      <c r="E937" s="1191"/>
      <c r="F937" s="1191"/>
      <c r="G937" s="1191"/>
      <c r="H937" s="1191"/>
      <c r="I937" s="1191"/>
      <c r="J937" s="1191"/>
      <c r="K937" s="1191"/>
      <c r="L937" s="1191"/>
      <c r="M937" s="1191"/>
      <c r="N937" s="1191"/>
      <c r="O937" s="1191"/>
      <c r="P937" s="1191"/>
      <c r="Q937" s="1191"/>
      <c r="R937" s="1191"/>
      <c r="S937" s="1191"/>
      <c r="T937" s="1191"/>
      <c r="U937" s="1191"/>
      <c r="V937" s="1192"/>
      <c r="W937" s="1191"/>
      <c r="X937" s="1191"/>
      <c r="Y937" s="1191"/>
      <c r="Z937" s="1191"/>
    </row>
    <row r="938" spans="1:26" ht="15.75" customHeight="1">
      <c r="A938" s="1191"/>
      <c r="B938" s="1191"/>
      <c r="C938" s="1191"/>
      <c r="D938" s="1191"/>
      <c r="E938" s="1191"/>
      <c r="F938" s="1191"/>
      <c r="G938" s="1191"/>
      <c r="H938" s="1191"/>
      <c r="I938" s="1191"/>
      <c r="J938" s="1191"/>
      <c r="K938" s="1191"/>
      <c r="L938" s="1191"/>
      <c r="M938" s="1191"/>
      <c r="N938" s="1191"/>
      <c r="O938" s="1191"/>
      <c r="P938" s="1191"/>
      <c r="Q938" s="1191"/>
      <c r="R938" s="1191"/>
      <c r="S938" s="1191"/>
      <c r="T938" s="1191"/>
      <c r="U938" s="1191"/>
      <c r="V938" s="1192"/>
      <c r="W938" s="1191"/>
      <c r="X938" s="1191"/>
      <c r="Y938" s="1191"/>
      <c r="Z938" s="1191"/>
    </row>
    <row r="939" spans="1:26" ht="15.75" customHeight="1">
      <c r="A939" s="1191"/>
      <c r="B939" s="1191"/>
      <c r="C939" s="1191"/>
      <c r="D939" s="1191"/>
      <c r="E939" s="1191"/>
      <c r="F939" s="1191"/>
      <c r="G939" s="1191"/>
      <c r="H939" s="1191"/>
      <c r="I939" s="1191"/>
      <c r="J939" s="1191"/>
      <c r="K939" s="1191"/>
      <c r="L939" s="1191"/>
      <c r="M939" s="1191"/>
      <c r="N939" s="1191"/>
      <c r="O939" s="1191"/>
      <c r="P939" s="1191"/>
      <c r="Q939" s="1191"/>
      <c r="R939" s="1191"/>
      <c r="S939" s="1191"/>
      <c r="T939" s="1191"/>
      <c r="U939" s="1191"/>
      <c r="V939" s="1192"/>
      <c r="W939" s="1191"/>
      <c r="X939" s="1191"/>
      <c r="Y939" s="1191"/>
      <c r="Z939" s="1191"/>
    </row>
    <row r="940" spans="1:26" ht="15.75" customHeight="1">
      <c r="A940" s="1191"/>
      <c r="B940" s="1191"/>
      <c r="C940" s="1191"/>
      <c r="D940" s="1191"/>
      <c r="E940" s="1191"/>
      <c r="F940" s="1191"/>
      <c r="G940" s="1191"/>
      <c r="H940" s="1191"/>
      <c r="I940" s="1191"/>
      <c r="J940" s="1191"/>
      <c r="K940" s="1191"/>
      <c r="L940" s="1191"/>
      <c r="M940" s="1191"/>
      <c r="N940" s="1191"/>
      <c r="O940" s="1191"/>
      <c r="P940" s="1191"/>
      <c r="Q940" s="1191"/>
      <c r="R940" s="1191"/>
      <c r="S940" s="1191"/>
      <c r="T940" s="1191"/>
      <c r="U940" s="1191"/>
      <c r="V940" s="1192"/>
      <c r="W940" s="1191"/>
      <c r="X940" s="1191"/>
      <c r="Y940" s="1191"/>
      <c r="Z940" s="1191"/>
    </row>
    <row r="941" spans="1:26" ht="15.75" customHeight="1">
      <c r="A941" s="1191"/>
      <c r="B941" s="1191"/>
      <c r="C941" s="1191"/>
      <c r="D941" s="1191"/>
      <c r="E941" s="1191"/>
      <c r="F941" s="1191"/>
      <c r="G941" s="1191"/>
      <c r="H941" s="1191"/>
      <c r="I941" s="1191"/>
      <c r="J941" s="1191"/>
      <c r="K941" s="1191"/>
      <c r="L941" s="1191"/>
      <c r="M941" s="1191"/>
      <c r="N941" s="1191"/>
      <c r="O941" s="1191"/>
      <c r="P941" s="1191"/>
      <c r="Q941" s="1191"/>
      <c r="R941" s="1191"/>
      <c r="S941" s="1191"/>
      <c r="T941" s="1191"/>
      <c r="U941" s="1191"/>
      <c r="V941" s="1192"/>
      <c r="W941" s="1191"/>
      <c r="X941" s="1191"/>
      <c r="Y941" s="1191"/>
      <c r="Z941" s="1191"/>
    </row>
    <row r="942" spans="1:26" ht="15.75" customHeight="1">
      <c r="A942" s="1191"/>
      <c r="B942" s="1191"/>
      <c r="C942" s="1191"/>
      <c r="D942" s="1191"/>
      <c r="E942" s="1191"/>
      <c r="F942" s="1191"/>
      <c r="G942" s="1191"/>
      <c r="H942" s="1191"/>
      <c r="I942" s="1191"/>
      <c r="J942" s="1191"/>
      <c r="K942" s="1191"/>
      <c r="L942" s="1191"/>
      <c r="M942" s="1191"/>
      <c r="N942" s="1191"/>
      <c r="O942" s="1191"/>
      <c r="P942" s="1191"/>
      <c r="Q942" s="1191"/>
      <c r="R942" s="1191"/>
      <c r="S942" s="1191"/>
      <c r="T942" s="1191"/>
      <c r="U942" s="1191"/>
      <c r="V942" s="1192"/>
      <c r="W942" s="1191"/>
      <c r="X942" s="1191"/>
      <c r="Y942" s="1191"/>
      <c r="Z942" s="1191"/>
    </row>
    <row r="943" spans="1:26" ht="15.75" customHeight="1">
      <c r="A943" s="1191"/>
      <c r="B943" s="1191"/>
      <c r="C943" s="1191"/>
      <c r="D943" s="1191"/>
      <c r="E943" s="1191"/>
      <c r="F943" s="1191"/>
      <c r="G943" s="1191"/>
      <c r="H943" s="1191"/>
      <c r="I943" s="1191"/>
      <c r="J943" s="1191"/>
      <c r="K943" s="1191"/>
      <c r="L943" s="1191"/>
      <c r="M943" s="1191"/>
      <c r="N943" s="1191"/>
      <c r="O943" s="1191"/>
      <c r="P943" s="1191"/>
      <c r="Q943" s="1191"/>
      <c r="R943" s="1191"/>
      <c r="S943" s="1191"/>
      <c r="T943" s="1191"/>
      <c r="U943" s="1191"/>
      <c r="V943" s="1192"/>
      <c r="W943" s="1191"/>
      <c r="X943" s="1191"/>
      <c r="Y943" s="1191"/>
      <c r="Z943" s="1191"/>
    </row>
    <row r="944" spans="1:26" ht="15.75" customHeight="1">
      <c r="A944" s="1191"/>
      <c r="B944" s="1191"/>
      <c r="C944" s="1191"/>
      <c r="D944" s="1191"/>
      <c r="E944" s="1191"/>
      <c r="F944" s="1191"/>
      <c r="G944" s="1191"/>
      <c r="H944" s="1191"/>
      <c r="I944" s="1191"/>
      <c r="J944" s="1191"/>
      <c r="K944" s="1191"/>
      <c r="L944" s="1191"/>
      <c r="M944" s="1191"/>
      <c r="N944" s="1191"/>
      <c r="O944" s="1191"/>
      <c r="P944" s="1191"/>
      <c r="Q944" s="1191"/>
      <c r="R944" s="1191"/>
      <c r="S944" s="1191"/>
      <c r="T944" s="1191"/>
      <c r="U944" s="1191"/>
      <c r="V944" s="1192"/>
      <c r="W944" s="1191"/>
      <c r="X944" s="1191"/>
      <c r="Y944" s="1191"/>
      <c r="Z944" s="1191"/>
    </row>
    <row r="945" spans="1:26" ht="15.75" customHeight="1">
      <c r="A945" s="1191"/>
      <c r="B945" s="1191"/>
      <c r="C945" s="1191"/>
      <c r="D945" s="1191"/>
      <c r="E945" s="1191"/>
      <c r="F945" s="1191"/>
      <c r="G945" s="1191"/>
      <c r="H945" s="1191"/>
      <c r="I945" s="1191"/>
      <c r="J945" s="1191"/>
      <c r="K945" s="1191"/>
      <c r="L945" s="1191"/>
      <c r="M945" s="1191"/>
      <c r="N945" s="1191"/>
      <c r="O945" s="1191"/>
      <c r="P945" s="1191"/>
      <c r="Q945" s="1191"/>
      <c r="R945" s="1191"/>
      <c r="S945" s="1191"/>
      <c r="T945" s="1191"/>
      <c r="U945" s="1191"/>
      <c r="V945" s="1192"/>
      <c r="W945" s="1191"/>
      <c r="X945" s="1191"/>
      <c r="Y945" s="1191"/>
      <c r="Z945" s="1191"/>
    </row>
    <row r="946" spans="1:26" ht="15.75" customHeight="1">
      <c r="A946" s="1191"/>
      <c r="B946" s="1191"/>
      <c r="C946" s="1191"/>
      <c r="D946" s="1191"/>
      <c r="E946" s="1191"/>
      <c r="F946" s="1191"/>
      <c r="G946" s="1191"/>
      <c r="H946" s="1191"/>
      <c r="I946" s="1191"/>
      <c r="J946" s="1191"/>
      <c r="K946" s="1191"/>
      <c r="L946" s="1191"/>
      <c r="M946" s="1191"/>
      <c r="N946" s="1191"/>
      <c r="O946" s="1191"/>
      <c r="P946" s="1191"/>
      <c r="Q946" s="1191"/>
      <c r="R946" s="1191"/>
      <c r="S946" s="1191"/>
      <c r="T946" s="1191"/>
      <c r="U946" s="1191"/>
      <c r="V946" s="1192"/>
      <c r="W946" s="1191"/>
      <c r="X946" s="1191"/>
      <c r="Y946" s="1191"/>
      <c r="Z946" s="1191"/>
    </row>
    <row r="947" spans="1:26" ht="15.75" customHeight="1">
      <c r="A947" s="1191"/>
      <c r="B947" s="1191"/>
      <c r="C947" s="1191"/>
      <c r="D947" s="1191"/>
      <c r="E947" s="1191"/>
      <c r="F947" s="1191"/>
      <c r="G947" s="1191"/>
      <c r="H947" s="1191"/>
      <c r="I947" s="1191"/>
      <c r="J947" s="1191"/>
      <c r="K947" s="1191"/>
      <c r="L947" s="1191"/>
      <c r="M947" s="1191"/>
      <c r="N947" s="1191"/>
      <c r="O947" s="1191"/>
      <c r="P947" s="1191"/>
      <c r="Q947" s="1191"/>
      <c r="R947" s="1191"/>
      <c r="S947" s="1191"/>
      <c r="T947" s="1191"/>
      <c r="U947" s="1191"/>
      <c r="V947" s="1192"/>
      <c r="W947" s="1191"/>
      <c r="X947" s="1191"/>
      <c r="Y947" s="1191"/>
      <c r="Z947" s="1191"/>
    </row>
    <row r="948" spans="1:26" ht="15.75" customHeight="1">
      <c r="A948" s="1191"/>
      <c r="B948" s="1191"/>
      <c r="C948" s="1191"/>
      <c r="D948" s="1191"/>
      <c r="E948" s="1191"/>
      <c r="F948" s="1191"/>
      <c r="G948" s="1191"/>
      <c r="H948" s="1191"/>
      <c r="I948" s="1191"/>
      <c r="J948" s="1191"/>
      <c r="K948" s="1191"/>
      <c r="L948" s="1191"/>
      <c r="M948" s="1191"/>
      <c r="N948" s="1191"/>
      <c r="O948" s="1191"/>
      <c r="P948" s="1191"/>
      <c r="Q948" s="1191"/>
      <c r="R948" s="1191"/>
      <c r="S948" s="1191"/>
      <c r="T948" s="1191"/>
      <c r="U948" s="1191"/>
      <c r="V948" s="1192"/>
      <c r="W948" s="1191"/>
      <c r="X948" s="1191"/>
      <c r="Y948" s="1191"/>
      <c r="Z948" s="1191"/>
    </row>
    <row r="949" spans="1:26" ht="15.75" customHeight="1">
      <c r="A949" s="1191"/>
      <c r="B949" s="1191"/>
      <c r="C949" s="1191"/>
      <c r="D949" s="1191"/>
      <c r="E949" s="1191"/>
      <c r="F949" s="1191"/>
      <c r="G949" s="1191"/>
      <c r="H949" s="1191"/>
      <c r="I949" s="1191"/>
      <c r="J949" s="1191"/>
      <c r="K949" s="1191"/>
      <c r="L949" s="1191"/>
      <c r="M949" s="1191"/>
      <c r="N949" s="1191"/>
      <c r="O949" s="1191"/>
      <c r="P949" s="1191"/>
      <c r="Q949" s="1191"/>
      <c r="R949" s="1191"/>
      <c r="S949" s="1191"/>
      <c r="T949" s="1191"/>
      <c r="U949" s="1191"/>
      <c r="V949" s="1192"/>
      <c r="W949" s="1191"/>
      <c r="X949" s="1191"/>
      <c r="Y949" s="1191"/>
      <c r="Z949" s="1191"/>
    </row>
    <row r="950" spans="1:26" ht="15.75" customHeight="1">
      <c r="A950" s="1191"/>
      <c r="B950" s="1191"/>
      <c r="C950" s="1191"/>
      <c r="D950" s="1191"/>
      <c r="E950" s="1191"/>
      <c r="F950" s="1191"/>
      <c r="G950" s="1191"/>
      <c r="H950" s="1191"/>
      <c r="I950" s="1191"/>
      <c r="J950" s="1191"/>
      <c r="K950" s="1191"/>
      <c r="L950" s="1191"/>
      <c r="M950" s="1191"/>
      <c r="N950" s="1191"/>
      <c r="O950" s="1191"/>
      <c r="P950" s="1191"/>
      <c r="Q950" s="1191"/>
      <c r="R950" s="1191"/>
      <c r="S950" s="1191"/>
      <c r="T950" s="1191"/>
      <c r="U950" s="1191"/>
      <c r="V950" s="1192"/>
      <c r="W950" s="1191"/>
      <c r="X950" s="1191"/>
      <c r="Y950" s="1191"/>
      <c r="Z950" s="1191"/>
    </row>
    <row r="951" spans="1:26" ht="15.75" customHeight="1">
      <c r="A951" s="1191"/>
      <c r="B951" s="1191"/>
      <c r="C951" s="1191"/>
      <c r="D951" s="1191"/>
      <c r="E951" s="1191"/>
      <c r="F951" s="1191"/>
      <c r="G951" s="1191"/>
      <c r="H951" s="1191"/>
      <c r="I951" s="1191"/>
      <c r="J951" s="1191"/>
      <c r="K951" s="1191"/>
      <c r="L951" s="1191"/>
      <c r="M951" s="1191"/>
      <c r="N951" s="1191"/>
      <c r="O951" s="1191"/>
      <c r="P951" s="1191"/>
      <c r="Q951" s="1191"/>
      <c r="R951" s="1191"/>
      <c r="S951" s="1191"/>
      <c r="T951" s="1191"/>
      <c r="U951" s="1191"/>
      <c r="V951" s="1192"/>
      <c r="W951" s="1191"/>
      <c r="X951" s="1191"/>
      <c r="Y951" s="1191"/>
      <c r="Z951" s="1191"/>
    </row>
    <row r="952" spans="1:26" ht="15.75" customHeight="1">
      <c r="A952" s="1191"/>
      <c r="B952" s="1191"/>
      <c r="C952" s="1191"/>
      <c r="D952" s="1191"/>
      <c r="E952" s="1191"/>
      <c r="F952" s="1191"/>
      <c r="G952" s="1191"/>
      <c r="H952" s="1191"/>
      <c r="I952" s="1191"/>
      <c r="J952" s="1191"/>
      <c r="K952" s="1191"/>
      <c r="L952" s="1191"/>
      <c r="M952" s="1191"/>
      <c r="N952" s="1191"/>
      <c r="O952" s="1191"/>
      <c r="P952" s="1191"/>
      <c r="Q952" s="1191"/>
      <c r="R952" s="1191"/>
      <c r="S952" s="1191"/>
      <c r="T952" s="1191"/>
      <c r="U952" s="1191"/>
      <c r="V952" s="1192"/>
      <c r="W952" s="1191"/>
      <c r="X952" s="1191"/>
      <c r="Y952" s="1191"/>
      <c r="Z952" s="1191"/>
    </row>
    <row r="953" spans="1:26" ht="15.75" customHeight="1">
      <c r="A953" s="1191"/>
      <c r="B953" s="1191"/>
      <c r="C953" s="1191"/>
      <c r="D953" s="1191"/>
      <c r="E953" s="1191"/>
      <c r="F953" s="1191"/>
      <c r="G953" s="1191"/>
      <c r="H953" s="1191"/>
      <c r="I953" s="1191"/>
      <c r="J953" s="1191"/>
      <c r="K953" s="1191"/>
      <c r="L953" s="1191"/>
      <c r="M953" s="1191"/>
      <c r="N953" s="1191"/>
      <c r="O953" s="1191"/>
      <c r="P953" s="1191"/>
      <c r="Q953" s="1191"/>
      <c r="R953" s="1191"/>
      <c r="S953" s="1191"/>
      <c r="T953" s="1191"/>
      <c r="U953" s="1191"/>
      <c r="V953" s="1192"/>
      <c r="W953" s="1191"/>
      <c r="X953" s="1191"/>
      <c r="Y953" s="1191"/>
      <c r="Z953" s="1191"/>
    </row>
    <row r="954" spans="1:26" ht="15.75" customHeight="1">
      <c r="A954" s="1191"/>
      <c r="B954" s="1191"/>
      <c r="C954" s="1191"/>
      <c r="D954" s="1191"/>
      <c r="E954" s="1191"/>
      <c r="F954" s="1191"/>
      <c r="G954" s="1191"/>
      <c r="H954" s="1191"/>
      <c r="I954" s="1191"/>
      <c r="J954" s="1191"/>
      <c r="K954" s="1191"/>
      <c r="L954" s="1191"/>
      <c r="M954" s="1191"/>
      <c r="N954" s="1191"/>
      <c r="O954" s="1191"/>
      <c r="P954" s="1191"/>
      <c r="Q954" s="1191"/>
      <c r="R954" s="1191"/>
      <c r="S954" s="1191"/>
      <c r="T954" s="1191"/>
      <c r="U954" s="1191"/>
      <c r="V954" s="1192"/>
      <c r="W954" s="1191"/>
      <c r="X954" s="1191"/>
      <c r="Y954" s="1191"/>
      <c r="Z954" s="1191"/>
    </row>
    <row r="955" spans="1:26" ht="15.75" customHeight="1">
      <c r="A955" s="1191"/>
      <c r="B955" s="1191"/>
      <c r="C955" s="1191"/>
      <c r="D955" s="1191"/>
      <c r="E955" s="1191"/>
      <c r="F955" s="1191"/>
      <c r="G955" s="1191"/>
      <c r="H955" s="1191"/>
      <c r="I955" s="1191"/>
      <c r="J955" s="1191"/>
      <c r="K955" s="1191"/>
      <c r="L955" s="1191"/>
      <c r="M955" s="1191"/>
      <c r="N955" s="1191"/>
      <c r="O955" s="1191"/>
      <c r="P955" s="1191"/>
      <c r="Q955" s="1191"/>
      <c r="R955" s="1191"/>
      <c r="S955" s="1191"/>
      <c r="T955" s="1191"/>
      <c r="U955" s="1191"/>
      <c r="V955" s="1192"/>
      <c r="W955" s="1191"/>
      <c r="X955" s="1191"/>
      <c r="Y955" s="1191"/>
      <c r="Z955" s="1191"/>
    </row>
    <row r="956" spans="1:26" ht="15.75" customHeight="1">
      <c r="A956" s="1191"/>
      <c r="B956" s="1191"/>
      <c r="C956" s="1191"/>
      <c r="D956" s="1191"/>
      <c r="E956" s="1191"/>
      <c r="F956" s="1191"/>
      <c r="G956" s="1191"/>
      <c r="H956" s="1191"/>
      <c r="I956" s="1191"/>
      <c r="J956" s="1191"/>
      <c r="K956" s="1191"/>
      <c r="L956" s="1191"/>
      <c r="M956" s="1191"/>
      <c r="N956" s="1191"/>
      <c r="O956" s="1191"/>
      <c r="P956" s="1191"/>
      <c r="Q956" s="1191"/>
      <c r="R956" s="1191"/>
      <c r="S956" s="1191"/>
      <c r="T956" s="1191"/>
      <c r="U956" s="1191"/>
      <c r="V956" s="1192"/>
      <c r="W956" s="1191"/>
      <c r="X956" s="1191"/>
      <c r="Y956" s="1191"/>
      <c r="Z956" s="1191"/>
    </row>
    <row r="957" spans="1:26" ht="15.75" customHeight="1">
      <c r="A957" s="1191"/>
      <c r="B957" s="1191"/>
      <c r="C957" s="1191"/>
      <c r="D957" s="1191"/>
      <c r="E957" s="1191"/>
      <c r="F957" s="1191"/>
      <c r="G957" s="1191"/>
      <c r="H957" s="1191"/>
      <c r="I957" s="1191"/>
      <c r="J957" s="1191"/>
      <c r="K957" s="1191"/>
      <c r="L957" s="1191"/>
      <c r="M957" s="1191"/>
      <c r="N957" s="1191"/>
      <c r="O957" s="1191"/>
      <c r="P957" s="1191"/>
      <c r="Q957" s="1191"/>
      <c r="R957" s="1191"/>
      <c r="S957" s="1191"/>
      <c r="T957" s="1191"/>
      <c r="U957" s="1191"/>
      <c r="V957" s="1192"/>
      <c r="W957" s="1191"/>
      <c r="X957" s="1191"/>
      <c r="Y957" s="1191"/>
      <c r="Z957" s="1191"/>
    </row>
    <row r="958" spans="1:26" ht="15.75" customHeight="1">
      <c r="A958" s="1191"/>
      <c r="B958" s="1191"/>
      <c r="C958" s="1191"/>
      <c r="D958" s="1191"/>
      <c r="E958" s="1191"/>
      <c r="F958" s="1191"/>
      <c r="G958" s="1191"/>
      <c r="H958" s="1191"/>
      <c r="I958" s="1191"/>
      <c r="J958" s="1191"/>
      <c r="K958" s="1191"/>
      <c r="L958" s="1191"/>
      <c r="M958" s="1191"/>
      <c r="N958" s="1191"/>
      <c r="O958" s="1191"/>
      <c r="P958" s="1191"/>
      <c r="Q958" s="1191"/>
      <c r="R958" s="1191"/>
      <c r="S958" s="1191"/>
      <c r="T958" s="1191"/>
      <c r="U958" s="1191"/>
      <c r="V958" s="1192"/>
      <c r="W958" s="1191"/>
      <c r="X958" s="1191"/>
      <c r="Y958" s="1191"/>
      <c r="Z958" s="1191"/>
    </row>
    <row r="959" spans="1:26" ht="15.75" customHeight="1">
      <c r="A959" s="1191"/>
      <c r="B959" s="1191"/>
      <c r="C959" s="1191"/>
      <c r="D959" s="1191"/>
      <c r="E959" s="1191"/>
      <c r="F959" s="1191"/>
      <c r="G959" s="1191"/>
      <c r="H959" s="1191"/>
      <c r="I959" s="1191"/>
      <c r="J959" s="1191"/>
      <c r="K959" s="1191"/>
      <c r="L959" s="1191"/>
      <c r="M959" s="1191"/>
      <c r="N959" s="1191"/>
      <c r="O959" s="1191"/>
      <c r="P959" s="1191"/>
      <c r="Q959" s="1191"/>
      <c r="R959" s="1191"/>
      <c r="S959" s="1191"/>
      <c r="T959" s="1191"/>
      <c r="U959" s="1191"/>
      <c r="V959" s="1192"/>
      <c r="W959" s="1191"/>
      <c r="X959" s="1191"/>
      <c r="Y959" s="1191"/>
      <c r="Z959" s="1191"/>
    </row>
    <row r="960" spans="1:26" ht="15.75" customHeight="1">
      <c r="A960" s="1191"/>
      <c r="B960" s="1191"/>
      <c r="C960" s="1191"/>
      <c r="D960" s="1191"/>
      <c r="E960" s="1191"/>
      <c r="F960" s="1191"/>
      <c r="G960" s="1191"/>
      <c r="H960" s="1191"/>
      <c r="I960" s="1191"/>
      <c r="J960" s="1191"/>
      <c r="K960" s="1191"/>
      <c r="L960" s="1191"/>
      <c r="M960" s="1191"/>
      <c r="N960" s="1191"/>
      <c r="O960" s="1191"/>
      <c r="P960" s="1191"/>
      <c r="Q960" s="1191"/>
      <c r="R960" s="1191"/>
      <c r="S960" s="1191"/>
      <c r="T960" s="1191"/>
      <c r="U960" s="1191"/>
      <c r="V960" s="1192"/>
      <c r="W960" s="1191"/>
      <c r="X960" s="1191"/>
      <c r="Y960" s="1191"/>
      <c r="Z960" s="1191"/>
    </row>
    <row r="961" spans="1:26" ht="15.75" customHeight="1">
      <c r="A961" s="1191"/>
      <c r="B961" s="1191"/>
      <c r="C961" s="1191"/>
      <c r="D961" s="1191"/>
      <c r="E961" s="1191"/>
      <c r="F961" s="1191"/>
      <c r="G961" s="1191"/>
      <c r="H961" s="1191"/>
      <c r="I961" s="1191"/>
      <c r="J961" s="1191"/>
      <c r="K961" s="1191"/>
      <c r="L961" s="1191"/>
      <c r="M961" s="1191"/>
      <c r="N961" s="1191"/>
      <c r="O961" s="1191"/>
      <c r="P961" s="1191"/>
      <c r="Q961" s="1191"/>
      <c r="R961" s="1191"/>
      <c r="S961" s="1191"/>
      <c r="T961" s="1191"/>
      <c r="U961" s="1191"/>
      <c r="V961" s="1192"/>
      <c r="W961" s="1191"/>
      <c r="X961" s="1191"/>
      <c r="Y961" s="1191"/>
      <c r="Z961" s="1191"/>
    </row>
    <row r="962" spans="1:26" ht="15.75" customHeight="1">
      <c r="A962" s="1191"/>
      <c r="B962" s="1191"/>
      <c r="C962" s="1191"/>
      <c r="D962" s="1191"/>
      <c r="E962" s="1191"/>
      <c r="F962" s="1191"/>
      <c r="G962" s="1191"/>
      <c r="H962" s="1191"/>
      <c r="I962" s="1191"/>
      <c r="J962" s="1191"/>
      <c r="K962" s="1191"/>
      <c r="L962" s="1191"/>
      <c r="M962" s="1191"/>
      <c r="N962" s="1191"/>
      <c r="O962" s="1191"/>
      <c r="P962" s="1191"/>
      <c r="Q962" s="1191"/>
      <c r="R962" s="1191"/>
      <c r="S962" s="1191"/>
      <c r="T962" s="1191"/>
      <c r="U962" s="1191"/>
      <c r="V962" s="1192"/>
      <c r="W962" s="1191"/>
      <c r="X962" s="1191"/>
      <c r="Y962" s="1191"/>
      <c r="Z962" s="1191"/>
    </row>
    <row r="963" spans="1:26" ht="15.75" customHeight="1">
      <c r="A963" s="1191"/>
      <c r="B963" s="1191"/>
      <c r="C963" s="1191"/>
      <c r="D963" s="1191"/>
      <c r="E963" s="1191"/>
      <c r="F963" s="1191"/>
      <c r="G963" s="1191"/>
      <c r="H963" s="1191"/>
      <c r="I963" s="1191"/>
      <c r="J963" s="1191"/>
      <c r="K963" s="1191"/>
      <c r="L963" s="1191"/>
      <c r="M963" s="1191"/>
      <c r="N963" s="1191"/>
      <c r="O963" s="1191"/>
      <c r="P963" s="1191"/>
      <c r="Q963" s="1191"/>
      <c r="R963" s="1191"/>
      <c r="S963" s="1191"/>
      <c r="T963" s="1191"/>
      <c r="U963" s="1191"/>
      <c r="V963" s="1192"/>
      <c r="W963" s="1191"/>
      <c r="X963" s="1191"/>
      <c r="Y963" s="1191"/>
      <c r="Z963" s="1191"/>
    </row>
    <row r="964" spans="1:26" ht="15.75" customHeight="1">
      <c r="A964" s="1191"/>
      <c r="B964" s="1191"/>
      <c r="C964" s="1191"/>
      <c r="D964" s="1191"/>
      <c r="E964" s="1191"/>
      <c r="F964" s="1191"/>
      <c r="G964" s="1191"/>
      <c r="H964" s="1191"/>
      <c r="I964" s="1191"/>
      <c r="J964" s="1191"/>
      <c r="K964" s="1191"/>
      <c r="L964" s="1191"/>
      <c r="M964" s="1191"/>
      <c r="N964" s="1191"/>
      <c r="O964" s="1191"/>
      <c r="P964" s="1191"/>
      <c r="Q964" s="1191"/>
      <c r="R964" s="1191"/>
      <c r="S964" s="1191"/>
      <c r="T964" s="1191"/>
      <c r="U964" s="1191"/>
      <c r="V964" s="1192"/>
      <c r="W964" s="1191"/>
      <c r="X964" s="1191"/>
      <c r="Y964" s="1191"/>
      <c r="Z964" s="1191"/>
    </row>
    <row r="965" spans="1:26" ht="15.75" customHeight="1">
      <c r="A965" s="1191"/>
      <c r="B965" s="1191"/>
      <c r="C965" s="1191"/>
      <c r="D965" s="1191"/>
      <c r="E965" s="1191"/>
      <c r="F965" s="1191"/>
      <c r="G965" s="1191"/>
      <c r="H965" s="1191"/>
      <c r="I965" s="1191"/>
      <c r="J965" s="1191"/>
      <c r="K965" s="1191"/>
      <c r="L965" s="1191"/>
      <c r="M965" s="1191"/>
      <c r="N965" s="1191"/>
      <c r="O965" s="1191"/>
      <c r="P965" s="1191"/>
      <c r="Q965" s="1191"/>
      <c r="R965" s="1191"/>
      <c r="S965" s="1191"/>
      <c r="T965" s="1191"/>
      <c r="U965" s="1191"/>
      <c r="V965" s="1192"/>
      <c r="W965" s="1191"/>
      <c r="X965" s="1191"/>
      <c r="Y965" s="1191"/>
      <c r="Z965" s="1191"/>
    </row>
    <row r="966" spans="1:26" ht="15.75" customHeight="1">
      <c r="A966" s="1191"/>
      <c r="B966" s="1191"/>
      <c r="C966" s="1191"/>
      <c r="D966" s="1191"/>
      <c r="E966" s="1191"/>
      <c r="F966" s="1191"/>
      <c r="G966" s="1191"/>
      <c r="H966" s="1191"/>
      <c r="I966" s="1191"/>
      <c r="J966" s="1191"/>
      <c r="K966" s="1191"/>
      <c r="L966" s="1191"/>
      <c r="M966" s="1191"/>
      <c r="N966" s="1191"/>
      <c r="O966" s="1191"/>
      <c r="P966" s="1191"/>
      <c r="Q966" s="1191"/>
      <c r="R966" s="1191"/>
      <c r="S966" s="1191"/>
      <c r="T966" s="1191"/>
      <c r="U966" s="1191"/>
      <c r="V966" s="1192"/>
      <c r="W966" s="1191"/>
      <c r="X966" s="1191"/>
      <c r="Y966" s="1191"/>
      <c r="Z966" s="1191"/>
    </row>
    <row r="967" spans="1:26" ht="15.75" customHeight="1">
      <c r="A967" s="1191"/>
      <c r="B967" s="1191"/>
      <c r="C967" s="1191"/>
      <c r="D967" s="1191"/>
      <c r="E967" s="1191"/>
      <c r="F967" s="1191"/>
      <c r="G967" s="1191"/>
      <c r="H967" s="1191"/>
      <c r="I967" s="1191"/>
      <c r="J967" s="1191"/>
      <c r="K967" s="1191"/>
      <c r="L967" s="1191"/>
      <c r="M967" s="1191"/>
      <c r="N967" s="1191"/>
      <c r="O967" s="1191"/>
      <c r="P967" s="1191"/>
      <c r="Q967" s="1191"/>
      <c r="R967" s="1191"/>
      <c r="S967" s="1191"/>
      <c r="T967" s="1191"/>
      <c r="U967" s="1191"/>
      <c r="V967" s="1192"/>
      <c r="W967" s="1191"/>
      <c r="X967" s="1191"/>
      <c r="Y967" s="1191"/>
      <c r="Z967" s="1191"/>
    </row>
    <row r="968" spans="1:26" ht="15.75" customHeight="1">
      <c r="A968" s="1191"/>
      <c r="B968" s="1191"/>
      <c r="C968" s="1191"/>
      <c r="D968" s="1191"/>
      <c r="E968" s="1191"/>
      <c r="F968" s="1191"/>
      <c r="G968" s="1191"/>
      <c r="H968" s="1191"/>
      <c r="I968" s="1191"/>
      <c r="J968" s="1191"/>
      <c r="K968" s="1191"/>
      <c r="L968" s="1191"/>
      <c r="M968" s="1191"/>
      <c r="N968" s="1191"/>
      <c r="O968" s="1191"/>
      <c r="P968" s="1191"/>
      <c r="Q968" s="1191"/>
      <c r="R968" s="1191"/>
      <c r="S968" s="1191"/>
      <c r="T968" s="1191"/>
      <c r="U968" s="1191"/>
      <c r="V968" s="1192"/>
      <c r="W968" s="1191"/>
      <c r="X968" s="1191"/>
      <c r="Y968" s="1191"/>
      <c r="Z968" s="1191"/>
    </row>
    <row r="969" spans="1:26" ht="15.75" customHeight="1">
      <c r="A969" s="1191"/>
      <c r="B969" s="1191"/>
      <c r="C969" s="1191"/>
      <c r="D969" s="1191"/>
      <c r="E969" s="1191"/>
      <c r="F969" s="1191"/>
      <c r="G969" s="1191"/>
      <c r="H969" s="1191"/>
      <c r="I969" s="1191"/>
      <c r="J969" s="1191"/>
      <c r="K969" s="1191"/>
      <c r="L969" s="1191"/>
      <c r="M969" s="1191"/>
      <c r="N969" s="1191"/>
      <c r="O969" s="1191"/>
      <c r="P969" s="1191"/>
      <c r="Q969" s="1191"/>
      <c r="R969" s="1191"/>
      <c r="S969" s="1191"/>
      <c r="T969" s="1191"/>
      <c r="U969" s="1191"/>
      <c r="V969" s="1192"/>
      <c r="W969" s="1191"/>
      <c r="X969" s="1191"/>
      <c r="Y969" s="1191"/>
      <c r="Z969" s="1191"/>
    </row>
    <row r="970" spans="1:26" ht="15.75" customHeight="1">
      <c r="A970" s="1191"/>
      <c r="B970" s="1191"/>
      <c r="C970" s="1191"/>
      <c r="D970" s="1191"/>
      <c r="E970" s="1191"/>
      <c r="F970" s="1191"/>
      <c r="G970" s="1191"/>
      <c r="H970" s="1191"/>
      <c r="I970" s="1191"/>
      <c r="J970" s="1191"/>
      <c r="K970" s="1191"/>
      <c r="L970" s="1191"/>
      <c r="M970" s="1191"/>
      <c r="N970" s="1191"/>
      <c r="O970" s="1191"/>
      <c r="P970" s="1191"/>
      <c r="Q970" s="1191"/>
      <c r="R970" s="1191"/>
      <c r="S970" s="1191"/>
      <c r="T970" s="1191"/>
      <c r="U970" s="1191"/>
      <c r="V970" s="1192"/>
      <c r="W970" s="1191"/>
      <c r="X970" s="1191"/>
      <c r="Y970" s="1191"/>
      <c r="Z970" s="1191"/>
    </row>
    <row r="971" spans="1:26" ht="15.75" customHeight="1">
      <c r="A971" s="1191"/>
      <c r="B971" s="1191"/>
      <c r="C971" s="1191"/>
      <c r="D971" s="1191"/>
      <c r="E971" s="1191"/>
      <c r="F971" s="1191"/>
      <c r="G971" s="1191"/>
      <c r="H971" s="1191"/>
      <c r="I971" s="1191"/>
      <c r="J971" s="1191"/>
      <c r="K971" s="1191"/>
      <c r="L971" s="1191"/>
      <c r="M971" s="1191"/>
      <c r="N971" s="1191"/>
      <c r="O971" s="1191"/>
      <c r="P971" s="1191"/>
      <c r="Q971" s="1191"/>
      <c r="R971" s="1191"/>
      <c r="S971" s="1191"/>
      <c r="T971" s="1191"/>
      <c r="U971" s="1191"/>
      <c r="V971" s="1192"/>
      <c r="W971" s="1191"/>
      <c r="X971" s="1191"/>
      <c r="Y971" s="1191"/>
      <c r="Z971" s="1191"/>
    </row>
    <row r="972" spans="1:26" ht="15.75" customHeight="1">
      <c r="A972" s="1191"/>
      <c r="B972" s="1191"/>
      <c r="C972" s="1191"/>
      <c r="D972" s="1191"/>
      <c r="E972" s="1191"/>
      <c r="F972" s="1191"/>
      <c r="G972" s="1191"/>
      <c r="H972" s="1191"/>
      <c r="I972" s="1191"/>
      <c r="J972" s="1191"/>
      <c r="K972" s="1191"/>
      <c r="L972" s="1191"/>
      <c r="M972" s="1191"/>
      <c r="N972" s="1191"/>
      <c r="O972" s="1191"/>
      <c r="P972" s="1191"/>
      <c r="Q972" s="1191"/>
      <c r="R972" s="1191"/>
      <c r="S972" s="1191"/>
      <c r="T972" s="1191"/>
      <c r="U972" s="1191"/>
      <c r="V972" s="1192"/>
      <c r="W972" s="1191"/>
      <c r="X972" s="1191"/>
      <c r="Y972" s="1191"/>
      <c r="Z972" s="1191"/>
    </row>
    <row r="973" spans="1:26" ht="15.75" customHeight="1">
      <c r="A973" s="1191"/>
      <c r="B973" s="1191"/>
      <c r="C973" s="1191"/>
      <c r="D973" s="1191"/>
      <c r="E973" s="1191"/>
      <c r="F973" s="1191"/>
      <c r="G973" s="1191"/>
      <c r="H973" s="1191"/>
      <c r="I973" s="1191"/>
      <c r="J973" s="1191"/>
      <c r="K973" s="1191"/>
      <c r="L973" s="1191"/>
      <c r="M973" s="1191"/>
      <c r="N973" s="1191"/>
      <c r="O973" s="1191"/>
      <c r="P973" s="1191"/>
      <c r="Q973" s="1191"/>
      <c r="R973" s="1191"/>
      <c r="S973" s="1191"/>
      <c r="T973" s="1191"/>
      <c r="U973" s="1191"/>
      <c r="V973" s="1192"/>
      <c r="W973" s="1191"/>
      <c r="X973" s="1191"/>
      <c r="Y973" s="1191"/>
      <c r="Z973" s="1191"/>
    </row>
    <row r="974" spans="1:26" ht="15.75" customHeight="1">
      <c r="A974" s="1191"/>
      <c r="B974" s="1191"/>
      <c r="C974" s="1191"/>
      <c r="D974" s="1191"/>
      <c r="E974" s="1191"/>
      <c r="F974" s="1191"/>
      <c r="G974" s="1191"/>
      <c r="H974" s="1191"/>
      <c r="I974" s="1191"/>
      <c r="J974" s="1191"/>
      <c r="K974" s="1191"/>
      <c r="L974" s="1191"/>
      <c r="M974" s="1191"/>
      <c r="N974" s="1191"/>
      <c r="O974" s="1191"/>
      <c r="P974" s="1191"/>
      <c r="Q974" s="1191"/>
      <c r="R974" s="1191"/>
      <c r="S974" s="1191"/>
      <c r="T974" s="1191"/>
      <c r="U974" s="1191"/>
      <c r="V974" s="1192"/>
      <c r="W974" s="1191"/>
      <c r="X974" s="1191"/>
      <c r="Y974" s="1191"/>
      <c r="Z974" s="1191"/>
    </row>
    <row r="975" spans="1:26" ht="15.75" customHeight="1">
      <c r="A975" s="1191"/>
      <c r="B975" s="1191"/>
      <c r="C975" s="1191"/>
      <c r="D975" s="1191"/>
      <c r="E975" s="1191"/>
      <c r="F975" s="1191"/>
      <c r="G975" s="1191"/>
      <c r="H975" s="1191"/>
      <c r="I975" s="1191"/>
      <c r="J975" s="1191"/>
      <c r="K975" s="1191"/>
      <c r="L975" s="1191"/>
      <c r="M975" s="1191"/>
      <c r="N975" s="1191"/>
      <c r="O975" s="1191"/>
      <c r="P975" s="1191"/>
      <c r="Q975" s="1191"/>
      <c r="R975" s="1191"/>
      <c r="S975" s="1191"/>
      <c r="T975" s="1191"/>
      <c r="U975" s="1191"/>
      <c r="V975" s="1192"/>
      <c r="W975" s="1191"/>
      <c r="X975" s="1191"/>
      <c r="Y975" s="1191"/>
      <c r="Z975" s="1191"/>
    </row>
    <row r="976" spans="1:26" ht="15.75" customHeight="1">
      <c r="A976" s="1191"/>
      <c r="B976" s="1191"/>
      <c r="C976" s="1191"/>
      <c r="D976" s="1191"/>
      <c r="E976" s="1191"/>
      <c r="F976" s="1191"/>
      <c r="G976" s="1191"/>
      <c r="H976" s="1191"/>
      <c r="I976" s="1191"/>
      <c r="J976" s="1191"/>
      <c r="K976" s="1191"/>
      <c r="L976" s="1191"/>
      <c r="M976" s="1191"/>
      <c r="N976" s="1191"/>
      <c r="O976" s="1191"/>
      <c r="P976" s="1191"/>
      <c r="Q976" s="1191"/>
      <c r="R976" s="1191"/>
      <c r="S976" s="1191"/>
      <c r="T976" s="1191"/>
      <c r="U976" s="1191"/>
      <c r="V976" s="1192"/>
      <c r="W976" s="1191"/>
      <c r="X976" s="1191"/>
      <c r="Y976" s="1191"/>
      <c r="Z976" s="1191"/>
    </row>
    <row r="977" spans="1:26" ht="15.75" customHeight="1">
      <c r="A977" s="1191"/>
      <c r="B977" s="1191"/>
      <c r="C977" s="1191"/>
      <c r="D977" s="1191"/>
      <c r="E977" s="1191"/>
      <c r="F977" s="1191"/>
      <c r="G977" s="1191"/>
      <c r="H977" s="1191"/>
      <c r="I977" s="1191"/>
      <c r="J977" s="1191"/>
      <c r="K977" s="1191"/>
      <c r="L977" s="1191"/>
      <c r="M977" s="1191"/>
      <c r="N977" s="1191"/>
      <c r="O977" s="1191"/>
      <c r="P977" s="1191"/>
      <c r="Q977" s="1191"/>
      <c r="R977" s="1191"/>
      <c r="S977" s="1191"/>
      <c r="T977" s="1191"/>
      <c r="U977" s="1191"/>
      <c r="V977" s="1192"/>
      <c r="W977" s="1191"/>
      <c r="X977" s="1191"/>
      <c r="Y977" s="1191"/>
      <c r="Z977" s="1191"/>
    </row>
    <row r="978" spans="1:26" ht="15.75" customHeight="1">
      <c r="A978" s="1191"/>
      <c r="B978" s="1191"/>
      <c r="C978" s="1191"/>
      <c r="D978" s="1191"/>
      <c r="E978" s="1191"/>
      <c r="F978" s="1191"/>
      <c r="G978" s="1191"/>
      <c r="H978" s="1191"/>
      <c r="I978" s="1191"/>
      <c r="J978" s="1191"/>
      <c r="K978" s="1191"/>
      <c r="L978" s="1191"/>
      <c r="M978" s="1191"/>
      <c r="N978" s="1191"/>
      <c r="O978" s="1191"/>
      <c r="P978" s="1191"/>
      <c r="Q978" s="1191"/>
      <c r="R978" s="1191"/>
      <c r="S978" s="1191"/>
      <c r="T978" s="1191"/>
      <c r="U978" s="1191"/>
      <c r="V978" s="1192"/>
      <c r="W978" s="1191"/>
      <c r="X978" s="1191"/>
      <c r="Y978" s="1191"/>
      <c r="Z978" s="1191"/>
    </row>
    <row r="979" spans="1:26" ht="15.75" customHeight="1">
      <c r="A979" s="1191"/>
      <c r="B979" s="1191"/>
      <c r="C979" s="1191"/>
      <c r="D979" s="1191"/>
      <c r="E979" s="1191"/>
      <c r="F979" s="1191"/>
      <c r="G979" s="1191"/>
      <c r="H979" s="1191"/>
      <c r="I979" s="1191"/>
      <c r="J979" s="1191"/>
      <c r="K979" s="1191"/>
      <c r="L979" s="1191"/>
      <c r="M979" s="1191"/>
      <c r="N979" s="1191"/>
      <c r="O979" s="1191"/>
      <c r="P979" s="1191"/>
      <c r="Q979" s="1191"/>
      <c r="R979" s="1191"/>
      <c r="S979" s="1191"/>
      <c r="T979" s="1191"/>
      <c r="U979" s="1191"/>
      <c r="V979" s="1192"/>
      <c r="W979" s="1191"/>
      <c r="X979" s="1191"/>
      <c r="Y979" s="1191"/>
      <c r="Z979" s="1191"/>
    </row>
    <row r="980" spans="1:26" ht="15.75" customHeight="1">
      <c r="A980" s="1191"/>
      <c r="B980" s="1191"/>
      <c r="C980" s="1191"/>
      <c r="D980" s="1191"/>
      <c r="E980" s="1191"/>
      <c r="F980" s="1191"/>
      <c r="G980" s="1191"/>
      <c r="H980" s="1191"/>
      <c r="I980" s="1191"/>
      <c r="J980" s="1191"/>
      <c r="K980" s="1191"/>
      <c r="L980" s="1191"/>
      <c r="M980" s="1191"/>
      <c r="N980" s="1191"/>
      <c r="O980" s="1191"/>
      <c r="P980" s="1191"/>
      <c r="Q980" s="1191"/>
      <c r="R980" s="1191"/>
      <c r="S980" s="1191"/>
      <c r="T980" s="1191"/>
      <c r="U980" s="1191"/>
      <c r="V980" s="1192"/>
      <c r="W980" s="1191"/>
      <c r="X980" s="1191"/>
      <c r="Y980" s="1191"/>
      <c r="Z980" s="1191"/>
    </row>
    <row r="981" spans="1:26" ht="15.75" customHeight="1">
      <c r="A981" s="1191"/>
      <c r="B981" s="1191"/>
      <c r="C981" s="1191"/>
      <c r="D981" s="1191"/>
      <c r="E981" s="1191"/>
      <c r="F981" s="1191"/>
      <c r="G981" s="1191"/>
      <c r="H981" s="1191"/>
      <c r="I981" s="1191"/>
      <c r="J981" s="1191"/>
      <c r="K981" s="1191"/>
      <c r="L981" s="1191"/>
      <c r="M981" s="1191"/>
      <c r="N981" s="1191"/>
      <c r="O981" s="1191"/>
      <c r="P981" s="1191"/>
      <c r="Q981" s="1191"/>
      <c r="R981" s="1191"/>
      <c r="S981" s="1191"/>
      <c r="T981" s="1191"/>
      <c r="U981" s="1191"/>
      <c r="V981" s="1192"/>
      <c r="W981" s="1191"/>
      <c r="X981" s="1191"/>
      <c r="Y981" s="1191"/>
      <c r="Z981" s="1191"/>
    </row>
    <row r="982" spans="1:26" ht="15.75" customHeight="1">
      <c r="A982" s="1191"/>
      <c r="B982" s="1191"/>
      <c r="C982" s="1191"/>
      <c r="D982" s="1191"/>
      <c r="E982" s="1191"/>
      <c r="F982" s="1191"/>
      <c r="G982" s="1191"/>
      <c r="H982" s="1191"/>
      <c r="I982" s="1191"/>
      <c r="J982" s="1191"/>
      <c r="K982" s="1191"/>
      <c r="L982" s="1191"/>
      <c r="M982" s="1191"/>
      <c r="N982" s="1191"/>
      <c r="O982" s="1191"/>
      <c r="P982" s="1191"/>
      <c r="Q982" s="1191"/>
      <c r="R982" s="1191"/>
      <c r="S982" s="1191"/>
      <c r="T982" s="1191"/>
      <c r="U982" s="1191"/>
      <c r="V982" s="1192"/>
      <c r="W982" s="1191"/>
      <c r="X982" s="1191"/>
      <c r="Y982" s="1191"/>
      <c r="Z982" s="1191"/>
    </row>
    <row r="983" spans="1:26" ht="15.75" customHeight="1">
      <c r="A983" s="1191"/>
      <c r="B983" s="1191"/>
      <c r="C983" s="1191"/>
      <c r="D983" s="1191"/>
      <c r="E983" s="1191"/>
      <c r="F983" s="1191"/>
      <c r="G983" s="1191"/>
      <c r="H983" s="1191"/>
      <c r="I983" s="1191"/>
      <c r="J983" s="1191"/>
      <c r="K983" s="1191"/>
      <c r="L983" s="1191"/>
      <c r="M983" s="1191"/>
      <c r="N983" s="1191"/>
      <c r="O983" s="1191"/>
      <c r="P983" s="1191"/>
      <c r="Q983" s="1191"/>
      <c r="R983" s="1191"/>
      <c r="S983" s="1191"/>
      <c r="T983" s="1191"/>
      <c r="U983" s="1191"/>
      <c r="V983" s="1192"/>
      <c r="W983" s="1191"/>
      <c r="X983" s="1191"/>
      <c r="Y983" s="1191"/>
      <c r="Z983" s="1191"/>
    </row>
    <row r="984" spans="1:26" ht="15.75" customHeight="1">
      <c r="A984" s="1191"/>
      <c r="B984" s="1191"/>
      <c r="C984" s="1191"/>
      <c r="D984" s="1191"/>
      <c r="E984" s="1191"/>
      <c r="F984" s="1191"/>
      <c r="G984" s="1191"/>
      <c r="H984" s="1191"/>
      <c r="I984" s="1191"/>
      <c r="J984" s="1191"/>
      <c r="K984" s="1191"/>
      <c r="L984" s="1191"/>
      <c r="M984" s="1191"/>
      <c r="N984" s="1191"/>
      <c r="O984" s="1191"/>
      <c r="P984" s="1191"/>
      <c r="Q984" s="1191"/>
      <c r="R984" s="1191"/>
      <c r="S984" s="1191"/>
      <c r="T984" s="1191"/>
      <c r="U984" s="1191"/>
      <c r="V984" s="1192"/>
      <c r="W984" s="1191"/>
      <c r="X984" s="1191"/>
      <c r="Y984" s="1191"/>
      <c r="Z984" s="1191"/>
    </row>
    <row r="985" spans="1:26" ht="15.75" customHeight="1">
      <c r="A985" s="1191"/>
      <c r="B985" s="1191"/>
      <c r="C985" s="1191"/>
      <c r="D985" s="1191"/>
      <c r="E985" s="1191"/>
      <c r="F985" s="1191"/>
      <c r="G985" s="1191"/>
      <c r="H985" s="1191"/>
      <c r="I985" s="1191"/>
      <c r="J985" s="1191"/>
      <c r="K985" s="1191"/>
      <c r="L985" s="1191"/>
      <c r="M985" s="1191"/>
      <c r="N985" s="1191"/>
      <c r="O985" s="1191"/>
      <c r="P985" s="1191"/>
      <c r="Q985" s="1191"/>
      <c r="R985" s="1191"/>
      <c r="S985" s="1191"/>
      <c r="T985" s="1191"/>
      <c r="U985" s="1191"/>
      <c r="V985" s="1192"/>
      <c r="W985" s="1191"/>
      <c r="X985" s="1191"/>
      <c r="Y985" s="1191"/>
      <c r="Z985" s="1191"/>
    </row>
    <row r="986" spans="1:26" ht="15.75" customHeight="1">
      <c r="A986" s="1191"/>
      <c r="B986" s="1191"/>
      <c r="C986" s="1191"/>
      <c r="D986" s="1191"/>
      <c r="E986" s="1191"/>
      <c r="F986" s="1191"/>
      <c r="G986" s="1191"/>
      <c r="H986" s="1191"/>
      <c r="I986" s="1191"/>
      <c r="J986" s="1191"/>
      <c r="K986" s="1191"/>
      <c r="L986" s="1191"/>
      <c r="M986" s="1191"/>
      <c r="N986" s="1191"/>
      <c r="O986" s="1191"/>
      <c r="P986" s="1191"/>
      <c r="Q986" s="1191"/>
      <c r="R986" s="1191"/>
      <c r="S986" s="1191"/>
      <c r="T986" s="1191"/>
      <c r="U986" s="1191"/>
      <c r="V986" s="1192"/>
      <c r="W986" s="1191"/>
      <c r="X986" s="1191"/>
      <c r="Y986" s="1191"/>
      <c r="Z986" s="1191"/>
    </row>
    <row r="987" spans="1:26" ht="15.75" customHeight="1">
      <c r="A987" s="1191"/>
      <c r="B987" s="1191"/>
      <c r="C987" s="1191"/>
      <c r="D987" s="1191"/>
      <c r="E987" s="1191"/>
      <c r="F987" s="1191"/>
      <c r="G987" s="1191"/>
      <c r="H987" s="1191"/>
      <c r="I987" s="1191"/>
      <c r="J987" s="1191"/>
      <c r="K987" s="1191"/>
      <c r="L987" s="1191"/>
      <c r="M987" s="1191"/>
      <c r="N987" s="1191"/>
      <c r="O987" s="1191"/>
      <c r="P987" s="1191"/>
      <c r="Q987" s="1191"/>
      <c r="R987" s="1191"/>
      <c r="S987" s="1191"/>
      <c r="T987" s="1191"/>
      <c r="U987" s="1191"/>
      <c r="V987" s="1192"/>
      <c r="W987" s="1191"/>
      <c r="X987" s="1191"/>
      <c r="Y987" s="1191"/>
      <c r="Z987" s="1191"/>
    </row>
    <row r="988" spans="1:26" ht="15.75" customHeight="1">
      <c r="A988" s="1191"/>
      <c r="B988" s="1191"/>
      <c r="C988" s="1191"/>
      <c r="D988" s="1191"/>
      <c r="E988" s="1191"/>
      <c r="F988" s="1191"/>
      <c r="G988" s="1191"/>
      <c r="H988" s="1191"/>
      <c r="I988" s="1191"/>
      <c r="J988" s="1191"/>
      <c r="K988" s="1191"/>
      <c r="L988" s="1191"/>
      <c r="M988" s="1191"/>
      <c r="N988" s="1191"/>
      <c r="O988" s="1191"/>
      <c r="P988" s="1191"/>
      <c r="Q988" s="1191"/>
      <c r="R988" s="1191"/>
      <c r="S988" s="1191"/>
      <c r="T988" s="1191"/>
      <c r="U988" s="1191"/>
      <c r="V988" s="1192"/>
      <c r="W988" s="1191"/>
      <c r="X988" s="1191"/>
      <c r="Y988" s="1191"/>
      <c r="Z988" s="1191"/>
    </row>
    <row r="989" spans="1:26" ht="15.75" customHeight="1">
      <c r="A989" s="1191"/>
      <c r="B989" s="1191"/>
      <c r="C989" s="1191"/>
      <c r="D989" s="1191"/>
      <c r="E989" s="1191"/>
      <c r="F989" s="1191"/>
      <c r="G989" s="1191"/>
      <c r="H989" s="1191"/>
      <c r="I989" s="1191"/>
      <c r="J989" s="1191"/>
      <c r="K989" s="1191"/>
      <c r="L989" s="1191"/>
      <c r="M989" s="1191"/>
      <c r="N989" s="1191"/>
      <c r="O989" s="1191"/>
      <c r="P989" s="1191"/>
      <c r="Q989" s="1191"/>
      <c r="R989" s="1191"/>
      <c r="S989" s="1191"/>
      <c r="T989" s="1191"/>
      <c r="U989" s="1191"/>
      <c r="V989" s="1192"/>
      <c r="W989" s="1191"/>
      <c r="X989" s="1191"/>
      <c r="Y989" s="1191"/>
      <c r="Z989" s="1191"/>
    </row>
    <row r="990" spans="1:26" ht="15.75" customHeight="1">
      <c r="A990" s="1191"/>
      <c r="B990" s="1191"/>
      <c r="C990" s="1191"/>
      <c r="D990" s="1191"/>
      <c r="E990" s="1191"/>
      <c r="F990" s="1191"/>
      <c r="G990" s="1191"/>
      <c r="H990" s="1191"/>
      <c r="I990" s="1191"/>
      <c r="J990" s="1191"/>
      <c r="K990" s="1191"/>
      <c r="L990" s="1191"/>
      <c r="M990" s="1191"/>
      <c r="N990" s="1191"/>
      <c r="O990" s="1191"/>
      <c r="P990" s="1191"/>
      <c r="Q990" s="1191"/>
      <c r="R990" s="1191"/>
      <c r="S990" s="1191"/>
      <c r="T990" s="1191"/>
      <c r="U990" s="1191"/>
      <c r="V990" s="1192"/>
      <c r="W990" s="1191"/>
      <c r="X990" s="1191"/>
      <c r="Y990" s="1191"/>
      <c r="Z990" s="1191"/>
    </row>
    <row r="991" spans="1:26" ht="15.75" customHeight="1">
      <c r="A991" s="1191"/>
      <c r="B991" s="1191"/>
      <c r="C991" s="1191"/>
      <c r="D991" s="1191"/>
      <c r="E991" s="1191"/>
      <c r="F991" s="1191"/>
      <c r="G991" s="1191"/>
      <c r="H991" s="1191"/>
      <c r="I991" s="1191"/>
      <c r="J991" s="1191"/>
      <c r="K991" s="1191"/>
      <c r="L991" s="1191"/>
      <c r="M991" s="1191"/>
      <c r="N991" s="1191"/>
      <c r="O991" s="1191"/>
      <c r="P991" s="1191"/>
      <c r="Q991" s="1191"/>
      <c r="R991" s="1191"/>
      <c r="S991" s="1191"/>
      <c r="T991" s="1191"/>
      <c r="U991" s="1191"/>
      <c r="V991" s="1192"/>
      <c r="W991" s="1191"/>
      <c r="X991" s="1191"/>
      <c r="Y991" s="1191"/>
      <c r="Z991" s="1191"/>
    </row>
    <row r="992" spans="1:26" ht="15.75" customHeight="1">
      <c r="A992" s="1191"/>
      <c r="B992" s="1191"/>
      <c r="C992" s="1191"/>
      <c r="D992" s="1191"/>
      <c r="E992" s="1191"/>
      <c r="F992" s="1191"/>
      <c r="G992" s="1191"/>
      <c r="H992" s="1191"/>
      <c r="I992" s="1191"/>
      <c r="J992" s="1191"/>
      <c r="K992" s="1191"/>
      <c r="L992" s="1191"/>
      <c r="M992" s="1191"/>
      <c r="N992" s="1191"/>
      <c r="O992" s="1191"/>
      <c r="P992" s="1191"/>
      <c r="Q992" s="1191"/>
      <c r="R992" s="1191"/>
      <c r="S992" s="1191"/>
      <c r="T992" s="1191"/>
      <c r="U992" s="1191"/>
      <c r="V992" s="1192"/>
      <c r="W992" s="1191"/>
      <c r="X992" s="1191"/>
      <c r="Y992" s="1191"/>
      <c r="Z992" s="1191"/>
    </row>
    <row r="993" spans="1:26" ht="15.75" customHeight="1">
      <c r="A993" s="1191"/>
      <c r="B993" s="1191"/>
      <c r="C993" s="1191"/>
      <c r="D993" s="1191"/>
      <c r="E993" s="1191"/>
      <c r="F993" s="1191"/>
      <c r="G993" s="1191"/>
      <c r="H993" s="1191"/>
      <c r="I993" s="1191"/>
      <c r="J993" s="1191"/>
      <c r="K993" s="1191"/>
      <c r="L993" s="1191"/>
      <c r="M993" s="1191"/>
      <c r="N993" s="1191"/>
      <c r="O993" s="1191"/>
      <c r="P993" s="1191"/>
      <c r="Q993" s="1191"/>
      <c r="R993" s="1191"/>
      <c r="S993" s="1191"/>
      <c r="T993" s="1191"/>
      <c r="U993" s="1191"/>
      <c r="V993" s="1192"/>
      <c r="W993" s="1191"/>
      <c r="X993" s="1191"/>
      <c r="Y993" s="1191"/>
      <c r="Z993" s="1191"/>
    </row>
    <row r="994" spans="1:26" ht="15.75" customHeight="1">
      <c r="A994" s="1191"/>
      <c r="B994" s="1191"/>
      <c r="C994" s="1191"/>
      <c r="D994" s="1191"/>
      <c r="E994" s="1191"/>
      <c r="F994" s="1191"/>
      <c r="G994" s="1191"/>
      <c r="H994" s="1191"/>
      <c r="I994" s="1191"/>
      <c r="J994" s="1191"/>
      <c r="K994" s="1191"/>
      <c r="L994" s="1191"/>
      <c r="M994" s="1191"/>
      <c r="N994" s="1191"/>
      <c r="O994" s="1191"/>
      <c r="P994" s="1191"/>
      <c r="Q994" s="1191"/>
      <c r="R994" s="1191"/>
      <c r="S994" s="1191"/>
      <c r="T994" s="1191"/>
      <c r="U994" s="1191"/>
      <c r="V994" s="1192"/>
      <c r="W994" s="1191"/>
      <c r="X994" s="1191"/>
      <c r="Y994" s="1191"/>
      <c r="Z994" s="1191"/>
    </row>
    <row r="995" spans="1:26" ht="15.75" customHeight="1">
      <c r="A995" s="1191"/>
      <c r="B995" s="1191"/>
      <c r="C995" s="1191"/>
      <c r="D995" s="1191"/>
      <c r="E995" s="1191"/>
      <c r="F995" s="1191"/>
      <c r="G995" s="1191"/>
      <c r="H995" s="1191"/>
      <c r="I995" s="1191"/>
      <c r="J995" s="1191"/>
      <c r="K995" s="1191"/>
      <c r="L995" s="1191"/>
      <c r="M995" s="1191"/>
      <c r="N995" s="1191"/>
      <c r="O995" s="1191"/>
      <c r="P995" s="1191"/>
      <c r="Q995" s="1191"/>
      <c r="R995" s="1191"/>
      <c r="S995" s="1191"/>
      <c r="T995" s="1191"/>
      <c r="U995" s="1191"/>
      <c r="V995" s="1192"/>
      <c r="W995" s="1191"/>
      <c r="X995" s="1191"/>
      <c r="Y995" s="1191"/>
      <c r="Z995" s="1191"/>
    </row>
    <row r="996" spans="1:26" ht="15.75" customHeight="1">
      <c r="A996" s="1191"/>
      <c r="B996" s="1191"/>
      <c r="C996" s="1191"/>
      <c r="D996" s="1191"/>
      <c r="E996" s="1191"/>
      <c r="F996" s="1191"/>
      <c r="G996" s="1191"/>
      <c r="H996" s="1191"/>
      <c r="I996" s="1191"/>
      <c r="J996" s="1191"/>
      <c r="K996" s="1191"/>
      <c r="L996" s="1191"/>
      <c r="M996" s="1191"/>
      <c r="N996" s="1191"/>
      <c r="O996" s="1191"/>
      <c r="P996" s="1191"/>
      <c r="Q996" s="1191"/>
      <c r="R996" s="1191"/>
      <c r="S996" s="1191"/>
      <c r="T996" s="1191"/>
      <c r="U996" s="1191"/>
      <c r="V996" s="1192"/>
      <c r="W996" s="1191"/>
      <c r="X996" s="1191"/>
      <c r="Y996" s="1191"/>
      <c r="Z996" s="1191"/>
    </row>
    <row r="997" spans="1:26" ht="15.75" customHeight="1">
      <c r="A997" s="1191"/>
      <c r="B997" s="1191"/>
      <c r="C997" s="1191"/>
      <c r="D997" s="1191"/>
      <c r="E997" s="1191"/>
      <c r="F997" s="1191"/>
      <c r="G997" s="1191"/>
      <c r="H997" s="1191"/>
      <c r="I997" s="1191"/>
      <c r="J997" s="1191"/>
      <c r="K997" s="1191"/>
      <c r="L997" s="1191"/>
      <c r="M997" s="1191"/>
      <c r="N997" s="1191"/>
      <c r="O997" s="1191"/>
      <c r="P997" s="1191"/>
      <c r="Q997" s="1191"/>
      <c r="R997" s="1191"/>
      <c r="S997" s="1191"/>
      <c r="T997" s="1191"/>
      <c r="U997" s="1191"/>
      <c r="V997" s="1192"/>
      <c r="W997" s="1191"/>
      <c r="X997" s="1191"/>
      <c r="Y997" s="1191"/>
      <c r="Z997" s="1191"/>
    </row>
    <row r="998" spans="1:26" ht="15.75" customHeight="1">
      <c r="A998" s="1191"/>
      <c r="B998" s="1191"/>
      <c r="C998" s="1191"/>
      <c r="D998" s="1191"/>
      <c r="E998" s="1191"/>
      <c r="F998" s="1191"/>
      <c r="G998" s="1191"/>
      <c r="H998" s="1191"/>
      <c r="I998" s="1191"/>
      <c r="J998" s="1191"/>
      <c r="K998" s="1191"/>
      <c r="L998" s="1191"/>
      <c r="M998" s="1191"/>
      <c r="N998" s="1191"/>
      <c r="O998" s="1191"/>
      <c r="P998" s="1191"/>
      <c r="Q998" s="1191"/>
      <c r="R998" s="1191"/>
      <c r="S998" s="1191"/>
      <c r="T998" s="1191"/>
      <c r="U998" s="1191"/>
      <c r="V998" s="1192"/>
      <c r="W998" s="1191"/>
      <c r="X998" s="1191"/>
      <c r="Y998" s="1191"/>
      <c r="Z998" s="1191"/>
    </row>
    <row r="999" spans="1:26" ht="15.75" customHeight="1">
      <c r="A999" s="1191"/>
      <c r="B999" s="1191"/>
      <c r="C999" s="1191"/>
      <c r="D999" s="1191"/>
      <c r="E999" s="1191"/>
      <c r="F999" s="1191"/>
      <c r="G999" s="1191"/>
      <c r="H999" s="1191"/>
      <c r="I999" s="1191"/>
      <c r="J999" s="1191"/>
      <c r="K999" s="1191"/>
      <c r="L999" s="1191"/>
      <c r="M999" s="1191"/>
      <c r="N999" s="1191"/>
      <c r="O999" s="1191"/>
      <c r="P999" s="1191"/>
      <c r="Q999" s="1191"/>
      <c r="R999" s="1191"/>
      <c r="S999" s="1191"/>
      <c r="T999" s="1191"/>
      <c r="U999" s="1191"/>
      <c r="V999" s="1192"/>
      <c r="W999" s="1191"/>
      <c r="X999" s="1191"/>
      <c r="Y999" s="1191"/>
      <c r="Z999" s="1191"/>
    </row>
    <row r="1000" spans="1:26" ht="15.75" customHeight="1">
      <c r="A1000" s="1191"/>
      <c r="B1000" s="1191"/>
      <c r="C1000" s="1191"/>
      <c r="D1000" s="1191"/>
      <c r="E1000" s="1191"/>
      <c r="F1000" s="1191"/>
      <c r="G1000" s="1191"/>
      <c r="H1000" s="1191"/>
      <c r="I1000" s="1191"/>
      <c r="J1000" s="1191"/>
      <c r="K1000" s="1191"/>
      <c r="L1000" s="1191"/>
      <c r="M1000" s="1191"/>
      <c r="N1000" s="1191"/>
      <c r="O1000" s="1191"/>
      <c r="P1000" s="1191"/>
      <c r="Q1000" s="1191"/>
      <c r="R1000" s="1191"/>
      <c r="S1000" s="1191"/>
      <c r="T1000" s="1191"/>
      <c r="U1000" s="1191"/>
      <c r="V1000" s="1192"/>
      <c r="W1000" s="1191"/>
      <c r="X1000" s="1191"/>
      <c r="Y1000" s="1191"/>
      <c r="Z1000" s="1191"/>
    </row>
  </sheetData>
  <mergeCells count="101">
    <mergeCell ref="B202:B203"/>
    <mergeCell ref="C202:C203"/>
    <mergeCell ref="B204:B206"/>
    <mergeCell ref="C204:C206"/>
    <mergeCell ref="B210:D210"/>
    <mergeCell ref="A211:D211"/>
    <mergeCell ref="A135:A158"/>
    <mergeCell ref="B135:B136"/>
    <mergeCell ref="B138:B144"/>
    <mergeCell ref="B145:B146"/>
    <mergeCell ref="B147:B149"/>
    <mergeCell ref="B158:D158"/>
    <mergeCell ref="A159:A210"/>
    <mergeCell ref="C159:C162"/>
    <mergeCell ref="B163:B167"/>
    <mergeCell ref="C163:C167"/>
    <mergeCell ref="B168:B172"/>
    <mergeCell ref="C168:C172"/>
    <mergeCell ref="B173:B179"/>
    <mergeCell ref="C173:C179"/>
    <mergeCell ref="B180:B183"/>
    <mergeCell ref="C180:C183"/>
    <mergeCell ref="B184:B186"/>
    <mergeCell ref="C184:C186"/>
    <mergeCell ref="B150:B153"/>
    <mergeCell ref="B159:B162"/>
    <mergeCell ref="C135:C136"/>
    <mergeCell ref="C138:C144"/>
    <mergeCell ref="C145:C146"/>
    <mergeCell ref="C147:C149"/>
    <mergeCell ref="C150:C153"/>
    <mergeCell ref="B200:B201"/>
    <mergeCell ref="C200:C201"/>
    <mergeCell ref="B187:B192"/>
    <mergeCell ref="C187:C192"/>
    <mergeCell ref="B194:B199"/>
    <mergeCell ref="C194:C199"/>
    <mergeCell ref="B128:B130"/>
    <mergeCell ref="C128:C130"/>
    <mergeCell ref="B131:B132"/>
    <mergeCell ref="C131:C132"/>
    <mergeCell ref="B134:D134"/>
    <mergeCell ref="B26:B36"/>
    <mergeCell ref="C26:C36"/>
    <mergeCell ref="A69:A93"/>
    <mergeCell ref="B70:B74"/>
    <mergeCell ref="C70:C74"/>
    <mergeCell ref="C75:C78"/>
    <mergeCell ref="A94:A134"/>
    <mergeCell ref="B111:B113"/>
    <mergeCell ref="C111:C113"/>
    <mergeCell ref="B114:B118"/>
    <mergeCell ref="C114:C118"/>
    <mergeCell ref="B75:B78"/>
    <mergeCell ref="B94:B103"/>
    <mergeCell ref="B119:B120"/>
    <mergeCell ref="C119:C120"/>
    <mergeCell ref="B122:B125"/>
    <mergeCell ref="C122:C125"/>
    <mergeCell ref="B79:B85"/>
    <mergeCell ref="C79:C85"/>
    <mergeCell ref="F4:F5"/>
    <mergeCell ref="G4:H4"/>
    <mergeCell ref="B86:B89"/>
    <mergeCell ref="C86:C89"/>
    <mergeCell ref="B93:D93"/>
    <mergeCell ref="C94:C103"/>
    <mergeCell ref="B104:B105"/>
    <mergeCell ref="C104:C105"/>
    <mergeCell ref="B106:B110"/>
    <mergeCell ref="C106:C110"/>
    <mergeCell ref="B40:B46"/>
    <mergeCell ref="C40:C46"/>
    <mergeCell ref="B47:B56"/>
    <mergeCell ref="C47:C56"/>
    <mergeCell ref="B57:B66"/>
    <mergeCell ref="C57:C66"/>
    <mergeCell ref="A3:E3"/>
    <mergeCell ref="A6:A68"/>
    <mergeCell ref="B6:B23"/>
    <mergeCell ref="C6:C23"/>
    <mergeCell ref="B24:B25"/>
    <mergeCell ref="C24:C25"/>
    <mergeCell ref="B68:D68"/>
    <mergeCell ref="A4:A5"/>
    <mergeCell ref="V4:V5"/>
    <mergeCell ref="I4:I5"/>
    <mergeCell ref="J4:L4"/>
    <mergeCell ref="M4:M5"/>
    <mergeCell ref="N4:N5"/>
    <mergeCell ref="O4:O5"/>
    <mergeCell ref="P4:P5"/>
    <mergeCell ref="Q4:Q5"/>
    <mergeCell ref="B37:B39"/>
    <mergeCell ref="C37:C39"/>
    <mergeCell ref="B4:B5"/>
    <mergeCell ref="C4:C5"/>
    <mergeCell ref="D4:D5"/>
    <mergeCell ref="E4:E5"/>
    <mergeCell ref="R4:R5"/>
    <mergeCell ref="S4:S5"/>
  </mergeCells>
  <pageMargins left="0.27" right="0.26" top="0.22" bottom="0.15" header="0.15" footer="0"/>
  <pageSetup scale="83" orientation="portrait" r:id="rId1"/>
  <rowBreaks count="2" manualBreakCount="2">
    <brk id="203" max="21" man="1"/>
    <brk id="211" max="21" man="1"/>
  </rowBreaks>
</worksheet>
</file>

<file path=xl/worksheets/sheet8.xml><?xml version="1.0" encoding="utf-8"?>
<worksheet xmlns="http://schemas.openxmlformats.org/spreadsheetml/2006/main" xmlns:r="http://schemas.openxmlformats.org/officeDocument/2006/relationships">
  <dimension ref="A1:AA1000"/>
  <sheetViews>
    <sheetView zoomScale="117" zoomScaleNormal="117" workbookViewId="0">
      <pane xSplit="5" ySplit="5" topLeftCell="F187" activePane="bottomRight" state="frozen"/>
      <selection pane="topRight" activeCell="F1" sqref="F1"/>
      <selection pane="bottomLeft" activeCell="A6" sqref="A6"/>
      <selection pane="bottomRight" activeCell="P187" sqref="P187:V187"/>
    </sheetView>
  </sheetViews>
  <sheetFormatPr defaultColWidth="14.42578125" defaultRowHeight="15" customHeight="1"/>
  <cols>
    <col min="1" max="1" width="6.7109375" style="784" customWidth="1"/>
    <col min="2" max="2" width="7.28515625" style="784" customWidth="1"/>
    <col min="3" max="3" width="11.28515625" style="784" customWidth="1"/>
    <col min="4" max="4" width="5.85546875" style="784" customWidth="1"/>
    <col min="5" max="5" width="13.5703125" style="784" customWidth="1"/>
    <col min="6" max="6" width="7.42578125" style="784" customWidth="1"/>
    <col min="7" max="7" width="5.42578125" style="784" customWidth="1"/>
    <col min="8" max="8" width="8.28515625" style="784" customWidth="1"/>
    <col min="9" max="9" width="10.5703125" style="784" customWidth="1"/>
    <col min="10" max="10" width="6.7109375" style="784" customWidth="1"/>
    <col min="11" max="11" width="9.28515625" style="784" customWidth="1"/>
    <col min="12" max="12" width="6.7109375" style="784" customWidth="1"/>
    <col min="13" max="13" width="9" style="784" customWidth="1"/>
    <col min="14" max="14" width="9.7109375" style="784" customWidth="1"/>
    <col min="15" max="15" width="11.140625" style="784" customWidth="1"/>
    <col min="16" max="16" width="10" style="784" customWidth="1"/>
    <col min="17" max="17" width="8.28515625" style="784" customWidth="1"/>
    <col min="18" max="18" width="11" style="784" customWidth="1"/>
    <col min="19" max="19" width="8.140625" style="784" customWidth="1"/>
    <col min="20" max="20" width="11.42578125" style="784" customWidth="1"/>
    <col min="21" max="21" width="10.5703125" style="784" customWidth="1"/>
    <col min="22" max="22" width="48.28515625" style="4" customWidth="1"/>
    <col min="23" max="23" width="43.42578125" style="784" customWidth="1"/>
    <col min="24" max="27" width="14.42578125" style="784" customWidth="1"/>
    <col min="28" max="16384" width="14.42578125" style="784"/>
  </cols>
  <sheetData>
    <row r="1" spans="1:27" ht="20.25" customHeight="1">
      <c r="A1" s="1"/>
      <c r="B1" s="2"/>
      <c r="C1" s="2"/>
      <c r="D1" s="2"/>
      <c r="E1" s="469" t="s">
        <v>0</v>
      </c>
      <c r="J1" s="3"/>
      <c r="K1" s="3"/>
      <c r="L1" s="3"/>
      <c r="M1" s="3"/>
      <c r="N1" s="3"/>
      <c r="O1" s="3"/>
      <c r="P1" s="3"/>
      <c r="Q1" s="3"/>
      <c r="R1" s="3"/>
      <c r="S1" s="3"/>
      <c r="T1" s="3"/>
      <c r="U1" s="3"/>
      <c r="V1" s="18"/>
    </row>
    <row r="2" spans="1:27" ht="23.25" customHeight="1">
      <c r="A2" s="3"/>
      <c r="B2" s="3"/>
      <c r="C2" s="3"/>
      <c r="D2" s="3"/>
      <c r="E2" s="3"/>
      <c r="F2" s="3"/>
      <c r="G2" s="3"/>
      <c r="H2" s="3"/>
      <c r="I2" s="3"/>
      <c r="J2" s="3"/>
      <c r="K2" s="3"/>
      <c r="L2" s="3"/>
      <c r="M2" s="3"/>
      <c r="N2" s="3"/>
      <c r="O2" s="3"/>
      <c r="P2" s="3"/>
      <c r="Q2" s="3"/>
      <c r="R2" s="3"/>
      <c r="S2" s="3"/>
      <c r="T2" s="3"/>
      <c r="U2" s="3"/>
      <c r="V2" s="18"/>
    </row>
    <row r="3" spans="1:27" ht="22.5" customHeight="1">
      <c r="A3" s="827" t="s">
        <v>1682</v>
      </c>
      <c r="B3" s="827"/>
      <c r="C3" s="827"/>
      <c r="D3" s="827"/>
      <c r="E3" s="827"/>
      <c r="F3" s="470"/>
      <c r="G3" s="470"/>
      <c r="H3" s="470"/>
      <c r="I3" s="470"/>
      <c r="J3" s="470"/>
      <c r="K3" s="470"/>
      <c r="L3" s="470"/>
      <c r="M3" s="470"/>
      <c r="N3" s="470"/>
      <c r="O3" s="470"/>
      <c r="P3" s="470"/>
      <c r="Q3" s="470"/>
      <c r="R3" s="470"/>
      <c r="S3" s="470"/>
      <c r="T3" s="471"/>
      <c r="U3" s="470"/>
      <c r="V3" s="470" t="s">
        <v>2</v>
      </c>
    </row>
    <row r="4" spans="1:27" ht="33.75" customHeight="1">
      <c r="A4" s="828" t="s">
        <v>739</v>
      </c>
      <c r="B4" s="828" t="s">
        <v>4</v>
      </c>
      <c r="C4" s="828" t="s">
        <v>5</v>
      </c>
      <c r="D4" s="828" t="s">
        <v>6</v>
      </c>
      <c r="E4" s="828" t="s">
        <v>388</v>
      </c>
      <c r="F4" s="828" t="s">
        <v>8</v>
      </c>
      <c r="G4" s="828" t="s">
        <v>9</v>
      </c>
      <c r="H4" s="736"/>
      <c r="I4" s="828" t="s">
        <v>10</v>
      </c>
      <c r="J4" s="828"/>
      <c r="K4" s="736"/>
      <c r="L4" s="736"/>
      <c r="M4" s="828" t="s">
        <v>12</v>
      </c>
      <c r="N4" s="828" t="s">
        <v>13</v>
      </c>
      <c r="O4" s="828" t="s">
        <v>14</v>
      </c>
      <c r="P4" s="828" t="s">
        <v>445</v>
      </c>
      <c r="Q4" s="828" t="s">
        <v>16</v>
      </c>
      <c r="R4" s="828" t="s">
        <v>17</v>
      </c>
      <c r="S4" s="828" t="s">
        <v>18</v>
      </c>
      <c r="T4" s="829" t="s">
        <v>19</v>
      </c>
      <c r="U4" s="829" t="s">
        <v>19</v>
      </c>
      <c r="V4" s="828" t="s">
        <v>389</v>
      </c>
      <c r="W4" s="471"/>
      <c r="X4" s="3"/>
      <c r="Y4" s="3"/>
      <c r="Z4" s="3"/>
      <c r="AA4" s="3"/>
    </row>
    <row r="5" spans="1:27" ht="25.5" customHeight="1">
      <c r="A5" s="736"/>
      <c r="B5" s="736"/>
      <c r="C5" s="736"/>
      <c r="D5" s="736"/>
      <c r="E5" s="736"/>
      <c r="F5" s="736"/>
      <c r="G5" s="829" t="s">
        <v>21</v>
      </c>
      <c r="H5" s="829" t="s">
        <v>22</v>
      </c>
      <c r="I5" s="736"/>
      <c r="J5" s="829" t="s">
        <v>1564</v>
      </c>
      <c r="K5" s="829" t="s">
        <v>23</v>
      </c>
      <c r="L5" s="829" t="s">
        <v>24</v>
      </c>
      <c r="M5" s="736"/>
      <c r="N5" s="736"/>
      <c r="O5" s="736"/>
      <c r="P5" s="736"/>
      <c r="Q5" s="736"/>
      <c r="R5" s="736"/>
      <c r="S5" s="736"/>
      <c r="T5" s="829" t="s">
        <v>25</v>
      </c>
      <c r="U5" s="829" t="s">
        <v>26</v>
      </c>
      <c r="V5" s="794"/>
      <c r="W5" s="471"/>
      <c r="X5" s="3"/>
      <c r="Y5" s="3"/>
      <c r="Z5" s="3"/>
      <c r="AA5" s="3"/>
    </row>
    <row r="6" spans="1:27" ht="24.75" customHeight="1">
      <c r="A6" s="831" t="s">
        <v>27</v>
      </c>
      <c r="B6" s="828" t="s">
        <v>28</v>
      </c>
      <c r="C6" s="828" t="s">
        <v>29</v>
      </c>
      <c r="D6" s="829">
        <v>1</v>
      </c>
      <c r="E6" s="829" t="s">
        <v>30</v>
      </c>
      <c r="F6" s="829"/>
      <c r="G6" s="829"/>
      <c r="H6" s="829"/>
      <c r="I6" s="829"/>
      <c r="J6" s="829"/>
      <c r="K6" s="829"/>
      <c r="L6" s="829"/>
      <c r="M6" s="829"/>
      <c r="N6" s="829"/>
      <c r="O6" s="829"/>
      <c r="P6" s="829"/>
      <c r="Q6" s="829"/>
      <c r="R6" s="829"/>
      <c r="S6" s="829"/>
      <c r="T6" s="847">
        <f t="shared" ref="T6:T103" si="0">SUM(F6:S6)</f>
        <v>0</v>
      </c>
      <c r="U6" s="847"/>
      <c r="V6" s="833"/>
      <c r="W6" s="471"/>
      <c r="X6" s="3"/>
      <c r="Y6" s="3"/>
      <c r="Z6" s="3"/>
      <c r="AA6" s="3"/>
    </row>
    <row r="7" spans="1:27" ht="24.75" customHeight="1">
      <c r="A7" s="736"/>
      <c r="B7" s="736"/>
      <c r="C7" s="736"/>
      <c r="D7" s="829">
        <v>2</v>
      </c>
      <c r="E7" s="829" t="s">
        <v>31</v>
      </c>
      <c r="F7" s="829"/>
      <c r="G7" s="829"/>
      <c r="H7" s="829"/>
      <c r="I7" s="829"/>
      <c r="J7" s="829"/>
      <c r="K7" s="847"/>
      <c r="L7" s="829"/>
      <c r="M7" s="829"/>
      <c r="N7" s="829"/>
      <c r="O7" s="829"/>
      <c r="P7" s="845"/>
      <c r="Q7" s="829"/>
      <c r="R7" s="829"/>
      <c r="S7" s="829"/>
      <c r="T7" s="847">
        <f t="shared" si="0"/>
        <v>0</v>
      </c>
      <c r="U7" s="847">
        <f>T7*110%</f>
        <v>0</v>
      </c>
      <c r="V7" s="833"/>
      <c r="W7" s="471"/>
      <c r="X7" s="3"/>
      <c r="Y7" s="3"/>
      <c r="Z7" s="3"/>
      <c r="AA7" s="3"/>
    </row>
    <row r="8" spans="1:27" ht="90">
      <c r="A8" s="736"/>
      <c r="B8" s="736"/>
      <c r="C8" s="736"/>
      <c r="D8" s="829">
        <v>3</v>
      </c>
      <c r="E8" s="829" t="s">
        <v>32</v>
      </c>
      <c r="F8" s="845">
        <v>80.66</v>
      </c>
      <c r="G8" s="829"/>
      <c r="H8" s="829"/>
      <c r="I8" s="829"/>
      <c r="J8" s="829"/>
      <c r="K8" s="829"/>
      <c r="L8" s="829"/>
      <c r="M8" s="829"/>
      <c r="N8" s="829"/>
      <c r="O8" s="845">
        <v>65.94</v>
      </c>
      <c r="P8" s="829"/>
      <c r="Q8" s="829"/>
      <c r="R8" s="845">
        <v>3.22</v>
      </c>
      <c r="S8" s="829"/>
      <c r="T8" s="847">
        <f t="shared" si="0"/>
        <v>149.82</v>
      </c>
      <c r="U8" s="847">
        <f t="shared" ref="U8:U12" si="1">T8</f>
        <v>149.82</v>
      </c>
      <c r="V8" s="833" t="s">
        <v>1687</v>
      </c>
      <c r="W8" s="471"/>
      <c r="X8" s="3"/>
      <c r="Y8" s="3"/>
      <c r="Z8" s="3"/>
      <c r="AA8" s="3"/>
    </row>
    <row r="9" spans="1:27" ht="195">
      <c r="A9" s="736"/>
      <c r="B9" s="736"/>
      <c r="C9" s="736"/>
      <c r="D9" s="829">
        <v>4</v>
      </c>
      <c r="E9" s="829" t="s">
        <v>34</v>
      </c>
      <c r="F9" s="829"/>
      <c r="G9" s="829"/>
      <c r="H9" s="829"/>
      <c r="I9" s="829"/>
      <c r="J9" s="829"/>
      <c r="K9" s="829">
        <v>106.57</v>
      </c>
      <c r="L9" s="829"/>
      <c r="M9" s="961">
        <v>23.8</v>
      </c>
      <c r="N9" s="960"/>
      <c r="O9" s="960">
        <v>0</v>
      </c>
      <c r="P9" s="1193">
        <v>60.05</v>
      </c>
      <c r="Q9" s="829"/>
      <c r="R9" s="829"/>
      <c r="S9" s="829"/>
      <c r="T9" s="847">
        <f t="shared" si="0"/>
        <v>190.42000000000002</v>
      </c>
      <c r="U9" s="847">
        <f t="shared" si="1"/>
        <v>190.42000000000002</v>
      </c>
      <c r="V9" s="833" t="s">
        <v>740</v>
      </c>
      <c r="W9" s="471"/>
      <c r="X9" s="3"/>
      <c r="Y9" s="3"/>
      <c r="Z9" s="3"/>
      <c r="AA9" s="3"/>
    </row>
    <row r="10" spans="1:27" ht="75">
      <c r="A10" s="736"/>
      <c r="B10" s="736"/>
      <c r="C10" s="736"/>
      <c r="D10" s="829">
        <v>5</v>
      </c>
      <c r="E10" s="829" t="s">
        <v>36</v>
      </c>
      <c r="F10" s="829"/>
      <c r="G10" s="829"/>
      <c r="H10" s="829"/>
      <c r="I10" s="829"/>
      <c r="J10" s="829"/>
      <c r="K10" s="829"/>
      <c r="L10" s="829"/>
      <c r="M10" s="1194"/>
      <c r="N10" s="1194"/>
      <c r="O10" s="829"/>
      <c r="P10" s="847">
        <v>59.51</v>
      </c>
      <c r="Q10" s="829"/>
      <c r="R10" s="829"/>
      <c r="S10" s="829"/>
      <c r="T10" s="847">
        <f t="shared" si="0"/>
        <v>59.51</v>
      </c>
      <c r="U10" s="847">
        <f t="shared" si="1"/>
        <v>59.51</v>
      </c>
      <c r="V10" s="833" t="s">
        <v>741</v>
      </c>
      <c r="W10" s="471"/>
      <c r="X10" s="3"/>
      <c r="Y10" s="3"/>
      <c r="Z10" s="3"/>
      <c r="AA10" s="3"/>
    </row>
    <row r="11" spans="1:27" ht="153.75" customHeight="1">
      <c r="A11" s="736"/>
      <c r="B11" s="736"/>
      <c r="C11" s="736"/>
      <c r="D11" s="829">
        <v>6</v>
      </c>
      <c r="E11" s="829" t="s">
        <v>38</v>
      </c>
      <c r="F11" s="829">
        <v>1.0900000000000001</v>
      </c>
      <c r="G11" s="829"/>
      <c r="H11" s="829"/>
      <c r="I11" s="829"/>
      <c r="J11" s="829"/>
      <c r="K11" s="829"/>
      <c r="L11" s="829"/>
      <c r="M11" s="1194"/>
      <c r="N11" s="479"/>
      <c r="O11" s="829">
        <v>3.36</v>
      </c>
      <c r="P11" s="845">
        <v>1.31</v>
      </c>
      <c r="Q11" s="829"/>
      <c r="R11" s="829"/>
      <c r="S11" s="829"/>
      <c r="T11" s="847">
        <f t="shared" si="0"/>
        <v>5.76</v>
      </c>
      <c r="U11" s="847">
        <f t="shared" si="1"/>
        <v>5.76</v>
      </c>
      <c r="V11" s="833" t="s">
        <v>742</v>
      </c>
      <c r="W11" s="471"/>
      <c r="X11" s="3"/>
      <c r="Y11" s="3"/>
      <c r="Z11" s="3"/>
      <c r="AA11" s="3"/>
    </row>
    <row r="12" spans="1:27" ht="120">
      <c r="A12" s="736"/>
      <c r="B12" s="736"/>
      <c r="C12" s="736"/>
      <c r="D12" s="829">
        <v>7</v>
      </c>
      <c r="E12" s="829" t="s">
        <v>40</v>
      </c>
      <c r="F12" s="829"/>
      <c r="G12" s="829"/>
      <c r="H12" s="979"/>
      <c r="I12" s="979"/>
      <c r="J12" s="829"/>
      <c r="K12" s="829"/>
      <c r="L12" s="829"/>
      <c r="M12" s="829"/>
      <c r="N12" s="829"/>
      <c r="O12" s="829"/>
      <c r="P12" s="845">
        <v>0</v>
      </c>
      <c r="Q12" s="845">
        <v>2.15</v>
      </c>
      <c r="R12" s="829">
        <v>0.1</v>
      </c>
      <c r="S12" s="829"/>
      <c r="T12" s="847">
        <f t="shared" si="0"/>
        <v>2.25</v>
      </c>
      <c r="U12" s="847">
        <f t="shared" si="1"/>
        <v>2.25</v>
      </c>
      <c r="V12" s="833" t="s">
        <v>688</v>
      </c>
      <c r="W12" s="471"/>
      <c r="X12" s="3"/>
      <c r="Y12" s="3"/>
      <c r="Z12" s="3"/>
      <c r="AA12" s="3"/>
    </row>
    <row r="13" spans="1:27" ht="24.75" customHeight="1">
      <c r="A13" s="736"/>
      <c r="B13" s="736"/>
      <c r="C13" s="736"/>
      <c r="D13" s="829">
        <v>8</v>
      </c>
      <c r="E13" s="829" t="s">
        <v>42</v>
      </c>
      <c r="F13" s="829"/>
      <c r="G13" s="829"/>
      <c r="H13" s="829"/>
      <c r="I13" s="829"/>
      <c r="J13" s="829"/>
      <c r="K13" s="829"/>
      <c r="L13" s="829"/>
      <c r="M13" s="829"/>
      <c r="N13" s="847"/>
      <c r="O13" s="829"/>
      <c r="P13" s="829"/>
      <c r="Q13" s="829"/>
      <c r="R13" s="829"/>
      <c r="S13" s="829"/>
      <c r="T13" s="847">
        <f t="shared" si="0"/>
        <v>0</v>
      </c>
      <c r="U13" s="847">
        <f>T13*110%</f>
        <v>0</v>
      </c>
      <c r="V13" s="833"/>
      <c r="W13" s="471"/>
      <c r="X13" s="3"/>
      <c r="Y13" s="3"/>
      <c r="Z13" s="3"/>
      <c r="AA13" s="3"/>
    </row>
    <row r="14" spans="1:27" ht="90">
      <c r="A14" s="736"/>
      <c r="B14" s="736"/>
      <c r="C14" s="736"/>
      <c r="D14" s="829">
        <v>9</v>
      </c>
      <c r="E14" s="829" t="s">
        <v>43</v>
      </c>
      <c r="F14" s="829"/>
      <c r="G14" s="829"/>
      <c r="H14" s="829"/>
      <c r="I14" s="829"/>
      <c r="J14" s="829"/>
      <c r="K14" s="829"/>
      <c r="L14" s="829"/>
      <c r="M14" s="829"/>
      <c r="N14" s="847"/>
      <c r="O14" s="829"/>
      <c r="P14" s="836">
        <v>0.15851999999999999</v>
      </c>
      <c r="Q14" s="837"/>
      <c r="R14" s="837">
        <v>0.24</v>
      </c>
      <c r="S14" s="837"/>
      <c r="T14" s="847">
        <f t="shared" si="0"/>
        <v>0.39851999999999999</v>
      </c>
      <c r="U14" s="847">
        <f>T14</f>
        <v>0.39851999999999999</v>
      </c>
      <c r="V14" s="833" t="s">
        <v>743</v>
      </c>
      <c r="W14" s="471"/>
      <c r="X14" s="3"/>
      <c r="Y14" s="3"/>
      <c r="Z14" s="3"/>
      <c r="AA14" s="3"/>
    </row>
    <row r="15" spans="1:27" ht="105">
      <c r="A15" s="736"/>
      <c r="B15" s="736"/>
      <c r="C15" s="736"/>
      <c r="D15" s="829">
        <v>10</v>
      </c>
      <c r="E15" s="829" t="s">
        <v>44</v>
      </c>
      <c r="F15" s="829"/>
      <c r="G15" s="829"/>
      <c r="H15" s="829"/>
      <c r="I15" s="847">
        <v>0.03</v>
      </c>
      <c r="J15" s="829"/>
      <c r="K15" s="829"/>
      <c r="L15" s="829"/>
      <c r="M15" s="829"/>
      <c r="N15" s="847">
        <v>0.82</v>
      </c>
      <c r="O15" s="829"/>
      <c r="P15" s="829"/>
      <c r="Q15" s="829"/>
      <c r="R15" s="829"/>
      <c r="S15" s="829"/>
      <c r="T15" s="847">
        <f t="shared" si="0"/>
        <v>0.85</v>
      </c>
      <c r="U15" s="847">
        <v>0.82</v>
      </c>
      <c r="V15" s="833" t="s">
        <v>1565</v>
      </c>
      <c r="W15" s="471"/>
      <c r="X15" s="3"/>
      <c r="Y15" s="3"/>
      <c r="Z15" s="3"/>
      <c r="AA15" s="3"/>
    </row>
    <row r="16" spans="1:27" ht="24.75" customHeight="1">
      <c r="A16" s="736"/>
      <c r="B16" s="736"/>
      <c r="C16" s="736"/>
      <c r="D16" s="829">
        <v>11</v>
      </c>
      <c r="E16" s="829" t="s">
        <v>45</v>
      </c>
      <c r="F16" s="829"/>
      <c r="G16" s="845"/>
      <c r="H16" s="845"/>
      <c r="I16" s="829"/>
      <c r="J16" s="829"/>
      <c r="K16" s="829"/>
      <c r="L16" s="829"/>
      <c r="M16" s="829"/>
      <c r="N16" s="829"/>
      <c r="O16" s="829"/>
      <c r="P16" s="829"/>
      <c r="Q16" s="829"/>
      <c r="R16" s="829"/>
      <c r="S16" s="829"/>
      <c r="T16" s="847">
        <f t="shared" si="0"/>
        <v>0</v>
      </c>
      <c r="U16" s="847">
        <f>T16*110%</f>
        <v>0</v>
      </c>
      <c r="V16" s="833"/>
      <c r="W16" s="471"/>
      <c r="X16" s="3"/>
      <c r="Y16" s="3"/>
      <c r="Z16" s="3"/>
      <c r="AA16" s="3"/>
    </row>
    <row r="17" spans="1:27" ht="45">
      <c r="A17" s="736"/>
      <c r="B17" s="736"/>
      <c r="C17" s="736"/>
      <c r="D17" s="829">
        <v>12</v>
      </c>
      <c r="E17" s="829" t="s">
        <v>46</v>
      </c>
      <c r="F17" s="829"/>
      <c r="G17" s="829"/>
      <c r="H17" s="829"/>
      <c r="I17" s="829"/>
      <c r="J17" s="829"/>
      <c r="K17" s="829"/>
      <c r="L17" s="829"/>
      <c r="M17" s="829"/>
      <c r="N17" s="847">
        <v>2</v>
      </c>
      <c r="O17" s="829"/>
      <c r="P17" s="829"/>
      <c r="Q17" s="829"/>
      <c r="R17" s="829"/>
      <c r="S17" s="829"/>
      <c r="T17" s="847">
        <f t="shared" si="0"/>
        <v>2</v>
      </c>
      <c r="U17" s="847">
        <v>2</v>
      </c>
      <c r="V17" s="833" t="s">
        <v>47</v>
      </c>
      <c r="W17" s="471"/>
      <c r="X17" s="3"/>
      <c r="Y17" s="3"/>
      <c r="Z17" s="3"/>
      <c r="AA17" s="3"/>
    </row>
    <row r="18" spans="1:27" ht="24.75" customHeight="1">
      <c r="A18" s="736"/>
      <c r="B18" s="736"/>
      <c r="C18" s="736"/>
      <c r="D18" s="829">
        <v>13</v>
      </c>
      <c r="E18" s="829" t="s">
        <v>48</v>
      </c>
      <c r="F18" s="829"/>
      <c r="G18" s="829"/>
      <c r="H18" s="829"/>
      <c r="I18" s="829"/>
      <c r="J18" s="829"/>
      <c r="K18" s="829"/>
      <c r="L18" s="829"/>
      <c r="M18" s="829"/>
      <c r="N18" s="829"/>
      <c r="O18" s="829"/>
      <c r="P18" s="845"/>
      <c r="Q18" s="829"/>
      <c r="R18" s="829"/>
      <c r="S18" s="829"/>
      <c r="T18" s="847">
        <f t="shared" si="0"/>
        <v>0</v>
      </c>
      <c r="U18" s="847">
        <f t="shared" ref="U18:U19" si="2">T18*110%</f>
        <v>0</v>
      </c>
      <c r="V18" s="833"/>
      <c r="W18" s="471"/>
      <c r="X18" s="3"/>
      <c r="Y18" s="3"/>
      <c r="Z18" s="3"/>
      <c r="AA18" s="3"/>
    </row>
    <row r="19" spans="1:27" ht="36" customHeight="1">
      <c r="A19" s="736"/>
      <c r="B19" s="736"/>
      <c r="C19" s="736"/>
      <c r="D19" s="829">
        <v>14</v>
      </c>
      <c r="E19" s="829" t="s">
        <v>49</v>
      </c>
      <c r="F19" s="829"/>
      <c r="G19" s="829"/>
      <c r="H19" s="829"/>
      <c r="I19" s="829"/>
      <c r="J19" s="829"/>
      <c r="K19" s="829"/>
      <c r="L19" s="829"/>
      <c r="M19" s="829"/>
      <c r="N19" s="829"/>
      <c r="O19" s="829"/>
      <c r="P19" s="829"/>
      <c r="Q19" s="829"/>
      <c r="R19" s="829"/>
      <c r="S19" s="829"/>
      <c r="T19" s="847">
        <f t="shared" si="0"/>
        <v>0</v>
      </c>
      <c r="U19" s="847">
        <f t="shared" si="2"/>
        <v>0</v>
      </c>
      <c r="V19" s="833"/>
      <c r="W19" s="471"/>
      <c r="X19" s="3"/>
      <c r="Y19" s="3"/>
      <c r="Z19" s="3"/>
      <c r="AA19" s="3"/>
    </row>
    <row r="20" spans="1:27" ht="360">
      <c r="A20" s="736"/>
      <c r="B20" s="736"/>
      <c r="C20" s="736"/>
      <c r="D20" s="829">
        <v>15</v>
      </c>
      <c r="E20" s="829" t="s">
        <v>50</v>
      </c>
      <c r="F20" s="829"/>
      <c r="G20" s="829"/>
      <c r="H20" s="829"/>
      <c r="I20" s="845">
        <v>0.65</v>
      </c>
      <c r="J20" s="829"/>
      <c r="K20" s="829"/>
      <c r="L20" s="829"/>
      <c r="M20" s="829"/>
      <c r="N20" s="847">
        <v>0.75</v>
      </c>
      <c r="O20" s="829"/>
      <c r="P20" s="845">
        <v>3</v>
      </c>
      <c r="Q20" s="845"/>
      <c r="R20" s="829"/>
      <c r="S20" s="829"/>
      <c r="T20" s="847">
        <f t="shared" si="0"/>
        <v>4.4000000000000004</v>
      </c>
      <c r="U20" s="847">
        <f>0.71+1+1+2</f>
        <v>4.71</v>
      </c>
      <c r="V20" s="833" t="s">
        <v>744</v>
      </c>
      <c r="W20" s="471"/>
      <c r="X20" s="3"/>
      <c r="Y20" s="3"/>
      <c r="Z20" s="3"/>
      <c r="AA20" s="3"/>
    </row>
    <row r="21" spans="1:27" ht="24.75" customHeight="1">
      <c r="A21" s="736"/>
      <c r="B21" s="736"/>
      <c r="C21" s="736"/>
      <c r="D21" s="829">
        <v>16</v>
      </c>
      <c r="E21" s="829" t="s">
        <v>51</v>
      </c>
      <c r="F21" s="829"/>
      <c r="G21" s="829"/>
      <c r="H21" s="829"/>
      <c r="I21" s="829"/>
      <c r="J21" s="829"/>
      <c r="K21" s="829"/>
      <c r="L21" s="829"/>
      <c r="M21" s="829"/>
      <c r="N21" s="829"/>
      <c r="O21" s="829"/>
      <c r="P21" s="829"/>
      <c r="Q21" s="829"/>
      <c r="R21" s="829"/>
      <c r="S21" s="829"/>
      <c r="T21" s="847">
        <f t="shared" si="0"/>
        <v>0</v>
      </c>
      <c r="U21" s="847">
        <f>T21*110%</f>
        <v>0</v>
      </c>
      <c r="V21" s="833"/>
      <c r="W21" s="471"/>
      <c r="X21" s="3"/>
      <c r="Y21" s="3"/>
      <c r="Z21" s="3"/>
      <c r="AA21" s="3"/>
    </row>
    <row r="22" spans="1:27" ht="105">
      <c r="A22" s="736"/>
      <c r="B22" s="736"/>
      <c r="C22" s="736"/>
      <c r="D22" s="829">
        <v>17</v>
      </c>
      <c r="E22" s="829" t="s">
        <v>52</v>
      </c>
      <c r="F22" s="829"/>
      <c r="G22" s="829"/>
      <c r="H22" s="829"/>
      <c r="I22" s="847"/>
      <c r="J22" s="829"/>
      <c r="K22" s="829"/>
      <c r="L22" s="829"/>
      <c r="M22" s="829"/>
      <c r="N22" s="847"/>
      <c r="O22" s="829"/>
      <c r="P22" s="845">
        <v>0.9</v>
      </c>
      <c r="Q22" s="847">
        <v>3.52</v>
      </c>
      <c r="R22" s="829"/>
      <c r="S22" s="845"/>
      <c r="T22" s="847">
        <f t="shared" si="0"/>
        <v>4.42</v>
      </c>
      <c r="U22" s="728">
        <f>T22+0.5</f>
        <v>4.92</v>
      </c>
      <c r="V22" s="833" t="s">
        <v>745</v>
      </c>
      <c r="W22" s="471"/>
      <c r="X22" s="3"/>
      <c r="Y22" s="3"/>
      <c r="Z22" s="3"/>
      <c r="AA22" s="3"/>
    </row>
    <row r="23" spans="1:27" ht="84.75" customHeight="1">
      <c r="A23" s="736"/>
      <c r="B23" s="736"/>
      <c r="C23" s="736"/>
      <c r="D23" s="829">
        <v>18</v>
      </c>
      <c r="E23" s="829" t="s">
        <v>53</v>
      </c>
      <c r="F23" s="829"/>
      <c r="G23" s="829"/>
      <c r="H23" s="829"/>
      <c r="I23" s="829"/>
      <c r="J23" s="829"/>
      <c r="K23" s="829"/>
      <c r="L23" s="829"/>
      <c r="M23" s="829"/>
      <c r="N23" s="829"/>
      <c r="O23" s="829"/>
      <c r="P23" s="845">
        <v>1.65</v>
      </c>
      <c r="Q23" s="845"/>
      <c r="R23" s="829"/>
      <c r="S23" s="845"/>
      <c r="T23" s="847">
        <f t="shared" si="0"/>
        <v>1.65</v>
      </c>
      <c r="U23" s="847">
        <f>T23</f>
        <v>1.65</v>
      </c>
      <c r="V23" s="833" t="s">
        <v>1830</v>
      </c>
      <c r="W23" s="471"/>
      <c r="X23" s="3"/>
      <c r="Y23" s="3"/>
      <c r="Z23" s="3"/>
      <c r="AA23" s="3"/>
    </row>
    <row r="24" spans="1:27" ht="24.75" customHeight="1">
      <c r="A24" s="736"/>
      <c r="B24" s="828" t="s">
        <v>54</v>
      </c>
      <c r="C24" s="828" t="s">
        <v>55</v>
      </c>
      <c r="D24" s="829">
        <v>19</v>
      </c>
      <c r="E24" s="829" t="s">
        <v>55</v>
      </c>
      <c r="F24" s="829"/>
      <c r="G24" s="829"/>
      <c r="H24" s="829"/>
      <c r="I24" s="829"/>
      <c r="J24" s="829"/>
      <c r="K24" s="829"/>
      <c r="L24" s="829"/>
      <c r="M24" s="829"/>
      <c r="N24" s="829"/>
      <c r="O24" s="829"/>
      <c r="P24" s="829"/>
      <c r="Q24" s="829"/>
      <c r="R24" s="829"/>
      <c r="S24" s="829"/>
      <c r="T24" s="847">
        <f t="shared" si="0"/>
        <v>0</v>
      </c>
      <c r="U24" s="847">
        <f>T24*110%</f>
        <v>0</v>
      </c>
      <c r="V24" s="833"/>
      <c r="W24" s="471"/>
      <c r="X24" s="3"/>
      <c r="Y24" s="3"/>
      <c r="Z24" s="3"/>
      <c r="AA24" s="3"/>
    </row>
    <row r="25" spans="1:27" ht="120">
      <c r="A25" s="736"/>
      <c r="B25" s="736"/>
      <c r="C25" s="736"/>
      <c r="D25" s="829">
        <v>20</v>
      </c>
      <c r="E25" s="829" t="s">
        <v>56</v>
      </c>
      <c r="F25" s="829"/>
      <c r="G25" s="829"/>
      <c r="H25" s="829"/>
      <c r="I25" s="829"/>
      <c r="J25" s="829"/>
      <c r="K25" s="829"/>
      <c r="L25" s="829"/>
      <c r="M25" s="829"/>
      <c r="N25" s="829"/>
      <c r="O25" s="829"/>
      <c r="P25" s="1195"/>
      <c r="Q25" s="988">
        <v>2.5</v>
      </c>
      <c r="R25" s="829"/>
      <c r="S25" s="829"/>
      <c r="T25" s="847">
        <f t="shared" si="0"/>
        <v>2.5</v>
      </c>
      <c r="U25" s="847">
        <f>2.52</f>
        <v>2.52</v>
      </c>
      <c r="V25" s="1196" t="s">
        <v>746</v>
      </c>
      <c r="W25" s="471"/>
      <c r="X25" s="3"/>
      <c r="Y25" s="3"/>
      <c r="Z25" s="3"/>
      <c r="AA25" s="3"/>
    </row>
    <row r="26" spans="1:27" ht="225">
      <c r="A26" s="736"/>
      <c r="B26" s="828" t="s">
        <v>58</v>
      </c>
      <c r="C26" s="828" t="s">
        <v>59</v>
      </c>
      <c r="D26" s="829">
        <v>21</v>
      </c>
      <c r="E26" s="829" t="s">
        <v>60</v>
      </c>
      <c r="F26" s="913"/>
      <c r="G26" s="913"/>
      <c r="H26" s="914"/>
      <c r="I26" s="915">
        <v>1.92</v>
      </c>
      <c r="J26" s="913"/>
      <c r="K26" s="915"/>
      <c r="L26" s="913"/>
      <c r="M26" s="913"/>
      <c r="N26" s="915">
        <f>1.5+0.42+0.425</f>
        <v>2.3449999999999998</v>
      </c>
      <c r="O26" s="913"/>
      <c r="P26" s="914">
        <f>17.28+3.636</f>
        <v>20.916</v>
      </c>
      <c r="Q26" s="914">
        <v>0.24</v>
      </c>
      <c r="R26" s="915">
        <v>0.5</v>
      </c>
      <c r="S26" s="913"/>
      <c r="T26" s="847">
        <f t="shared" si="0"/>
        <v>25.920999999999999</v>
      </c>
      <c r="U26" s="728">
        <f>I26+N26+P26+Q26+R26</f>
        <v>25.920999999999999</v>
      </c>
      <c r="V26" s="1197" t="s">
        <v>747</v>
      </c>
      <c r="W26" s="471"/>
      <c r="X26" s="3"/>
      <c r="Y26" s="3"/>
      <c r="Z26" s="3"/>
      <c r="AA26" s="3"/>
    </row>
    <row r="27" spans="1:27" ht="225">
      <c r="A27" s="736"/>
      <c r="B27" s="736"/>
      <c r="C27" s="736"/>
      <c r="D27" s="829">
        <v>22</v>
      </c>
      <c r="E27" s="829" t="s">
        <v>62</v>
      </c>
      <c r="F27" s="914"/>
      <c r="G27" s="913"/>
      <c r="H27" s="914"/>
      <c r="I27" s="841">
        <f>255305/100000</f>
        <v>2.5530499999999998</v>
      </c>
      <c r="J27" s="913"/>
      <c r="K27" s="913"/>
      <c r="L27" s="913"/>
      <c r="M27" s="914">
        <v>1</v>
      </c>
      <c r="N27" s="913"/>
      <c r="O27" s="913"/>
      <c r="P27" s="914">
        <f>238.719+2.4</f>
        <v>241.119</v>
      </c>
      <c r="Q27" s="914">
        <v>1</v>
      </c>
      <c r="R27" s="915"/>
      <c r="S27" s="913"/>
      <c r="T27" s="847">
        <f t="shared" si="0"/>
        <v>245.67205000000001</v>
      </c>
      <c r="U27" s="728">
        <f>M27+P27+Q27</f>
        <v>243.119</v>
      </c>
      <c r="V27" s="1196" t="s">
        <v>748</v>
      </c>
      <c r="W27" s="471"/>
      <c r="X27" s="3"/>
      <c r="Y27" s="3"/>
      <c r="Z27" s="3"/>
      <c r="AA27" s="3"/>
    </row>
    <row r="28" spans="1:27" ht="165">
      <c r="A28" s="736"/>
      <c r="B28" s="736"/>
      <c r="C28" s="736"/>
      <c r="D28" s="829">
        <v>23</v>
      </c>
      <c r="E28" s="829" t="s">
        <v>64</v>
      </c>
      <c r="F28" s="913"/>
      <c r="G28" s="913"/>
      <c r="H28" s="913"/>
      <c r="I28" s="913"/>
      <c r="J28" s="913"/>
      <c r="K28" s="915"/>
      <c r="L28" s="913"/>
      <c r="M28" s="913"/>
      <c r="N28" s="913">
        <v>0.11</v>
      </c>
      <c r="O28" s="914">
        <v>69.87</v>
      </c>
      <c r="P28" s="913"/>
      <c r="Q28" s="914"/>
      <c r="R28" s="913"/>
      <c r="S28" s="913"/>
      <c r="T28" s="847">
        <f t="shared" si="0"/>
        <v>69.98</v>
      </c>
      <c r="U28" s="728">
        <f>T28</f>
        <v>69.98</v>
      </c>
      <c r="V28" s="1198" t="s">
        <v>749</v>
      </c>
      <c r="W28" s="471"/>
      <c r="X28" s="3"/>
      <c r="Y28" s="3"/>
      <c r="Z28" s="3"/>
      <c r="AA28" s="3"/>
    </row>
    <row r="29" spans="1:27" ht="300">
      <c r="A29" s="736"/>
      <c r="B29" s="736"/>
      <c r="C29" s="736"/>
      <c r="D29" s="829">
        <v>24</v>
      </c>
      <c r="E29" s="829" t="s">
        <v>66</v>
      </c>
      <c r="F29" s="913"/>
      <c r="G29" s="913"/>
      <c r="H29" s="914"/>
      <c r="I29" s="913"/>
      <c r="J29" s="913"/>
      <c r="K29" s="913"/>
      <c r="L29" s="913"/>
      <c r="M29" s="913"/>
      <c r="N29" s="919">
        <f>1+0.688+0.688+0.5+6</f>
        <v>8.8759999999999994</v>
      </c>
      <c r="O29" s="914"/>
      <c r="P29" s="913">
        <v>14.9</v>
      </c>
      <c r="Q29" s="915">
        <v>2</v>
      </c>
      <c r="R29" s="913"/>
      <c r="S29" s="913"/>
      <c r="T29" s="847">
        <f t="shared" si="0"/>
        <v>25.776</v>
      </c>
      <c r="U29" s="844">
        <v>27.776</v>
      </c>
      <c r="V29" s="1197" t="s">
        <v>750</v>
      </c>
      <c r="W29" s="471"/>
      <c r="X29" s="3"/>
      <c r="Y29" s="3"/>
      <c r="Z29" s="3"/>
      <c r="AA29" s="3"/>
    </row>
    <row r="30" spans="1:27" ht="225">
      <c r="A30" s="736"/>
      <c r="B30" s="736"/>
      <c r="C30" s="736"/>
      <c r="D30" s="829">
        <v>25</v>
      </c>
      <c r="E30" s="829" t="s">
        <v>68</v>
      </c>
      <c r="F30" s="913"/>
      <c r="G30" s="913"/>
      <c r="H30" s="913"/>
      <c r="I30" s="913"/>
      <c r="J30" s="913"/>
      <c r="K30" s="913"/>
      <c r="L30" s="913"/>
      <c r="M30" s="913"/>
      <c r="N30" s="915">
        <v>0.5</v>
      </c>
      <c r="O30" s="921">
        <v>6.4500000000000002E-2</v>
      </c>
      <c r="P30" s="913">
        <v>0.89600000000000002</v>
      </c>
      <c r="Q30" s="995"/>
      <c r="R30" s="913"/>
      <c r="S30" s="913"/>
      <c r="T30" s="847">
        <f t="shared" si="0"/>
        <v>1.4605000000000001</v>
      </c>
      <c r="U30" s="728">
        <f>T30</f>
        <v>1.4605000000000001</v>
      </c>
      <c r="V30" s="1197" t="s">
        <v>399</v>
      </c>
      <c r="W30" s="471"/>
      <c r="X30" s="3"/>
      <c r="Y30" s="3"/>
      <c r="Z30" s="3"/>
      <c r="AA30" s="3"/>
    </row>
    <row r="31" spans="1:27" ht="138.75" customHeight="1">
      <c r="A31" s="736"/>
      <c r="B31" s="736"/>
      <c r="C31" s="736"/>
      <c r="D31" s="829">
        <v>26</v>
      </c>
      <c r="E31" s="829" t="s">
        <v>70</v>
      </c>
      <c r="F31" s="913"/>
      <c r="G31" s="913"/>
      <c r="H31" s="913"/>
      <c r="I31" s="915"/>
      <c r="J31" s="913"/>
      <c r="K31" s="913"/>
      <c r="L31" s="913"/>
      <c r="M31" s="913"/>
      <c r="N31" s="915">
        <v>3.9</v>
      </c>
      <c r="O31" s="913"/>
      <c r="P31" s="913"/>
      <c r="Q31" s="919">
        <v>3.2</v>
      </c>
      <c r="R31" s="922">
        <v>0.2</v>
      </c>
      <c r="S31" s="913"/>
      <c r="T31" s="847">
        <f t="shared" si="0"/>
        <v>7.3</v>
      </c>
      <c r="U31" s="847">
        <f>T31-0.2</f>
        <v>7.1</v>
      </c>
      <c r="V31" s="1197" t="s">
        <v>751</v>
      </c>
      <c r="W31" s="471"/>
      <c r="X31" s="3"/>
      <c r="Y31" s="3"/>
      <c r="Z31" s="3"/>
      <c r="AA31" s="3"/>
    </row>
    <row r="32" spans="1:27" ht="128.25" customHeight="1">
      <c r="A32" s="736"/>
      <c r="B32" s="736"/>
      <c r="C32" s="736"/>
      <c r="D32" s="829">
        <v>27</v>
      </c>
      <c r="E32" s="829" t="s">
        <v>72</v>
      </c>
      <c r="F32" s="913"/>
      <c r="G32" s="913"/>
      <c r="H32" s="914"/>
      <c r="I32" s="915"/>
      <c r="J32" s="913"/>
      <c r="K32" s="913"/>
      <c r="L32" s="913"/>
      <c r="M32" s="913"/>
      <c r="N32" s="915">
        <v>1</v>
      </c>
      <c r="O32" s="914"/>
      <c r="P32" s="914">
        <v>1.5</v>
      </c>
      <c r="Q32" s="913"/>
      <c r="R32" s="913"/>
      <c r="S32" s="913"/>
      <c r="T32" s="847">
        <f t="shared" si="0"/>
        <v>2.5</v>
      </c>
      <c r="U32" s="847">
        <f>T32</f>
        <v>2.5</v>
      </c>
      <c r="V32" s="1198" t="s">
        <v>752</v>
      </c>
      <c r="W32" s="471"/>
      <c r="X32" s="3"/>
      <c r="Y32" s="3"/>
      <c r="Z32" s="3"/>
      <c r="AA32" s="3"/>
    </row>
    <row r="33" spans="1:27" ht="90">
      <c r="A33" s="736"/>
      <c r="B33" s="736"/>
      <c r="C33" s="736"/>
      <c r="D33" s="829">
        <v>28</v>
      </c>
      <c r="E33" s="829" t="s">
        <v>34</v>
      </c>
      <c r="F33" s="913"/>
      <c r="G33" s="913"/>
      <c r="H33" s="913"/>
      <c r="I33" s="913"/>
      <c r="J33" s="913"/>
      <c r="K33" s="915">
        <v>3.57</v>
      </c>
      <c r="L33" s="913"/>
      <c r="M33" s="915">
        <v>3.57</v>
      </c>
      <c r="N33" s="913"/>
      <c r="O33" s="913"/>
      <c r="P33" s="913"/>
      <c r="Q33" s="913"/>
      <c r="R33" s="913"/>
      <c r="S33" s="913"/>
      <c r="T33" s="847">
        <f t="shared" si="0"/>
        <v>7.14</v>
      </c>
      <c r="U33" s="847">
        <f>7.14</f>
        <v>7.14</v>
      </c>
      <c r="V33" s="1199" t="s">
        <v>1831</v>
      </c>
      <c r="W33" s="471"/>
      <c r="X33" s="3"/>
      <c r="Y33" s="3"/>
      <c r="Z33" s="3"/>
      <c r="AA33" s="3"/>
    </row>
    <row r="34" spans="1:27" ht="24.75" customHeight="1">
      <c r="A34" s="736"/>
      <c r="B34" s="736"/>
      <c r="C34" s="736"/>
      <c r="D34" s="829">
        <v>29</v>
      </c>
      <c r="E34" s="829" t="s">
        <v>36</v>
      </c>
      <c r="F34" s="913"/>
      <c r="G34" s="913"/>
      <c r="H34" s="913"/>
      <c r="I34" s="913"/>
      <c r="J34" s="913"/>
      <c r="K34" s="913"/>
      <c r="L34" s="913"/>
      <c r="M34" s="913"/>
      <c r="N34" s="913"/>
      <c r="O34" s="913"/>
      <c r="P34" s="915">
        <v>8.9250000000000007</v>
      </c>
      <c r="Q34" s="913"/>
      <c r="R34" s="913"/>
      <c r="S34" s="913"/>
      <c r="T34" s="847">
        <f t="shared" si="0"/>
        <v>8.9250000000000007</v>
      </c>
      <c r="U34" s="847">
        <f>8.93</f>
        <v>8.93</v>
      </c>
      <c r="V34" s="1199" t="s">
        <v>1832</v>
      </c>
      <c r="W34" s="471"/>
      <c r="X34" s="3"/>
      <c r="Y34" s="3"/>
      <c r="Z34" s="3"/>
      <c r="AA34" s="3"/>
    </row>
    <row r="35" spans="1:27" ht="105">
      <c r="A35" s="736"/>
      <c r="B35" s="736"/>
      <c r="C35" s="736"/>
      <c r="D35" s="829">
        <v>30</v>
      </c>
      <c r="E35" s="829" t="s">
        <v>74</v>
      </c>
      <c r="F35" s="913"/>
      <c r="G35" s="913"/>
      <c r="H35" s="913"/>
      <c r="I35" s="915"/>
      <c r="J35" s="913"/>
      <c r="K35" s="913"/>
      <c r="L35" s="913"/>
      <c r="M35" s="913"/>
      <c r="N35" s="913"/>
      <c r="O35" s="913"/>
      <c r="P35" s="913"/>
      <c r="Q35" s="915">
        <v>2.2000000000000002</v>
      </c>
      <c r="R35" s="922">
        <v>1.75</v>
      </c>
      <c r="S35" s="913"/>
      <c r="T35" s="847">
        <f t="shared" si="0"/>
        <v>3.95</v>
      </c>
      <c r="U35" s="847">
        <f>T35</f>
        <v>3.95</v>
      </c>
      <c r="V35" s="1200" t="s">
        <v>753</v>
      </c>
      <c r="W35" s="471"/>
      <c r="X35" s="3"/>
      <c r="Y35" s="3"/>
      <c r="Z35" s="3"/>
      <c r="AA35" s="3"/>
    </row>
    <row r="36" spans="1:27" ht="24.75" customHeight="1">
      <c r="A36" s="736"/>
      <c r="B36" s="736"/>
      <c r="C36" s="736"/>
      <c r="D36" s="829">
        <v>31</v>
      </c>
      <c r="E36" s="829" t="s">
        <v>53</v>
      </c>
      <c r="F36" s="913"/>
      <c r="G36" s="913"/>
      <c r="H36" s="913"/>
      <c r="I36" s="913"/>
      <c r="J36" s="913"/>
      <c r="K36" s="913"/>
      <c r="L36" s="913"/>
      <c r="M36" s="913"/>
      <c r="N36" s="913"/>
      <c r="O36" s="913"/>
      <c r="P36" s="913"/>
      <c r="Q36" s="913"/>
      <c r="R36" s="913"/>
      <c r="S36" s="913"/>
      <c r="T36" s="847">
        <f t="shared" si="0"/>
        <v>0</v>
      </c>
      <c r="U36" s="847">
        <f>T36*110%</f>
        <v>0</v>
      </c>
      <c r="V36" s="833"/>
      <c r="W36" s="471"/>
      <c r="X36" s="3"/>
      <c r="Y36" s="3"/>
      <c r="Z36" s="3"/>
      <c r="AA36" s="3"/>
    </row>
    <row r="37" spans="1:27" ht="120">
      <c r="A37" s="736"/>
      <c r="B37" s="828" t="s">
        <v>76</v>
      </c>
      <c r="C37" s="828" t="s">
        <v>77</v>
      </c>
      <c r="D37" s="829">
        <v>32</v>
      </c>
      <c r="E37" s="829" t="s">
        <v>78</v>
      </c>
      <c r="F37" s="829"/>
      <c r="G37" s="829"/>
      <c r="H37" s="829"/>
      <c r="I37" s="847"/>
      <c r="J37" s="829"/>
      <c r="K37" s="829"/>
      <c r="L37" s="829"/>
      <c r="M37" s="847"/>
      <c r="N37" s="847">
        <v>7.3040000000000003</v>
      </c>
      <c r="O37" s="990">
        <v>85.118650000000002</v>
      </c>
      <c r="P37" s="845">
        <v>17.92276</v>
      </c>
      <c r="Q37" s="847">
        <v>5</v>
      </c>
      <c r="R37" s="845">
        <v>4.8665000000000003</v>
      </c>
      <c r="S37" s="829">
        <v>4.5999999999999996</v>
      </c>
      <c r="T37" s="847">
        <f t="shared" si="0"/>
        <v>124.81191</v>
      </c>
      <c r="U37" s="847">
        <f>T37-1.06</f>
        <v>123.75191</v>
      </c>
      <c r="V37" s="1200" t="s">
        <v>754</v>
      </c>
      <c r="W37" s="471"/>
      <c r="X37" s="3"/>
      <c r="Y37" s="3"/>
      <c r="Z37" s="3"/>
      <c r="AA37" s="3"/>
    </row>
    <row r="38" spans="1:27" ht="24.75" customHeight="1">
      <c r="A38" s="736"/>
      <c r="B38" s="736"/>
      <c r="C38" s="736"/>
      <c r="D38" s="829">
        <v>33</v>
      </c>
      <c r="E38" s="829" t="s">
        <v>80</v>
      </c>
      <c r="F38" s="829"/>
      <c r="G38" s="829"/>
      <c r="H38" s="829"/>
      <c r="I38" s="829"/>
      <c r="J38" s="829"/>
      <c r="K38" s="829"/>
      <c r="L38" s="829"/>
      <c r="M38" s="829"/>
      <c r="N38" s="829"/>
      <c r="O38" s="829"/>
      <c r="P38" s="829"/>
      <c r="Q38" s="829"/>
      <c r="R38" s="829"/>
      <c r="S38" s="829"/>
      <c r="T38" s="847">
        <f t="shared" si="0"/>
        <v>0</v>
      </c>
      <c r="U38" s="847">
        <f t="shared" ref="U38:U39" si="3">T38*110%</f>
        <v>0</v>
      </c>
      <c r="V38" s="833"/>
      <c r="W38" s="471"/>
      <c r="X38" s="3"/>
      <c r="Y38" s="3"/>
      <c r="Z38" s="3"/>
      <c r="AA38" s="3"/>
    </row>
    <row r="39" spans="1:27" ht="24.75" customHeight="1">
      <c r="A39" s="736"/>
      <c r="B39" s="736"/>
      <c r="C39" s="736"/>
      <c r="D39" s="829">
        <v>34</v>
      </c>
      <c r="E39" s="829" t="s">
        <v>81</v>
      </c>
      <c r="F39" s="829"/>
      <c r="G39" s="829"/>
      <c r="H39" s="829"/>
      <c r="I39" s="829"/>
      <c r="J39" s="829"/>
      <c r="K39" s="829"/>
      <c r="L39" s="829"/>
      <c r="M39" s="829"/>
      <c r="N39" s="847"/>
      <c r="O39" s="829"/>
      <c r="P39" s="845"/>
      <c r="Q39" s="829"/>
      <c r="R39" s="829"/>
      <c r="S39" s="829"/>
      <c r="T39" s="847">
        <f t="shared" si="0"/>
        <v>0</v>
      </c>
      <c r="U39" s="847">
        <f t="shared" si="3"/>
        <v>0</v>
      </c>
      <c r="V39" s="833"/>
      <c r="W39" s="471"/>
      <c r="X39" s="3"/>
      <c r="Y39" s="3"/>
      <c r="Z39" s="3"/>
      <c r="AA39" s="3"/>
    </row>
    <row r="40" spans="1:27" ht="300">
      <c r="A40" s="736"/>
      <c r="B40" s="828" t="s">
        <v>82</v>
      </c>
      <c r="C40" s="828" t="s">
        <v>83</v>
      </c>
      <c r="D40" s="829">
        <v>35</v>
      </c>
      <c r="E40" s="829" t="s">
        <v>84</v>
      </c>
      <c r="F40" s="955"/>
      <c r="G40" s="955"/>
      <c r="H40" s="955"/>
      <c r="I40" s="956"/>
      <c r="J40" s="955"/>
      <c r="K40" s="955"/>
      <c r="L40" s="955"/>
      <c r="M40" s="955"/>
      <c r="N40" s="956">
        <v>1.2</v>
      </c>
      <c r="O40" s="955"/>
      <c r="P40" s="957">
        <f>1.92+0.6+0.15+0.1</f>
        <v>2.77</v>
      </c>
      <c r="Q40" s="957">
        <v>0.25</v>
      </c>
      <c r="R40" s="955"/>
      <c r="S40" s="955"/>
      <c r="T40" s="847">
        <f t="shared" si="0"/>
        <v>4.22</v>
      </c>
      <c r="U40" s="847">
        <v>4.22</v>
      </c>
      <c r="V40" s="1200" t="s">
        <v>1833</v>
      </c>
      <c r="W40" s="471"/>
      <c r="X40" s="3"/>
      <c r="Y40" s="3"/>
      <c r="Z40" s="3"/>
      <c r="AA40" s="3"/>
    </row>
    <row r="41" spans="1:27" ht="60">
      <c r="A41" s="736"/>
      <c r="B41" s="736"/>
      <c r="C41" s="736"/>
      <c r="D41" s="829">
        <v>36</v>
      </c>
      <c r="E41" s="829" t="s">
        <v>85</v>
      </c>
      <c r="F41" s="955"/>
      <c r="G41" s="955"/>
      <c r="H41" s="955"/>
      <c r="I41" s="955"/>
      <c r="J41" s="955"/>
      <c r="K41" s="956"/>
      <c r="L41" s="955"/>
      <c r="M41" s="955"/>
      <c r="N41" s="956">
        <v>0.85</v>
      </c>
      <c r="O41" s="955"/>
      <c r="P41" s="955"/>
      <c r="Q41" s="955"/>
      <c r="R41" s="955"/>
      <c r="S41" s="955"/>
      <c r="T41" s="847">
        <f t="shared" si="0"/>
        <v>0.85</v>
      </c>
      <c r="U41" s="847">
        <v>0.85</v>
      </c>
      <c r="V41" s="1200" t="s">
        <v>755</v>
      </c>
      <c r="W41" s="471"/>
      <c r="X41" s="3"/>
      <c r="Y41" s="3"/>
      <c r="Z41" s="3"/>
      <c r="AA41" s="3"/>
    </row>
    <row r="42" spans="1:27" ht="24.75" customHeight="1">
      <c r="A42" s="736"/>
      <c r="B42" s="736"/>
      <c r="C42" s="736"/>
      <c r="D42" s="829">
        <v>37</v>
      </c>
      <c r="E42" s="829" t="s">
        <v>86</v>
      </c>
      <c r="F42" s="955"/>
      <c r="G42" s="955"/>
      <c r="H42" s="955"/>
      <c r="I42" s="955"/>
      <c r="J42" s="955"/>
      <c r="K42" s="956"/>
      <c r="L42" s="955"/>
      <c r="M42" s="955"/>
      <c r="N42" s="955"/>
      <c r="O42" s="955"/>
      <c r="P42" s="955"/>
      <c r="Q42" s="955"/>
      <c r="R42" s="955"/>
      <c r="S42" s="955"/>
      <c r="T42" s="847">
        <f t="shared" si="0"/>
        <v>0</v>
      </c>
      <c r="U42" s="847">
        <f>T42*110%</f>
        <v>0</v>
      </c>
      <c r="V42" s="1200"/>
      <c r="W42" s="471"/>
      <c r="X42" s="3"/>
      <c r="Y42" s="3"/>
      <c r="Z42" s="3"/>
      <c r="AA42" s="3"/>
    </row>
    <row r="43" spans="1:27" ht="300">
      <c r="A43" s="736"/>
      <c r="B43" s="736"/>
      <c r="C43" s="736"/>
      <c r="D43" s="1195">
        <v>38</v>
      </c>
      <c r="E43" s="1195" t="s">
        <v>87</v>
      </c>
      <c r="F43" s="1201"/>
      <c r="G43" s="1201"/>
      <c r="H43" s="1201"/>
      <c r="I43" s="1201"/>
      <c r="J43" s="1201"/>
      <c r="K43" s="1201"/>
      <c r="L43" s="1201"/>
      <c r="M43" s="1201"/>
      <c r="N43" s="1202">
        <v>3.5</v>
      </c>
      <c r="O43" s="1203">
        <v>0.16</v>
      </c>
      <c r="P43" s="1203">
        <v>6.8</v>
      </c>
      <c r="Q43" s="1203">
        <v>0.7</v>
      </c>
      <c r="R43" s="1201"/>
      <c r="S43" s="1201"/>
      <c r="T43" s="988">
        <f t="shared" si="0"/>
        <v>11.16</v>
      </c>
      <c r="U43" s="988">
        <v>11.16</v>
      </c>
      <c r="V43" s="1200" t="s">
        <v>1834</v>
      </c>
      <c r="W43" s="1204"/>
      <c r="X43" s="819"/>
      <c r="Y43" s="1205"/>
      <c r="Z43" s="1205"/>
      <c r="AA43" s="1205"/>
    </row>
    <row r="44" spans="1:27" ht="90">
      <c r="A44" s="736"/>
      <c r="B44" s="736"/>
      <c r="C44" s="736"/>
      <c r="D44" s="829">
        <v>39</v>
      </c>
      <c r="E44" s="829" t="s">
        <v>88</v>
      </c>
      <c r="F44" s="955"/>
      <c r="G44" s="955"/>
      <c r="H44" s="955"/>
      <c r="I44" s="955"/>
      <c r="J44" s="955"/>
      <c r="K44" s="955"/>
      <c r="L44" s="955"/>
      <c r="M44" s="955"/>
      <c r="N44" s="955">
        <v>1</v>
      </c>
      <c r="O44" s="955"/>
      <c r="P44" s="957">
        <v>0.4</v>
      </c>
      <c r="Q44" s="957"/>
      <c r="R44" s="955"/>
      <c r="S44" s="955"/>
      <c r="T44" s="847">
        <f t="shared" si="0"/>
        <v>1.4</v>
      </c>
      <c r="U44" s="847">
        <v>1.4</v>
      </c>
      <c r="V44" s="1200" t="s">
        <v>401</v>
      </c>
      <c r="W44" s="471"/>
      <c r="X44" s="3"/>
      <c r="Y44" s="3"/>
      <c r="Z44" s="3"/>
      <c r="AA44" s="3"/>
    </row>
    <row r="45" spans="1:27" ht="180">
      <c r="A45" s="736"/>
      <c r="B45" s="736"/>
      <c r="C45" s="736"/>
      <c r="D45" s="829">
        <v>40</v>
      </c>
      <c r="E45" s="829" t="s">
        <v>89</v>
      </c>
      <c r="F45" s="955"/>
      <c r="G45" s="955"/>
      <c r="H45" s="955"/>
      <c r="I45" s="955"/>
      <c r="J45" s="955"/>
      <c r="K45" s="955"/>
      <c r="L45" s="955"/>
      <c r="M45" s="955"/>
      <c r="N45" s="956">
        <v>0.109</v>
      </c>
      <c r="O45" s="955"/>
      <c r="P45" s="957"/>
      <c r="Q45" s="956">
        <f>0.42+1.82</f>
        <v>2.2400000000000002</v>
      </c>
      <c r="R45" s="957"/>
      <c r="S45" s="955"/>
      <c r="T45" s="847">
        <f t="shared" si="0"/>
        <v>2.3490000000000002</v>
      </c>
      <c r="U45" s="847">
        <v>2.35</v>
      </c>
      <c r="V45" s="1200" t="s">
        <v>1835</v>
      </c>
      <c r="W45" s="471"/>
      <c r="X45" s="3"/>
      <c r="Y45" s="3"/>
      <c r="Z45" s="3"/>
      <c r="AA45" s="3"/>
    </row>
    <row r="46" spans="1:27" ht="24.75" customHeight="1">
      <c r="A46" s="736"/>
      <c r="B46" s="736"/>
      <c r="C46" s="736"/>
      <c r="D46" s="829">
        <v>41</v>
      </c>
      <c r="E46" s="829" t="s">
        <v>53</v>
      </c>
      <c r="F46" s="955"/>
      <c r="G46" s="955"/>
      <c r="H46" s="955"/>
      <c r="I46" s="955"/>
      <c r="J46" s="955"/>
      <c r="K46" s="955"/>
      <c r="L46" s="955"/>
      <c r="M46" s="955"/>
      <c r="N46" s="955"/>
      <c r="O46" s="955"/>
      <c r="P46" s="955"/>
      <c r="Q46" s="955"/>
      <c r="R46" s="955"/>
      <c r="S46" s="955"/>
      <c r="T46" s="847">
        <f t="shared" si="0"/>
        <v>0</v>
      </c>
      <c r="U46" s="847">
        <f>T46*110%</f>
        <v>0</v>
      </c>
      <c r="V46" s="1200"/>
      <c r="W46" s="471"/>
      <c r="X46" s="3"/>
      <c r="Y46" s="3"/>
      <c r="Z46" s="3"/>
      <c r="AA46" s="3"/>
    </row>
    <row r="47" spans="1:27" ht="75">
      <c r="A47" s="736"/>
      <c r="B47" s="828" t="s">
        <v>90</v>
      </c>
      <c r="C47" s="828" t="s">
        <v>91</v>
      </c>
      <c r="D47" s="829">
        <v>42</v>
      </c>
      <c r="E47" s="829" t="s">
        <v>92</v>
      </c>
      <c r="F47" s="845">
        <v>10.052</v>
      </c>
      <c r="G47" s="829"/>
      <c r="H47" s="829"/>
      <c r="I47" s="847"/>
      <c r="J47" s="829"/>
      <c r="K47" s="829"/>
      <c r="L47" s="829"/>
      <c r="M47" s="829"/>
      <c r="N47" s="835">
        <v>1.1000000000000001</v>
      </c>
      <c r="O47" s="829"/>
      <c r="P47" s="845"/>
      <c r="Q47" s="829"/>
      <c r="R47" s="829"/>
      <c r="S47" s="829"/>
      <c r="T47" s="847">
        <f t="shared" si="0"/>
        <v>11.151999999999999</v>
      </c>
      <c r="U47" s="847">
        <f t="shared" ref="U47:U50" si="4">T47</f>
        <v>11.151999999999999</v>
      </c>
      <c r="V47" s="833" t="s">
        <v>1836</v>
      </c>
      <c r="W47" s="471"/>
      <c r="X47" s="3"/>
      <c r="Y47" s="3"/>
      <c r="Z47" s="3"/>
      <c r="AA47" s="3"/>
    </row>
    <row r="48" spans="1:27" ht="75">
      <c r="A48" s="736"/>
      <c r="B48" s="736"/>
      <c r="C48" s="736"/>
      <c r="D48" s="829">
        <v>43</v>
      </c>
      <c r="E48" s="829" t="s">
        <v>93</v>
      </c>
      <c r="F48" s="845">
        <v>1.1715</v>
      </c>
      <c r="G48" s="829"/>
      <c r="H48" s="829"/>
      <c r="I48" s="847"/>
      <c r="J48" s="829"/>
      <c r="K48" s="829"/>
      <c r="L48" s="829"/>
      <c r="M48" s="829"/>
      <c r="N48" s="835">
        <v>0.34499999999999997</v>
      </c>
      <c r="O48" s="829"/>
      <c r="P48" s="845"/>
      <c r="Q48" s="829"/>
      <c r="R48" s="829"/>
      <c r="S48" s="829"/>
      <c r="T48" s="847">
        <f t="shared" si="0"/>
        <v>1.5165</v>
      </c>
      <c r="U48" s="847">
        <f t="shared" si="4"/>
        <v>1.5165</v>
      </c>
      <c r="V48" s="833" t="s">
        <v>756</v>
      </c>
      <c r="W48" s="471"/>
      <c r="X48" s="3"/>
      <c r="Y48" s="3"/>
      <c r="Z48" s="3"/>
      <c r="AA48" s="3"/>
    </row>
    <row r="49" spans="1:27" ht="210">
      <c r="A49" s="736"/>
      <c r="B49" s="736"/>
      <c r="C49" s="736"/>
      <c r="D49" s="829">
        <v>44</v>
      </c>
      <c r="E49" s="829" t="s">
        <v>95</v>
      </c>
      <c r="F49" s="845">
        <v>0.6734</v>
      </c>
      <c r="G49" s="829"/>
      <c r="H49" s="829"/>
      <c r="I49" s="847"/>
      <c r="J49" s="829"/>
      <c r="K49" s="829"/>
      <c r="L49" s="829"/>
      <c r="M49" s="829"/>
      <c r="N49" s="929">
        <v>1.125</v>
      </c>
      <c r="O49" s="845">
        <v>0.1275</v>
      </c>
      <c r="P49" s="845"/>
      <c r="Q49" s="829"/>
      <c r="R49" s="829"/>
      <c r="S49" s="829"/>
      <c r="T49" s="847">
        <f t="shared" si="0"/>
        <v>1.9258999999999999</v>
      </c>
      <c r="U49" s="847">
        <f t="shared" si="4"/>
        <v>1.9258999999999999</v>
      </c>
      <c r="V49" s="833" t="s">
        <v>1837</v>
      </c>
      <c r="W49" s="471"/>
      <c r="X49" s="3"/>
      <c r="Y49" s="3"/>
      <c r="Z49" s="3"/>
      <c r="AA49" s="3"/>
    </row>
    <row r="50" spans="1:27" ht="45">
      <c r="A50" s="736"/>
      <c r="B50" s="736"/>
      <c r="C50" s="736"/>
      <c r="D50" s="829">
        <v>45</v>
      </c>
      <c r="E50" s="829" t="s">
        <v>96</v>
      </c>
      <c r="F50" s="845">
        <v>5.2999999999999999E-2</v>
      </c>
      <c r="G50" s="829"/>
      <c r="H50" s="829"/>
      <c r="I50" s="829"/>
      <c r="J50" s="829"/>
      <c r="K50" s="829"/>
      <c r="L50" s="829"/>
      <c r="M50" s="829"/>
      <c r="N50" s="847"/>
      <c r="O50" s="845">
        <v>5.2999999999999999E-2</v>
      </c>
      <c r="P50" s="829"/>
      <c r="Q50" s="829"/>
      <c r="R50" s="829"/>
      <c r="S50" s="829"/>
      <c r="T50" s="847">
        <f t="shared" si="0"/>
        <v>0.106</v>
      </c>
      <c r="U50" s="847">
        <f t="shared" si="4"/>
        <v>0.106</v>
      </c>
      <c r="V50" s="833" t="s">
        <v>757</v>
      </c>
      <c r="W50" s="471"/>
      <c r="X50" s="3"/>
      <c r="Y50" s="3"/>
      <c r="Z50" s="3"/>
      <c r="AA50" s="3"/>
    </row>
    <row r="51" spans="1:27" ht="24.75" customHeight="1">
      <c r="A51" s="736"/>
      <c r="B51" s="736"/>
      <c r="C51" s="736"/>
      <c r="D51" s="829">
        <v>46</v>
      </c>
      <c r="E51" s="829" t="s">
        <v>98</v>
      </c>
      <c r="F51" s="829"/>
      <c r="G51" s="829"/>
      <c r="H51" s="829"/>
      <c r="I51" s="829"/>
      <c r="J51" s="829"/>
      <c r="K51" s="829"/>
      <c r="L51" s="829"/>
      <c r="M51" s="829"/>
      <c r="N51" s="829"/>
      <c r="O51" s="829"/>
      <c r="P51" s="829"/>
      <c r="Q51" s="829"/>
      <c r="R51" s="829"/>
      <c r="S51" s="829"/>
      <c r="T51" s="847">
        <f t="shared" si="0"/>
        <v>0</v>
      </c>
      <c r="U51" s="847">
        <f>T51*110%</f>
        <v>0</v>
      </c>
      <c r="V51" s="833"/>
      <c r="W51" s="471"/>
      <c r="X51" s="3"/>
      <c r="Y51" s="3"/>
      <c r="Z51" s="3"/>
      <c r="AA51" s="3"/>
    </row>
    <row r="52" spans="1:27" ht="60">
      <c r="A52" s="736"/>
      <c r="B52" s="736"/>
      <c r="C52" s="736"/>
      <c r="D52" s="829">
        <v>47</v>
      </c>
      <c r="E52" s="829" t="s">
        <v>99</v>
      </c>
      <c r="F52" s="845">
        <v>1.5</v>
      </c>
      <c r="G52" s="829"/>
      <c r="H52" s="829">
        <v>0</v>
      </c>
      <c r="I52" s="829"/>
      <c r="J52" s="829"/>
      <c r="K52" s="829"/>
      <c r="L52" s="829"/>
      <c r="M52" s="829"/>
      <c r="N52" s="829"/>
      <c r="O52" s="829"/>
      <c r="P52" s="829"/>
      <c r="Q52" s="829"/>
      <c r="R52" s="829"/>
      <c r="S52" s="829"/>
      <c r="T52" s="847">
        <f t="shared" si="0"/>
        <v>1.5</v>
      </c>
      <c r="U52" s="847">
        <f t="shared" ref="U52:U55" si="5">T52</f>
        <v>1.5</v>
      </c>
      <c r="V52" s="833" t="s">
        <v>699</v>
      </c>
      <c r="W52" s="471"/>
      <c r="X52" s="3"/>
      <c r="Y52" s="3"/>
      <c r="Z52" s="3"/>
      <c r="AA52" s="3"/>
    </row>
    <row r="53" spans="1:27" ht="30">
      <c r="A53" s="736"/>
      <c r="B53" s="736"/>
      <c r="C53" s="736"/>
      <c r="D53" s="829">
        <v>48</v>
      </c>
      <c r="E53" s="829" t="s">
        <v>101</v>
      </c>
      <c r="F53" s="829"/>
      <c r="G53" s="829"/>
      <c r="H53" s="829"/>
      <c r="I53" s="829"/>
      <c r="J53" s="829"/>
      <c r="K53" s="829"/>
      <c r="L53" s="829"/>
      <c r="M53" s="829"/>
      <c r="N53" s="847">
        <v>0.28899999999999998</v>
      </c>
      <c r="O53" s="829"/>
      <c r="P53" s="845"/>
      <c r="Q53" s="829"/>
      <c r="R53" s="829"/>
      <c r="S53" s="829"/>
      <c r="T53" s="847">
        <f t="shared" si="0"/>
        <v>0.28899999999999998</v>
      </c>
      <c r="U53" s="847">
        <f t="shared" si="5"/>
        <v>0.28899999999999998</v>
      </c>
      <c r="V53" s="833" t="s">
        <v>102</v>
      </c>
      <c r="W53" s="471"/>
      <c r="X53" s="3"/>
      <c r="Y53" s="3"/>
      <c r="Z53" s="3"/>
      <c r="AA53" s="3"/>
    </row>
    <row r="54" spans="1:27" ht="75">
      <c r="A54" s="736"/>
      <c r="B54" s="736"/>
      <c r="C54" s="736"/>
      <c r="D54" s="829">
        <v>49</v>
      </c>
      <c r="E54" s="829" t="s">
        <v>103</v>
      </c>
      <c r="F54" s="829"/>
      <c r="G54" s="829"/>
      <c r="H54" s="829"/>
      <c r="I54" s="829"/>
      <c r="J54" s="829"/>
      <c r="K54" s="829"/>
      <c r="L54" s="829"/>
      <c r="M54" s="829"/>
      <c r="N54" s="829"/>
      <c r="O54" s="829"/>
      <c r="P54" s="829"/>
      <c r="Q54" s="847">
        <v>2.14</v>
      </c>
      <c r="R54" s="845">
        <v>1</v>
      </c>
      <c r="S54" s="829"/>
      <c r="T54" s="847">
        <f t="shared" si="0"/>
        <v>3.14</v>
      </c>
      <c r="U54" s="847">
        <f t="shared" si="5"/>
        <v>3.14</v>
      </c>
      <c r="V54" s="1197" t="s">
        <v>758</v>
      </c>
      <c r="W54" s="471"/>
      <c r="X54" s="3"/>
      <c r="Y54" s="3"/>
      <c r="Z54" s="3"/>
      <c r="AA54" s="3"/>
    </row>
    <row r="55" spans="1:27" ht="105">
      <c r="A55" s="736"/>
      <c r="B55" s="736"/>
      <c r="C55" s="736"/>
      <c r="D55" s="829">
        <v>50</v>
      </c>
      <c r="E55" s="829" t="s">
        <v>105</v>
      </c>
      <c r="F55" s="829"/>
      <c r="G55" s="829"/>
      <c r="H55" s="829"/>
      <c r="I55" s="847"/>
      <c r="J55" s="829"/>
      <c r="K55" s="829">
        <v>0.44</v>
      </c>
      <c r="L55" s="829"/>
      <c r="M55" s="829"/>
      <c r="N55" s="847"/>
      <c r="O55" s="829"/>
      <c r="P55" s="845"/>
      <c r="Q55" s="847">
        <v>3</v>
      </c>
      <c r="R55" s="845">
        <v>0.04</v>
      </c>
      <c r="S55" s="829"/>
      <c r="T55" s="847">
        <f t="shared" si="0"/>
        <v>3.48</v>
      </c>
      <c r="U55" s="847">
        <f t="shared" si="5"/>
        <v>3.48</v>
      </c>
      <c r="V55" s="1196" t="s">
        <v>759</v>
      </c>
      <c r="W55" s="471"/>
      <c r="X55" s="3"/>
      <c r="Y55" s="3"/>
      <c r="Z55" s="3"/>
      <c r="AA55" s="3"/>
    </row>
    <row r="56" spans="1:27" ht="24.75" customHeight="1">
      <c r="A56" s="736"/>
      <c r="B56" s="736"/>
      <c r="C56" s="736"/>
      <c r="D56" s="829">
        <v>51</v>
      </c>
      <c r="E56" s="829" t="s">
        <v>53</v>
      </c>
      <c r="F56" s="829"/>
      <c r="G56" s="829"/>
      <c r="H56" s="829"/>
      <c r="I56" s="829"/>
      <c r="J56" s="829"/>
      <c r="K56" s="829"/>
      <c r="L56" s="829"/>
      <c r="M56" s="829"/>
      <c r="N56" s="845"/>
      <c r="O56" s="829"/>
      <c r="P56" s="829"/>
      <c r="Q56" s="829"/>
      <c r="R56" s="829"/>
      <c r="S56" s="829"/>
      <c r="T56" s="847">
        <f t="shared" si="0"/>
        <v>0</v>
      </c>
      <c r="U56" s="847">
        <f>T56*110%</f>
        <v>0</v>
      </c>
      <c r="V56" s="833"/>
      <c r="W56" s="471"/>
      <c r="X56" s="3"/>
      <c r="Y56" s="3"/>
      <c r="Z56" s="3"/>
      <c r="AA56" s="3"/>
    </row>
    <row r="57" spans="1:27" ht="240">
      <c r="A57" s="736"/>
      <c r="B57" s="828" t="s">
        <v>107</v>
      </c>
      <c r="C57" s="828" t="s">
        <v>108</v>
      </c>
      <c r="D57" s="829">
        <v>52</v>
      </c>
      <c r="E57" s="829" t="s">
        <v>109</v>
      </c>
      <c r="F57" s="913"/>
      <c r="G57" s="913"/>
      <c r="H57" s="913"/>
      <c r="I57" s="915"/>
      <c r="J57" s="913"/>
      <c r="K57" s="915"/>
      <c r="L57" s="913"/>
      <c r="M57" s="913"/>
      <c r="N57" s="915">
        <v>2</v>
      </c>
      <c r="O57" s="914">
        <v>41.921999999999997</v>
      </c>
      <c r="P57" s="913"/>
      <c r="Q57" s="913"/>
      <c r="R57" s="913"/>
      <c r="S57" s="913"/>
      <c r="T57" s="847">
        <f t="shared" si="0"/>
        <v>43.921999999999997</v>
      </c>
      <c r="U57" s="728">
        <f>N57+O57</f>
        <v>43.921999999999997</v>
      </c>
      <c r="V57" s="1200" t="s">
        <v>760</v>
      </c>
      <c r="W57" s="471"/>
      <c r="X57" s="3"/>
      <c r="Y57" s="3"/>
      <c r="Z57" s="3"/>
      <c r="AA57" s="3"/>
    </row>
    <row r="58" spans="1:27" ht="66" customHeight="1">
      <c r="A58" s="736"/>
      <c r="B58" s="736"/>
      <c r="C58" s="736"/>
      <c r="D58" s="829">
        <v>53</v>
      </c>
      <c r="E58" s="829" t="s">
        <v>111</v>
      </c>
      <c r="F58" s="913"/>
      <c r="G58" s="913"/>
      <c r="H58" s="913"/>
      <c r="I58" s="913"/>
      <c r="J58" s="913"/>
      <c r="K58" s="915"/>
      <c r="L58" s="913"/>
      <c r="M58" s="913"/>
      <c r="N58" s="915">
        <v>7.34</v>
      </c>
      <c r="O58" s="914">
        <v>4.6580000000000004</v>
      </c>
      <c r="P58" s="913"/>
      <c r="Q58" s="914">
        <v>3</v>
      </c>
      <c r="R58" s="913"/>
      <c r="S58" s="913"/>
      <c r="T58" s="847">
        <f t="shared" si="0"/>
        <v>14.998000000000001</v>
      </c>
      <c r="U58" s="728">
        <f>T58</f>
        <v>14.998000000000001</v>
      </c>
      <c r="V58" s="1198" t="s">
        <v>761</v>
      </c>
      <c r="W58" s="471"/>
      <c r="X58" s="3"/>
      <c r="Y58" s="3"/>
      <c r="Z58" s="3"/>
      <c r="AA58" s="3"/>
    </row>
    <row r="59" spans="1:27" ht="24.75" customHeight="1">
      <c r="A59" s="736"/>
      <c r="B59" s="736"/>
      <c r="C59" s="736"/>
      <c r="D59" s="829">
        <v>54</v>
      </c>
      <c r="E59" s="829" t="s">
        <v>113</v>
      </c>
      <c r="F59" s="913"/>
      <c r="G59" s="913"/>
      <c r="H59" s="914"/>
      <c r="I59" s="913"/>
      <c r="J59" s="913"/>
      <c r="K59" s="913"/>
      <c r="L59" s="913"/>
      <c r="M59" s="913"/>
      <c r="N59" s="913"/>
      <c r="O59" s="914"/>
      <c r="P59" s="914"/>
      <c r="Q59" s="913"/>
      <c r="R59" s="913"/>
      <c r="S59" s="913"/>
      <c r="T59" s="847">
        <f t="shared" si="0"/>
        <v>0</v>
      </c>
      <c r="U59" s="847">
        <f t="shared" ref="U59:U60" si="6">T59*110%</f>
        <v>0</v>
      </c>
      <c r="V59" s="1197"/>
      <c r="W59" s="471"/>
      <c r="X59" s="3"/>
      <c r="Y59" s="3"/>
      <c r="Z59" s="3"/>
      <c r="AA59" s="3"/>
    </row>
    <row r="60" spans="1:27" ht="24.75" customHeight="1">
      <c r="A60" s="736"/>
      <c r="B60" s="736"/>
      <c r="C60" s="736"/>
      <c r="D60" s="829">
        <v>55</v>
      </c>
      <c r="E60" s="829" t="s">
        <v>114</v>
      </c>
      <c r="F60" s="913"/>
      <c r="G60" s="913"/>
      <c r="H60" s="913"/>
      <c r="I60" s="913"/>
      <c r="J60" s="913"/>
      <c r="K60" s="915"/>
      <c r="L60" s="913"/>
      <c r="M60" s="913"/>
      <c r="N60" s="913"/>
      <c r="O60" s="913"/>
      <c r="P60" s="913"/>
      <c r="Q60" s="913"/>
      <c r="R60" s="913"/>
      <c r="S60" s="913"/>
      <c r="T60" s="847">
        <f t="shared" si="0"/>
        <v>0</v>
      </c>
      <c r="U60" s="847">
        <f t="shared" si="6"/>
        <v>0</v>
      </c>
      <c r="V60" s="1197"/>
      <c r="W60" s="471"/>
      <c r="X60" s="3"/>
      <c r="Y60" s="3"/>
      <c r="Z60" s="3"/>
      <c r="AA60" s="3"/>
    </row>
    <row r="61" spans="1:27" ht="90">
      <c r="A61" s="736"/>
      <c r="B61" s="736"/>
      <c r="C61" s="736"/>
      <c r="D61" s="829">
        <v>56</v>
      </c>
      <c r="E61" s="829" t="s">
        <v>115</v>
      </c>
      <c r="F61" s="913"/>
      <c r="G61" s="913"/>
      <c r="H61" s="913"/>
      <c r="I61" s="913"/>
      <c r="J61" s="913"/>
      <c r="K61" s="913"/>
      <c r="L61" s="913"/>
      <c r="M61" s="913"/>
      <c r="N61" s="913"/>
      <c r="O61" s="914">
        <v>9.3160000000000007</v>
      </c>
      <c r="P61" s="913"/>
      <c r="Q61" s="913">
        <v>0.5</v>
      </c>
      <c r="R61" s="913"/>
      <c r="S61" s="913"/>
      <c r="T61" s="847">
        <f t="shared" si="0"/>
        <v>9.8160000000000007</v>
      </c>
      <c r="U61" s="847">
        <f>T61</f>
        <v>9.8160000000000007</v>
      </c>
      <c r="V61" s="1197" t="s">
        <v>762</v>
      </c>
      <c r="W61" s="471"/>
      <c r="X61" s="3"/>
      <c r="Y61" s="3"/>
      <c r="Z61" s="3"/>
      <c r="AA61" s="3"/>
    </row>
    <row r="62" spans="1:27" ht="135">
      <c r="A62" s="736"/>
      <c r="B62" s="736"/>
      <c r="C62" s="736"/>
      <c r="D62" s="829">
        <v>57</v>
      </c>
      <c r="E62" s="829" t="s">
        <v>116</v>
      </c>
      <c r="F62" s="913"/>
      <c r="G62" s="913"/>
      <c r="H62" s="914"/>
      <c r="I62" s="913"/>
      <c r="J62" s="913"/>
      <c r="K62" s="913"/>
      <c r="L62" s="913"/>
      <c r="M62" s="915">
        <f>1.05+2.49</f>
        <v>3.54</v>
      </c>
      <c r="N62" s="913"/>
      <c r="O62" s="913"/>
      <c r="P62" s="913"/>
      <c r="Q62" s="913"/>
      <c r="R62" s="913"/>
      <c r="S62" s="913"/>
      <c r="T62" s="847">
        <f t="shared" si="0"/>
        <v>3.54</v>
      </c>
      <c r="U62" s="847">
        <f>M62</f>
        <v>3.54</v>
      </c>
      <c r="V62" s="1198" t="s">
        <v>763</v>
      </c>
      <c r="W62" s="471"/>
      <c r="X62" s="3"/>
      <c r="Y62" s="3"/>
      <c r="Z62" s="3"/>
      <c r="AA62" s="3"/>
    </row>
    <row r="63" spans="1:27" ht="90">
      <c r="A63" s="736"/>
      <c r="B63" s="736"/>
      <c r="C63" s="736"/>
      <c r="D63" s="829">
        <v>58</v>
      </c>
      <c r="E63" s="829" t="s">
        <v>117</v>
      </c>
      <c r="F63" s="913"/>
      <c r="G63" s="913"/>
      <c r="H63" s="913"/>
      <c r="I63" s="913"/>
      <c r="J63" s="913"/>
      <c r="K63" s="915"/>
      <c r="L63" s="913"/>
      <c r="M63" s="913"/>
      <c r="N63" s="913"/>
      <c r="O63" s="931">
        <v>2.3290000000000002</v>
      </c>
      <c r="P63" s="913"/>
      <c r="Q63" s="914">
        <v>0.75</v>
      </c>
      <c r="R63" s="913"/>
      <c r="S63" s="913"/>
      <c r="T63" s="847">
        <f t="shared" si="0"/>
        <v>3.0790000000000002</v>
      </c>
      <c r="U63" s="847">
        <f>T63</f>
        <v>3.0790000000000002</v>
      </c>
      <c r="V63" s="1198" t="s">
        <v>764</v>
      </c>
      <c r="W63" s="471"/>
      <c r="X63" s="3"/>
      <c r="Y63" s="3"/>
      <c r="Z63" s="3"/>
      <c r="AA63" s="3"/>
    </row>
    <row r="64" spans="1:27" ht="60.75" customHeight="1">
      <c r="A64" s="736"/>
      <c r="B64" s="736"/>
      <c r="C64" s="736"/>
      <c r="D64" s="829">
        <v>59</v>
      </c>
      <c r="E64" s="829" t="s">
        <v>119</v>
      </c>
      <c r="F64" s="913"/>
      <c r="G64" s="913"/>
      <c r="H64" s="913"/>
      <c r="I64" s="913"/>
      <c r="J64" s="913"/>
      <c r="K64" s="913"/>
      <c r="L64" s="913"/>
      <c r="M64" s="913"/>
      <c r="N64" s="913"/>
      <c r="O64" s="913"/>
      <c r="P64" s="913"/>
      <c r="Q64" s="913"/>
      <c r="R64" s="913"/>
      <c r="S64" s="913"/>
      <c r="T64" s="847">
        <f t="shared" si="0"/>
        <v>0</v>
      </c>
      <c r="U64" s="847">
        <f t="shared" ref="U64:U66" si="7">T64*110%</f>
        <v>0</v>
      </c>
      <c r="V64" s="833"/>
      <c r="W64" s="471"/>
      <c r="X64" s="3"/>
      <c r="Y64" s="3"/>
      <c r="Z64" s="3"/>
      <c r="AA64" s="3"/>
    </row>
    <row r="65" spans="1:27" ht="24.75" customHeight="1">
      <c r="A65" s="736"/>
      <c r="B65" s="736"/>
      <c r="C65" s="736"/>
      <c r="D65" s="829">
        <v>60</v>
      </c>
      <c r="E65" s="829" t="s">
        <v>120</v>
      </c>
      <c r="F65" s="913"/>
      <c r="G65" s="913"/>
      <c r="H65" s="913"/>
      <c r="I65" s="913"/>
      <c r="J65" s="913"/>
      <c r="K65" s="913"/>
      <c r="L65" s="913"/>
      <c r="M65" s="913"/>
      <c r="N65" s="913"/>
      <c r="O65" s="913"/>
      <c r="P65" s="913"/>
      <c r="Q65" s="913"/>
      <c r="R65" s="913"/>
      <c r="S65" s="913"/>
      <c r="T65" s="847">
        <f t="shared" si="0"/>
        <v>0</v>
      </c>
      <c r="U65" s="847">
        <f t="shared" si="7"/>
        <v>0</v>
      </c>
      <c r="V65" s="833"/>
      <c r="W65" s="471"/>
      <c r="X65" s="3"/>
      <c r="Y65" s="3"/>
      <c r="Z65" s="3"/>
      <c r="AA65" s="3"/>
    </row>
    <row r="66" spans="1:27" ht="63.75" customHeight="1">
      <c r="A66" s="736"/>
      <c r="B66" s="736"/>
      <c r="C66" s="736"/>
      <c r="D66" s="829">
        <v>61</v>
      </c>
      <c r="E66" s="829" t="s">
        <v>53</v>
      </c>
      <c r="F66" s="913"/>
      <c r="G66" s="913"/>
      <c r="H66" s="913"/>
      <c r="I66" s="913"/>
      <c r="J66" s="913"/>
      <c r="K66" s="913"/>
      <c r="L66" s="913"/>
      <c r="M66" s="913"/>
      <c r="N66" s="913"/>
      <c r="O66" s="913"/>
      <c r="P66" s="913"/>
      <c r="Q66" s="913"/>
      <c r="R66" s="913"/>
      <c r="S66" s="913"/>
      <c r="T66" s="847">
        <f t="shared" si="0"/>
        <v>0</v>
      </c>
      <c r="U66" s="847">
        <f t="shared" si="7"/>
        <v>0</v>
      </c>
      <c r="V66" s="833"/>
      <c r="W66" s="471"/>
      <c r="X66" s="3"/>
      <c r="Y66" s="3"/>
      <c r="Z66" s="3"/>
      <c r="AA66" s="3"/>
    </row>
    <row r="67" spans="1:27" ht="78" customHeight="1">
      <c r="A67" s="736"/>
      <c r="B67" s="829" t="s">
        <v>121</v>
      </c>
      <c r="C67" s="829" t="s">
        <v>122</v>
      </c>
      <c r="D67" s="829">
        <v>62</v>
      </c>
      <c r="E67" s="829" t="s">
        <v>123</v>
      </c>
      <c r="F67" s="829"/>
      <c r="G67" s="829"/>
      <c r="H67" s="829"/>
      <c r="I67" s="829"/>
      <c r="J67" s="829"/>
      <c r="K67" s="829"/>
      <c r="L67" s="829"/>
      <c r="M67" s="847"/>
      <c r="N67" s="829"/>
      <c r="O67" s="845">
        <v>0.5</v>
      </c>
      <c r="P67" s="845"/>
      <c r="Q67" s="847">
        <v>0.2</v>
      </c>
      <c r="R67" s="829"/>
      <c r="S67" s="845"/>
      <c r="T67" s="847">
        <f t="shared" si="0"/>
        <v>0.7</v>
      </c>
      <c r="U67" s="847">
        <f>T67</f>
        <v>0.7</v>
      </c>
      <c r="V67" s="848" t="s">
        <v>124</v>
      </c>
      <c r="W67" s="471"/>
      <c r="X67" s="3"/>
      <c r="Y67" s="3"/>
      <c r="Z67" s="3"/>
      <c r="AA67" s="3"/>
    </row>
    <row r="68" spans="1:27" ht="24.75" customHeight="1">
      <c r="A68" s="736"/>
      <c r="B68" s="948" t="s">
        <v>125</v>
      </c>
      <c r="C68" s="736"/>
      <c r="D68" s="736"/>
      <c r="E68" s="949"/>
      <c r="F68" s="949">
        <f t="shared" ref="F68:S68" si="8">SUM(F6:F67)</f>
        <v>95.199899999999985</v>
      </c>
      <c r="G68" s="949">
        <f t="shared" si="8"/>
        <v>0</v>
      </c>
      <c r="H68" s="949">
        <f t="shared" si="8"/>
        <v>0</v>
      </c>
      <c r="I68" s="949">
        <f t="shared" si="8"/>
        <v>5.1530500000000004</v>
      </c>
      <c r="J68" s="949">
        <f t="shared" si="8"/>
        <v>0</v>
      </c>
      <c r="K68" s="949">
        <f t="shared" si="8"/>
        <v>110.57999999999998</v>
      </c>
      <c r="L68" s="949">
        <f t="shared" si="8"/>
        <v>0</v>
      </c>
      <c r="M68" s="949">
        <f t="shared" si="8"/>
        <v>31.91</v>
      </c>
      <c r="N68" s="949">
        <f t="shared" si="8"/>
        <v>46.463000000000008</v>
      </c>
      <c r="O68" s="949">
        <f t="shared" si="8"/>
        <v>283.41865000000001</v>
      </c>
      <c r="P68" s="949">
        <f t="shared" si="8"/>
        <v>442.72727999999995</v>
      </c>
      <c r="Q68" s="949">
        <f t="shared" si="8"/>
        <v>34.590000000000003</v>
      </c>
      <c r="R68" s="949">
        <f t="shared" si="8"/>
        <v>11.916499999999999</v>
      </c>
      <c r="S68" s="949">
        <f t="shared" si="8"/>
        <v>4.5999999999999996</v>
      </c>
      <c r="T68" s="949">
        <f t="shared" si="0"/>
        <v>1066.5583799999999</v>
      </c>
      <c r="U68" s="949">
        <f>SUM(U6:U67)</f>
        <v>1065.5513299999998</v>
      </c>
      <c r="V68" s="833"/>
      <c r="W68" s="471"/>
      <c r="X68" s="3"/>
      <c r="Y68" s="3"/>
      <c r="Z68" s="3"/>
      <c r="AA68" s="3"/>
    </row>
    <row r="69" spans="1:27" ht="39.75" customHeight="1">
      <c r="A69" s="831" t="s">
        <v>126</v>
      </c>
      <c r="B69" s="829" t="s">
        <v>127</v>
      </c>
      <c r="C69" s="829" t="s">
        <v>128</v>
      </c>
      <c r="D69" s="829">
        <v>63</v>
      </c>
      <c r="E69" s="829" t="s">
        <v>129</v>
      </c>
      <c r="F69" s="829"/>
      <c r="G69" s="829"/>
      <c r="H69" s="829"/>
      <c r="I69" s="829"/>
      <c r="J69" s="829"/>
      <c r="K69" s="829"/>
      <c r="L69" s="829"/>
      <c r="M69" s="845"/>
      <c r="N69" s="847">
        <v>7.3</v>
      </c>
      <c r="O69" s="829"/>
      <c r="P69" s="847"/>
      <c r="Q69" s="829"/>
      <c r="R69" s="845">
        <v>3.75</v>
      </c>
      <c r="S69" s="845">
        <v>1</v>
      </c>
      <c r="T69" s="847">
        <f t="shared" si="0"/>
        <v>12.05</v>
      </c>
      <c r="U69" s="847">
        <f t="shared" ref="U69:U74" si="9">T69</f>
        <v>12.05</v>
      </c>
      <c r="V69" s="1206" t="s">
        <v>765</v>
      </c>
      <c r="W69" s="472" t="s">
        <v>765</v>
      </c>
      <c r="X69" s="3"/>
      <c r="Y69" s="3"/>
      <c r="Z69" s="3"/>
      <c r="AA69" s="3"/>
    </row>
    <row r="70" spans="1:27" ht="39.75" customHeight="1">
      <c r="A70" s="736"/>
      <c r="B70" s="828" t="s">
        <v>131</v>
      </c>
      <c r="C70" s="828" t="s">
        <v>132</v>
      </c>
      <c r="D70" s="829">
        <v>64</v>
      </c>
      <c r="E70" s="829" t="s">
        <v>133</v>
      </c>
      <c r="F70" s="859"/>
      <c r="G70" s="859"/>
      <c r="H70" s="937"/>
      <c r="I70" s="861">
        <v>0.84</v>
      </c>
      <c r="J70" s="859"/>
      <c r="K70" s="861"/>
      <c r="L70" s="859"/>
      <c r="M70" s="859"/>
      <c r="N70" s="861">
        <v>1.5</v>
      </c>
      <c r="O70" s="937"/>
      <c r="P70" s="861">
        <v>3.67</v>
      </c>
      <c r="Q70" s="861">
        <v>1.05</v>
      </c>
      <c r="R70" s="937">
        <v>3.1</v>
      </c>
      <c r="S70" s="937"/>
      <c r="T70" s="847">
        <f t="shared" si="0"/>
        <v>10.16</v>
      </c>
      <c r="U70" s="847">
        <f t="shared" si="9"/>
        <v>10.16</v>
      </c>
      <c r="V70" s="833" t="s">
        <v>766</v>
      </c>
      <c r="W70" s="472" t="s">
        <v>767</v>
      </c>
      <c r="X70" s="3"/>
      <c r="Y70" s="3"/>
      <c r="Z70" s="3"/>
      <c r="AA70" s="3"/>
    </row>
    <row r="71" spans="1:27" ht="45">
      <c r="A71" s="736"/>
      <c r="B71" s="736"/>
      <c r="C71" s="736"/>
      <c r="D71" s="829">
        <v>65</v>
      </c>
      <c r="E71" s="829" t="s">
        <v>135</v>
      </c>
      <c r="F71" s="859"/>
      <c r="G71" s="859"/>
      <c r="H71" s="859"/>
      <c r="I71" s="859"/>
      <c r="J71" s="859"/>
      <c r="K71" s="859"/>
      <c r="L71" s="859"/>
      <c r="M71" s="859"/>
      <c r="N71" s="861"/>
      <c r="O71" s="859"/>
      <c r="P71" s="937">
        <v>0.45</v>
      </c>
      <c r="Q71" s="859"/>
      <c r="R71" s="859"/>
      <c r="S71" s="937"/>
      <c r="T71" s="847">
        <f t="shared" si="0"/>
        <v>0.45</v>
      </c>
      <c r="U71" s="847">
        <f t="shared" si="9"/>
        <v>0.45</v>
      </c>
      <c r="V71" s="833" t="s">
        <v>136</v>
      </c>
      <c r="W71" s="472" t="s">
        <v>136</v>
      </c>
      <c r="X71" s="3"/>
      <c r="Y71" s="3"/>
      <c r="Z71" s="3"/>
      <c r="AA71" s="3"/>
    </row>
    <row r="72" spans="1:27" ht="75">
      <c r="A72" s="736"/>
      <c r="B72" s="736"/>
      <c r="C72" s="736"/>
      <c r="D72" s="829">
        <v>66</v>
      </c>
      <c r="E72" s="829" t="s">
        <v>137</v>
      </c>
      <c r="F72" s="859"/>
      <c r="G72" s="859"/>
      <c r="H72" s="859"/>
      <c r="I72" s="859"/>
      <c r="J72" s="859"/>
      <c r="K72" s="861"/>
      <c r="L72" s="859"/>
      <c r="M72" s="859"/>
      <c r="N72" s="861">
        <v>0.2</v>
      </c>
      <c r="O72" s="859"/>
      <c r="P72" s="937">
        <v>0.09</v>
      </c>
      <c r="Q72" s="861">
        <v>0.05</v>
      </c>
      <c r="R72" s="938">
        <v>0.15</v>
      </c>
      <c r="S72" s="859"/>
      <c r="T72" s="847">
        <f t="shared" si="0"/>
        <v>0.49</v>
      </c>
      <c r="U72" s="847">
        <f t="shared" si="9"/>
        <v>0.49</v>
      </c>
      <c r="V72" s="833" t="s">
        <v>545</v>
      </c>
      <c r="W72" s="472" t="s">
        <v>138</v>
      </c>
      <c r="X72" s="3"/>
      <c r="Y72" s="3"/>
      <c r="Z72" s="3"/>
      <c r="AA72" s="3"/>
    </row>
    <row r="73" spans="1:27" ht="90">
      <c r="A73" s="736"/>
      <c r="B73" s="736"/>
      <c r="C73" s="736"/>
      <c r="D73" s="829">
        <v>67</v>
      </c>
      <c r="E73" s="829" t="s">
        <v>139</v>
      </c>
      <c r="F73" s="859"/>
      <c r="G73" s="859"/>
      <c r="H73" s="859"/>
      <c r="I73" s="859"/>
      <c r="J73" s="859"/>
      <c r="K73" s="861"/>
      <c r="L73" s="859"/>
      <c r="M73" s="859"/>
      <c r="N73" s="861">
        <v>0.6</v>
      </c>
      <c r="O73" s="859">
        <v>1.5</v>
      </c>
      <c r="P73" s="937">
        <v>37.340000000000003</v>
      </c>
      <c r="Q73" s="861">
        <v>1.2</v>
      </c>
      <c r="R73" s="937">
        <v>3.75</v>
      </c>
      <c r="S73" s="937">
        <v>2</v>
      </c>
      <c r="T73" s="847">
        <f t="shared" si="0"/>
        <v>46.390000000000008</v>
      </c>
      <c r="U73" s="847">
        <f t="shared" si="9"/>
        <v>46.390000000000008</v>
      </c>
      <c r="V73" s="833" t="s">
        <v>768</v>
      </c>
      <c r="W73" s="472" t="s">
        <v>768</v>
      </c>
      <c r="X73" s="3"/>
      <c r="Y73" s="3"/>
      <c r="Z73" s="3"/>
      <c r="AA73" s="3"/>
    </row>
    <row r="74" spans="1:27" ht="75">
      <c r="A74" s="736"/>
      <c r="B74" s="736"/>
      <c r="C74" s="736"/>
      <c r="D74" s="829">
        <v>68</v>
      </c>
      <c r="E74" s="829" t="s">
        <v>141</v>
      </c>
      <c r="F74" s="937"/>
      <c r="G74" s="859"/>
      <c r="H74" s="859"/>
      <c r="I74" s="861"/>
      <c r="J74" s="859"/>
      <c r="K74" s="861"/>
      <c r="L74" s="859"/>
      <c r="M74" s="859"/>
      <c r="N74" s="861">
        <v>0.4</v>
      </c>
      <c r="O74" s="937"/>
      <c r="P74" s="937">
        <v>1.48</v>
      </c>
      <c r="Q74" s="861">
        <v>3.2</v>
      </c>
      <c r="R74" s="937">
        <v>2</v>
      </c>
      <c r="S74" s="937">
        <v>0.9</v>
      </c>
      <c r="T74" s="847">
        <f t="shared" si="0"/>
        <v>7.98</v>
      </c>
      <c r="U74" s="847">
        <f t="shared" si="9"/>
        <v>7.98</v>
      </c>
      <c r="V74" s="833" t="s">
        <v>769</v>
      </c>
      <c r="W74" s="472" t="s">
        <v>770</v>
      </c>
      <c r="X74" s="3"/>
      <c r="Y74" s="3"/>
      <c r="Z74" s="3"/>
      <c r="AA74" s="3"/>
    </row>
    <row r="75" spans="1:27" ht="345">
      <c r="A75" s="736"/>
      <c r="B75" s="828" t="s">
        <v>143</v>
      </c>
      <c r="C75" s="828" t="s">
        <v>144</v>
      </c>
      <c r="D75" s="829">
        <v>69</v>
      </c>
      <c r="E75" s="829" t="s">
        <v>145</v>
      </c>
      <c r="F75" s="939"/>
      <c r="G75" s="939"/>
      <c r="H75" s="939"/>
      <c r="I75" s="939"/>
      <c r="J75" s="939"/>
      <c r="K75" s="939"/>
      <c r="L75" s="939"/>
      <c r="M75" s="940">
        <v>0.68</v>
      </c>
      <c r="N75" s="939"/>
      <c r="O75" s="940">
        <v>90.244</v>
      </c>
      <c r="P75" s="940">
        <v>1.8</v>
      </c>
      <c r="Q75" s="939"/>
      <c r="R75" s="939"/>
      <c r="S75" s="939"/>
      <c r="T75" s="847">
        <f t="shared" si="0"/>
        <v>92.724000000000004</v>
      </c>
      <c r="U75" s="925">
        <v>92.724000000000004</v>
      </c>
      <c r="V75" s="1051" t="s">
        <v>771</v>
      </c>
      <c r="W75" s="530" t="s">
        <v>771</v>
      </c>
      <c r="X75" s="3"/>
      <c r="Y75" s="3"/>
      <c r="Z75" s="3"/>
      <c r="AA75" s="3"/>
    </row>
    <row r="76" spans="1:27" ht="180">
      <c r="A76" s="736"/>
      <c r="B76" s="736"/>
      <c r="C76" s="736"/>
      <c r="D76" s="829">
        <v>70</v>
      </c>
      <c r="E76" s="829" t="s">
        <v>147</v>
      </c>
      <c r="F76" s="939"/>
      <c r="G76" s="939"/>
      <c r="H76" s="939"/>
      <c r="I76" s="940">
        <v>0.4</v>
      </c>
      <c r="J76" s="939"/>
      <c r="K76" s="939"/>
      <c r="L76" s="939"/>
      <c r="M76" s="939"/>
      <c r="N76" s="939"/>
      <c r="O76" s="939"/>
      <c r="P76" s="940">
        <v>1.1000000000000001</v>
      </c>
      <c r="Q76" s="939"/>
      <c r="R76" s="939"/>
      <c r="S76" s="939"/>
      <c r="T76" s="847">
        <f t="shared" si="0"/>
        <v>1.5</v>
      </c>
      <c r="U76" s="925">
        <v>1.5</v>
      </c>
      <c r="V76" s="1051" t="s">
        <v>772</v>
      </c>
      <c r="W76" s="530" t="s">
        <v>772</v>
      </c>
      <c r="X76" s="3"/>
      <c r="Y76" s="3"/>
      <c r="Z76" s="3"/>
      <c r="AA76" s="3"/>
    </row>
    <row r="77" spans="1:27" ht="39.75" customHeight="1">
      <c r="A77" s="736"/>
      <c r="B77" s="736"/>
      <c r="C77" s="736"/>
      <c r="D77" s="829">
        <v>71</v>
      </c>
      <c r="E77" s="829" t="s">
        <v>149</v>
      </c>
      <c r="F77" s="939"/>
      <c r="G77" s="939"/>
      <c r="H77" s="939"/>
      <c r="I77" s="939"/>
      <c r="J77" s="939"/>
      <c r="K77" s="939"/>
      <c r="L77" s="939"/>
      <c r="M77" s="939"/>
      <c r="N77" s="939"/>
      <c r="O77" s="939"/>
      <c r="P77" s="939"/>
      <c r="Q77" s="939"/>
      <c r="R77" s="939"/>
      <c r="S77" s="939"/>
      <c r="T77" s="847">
        <f t="shared" si="0"/>
        <v>0</v>
      </c>
      <c r="U77" s="925">
        <v>0</v>
      </c>
      <c r="V77" s="1207"/>
      <c r="W77" s="125"/>
      <c r="X77" s="3"/>
      <c r="Y77" s="3"/>
      <c r="Z77" s="3"/>
      <c r="AA77" s="3"/>
    </row>
    <row r="78" spans="1:27" ht="330">
      <c r="A78" s="736"/>
      <c r="B78" s="736"/>
      <c r="C78" s="736"/>
      <c r="D78" s="829">
        <v>72</v>
      </c>
      <c r="E78" s="829" t="s">
        <v>150</v>
      </c>
      <c r="F78" s="939"/>
      <c r="G78" s="939"/>
      <c r="H78" s="939"/>
      <c r="I78" s="939"/>
      <c r="J78" s="939"/>
      <c r="K78" s="939"/>
      <c r="L78" s="939"/>
      <c r="M78" s="939"/>
      <c r="N78" s="940">
        <v>5.4950000000000001</v>
      </c>
      <c r="O78" s="939"/>
      <c r="P78" s="939"/>
      <c r="Q78" s="940">
        <v>3.4085000000000001</v>
      </c>
      <c r="R78" s="940">
        <v>3.9584999999999999</v>
      </c>
      <c r="S78" s="939"/>
      <c r="T78" s="847">
        <f t="shared" si="0"/>
        <v>12.862000000000002</v>
      </c>
      <c r="U78" s="925">
        <v>12.862000000000002</v>
      </c>
      <c r="V78" s="1051" t="s">
        <v>773</v>
      </c>
      <c r="W78" s="530" t="s">
        <v>774</v>
      </c>
      <c r="X78" s="3"/>
      <c r="Y78" s="3"/>
      <c r="Z78" s="3"/>
      <c r="AA78" s="3"/>
    </row>
    <row r="79" spans="1:27" ht="409.5">
      <c r="A79" s="736"/>
      <c r="B79" s="828" t="s">
        <v>152</v>
      </c>
      <c r="C79" s="828" t="s">
        <v>153</v>
      </c>
      <c r="D79" s="829">
        <v>73</v>
      </c>
      <c r="E79" s="829" t="s">
        <v>154</v>
      </c>
      <c r="F79" s="944">
        <v>2.95</v>
      </c>
      <c r="G79" s="944">
        <v>2</v>
      </c>
      <c r="H79" s="944">
        <v>4.5999999999999996</v>
      </c>
      <c r="I79" s="944">
        <v>8.4</v>
      </c>
      <c r="J79" s="841"/>
      <c r="K79" s="944"/>
      <c r="L79" s="841">
        <v>3.8</v>
      </c>
      <c r="M79" s="944">
        <v>20.6</v>
      </c>
      <c r="N79" s="944">
        <v>6.6</v>
      </c>
      <c r="O79" s="944"/>
      <c r="P79" s="944">
        <v>3.25</v>
      </c>
      <c r="Q79" s="841"/>
      <c r="R79" s="944">
        <v>13</v>
      </c>
      <c r="S79" s="944">
        <v>0.5</v>
      </c>
      <c r="T79" s="847">
        <f t="shared" si="0"/>
        <v>65.700000000000017</v>
      </c>
      <c r="U79" s="847">
        <v>56.2</v>
      </c>
      <c r="V79" s="1208" t="s">
        <v>775</v>
      </c>
      <c r="W79" s="471"/>
      <c r="X79" s="3"/>
      <c r="Y79" s="3"/>
      <c r="Z79" s="3"/>
      <c r="AA79" s="3"/>
    </row>
    <row r="80" spans="1:27" ht="120">
      <c r="A80" s="736"/>
      <c r="B80" s="736"/>
      <c r="C80" s="736"/>
      <c r="D80" s="829">
        <v>74</v>
      </c>
      <c r="E80" s="829" t="s">
        <v>155</v>
      </c>
      <c r="F80" s="944">
        <v>55</v>
      </c>
      <c r="G80" s="944"/>
      <c r="H80" s="841"/>
      <c r="I80" s="841"/>
      <c r="J80" s="841"/>
      <c r="K80" s="841"/>
      <c r="L80" s="841"/>
      <c r="M80" s="841"/>
      <c r="N80" s="841"/>
      <c r="O80" s="841"/>
      <c r="P80" s="841"/>
      <c r="Q80" s="841"/>
      <c r="R80" s="841"/>
      <c r="S80" s="841"/>
      <c r="T80" s="847">
        <f t="shared" si="0"/>
        <v>55</v>
      </c>
      <c r="U80" s="847">
        <v>55.7</v>
      </c>
      <c r="V80" s="1208" t="s">
        <v>776</v>
      </c>
      <c r="W80" s="471"/>
      <c r="X80" s="3"/>
      <c r="Y80" s="3"/>
      <c r="Z80" s="3"/>
      <c r="AA80" s="3"/>
    </row>
    <row r="81" spans="1:27" ht="195">
      <c r="A81" s="736"/>
      <c r="B81" s="736"/>
      <c r="C81" s="736"/>
      <c r="D81" s="829">
        <v>75</v>
      </c>
      <c r="E81" s="829" t="s">
        <v>157</v>
      </c>
      <c r="F81" s="944">
        <v>2.16</v>
      </c>
      <c r="G81" s="944"/>
      <c r="H81" s="841"/>
      <c r="I81" s="841"/>
      <c r="J81" s="841"/>
      <c r="K81" s="841"/>
      <c r="L81" s="841"/>
      <c r="M81" s="841"/>
      <c r="N81" s="841"/>
      <c r="O81" s="841"/>
      <c r="P81" s="944">
        <v>1.55</v>
      </c>
      <c r="Q81" s="841"/>
      <c r="R81" s="841"/>
      <c r="S81" s="841"/>
      <c r="T81" s="847">
        <f t="shared" si="0"/>
        <v>3.71</v>
      </c>
      <c r="U81" s="847">
        <v>5.6</v>
      </c>
      <c r="V81" s="1208" t="s">
        <v>777</v>
      </c>
      <c r="W81" s="471"/>
      <c r="X81" s="3"/>
      <c r="Y81" s="3"/>
      <c r="Z81" s="3"/>
      <c r="AA81" s="3"/>
    </row>
    <row r="82" spans="1:27" ht="90">
      <c r="A82" s="736"/>
      <c r="B82" s="736"/>
      <c r="C82" s="736"/>
      <c r="D82" s="829">
        <v>76</v>
      </c>
      <c r="E82" s="829" t="s">
        <v>159</v>
      </c>
      <c r="F82" s="841"/>
      <c r="G82" s="841"/>
      <c r="H82" s="841"/>
      <c r="I82" s="841"/>
      <c r="J82" s="841"/>
      <c r="K82" s="944"/>
      <c r="L82" s="841"/>
      <c r="M82" s="944">
        <v>2.2000000000000002</v>
      </c>
      <c r="N82" s="841"/>
      <c r="O82" s="841"/>
      <c r="P82" s="841"/>
      <c r="Q82" s="841"/>
      <c r="R82" s="841"/>
      <c r="S82" s="841"/>
      <c r="T82" s="847">
        <f t="shared" si="0"/>
        <v>2.2000000000000002</v>
      </c>
      <c r="U82" s="847">
        <v>2.6</v>
      </c>
      <c r="V82" s="1208" t="s">
        <v>422</v>
      </c>
      <c r="W82" s="471"/>
      <c r="X82" s="3"/>
      <c r="Y82" s="3"/>
      <c r="Z82" s="3"/>
      <c r="AA82" s="3"/>
    </row>
    <row r="83" spans="1:27" ht="409.5">
      <c r="A83" s="736"/>
      <c r="B83" s="736"/>
      <c r="C83" s="736"/>
      <c r="D83" s="829">
        <v>77</v>
      </c>
      <c r="E83" s="829" t="s">
        <v>161</v>
      </c>
      <c r="F83" s="944">
        <v>1.8</v>
      </c>
      <c r="G83" s="944">
        <v>2</v>
      </c>
      <c r="H83" s="944"/>
      <c r="I83" s="944">
        <v>2</v>
      </c>
      <c r="J83" s="841"/>
      <c r="K83" s="944"/>
      <c r="L83" s="841">
        <v>1.8</v>
      </c>
      <c r="M83" s="944"/>
      <c r="N83" s="944">
        <v>0.4</v>
      </c>
      <c r="O83" s="841"/>
      <c r="P83" s="841"/>
      <c r="Q83" s="841"/>
      <c r="R83" s="841"/>
      <c r="S83" s="944">
        <v>0.5</v>
      </c>
      <c r="T83" s="847">
        <f t="shared" si="0"/>
        <v>8.5</v>
      </c>
      <c r="U83" s="847">
        <v>15.5</v>
      </c>
      <c r="V83" s="1208" t="s">
        <v>778</v>
      </c>
      <c r="W83" s="471"/>
      <c r="X83" s="3"/>
      <c r="Y83" s="3"/>
      <c r="Z83" s="3"/>
      <c r="AA83" s="3"/>
    </row>
    <row r="84" spans="1:27" ht="165">
      <c r="A84" s="736"/>
      <c r="B84" s="736"/>
      <c r="C84" s="736"/>
      <c r="D84" s="829">
        <v>78</v>
      </c>
      <c r="E84" s="829" t="s">
        <v>163</v>
      </c>
      <c r="F84" s="841"/>
      <c r="G84" s="841"/>
      <c r="H84" s="841"/>
      <c r="I84" s="841"/>
      <c r="J84" s="841"/>
      <c r="K84" s="841"/>
      <c r="L84" s="841"/>
      <c r="M84" s="841"/>
      <c r="N84" s="841"/>
      <c r="O84" s="841"/>
      <c r="P84" s="841"/>
      <c r="Q84" s="944">
        <v>10.5</v>
      </c>
      <c r="R84" s="841"/>
      <c r="S84" s="841"/>
      <c r="T84" s="847">
        <f t="shared" si="0"/>
        <v>10.5</v>
      </c>
      <c r="U84" s="847">
        <v>10.5</v>
      </c>
      <c r="V84" s="1208" t="s">
        <v>164</v>
      </c>
      <c r="W84" s="471"/>
      <c r="X84" s="3"/>
      <c r="Y84" s="3"/>
      <c r="Z84" s="3"/>
      <c r="AA84" s="3"/>
    </row>
    <row r="85" spans="1:27" ht="18" customHeight="1">
      <c r="A85" s="736"/>
      <c r="B85" s="736"/>
      <c r="C85" s="736"/>
      <c r="D85" s="829">
        <v>79</v>
      </c>
      <c r="E85" s="829" t="s">
        <v>53</v>
      </c>
      <c r="F85" s="841"/>
      <c r="G85" s="841"/>
      <c r="H85" s="841"/>
      <c r="I85" s="841"/>
      <c r="J85" s="841"/>
      <c r="K85" s="841"/>
      <c r="L85" s="841"/>
      <c r="M85" s="841"/>
      <c r="N85" s="841"/>
      <c r="O85" s="841"/>
      <c r="P85" s="841"/>
      <c r="Q85" s="841"/>
      <c r="R85" s="841"/>
      <c r="S85" s="841"/>
      <c r="T85" s="847">
        <f t="shared" si="0"/>
        <v>0</v>
      </c>
      <c r="U85" s="847">
        <f>T85*110%</f>
        <v>0</v>
      </c>
      <c r="V85" s="882"/>
      <c r="W85" s="471"/>
      <c r="X85" s="3"/>
      <c r="Y85" s="3"/>
      <c r="Z85" s="3"/>
      <c r="AA85" s="3"/>
    </row>
    <row r="86" spans="1:27" ht="105">
      <c r="A86" s="736"/>
      <c r="B86" s="828" t="s">
        <v>165</v>
      </c>
      <c r="C86" s="828" t="s">
        <v>166</v>
      </c>
      <c r="D86" s="829">
        <v>80</v>
      </c>
      <c r="E86" s="829" t="s">
        <v>167</v>
      </c>
      <c r="F86" s="829"/>
      <c r="G86" s="829"/>
      <c r="H86" s="829"/>
      <c r="I86" s="829"/>
      <c r="J86" s="829"/>
      <c r="K86" s="920"/>
      <c r="L86" s="829"/>
      <c r="M86" s="847"/>
      <c r="N86" s="829"/>
      <c r="O86" s="829"/>
      <c r="P86" s="479">
        <v>2.4</v>
      </c>
      <c r="Q86" s="477">
        <v>1</v>
      </c>
      <c r="R86" s="845"/>
      <c r="S86" s="829"/>
      <c r="T86" s="847">
        <f t="shared" si="0"/>
        <v>3.4</v>
      </c>
      <c r="U86" s="847">
        <v>3.4</v>
      </c>
      <c r="V86" s="1209" t="s">
        <v>1838</v>
      </c>
      <c r="W86" s="471"/>
      <c r="X86" s="3"/>
      <c r="Y86" s="3"/>
      <c r="Z86" s="3"/>
      <c r="AA86" s="3"/>
    </row>
    <row r="87" spans="1:27" ht="60">
      <c r="A87" s="736"/>
      <c r="B87" s="736"/>
      <c r="C87" s="736"/>
      <c r="D87" s="829">
        <v>81</v>
      </c>
      <c r="E87" s="829" t="s">
        <v>168</v>
      </c>
      <c r="F87" s="829"/>
      <c r="G87" s="829"/>
      <c r="H87" s="829"/>
      <c r="I87" s="829"/>
      <c r="J87" s="829"/>
      <c r="K87" s="829"/>
      <c r="L87" s="829"/>
      <c r="M87" s="1044"/>
      <c r="N87" s="477">
        <v>0</v>
      </c>
      <c r="O87" s="829"/>
      <c r="P87" s="845">
        <v>0.1</v>
      </c>
      <c r="Q87" s="845"/>
      <c r="R87" s="829"/>
      <c r="S87" s="829"/>
      <c r="T87" s="847">
        <f t="shared" si="0"/>
        <v>0.1</v>
      </c>
      <c r="U87" s="847">
        <v>0.1</v>
      </c>
      <c r="V87" s="1196" t="s">
        <v>169</v>
      </c>
      <c r="W87" s="471"/>
      <c r="X87" s="3"/>
      <c r="Y87" s="3"/>
      <c r="Z87" s="3"/>
      <c r="AA87" s="3"/>
    </row>
    <row r="88" spans="1:27" ht="45">
      <c r="A88" s="736"/>
      <c r="B88" s="736"/>
      <c r="C88" s="736"/>
      <c r="D88" s="829">
        <v>82</v>
      </c>
      <c r="E88" s="829" t="s">
        <v>170</v>
      </c>
      <c r="F88" s="829"/>
      <c r="G88" s="829"/>
      <c r="H88" s="829"/>
      <c r="I88" s="829"/>
      <c r="J88" s="829"/>
      <c r="K88" s="829"/>
      <c r="L88" s="829"/>
      <c r="M88" s="829"/>
      <c r="N88" s="829"/>
      <c r="O88" s="829"/>
      <c r="P88" s="845"/>
      <c r="Q88" s="829"/>
      <c r="R88" s="829"/>
      <c r="S88" s="829"/>
      <c r="T88" s="847">
        <f t="shared" si="0"/>
        <v>0</v>
      </c>
      <c r="U88" s="847">
        <f>T88*110%</f>
        <v>0</v>
      </c>
      <c r="V88" s="1209"/>
      <c r="W88" s="471"/>
      <c r="X88" s="3"/>
      <c r="Y88" s="3"/>
      <c r="Z88" s="3"/>
      <c r="AA88" s="3"/>
    </row>
    <row r="89" spans="1:27" ht="180">
      <c r="A89" s="736"/>
      <c r="B89" s="736"/>
      <c r="C89" s="736"/>
      <c r="D89" s="829">
        <v>83</v>
      </c>
      <c r="E89" s="829" t="s">
        <v>172</v>
      </c>
      <c r="F89" s="829"/>
      <c r="G89" s="829"/>
      <c r="H89" s="829"/>
      <c r="I89" s="829"/>
      <c r="J89" s="829"/>
      <c r="K89" s="847">
        <v>0.5</v>
      </c>
      <c r="L89" s="829"/>
      <c r="M89" s="845"/>
      <c r="N89" s="847"/>
      <c r="O89" s="829"/>
      <c r="P89" s="479">
        <v>3.5</v>
      </c>
      <c r="Q89" s="847"/>
      <c r="R89" s="845"/>
      <c r="S89" s="829"/>
      <c r="T89" s="847">
        <f t="shared" si="0"/>
        <v>4</v>
      </c>
      <c r="U89" s="847">
        <v>4</v>
      </c>
      <c r="V89" s="1209" t="s">
        <v>1839</v>
      </c>
      <c r="W89" s="471"/>
      <c r="X89" s="3"/>
      <c r="Y89" s="3"/>
      <c r="Z89" s="3"/>
      <c r="AA89" s="3"/>
    </row>
    <row r="90" spans="1:27" ht="103.15" customHeight="1">
      <c r="A90" s="736"/>
      <c r="B90" s="829" t="s">
        <v>173</v>
      </c>
      <c r="C90" s="829" t="s">
        <v>174</v>
      </c>
      <c r="D90" s="829">
        <v>84</v>
      </c>
      <c r="E90" s="829" t="s">
        <v>175</v>
      </c>
      <c r="F90" s="829"/>
      <c r="G90" s="829"/>
      <c r="H90" s="829"/>
      <c r="I90" s="847"/>
      <c r="J90" s="829"/>
      <c r="K90" s="847"/>
      <c r="L90" s="829"/>
      <c r="M90" s="829"/>
      <c r="N90" s="477">
        <v>1</v>
      </c>
      <c r="O90" s="829"/>
      <c r="P90" s="829"/>
      <c r="Q90" s="478">
        <v>1.5</v>
      </c>
      <c r="R90" s="479">
        <v>0.5</v>
      </c>
      <c r="S90" s="829"/>
      <c r="T90" s="847">
        <f t="shared" si="0"/>
        <v>3</v>
      </c>
      <c r="U90" s="847">
        <v>3</v>
      </c>
      <c r="V90" s="833" t="s">
        <v>1840</v>
      </c>
      <c r="W90" s="471"/>
      <c r="X90" s="3"/>
      <c r="Y90" s="3"/>
      <c r="Z90" s="3"/>
      <c r="AA90" s="3"/>
    </row>
    <row r="91" spans="1:27" ht="84.75" customHeight="1">
      <c r="A91" s="736"/>
      <c r="B91" s="829" t="s">
        <v>176</v>
      </c>
      <c r="C91" s="829" t="s">
        <v>177</v>
      </c>
      <c r="D91" s="829">
        <v>85</v>
      </c>
      <c r="E91" s="829" t="s">
        <v>178</v>
      </c>
      <c r="F91" s="829"/>
      <c r="G91" s="829"/>
      <c r="H91" s="829"/>
      <c r="I91" s="829"/>
      <c r="J91" s="829"/>
      <c r="K91" s="847"/>
      <c r="L91" s="829"/>
      <c r="M91" s="829"/>
      <c r="N91" s="847">
        <v>0.5</v>
      </c>
      <c r="O91" s="829"/>
      <c r="P91" s="829"/>
      <c r="Q91" s="847">
        <v>1</v>
      </c>
      <c r="R91" s="845"/>
      <c r="S91" s="829"/>
      <c r="T91" s="847">
        <f t="shared" si="0"/>
        <v>1.5</v>
      </c>
      <c r="U91" s="847">
        <v>1.5</v>
      </c>
      <c r="V91" s="833" t="s">
        <v>424</v>
      </c>
      <c r="W91" s="471"/>
      <c r="X91" s="3"/>
      <c r="Y91" s="3"/>
      <c r="Z91" s="3"/>
      <c r="AA91" s="3"/>
    </row>
    <row r="92" spans="1:27" ht="39.75" customHeight="1">
      <c r="A92" s="736"/>
      <c r="B92" s="829" t="s">
        <v>180</v>
      </c>
      <c r="C92" s="829" t="s">
        <v>53</v>
      </c>
      <c r="D92" s="829">
        <v>86</v>
      </c>
      <c r="E92" s="829" t="s">
        <v>181</v>
      </c>
      <c r="F92" s="829"/>
      <c r="G92" s="829"/>
      <c r="H92" s="829"/>
      <c r="I92" s="829"/>
      <c r="J92" s="829"/>
      <c r="K92" s="829"/>
      <c r="L92" s="829"/>
      <c r="M92" s="829"/>
      <c r="N92" s="829"/>
      <c r="O92" s="829"/>
      <c r="P92" s="829"/>
      <c r="Q92" s="829"/>
      <c r="R92" s="829"/>
      <c r="S92" s="829"/>
      <c r="T92" s="847">
        <f t="shared" si="0"/>
        <v>0</v>
      </c>
      <c r="U92" s="847">
        <f>T92*110%</f>
        <v>0</v>
      </c>
      <c r="V92" s="833"/>
      <c r="W92" s="471"/>
      <c r="X92" s="3"/>
      <c r="Y92" s="3"/>
      <c r="Z92" s="3"/>
      <c r="AA92" s="3"/>
    </row>
    <row r="93" spans="1:27" ht="39.75" customHeight="1">
      <c r="A93" s="736"/>
      <c r="B93" s="948" t="s">
        <v>182</v>
      </c>
      <c r="C93" s="736"/>
      <c r="D93" s="736"/>
      <c r="E93" s="949"/>
      <c r="F93" s="949">
        <f t="shared" ref="F93:S93" si="10">SUM(F69:F92)</f>
        <v>61.91</v>
      </c>
      <c r="G93" s="949">
        <f t="shared" si="10"/>
        <v>4</v>
      </c>
      <c r="H93" s="949">
        <f t="shared" si="10"/>
        <v>4.5999999999999996</v>
      </c>
      <c r="I93" s="949">
        <f t="shared" si="10"/>
        <v>11.64</v>
      </c>
      <c r="J93" s="949">
        <f t="shared" si="10"/>
        <v>0</v>
      </c>
      <c r="K93" s="949">
        <f t="shared" si="10"/>
        <v>0.5</v>
      </c>
      <c r="L93" s="949">
        <f t="shared" si="10"/>
        <v>5.6</v>
      </c>
      <c r="M93" s="950">
        <f t="shared" si="10"/>
        <v>23.48</v>
      </c>
      <c r="N93" s="951">
        <f t="shared" si="10"/>
        <v>23.994999999999997</v>
      </c>
      <c r="O93" s="949">
        <f t="shared" si="10"/>
        <v>91.744</v>
      </c>
      <c r="P93" s="951">
        <f t="shared" si="10"/>
        <v>56.73</v>
      </c>
      <c r="Q93" s="949">
        <f t="shared" si="10"/>
        <v>22.9085</v>
      </c>
      <c r="R93" s="950">
        <f t="shared" si="10"/>
        <v>30.208500000000001</v>
      </c>
      <c r="S93" s="950">
        <f t="shared" si="10"/>
        <v>4.9000000000000004</v>
      </c>
      <c r="T93" s="949">
        <f t="shared" si="0"/>
        <v>342.21600000000001</v>
      </c>
      <c r="U93" s="951">
        <f>SUM(U69:U92)</f>
        <v>342.70600000000007</v>
      </c>
      <c r="V93" s="833"/>
      <c r="W93" s="471"/>
      <c r="X93" s="3"/>
      <c r="Y93" s="3"/>
      <c r="Z93" s="3"/>
      <c r="AA93" s="3"/>
    </row>
    <row r="94" spans="1:27" ht="60">
      <c r="A94" s="831" t="s">
        <v>183</v>
      </c>
      <c r="B94" s="828" t="s">
        <v>184</v>
      </c>
      <c r="C94" s="828" t="s">
        <v>185</v>
      </c>
      <c r="D94" s="829">
        <v>87</v>
      </c>
      <c r="E94" s="829" t="s">
        <v>186</v>
      </c>
      <c r="F94" s="855"/>
      <c r="G94" s="855"/>
      <c r="H94" s="855"/>
      <c r="I94" s="855"/>
      <c r="J94" s="855"/>
      <c r="K94" s="857">
        <v>6</v>
      </c>
      <c r="L94" s="855"/>
      <c r="M94" s="855"/>
      <c r="N94" s="855"/>
      <c r="O94" s="855"/>
      <c r="P94" s="855"/>
      <c r="Q94" s="855"/>
      <c r="R94" s="855"/>
      <c r="S94" s="939"/>
      <c r="T94" s="847">
        <f t="shared" si="0"/>
        <v>6</v>
      </c>
      <c r="U94" s="952">
        <v>0</v>
      </c>
      <c r="V94" s="1196" t="s">
        <v>779</v>
      </c>
      <c r="W94" s="473"/>
      <c r="X94" s="3"/>
      <c r="Y94" s="3"/>
      <c r="Z94" s="3"/>
      <c r="AA94" s="3"/>
    </row>
    <row r="95" spans="1:27" ht="39.75" customHeight="1">
      <c r="A95" s="736"/>
      <c r="B95" s="736"/>
      <c r="C95" s="736"/>
      <c r="D95" s="829">
        <v>88</v>
      </c>
      <c r="E95" s="829" t="s">
        <v>188</v>
      </c>
      <c r="F95" s="855"/>
      <c r="G95" s="855"/>
      <c r="H95" s="855"/>
      <c r="I95" s="855"/>
      <c r="J95" s="855"/>
      <c r="K95" s="855"/>
      <c r="L95" s="855"/>
      <c r="M95" s="855"/>
      <c r="N95" s="855"/>
      <c r="O95" s="855"/>
      <c r="P95" s="953">
        <v>5</v>
      </c>
      <c r="Q95" s="855"/>
      <c r="R95" s="855"/>
      <c r="S95" s="939"/>
      <c r="T95" s="847">
        <f t="shared" si="0"/>
        <v>5</v>
      </c>
      <c r="U95" s="952">
        <v>5</v>
      </c>
      <c r="V95" s="1210" t="s">
        <v>780</v>
      </c>
      <c r="W95" s="474" t="s">
        <v>780</v>
      </c>
      <c r="X95" s="3"/>
      <c r="Y95" s="3"/>
      <c r="Z95" s="3"/>
      <c r="AA95" s="3"/>
    </row>
    <row r="96" spans="1:27" ht="39.75" customHeight="1">
      <c r="A96" s="736"/>
      <c r="B96" s="736"/>
      <c r="C96" s="736"/>
      <c r="D96" s="829">
        <v>89</v>
      </c>
      <c r="E96" s="829" t="s">
        <v>190</v>
      </c>
      <c r="F96" s="855"/>
      <c r="G96" s="855"/>
      <c r="H96" s="855"/>
      <c r="I96" s="855"/>
      <c r="J96" s="855"/>
      <c r="K96" s="855"/>
      <c r="L96" s="855"/>
      <c r="M96" s="855"/>
      <c r="N96" s="855"/>
      <c r="O96" s="855"/>
      <c r="P96" s="855"/>
      <c r="Q96" s="855"/>
      <c r="R96" s="855"/>
      <c r="S96" s="939"/>
      <c r="T96" s="847">
        <f t="shared" si="0"/>
        <v>0</v>
      </c>
      <c r="U96" s="952">
        <v>0</v>
      </c>
      <c r="V96" s="1210"/>
      <c r="W96" s="474"/>
      <c r="X96" s="3"/>
      <c r="Y96" s="3"/>
      <c r="Z96" s="3"/>
      <c r="AA96" s="3"/>
    </row>
    <row r="97" spans="1:27" ht="39.75" customHeight="1">
      <c r="A97" s="736"/>
      <c r="B97" s="736"/>
      <c r="C97" s="736"/>
      <c r="D97" s="829">
        <v>90</v>
      </c>
      <c r="E97" s="829" t="s">
        <v>191</v>
      </c>
      <c r="F97" s="855"/>
      <c r="G97" s="855"/>
      <c r="H97" s="855"/>
      <c r="I97" s="855"/>
      <c r="J97" s="855"/>
      <c r="K97" s="855"/>
      <c r="L97" s="855"/>
      <c r="M97" s="855"/>
      <c r="N97" s="855"/>
      <c r="O97" s="855"/>
      <c r="P97" s="954"/>
      <c r="Q97" s="855"/>
      <c r="R97" s="855"/>
      <c r="S97" s="939"/>
      <c r="T97" s="847">
        <f t="shared" si="0"/>
        <v>0</v>
      </c>
      <c r="U97" s="952">
        <v>0</v>
      </c>
      <c r="V97" s="1210"/>
      <c r="W97" s="474"/>
      <c r="X97" s="3"/>
      <c r="Y97" s="3"/>
      <c r="Z97" s="3"/>
      <c r="AA97" s="3"/>
    </row>
    <row r="98" spans="1:27" ht="39.75" customHeight="1">
      <c r="A98" s="736"/>
      <c r="B98" s="736"/>
      <c r="C98" s="736"/>
      <c r="D98" s="829">
        <v>91</v>
      </c>
      <c r="E98" s="829" t="s">
        <v>192</v>
      </c>
      <c r="F98" s="855"/>
      <c r="G98" s="855"/>
      <c r="H98" s="855"/>
      <c r="I98" s="855"/>
      <c r="J98" s="855"/>
      <c r="K98" s="857">
        <v>0</v>
      </c>
      <c r="L98" s="855"/>
      <c r="M98" s="855"/>
      <c r="N98" s="855"/>
      <c r="O98" s="855"/>
      <c r="P98" s="953">
        <v>0</v>
      </c>
      <c r="Q98" s="855"/>
      <c r="R98" s="855"/>
      <c r="S98" s="939"/>
      <c r="T98" s="847">
        <f t="shared" si="0"/>
        <v>0</v>
      </c>
      <c r="U98" s="952">
        <v>0</v>
      </c>
      <c r="V98" s="1211"/>
      <c r="W98" s="475"/>
      <c r="X98" s="3"/>
      <c r="Y98" s="3"/>
      <c r="Z98" s="3"/>
      <c r="AA98" s="3"/>
    </row>
    <row r="99" spans="1:27" ht="39.75" customHeight="1">
      <c r="A99" s="736"/>
      <c r="B99" s="736"/>
      <c r="C99" s="736"/>
      <c r="D99" s="829">
        <v>92</v>
      </c>
      <c r="E99" s="829" t="s">
        <v>193</v>
      </c>
      <c r="F99" s="855"/>
      <c r="G99" s="855"/>
      <c r="H99" s="855"/>
      <c r="I99" s="855"/>
      <c r="J99" s="855"/>
      <c r="K99" s="855"/>
      <c r="L99" s="855"/>
      <c r="M99" s="855"/>
      <c r="N99" s="855"/>
      <c r="O99" s="855"/>
      <c r="P99" s="953">
        <v>2</v>
      </c>
      <c r="Q99" s="855"/>
      <c r="R99" s="855"/>
      <c r="S99" s="939"/>
      <c r="T99" s="847">
        <f t="shared" si="0"/>
        <v>2</v>
      </c>
      <c r="U99" s="952">
        <v>2</v>
      </c>
      <c r="V99" s="1212" t="s">
        <v>560</v>
      </c>
      <c r="W99" s="476" t="s">
        <v>560</v>
      </c>
      <c r="X99" s="3"/>
      <c r="Y99" s="3"/>
      <c r="Z99" s="3"/>
      <c r="AA99" s="3"/>
    </row>
    <row r="100" spans="1:27" ht="39.75" customHeight="1">
      <c r="A100" s="736"/>
      <c r="B100" s="736"/>
      <c r="C100" s="736"/>
      <c r="D100" s="829">
        <v>93</v>
      </c>
      <c r="E100" s="829" t="s">
        <v>195</v>
      </c>
      <c r="F100" s="855"/>
      <c r="G100" s="855"/>
      <c r="H100" s="855"/>
      <c r="I100" s="954"/>
      <c r="J100" s="855"/>
      <c r="K100" s="855"/>
      <c r="L100" s="855"/>
      <c r="M100" s="855"/>
      <c r="N100" s="855"/>
      <c r="O100" s="855"/>
      <c r="P100" s="855"/>
      <c r="Q100" s="855"/>
      <c r="R100" s="855"/>
      <c r="S100" s="939"/>
      <c r="T100" s="847">
        <f t="shared" si="0"/>
        <v>0</v>
      </c>
      <c r="U100" s="952">
        <v>0</v>
      </c>
      <c r="V100" s="1211"/>
      <c r="W100" s="475"/>
      <c r="X100" s="3"/>
      <c r="Y100" s="3"/>
      <c r="Z100" s="3"/>
      <c r="AA100" s="3"/>
    </row>
    <row r="101" spans="1:27" ht="39.75" customHeight="1">
      <c r="A101" s="736"/>
      <c r="B101" s="736"/>
      <c r="C101" s="736"/>
      <c r="D101" s="829">
        <v>94</v>
      </c>
      <c r="E101" s="829" t="s">
        <v>196</v>
      </c>
      <c r="F101" s="855"/>
      <c r="G101" s="855"/>
      <c r="H101" s="855"/>
      <c r="I101" s="954"/>
      <c r="J101" s="855"/>
      <c r="K101" s="855"/>
      <c r="L101" s="855"/>
      <c r="M101" s="855"/>
      <c r="N101" s="855"/>
      <c r="O101" s="855"/>
      <c r="P101" s="855"/>
      <c r="Q101" s="855"/>
      <c r="R101" s="855"/>
      <c r="S101" s="939"/>
      <c r="T101" s="847">
        <f t="shared" si="0"/>
        <v>0</v>
      </c>
      <c r="U101" s="952">
        <v>0</v>
      </c>
      <c r="V101" s="1212"/>
      <c r="W101" s="476"/>
      <c r="X101" s="3"/>
      <c r="Y101" s="3"/>
      <c r="Z101" s="3"/>
      <c r="AA101" s="3"/>
    </row>
    <row r="102" spans="1:27" ht="90">
      <c r="A102" s="736"/>
      <c r="B102" s="736"/>
      <c r="C102" s="736"/>
      <c r="D102" s="829">
        <v>95</v>
      </c>
      <c r="E102" s="829" t="s">
        <v>197</v>
      </c>
      <c r="F102" s="855"/>
      <c r="G102" s="855"/>
      <c r="H102" s="954"/>
      <c r="I102" s="857">
        <v>6</v>
      </c>
      <c r="J102" s="855"/>
      <c r="K102" s="855"/>
      <c r="L102" s="855"/>
      <c r="M102" s="855"/>
      <c r="N102" s="855"/>
      <c r="O102" s="855"/>
      <c r="P102" s="855"/>
      <c r="Q102" s="855"/>
      <c r="R102" s="855"/>
      <c r="S102" s="939"/>
      <c r="T102" s="847">
        <f t="shared" si="0"/>
        <v>6</v>
      </c>
      <c r="U102" s="952">
        <v>1</v>
      </c>
      <c r="V102" s="1196" t="s">
        <v>781</v>
      </c>
      <c r="W102" s="474" t="s">
        <v>782</v>
      </c>
      <c r="X102" s="3"/>
      <c r="Y102" s="3"/>
      <c r="Z102" s="3"/>
      <c r="AA102" s="3"/>
    </row>
    <row r="103" spans="1:27" ht="195">
      <c r="A103" s="736"/>
      <c r="B103" s="736"/>
      <c r="C103" s="736"/>
      <c r="D103" s="829">
        <v>96</v>
      </c>
      <c r="E103" s="829" t="s">
        <v>199</v>
      </c>
      <c r="F103" s="855"/>
      <c r="G103" s="855"/>
      <c r="H103" s="855"/>
      <c r="I103" s="855"/>
      <c r="J103" s="855"/>
      <c r="K103" s="855"/>
      <c r="L103" s="855"/>
      <c r="M103" s="855"/>
      <c r="N103" s="857">
        <v>0</v>
      </c>
      <c r="O103" s="855"/>
      <c r="P103" s="856">
        <v>2</v>
      </c>
      <c r="Q103" s="857">
        <v>1</v>
      </c>
      <c r="R103" s="953">
        <v>1</v>
      </c>
      <c r="S103" s="939"/>
      <c r="T103" s="847">
        <f t="shared" si="0"/>
        <v>4</v>
      </c>
      <c r="U103" s="952">
        <v>4</v>
      </c>
      <c r="V103" s="1196" t="s">
        <v>200</v>
      </c>
      <c r="W103" s="474" t="s">
        <v>200</v>
      </c>
      <c r="X103" s="3"/>
      <c r="Y103" s="3"/>
      <c r="Z103" s="3"/>
      <c r="AA103" s="3"/>
    </row>
    <row r="104" spans="1:27" ht="195">
      <c r="A104" s="736"/>
      <c r="B104" s="828" t="s">
        <v>201</v>
      </c>
      <c r="C104" s="828" t="s">
        <v>202</v>
      </c>
      <c r="D104" s="829">
        <v>97</v>
      </c>
      <c r="E104" s="829" t="s">
        <v>203</v>
      </c>
      <c r="F104" s="1045"/>
      <c r="G104" s="1045"/>
      <c r="H104" s="1045"/>
      <c r="I104" s="1046">
        <v>1</v>
      </c>
      <c r="J104" s="1045"/>
      <c r="K104" s="1046"/>
      <c r="L104" s="1045"/>
      <c r="M104" s="1046"/>
      <c r="N104" s="1046">
        <v>3.75</v>
      </c>
      <c r="O104" s="1045">
        <v>4.5999999999999996</v>
      </c>
      <c r="P104" s="1047">
        <v>15.85</v>
      </c>
      <c r="Q104" s="1046">
        <v>2.5</v>
      </c>
      <c r="R104" s="1047">
        <v>12</v>
      </c>
      <c r="S104" s="1045"/>
      <c r="T104" s="1048">
        <v>39.700000000000003</v>
      </c>
      <c r="U104" s="1048">
        <v>39.700000000000003</v>
      </c>
      <c r="V104" s="1051" t="s">
        <v>204</v>
      </c>
      <c r="W104" s="809"/>
      <c r="X104" s="3"/>
      <c r="Y104" s="3"/>
      <c r="Z104" s="3"/>
      <c r="AA104" s="3"/>
    </row>
    <row r="105" spans="1:27" ht="39.75" customHeight="1">
      <c r="A105" s="736"/>
      <c r="B105" s="736"/>
      <c r="C105" s="736"/>
      <c r="D105" s="829">
        <v>98</v>
      </c>
      <c r="E105" s="829" t="s">
        <v>53</v>
      </c>
      <c r="F105" s="1049"/>
      <c r="G105" s="1049"/>
      <c r="H105" s="1049"/>
      <c r="I105" s="1049"/>
      <c r="J105" s="1049"/>
      <c r="K105" s="1049"/>
      <c r="L105" s="1049"/>
      <c r="M105" s="1049"/>
      <c r="N105" s="1049"/>
      <c r="O105" s="1049"/>
      <c r="P105" s="1049"/>
      <c r="Q105" s="1049"/>
      <c r="R105" s="1049"/>
      <c r="S105" s="1049"/>
      <c r="T105" s="1048">
        <v>0</v>
      </c>
      <c r="U105" s="1048">
        <v>0</v>
      </c>
      <c r="V105" s="1208"/>
      <c r="W105" s="810"/>
      <c r="X105" s="3"/>
      <c r="Y105" s="3"/>
      <c r="Z105" s="3"/>
      <c r="AA105" s="3"/>
    </row>
    <row r="106" spans="1:27" ht="39.75" customHeight="1">
      <c r="A106" s="736"/>
      <c r="B106" s="828" t="s">
        <v>205</v>
      </c>
      <c r="C106" s="828" t="s">
        <v>206</v>
      </c>
      <c r="D106" s="829">
        <v>99</v>
      </c>
      <c r="E106" s="829" t="s">
        <v>207</v>
      </c>
      <c r="F106" s="1049"/>
      <c r="G106" s="1049"/>
      <c r="H106" s="1050"/>
      <c r="I106" s="1048">
        <v>2</v>
      </c>
      <c r="J106" s="1049"/>
      <c r="K106" s="1048"/>
      <c r="L106" s="1049"/>
      <c r="M106" s="1049"/>
      <c r="N106" s="1048">
        <v>1</v>
      </c>
      <c r="O106" s="1049"/>
      <c r="P106" s="1049"/>
      <c r="Q106" s="1048">
        <v>1</v>
      </c>
      <c r="R106" s="1049"/>
      <c r="S106" s="1049"/>
      <c r="T106" s="1048">
        <v>4</v>
      </c>
      <c r="U106" s="1048">
        <v>3</v>
      </c>
      <c r="V106" s="1051" t="s">
        <v>625</v>
      </c>
      <c r="W106" s="518" t="s">
        <v>429</v>
      </c>
      <c r="X106" s="3"/>
      <c r="Y106" s="3"/>
      <c r="Z106" s="3"/>
      <c r="AA106" s="3"/>
    </row>
    <row r="107" spans="1:27" ht="39.75" customHeight="1">
      <c r="A107" s="736"/>
      <c r="B107" s="736"/>
      <c r="C107" s="736"/>
      <c r="D107" s="829">
        <v>100</v>
      </c>
      <c r="E107" s="829" t="s">
        <v>209</v>
      </c>
      <c r="F107" s="1049"/>
      <c r="G107" s="1049"/>
      <c r="H107" s="1049"/>
      <c r="I107" s="1048"/>
      <c r="J107" s="1049"/>
      <c r="K107" s="1048"/>
      <c r="L107" s="1049"/>
      <c r="M107" s="1049"/>
      <c r="N107" s="1049"/>
      <c r="O107" s="1049"/>
      <c r="P107" s="1049"/>
      <c r="Q107" s="1049"/>
      <c r="R107" s="1049"/>
      <c r="S107" s="1049"/>
      <c r="T107" s="1048">
        <v>0</v>
      </c>
      <c r="U107" s="1048">
        <v>0</v>
      </c>
      <c r="V107" s="1051"/>
      <c r="W107" s="810"/>
      <c r="X107" s="3"/>
      <c r="Y107" s="3"/>
      <c r="Z107" s="3"/>
      <c r="AA107" s="3"/>
    </row>
    <row r="108" spans="1:27" ht="39.75" customHeight="1">
      <c r="A108" s="736"/>
      <c r="B108" s="736"/>
      <c r="C108" s="736"/>
      <c r="D108" s="829">
        <v>101</v>
      </c>
      <c r="E108" s="829" t="s">
        <v>210</v>
      </c>
      <c r="F108" s="1049"/>
      <c r="G108" s="1049"/>
      <c r="H108" s="1049"/>
      <c r="I108" s="1049"/>
      <c r="J108" s="1049"/>
      <c r="K108" s="1049"/>
      <c r="L108" s="1049"/>
      <c r="M108" s="1049"/>
      <c r="N108" s="1049"/>
      <c r="O108" s="1049"/>
      <c r="P108" s="1049"/>
      <c r="Q108" s="1049"/>
      <c r="R108" s="1049"/>
      <c r="S108" s="1049"/>
      <c r="T108" s="1048">
        <v>0</v>
      </c>
      <c r="U108" s="1048">
        <v>0</v>
      </c>
      <c r="V108" s="1208"/>
      <c r="W108" s="810"/>
      <c r="X108" s="3"/>
      <c r="Y108" s="3"/>
      <c r="Z108" s="3"/>
      <c r="AA108" s="3"/>
    </row>
    <row r="109" spans="1:27" ht="39.75" customHeight="1">
      <c r="A109" s="736"/>
      <c r="B109" s="736"/>
      <c r="C109" s="736"/>
      <c r="D109" s="829">
        <v>102</v>
      </c>
      <c r="E109" s="829" t="s">
        <v>211</v>
      </c>
      <c r="F109" s="1049"/>
      <c r="G109" s="1049"/>
      <c r="H109" s="1049"/>
      <c r="I109" s="1049"/>
      <c r="J109" s="1049"/>
      <c r="K109" s="1049"/>
      <c r="L109" s="1049"/>
      <c r="M109" s="1049"/>
      <c r="N109" s="1049"/>
      <c r="O109" s="1049"/>
      <c r="P109" s="1049"/>
      <c r="Q109" s="1048"/>
      <c r="R109" s="1049"/>
      <c r="S109" s="1049"/>
      <c r="T109" s="1048">
        <v>0</v>
      </c>
      <c r="U109" s="1048">
        <v>0</v>
      </c>
      <c r="V109" s="1208"/>
      <c r="W109" s="810"/>
      <c r="X109" s="3"/>
      <c r="Y109" s="3"/>
      <c r="Z109" s="3"/>
      <c r="AA109" s="3"/>
    </row>
    <row r="110" spans="1:27" ht="45">
      <c r="A110" s="736"/>
      <c r="B110" s="736"/>
      <c r="C110" s="736"/>
      <c r="D110" s="829">
        <v>103</v>
      </c>
      <c r="E110" s="829" t="s">
        <v>53</v>
      </c>
      <c r="F110" s="1049"/>
      <c r="G110" s="1049"/>
      <c r="H110" s="1049"/>
      <c r="I110" s="1049"/>
      <c r="J110" s="1049"/>
      <c r="K110" s="1049"/>
      <c r="L110" s="1049"/>
      <c r="M110" s="1049"/>
      <c r="N110" s="1049"/>
      <c r="O110" s="1049"/>
      <c r="P110" s="1050">
        <v>8.6999999999999993</v>
      </c>
      <c r="Q110" s="1049"/>
      <c r="R110" s="1050">
        <v>0</v>
      </c>
      <c r="S110" s="1050"/>
      <c r="T110" s="1048">
        <v>8.6999999999999993</v>
      </c>
      <c r="U110" s="1048">
        <v>8.6999999999999993</v>
      </c>
      <c r="V110" s="1051" t="s">
        <v>212</v>
      </c>
      <c r="W110" s="810"/>
      <c r="X110" s="3"/>
      <c r="Y110" s="3"/>
      <c r="Z110" s="3"/>
      <c r="AA110" s="3"/>
    </row>
    <row r="111" spans="1:27" ht="285">
      <c r="A111" s="736"/>
      <c r="B111" s="828" t="s">
        <v>213</v>
      </c>
      <c r="C111" s="828" t="s">
        <v>214</v>
      </c>
      <c r="D111" s="829">
        <v>104</v>
      </c>
      <c r="E111" s="829" t="s">
        <v>215</v>
      </c>
      <c r="F111" s="1051"/>
      <c r="G111" s="1051"/>
      <c r="H111" s="1051"/>
      <c r="I111" s="1051"/>
      <c r="J111" s="1051"/>
      <c r="K111" s="1051"/>
      <c r="L111" s="1051"/>
      <c r="M111" s="1051"/>
      <c r="N111" s="1047">
        <v>0.8</v>
      </c>
      <c r="O111" s="1051"/>
      <c r="P111" s="1047"/>
      <c r="Q111" s="1047">
        <v>1.5</v>
      </c>
      <c r="R111" s="1052">
        <v>1.5</v>
      </c>
      <c r="S111" s="1052"/>
      <c r="T111" s="1048">
        <v>3.8</v>
      </c>
      <c r="U111" s="1048">
        <v>3.8</v>
      </c>
      <c r="V111" s="1051" t="s">
        <v>1841</v>
      </c>
      <c r="W111" s="810"/>
      <c r="X111" s="3"/>
      <c r="Y111" s="3"/>
      <c r="Z111" s="3"/>
      <c r="AA111" s="3"/>
    </row>
    <row r="112" spans="1:27" ht="75">
      <c r="A112" s="736"/>
      <c r="B112" s="736"/>
      <c r="C112" s="736"/>
      <c r="D112" s="829">
        <v>105</v>
      </c>
      <c r="E112" s="829" t="s">
        <v>216</v>
      </c>
      <c r="F112" s="1051"/>
      <c r="G112" s="1051"/>
      <c r="H112" s="1051"/>
      <c r="I112" s="1051"/>
      <c r="J112" s="1051"/>
      <c r="K112" s="1051"/>
      <c r="L112" s="1051"/>
      <c r="M112" s="1051"/>
      <c r="N112" s="1051"/>
      <c r="O112" s="1051"/>
      <c r="P112" s="1053">
        <v>2</v>
      </c>
      <c r="Q112" s="1051"/>
      <c r="R112" s="1051"/>
      <c r="S112" s="1051"/>
      <c r="T112" s="1048">
        <v>2</v>
      </c>
      <c r="U112" s="1048">
        <v>2</v>
      </c>
      <c r="V112" s="1208" t="s">
        <v>217</v>
      </c>
      <c r="W112" s="810"/>
      <c r="X112" s="3"/>
      <c r="Y112" s="3"/>
      <c r="Z112" s="3"/>
      <c r="AA112" s="3"/>
    </row>
    <row r="113" spans="1:27" ht="60">
      <c r="A113" s="736"/>
      <c r="B113" s="736"/>
      <c r="C113" s="736"/>
      <c r="D113" s="829">
        <v>106</v>
      </c>
      <c r="E113" s="829" t="s">
        <v>218</v>
      </c>
      <c r="F113" s="1051"/>
      <c r="G113" s="1051"/>
      <c r="H113" s="1051"/>
      <c r="I113" s="1046"/>
      <c r="J113" s="1051"/>
      <c r="K113" s="1054"/>
      <c r="L113" s="1051"/>
      <c r="M113" s="1051"/>
      <c r="N113" s="1055">
        <v>0.2</v>
      </c>
      <c r="O113" s="1051"/>
      <c r="P113" s="1052"/>
      <c r="Q113" s="1051"/>
      <c r="R113" s="1051"/>
      <c r="S113" s="1052"/>
      <c r="T113" s="1048">
        <v>0.2</v>
      </c>
      <c r="U113" s="1048">
        <v>0.2</v>
      </c>
      <c r="V113" s="1051" t="s">
        <v>219</v>
      </c>
      <c r="W113" s="810"/>
      <c r="X113" s="3"/>
      <c r="Y113" s="3"/>
      <c r="Z113" s="3"/>
      <c r="AA113" s="3"/>
    </row>
    <row r="114" spans="1:27" ht="75">
      <c r="A114" s="736"/>
      <c r="B114" s="828" t="s">
        <v>220</v>
      </c>
      <c r="C114" s="828" t="s">
        <v>221</v>
      </c>
      <c r="D114" s="829">
        <v>107</v>
      </c>
      <c r="E114" s="829" t="s">
        <v>222</v>
      </c>
      <c r="F114" s="1049"/>
      <c r="G114" s="1049"/>
      <c r="H114" s="1049"/>
      <c r="I114" s="1048"/>
      <c r="J114" s="1049"/>
      <c r="K114" s="1048"/>
      <c r="L114" s="1049"/>
      <c r="M114" s="1049"/>
      <c r="N114" s="1048"/>
      <c r="O114" s="1049"/>
      <c r="P114" s="1047">
        <v>2.5</v>
      </c>
      <c r="Q114" s="1045"/>
      <c r="R114" s="1047">
        <v>1</v>
      </c>
      <c r="S114" s="1049"/>
      <c r="T114" s="1048">
        <v>3.5</v>
      </c>
      <c r="U114" s="1048">
        <v>3.5</v>
      </c>
      <c r="V114" s="1051" t="s">
        <v>223</v>
      </c>
      <c r="W114" s="810"/>
      <c r="X114" s="3"/>
      <c r="Y114" s="3"/>
      <c r="Z114" s="3"/>
      <c r="AA114" s="3"/>
    </row>
    <row r="115" spans="1:27" ht="39.75" customHeight="1">
      <c r="A115" s="736"/>
      <c r="B115" s="736"/>
      <c r="C115" s="736"/>
      <c r="D115" s="829">
        <v>108</v>
      </c>
      <c r="E115" s="829" t="s">
        <v>224</v>
      </c>
      <c r="F115" s="1049"/>
      <c r="G115" s="1049"/>
      <c r="H115" s="1049"/>
      <c r="I115" s="1048"/>
      <c r="J115" s="1049"/>
      <c r="K115" s="1048"/>
      <c r="L115" s="1049"/>
      <c r="M115" s="1049"/>
      <c r="N115" s="1048"/>
      <c r="O115" s="1049"/>
      <c r="P115" s="1050">
        <v>6</v>
      </c>
      <c r="Q115" s="1049"/>
      <c r="R115" s="1050"/>
      <c r="S115" s="1049"/>
      <c r="T115" s="1048">
        <v>6</v>
      </c>
      <c r="U115" s="1048">
        <v>6</v>
      </c>
      <c r="V115" s="1051" t="s">
        <v>225</v>
      </c>
      <c r="W115" s="810"/>
      <c r="X115" s="3"/>
      <c r="Y115" s="3"/>
      <c r="Z115" s="3"/>
      <c r="AA115" s="3"/>
    </row>
    <row r="116" spans="1:27" ht="39.75" customHeight="1">
      <c r="A116" s="736"/>
      <c r="B116" s="736"/>
      <c r="C116" s="736"/>
      <c r="D116" s="829">
        <v>109</v>
      </c>
      <c r="E116" s="829" t="s">
        <v>226</v>
      </c>
      <c r="F116" s="1049"/>
      <c r="G116" s="1049"/>
      <c r="H116" s="1049"/>
      <c r="I116" s="1048"/>
      <c r="J116" s="1049"/>
      <c r="K116" s="1048"/>
      <c r="L116" s="1049"/>
      <c r="M116" s="1049"/>
      <c r="N116" s="1049"/>
      <c r="O116" s="1049"/>
      <c r="P116" s="1050"/>
      <c r="Q116" s="1049"/>
      <c r="R116" s="1049"/>
      <c r="S116" s="1049"/>
      <c r="T116" s="1048">
        <v>0</v>
      </c>
      <c r="U116" s="1048">
        <v>0</v>
      </c>
      <c r="V116" s="1208"/>
      <c r="W116" s="810"/>
      <c r="X116" s="3"/>
      <c r="Y116" s="3"/>
      <c r="Z116" s="3"/>
      <c r="AA116" s="3"/>
    </row>
    <row r="117" spans="1:27" ht="150">
      <c r="A117" s="736"/>
      <c r="B117" s="736"/>
      <c r="C117" s="736"/>
      <c r="D117" s="829">
        <v>110</v>
      </c>
      <c r="E117" s="829" t="s">
        <v>227</v>
      </c>
      <c r="F117" s="1049"/>
      <c r="G117" s="1049"/>
      <c r="H117" s="1050"/>
      <c r="I117" s="1048"/>
      <c r="J117" s="1049"/>
      <c r="K117" s="1048"/>
      <c r="L117" s="1049"/>
      <c r="M117" s="1049"/>
      <c r="N117" s="1048">
        <v>3</v>
      </c>
      <c r="O117" s="1050">
        <v>60.69</v>
      </c>
      <c r="P117" s="1048"/>
      <c r="Q117" s="1050">
        <v>5.98</v>
      </c>
      <c r="R117" s="1050">
        <v>3</v>
      </c>
      <c r="S117" s="1049"/>
      <c r="T117" s="847">
        <f>SUM(F117:S117)</f>
        <v>72.67</v>
      </c>
      <c r="U117" s="1048">
        <f>T117</f>
        <v>72.67</v>
      </c>
      <c r="V117" s="1208" t="s">
        <v>783</v>
      </c>
      <c r="W117" s="810"/>
      <c r="X117" s="3"/>
      <c r="Y117" s="3"/>
      <c r="Z117" s="3"/>
      <c r="AA117" s="3"/>
    </row>
    <row r="118" spans="1:27" ht="39.75" customHeight="1">
      <c r="A118" s="736"/>
      <c r="B118" s="736"/>
      <c r="C118" s="736"/>
      <c r="D118" s="829">
        <v>111</v>
      </c>
      <c r="E118" s="829" t="s">
        <v>53</v>
      </c>
      <c r="F118" s="1049"/>
      <c r="G118" s="1049"/>
      <c r="H118" s="1049"/>
      <c r="I118" s="1048"/>
      <c r="J118" s="1049"/>
      <c r="K118" s="1048"/>
      <c r="L118" s="1049"/>
      <c r="M118" s="1050"/>
      <c r="N118" s="1048"/>
      <c r="O118" s="1050"/>
      <c r="P118" s="1048"/>
      <c r="Q118" s="1050"/>
      <c r="R118" s="1050"/>
      <c r="S118" s="1050"/>
      <c r="T118" s="1048">
        <v>0</v>
      </c>
      <c r="U118" s="1048">
        <v>0</v>
      </c>
      <c r="V118" s="1051"/>
      <c r="W118" s="810"/>
      <c r="X118" s="3"/>
      <c r="Y118" s="3"/>
      <c r="Z118" s="3"/>
      <c r="AA118" s="3"/>
    </row>
    <row r="119" spans="1:27" ht="39.75" customHeight="1">
      <c r="A119" s="736"/>
      <c r="B119" s="828" t="s">
        <v>229</v>
      </c>
      <c r="C119" s="828" t="s">
        <v>230</v>
      </c>
      <c r="D119" s="829">
        <v>112</v>
      </c>
      <c r="E119" s="829" t="s">
        <v>231</v>
      </c>
      <c r="F119" s="1049"/>
      <c r="G119" s="1049"/>
      <c r="H119" s="1049"/>
      <c r="I119" s="1050"/>
      <c r="J119" s="1049"/>
      <c r="K119" s="1050"/>
      <c r="L119" s="1049"/>
      <c r="M119" s="1049"/>
      <c r="N119" s="1049"/>
      <c r="O119" s="1049"/>
      <c r="P119" s="1050"/>
      <c r="Q119" s="1048"/>
      <c r="R119" s="1049"/>
      <c r="S119" s="1049"/>
      <c r="T119" s="1048">
        <v>0</v>
      </c>
      <c r="U119" s="1048">
        <v>0</v>
      </c>
      <c r="V119" s="1208"/>
      <c r="W119" s="810"/>
      <c r="X119" s="3"/>
      <c r="Y119" s="3"/>
      <c r="Z119" s="3"/>
      <c r="AA119" s="3"/>
    </row>
    <row r="120" spans="1:27" ht="39.75" customHeight="1">
      <c r="A120" s="736"/>
      <c r="B120" s="736"/>
      <c r="C120" s="736"/>
      <c r="D120" s="829">
        <v>113</v>
      </c>
      <c r="E120" s="829" t="s">
        <v>232</v>
      </c>
      <c r="F120" s="1045"/>
      <c r="G120" s="1045"/>
      <c r="H120" s="1045"/>
      <c r="I120" s="1046"/>
      <c r="J120" s="1045"/>
      <c r="K120" s="1046"/>
      <c r="L120" s="1045"/>
      <c r="M120" s="1046"/>
      <c r="N120" s="1046">
        <v>0.5</v>
      </c>
      <c r="O120" s="1045"/>
      <c r="P120" s="1045"/>
      <c r="Q120" s="1046">
        <v>0.3</v>
      </c>
      <c r="R120" s="1045"/>
      <c r="S120" s="1045"/>
      <c r="T120" s="1048">
        <v>0.8</v>
      </c>
      <c r="U120" s="1048">
        <v>0.8</v>
      </c>
      <c r="V120" s="1051" t="s">
        <v>676</v>
      </c>
      <c r="W120" s="810"/>
      <c r="X120" s="3"/>
      <c r="Y120" s="3"/>
      <c r="Z120" s="3"/>
      <c r="AA120" s="3"/>
    </row>
    <row r="121" spans="1:27" ht="82.5" customHeight="1">
      <c r="A121" s="736"/>
      <c r="B121" s="829" t="s">
        <v>234</v>
      </c>
      <c r="C121" s="829" t="s">
        <v>235</v>
      </c>
      <c r="D121" s="829">
        <v>114</v>
      </c>
      <c r="E121" s="829" t="s">
        <v>236</v>
      </c>
      <c r="F121" s="1049"/>
      <c r="G121" s="1049"/>
      <c r="H121" s="1050"/>
      <c r="I121" s="1049">
        <v>0.14000000000000001</v>
      </c>
      <c r="J121" s="1049"/>
      <c r="K121" s="1049"/>
      <c r="L121" s="1049"/>
      <c r="M121" s="1049"/>
      <c r="N121" s="1050">
        <v>0.5</v>
      </c>
      <c r="O121" s="1049"/>
      <c r="P121" s="1050">
        <v>2.9</v>
      </c>
      <c r="Q121" s="1048">
        <v>0.5</v>
      </c>
      <c r="R121" s="1050">
        <v>0.5</v>
      </c>
      <c r="S121" s="1050">
        <v>0</v>
      </c>
      <c r="T121" s="1048">
        <v>4.54</v>
      </c>
      <c r="U121" s="1048">
        <v>16.54</v>
      </c>
      <c r="V121" s="1051" t="s">
        <v>784</v>
      </c>
      <c r="W121" s="810"/>
      <c r="X121" s="3"/>
      <c r="Y121" s="3"/>
      <c r="Z121" s="3"/>
      <c r="AA121" s="3"/>
    </row>
    <row r="122" spans="1:27" ht="90">
      <c r="A122" s="736"/>
      <c r="B122" s="828" t="s">
        <v>238</v>
      </c>
      <c r="C122" s="828" t="s">
        <v>239</v>
      </c>
      <c r="D122" s="829">
        <v>115</v>
      </c>
      <c r="E122" s="829" t="s">
        <v>240</v>
      </c>
      <c r="F122" s="1049"/>
      <c r="G122" s="1049"/>
      <c r="H122" s="1049"/>
      <c r="I122" s="1049"/>
      <c r="J122" s="1049"/>
      <c r="K122" s="1049"/>
      <c r="L122" s="1049"/>
      <c r="M122" s="1048">
        <v>3</v>
      </c>
      <c r="N122" s="1049"/>
      <c r="O122" s="1049"/>
      <c r="P122" s="1049"/>
      <c r="Q122" s="1049">
        <v>7.25</v>
      </c>
      <c r="R122" s="1049"/>
      <c r="S122" s="1049"/>
      <c r="T122" s="1048">
        <v>10.25</v>
      </c>
      <c r="U122" s="1048">
        <v>10.25</v>
      </c>
      <c r="V122" s="1051" t="s">
        <v>785</v>
      </c>
      <c r="W122" s="810"/>
      <c r="X122" s="3"/>
      <c r="Y122" s="3"/>
      <c r="Z122" s="3"/>
      <c r="AA122" s="3"/>
    </row>
    <row r="123" spans="1:27" ht="39.75" customHeight="1">
      <c r="A123" s="736"/>
      <c r="B123" s="736"/>
      <c r="C123" s="736"/>
      <c r="D123" s="829">
        <v>116</v>
      </c>
      <c r="E123" s="829" t="s">
        <v>242</v>
      </c>
      <c r="F123" s="1049"/>
      <c r="G123" s="1049"/>
      <c r="H123" s="1049"/>
      <c r="I123" s="1049"/>
      <c r="J123" s="1049"/>
      <c r="K123" s="1049"/>
      <c r="L123" s="1049"/>
      <c r="M123" s="1048">
        <v>8.65</v>
      </c>
      <c r="N123" s="1049"/>
      <c r="O123" s="1049"/>
      <c r="P123" s="1049"/>
      <c r="Q123" s="1048"/>
      <c r="R123" s="1049"/>
      <c r="S123" s="1049"/>
      <c r="T123" s="1048">
        <v>8.65</v>
      </c>
      <c r="U123" s="1048">
        <v>8.65</v>
      </c>
      <c r="V123" s="1051" t="s">
        <v>243</v>
      </c>
      <c r="W123" s="810"/>
      <c r="X123" s="3"/>
      <c r="Y123" s="3"/>
      <c r="Z123" s="3"/>
      <c r="AA123" s="3"/>
    </row>
    <row r="124" spans="1:27" ht="39.75" customHeight="1">
      <c r="A124" s="736"/>
      <c r="B124" s="736"/>
      <c r="C124" s="736"/>
      <c r="D124" s="829">
        <v>117</v>
      </c>
      <c r="E124" s="829" t="s">
        <v>244</v>
      </c>
      <c r="F124" s="1049"/>
      <c r="G124" s="1049"/>
      <c r="H124" s="1049"/>
      <c r="I124" s="1049"/>
      <c r="J124" s="1049"/>
      <c r="K124" s="1049"/>
      <c r="L124" s="1049"/>
      <c r="M124" s="1049"/>
      <c r="N124" s="1049"/>
      <c r="O124" s="1049"/>
      <c r="P124" s="1049"/>
      <c r="Q124" s="1049"/>
      <c r="R124" s="1049"/>
      <c r="S124" s="1049"/>
      <c r="T124" s="1048">
        <v>0</v>
      </c>
      <c r="U124" s="1048">
        <v>0</v>
      </c>
      <c r="V124" s="1208"/>
      <c r="W124" s="810"/>
      <c r="X124" s="3"/>
      <c r="Y124" s="3"/>
      <c r="Z124" s="3"/>
      <c r="AA124" s="3"/>
    </row>
    <row r="125" spans="1:27" ht="39.75" customHeight="1">
      <c r="A125" s="736"/>
      <c r="B125" s="736"/>
      <c r="C125" s="736"/>
      <c r="D125" s="829">
        <v>118</v>
      </c>
      <c r="E125" s="829" t="s">
        <v>53</v>
      </c>
      <c r="F125" s="1049"/>
      <c r="G125" s="1049"/>
      <c r="H125" s="1049"/>
      <c r="I125" s="1049"/>
      <c r="J125" s="1049"/>
      <c r="K125" s="1049"/>
      <c r="L125" s="1049"/>
      <c r="M125" s="1049"/>
      <c r="N125" s="1049"/>
      <c r="O125" s="1049"/>
      <c r="P125" s="1049"/>
      <c r="Q125" s="1048"/>
      <c r="R125" s="1049"/>
      <c r="S125" s="1049"/>
      <c r="T125" s="1048">
        <v>0</v>
      </c>
      <c r="U125" s="1048">
        <v>0</v>
      </c>
      <c r="V125" s="1208"/>
      <c r="W125" s="810"/>
      <c r="X125" s="3"/>
      <c r="Y125" s="3"/>
      <c r="Z125" s="3"/>
      <c r="AA125" s="3"/>
    </row>
    <row r="126" spans="1:27" ht="72.75" customHeight="1">
      <c r="A126" s="736"/>
      <c r="B126" s="829" t="s">
        <v>245</v>
      </c>
      <c r="C126" s="829" t="s">
        <v>246</v>
      </c>
      <c r="D126" s="829">
        <v>119</v>
      </c>
      <c r="E126" s="829" t="s">
        <v>247</v>
      </c>
      <c r="F126" s="1045"/>
      <c r="G126" s="1045"/>
      <c r="H126" s="1047"/>
      <c r="I126" s="1046"/>
      <c r="J126" s="1045"/>
      <c r="K126" s="1045"/>
      <c r="L126" s="1045"/>
      <c r="M126" s="1045"/>
      <c r="N126" s="1046">
        <v>2</v>
      </c>
      <c r="O126" s="1045"/>
      <c r="P126" s="1047">
        <v>8</v>
      </c>
      <c r="Q126" s="1046"/>
      <c r="R126" s="1045"/>
      <c r="S126" s="1045">
        <v>0</v>
      </c>
      <c r="T126" s="1048">
        <v>10</v>
      </c>
      <c r="U126" s="1048">
        <v>10</v>
      </c>
      <c r="V126" s="1051" t="s">
        <v>248</v>
      </c>
      <c r="W126" s="810"/>
      <c r="X126" s="3"/>
      <c r="Y126" s="3"/>
      <c r="Z126" s="3"/>
      <c r="AA126" s="3"/>
    </row>
    <row r="127" spans="1:27" ht="39.75" customHeight="1">
      <c r="A127" s="736"/>
      <c r="B127" s="829" t="s">
        <v>249</v>
      </c>
      <c r="C127" s="829" t="s">
        <v>250</v>
      </c>
      <c r="D127" s="829">
        <v>120</v>
      </c>
      <c r="E127" s="829" t="s">
        <v>251</v>
      </c>
      <c r="F127" s="1049"/>
      <c r="G127" s="1049"/>
      <c r="H127" s="1049"/>
      <c r="I127" s="1049"/>
      <c r="J127" s="1049"/>
      <c r="K127" s="1050"/>
      <c r="L127" s="1049"/>
      <c r="M127" s="1050"/>
      <c r="N127" s="1048"/>
      <c r="O127" s="1049"/>
      <c r="P127" s="1050"/>
      <c r="Q127" s="1048"/>
      <c r="R127" s="1050"/>
      <c r="S127" s="1049"/>
      <c r="T127" s="1048">
        <v>0</v>
      </c>
      <c r="U127" s="1048">
        <v>0</v>
      </c>
      <c r="V127" s="1208"/>
      <c r="W127" s="810"/>
      <c r="X127" s="3"/>
      <c r="Y127" s="3"/>
      <c r="Z127" s="3"/>
      <c r="AA127" s="3"/>
    </row>
    <row r="128" spans="1:27" ht="195">
      <c r="A128" s="736"/>
      <c r="B128" s="828" t="s">
        <v>252</v>
      </c>
      <c r="C128" s="828" t="s">
        <v>253</v>
      </c>
      <c r="D128" s="829">
        <v>121</v>
      </c>
      <c r="E128" s="829" t="s">
        <v>254</v>
      </c>
      <c r="F128" s="940">
        <v>0</v>
      </c>
      <c r="G128" s="940">
        <v>0</v>
      </c>
      <c r="H128" s="940">
        <v>0</v>
      </c>
      <c r="I128" s="952">
        <v>0</v>
      </c>
      <c r="J128" s="940">
        <v>0</v>
      </c>
      <c r="K128" s="940">
        <v>0</v>
      </c>
      <c r="L128" s="940">
        <v>0</v>
      </c>
      <c r="M128" s="940">
        <v>0</v>
      </c>
      <c r="N128" s="940">
        <v>0.48</v>
      </c>
      <c r="O128" s="940">
        <v>0</v>
      </c>
      <c r="P128" s="940">
        <v>0</v>
      </c>
      <c r="Q128" s="940">
        <v>0</v>
      </c>
      <c r="R128" s="940">
        <v>0</v>
      </c>
      <c r="S128" s="940">
        <v>0</v>
      </c>
      <c r="T128" s="847">
        <f t="shared" ref="T128:T130" si="11">SUM(F128:S128)</f>
        <v>0.48</v>
      </c>
      <c r="U128" s="952">
        <v>0.96</v>
      </c>
      <c r="V128" s="1051" t="s">
        <v>1686</v>
      </c>
      <c r="W128" s="1213"/>
      <c r="X128" s="3"/>
      <c r="Y128" s="3"/>
      <c r="Z128" s="3"/>
      <c r="AA128" s="3"/>
    </row>
    <row r="129" spans="1:27" ht="39.75" customHeight="1">
      <c r="A129" s="736"/>
      <c r="B129" s="736"/>
      <c r="C129" s="736"/>
      <c r="D129" s="829">
        <v>122</v>
      </c>
      <c r="E129" s="829" t="s">
        <v>256</v>
      </c>
      <c r="F129" s="940">
        <v>0</v>
      </c>
      <c r="G129" s="940">
        <v>0</v>
      </c>
      <c r="H129" s="940">
        <v>0</v>
      </c>
      <c r="I129" s="940">
        <v>0</v>
      </c>
      <c r="J129" s="940">
        <v>0</v>
      </c>
      <c r="K129" s="940">
        <v>0</v>
      </c>
      <c r="L129" s="940">
        <v>0</v>
      </c>
      <c r="M129" s="940">
        <v>0</v>
      </c>
      <c r="N129" s="940">
        <v>0</v>
      </c>
      <c r="O129" s="940">
        <v>0</v>
      </c>
      <c r="P129" s="940">
        <v>0</v>
      </c>
      <c r="Q129" s="940">
        <v>0</v>
      </c>
      <c r="R129" s="940">
        <v>0</v>
      </c>
      <c r="S129" s="940">
        <v>0</v>
      </c>
      <c r="T129" s="847">
        <f t="shared" si="11"/>
        <v>0</v>
      </c>
      <c r="U129" s="952">
        <v>0</v>
      </c>
      <c r="V129" s="1207"/>
      <c r="W129" s="133"/>
      <c r="X129" s="3"/>
      <c r="Y129" s="3"/>
      <c r="Z129" s="3"/>
      <c r="AA129" s="3"/>
    </row>
    <row r="130" spans="1:27" ht="105">
      <c r="A130" s="736"/>
      <c r="B130" s="736"/>
      <c r="C130" s="736"/>
      <c r="D130" s="829">
        <v>123</v>
      </c>
      <c r="E130" s="829" t="s">
        <v>257</v>
      </c>
      <c r="F130" s="940">
        <v>0</v>
      </c>
      <c r="G130" s="940">
        <v>0</v>
      </c>
      <c r="H130" s="940">
        <v>0</v>
      </c>
      <c r="I130" s="940">
        <v>0</v>
      </c>
      <c r="J130" s="940">
        <v>0</v>
      </c>
      <c r="K130" s="940">
        <v>0</v>
      </c>
      <c r="L130" s="940">
        <v>0</v>
      </c>
      <c r="M130" s="940">
        <v>0</v>
      </c>
      <c r="N130" s="940">
        <v>0</v>
      </c>
      <c r="O130" s="940">
        <v>0</v>
      </c>
      <c r="P130" s="959">
        <v>0</v>
      </c>
      <c r="Q130" s="952">
        <v>1.5</v>
      </c>
      <c r="R130" s="940">
        <v>0</v>
      </c>
      <c r="S130" s="940">
        <v>0</v>
      </c>
      <c r="T130" s="847">
        <f t="shared" si="11"/>
        <v>1.5</v>
      </c>
      <c r="U130" s="952">
        <v>1.5</v>
      </c>
      <c r="V130" s="1051" t="s">
        <v>258</v>
      </c>
      <c r="W130" s="133" t="s">
        <v>258</v>
      </c>
      <c r="X130" s="3"/>
      <c r="Y130" s="3"/>
      <c r="Z130" s="3"/>
      <c r="AA130" s="3"/>
    </row>
    <row r="131" spans="1:27" ht="39.75" customHeight="1">
      <c r="A131" s="736"/>
      <c r="B131" s="828" t="s">
        <v>259</v>
      </c>
      <c r="C131" s="828" t="s">
        <v>260</v>
      </c>
      <c r="D131" s="829">
        <v>124</v>
      </c>
      <c r="E131" s="829" t="s">
        <v>261</v>
      </c>
      <c r="F131" s="940"/>
      <c r="G131" s="940"/>
      <c r="H131" s="959"/>
      <c r="I131" s="940"/>
      <c r="J131" s="940"/>
      <c r="K131" s="940"/>
      <c r="L131" s="940"/>
      <c r="M131" s="940"/>
      <c r="N131" s="940">
        <v>1</v>
      </c>
      <c r="O131" s="940"/>
      <c r="P131" s="940"/>
      <c r="Q131" s="959">
        <v>0.5</v>
      </c>
      <c r="R131" s="940"/>
      <c r="S131" s="940"/>
      <c r="T131" s="956">
        <v>1.5</v>
      </c>
      <c r="U131" s="956">
        <v>1.5</v>
      </c>
      <c r="V131" s="1051" t="s">
        <v>1685</v>
      </c>
      <c r="W131" s="1030"/>
      <c r="X131" s="3"/>
      <c r="Y131" s="3"/>
      <c r="Z131" s="3"/>
      <c r="AA131" s="3"/>
    </row>
    <row r="132" spans="1:27" ht="39.75" customHeight="1">
      <c r="A132" s="736"/>
      <c r="B132" s="736"/>
      <c r="C132" s="736"/>
      <c r="D132" s="829">
        <v>125</v>
      </c>
      <c r="E132" s="829" t="s">
        <v>263</v>
      </c>
      <c r="F132" s="940"/>
      <c r="G132" s="940"/>
      <c r="H132" s="959"/>
      <c r="I132" s="940"/>
      <c r="J132" s="940"/>
      <c r="K132" s="940"/>
      <c r="L132" s="940"/>
      <c r="M132" s="940"/>
      <c r="N132" s="940">
        <v>1</v>
      </c>
      <c r="O132" s="940"/>
      <c r="P132" s="940"/>
      <c r="Q132" s="959">
        <v>0.5</v>
      </c>
      <c r="R132" s="940"/>
      <c r="S132" s="940"/>
      <c r="T132" s="956">
        <v>1.5</v>
      </c>
      <c r="U132" s="956">
        <v>1.5</v>
      </c>
      <c r="V132" s="1051" t="s">
        <v>1684</v>
      </c>
      <c r="W132" s="1031"/>
      <c r="X132" s="3"/>
      <c r="Y132" s="3"/>
      <c r="Z132" s="3"/>
      <c r="AA132" s="3"/>
    </row>
    <row r="133" spans="1:27" ht="39.75" customHeight="1">
      <c r="A133" s="736"/>
      <c r="B133" s="829" t="s">
        <v>264</v>
      </c>
      <c r="C133" s="829" t="s">
        <v>265</v>
      </c>
      <c r="D133" s="829">
        <v>126</v>
      </c>
      <c r="E133" s="829" t="s">
        <v>181</v>
      </c>
      <c r="F133" s="829"/>
      <c r="G133" s="829"/>
      <c r="H133" s="829"/>
      <c r="I133" s="829"/>
      <c r="J133" s="829"/>
      <c r="K133" s="829"/>
      <c r="L133" s="829"/>
      <c r="M133" s="829"/>
      <c r="N133" s="829"/>
      <c r="O133" s="829"/>
      <c r="P133" s="829"/>
      <c r="Q133" s="829"/>
      <c r="R133" s="829"/>
      <c r="S133" s="829"/>
      <c r="T133" s="847">
        <f t="shared" ref="T133:T205" si="12">SUM(F133:S133)</f>
        <v>0</v>
      </c>
      <c r="U133" s="847">
        <f>T133*110%</f>
        <v>0</v>
      </c>
      <c r="V133" s="833"/>
      <c r="W133" s="471"/>
      <c r="X133" s="3"/>
      <c r="Y133" s="3"/>
      <c r="Z133" s="3"/>
      <c r="AA133" s="3"/>
    </row>
    <row r="134" spans="1:27" ht="39.75" customHeight="1">
      <c r="A134" s="736"/>
      <c r="B134" s="948" t="s">
        <v>266</v>
      </c>
      <c r="C134" s="736"/>
      <c r="D134" s="736"/>
      <c r="E134" s="949"/>
      <c r="F134" s="949">
        <f t="shared" ref="F134:S134" si="13">SUM(F94:F133)</f>
        <v>0</v>
      </c>
      <c r="G134" s="949">
        <f t="shared" si="13"/>
        <v>0</v>
      </c>
      <c r="H134" s="949">
        <f t="shared" si="13"/>
        <v>0</v>
      </c>
      <c r="I134" s="949">
        <f t="shared" si="13"/>
        <v>9.14</v>
      </c>
      <c r="J134" s="949">
        <f t="shared" si="13"/>
        <v>0</v>
      </c>
      <c r="K134" s="951">
        <f t="shared" si="13"/>
        <v>6</v>
      </c>
      <c r="L134" s="949">
        <f t="shared" si="13"/>
        <v>0</v>
      </c>
      <c r="M134" s="949">
        <f t="shared" si="13"/>
        <v>11.65</v>
      </c>
      <c r="N134" s="949">
        <f t="shared" si="13"/>
        <v>14.23</v>
      </c>
      <c r="O134" s="949">
        <f t="shared" si="13"/>
        <v>65.289999999999992</v>
      </c>
      <c r="P134" s="949">
        <f t="shared" si="13"/>
        <v>54.949999999999996</v>
      </c>
      <c r="Q134" s="949">
        <f t="shared" si="13"/>
        <v>22.53</v>
      </c>
      <c r="R134" s="949">
        <f t="shared" si="13"/>
        <v>19</v>
      </c>
      <c r="S134" s="949">
        <f t="shared" si="13"/>
        <v>0</v>
      </c>
      <c r="T134" s="949">
        <f t="shared" si="12"/>
        <v>202.79</v>
      </c>
      <c r="U134" s="951">
        <f>SUM(U94:U133)</f>
        <v>203.27</v>
      </c>
      <c r="V134" s="833"/>
      <c r="W134" s="471"/>
      <c r="X134" s="3"/>
      <c r="Y134" s="3"/>
      <c r="Z134" s="3"/>
      <c r="AA134" s="3"/>
    </row>
    <row r="135" spans="1:27" ht="39.75" customHeight="1">
      <c r="A135" s="831" t="s">
        <v>267</v>
      </c>
      <c r="B135" s="828" t="s">
        <v>268</v>
      </c>
      <c r="C135" s="828" t="s">
        <v>269</v>
      </c>
      <c r="D135" s="829">
        <v>127</v>
      </c>
      <c r="E135" s="829" t="s">
        <v>270</v>
      </c>
      <c r="F135" s="960"/>
      <c r="G135" s="960"/>
      <c r="H135" s="960"/>
      <c r="I135" s="960"/>
      <c r="J135" s="960"/>
      <c r="K135" s="960"/>
      <c r="L135" s="960"/>
      <c r="M135" s="960"/>
      <c r="N135" s="960"/>
      <c r="O135" s="960"/>
      <c r="P135" s="960"/>
      <c r="Q135" s="960"/>
      <c r="R135" s="960"/>
      <c r="S135" s="960"/>
      <c r="T135" s="847">
        <f t="shared" si="12"/>
        <v>0</v>
      </c>
      <c r="U135" s="847">
        <f>T135*110%</f>
        <v>0</v>
      </c>
      <c r="V135" s="1214"/>
      <c r="W135" s="471"/>
      <c r="X135" s="3"/>
      <c r="Y135" s="3"/>
      <c r="Z135" s="3"/>
      <c r="AA135" s="3"/>
    </row>
    <row r="136" spans="1:27" ht="39.75" customHeight="1">
      <c r="A136" s="736"/>
      <c r="B136" s="736"/>
      <c r="C136" s="736"/>
      <c r="D136" s="829">
        <v>128</v>
      </c>
      <c r="E136" s="829" t="s">
        <v>271</v>
      </c>
      <c r="F136" s="960"/>
      <c r="G136" s="960"/>
      <c r="H136" s="960"/>
      <c r="I136" s="960"/>
      <c r="J136" s="960"/>
      <c r="K136" s="961"/>
      <c r="L136" s="960"/>
      <c r="M136" s="960"/>
      <c r="N136" s="961"/>
      <c r="O136" s="960"/>
      <c r="P136" s="961"/>
      <c r="Q136" s="941">
        <f>(0.75*7)</f>
        <v>5.25</v>
      </c>
      <c r="R136" s="963"/>
      <c r="S136" s="963"/>
      <c r="T136" s="847">
        <f t="shared" si="12"/>
        <v>5.25</v>
      </c>
      <c r="U136" s="941">
        <f>T136</f>
        <v>5.25</v>
      </c>
      <c r="V136" s="1215" t="s">
        <v>272</v>
      </c>
      <c r="W136" s="471"/>
      <c r="X136" s="3"/>
      <c r="Y136" s="3"/>
      <c r="Z136" s="3"/>
      <c r="AA136" s="3"/>
    </row>
    <row r="137" spans="1:27" ht="39.75" customHeight="1">
      <c r="A137" s="736"/>
      <c r="B137" s="829"/>
      <c r="C137" s="829"/>
      <c r="D137" s="829">
        <v>129</v>
      </c>
      <c r="E137" s="829" t="s">
        <v>273</v>
      </c>
      <c r="F137" s="960"/>
      <c r="G137" s="960"/>
      <c r="H137" s="960"/>
      <c r="I137" s="960"/>
      <c r="J137" s="960"/>
      <c r="K137" s="960"/>
      <c r="L137" s="960"/>
      <c r="M137" s="960"/>
      <c r="N137" s="960"/>
      <c r="O137" s="960"/>
      <c r="P137" s="960"/>
      <c r="Q137" s="960"/>
      <c r="R137" s="960"/>
      <c r="S137" s="960"/>
      <c r="T137" s="847">
        <f t="shared" si="12"/>
        <v>0</v>
      </c>
      <c r="U137" s="847">
        <f t="shared" ref="U137:U138" si="14">T137*110%</f>
        <v>0</v>
      </c>
      <c r="V137" s="1214"/>
      <c r="W137" s="471"/>
      <c r="X137" s="3"/>
      <c r="Y137" s="3"/>
      <c r="Z137" s="3"/>
      <c r="AA137" s="3"/>
    </row>
    <row r="138" spans="1:27" ht="39.75" customHeight="1">
      <c r="A138" s="736"/>
      <c r="B138" s="828" t="s">
        <v>274</v>
      </c>
      <c r="C138" s="828" t="s">
        <v>275</v>
      </c>
      <c r="D138" s="829">
        <v>130</v>
      </c>
      <c r="E138" s="829" t="s">
        <v>276</v>
      </c>
      <c r="F138" s="960"/>
      <c r="G138" s="960"/>
      <c r="H138" s="960"/>
      <c r="I138" s="960"/>
      <c r="J138" s="960"/>
      <c r="K138" s="960"/>
      <c r="L138" s="960"/>
      <c r="M138" s="960"/>
      <c r="N138" s="960"/>
      <c r="O138" s="960"/>
      <c r="P138" s="960"/>
      <c r="Q138" s="960"/>
      <c r="R138" s="960"/>
      <c r="S138" s="960"/>
      <c r="T138" s="847">
        <f t="shared" si="12"/>
        <v>0</v>
      </c>
      <c r="U138" s="847">
        <f t="shared" si="14"/>
        <v>0</v>
      </c>
      <c r="V138" s="1214"/>
      <c r="W138" s="471"/>
      <c r="X138" s="3"/>
      <c r="Y138" s="3"/>
      <c r="Z138" s="3"/>
      <c r="AA138" s="3"/>
    </row>
    <row r="139" spans="1:27" ht="39.75" customHeight="1">
      <c r="A139" s="736"/>
      <c r="B139" s="736"/>
      <c r="C139" s="736"/>
      <c r="D139" s="829">
        <v>131</v>
      </c>
      <c r="E139" s="829" t="s">
        <v>277</v>
      </c>
      <c r="F139" s="960"/>
      <c r="G139" s="960"/>
      <c r="H139" s="960"/>
      <c r="I139" s="960"/>
      <c r="J139" s="960"/>
      <c r="K139" s="960"/>
      <c r="L139" s="960"/>
      <c r="M139" s="960"/>
      <c r="N139" s="961">
        <v>1.23</v>
      </c>
      <c r="O139" s="960"/>
      <c r="P139" s="960"/>
      <c r="Q139" s="960"/>
      <c r="R139" s="960"/>
      <c r="S139" s="960"/>
      <c r="T139" s="847">
        <f t="shared" si="12"/>
        <v>1.23</v>
      </c>
      <c r="U139" s="847">
        <v>1.3</v>
      </c>
      <c r="V139" s="1216" t="s">
        <v>629</v>
      </c>
      <c r="W139" s="471"/>
      <c r="X139" s="3"/>
      <c r="Y139" s="3"/>
      <c r="Z139" s="3"/>
      <c r="AA139" s="3"/>
    </row>
    <row r="140" spans="1:27" ht="39.75" customHeight="1">
      <c r="A140" s="736"/>
      <c r="B140" s="736"/>
      <c r="C140" s="736"/>
      <c r="D140" s="829">
        <v>132</v>
      </c>
      <c r="E140" s="829" t="s">
        <v>279</v>
      </c>
      <c r="F140" s="960"/>
      <c r="G140" s="960"/>
      <c r="H140" s="960"/>
      <c r="I140" s="960"/>
      <c r="J140" s="960"/>
      <c r="K140" s="960"/>
      <c r="L140" s="960"/>
      <c r="M140" s="960"/>
      <c r="N140" s="960"/>
      <c r="O140" s="960"/>
      <c r="P140" s="960"/>
      <c r="Q140" s="960"/>
      <c r="R140" s="960"/>
      <c r="S140" s="960"/>
      <c r="T140" s="847">
        <f t="shared" si="12"/>
        <v>0</v>
      </c>
      <c r="U140" s="847">
        <f t="shared" ref="U140:U141" si="15">T140*110%</f>
        <v>0</v>
      </c>
      <c r="V140" s="1214"/>
      <c r="W140" s="471"/>
      <c r="X140" s="3"/>
      <c r="Y140" s="3"/>
      <c r="Z140" s="3"/>
      <c r="AA140" s="3"/>
    </row>
    <row r="141" spans="1:27" ht="39.75" customHeight="1">
      <c r="A141" s="736"/>
      <c r="B141" s="736"/>
      <c r="C141" s="736"/>
      <c r="D141" s="829">
        <v>133</v>
      </c>
      <c r="E141" s="829" t="s">
        <v>280</v>
      </c>
      <c r="F141" s="960"/>
      <c r="G141" s="960"/>
      <c r="H141" s="960"/>
      <c r="I141" s="960"/>
      <c r="J141" s="960"/>
      <c r="K141" s="960"/>
      <c r="L141" s="960"/>
      <c r="M141" s="960"/>
      <c r="N141" s="960"/>
      <c r="O141" s="960"/>
      <c r="P141" s="960"/>
      <c r="Q141" s="960"/>
      <c r="R141" s="960"/>
      <c r="S141" s="960"/>
      <c r="T141" s="847">
        <f t="shared" si="12"/>
        <v>0</v>
      </c>
      <c r="U141" s="847">
        <f t="shared" si="15"/>
        <v>0</v>
      </c>
      <c r="V141" s="1214"/>
      <c r="W141" s="471"/>
      <c r="X141" s="3"/>
      <c r="Y141" s="3"/>
      <c r="Z141" s="3"/>
      <c r="AA141" s="3"/>
    </row>
    <row r="142" spans="1:27" ht="39.75" customHeight="1">
      <c r="A142" s="736"/>
      <c r="B142" s="736"/>
      <c r="C142" s="736"/>
      <c r="D142" s="829">
        <v>134</v>
      </c>
      <c r="E142" s="829" t="s">
        <v>281</v>
      </c>
      <c r="F142" s="960"/>
      <c r="G142" s="960"/>
      <c r="H142" s="960"/>
      <c r="I142" s="960"/>
      <c r="J142" s="960"/>
      <c r="K142" s="960"/>
      <c r="L142" s="960"/>
      <c r="M142" s="960"/>
      <c r="N142" s="960"/>
      <c r="O142" s="960"/>
      <c r="P142" s="965">
        <f>(35*0.005*12)+(35*0.0025*12)</f>
        <v>3.1500000000000004</v>
      </c>
      <c r="Q142" s="960"/>
      <c r="R142" s="960"/>
      <c r="S142" s="960"/>
      <c r="T142" s="847">
        <f t="shared" si="12"/>
        <v>3.1500000000000004</v>
      </c>
      <c r="U142" s="847">
        <f>T142</f>
        <v>3.1500000000000004</v>
      </c>
      <c r="V142" s="1214" t="s">
        <v>630</v>
      </c>
      <c r="W142" s="471"/>
      <c r="X142" s="3"/>
      <c r="Y142" s="3"/>
      <c r="Z142" s="3"/>
      <c r="AA142" s="3"/>
    </row>
    <row r="143" spans="1:27" ht="39.75" customHeight="1">
      <c r="A143" s="736"/>
      <c r="B143" s="736"/>
      <c r="C143" s="736"/>
      <c r="D143" s="829">
        <v>135</v>
      </c>
      <c r="E143" s="829" t="s">
        <v>283</v>
      </c>
      <c r="F143" s="960"/>
      <c r="G143" s="960"/>
      <c r="H143" s="960"/>
      <c r="I143" s="960"/>
      <c r="J143" s="960"/>
      <c r="K143" s="960"/>
      <c r="L143" s="960"/>
      <c r="M143" s="960"/>
      <c r="N143" s="960"/>
      <c r="O143" s="960"/>
      <c r="P143" s="960"/>
      <c r="Q143" s="960"/>
      <c r="R143" s="960"/>
      <c r="S143" s="960"/>
      <c r="T143" s="847">
        <f t="shared" si="12"/>
        <v>0</v>
      </c>
      <c r="U143" s="847">
        <f t="shared" ref="U143:U144" si="16">T143*110%</f>
        <v>0</v>
      </c>
      <c r="V143" s="1214"/>
      <c r="W143" s="471"/>
      <c r="X143" s="3"/>
      <c r="Y143" s="3"/>
      <c r="Z143" s="3"/>
      <c r="AA143" s="3"/>
    </row>
    <row r="144" spans="1:27" ht="39.75" customHeight="1">
      <c r="A144" s="736"/>
      <c r="B144" s="736"/>
      <c r="C144" s="736"/>
      <c r="D144" s="829">
        <v>136</v>
      </c>
      <c r="E144" s="829" t="s">
        <v>284</v>
      </c>
      <c r="F144" s="960"/>
      <c r="G144" s="960"/>
      <c r="H144" s="960"/>
      <c r="I144" s="960"/>
      <c r="J144" s="960"/>
      <c r="K144" s="960"/>
      <c r="L144" s="960"/>
      <c r="M144" s="960"/>
      <c r="N144" s="960"/>
      <c r="O144" s="960"/>
      <c r="P144" s="961"/>
      <c r="Q144" s="960"/>
      <c r="R144" s="960"/>
      <c r="S144" s="960"/>
      <c r="T144" s="847">
        <f t="shared" si="12"/>
        <v>0</v>
      </c>
      <c r="U144" s="847">
        <f t="shared" si="16"/>
        <v>0</v>
      </c>
      <c r="V144" s="1215"/>
      <c r="W144" s="471"/>
      <c r="X144" s="3"/>
      <c r="Y144" s="3"/>
      <c r="Z144" s="3"/>
      <c r="AA144" s="3"/>
    </row>
    <row r="145" spans="1:27" ht="39.75" customHeight="1">
      <c r="A145" s="736"/>
      <c r="B145" s="828" t="s">
        <v>285</v>
      </c>
      <c r="C145" s="828" t="s">
        <v>286</v>
      </c>
      <c r="D145" s="829">
        <v>137</v>
      </c>
      <c r="E145" s="829" t="s">
        <v>287</v>
      </c>
      <c r="F145" s="960"/>
      <c r="G145" s="960"/>
      <c r="H145" s="960"/>
      <c r="I145" s="960"/>
      <c r="J145" s="960"/>
      <c r="K145" s="960"/>
      <c r="L145" s="960"/>
      <c r="M145" s="961"/>
      <c r="N145" s="960"/>
      <c r="O145" s="960"/>
      <c r="P145" s="941"/>
      <c r="Q145" s="960"/>
      <c r="R145" s="960"/>
      <c r="S145" s="960"/>
      <c r="T145" s="847">
        <f t="shared" si="12"/>
        <v>0</v>
      </c>
      <c r="U145" s="847">
        <f>T145</f>
        <v>0</v>
      </c>
      <c r="V145" s="1215"/>
      <c r="W145" s="471"/>
      <c r="X145" s="3"/>
      <c r="Y145" s="3"/>
      <c r="Z145" s="3"/>
      <c r="AA145" s="3"/>
    </row>
    <row r="146" spans="1:27" ht="39.75" customHeight="1">
      <c r="A146" s="736"/>
      <c r="B146" s="736"/>
      <c r="C146" s="736"/>
      <c r="D146" s="829">
        <v>138</v>
      </c>
      <c r="E146" s="829" t="s">
        <v>288</v>
      </c>
      <c r="F146" s="829"/>
      <c r="G146" s="829"/>
      <c r="H146" s="847"/>
      <c r="I146" s="847"/>
      <c r="J146" s="829"/>
      <c r="K146" s="847"/>
      <c r="L146" s="829"/>
      <c r="M146" s="847"/>
      <c r="N146" s="829"/>
      <c r="O146" s="829"/>
      <c r="P146" s="829"/>
      <c r="Q146" s="829"/>
      <c r="R146" s="829"/>
      <c r="S146" s="829"/>
      <c r="T146" s="847">
        <f t="shared" si="12"/>
        <v>0</v>
      </c>
      <c r="U146" s="847">
        <f>T146*110%</f>
        <v>0</v>
      </c>
      <c r="V146" s="848"/>
      <c r="W146" s="471"/>
      <c r="X146" s="3"/>
      <c r="Y146" s="3"/>
      <c r="Z146" s="3"/>
      <c r="AA146" s="3"/>
    </row>
    <row r="147" spans="1:27" ht="39.75" customHeight="1">
      <c r="A147" s="736"/>
      <c r="B147" s="828" t="s">
        <v>289</v>
      </c>
      <c r="C147" s="828" t="s">
        <v>290</v>
      </c>
      <c r="D147" s="829">
        <v>139</v>
      </c>
      <c r="E147" s="829" t="s">
        <v>291</v>
      </c>
      <c r="F147" s="960"/>
      <c r="G147" s="960"/>
      <c r="H147" s="960"/>
      <c r="I147" s="960"/>
      <c r="J147" s="960"/>
      <c r="K147" s="960"/>
      <c r="L147" s="960"/>
      <c r="M147" s="960"/>
      <c r="N147" s="961"/>
      <c r="O147" s="960"/>
      <c r="P147" s="961">
        <v>7</v>
      </c>
      <c r="Q147" s="960"/>
      <c r="R147" s="961"/>
      <c r="S147" s="960"/>
      <c r="T147" s="847">
        <f t="shared" si="12"/>
        <v>7</v>
      </c>
      <c r="U147" s="847">
        <f t="shared" ref="U147:U148" si="17">T147</f>
        <v>7</v>
      </c>
      <c r="V147" s="1215" t="s">
        <v>786</v>
      </c>
      <c r="W147" s="471"/>
      <c r="X147" s="3"/>
      <c r="Y147" s="3"/>
      <c r="Z147" s="3"/>
      <c r="AA147" s="3"/>
    </row>
    <row r="148" spans="1:27" ht="39.75" customHeight="1">
      <c r="A148" s="736"/>
      <c r="B148" s="736"/>
      <c r="C148" s="736"/>
      <c r="D148" s="829">
        <v>140</v>
      </c>
      <c r="E148" s="829" t="s">
        <v>293</v>
      </c>
      <c r="F148" s="960"/>
      <c r="G148" s="960"/>
      <c r="H148" s="960"/>
      <c r="I148" s="960"/>
      <c r="J148" s="960"/>
      <c r="K148" s="960"/>
      <c r="L148" s="960"/>
      <c r="M148" s="960"/>
      <c r="N148" s="960"/>
      <c r="O148" s="960"/>
      <c r="P148" s="941">
        <f>7+( 7* 0.235)</f>
        <v>8.6449999999999996</v>
      </c>
      <c r="Q148" s="963"/>
      <c r="R148" s="963"/>
      <c r="S148" s="963"/>
      <c r="T148" s="847">
        <f t="shared" si="12"/>
        <v>8.6449999999999996</v>
      </c>
      <c r="U148" s="728">
        <f t="shared" si="17"/>
        <v>8.6449999999999996</v>
      </c>
      <c r="V148" s="1215" t="s">
        <v>294</v>
      </c>
      <c r="W148" s="471"/>
      <c r="X148" s="3"/>
      <c r="Y148" s="3"/>
      <c r="Z148" s="3"/>
      <c r="AA148" s="3"/>
    </row>
    <row r="149" spans="1:27" ht="39.75" customHeight="1">
      <c r="A149" s="736"/>
      <c r="B149" s="736"/>
      <c r="C149" s="736"/>
      <c r="D149" s="829">
        <v>141</v>
      </c>
      <c r="E149" s="829" t="s">
        <v>295</v>
      </c>
      <c r="F149" s="960"/>
      <c r="G149" s="960"/>
      <c r="H149" s="960"/>
      <c r="I149" s="960"/>
      <c r="J149" s="960"/>
      <c r="K149" s="960"/>
      <c r="L149" s="960"/>
      <c r="M149" s="960"/>
      <c r="N149" s="960"/>
      <c r="O149" s="960"/>
      <c r="P149" s="960"/>
      <c r="Q149" s="960"/>
      <c r="R149" s="960"/>
      <c r="S149" s="960"/>
      <c r="T149" s="847">
        <f t="shared" si="12"/>
        <v>0</v>
      </c>
      <c r="U149" s="847">
        <f>T149*110%</f>
        <v>0</v>
      </c>
      <c r="V149" s="1214"/>
      <c r="W149" s="471"/>
      <c r="X149" s="3"/>
      <c r="Y149" s="3"/>
      <c r="Z149" s="3"/>
      <c r="AA149" s="3"/>
    </row>
    <row r="150" spans="1:27" ht="39.75" customHeight="1">
      <c r="A150" s="736"/>
      <c r="B150" s="828" t="s">
        <v>296</v>
      </c>
      <c r="C150" s="828" t="s">
        <v>297</v>
      </c>
      <c r="D150" s="829">
        <v>142</v>
      </c>
      <c r="E150" s="829" t="s">
        <v>298</v>
      </c>
      <c r="F150" s="960"/>
      <c r="G150" s="960"/>
      <c r="H150" s="960"/>
      <c r="I150" s="960"/>
      <c r="J150" s="960"/>
      <c r="K150" s="960"/>
      <c r="L150" s="960"/>
      <c r="M150" s="960"/>
      <c r="N150" s="960"/>
      <c r="O150" s="960"/>
      <c r="P150" s="783">
        <v>1027.96956</v>
      </c>
      <c r="Q150" s="960"/>
      <c r="R150" s="960"/>
      <c r="S150" s="960"/>
      <c r="T150" s="847">
        <f t="shared" si="12"/>
        <v>1027.96956</v>
      </c>
      <c r="U150" s="887">
        <v>1094.4791905320001</v>
      </c>
      <c r="V150" s="1206" t="s">
        <v>1732</v>
      </c>
      <c r="W150" s="471"/>
      <c r="X150" s="3"/>
      <c r="Y150" s="3"/>
      <c r="Z150" s="3"/>
      <c r="AA150" s="3"/>
    </row>
    <row r="151" spans="1:27" ht="39.75" customHeight="1">
      <c r="A151" s="736"/>
      <c r="B151" s="736"/>
      <c r="C151" s="736"/>
      <c r="D151" s="829">
        <v>143</v>
      </c>
      <c r="E151" s="829" t="s">
        <v>299</v>
      </c>
      <c r="F151" s="960"/>
      <c r="G151" s="960"/>
      <c r="H151" s="960"/>
      <c r="I151" s="960"/>
      <c r="J151" s="960"/>
      <c r="K151" s="960"/>
      <c r="L151" s="960"/>
      <c r="M151" s="960"/>
      <c r="N151" s="960"/>
      <c r="O151" s="960"/>
      <c r="P151" s="960"/>
      <c r="Q151" s="960"/>
      <c r="R151" s="960"/>
      <c r="S151" s="960"/>
      <c r="T151" s="847">
        <f t="shared" si="12"/>
        <v>0</v>
      </c>
      <c r="U151" s="847">
        <f t="shared" ref="U151:U153" si="18">T151*110%</f>
        <v>0</v>
      </c>
      <c r="V151" s="1214"/>
      <c r="W151" s="471"/>
      <c r="X151" s="3"/>
      <c r="Y151" s="3"/>
      <c r="Z151" s="3"/>
      <c r="AA151" s="3"/>
    </row>
    <row r="152" spans="1:27" ht="39.75" customHeight="1">
      <c r="A152" s="736"/>
      <c r="B152" s="736"/>
      <c r="C152" s="736"/>
      <c r="D152" s="829">
        <v>144</v>
      </c>
      <c r="E152" s="829" t="s">
        <v>300</v>
      </c>
      <c r="F152" s="960"/>
      <c r="G152" s="960"/>
      <c r="H152" s="960"/>
      <c r="I152" s="960"/>
      <c r="J152" s="960"/>
      <c r="K152" s="960"/>
      <c r="L152" s="960"/>
      <c r="M152" s="960"/>
      <c r="N152" s="960"/>
      <c r="O152" s="960"/>
      <c r="P152" s="960"/>
      <c r="Q152" s="960"/>
      <c r="R152" s="960"/>
      <c r="S152" s="960"/>
      <c r="T152" s="847">
        <f t="shared" si="12"/>
        <v>0</v>
      </c>
      <c r="U152" s="847">
        <f t="shared" si="18"/>
        <v>0</v>
      </c>
      <c r="V152" s="1214"/>
      <c r="W152" s="471"/>
      <c r="X152" s="3"/>
      <c r="Y152" s="3"/>
      <c r="Z152" s="3"/>
      <c r="AA152" s="3"/>
    </row>
    <row r="153" spans="1:27" ht="39.75" customHeight="1">
      <c r="A153" s="736"/>
      <c r="B153" s="736"/>
      <c r="C153" s="736"/>
      <c r="D153" s="829">
        <v>145</v>
      </c>
      <c r="E153" s="829" t="s">
        <v>301</v>
      </c>
      <c r="F153" s="960"/>
      <c r="G153" s="960"/>
      <c r="H153" s="960"/>
      <c r="I153" s="960"/>
      <c r="J153" s="960"/>
      <c r="K153" s="960"/>
      <c r="L153" s="960"/>
      <c r="M153" s="960"/>
      <c r="N153" s="960"/>
      <c r="O153" s="960"/>
      <c r="P153" s="960"/>
      <c r="Q153" s="960"/>
      <c r="R153" s="960"/>
      <c r="S153" s="960"/>
      <c r="T153" s="847">
        <f t="shared" si="12"/>
        <v>0</v>
      </c>
      <c r="U153" s="847">
        <f t="shared" si="18"/>
        <v>0</v>
      </c>
      <c r="V153" s="1214"/>
      <c r="W153" s="471"/>
      <c r="X153" s="3"/>
      <c r="Y153" s="3"/>
      <c r="Z153" s="3"/>
      <c r="AA153" s="3"/>
    </row>
    <row r="154" spans="1:27" ht="73.900000000000006" customHeight="1">
      <c r="A154" s="736"/>
      <c r="B154" s="829" t="s">
        <v>302</v>
      </c>
      <c r="C154" s="829" t="s">
        <v>303</v>
      </c>
      <c r="D154" s="829">
        <v>146</v>
      </c>
      <c r="E154" s="829" t="s">
        <v>304</v>
      </c>
      <c r="F154" s="960"/>
      <c r="G154" s="960"/>
      <c r="H154" s="960"/>
      <c r="I154" s="960"/>
      <c r="J154" s="960"/>
      <c r="K154" s="960"/>
      <c r="L154" s="960"/>
      <c r="M154" s="960"/>
      <c r="N154" s="960"/>
      <c r="O154" s="960"/>
      <c r="P154" s="960"/>
      <c r="Q154" s="960"/>
      <c r="R154" s="941">
        <f>(0.4*12)+(12*0.1)</f>
        <v>6.0000000000000009</v>
      </c>
      <c r="S154" s="963"/>
      <c r="T154" s="847">
        <f t="shared" si="12"/>
        <v>6.0000000000000009</v>
      </c>
      <c r="U154" s="941">
        <f>T154</f>
        <v>6.0000000000000009</v>
      </c>
      <c r="V154" s="1215" t="s">
        <v>571</v>
      </c>
      <c r="W154" s="471"/>
      <c r="X154" s="3"/>
      <c r="Y154" s="3"/>
      <c r="Z154" s="3"/>
      <c r="AA154" s="3"/>
    </row>
    <row r="155" spans="1:27" ht="39.75" customHeight="1">
      <c r="A155" s="736"/>
      <c r="B155" s="829" t="s">
        <v>306</v>
      </c>
      <c r="C155" s="829" t="s">
        <v>307</v>
      </c>
      <c r="D155" s="829">
        <v>147</v>
      </c>
      <c r="E155" s="829" t="s">
        <v>157</v>
      </c>
      <c r="F155" s="960"/>
      <c r="G155" s="960"/>
      <c r="H155" s="960"/>
      <c r="I155" s="960"/>
      <c r="J155" s="960"/>
      <c r="K155" s="960"/>
      <c r="L155" s="960"/>
      <c r="M155" s="960"/>
      <c r="N155" s="960"/>
      <c r="O155" s="960"/>
      <c r="P155" s="960"/>
      <c r="Q155" s="960"/>
      <c r="R155" s="960"/>
      <c r="S155" s="960"/>
      <c r="T155" s="847">
        <f t="shared" si="12"/>
        <v>0</v>
      </c>
      <c r="U155" s="847">
        <f t="shared" ref="U155:U156" si="19">T155*110%</f>
        <v>0</v>
      </c>
      <c r="V155" s="1214"/>
      <c r="W155" s="471"/>
      <c r="X155" s="3"/>
      <c r="Y155" s="3"/>
      <c r="Z155" s="3"/>
      <c r="AA155" s="3"/>
    </row>
    <row r="156" spans="1:27" ht="39.75" customHeight="1">
      <c r="A156" s="736"/>
      <c r="B156" s="829" t="s">
        <v>308</v>
      </c>
      <c r="C156" s="829" t="s">
        <v>309</v>
      </c>
      <c r="D156" s="829">
        <v>148</v>
      </c>
      <c r="E156" s="829" t="s">
        <v>310</v>
      </c>
      <c r="F156" s="960"/>
      <c r="G156" s="960"/>
      <c r="H156" s="960"/>
      <c r="I156" s="960"/>
      <c r="J156" s="960"/>
      <c r="K156" s="960"/>
      <c r="L156" s="960"/>
      <c r="M156" s="960"/>
      <c r="N156" s="961"/>
      <c r="O156" s="960"/>
      <c r="P156" s="961"/>
      <c r="Q156" s="960"/>
      <c r="R156" s="960"/>
      <c r="S156" s="960"/>
      <c r="T156" s="847">
        <f t="shared" si="12"/>
        <v>0</v>
      </c>
      <c r="U156" s="847">
        <f t="shared" si="19"/>
        <v>0</v>
      </c>
      <c r="V156" s="1215"/>
      <c r="W156" s="471"/>
      <c r="X156" s="3"/>
      <c r="Y156" s="3"/>
      <c r="Z156" s="3"/>
      <c r="AA156" s="3"/>
    </row>
    <row r="157" spans="1:27" ht="39.75" customHeight="1">
      <c r="A157" s="736"/>
      <c r="B157" s="829" t="s">
        <v>311</v>
      </c>
      <c r="C157" s="829" t="s">
        <v>312</v>
      </c>
      <c r="D157" s="829">
        <v>149</v>
      </c>
      <c r="E157" s="829" t="s">
        <v>313</v>
      </c>
      <c r="F157" s="882"/>
      <c r="G157" s="882"/>
      <c r="H157" s="882"/>
      <c r="I157" s="882"/>
      <c r="J157" s="882"/>
      <c r="K157" s="882"/>
      <c r="L157" s="882"/>
      <c r="M157" s="882"/>
      <c r="N157" s="882"/>
      <c r="O157" s="882"/>
      <c r="P157" s="961">
        <f>(7*1.75)+(0.05*123)</f>
        <v>18.399999999999999</v>
      </c>
      <c r="Q157" s="882"/>
      <c r="R157" s="882"/>
      <c r="S157" s="882"/>
      <c r="T157" s="847">
        <f t="shared" si="12"/>
        <v>18.399999999999999</v>
      </c>
      <c r="U157" s="961">
        <f>(7*1.75)+(0.05*130)</f>
        <v>18.75</v>
      </c>
      <c r="V157" s="1215" t="s">
        <v>1842</v>
      </c>
      <c r="W157" s="471"/>
      <c r="X157" s="3"/>
      <c r="Y157" s="3"/>
      <c r="Z157" s="3"/>
      <c r="AA157" s="3"/>
    </row>
    <row r="158" spans="1:27" ht="39.75" customHeight="1">
      <c r="A158" s="736"/>
      <c r="B158" s="948" t="s">
        <v>315</v>
      </c>
      <c r="C158" s="736"/>
      <c r="D158" s="736"/>
      <c r="E158" s="949"/>
      <c r="F158" s="949">
        <f t="shared" ref="F158:S158" si="20">SUM(F135:F157)</f>
        <v>0</v>
      </c>
      <c r="G158" s="949">
        <f t="shared" si="20"/>
        <v>0</v>
      </c>
      <c r="H158" s="949">
        <f t="shared" si="20"/>
        <v>0</v>
      </c>
      <c r="I158" s="949">
        <f t="shared" si="20"/>
        <v>0</v>
      </c>
      <c r="J158" s="949">
        <f t="shared" si="20"/>
        <v>0</v>
      </c>
      <c r="K158" s="949">
        <f t="shared" si="20"/>
        <v>0</v>
      </c>
      <c r="L158" s="949">
        <f t="shared" si="20"/>
        <v>0</v>
      </c>
      <c r="M158" s="949">
        <f t="shared" si="20"/>
        <v>0</v>
      </c>
      <c r="N158" s="949">
        <f t="shared" si="20"/>
        <v>1.23</v>
      </c>
      <c r="O158" s="949">
        <f t="shared" si="20"/>
        <v>0</v>
      </c>
      <c r="P158" s="949">
        <f t="shared" si="20"/>
        <v>1065.1645600000002</v>
      </c>
      <c r="Q158" s="949">
        <f t="shared" si="20"/>
        <v>5.25</v>
      </c>
      <c r="R158" s="949">
        <f t="shared" si="20"/>
        <v>6.0000000000000009</v>
      </c>
      <c r="S158" s="949">
        <f t="shared" si="20"/>
        <v>0</v>
      </c>
      <c r="T158" s="949">
        <f t="shared" si="12"/>
        <v>1077.6445600000002</v>
      </c>
      <c r="U158" s="951">
        <f>SUM(U135:U157)</f>
        <v>1144.5741905320001</v>
      </c>
      <c r="V158" s="833"/>
      <c r="W158" s="470"/>
      <c r="X158" s="54"/>
      <c r="Y158" s="54"/>
      <c r="Z158" s="54"/>
      <c r="AA158" s="54"/>
    </row>
    <row r="159" spans="1:27" ht="180">
      <c r="A159" s="831" t="s">
        <v>316</v>
      </c>
      <c r="B159" s="828" t="s">
        <v>317</v>
      </c>
      <c r="C159" s="828" t="s">
        <v>269</v>
      </c>
      <c r="D159" s="829">
        <v>150</v>
      </c>
      <c r="E159" s="829" t="s">
        <v>318</v>
      </c>
      <c r="F159" s="836"/>
      <c r="G159" s="837"/>
      <c r="H159" s="837"/>
      <c r="I159" s="836"/>
      <c r="J159" s="836"/>
      <c r="K159" s="836"/>
      <c r="L159" s="836"/>
      <c r="M159" s="836"/>
      <c r="N159" s="835">
        <v>17.399999999999999</v>
      </c>
      <c r="O159" s="836">
        <v>279.48</v>
      </c>
      <c r="P159" s="837"/>
      <c r="Q159" s="836">
        <v>1</v>
      </c>
      <c r="R159" s="836"/>
      <c r="S159" s="836"/>
      <c r="T159" s="847">
        <f t="shared" si="12"/>
        <v>297.88</v>
      </c>
      <c r="U159" s="847">
        <f t="shared" ref="U159:U160" si="21">T159</f>
        <v>297.88</v>
      </c>
      <c r="V159" s="1217" t="s">
        <v>1843</v>
      </c>
      <c r="W159" s="471"/>
      <c r="X159" s="3"/>
      <c r="Y159" s="3"/>
      <c r="Z159" s="3"/>
      <c r="AA159" s="3"/>
    </row>
    <row r="160" spans="1:27" ht="143.25" customHeight="1">
      <c r="A160" s="736"/>
      <c r="B160" s="736"/>
      <c r="C160" s="736"/>
      <c r="D160" s="829">
        <v>151</v>
      </c>
      <c r="E160" s="829" t="s">
        <v>319</v>
      </c>
      <c r="F160" s="836"/>
      <c r="G160" s="837"/>
      <c r="H160" s="837"/>
      <c r="I160" s="835"/>
      <c r="J160" s="836"/>
      <c r="K160" s="836"/>
      <c r="L160" s="836"/>
      <c r="M160" s="836"/>
      <c r="N160" s="835"/>
      <c r="O160" s="837"/>
      <c r="P160" s="837">
        <v>16.5</v>
      </c>
      <c r="Q160" s="835"/>
      <c r="R160" s="837">
        <v>2</v>
      </c>
      <c r="S160" s="836"/>
      <c r="T160" s="847">
        <f t="shared" si="12"/>
        <v>18.5</v>
      </c>
      <c r="U160" s="847">
        <f t="shared" si="21"/>
        <v>18.5</v>
      </c>
      <c r="V160" s="833" t="s">
        <v>787</v>
      </c>
      <c r="W160" s="471"/>
      <c r="X160" s="3"/>
      <c r="Y160" s="3"/>
      <c r="Z160" s="3"/>
      <c r="AA160" s="3"/>
    </row>
    <row r="161" spans="1:27" ht="39.75" customHeight="1">
      <c r="A161" s="736"/>
      <c r="B161" s="736"/>
      <c r="C161" s="736"/>
      <c r="D161" s="829">
        <v>152</v>
      </c>
      <c r="E161" s="829" t="s">
        <v>321</v>
      </c>
      <c r="F161" s="836"/>
      <c r="G161" s="836"/>
      <c r="H161" s="836"/>
      <c r="I161" s="836"/>
      <c r="J161" s="836"/>
      <c r="K161" s="836"/>
      <c r="L161" s="836"/>
      <c r="M161" s="836"/>
      <c r="N161" s="836"/>
      <c r="O161" s="836"/>
      <c r="P161" s="837"/>
      <c r="Q161" s="836"/>
      <c r="R161" s="836"/>
      <c r="S161" s="836"/>
      <c r="T161" s="847">
        <f t="shared" si="12"/>
        <v>0</v>
      </c>
      <c r="U161" s="847">
        <f t="shared" ref="U161:U162" si="22">T161*110%</f>
        <v>0</v>
      </c>
      <c r="V161" s="833"/>
      <c r="W161" s="471"/>
      <c r="X161" s="3"/>
      <c r="Y161" s="3"/>
      <c r="Z161" s="3"/>
      <c r="AA161" s="3"/>
    </row>
    <row r="162" spans="1:27" ht="39.75" customHeight="1">
      <c r="A162" s="736"/>
      <c r="B162" s="736"/>
      <c r="C162" s="736"/>
      <c r="D162" s="829">
        <v>153</v>
      </c>
      <c r="E162" s="829" t="s">
        <v>322</v>
      </c>
      <c r="F162" s="865"/>
      <c r="G162" s="865"/>
      <c r="H162" s="865"/>
      <c r="I162" s="865"/>
      <c r="J162" s="865"/>
      <c r="K162" s="865"/>
      <c r="L162" s="865"/>
      <c r="M162" s="865"/>
      <c r="N162" s="835"/>
      <c r="O162" s="865"/>
      <c r="P162" s="865"/>
      <c r="Q162" s="865"/>
      <c r="R162" s="865"/>
      <c r="S162" s="865"/>
      <c r="T162" s="847">
        <f t="shared" si="12"/>
        <v>0</v>
      </c>
      <c r="U162" s="847">
        <f t="shared" si="22"/>
        <v>0</v>
      </c>
      <c r="V162" s="833"/>
      <c r="W162" s="471"/>
      <c r="X162" s="3"/>
      <c r="Y162" s="3"/>
      <c r="Z162" s="3"/>
      <c r="AA162" s="3"/>
    </row>
    <row r="163" spans="1:27" ht="39.75" customHeight="1">
      <c r="A163" s="736"/>
      <c r="B163" s="828" t="s">
        <v>324</v>
      </c>
      <c r="C163" s="828" t="s">
        <v>325</v>
      </c>
      <c r="D163" s="829">
        <v>154</v>
      </c>
      <c r="E163" s="829" t="s">
        <v>326</v>
      </c>
      <c r="F163" s="829"/>
      <c r="G163" s="829"/>
      <c r="H163" s="829"/>
      <c r="I163" s="829"/>
      <c r="J163" s="829"/>
      <c r="K163" s="847"/>
      <c r="L163" s="829"/>
      <c r="M163" s="847"/>
      <c r="N163" s="829"/>
      <c r="O163" s="829"/>
      <c r="P163" s="829"/>
      <c r="Q163" s="845">
        <v>0.17499999999999999</v>
      </c>
      <c r="R163" s="829"/>
      <c r="S163" s="829"/>
      <c r="T163" s="847">
        <f t="shared" si="12"/>
        <v>0.17499999999999999</v>
      </c>
      <c r="U163" s="847">
        <f t="shared" ref="U163:U165" si="23">T163</f>
        <v>0.17499999999999999</v>
      </c>
      <c r="V163" s="833" t="s">
        <v>788</v>
      </c>
      <c r="W163" s="471"/>
      <c r="X163" s="3"/>
      <c r="Y163" s="3"/>
      <c r="Z163" s="3"/>
      <c r="AA163" s="3"/>
    </row>
    <row r="164" spans="1:27" ht="39.75" customHeight="1">
      <c r="A164" s="736"/>
      <c r="B164" s="736"/>
      <c r="C164" s="736"/>
      <c r="D164" s="829">
        <v>155</v>
      </c>
      <c r="E164" s="829" t="s">
        <v>328</v>
      </c>
      <c r="F164" s="829"/>
      <c r="G164" s="829"/>
      <c r="H164" s="829"/>
      <c r="I164" s="829"/>
      <c r="J164" s="829"/>
      <c r="K164" s="829"/>
      <c r="L164" s="829"/>
      <c r="M164" s="829"/>
      <c r="N164" s="836"/>
      <c r="O164" s="829"/>
      <c r="P164" s="845"/>
      <c r="Q164" s="829"/>
      <c r="R164" s="829"/>
      <c r="S164" s="829"/>
      <c r="T164" s="847">
        <f t="shared" si="12"/>
        <v>0</v>
      </c>
      <c r="U164" s="847">
        <f t="shared" si="23"/>
        <v>0</v>
      </c>
      <c r="V164" s="833"/>
      <c r="W164" s="471"/>
      <c r="X164" s="3"/>
      <c r="Y164" s="3"/>
      <c r="Z164" s="3"/>
      <c r="AA164" s="3"/>
    </row>
    <row r="165" spans="1:27" ht="39.75" customHeight="1">
      <c r="A165" s="736"/>
      <c r="B165" s="736"/>
      <c r="C165" s="736"/>
      <c r="D165" s="829">
        <v>156</v>
      </c>
      <c r="E165" s="829" t="s">
        <v>329</v>
      </c>
      <c r="F165" s="829"/>
      <c r="G165" s="829"/>
      <c r="H165" s="845"/>
      <c r="I165" s="847"/>
      <c r="J165" s="829"/>
      <c r="K165" s="829"/>
      <c r="L165" s="829"/>
      <c r="M165" s="829"/>
      <c r="N165" s="829"/>
      <c r="O165" s="829"/>
      <c r="P165" s="845">
        <v>2</v>
      </c>
      <c r="Q165" s="829"/>
      <c r="R165" s="829"/>
      <c r="S165" s="829"/>
      <c r="T165" s="847">
        <f t="shared" si="12"/>
        <v>2</v>
      </c>
      <c r="U165" s="847">
        <f t="shared" si="23"/>
        <v>2</v>
      </c>
      <c r="V165" s="833" t="s">
        <v>789</v>
      </c>
      <c r="W165" s="471"/>
      <c r="X165" s="3"/>
      <c r="Y165" s="3"/>
      <c r="Z165" s="3"/>
      <c r="AA165" s="3"/>
    </row>
    <row r="166" spans="1:27" ht="39.75" customHeight="1">
      <c r="A166" s="736"/>
      <c r="B166" s="736"/>
      <c r="C166" s="736"/>
      <c r="D166" s="829">
        <v>157</v>
      </c>
      <c r="E166" s="829" t="s">
        <v>331</v>
      </c>
      <c r="F166" s="829"/>
      <c r="G166" s="829"/>
      <c r="H166" s="829"/>
      <c r="I166" s="829"/>
      <c r="J166" s="829"/>
      <c r="K166" s="829"/>
      <c r="L166" s="829"/>
      <c r="M166" s="829"/>
      <c r="N166" s="829"/>
      <c r="O166" s="829"/>
      <c r="P166" s="829"/>
      <c r="Q166" s="829"/>
      <c r="R166" s="829"/>
      <c r="S166" s="829"/>
      <c r="T166" s="847">
        <f t="shared" si="12"/>
        <v>0</v>
      </c>
      <c r="U166" s="847">
        <f t="shared" ref="U166:U167" si="24">T166*110%</f>
        <v>0</v>
      </c>
      <c r="V166" s="833"/>
      <c r="W166" s="471"/>
      <c r="X166" s="3"/>
      <c r="Y166" s="3"/>
      <c r="Z166" s="3"/>
      <c r="AA166" s="3"/>
    </row>
    <row r="167" spans="1:27" ht="39.75" customHeight="1">
      <c r="A167" s="736"/>
      <c r="B167" s="736"/>
      <c r="C167" s="736"/>
      <c r="D167" s="829">
        <v>158</v>
      </c>
      <c r="E167" s="829" t="s">
        <v>332</v>
      </c>
      <c r="F167" s="829"/>
      <c r="G167" s="829"/>
      <c r="H167" s="829"/>
      <c r="I167" s="829"/>
      <c r="J167" s="829"/>
      <c r="K167" s="829"/>
      <c r="L167" s="829"/>
      <c r="M167" s="829"/>
      <c r="N167" s="829"/>
      <c r="O167" s="829"/>
      <c r="P167" s="829"/>
      <c r="Q167" s="847"/>
      <c r="R167" s="829"/>
      <c r="S167" s="829"/>
      <c r="T167" s="847">
        <f t="shared" si="12"/>
        <v>0</v>
      </c>
      <c r="U167" s="847">
        <f t="shared" si="24"/>
        <v>0</v>
      </c>
      <c r="V167" s="833"/>
      <c r="W167" s="471"/>
      <c r="X167" s="3"/>
      <c r="Y167" s="3"/>
      <c r="Z167" s="3"/>
      <c r="AA167" s="3"/>
    </row>
    <row r="168" spans="1:27" ht="409.5">
      <c r="A168" s="736"/>
      <c r="B168" s="828" t="s">
        <v>333</v>
      </c>
      <c r="C168" s="828" t="s">
        <v>275</v>
      </c>
      <c r="D168" s="829">
        <v>159</v>
      </c>
      <c r="E168" s="829" t="s">
        <v>276</v>
      </c>
      <c r="F168" s="829"/>
      <c r="G168" s="829"/>
      <c r="H168" s="829"/>
      <c r="I168" s="829"/>
      <c r="J168" s="829"/>
      <c r="K168" s="847"/>
      <c r="L168" s="829"/>
      <c r="M168" s="829"/>
      <c r="N168" s="845">
        <v>40.74</v>
      </c>
      <c r="O168" s="845">
        <v>601.87</v>
      </c>
      <c r="P168" s="845">
        <v>57.04</v>
      </c>
      <c r="Q168" s="829">
        <v>5.3289999999999997</v>
      </c>
      <c r="R168" s="829"/>
      <c r="S168" s="829"/>
      <c r="T168" s="847">
        <f t="shared" si="12"/>
        <v>704.97899999999993</v>
      </c>
      <c r="U168" s="728">
        <f>T168+2</f>
        <v>706.97899999999993</v>
      </c>
      <c r="V168" s="833" t="s">
        <v>790</v>
      </c>
      <c r="W168" s="471"/>
      <c r="X168" s="3"/>
      <c r="Y168" s="3"/>
      <c r="Z168" s="3"/>
      <c r="AA168" s="3"/>
    </row>
    <row r="169" spans="1:27" ht="39.75" customHeight="1">
      <c r="A169" s="736"/>
      <c r="B169" s="736"/>
      <c r="C169" s="736"/>
      <c r="D169" s="829">
        <v>160</v>
      </c>
      <c r="E169" s="829" t="s">
        <v>334</v>
      </c>
      <c r="F169" s="829"/>
      <c r="G169" s="829"/>
      <c r="H169" s="829"/>
      <c r="I169" s="829"/>
      <c r="J169" s="829"/>
      <c r="K169" s="829"/>
      <c r="L169" s="829"/>
      <c r="M169" s="829"/>
      <c r="N169" s="829"/>
      <c r="O169" s="829"/>
      <c r="P169" s="829"/>
      <c r="Q169" s="829"/>
      <c r="R169" s="829"/>
      <c r="S169" s="829"/>
      <c r="T169" s="847">
        <f t="shared" si="12"/>
        <v>0</v>
      </c>
      <c r="U169" s="847">
        <f t="shared" ref="U169:U171" si="25">T169*110%</f>
        <v>0</v>
      </c>
      <c r="V169" s="833"/>
      <c r="W169" s="471"/>
      <c r="X169" s="3"/>
      <c r="Y169" s="3"/>
      <c r="Z169" s="3"/>
      <c r="AA169" s="3"/>
    </row>
    <row r="170" spans="1:27" ht="39.75" customHeight="1">
      <c r="A170" s="736"/>
      <c r="B170" s="736"/>
      <c r="C170" s="736"/>
      <c r="D170" s="829">
        <v>161</v>
      </c>
      <c r="E170" s="829" t="s">
        <v>279</v>
      </c>
      <c r="F170" s="829"/>
      <c r="G170" s="829"/>
      <c r="H170" s="829"/>
      <c r="I170" s="829"/>
      <c r="J170" s="829"/>
      <c r="K170" s="829"/>
      <c r="L170" s="829"/>
      <c r="M170" s="829"/>
      <c r="N170" s="829"/>
      <c r="O170" s="829"/>
      <c r="P170" s="829"/>
      <c r="Q170" s="829"/>
      <c r="R170" s="829"/>
      <c r="S170" s="829"/>
      <c r="T170" s="847">
        <f t="shared" si="12"/>
        <v>0</v>
      </c>
      <c r="U170" s="847">
        <f t="shared" si="25"/>
        <v>0</v>
      </c>
      <c r="V170" s="833"/>
      <c r="W170" s="471"/>
      <c r="X170" s="3"/>
      <c r="Y170" s="3"/>
      <c r="Z170" s="3"/>
      <c r="AA170" s="3"/>
    </row>
    <row r="171" spans="1:27" ht="39.75" customHeight="1">
      <c r="A171" s="736"/>
      <c r="B171" s="736"/>
      <c r="C171" s="736"/>
      <c r="D171" s="829">
        <v>162</v>
      </c>
      <c r="E171" s="829" t="s">
        <v>280</v>
      </c>
      <c r="F171" s="829"/>
      <c r="G171" s="829"/>
      <c r="H171" s="829"/>
      <c r="I171" s="829"/>
      <c r="J171" s="829"/>
      <c r="K171" s="829"/>
      <c r="L171" s="829"/>
      <c r="M171" s="829"/>
      <c r="N171" s="829"/>
      <c r="O171" s="829"/>
      <c r="P171" s="829"/>
      <c r="Q171" s="829"/>
      <c r="R171" s="829"/>
      <c r="S171" s="829"/>
      <c r="T171" s="847">
        <f t="shared" si="12"/>
        <v>0</v>
      </c>
      <c r="U171" s="847">
        <f t="shared" si="25"/>
        <v>0</v>
      </c>
      <c r="V171" s="833"/>
      <c r="W171" s="471"/>
      <c r="X171" s="3"/>
      <c r="Y171" s="3"/>
      <c r="Z171" s="3"/>
      <c r="AA171" s="3"/>
    </row>
    <row r="172" spans="1:27" ht="180">
      <c r="A172" s="736"/>
      <c r="B172" s="736"/>
      <c r="C172" s="736"/>
      <c r="D172" s="829">
        <v>163</v>
      </c>
      <c r="E172" s="829" t="s">
        <v>335</v>
      </c>
      <c r="F172" s="829"/>
      <c r="G172" s="829"/>
      <c r="H172" s="829"/>
      <c r="I172" s="829"/>
      <c r="J172" s="829"/>
      <c r="K172" s="829"/>
      <c r="L172" s="829"/>
      <c r="M172" s="829"/>
      <c r="N172" s="829"/>
      <c r="O172" s="845">
        <v>11.645</v>
      </c>
      <c r="P172" s="845">
        <v>1.8</v>
      </c>
      <c r="Q172" s="847">
        <v>6.35</v>
      </c>
      <c r="R172" s="829"/>
      <c r="S172" s="829"/>
      <c r="T172" s="847">
        <f t="shared" si="12"/>
        <v>19.795000000000002</v>
      </c>
      <c r="U172" s="847">
        <f>13.535+6.35</f>
        <v>19.884999999999998</v>
      </c>
      <c r="V172" s="833" t="s">
        <v>791</v>
      </c>
      <c r="W172" s="471"/>
      <c r="X172" s="3"/>
      <c r="Y172" s="3"/>
      <c r="Z172" s="3"/>
      <c r="AA172" s="3"/>
    </row>
    <row r="173" spans="1:27" ht="39.75" customHeight="1">
      <c r="A173" s="736"/>
      <c r="B173" s="828" t="s">
        <v>336</v>
      </c>
      <c r="C173" s="828" t="s">
        <v>337</v>
      </c>
      <c r="D173" s="829">
        <v>164</v>
      </c>
      <c r="E173" s="829" t="s">
        <v>338</v>
      </c>
      <c r="F173" s="829"/>
      <c r="G173" s="845"/>
      <c r="H173" s="845"/>
      <c r="I173" s="829"/>
      <c r="J173" s="829"/>
      <c r="K173" s="829"/>
      <c r="L173" s="829"/>
      <c r="M173" s="829"/>
      <c r="N173" s="829"/>
      <c r="O173" s="829"/>
      <c r="P173" s="829"/>
      <c r="Q173" s="829"/>
      <c r="R173" s="829"/>
      <c r="S173" s="829"/>
      <c r="T173" s="847">
        <f t="shared" si="12"/>
        <v>0</v>
      </c>
      <c r="U173" s="847">
        <f t="shared" ref="U173:U183" si="26">T173*110%</f>
        <v>0</v>
      </c>
      <c r="V173" s="833"/>
      <c r="W173" s="471"/>
      <c r="X173" s="3"/>
      <c r="Y173" s="3"/>
      <c r="Z173" s="3"/>
      <c r="AA173" s="3"/>
    </row>
    <row r="174" spans="1:27" ht="39.75" customHeight="1">
      <c r="A174" s="736"/>
      <c r="B174" s="736"/>
      <c r="C174" s="736"/>
      <c r="D174" s="829">
        <v>165</v>
      </c>
      <c r="E174" s="829" t="s">
        <v>339</v>
      </c>
      <c r="F174" s="829"/>
      <c r="G174" s="845"/>
      <c r="H174" s="845"/>
      <c r="I174" s="829"/>
      <c r="J174" s="829"/>
      <c r="K174" s="829"/>
      <c r="L174" s="829"/>
      <c r="M174" s="829"/>
      <c r="N174" s="829"/>
      <c r="O174" s="829"/>
      <c r="P174" s="829"/>
      <c r="Q174" s="829"/>
      <c r="R174" s="829"/>
      <c r="S174" s="829"/>
      <c r="T174" s="847">
        <f t="shared" si="12"/>
        <v>0</v>
      </c>
      <c r="U174" s="847">
        <f t="shared" si="26"/>
        <v>0</v>
      </c>
      <c r="V174" s="833"/>
      <c r="W174" s="471"/>
      <c r="X174" s="3"/>
      <c r="Y174" s="3"/>
      <c r="Z174" s="3"/>
      <c r="AA174" s="3"/>
    </row>
    <row r="175" spans="1:27" ht="39.75" customHeight="1">
      <c r="A175" s="736"/>
      <c r="B175" s="736"/>
      <c r="C175" s="736"/>
      <c r="D175" s="829">
        <v>166</v>
      </c>
      <c r="E175" s="829" t="s">
        <v>340</v>
      </c>
      <c r="F175" s="829"/>
      <c r="G175" s="845"/>
      <c r="H175" s="845"/>
      <c r="I175" s="829"/>
      <c r="J175" s="829"/>
      <c r="K175" s="829"/>
      <c r="L175" s="829"/>
      <c r="M175" s="829"/>
      <c r="N175" s="829"/>
      <c r="O175" s="829"/>
      <c r="P175" s="829"/>
      <c r="Q175" s="829"/>
      <c r="R175" s="829"/>
      <c r="S175" s="829"/>
      <c r="T175" s="847">
        <f t="shared" si="12"/>
        <v>0</v>
      </c>
      <c r="U175" s="847">
        <f t="shared" si="26"/>
        <v>0</v>
      </c>
      <c r="V175" s="833"/>
      <c r="W175" s="471"/>
      <c r="X175" s="3"/>
      <c r="Y175" s="3"/>
      <c r="Z175" s="3"/>
      <c r="AA175" s="3"/>
    </row>
    <row r="176" spans="1:27" ht="39.75" customHeight="1">
      <c r="A176" s="736"/>
      <c r="B176" s="736"/>
      <c r="C176" s="736"/>
      <c r="D176" s="829">
        <v>167</v>
      </c>
      <c r="E176" s="829" t="s">
        <v>341</v>
      </c>
      <c r="F176" s="829"/>
      <c r="G176" s="845"/>
      <c r="H176" s="845"/>
      <c r="I176" s="829"/>
      <c r="J176" s="829"/>
      <c r="K176" s="829"/>
      <c r="L176" s="829"/>
      <c r="M176" s="829"/>
      <c r="N176" s="829"/>
      <c r="O176" s="829"/>
      <c r="P176" s="829"/>
      <c r="Q176" s="829"/>
      <c r="R176" s="829"/>
      <c r="S176" s="829"/>
      <c r="T176" s="847">
        <f t="shared" si="12"/>
        <v>0</v>
      </c>
      <c r="U176" s="847">
        <f t="shared" si="26"/>
        <v>0</v>
      </c>
      <c r="V176" s="833"/>
      <c r="W176" s="471"/>
      <c r="X176" s="3"/>
      <c r="Y176" s="3"/>
      <c r="Z176" s="3"/>
      <c r="AA176" s="3"/>
    </row>
    <row r="177" spans="1:27" ht="39.75" customHeight="1">
      <c r="A177" s="736"/>
      <c r="B177" s="736"/>
      <c r="C177" s="736"/>
      <c r="D177" s="829">
        <v>168</v>
      </c>
      <c r="E177" s="829" t="s">
        <v>342</v>
      </c>
      <c r="F177" s="829"/>
      <c r="G177" s="845"/>
      <c r="H177" s="845"/>
      <c r="I177" s="829"/>
      <c r="J177" s="829"/>
      <c r="K177" s="829"/>
      <c r="L177" s="829"/>
      <c r="M177" s="829"/>
      <c r="N177" s="829"/>
      <c r="O177" s="829"/>
      <c r="P177" s="829"/>
      <c r="Q177" s="829"/>
      <c r="R177" s="829"/>
      <c r="S177" s="829"/>
      <c r="T177" s="847">
        <f t="shared" si="12"/>
        <v>0</v>
      </c>
      <c r="U177" s="847">
        <f t="shared" si="26"/>
        <v>0</v>
      </c>
      <c r="V177" s="833"/>
      <c r="W177" s="471"/>
      <c r="X177" s="3"/>
      <c r="Y177" s="3"/>
      <c r="Z177" s="3"/>
      <c r="AA177" s="3"/>
    </row>
    <row r="178" spans="1:27" ht="39.75" customHeight="1">
      <c r="A178" s="736"/>
      <c r="B178" s="736"/>
      <c r="C178" s="736"/>
      <c r="D178" s="829">
        <v>169</v>
      </c>
      <c r="E178" s="829" t="s">
        <v>343</v>
      </c>
      <c r="F178" s="829"/>
      <c r="G178" s="845"/>
      <c r="H178" s="845"/>
      <c r="I178" s="847"/>
      <c r="J178" s="829"/>
      <c r="K178" s="829"/>
      <c r="L178" s="829"/>
      <c r="M178" s="829"/>
      <c r="N178" s="829"/>
      <c r="O178" s="829"/>
      <c r="P178" s="829"/>
      <c r="Q178" s="829"/>
      <c r="R178" s="829"/>
      <c r="S178" s="829"/>
      <c r="T178" s="847">
        <f t="shared" si="12"/>
        <v>0</v>
      </c>
      <c r="U178" s="847">
        <f t="shared" si="26"/>
        <v>0</v>
      </c>
      <c r="V178" s="833"/>
      <c r="W178" s="471"/>
      <c r="X178" s="3"/>
      <c r="Y178" s="3"/>
      <c r="Z178" s="3"/>
      <c r="AA178" s="3"/>
    </row>
    <row r="179" spans="1:27" ht="39.75" customHeight="1">
      <c r="A179" s="736"/>
      <c r="B179" s="736"/>
      <c r="C179" s="736"/>
      <c r="D179" s="829">
        <v>170</v>
      </c>
      <c r="E179" s="829" t="s">
        <v>344</v>
      </c>
      <c r="F179" s="829"/>
      <c r="G179" s="829"/>
      <c r="H179" s="829"/>
      <c r="I179" s="829"/>
      <c r="J179" s="829"/>
      <c r="K179" s="829"/>
      <c r="L179" s="829"/>
      <c r="M179" s="829"/>
      <c r="N179" s="829"/>
      <c r="O179" s="829"/>
      <c r="P179" s="829"/>
      <c r="Q179" s="829"/>
      <c r="R179" s="829"/>
      <c r="S179" s="829"/>
      <c r="T179" s="847">
        <f t="shared" si="12"/>
        <v>0</v>
      </c>
      <c r="U179" s="847">
        <f t="shared" si="26"/>
        <v>0</v>
      </c>
      <c r="V179" s="833"/>
      <c r="W179" s="471"/>
      <c r="X179" s="3"/>
      <c r="Y179" s="3"/>
      <c r="Z179" s="3"/>
      <c r="AA179" s="3"/>
    </row>
    <row r="180" spans="1:27" ht="39.75" customHeight="1">
      <c r="A180" s="736"/>
      <c r="B180" s="828" t="s">
        <v>345</v>
      </c>
      <c r="C180" s="828" t="s">
        <v>346</v>
      </c>
      <c r="D180" s="829">
        <v>171</v>
      </c>
      <c r="E180" s="829" t="s">
        <v>347</v>
      </c>
      <c r="F180" s="829"/>
      <c r="G180" s="829"/>
      <c r="H180" s="829"/>
      <c r="I180" s="829"/>
      <c r="J180" s="829"/>
      <c r="K180" s="829"/>
      <c r="L180" s="829"/>
      <c r="M180" s="829"/>
      <c r="N180" s="829"/>
      <c r="O180" s="829"/>
      <c r="P180" s="829"/>
      <c r="Q180" s="829"/>
      <c r="R180" s="829"/>
      <c r="S180" s="829"/>
      <c r="T180" s="847">
        <f t="shared" si="12"/>
        <v>0</v>
      </c>
      <c r="U180" s="847">
        <f t="shared" si="26"/>
        <v>0</v>
      </c>
      <c r="V180" s="833"/>
      <c r="W180" s="471"/>
      <c r="X180" s="3"/>
      <c r="Y180" s="3"/>
      <c r="Z180" s="3"/>
      <c r="AA180" s="3"/>
    </row>
    <row r="181" spans="1:27" ht="39.75" customHeight="1">
      <c r="A181" s="736"/>
      <c r="B181" s="736"/>
      <c r="C181" s="736"/>
      <c r="D181" s="829">
        <v>172</v>
      </c>
      <c r="E181" s="829" t="s">
        <v>348</v>
      </c>
      <c r="F181" s="829"/>
      <c r="G181" s="829"/>
      <c r="H181" s="829"/>
      <c r="I181" s="829"/>
      <c r="J181" s="829"/>
      <c r="K181" s="829"/>
      <c r="L181" s="829"/>
      <c r="M181" s="829"/>
      <c r="N181" s="829"/>
      <c r="O181" s="829"/>
      <c r="P181" s="847"/>
      <c r="Q181" s="829"/>
      <c r="R181" s="829"/>
      <c r="S181" s="829"/>
      <c r="T181" s="847">
        <f t="shared" si="12"/>
        <v>0</v>
      </c>
      <c r="U181" s="847">
        <f t="shared" si="26"/>
        <v>0</v>
      </c>
      <c r="V181" s="833"/>
      <c r="W181" s="471"/>
      <c r="X181" s="3"/>
      <c r="Y181" s="3"/>
      <c r="Z181" s="3"/>
      <c r="AA181" s="3"/>
    </row>
    <row r="182" spans="1:27" ht="39.75" customHeight="1">
      <c r="A182" s="736"/>
      <c r="B182" s="736"/>
      <c r="C182" s="736"/>
      <c r="D182" s="829">
        <v>173</v>
      </c>
      <c r="E182" s="829" t="s">
        <v>349</v>
      </c>
      <c r="F182" s="829"/>
      <c r="G182" s="829"/>
      <c r="H182" s="829"/>
      <c r="I182" s="829"/>
      <c r="J182" s="829"/>
      <c r="K182" s="829"/>
      <c r="L182" s="829"/>
      <c r="M182" s="829"/>
      <c r="N182" s="829"/>
      <c r="O182" s="829"/>
      <c r="P182" s="829"/>
      <c r="Q182" s="829"/>
      <c r="R182" s="829"/>
      <c r="S182" s="829"/>
      <c r="T182" s="847">
        <f t="shared" si="12"/>
        <v>0</v>
      </c>
      <c r="U182" s="847">
        <f t="shared" si="26"/>
        <v>0</v>
      </c>
      <c r="V182" s="833"/>
      <c r="W182" s="471"/>
      <c r="X182" s="3"/>
      <c r="Y182" s="3"/>
      <c r="Z182" s="3"/>
      <c r="AA182" s="3"/>
    </row>
    <row r="183" spans="1:27" ht="39.75" customHeight="1">
      <c r="A183" s="736"/>
      <c r="B183" s="736"/>
      <c r="C183" s="736"/>
      <c r="D183" s="829">
        <v>174</v>
      </c>
      <c r="E183" s="829" t="s">
        <v>350</v>
      </c>
      <c r="F183" s="829"/>
      <c r="G183" s="829"/>
      <c r="H183" s="829"/>
      <c r="I183" s="829"/>
      <c r="J183" s="829"/>
      <c r="K183" s="829"/>
      <c r="L183" s="829"/>
      <c r="M183" s="829"/>
      <c r="N183" s="829"/>
      <c r="O183" s="829"/>
      <c r="P183" s="847"/>
      <c r="Q183" s="829"/>
      <c r="R183" s="829"/>
      <c r="S183" s="829"/>
      <c r="T183" s="847">
        <f t="shared" si="12"/>
        <v>0</v>
      </c>
      <c r="U183" s="847">
        <f t="shared" si="26"/>
        <v>0</v>
      </c>
      <c r="V183" s="833"/>
      <c r="W183" s="471"/>
      <c r="X183" s="3"/>
      <c r="Y183" s="3"/>
      <c r="Z183" s="3"/>
      <c r="AA183" s="3"/>
    </row>
    <row r="184" spans="1:27" ht="409.5">
      <c r="A184" s="736"/>
      <c r="B184" s="828" t="s">
        <v>351</v>
      </c>
      <c r="C184" s="828" t="s">
        <v>290</v>
      </c>
      <c r="D184" s="829">
        <v>175</v>
      </c>
      <c r="E184" s="829" t="s">
        <v>291</v>
      </c>
      <c r="F184" s="1201"/>
      <c r="G184" s="1201"/>
      <c r="H184" s="1201"/>
      <c r="I184" s="1218">
        <v>12.1</v>
      </c>
      <c r="J184" s="1201"/>
      <c r="K184" s="1201"/>
      <c r="L184" s="1201"/>
      <c r="M184" s="1201"/>
      <c r="N184" s="969">
        <v>14.4</v>
      </c>
      <c r="O184" s="1201"/>
      <c r="P184" s="966">
        <f>5+27.08</f>
        <v>32.08</v>
      </c>
      <c r="Q184" s="1219">
        <v>1</v>
      </c>
      <c r="R184" s="1203">
        <v>0.79</v>
      </c>
      <c r="S184" s="1203"/>
      <c r="T184" s="847">
        <f t="shared" si="12"/>
        <v>60.37</v>
      </c>
      <c r="U184" s="847">
        <f t="shared" ref="U184:U186" si="27">T184</f>
        <v>60.37</v>
      </c>
      <c r="V184" s="1220" t="s">
        <v>792</v>
      </c>
      <c r="W184" s="471"/>
      <c r="X184" s="3"/>
      <c r="Y184" s="3"/>
      <c r="Z184" s="3"/>
      <c r="AA184" s="3"/>
    </row>
    <row r="185" spans="1:27" ht="409.5">
      <c r="A185" s="736"/>
      <c r="B185" s="736"/>
      <c r="C185" s="736"/>
      <c r="D185" s="829">
        <v>176</v>
      </c>
      <c r="E185" s="829" t="s">
        <v>293</v>
      </c>
      <c r="F185" s="913"/>
      <c r="G185" s="913"/>
      <c r="H185" s="1201"/>
      <c r="I185" s="1221"/>
      <c r="J185" s="1201"/>
      <c r="K185" s="1201"/>
      <c r="L185" s="1201"/>
      <c r="M185" s="1203">
        <v>26.5</v>
      </c>
      <c r="N185" s="1201"/>
      <c r="O185" s="1201"/>
      <c r="P185" s="1203">
        <v>74.400000000000006</v>
      </c>
      <c r="Q185" s="1203">
        <v>9.8000000000000007</v>
      </c>
      <c r="R185" s="913"/>
      <c r="S185" s="913"/>
      <c r="T185" s="847">
        <f t="shared" si="12"/>
        <v>110.7</v>
      </c>
      <c r="U185" s="847">
        <f t="shared" si="27"/>
        <v>110.7</v>
      </c>
      <c r="V185" s="1222" t="s">
        <v>793</v>
      </c>
      <c r="W185" s="471"/>
      <c r="X185" s="3"/>
      <c r="Y185" s="3"/>
      <c r="Z185" s="3"/>
      <c r="AA185" s="3"/>
    </row>
    <row r="186" spans="1:27" ht="39.75" customHeight="1">
      <c r="A186" s="736"/>
      <c r="B186" s="736"/>
      <c r="C186" s="736"/>
      <c r="D186" s="829">
        <v>177</v>
      </c>
      <c r="E186" s="829" t="s">
        <v>295</v>
      </c>
      <c r="F186" s="913"/>
      <c r="G186" s="913"/>
      <c r="H186" s="913"/>
      <c r="I186" s="913"/>
      <c r="J186" s="913"/>
      <c r="K186" s="913"/>
      <c r="L186" s="913"/>
      <c r="M186" s="913"/>
      <c r="N186" s="915">
        <v>1</v>
      </c>
      <c r="O186" s="913"/>
      <c r="P186" s="913"/>
      <c r="Q186" s="913"/>
      <c r="R186" s="913"/>
      <c r="S186" s="913"/>
      <c r="T186" s="847">
        <f t="shared" si="12"/>
        <v>1</v>
      </c>
      <c r="U186" s="847">
        <f t="shared" si="27"/>
        <v>1</v>
      </c>
      <c r="V186" s="1196" t="s">
        <v>352</v>
      </c>
      <c r="W186" s="471"/>
      <c r="X186" s="3"/>
      <c r="Y186" s="3"/>
      <c r="Z186" s="3"/>
      <c r="AA186" s="3"/>
    </row>
    <row r="187" spans="1:27" ht="39.75" customHeight="1">
      <c r="A187" s="736"/>
      <c r="B187" s="828" t="s">
        <v>353</v>
      </c>
      <c r="C187" s="828" t="s">
        <v>354</v>
      </c>
      <c r="D187" s="829">
        <v>178</v>
      </c>
      <c r="E187" s="829" t="s">
        <v>355</v>
      </c>
      <c r="F187" s="829"/>
      <c r="G187" s="829"/>
      <c r="H187" s="829"/>
      <c r="I187" s="829"/>
      <c r="J187" s="829"/>
      <c r="K187" s="829"/>
      <c r="L187" s="829"/>
      <c r="M187" s="829"/>
      <c r="N187" s="829"/>
      <c r="O187" s="829"/>
      <c r="P187" s="847">
        <v>1.5</v>
      </c>
      <c r="Q187" s="829"/>
      <c r="R187" s="829"/>
      <c r="S187" s="829"/>
      <c r="T187" s="847">
        <f t="shared" ref="T187" si="28">SUM(F187:S187)</f>
        <v>1.5</v>
      </c>
      <c r="U187" s="847">
        <f>T187</f>
        <v>1.5</v>
      </c>
      <c r="V187" s="744" t="s">
        <v>1857</v>
      </c>
      <c r="W187" s="471"/>
      <c r="X187" s="3"/>
      <c r="Y187" s="3"/>
      <c r="Z187" s="3"/>
      <c r="AA187" s="3"/>
    </row>
    <row r="188" spans="1:27" ht="39.75" customHeight="1">
      <c r="A188" s="736"/>
      <c r="B188" s="736"/>
      <c r="C188" s="736"/>
      <c r="D188" s="829">
        <v>179</v>
      </c>
      <c r="E188" s="829" t="s">
        <v>157</v>
      </c>
      <c r="F188" s="829"/>
      <c r="G188" s="829"/>
      <c r="H188" s="829"/>
      <c r="I188" s="829"/>
      <c r="J188" s="829"/>
      <c r="K188" s="829"/>
      <c r="L188" s="829"/>
      <c r="M188" s="829"/>
      <c r="N188" s="829"/>
      <c r="O188" s="829"/>
      <c r="P188" s="829"/>
      <c r="Q188" s="829"/>
      <c r="R188" s="829"/>
      <c r="S188" s="829"/>
      <c r="T188" s="847">
        <f t="shared" si="12"/>
        <v>0</v>
      </c>
      <c r="U188" s="847">
        <f t="shared" ref="U187:U190" si="29">T188*110%</f>
        <v>0</v>
      </c>
      <c r="V188" s="833"/>
      <c r="W188" s="471"/>
      <c r="X188" s="3"/>
      <c r="Y188" s="3"/>
      <c r="Z188" s="3"/>
      <c r="AA188" s="3"/>
    </row>
    <row r="189" spans="1:27" ht="39.75" customHeight="1">
      <c r="A189" s="736"/>
      <c r="B189" s="736"/>
      <c r="C189" s="736"/>
      <c r="D189" s="829">
        <v>180</v>
      </c>
      <c r="E189" s="829" t="s">
        <v>356</v>
      </c>
      <c r="F189" s="829"/>
      <c r="G189" s="829"/>
      <c r="H189" s="829"/>
      <c r="I189" s="829"/>
      <c r="J189" s="829"/>
      <c r="K189" s="847"/>
      <c r="L189" s="829"/>
      <c r="M189" s="829"/>
      <c r="N189" s="829"/>
      <c r="O189" s="829"/>
      <c r="P189" s="845"/>
      <c r="Q189" s="829"/>
      <c r="R189" s="829"/>
      <c r="S189" s="829"/>
      <c r="T189" s="847">
        <f t="shared" si="12"/>
        <v>0</v>
      </c>
      <c r="U189" s="847">
        <f t="shared" si="29"/>
        <v>0</v>
      </c>
      <c r="V189" s="833"/>
      <c r="W189" s="471"/>
      <c r="X189" s="3"/>
      <c r="Y189" s="3"/>
      <c r="Z189" s="3"/>
      <c r="AA189" s="3"/>
    </row>
    <row r="190" spans="1:27" ht="39.75" customHeight="1">
      <c r="A190" s="736"/>
      <c r="B190" s="736"/>
      <c r="C190" s="736"/>
      <c r="D190" s="829">
        <v>181</v>
      </c>
      <c r="E190" s="829" t="s">
        <v>357</v>
      </c>
      <c r="F190" s="829"/>
      <c r="G190" s="829"/>
      <c r="H190" s="829"/>
      <c r="I190" s="829"/>
      <c r="J190" s="829"/>
      <c r="K190" s="829"/>
      <c r="L190" s="829"/>
      <c r="M190" s="829"/>
      <c r="N190" s="829"/>
      <c r="O190" s="829"/>
      <c r="P190" s="829"/>
      <c r="Q190" s="829"/>
      <c r="R190" s="829"/>
      <c r="S190" s="829"/>
      <c r="T190" s="847">
        <f t="shared" si="12"/>
        <v>0</v>
      </c>
      <c r="U190" s="847">
        <f t="shared" si="29"/>
        <v>0</v>
      </c>
      <c r="V190" s="833"/>
      <c r="W190" s="471"/>
      <c r="X190" s="3"/>
      <c r="Y190" s="3"/>
      <c r="Z190" s="3"/>
      <c r="AA190" s="3"/>
    </row>
    <row r="191" spans="1:27" ht="58.5" customHeight="1">
      <c r="A191" s="736"/>
      <c r="B191" s="736"/>
      <c r="C191" s="736"/>
      <c r="D191" s="829">
        <v>182</v>
      </c>
      <c r="E191" s="829" t="s">
        <v>358</v>
      </c>
      <c r="F191" s="829"/>
      <c r="G191" s="829"/>
      <c r="H191" s="829"/>
      <c r="I191" s="829"/>
      <c r="J191" s="829"/>
      <c r="K191" s="829"/>
      <c r="L191" s="829"/>
      <c r="M191" s="829"/>
      <c r="N191" s="829"/>
      <c r="O191" s="829"/>
      <c r="P191" s="847">
        <v>3</v>
      </c>
      <c r="Q191" s="829"/>
      <c r="R191" s="829"/>
      <c r="S191" s="829"/>
      <c r="T191" s="847">
        <f t="shared" si="12"/>
        <v>3</v>
      </c>
      <c r="U191" s="728">
        <f>T191*1.05</f>
        <v>3.1500000000000004</v>
      </c>
      <c r="V191" s="833" t="s">
        <v>794</v>
      </c>
      <c r="W191" s="471"/>
      <c r="X191" s="3"/>
      <c r="Y191" s="3"/>
      <c r="Z191" s="3"/>
      <c r="AA191" s="3"/>
    </row>
    <row r="192" spans="1:27" ht="39.75" customHeight="1">
      <c r="A192" s="736"/>
      <c r="B192" s="736"/>
      <c r="C192" s="736"/>
      <c r="D192" s="829">
        <v>183</v>
      </c>
      <c r="E192" s="829" t="s">
        <v>360</v>
      </c>
      <c r="F192" s="829"/>
      <c r="G192" s="829"/>
      <c r="H192" s="829"/>
      <c r="I192" s="829"/>
      <c r="J192" s="829"/>
      <c r="K192" s="829"/>
      <c r="L192" s="829"/>
      <c r="M192" s="829"/>
      <c r="N192" s="829"/>
      <c r="O192" s="829"/>
      <c r="P192" s="845"/>
      <c r="Q192" s="829"/>
      <c r="R192" s="829"/>
      <c r="S192" s="829"/>
      <c r="T192" s="847">
        <f t="shared" si="12"/>
        <v>0</v>
      </c>
      <c r="U192" s="847">
        <f t="shared" ref="U192:U193" si="30">T192*110%</f>
        <v>0</v>
      </c>
      <c r="V192" s="833"/>
      <c r="W192" s="471"/>
      <c r="X192" s="3"/>
      <c r="Y192" s="3"/>
      <c r="Z192" s="3"/>
      <c r="AA192" s="3"/>
    </row>
    <row r="193" spans="1:27" ht="39.75" customHeight="1">
      <c r="A193" s="736"/>
      <c r="B193" s="829" t="s">
        <v>361</v>
      </c>
      <c r="C193" s="829" t="s">
        <v>362</v>
      </c>
      <c r="D193" s="829">
        <v>184</v>
      </c>
      <c r="E193" s="829" t="s">
        <v>363</v>
      </c>
      <c r="F193" s="829"/>
      <c r="G193" s="829"/>
      <c r="H193" s="829"/>
      <c r="I193" s="829"/>
      <c r="J193" s="829"/>
      <c r="K193" s="829"/>
      <c r="L193" s="829"/>
      <c r="M193" s="829"/>
      <c r="N193" s="829"/>
      <c r="O193" s="829"/>
      <c r="P193" s="847"/>
      <c r="Q193" s="829"/>
      <c r="R193" s="829"/>
      <c r="S193" s="829"/>
      <c r="T193" s="847">
        <f t="shared" si="12"/>
        <v>0</v>
      </c>
      <c r="U193" s="847">
        <f t="shared" si="30"/>
        <v>0</v>
      </c>
      <c r="V193" s="833"/>
      <c r="W193" s="471"/>
      <c r="X193" s="3"/>
      <c r="Y193" s="3"/>
      <c r="Z193" s="3"/>
      <c r="AA193" s="3"/>
    </row>
    <row r="194" spans="1:27" ht="39.75" customHeight="1">
      <c r="A194" s="736"/>
      <c r="B194" s="828" t="s">
        <v>364</v>
      </c>
      <c r="C194" s="828" t="s">
        <v>297</v>
      </c>
      <c r="D194" s="829">
        <v>185</v>
      </c>
      <c r="E194" s="829" t="s">
        <v>298</v>
      </c>
      <c r="F194" s="829"/>
      <c r="G194" s="829"/>
      <c r="H194" s="829"/>
      <c r="I194" s="829"/>
      <c r="J194" s="829"/>
      <c r="K194" s="829"/>
      <c r="L194" s="829"/>
      <c r="M194" s="829"/>
      <c r="N194" s="829"/>
      <c r="O194" s="829"/>
      <c r="P194" s="783">
        <v>2851.0305700000004</v>
      </c>
      <c r="Q194" s="829"/>
      <c r="R194" s="829"/>
      <c r="S194" s="829"/>
      <c r="T194" s="847">
        <f t="shared" si="12"/>
        <v>2851.0305700000004</v>
      </c>
      <c r="U194" s="887">
        <v>3063.1472444080005</v>
      </c>
      <c r="V194" s="1206" t="s">
        <v>1732</v>
      </c>
      <c r="W194" s="471"/>
      <c r="X194" s="3"/>
      <c r="Y194" s="3"/>
      <c r="Z194" s="3"/>
      <c r="AA194" s="3"/>
    </row>
    <row r="195" spans="1:27" ht="135">
      <c r="A195" s="736"/>
      <c r="B195" s="736"/>
      <c r="C195" s="736"/>
      <c r="D195" s="829">
        <v>186</v>
      </c>
      <c r="E195" s="829" t="s">
        <v>299</v>
      </c>
      <c r="F195" s="829"/>
      <c r="G195" s="829"/>
      <c r="H195" s="829"/>
      <c r="I195" s="829"/>
      <c r="J195" s="829"/>
      <c r="K195" s="829"/>
      <c r="L195" s="829"/>
      <c r="M195" s="829"/>
      <c r="N195" s="829"/>
      <c r="O195" s="829"/>
      <c r="P195" s="845">
        <f>7.627+4.025</f>
        <v>11.652000000000001</v>
      </c>
      <c r="Q195" s="847"/>
      <c r="R195" s="829"/>
      <c r="S195" s="829"/>
      <c r="T195" s="847">
        <f t="shared" si="12"/>
        <v>11.652000000000001</v>
      </c>
      <c r="U195" s="847">
        <f>T195</f>
        <v>11.652000000000001</v>
      </c>
      <c r="V195" s="833" t="s">
        <v>795</v>
      </c>
      <c r="W195" s="471"/>
      <c r="X195" s="3"/>
      <c r="Y195" s="3"/>
      <c r="Z195" s="3"/>
      <c r="AA195" s="3"/>
    </row>
    <row r="196" spans="1:27" ht="39.75" customHeight="1">
      <c r="A196" s="736"/>
      <c r="B196" s="736"/>
      <c r="C196" s="736"/>
      <c r="D196" s="829">
        <v>187</v>
      </c>
      <c r="E196" s="829" t="s">
        <v>367</v>
      </c>
      <c r="F196" s="829"/>
      <c r="G196" s="829"/>
      <c r="H196" s="829"/>
      <c r="I196" s="829"/>
      <c r="J196" s="829"/>
      <c r="K196" s="829"/>
      <c r="L196" s="829"/>
      <c r="M196" s="829"/>
      <c r="N196" s="829"/>
      <c r="O196" s="829"/>
      <c r="P196" s="783">
        <v>1293.8746799999999</v>
      </c>
      <c r="Q196" s="829"/>
      <c r="R196" s="829"/>
      <c r="S196" s="829"/>
      <c r="T196" s="847">
        <f t="shared" si="12"/>
        <v>1293.8746799999999</v>
      </c>
      <c r="U196" s="887">
        <v>1401.783828312</v>
      </c>
      <c r="V196" s="1206" t="s">
        <v>1732</v>
      </c>
      <c r="W196" s="471"/>
      <c r="X196" s="3"/>
      <c r="Y196" s="3"/>
      <c r="Z196" s="3"/>
      <c r="AA196" s="3"/>
    </row>
    <row r="197" spans="1:27" ht="39.75" customHeight="1">
      <c r="A197" s="736"/>
      <c r="B197" s="736"/>
      <c r="C197" s="736"/>
      <c r="D197" s="829">
        <v>188</v>
      </c>
      <c r="E197" s="829" t="s">
        <v>300</v>
      </c>
      <c r="F197" s="829"/>
      <c r="G197" s="829"/>
      <c r="H197" s="829"/>
      <c r="I197" s="829"/>
      <c r="J197" s="829"/>
      <c r="K197" s="829"/>
      <c r="L197" s="829"/>
      <c r="M197" s="829"/>
      <c r="N197" s="829"/>
      <c r="O197" s="829"/>
      <c r="P197" s="829"/>
      <c r="Q197" s="829"/>
      <c r="R197" s="829"/>
      <c r="S197" s="829"/>
      <c r="T197" s="847">
        <f t="shared" si="12"/>
        <v>0</v>
      </c>
      <c r="U197" s="847">
        <f t="shared" ref="U197:U198" si="31">T197*110%</f>
        <v>0</v>
      </c>
      <c r="V197" s="833"/>
      <c r="W197" s="471"/>
      <c r="X197" s="3"/>
      <c r="Y197" s="3"/>
      <c r="Z197" s="3"/>
      <c r="AA197" s="3"/>
    </row>
    <row r="198" spans="1:27" ht="39.75" customHeight="1">
      <c r="A198" s="736"/>
      <c r="B198" s="736"/>
      <c r="C198" s="736"/>
      <c r="D198" s="829">
        <v>189</v>
      </c>
      <c r="E198" s="829" t="s">
        <v>301</v>
      </c>
      <c r="F198" s="829"/>
      <c r="G198" s="829"/>
      <c r="H198" s="829"/>
      <c r="I198" s="829"/>
      <c r="J198" s="829"/>
      <c r="K198" s="829"/>
      <c r="L198" s="829"/>
      <c r="M198" s="829"/>
      <c r="N198" s="829"/>
      <c r="O198" s="829"/>
      <c r="P198" s="829"/>
      <c r="Q198" s="829"/>
      <c r="R198" s="829"/>
      <c r="S198" s="829"/>
      <c r="T198" s="847">
        <f t="shared" si="12"/>
        <v>0</v>
      </c>
      <c r="U198" s="847">
        <f t="shared" si="31"/>
        <v>0</v>
      </c>
      <c r="V198" s="833"/>
      <c r="W198" s="471"/>
      <c r="X198" s="3"/>
      <c r="Y198" s="3"/>
      <c r="Z198" s="3"/>
      <c r="AA198" s="3"/>
    </row>
    <row r="199" spans="1:27" ht="39.75" customHeight="1">
      <c r="A199" s="736"/>
      <c r="B199" s="736"/>
      <c r="C199" s="736"/>
      <c r="D199" s="829">
        <v>190</v>
      </c>
      <c r="E199" s="829" t="s">
        <v>368</v>
      </c>
      <c r="F199" s="829"/>
      <c r="G199" s="829"/>
      <c r="H199" s="829"/>
      <c r="I199" s="829"/>
      <c r="J199" s="829"/>
      <c r="K199" s="829"/>
      <c r="L199" s="829"/>
      <c r="M199" s="829"/>
      <c r="N199" s="829"/>
      <c r="O199" s="829"/>
      <c r="P199" s="845"/>
      <c r="Q199" s="829"/>
      <c r="R199" s="829"/>
      <c r="S199" s="829"/>
      <c r="T199" s="847">
        <f t="shared" si="12"/>
        <v>0</v>
      </c>
      <c r="U199" s="847"/>
      <c r="V199" s="833"/>
      <c r="W199" s="471"/>
      <c r="X199" s="3"/>
      <c r="Y199" s="3"/>
      <c r="Z199" s="3"/>
      <c r="AA199" s="3"/>
    </row>
    <row r="200" spans="1:27" ht="39.75" customHeight="1">
      <c r="A200" s="736"/>
      <c r="B200" s="828" t="s">
        <v>370</v>
      </c>
      <c r="C200" s="828" t="s">
        <v>371</v>
      </c>
      <c r="D200" s="829">
        <v>191</v>
      </c>
      <c r="E200" s="829" t="s">
        <v>372</v>
      </c>
      <c r="F200" s="829"/>
      <c r="G200" s="829"/>
      <c r="H200" s="829"/>
      <c r="I200" s="829"/>
      <c r="J200" s="829"/>
      <c r="K200" s="829"/>
      <c r="L200" s="829"/>
      <c r="M200" s="829"/>
      <c r="N200" s="847"/>
      <c r="O200" s="829"/>
      <c r="P200" s="829"/>
      <c r="Q200" s="829"/>
      <c r="R200" s="829"/>
      <c r="S200" s="829"/>
      <c r="T200" s="847">
        <f t="shared" si="12"/>
        <v>0</v>
      </c>
      <c r="U200" s="847">
        <f t="shared" ref="U200:U202" si="32">T200*110%</f>
        <v>0</v>
      </c>
      <c r="V200" s="833"/>
      <c r="W200" s="471"/>
      <c r="X200" s="3"/>
      <c r="Y200" s="3"/>
      <c r="Z200" s="3"/>
      <c r="AA200" s="3"/>
    </row>
    <row r="201" spans="1:27" ht="39.75" customHeight="1">
      <c r="A201" s="736"/>
      <c r="B201" s="736"/>
      <c r="C201" s="736"/>
      <c r="D201" s="829">
        <v>192</v>
      </c>
      <c r="E201" s="829" t="s">
        <v>373</v>
      </c>
      <c r="F201" s="829"/>
      <c r="G201" s="829"/>
      <c r="H201" s="845"/>
      <c r="I201" s="829"/>
      <c r="J201" s="829"/>
      <c r="K201" s="829"/>
      <c r="L201" s="829"/>
      <c r="M201" s="829"/>
      <c r="N201" s="847">
        <v>0</v>
      </c>
      <c r="O201" s="829"/>
      <c r="P201" s="847"/>
      <c r="Q201" s="845"/>
      <c r="R201" s="829"/>
      <c r="S201" s="829"/>
      <c r="T201" s="847">
        <f t="shared" si="12"/>
        <v>0</v>
      </c>
      <c r="U201" s="847">
        <f t="shared" si="32"/>
        <v>0</v>
      </c>
      <c r="V201" s="1206"/>
      <c r="W201" s="471"/>
      <c r="X201" s="3"/>
      <c r="Y201" s="3"/>
      <c r="Z201" s="3"/>
      <c r="AA201" s="3"/>
    </row>
    <row r="202" spans="1:27" ht="39.75" customHeight="1">
      <c r="A202" s="736"/>
      <c r="B202" s="828" t="s">
        <v>374</v>
      </c>
      <c r="C202" s="828" t="s">
        <v>303</v>
      </c>
      <c r="D202" s="829">
        <v>193</v>
      </c>
      <c r="E202" s="829" t="s">
        <v>375</v>
      </c>
      <c r="F202" s="829"/>
      <c r="G202" s="829"/>
      <c r="H202" s="829"/>
      <c r="I202" s="829"/>
      <c r="J202" s="829"/>
      <c r="K202" s="829"/>
      <c r="L202" s="829"/>
      <c r="M202" s="829"/>
      <c r="N202" s="829"/>
      <c r="O202" s="829"/>
      <c r="P202" s="847"/>
      <c r="Q202" s="829"/>
      <c r="R202" s="829"/>
      <c r="S202" s="845"/>
      <c r="T202" s="847">
        <f t="shared" si="12"/>
        <v>0</v>
      </c>
      <c r="U202" s="847">
        <f t="shared" si="32"/>
        <v>0</v>
      </c>
      <c r="V202" s="833"/>
      <c r="W202" s="471"/>
      <c r="X202" s="3"/>
      <c r="Y202" s="3"/>
      <c r="Z202" s="3"/>
      <c r="AA202" s="3"/>
    </row>
    <row r="203" spans="1:27" ht="240">
      <c r="A203" s="736"/>
      <c r="B203" s="736"/>
      <c r="C203" s="736"/>
      <c r="D203" s="829">
        <v>194</v>
      </c>
      <c r="E203" s="829" t="s">
        <v>304</v>
      </c>
      <c r="F203" s="829"/>
      <c r="G203" s="829"/>
      <c r="H203" s="829"/>
      <c r="I203" s="829"/>
      <c r="J203" s="829"/>
      <c r="K203" s="829"/>
      <c r="L203" s="829"/>
      <c r="M203" s="829"/>
      <c r="N203" s="847">
        <v>1.2</v>
      </c>
      <c r="O203" s="829"/>
      <c r="P203" s="829"/>
      <c r="Q203" s="847">
        <v>0</v>
      </c>
      <c r="R203" s="847">
        <v>60</v>
      </c>
      <c r="S203" s="829"/>
      <c r="T203" s="847">
        <f t="shared" si="12"/>
        <v>61.2</v>
      </c>
      <c r="U203" s="728">
        <f>R203*1.05+N203</f>
        <v>64.2</v>
      </c>
      <c r="V203" s="833" t="s">
        <v>1587</v>
      </c>
      <c r="W203" s="471"/>
      <c r="X203" s="3"/>
      <c r="Y203" s="3"/>
      <c r="Z203" s="3"/>
      <c r="AA203" s="3"/>
    </row>
    <row r="204" spans="1:27" ht="150">
      <c r="A204" s="736"/>
      <c r="B204" s="828" t="s">
        <v>376</v>
      </c>
      <c r="C204" s="828" t="s">
        <v>377</v>
      </c>
      <c r="D204" s="829">
        <v>195</v>
      </c>
      <c r="E204" s="829" t="s">
        <v>378</v>
      </c>
      <c r="F204" s="829"/>
      <c r="G204" s="829"/>
      <c r="H204" s="829"/>
      <c r="I204" s="829"/>
      <c r="J204" s="829"/>
      <c r="K204" s="829"/>
      <c r="L204" s="829"/>
      <c r="M204" s="829"/>
      <c r="N204" s="829"/>
      <c r="O204" s="829"/>
      <c r="P204" s="847"/>
      <c r="Q204" s="845">
        <v>2.02</v>
      </c>
      <c r="R204" s="847">
        <v>2.7</v>
      </c>
      <c r="S204" s="829">
        <v>2.4500000000000002</v>
      </c>
      <c r="T204" s="847">
        <f t="shared" si="12"/>
        <v>7.1700000000000008</v>
      </c>
      <c r="U204" s="847">
        <f>T204</f>
        <v>7.1700000000000008</v>
      </c>
      <c r="V204" s="1206" t="s">
        <v>796</v>
      </c>
      <c r="W204" s="471"/>
      <c r="X204" s="3"/>
      <c r="Y204" s="3"/>
      <c r="Z204" s="3"/>
      <c r="AA204" s="3"/>
    </row>
    <row r="205" spans="1:27" ht="39.75" customHeight="1">
      <c r="A205" s="736"/>
      <c r="B205" s="736"/>
      <c r="C205" s="736"/>
      <c r="D205" s="829">
        <v>196</v>
      </c>
      <c r="E205" s="829" t="s">
        <v>379</v>
      </c>
      <c r="F205" s="829"/>
      <c r="G205" s="829"/>
      <c r="H205" s="829"/>
      <c r="I205" s="829"/>
      <c r="J205" s="829"/>
      <c r="K205" s="829"/>
      <c r="L205" s="829"/>
      <c r="M205" s="829"/>
      <c r="N205" s="829"/>
      <c r="O205" s="829"/>
      <c r="P205" s="829"/>
      <c r="Q205" s="829"/>
      <c r="R205" s="829"/>
      <c r="S205" s="829"/>
      <c r="T205" s="847">
        <f t="shared" si="12"/>
        <v>0</v>
      </c>
      <c r="U205" s="847">
        <f>T205*110%</f>
        <v>0</v>
      </c>
      <c r="V205" s="833"/>
      <c r="W205" s="471"/>
      <c r="X205" s="3"/>
      <c r="Y205" s="3"/>
      <c r="Z205" s="3"/>
      <c r="AA205" s="3"/>
    </row>
    <row r="206" spans="1:27" ht="390">
      <c r="A206" s="736"/>
      <c r="B206" s="736"/>
      <c r="C206" s="736"/>
      <c r="D206" s="829">
        <v>197</v>
      </c>
      <c r="E206" s="829" t="s">
        <v>380</v>
      </c>
      <c r="F206" s="967"/>
      <c r="G206" s="967"/>
      <c r="H206" s="967"/>
      <c r="I206" s="967"/>
      <c r="J206" s="967"/>
      <c r="K206" s="967"/>
      <c r="L206" s="967"/>
      <c r="M206" s="967"/>
      <c r="N206" s="958">
        <v>0.25</v>
      </c>
      <c r="O206" s="967"/>
      <c r="P206" s="968">
        <v>31.67</v>
      </c>
      <c r="Q206" s="958"/>
      <c r="R206" s="958">
        <v>0.05</v>
      </c>
      <c r="S206" s="958"/>
      <c r="T206" s="969">
        <f>SUM(N206:S206)</f>
        <v>31.970000000000002</v>
      </c>
      <c r="U206" s="968">
        <v>31.72</v>
      </c>
      <c r="V206" s="1199" t="s">
        <v>1683</v>
      </c>
      <c r="W206" s="1223"/>
      <c r="X206" s="3"/>
      <c r="Y206" s="3"/>
      <c r="Z206" s="3"/>
      <c r="AA206" s="3"/>
    </row>
    <row r="207" spans="1:27" ht="39.75" customHeight="1">
      <c r="A207" s="736"/>
      <c r="B207" s="829" t="s">
        <v>381</v>
      </c>
      <c r="C207" s="829" t="s">
        <v>309</v>
      </c>
      <c r="D207" s="829">
        <v>198</v>
      </c>
      <c r="E207" s="829" t="s">
        <v>310</v>
      </c>
      <c r="F207" s="829"/>
      <c r="G207" s="829"/>
      <c r="H207" s="829"/>
      <c r="I207" s="829"/>
      <c r="J207" s="829"/>
      <c r="K207" s="829"/>
      <c r="L207" s="829"/>
      <c r="M207" s="829"/>
      <c r="N207" s="829"/>
      <c r="O207" s="829"/>
      <c r="P207" s="829"/>
      <c r="Q207" s="829"/>
      <c r="R207" s="829"/>
      <c r="S207" s="829"/>
      <c r="T207" s="847">
        <f t="shared" ref="T207:T211" si="33">SUM(F207:S207)</f>
        <v>0</v>
      </c>
      <c r="U207" s="847">
        <f>T207*110%</f>
        <v>0</v>
      </c>
      <c r="V207" s="833"/>
      <c r="W207" s="471"/>
      <c r="X207" s="3"/>
      <c r="Y207" s="3"/>
      <c r="Z207" s="3"/>
      <c r="AA207" s="3"/>
    </row>
    <row r="208" spans="1:27" ht="105">
      <c r="A208" s="736"/>
      <c r="B208" s="829" t="s">
        <v>382</v>
      </c>
      <c r="C208" s="829" t="s">
        <v>312</v>
      </c>
      <c r="D208" s="829">
        <v>199</v>
      </c>
      <c r="E208" s="829" t="s">
        <v>313</v>
      </c>
      <c r="F208" s="882"/>
      <c r="G208" s="882"/>
      <c r="H208" s="882"/>
      <c r="I208" s="882"/>
      <c r="J208" s="882"/>
      <c r="K208" s="882"/>
      <c r="L208" s="882"/>
      <c r="M208" s="882"/>
      <c r="N208" s="882"/>
      <c r="O208" s="882"/>
      <c r="Q208" s="882"/>
      <c r="R208" s="882">
        <v>297.5</v>
      </c>
      <c r="S208" s="882"/>
      <c r="T208" s="847">
        <f t="shared" si="33"/>
        <v>297.5</v>
      </c>
      <c r="U208" s="847">
        <f>T208</f>
        <v>297.5</v>
      </c>
      <c r="V208" s="833" t="s">
        <v>1844</v>
      </c>
      <c r="W208" s="471"/>
      <c r="X208" s="3"/>
      <c r="Y208" s="3"/>
      <c r="Z208" s="3"/>
      <c r="AA208" s="3"/>
    </row>
    <row r="209" spans="1:27" ht="90">
      <c r="A209" s="736"/>
      <c r="B209" s="829" t="s">
        <v>383</v>
      </c>
      <c r="C209" s="829"/>
      <c r="D209" s="829">
        <v>200</v>
      </c>
      <c r="E209" s="829" t="s">
        <v>384</v>
      </c>
      <c r="F209" s="882"/>
      <c r="G209" s="882"/>
      <c r="H209" s="882"/>
      <c r="I209" s="882"/>
      <c r="J209" s="882"/>
      <c r="K209" s="882"/>
      <c r="L209" s="882"/>
      <c r="M209" s="882"/>
      <c r="N209" s="889">
        <v>0.1956</v>
      </c>
      <c r="O209" s="889"/>
      <c r="P209" s="889"/>
      <c r="Q209" s="889"/>
      <c r="R209" s="889">
        <v>1</v>
      </c>
      <c r="S209" s="889"/>
      <c r="T209" s="847">
        <f t="shared" si="33"/>
        <v>1.1956</v>
      </c>
      <c r="U209" s="728">
        <v>1.1956</v>
      </c>
      <c r="V209" s="1051" t="s">
        <v>385</v>
      </c>
      <c r="W209" s="132" t="s">
        <v>385</v>
      </c>
      <c r="X209" s="3"/>
      <c r="Y209" s="3"/>
      <c r="Z209" s="3"/>
      <c r="AA209" s="3"/>
    </row>
    <row r="210" spans="1:27" ht="39.75" customHeight="1">
      <c r="A210" s="736"/>
      <c r="B210" s="948" t="s">
        <v>386</v>
      </c>
      <c r="C210" s="736"/>
      <c r="D210" s="736"/>
      <c r="E210" s="949"/>
      <c r="F210" s="949">
        <f t="shared" ref="F210:S210" si="34">SUM(F159:F209)</f>
        <v>0</v>
      </c>
      <c r="G210" s="950">
        <f t="shared" si="34"/>
        <v>0</v>
      </c>
      <c r="H210" s="950">
        <f t="shared" si="34"/>
        <v>0</v>
      </c>
      <c r="I210" s="949">
        <f t="shared" si="34"/>
        <v>12.1</v>
      </c>
      <c r="J210" s="949">
        <f t="shared" si="34"/>
        <v>0</v>
      </c>
      <c r="K210" s="949">
        <f t="shared" si="34"/>
        <v>0</v>
      </c>
      <c r="L210" s="949">
        <f t="shared" si="34"/>
        <v>0</v>
      </c>
      <c r="M210" s="949">
        <f t="shared" si="34"/>
        <v>26.5</v>
      </c>
      <c r="N210" s="951">
        <f t="shared" si="34"/>
        <v>75.185600000000008</v>
      </c>
      <c r="O210" s="949">
        <f t="shared" si="34"/>
        <v>892.995</v>
      </c>
      <c r="P210" s="950">
        <f t="shared" si="34"/>
        <v>4376.5472500000005</v>
      </c>
      <c r="Q210" s="949">
        <f t="shared" si="34"/>
        <v>25.673999999999999</v>
      </c>
      <c r="R210" s="949">
        <f t="shared" si="34"/>
        <v>364.03999999999996</v>
      </c>
      <c r="S210" s="949">
        <f t="shared" si="34"/>
        <v>2.4500000000000002</v>
      </c>
      <c r="T210" s="949">
        <f t="shared" si="33"/>
        <v>5775.4918500000003</v>
      </c>
      <c r="U210" s="951">
        <f>SUM(U159:U209)</f>
        <v>6100.5076727200003</v>
      </c>
      <c r="V210" s="833"/>
      <c r="W210" s="471"/>
      <c r="X210" s="3"/>
      <c r="Y210" s="3"/>
      <c r="Z210" s="3"/>
      <c r="AA210" s="3"/>
    </row>
    <row r="211" spans="1:27" ht="39.75" customHeight="1">
      <c r="A211" s="974" t="s">
        <v>387</v>
      </c>
      <c r="B211" s="736"/>
      <c r="C211" s="736"/>
      <c r="D211" s="736"/>
      <c r="E211" s="975"/>
      <c r="F211" s="976">
        <f t="shared" ref="F211:S211" si="35">F210+F158+F134+F93+F68</f>
        <v>157.10989999999998</v>
      </c>
      <c r="G211" s="977">
        <f t="shared" si="35"/>
        <v>4</v>
      </c>
      <c r="H211" s="977">
        <f t="shared" si="35"/>
        <v>4.5999999999999996</v>
      </c>
      <c r="I211" s="976">
        <f t="shared" si="35"/>
        <v>38.033050000000003</v>
      </c>
      <c r="J211" s="976">
        <f t="shared" si="35"/>
        <v>0</v>
      </c>
      <c r="K211" s="978">
        <f t="shared" si="35"/>
        <v>117.07999999999998</v>
      </c>
      <c r="L211" s="976">
        <f t="shared" si="35"/>
        <v>5.6</v>
      </c>
      <c r="M211" s="977">
        <f t="shared" si="35"/>
        <v>93.539999999999992</v>
      </c>
      <c r="N211" s="978">
        <f t="shared" si="35"/>
        <v>161.10360000000003</v>
      </c>
      <c r="O211" s="976">
        <f t="shared" si="35"/>
        <v>1333.4476500000001</v>
      </c>
      <c r="P211" s="977">
        <f t="shared" si="35"/>
        <v>5996.1190900000001</v>
      </c>
      <c r="Q211" s="976">
        <f t="shared" si="35"/>
        <v>110.9525</v>
      </c>
      <c r="R211" s="977">
        <f t="shared" si="35"/>
        <v>431.16499999999996</v>
      </c>
      <c r="S211" s="977">
        <f t="shared" si="35"/>
        <v>11.95</v>
      </c>
      <c r="T211" s="977">
        <f t="shared" si="33"/>
        <v>8464.7007900000008</v>
      </c>
      <c r="U211" s="978">
        <f>U210+U158+U134+U93+U68</f>
        <v>8856.6091932520012</v>
      </c>
      <c r="V211" s="833"/>
      <c r="W211" s="471"/>
      <c r="X211" s="3"/>
      <c r="Y211" s="3"/>
      <c r="Z211" s="3"/>
      <c r="AA211" s="3"/>
    </row>
    <row r="212" spans="1:27" ht="24.75" customHeight="1">
      <c r="A212" s="3"/>
      <c r="B212" s="3"/>
      <c r="C212" s="3"/>
      <c r="D212" s="3"/>
      <c r="E212" s="3"/>
      <c r="F212" s="3"/>
      <c r="G212" s="3"/>
      <c r="H212" s="3"/>
      <c r="I212" s="3"/>
      <c r="J212" s="3"/>
      <c r="K212" s="3"/>
      <c r="L212" s="3"/>
      <c r="M212" s="3"/>
      <c r="N212" s="3"/>
      <c r="O212" s="3"/>
      <c r="P212" s="3"/>
      <c r="Q212" s="3"/>
      <c r="R212" s="3"/>
      <c r="S212" s="3"/>
      <c r="T212" s="57"/>
      <c r="U212" s="57"/>
      <c r="V212" s="18"/>
      <c r="W212" s="3"/>
      <c r="X212" s="3"/>
      <c r="Y212" s="3"/>
      <c r="Z212" s="3"/>
      <c r="AA212" s="3"/>
    </row>
    <row r="213" spans="1:27" ht="24.75" customHeight="1">
      <c r="A213" s="3"/>
      <c r="B213" s="3"/>
      <c r="C213" s="3"/>
      <c r="D213" s="3"/>
      <c r="E213" s="3"/>
      <c r="F213" s="3"/>
      <c r="G213" s="3"/>
      <c r="H213" s="3"/>
      <c r="I213" s="3"/>
      <c r="J213" s="3"/>
      <c r="K213" s="3"/>
      <c r="L213" s="3"/>
      <c r="M213" s="3"/>
      <c r="N213" s="3"/>
      <c r="O213" s="3"/>
      <c r="P213" s="3"/>
      <c r="Q213" s="3"/>
      <c r="R213" s="3"/>
      <c r="S213" s="3"/>
      <c r="T213" s="3"/>
      <c r="U213" s="3"/>
      <c r="V213" s="18"/>
      <c r="W213" s="3"/>
      <c r="X213" s="3"/>
      <c r="Y213" s="3"/>
      <c r="Z213" s="3"/>
      <c r="AA213" s="3"/>
    </row>
    <row r="214" spans="1:27" ht="24.75" customHeight="1">
      <c r="A214" s="3"/>
      <c r="B214" s="3"/>
      <c r="C214" s="3"/>
      <c r="D214" s="3"/>
      <c r="E214" s="3"/>
      <c r="F214" s="3"/>
      <c r="G214" s="3"/>
      <c r="H214" s="3"/>
      <c r="I214" s="3"/>
      <c r="J214" s="3"/>
      <c r="K214" s="3"/>
      <c r="L214" s="3"/>
      <c r="M214" s="3"/>
      <c r="N214" s="3"/>
      <c r="O214" s="3"/>
      <c r="P214" s="3"/>
      <c r="Q214" s="3"/>
      <c r="R214" s="3"/>
      <c r="S214" s="3"/>
      <c r="T214" s="3"/>
      <c r="U214" s="3"/>
      <c r="V214" s="18"/>
      <c r="W214" s="3"/>
      <c r="X214" s="3"/>
      <c r="Y214" s="3"/>
      <c r="Z214" s="3"/>
      <c r="AA214" s="3"/>
    </row>
    <row r="215" spans="1:27" ht="24.75" customHeight="1">
      <c r="A215" s="3"/>
      <c r="B215" s="3"/>
      <c r="C215" s="3"/>
      <c r="D215" s="3"/>
      <c r="E215" s="3"/>
      <c r="F215" s="3"/>
      <c r="G215" s="3"/>
      <c r="H215" s="3"/>
      <c r="I215" s="3"/>
      <c r="J215" s="3"/>
      <c r="K215" s="3"/>
      <c r="L215" s="3"/>
      <c r="M215" s="3"/>
      <c r="N215" s="3"/>
      <c r="O215" s="3"/>
      <c r="P215" s="3"/>
      <c r="Q215" s="3"/>
      <c r="R215" s="3"/>
      <c r="S215" s="3"/>
      <c r="T215" s="3"/>
      <c r="U215" s="3"/>
      <c r="V215" s="18"/>
      <c r="W215" s="3"/>
      <c r="X215" s="3"/>
      <c r="Y215" s="3"/>
      <c r="Z215" s="3"/>
      <c r="AA215" s="3"/>
    </row>
    <row r="216" spans="1:27" ht="24.75" customHeight="1">
      <c r="A216" s="3"/>
      <c r="B216" s="3"/>
      <c r="C216" s="3"/>
      <c r="D216" s="3"/>
      <c r="E216" s="3"/>
      <c r="F216" s="3"/>
      <c r="G216" s="3"/>
      <c r="H216" s="3"/>
      <c r="I216" s="3"/>
      <c r="J216" s="3"/>
      <c r="K216" s="3"/>
      <c r="L216" s="3"/>
      <c r="M216" s="3"/>
      <c r="N216" s="3"/>
      <c r="O216" s="3"/>
      <c r="P216" s="3"/>
      <c r="Q216" s="3"/>
      <c r="R216" s="3"/>
      <c r="S216" s="3"/>
      <c r="T216" s="3"/>
      <c r="U216" s="3"/>
      <c r="V216" s="18"/>
      <c r="W216" s="3"/>
      <c r="X216" s="3"/>
      <c r="Y216" s="3"/>
      <c r="Z216" s="3"/>
      <c r="AA216" s="3"/>
    </row>
    <row r="217" spans="1:27" ht="24.75" customHeight="1">
      <c r="A217" s="3"/>
      <c r="B217" s="3"/>
      <c r="C217" s="3"/>
      <c r="D217" s="3"/>
      <c r="E217" s="3"/>
      <c r="F217" s="3"/>
      <c r="G217" s="3"/>
      <c r="H217" s="3"/>
      <c r="I217" s="3"/>
      <c r="J217" s="3"/>
      <c r="K217" s="3"/>
      <c r="L217" s="3"/>
      <c r="M217" s="3"/>
      <c r="N217" s="3"/>
      <c r="O217" s="3"/>
      <c r="P217" s="3"/>
      <c r="Q217" s="3"/>
      <c r="R217" s="3"/>
      <c r="S217" s="3"/>
      <c r="T217" s="3"/>
      <c r="U217" s="3"/>
      <c r="V217" s="18"/>
      <c r="W217" s="3"/>
      <c r="X217" s="3"/>
      <c r="Y217" s="3"/>
      <c r="Z217" s="3"/>
      <c r="AA217" s="3"/>
    </row>
    <row r="218" spans="1:27" ht="24.75" customHeight="1">
      <c r="A218" s="3"/>
      <c r="B218" s="3"/>
      <c r="C218" s="3"/>
      <c r="D218" s="3"/>
      <c r="E218" s="3"/>
      <c r="F218" s="3"/>
      <c r="G218" s="3"/>
      <c r="H218" s="3"/>
      <c r="I218" s="3"/>
      <c r="J218" s="3"/>
      <c r="K218" s="3"/>
      <c r="L218" s="3"/>
      <c r="M218" s="3"/>
      <c r="N218" s="3"/>
      <c r="O218" s="3"/>
      <c r="P218" s="3"/>
      <c r="Q218" s="3"/>
      <c r="R218" s="3"/>
      <c r="S218" s="3"/>
      <c r="T218" s="3"/>
      <c r="U218" s="3"/>
      <c r="V218" s="18"/>
      <c r="W218" s="3"/>
      <c r="X218" s="3"/>
      <c r="Y218" s="3"/>
      <c r="Z218" s="3"/>
      <c r="AA218" s="3"/>
    </row>
    <row r="219" spans="1:27" ht="24.75" customHeight="1">
      <c r="A219" s="3"/>
      <c r="B219" s="3"/>
      <c r="C219" s="3"/>
      <c r="D219" s="3"/>
      <c r="E219" s="3"/>
      <c r="F219" s="3"/>
      <c r="G219" s="3"/>
      <c r="H219" s="3"/>
      <c r="I219" s="3"/>
      <c r="J219" s="3"/>
      <c r="K219" s="3"/>
      <c r="L219" s="3"/>
      <c r="M219" s="3"/>
      <c r="N219" s="3"/>
      <c r="O219" s="3"/>
      <c r="P219" s="3"/>
      <c r="Q219" s="3"/>
      <c r="R219" s="3"/>
      <c r="S219" s="3"/>
      <c r="T219" s="3"/>
      <c r="U219" s="3"/>
      <c r="V219" s="18"/>
      <c r="W219" s="3"/>
      <c r="X219" s="3"/>
      <c r="Y219" s="3"/>
      <c r="Z219" s="3"/>
      <c r="AA219" s="3"/>
    </row>
    <row r="220" spans="1:27" ht="24.75" customHeight="1">
      <c r="A220" s="3"/>
      <c r="B220" s="3"/>
      <c r="C220" s="3"/>
      <c r="D220" s="3"/>
      <c r="E220" s="3"/>
      <c r="F220" s="3"/>
      <c r="G220" s="3"/>
      <c r="H220" s="3"/>
      <c r="I220" s="3"/>
      <c r="J220" s="3"/>
      <c r="K220" s="3"/>
      <c r="L220" s="3"/>
      <c r="M220" s="3"/>
      <c r="N220" s="3"/>
      <c r="O220" s="3"/>
      <c r="P220" s="3"/>
      <c r="Q220" s="3"/>
      <c r="R220" s="3"/>
      <c r="S220" s="3"/>
      <c r="T220" s="3"/>
      <c r="U220" s="3"/>
      <c r="V220" s="18"/>
      <c r="W220" s="3"/>
      <c r="X220" s="3"/>
      <c r="Y220" s="3"/>
      <c r="Z220" s="3"/>
      <c r="AA220" s="3"/>
    </row>
    <row r="221" spans="1:27" ht="24.75" customHeight="1">
      <c r="A221" s="3"/>
      <c r="B221" s="3"/>
      <c r="C221" s="3"/>
      <c r="D221" s="3"/>
      <c r="E221" s="3"/>
      <c r="F221" s="3"/>
      <c r="G221" s="3"/>
      <c r="H221" s="3"/>
      <c r="I221" s="3"/>
      <c r="J221" s="3"/>
      <c r="K221" s="3"/>
      <c r="L221" s="3"/>
      <c r="M221" s="3"/>
      <c r="N221" s="3"/>
      <c r="O221" s="3"/>
      <c r="P221" s="3"/>
      <c r="Q221" s="3"/>
      <c r="R221" s="3"/>
      <c r="S221" s="3"/>
      <c r="T221" s="3"/>
      <c r="U221" s="3"/>
      <c r="V221" s="18"/>
      <c r="W221" s="3"/>
      <c r="X221" s="3"/>
      <c r="Y221" s="3"/>
      <c r="Z221" s="3"/>
      <c r="AA221" s="3"/>
    </row>
    <row r="222" spans="1:27" ht="24.75" customHeight="1">
      <c r="A222" s="3"/>
      <c r="B222" s="3"/>
      <c r="C222" s="3"/>
      <c r="D222" s="3"/>
      <c r="E222" s="3"/>
      <c r="F222" s="3"/>
      <c r="G222" s="3"/>
      <c r="H222" s="3"/>
      <c r="I222" s="3"/>
      <c r="J222" s="3"/>
      <c r="K222" s="3"/>
      <c r="L222" s="3"/>
      <c r="M222" s="3"/>
      <c r="N222" s="3"/>
      <c r="O222" s="3"/>
      <c r="P222" s="3"/>
      <c r="Q222" s="3"/>
      <c r="R222" s="3"/>
      <c r="S222" s="3"/>
      <c r="T222" s="3"/>
      <c r="U222" s="3"/>
      <c r="V222" s="18"/>
      <c r="W222" s="3"/>
      <c r="X222" s="3"/>
      <c r="Y222" s="3"/>
      <c r="Z222" s="3"/>
      <c r="AA222" s="3"/>
    </row>
    <row r="223" spans="1:27" ht="24.75" customHeight="1">
      <c r="A223" s="3"/>
      <c r="B223" s="3"/>
      <c r="C223" s="3"/>
      <c r="D223" s="3"/>
      <c r="E223" s="3"/>
      <c r="F223" s="3"/>
      <c r="G223" s="3"/>
      <c r="H223" s="3"/>
      <c r="I223" s="3"/>
      <c r="J223" s="3"/>
      <c r="K223" s="3"/>
      <c r="L223" s="3"/>
      <c r="M223" s="3"/>
      <c r="N223" s="3"/>
      <c r="O223" s="3"/>
      <c r="P223" s="3"/>
      <c r="Q223" s="3"/>
      <c r="R223" s="3"/>
      <c r="S223" s="3"/>
      <c r="T223" s="3"/>
      <c r="U223" s="3"/>
      <c r="V223" s="18"/>
      <c r="W223" s="3"/>
      <c r="X223" s="3"/>
      <c r="Y223" s="3"/>
      <c r="Z223" s="3"/>
      <c r="AA223" s="3"/>
    </row>
    <row r="224" spans="1:27" ht="24.75" customHeight="1">
      <c r="A224" s="3"/>
      <c r="B224" s="3"/>
      <c r="C224" s="3"/>
      <c r="D224" s="3"/>
      <c r="E224" s="3"/>
      <c r="F224" s="3"/>
      <c r="G224" s="3"/>
      <c r="H224" s="3"/>
      <c r="I224" s="3"/>
      <c r="J224" s="3"/>
      <c r="K224" s="3"/>
      <c r="L224" s="3"/>
      <c r="M224" s="3"/>
      <c r="N224" s="3"/>
      <c r="O224" s="3"/>
      <c r="P224" s="3"/>
      <c r="Q224" s="3"/>
      <c r="R224" s="3"/>
      <c r="S224" s="3"/>
      <c r="T224" s="3"/>
      <c r="U224" s="3"/>
      <c r="V224" s="18"/>
      <c r="W224" s="3"/>
      <c r="X224" s="3"/>
      <c r="Y224" s="3"/>
      <c r="Z224" s="3"/>
      <c r="AA224" s="3"/>
    </row>
    <row r="225" spans="1:27" ht="24.75" customHeight="1">
      <c r="A225" s="3"/>
      <c r="B225" s="3"/>
      <c r="C225" s="3"/>
      <c r="D225" s="3"/>
      <c r="E225" s="3"/>
      <c r="F225" s="3"/>
      <c r="G225" s="3"/>
      <c r="H225" s="3"/>
      <c r="I225" s="3"/>
      <c r="J225" s="3"/>
      <c r="K225" s="3"/>
      <c r="L225" s="3"/>
      <c r="M225" s="3"/>
      <c r="N225" s="3"/>
      <c r="O225" s="3"/>
      <c r="P225" s="3"/>
      <c r="Q225" s="3"/>
      <c r="R225" s="3"/>
      <c r="S225" s="3"/>
      <c r="T225" s="3"/>
      <c r="U225" s="3"/>
      <c r="V225" s="18"/>
      <c r="W225" s="3"/>
      <c r="X225" s="3"/>
      <c r="Y225" s="3"/>
      <c r="Z225" s="3"/>
      <c r="AA225" s="3"/>
    </row>
    <row r="226" spans="1:27" ht="24.75" customHeight="1">
      <c r="A226" s="3"/>
      <c r="B226" s="3"/>
      <c r="C226" s="3"/>
      <c r="D226" s="3"/>
      <c r="E226" s="3"/>
      <c r="F226" s="3"/>
      <c r="G226" s="3"/>
      <c r="H226" s="3"/>
      <c r="I226" s="3"/>
      <c r="J226" s="3"/>
      <c r="K226" s="3"/>
      <c r="L226" s="3"/>
      <c r="M226" s="3"/>
      <c r="N226" s="3"/>
      <c r="O226" s="3"/>
      <c r="P226" s="3"/>
      <c r="Q226" s="3"/>
      <c r="R226" s="3"/>
      <c r="S226" s="3"/>
      <c r="T226" s="3"/>
      <c r="U226" s="3"/>
      <c r="V226" s="18"/>
      <c r="W226" s="3"/>
      <c r="X226" s="3"/>
      <c r="Y226" s="3"/>
      <c r="Z226" s="3"/>
      <c r="AA226" s="3"/>
    </row>
    <row r="227" spans="1:27" ht="24.75" customHeight="1">
      <c r="A227" s="3"/>
      <c r="B227" s="3"/>
      <c r="C227" s="3"/>
      <c r="D227" s="3"/>
      <c r="E227" s="3"/>
      <c r="F227" s="3"/>
      <c r="G227" s="3"/>
      <c r="H227" s="3"/>
      <c r="I227" s="3"/>
      <c r="J227" s="3"/>
      <c r="K227" s="3"/>
      <c r="L227" s="3"/>
      <c r="M227" s="3"/>
      <c r="N227" s="3"/>
      <c r="O227" s="3"/>
      <c r="P227" s="3"/>
      <c r="Q227" s="3"/>
      <c r="R227" s="3"/>
      <c r="S227" s="3"/>
      <c r="T227" s="3"/>
      <c r="U227" s="3"/>
      <c r="V227" s="18"/>
      <c r="W227" s="3"/>
      <c r="X227" s="3"/>
      <c r="Y227" s="3"/>
      <c r="Z227" s="3"/>
      <c r="AA227" s="3"/>
    </row>
    <row r="228" spans="1:27" ht="24.75" customHeight="1">
      <c r="A228" s="3"/>
      <c r="B228" s="3"/>
      <c r="C228" s="3"/>
      <c r="D228" s="3"/>
      <c r="E228" s="3"/>
      <c r="F228" s="3"/>
      <c r="G228" s="3"/>
      <c r="H228" s="3"/>
      <c r="I228" s="3"/>
      <c r="J228" s="3"/>
      <c r="K228" s="3"/>
      <c r="L228" s="3"/>
      <c r="M228" s="3"/>
      <c r="N228" s="3"/>
      <c r="O228" s="3"/>
      <c r="P228" s="3"/>
      <c r="Q228" s="3"/>
      <c r="R228" s="3"/>
      <c r="S228" s="3"/>
      <c r="T228" s="3"/>
      <c r="U228" s="3"/>
      <c r="V228" s="18"/>
      <c r="W228" s="3"/>
      <c r="X228" s="3"/>
      <c r="Y228" s="3"/>
      <c r="Z228" s="3"/>
      <c r="AA228" s="3"/>
    </row>
    <row r="229" spans="1:27" ht="24.75" customHeight="1">
      <c r="A229" s="3"/>
      <c r="B229" s="3"/>
      <c r="C229" s="3"/>
      <c r="D229" s="3"/>
      <c r="E229" s="3"/>
      <c r="F229" s="3"/>
      <c r="G229" s="3"/>
      <c r="H229" s="3"/>
      <c r="I229" s="3"/>
      <c r="J229" s="3"/>
      <c r="K229" s="3"/>
      <c r="L229" s="3"/>
      <c r="M229" s="3"/>
      <c r="N229" s="3"/>
      <c r="O229" s="3"/>
      <c r="P229" s="3"/>
      <c r="Q229" s="3"/>
      <c r="R229" s="3"/>
      <c r="S229" s="3"/>
      <c r="T229" s="3"/>
      <c r="U229" s="3"/>
      <c r="V229" s="18"/>
      <c r="W229" s="3"/>
      <c r="X229" s="3"/>
      <c r="Y229" s="3"/>
      <c r="Z229" s="3"/>
      <c r="AA229" s="3"/>
    </row>
    <row r="230" spans="1:27" ht="24.75" customHeight="1">
      <c r="A230" s="3"/>
      <c r="B230" s="3"/>
      <c r="C230" s="3"/>
      <c r="D230" s="3"/>
      <c r="E230" s="3"/>
      <c r="F230" s="3"/>
      <c r="G230" s="3"/>
      <c r="H230" s="3"/>
      <c r="I230" s="3"/>
      <c r="J230" s="3"/>
      <c r="K230" s="3"/>
      <c r="L230" s="3"/>
      <c r="M230" s="3"/>
      <c r="N230" s="3"/>
      <c r="O230" s="3"/>
      <c r="P230" s="3"/>
      <c r="Q230" s="3"/>
      <c r="R230" s="3"/>
      <c r="S230" s="3"/>
      <c r="T230" s="3"/>
      <c r="U230" s="3"/>
      <c r="V230" s="18"/>
      <c r="W230" s="3"/>
      <c r="X230" s="3"/>
      <c r="Y230" s="3"/>
      <c r="Z230" s="3"/>
      <c r="AA230" s="3"/>
    </row>
    <row r="231" spans="1:27" ht="24.75" customHeight="1">
      <c r="A231" s="3"/>
      <c r="B231" s="3"/>
      <c r="C231" s="3"/>
      <c r="D231" s="3"/>
      <c r="E231" s="3"/>
      <c r="F231" s="3"/>
      <c r="G231" s="3"/>
      <c r="H231" s="3"/>
      <c r="I231" s="3"/>
      <c r="J231" s="3"/>
      <c r="K231" s="3"/>
      <c r="L231" s="3"/>
      <c r="M231" s="3"/>
      <c r="N231" s="3"/>
      <c r="O231" s="3"/>
      <c r="P231" s="3"/>
      <c r="Q231" s="3"/>
      <c r="R231" s="3"/>
      <c r="S231" s="3"/>
      <c r="T231" s="3"/>
      <c r="U231" s="3"/>
      <c r="V231" s="18"/>
      <c r="W231" s="3"/>
      <c r="X231" s="3"/>
      <c r="Y231" s="3"/>
      <c r="Z231" s="3"/>
      <c r="AA231" s="3"/>
    </row>
    <row r="232" spans="1:27" ht="24.75" customHeight="1">
      <c r="A232" s="3"/>
      <c r="B232" s="3"/>
      <c r="C232" s="3"/>
      <c r="D232" s="3"/>
      <c r="E232" s="3"/>
      <c r="F232" s="3"/>
      <c r="G232" s="3"/>
      <c r="H232" s="3"/>
      <c r="I232" s="3"/>
      <c r="J232" s="3"/>
      <c r="K232" s="3"/>
      <c r="L232" s="3"/>
      <c r="M232" s="3"/>
      <c r="N232" s="3"/>
      <c r="O232" s="3"/>
      <c r="P232" s="3"/>
      <c r="Q232" s="3"/>
      <c r="R232" s="3"/>
      <c r="S232" s="3"/>
      <c r="T232" s="3"/>
      <c r="U232" s="3"/>
      <c r="V232" s="18"/>
      <c r="W232" s="3"/>
      <c r="X232" s="3"/>
      <c r="Y232" s="3"/>
      <c r="Z232" s="3"/>
      <c r="AA232" s="3"/>
    </row>
    <row r="233" spans="1:27" ht="24.75" customHeight="1">
      <c r="A233" s="3"/>
      <c r="B233" s="3"/>
      <c r="C233" s="3"/>
      <c r="D233" s="3"/>
      <c r="E233" s="3"/>
      <c r="F233" s="3"/>
      <c r="G233" s="3"/>
      <c r="H233" s="3"/>
      <c r="I233" s="3"/>
      <c r="J233" s="3"/>
      <c r="K233" s="3"/>
      <c r="L233" s="3"/>
      <c r="M233" s="3"/>
      <c r="N233" s="3"/>
      <c r="O233" s="3"/>
      <c r="P233" s="3"/>
      <c r="Q233" s="3"/>
      <c r="R233" s="3"/>
      <c r="S233" s="3"/>
      <c r="T233" s="3"/>
      <c r="U233" s="3"/>
      <c r="V233" s="18"/>
      <c r="W233" s="3"/>
      <c r="X233" s="3"/>
      <c r="Y233" s="3"/>
      <c r="Z233" s="3"/>
      <c r="AA233" s="3"/>
    </row>
    <row r="234" spans="1:27" ht="24.75" customHeight="1">
      <c r="A234" s="3"/>
      <c r="B234" s="3"/>
      <c r="C234" s="3"/>
      <c r="D234" s="3"/>
      <c r="E234" s="3"/>
      <c r="F234" s="3"/>
      <c r="G234" s="3"/>
      <c r="H234" s="3"/>
      <c r="I234" s="3"/>
      <c r="J234" s="3"/>
      <c r="K234" s="3"/>
      <c r="L234" s="3"/>
      <c r="M234" s="3"/>
      <c r="N234" s="3"/>
      <c r="O234" s="3"/>
      <c r="P234" s="3"/>
      <c r="Q234" s="3"/>
      <c r="R234" s="3"/>
      <c r="S234" s="3"/>
      <c r="T234" s="3"/>
      <c r="U234" s="3"/>
      <c r="V234" s="18"/>
      <c r="W234" s="3"/>
      <c r="X234" s="3"/>
      <c r="Y234" s="3"/>
      <c r="Z234" s="3"/>
      <c r="AA234" s="3"/>
    </row>
    <row r="235" spans="1:27" ht="24.75" customHeight="1">
      <c r="A235" s="3"/>
      <c r="B235" s="3"/>
      <c r="C235" s="3"/>
      <c r="D235" s="3"/>
      <c r="E235" s="3"/>
      <c r="F235" s="3"/>
      <c r="G235" s="3"/>
      <c r="H235" s="3"/>
      <c r="I235" s="3"/>
      <c r="J235" s="3"/>
      <c r="K235" s="3"/>
      <c r="L235" s="3"/>
      <c r="M235" s="3"/>
      <c r="N235" s="3"/>
      <c r="O235" s="3"/>
      <c r="P235" s="3"/>
      <c r="Q235" s="3"/>
      <c r="R235" s="3"/>
      <c r="S235" s="3"/>
      <c r="T235" s="3"/>
      <c r="U235" s="3"/>
      <c r="V235" s="18"/>
      <c r="W235" s="3"/>
      <c r="X235" s="3"/>
      <c r="Y235" s="3"/>
      <c r="Z235" s="3"/>
      <c r="AA235" s="3"/>
    </row>
    <row r="236" spans="1:27" ht="24.75" customHeight="1">
      <c r="A236" s="3"/>
      <c r="B236" s="3"/>
      <c r="C236" s="3"/>
      <c r="D236" s="3"/>
      <c r="E236" s="3"/>
      <c r="F236" s="3"/>
      <c r="G236" s="3"/>
      <c r="H236" s="3"/>
      <c r="I236" s="3"/>
      <c r="J236" s="3"/>
      <c r="K236" s="3"/>
      <c r="L236" s="3"/>
      <c r="M236" s="3"/>
      <c r="N236" s="3"/>
      <c r="O236" s="3"/>
      <c r="P236" s="3"/>
      <c r="Q236" s="3"/>
      <c r="R236" s="3"/>
      <c r="S236" s="3"/>
      <c r="T236" s="3"/>
      <c r="U236" s="3"/>
      <c r="V236" s="18"/>
      <c r="W236" s="3"/>
      <c r="X236" s="3"/>
      <c r="Y236" s="3"/>
      <c r="Z236" s="3"/>
      <c r="AA236" s="3"/>
    </row>
    <row r="237" spans="1:27" ht="24.75" customHeight="1">
      <c r="A237" s="3"/>
      <c r="B237" s="3"/>
      <c r="C237" s="3"/>
      <c r="D237" s="3"/>
      <c r="E237" s="3"/>
      <c r="F237" s="3"/>
      <c r="G237" s="3"/>
      <c r="H237" s="3"/>
      <c r="I237" s="3"/>
      <c r="J237" s="3"/>
      <c r="K237" s="3"/>
      <c r="L237" s="3"/>
      <c r="M237" s="3"/>
      <c r="N237" s="3"/>
      <c r="O237" s="3"/>
      <c r="P237" s="3"/>
      <c r="Q237" s="3"/>
      <c r="R237" s="3"/>
      <c r="S237" s="3"/>
      <c r="T237" s="3"/>
      <c r="U237" s="3"/>
      <c r="V237" s="18"/>
      <c r="W237" s="3"/>
      <c r="X237" s="3"/>
      <c r="Y237" s="3"/>
      <c r="Z237" s="3"/>
      <c r="AA237" s="3"/>
    </row>
    <row r="238" spans="1:27" ht="24.75" customHeight="1">
      <c r="A238" s="3"/>
      <c r="B238" s="3"/>
      <c r="C238" s="3"/>
      <c r="D238" s="3"/>
      <c r="E238" s="3"/>
      <c r="F238" s="3"/>
      <c r="G238" s="3"/>
      <c r="H238" s="3"/>
      <c r="I238" s="3"/>
      <c r="J238" s="3"/>
      <c r="K238" s="3"/>
      <c r="L238" s="3"/>
      <c r="M238" s="3"/>
      <c r="N238" s="3"/>
      <c r="O238" s="3"/>
      <c r="P238" s="3"/>
      <c r="Q238" s="3"/>
      <c r="R238" s="3"/>
      <c r="S238" s="3"/>
      <c r="T238" s="3"/>
      <c r="U238" s="3"/>
      <c r="V238" s="18"/>
      <c r="W238" s="3"/>
      <c r="X238" s="3"/>
      <c r="Y238" s="3"/>
      <c r="Z238" s="3"/>
      <c r="AA238" s="3"/>
    </row>
    <row r="239" spans="1:27" ht="24.75" customHeight="1">
      <c r="A239" s="3"/>
      <c r="B239" s="3"/>
      <c r="C239" s="3"/>
      <c r="D239" s="3"/>
      <c r="E239" s="3"/>
      <c r="F239" s="3"/>
      <c r="G239" s="3"/>
      <c r="H239" s="3"/>
      <c r="I239" s="3"/>
      <c r="J239" s="3"/>
      <c r="K239" s="3"/>
      <c r="L239" s="3"/>
      <c r="M239" s="3"/>
      <c r="N239" s="3"/>
      <c r="O239" s="3"/>
      <c r="P239" s="3"/>
      <c r="Q239" s="3"/>
      <c r="R239" s="3"/>
      <c r="S239" s="3"/>
      <c r="T239" s="3"/>
      <c r="U239" s="3"/>
      <c r="V239" s="18"/>
      <c r="W239" s="3"/>
      <c r="X239" s="3"/>
      <c r="Y239" s="3"/>
      <c r="Z239" s="3"/>
      <c r="AA239" s="3"/>
    </row>
    <row r="240" spans="1:27" ht="24.75" customHeight="1">
      <c r="A240" s="3"/>
      <c r="B240" s="3"/>
      <c r="C240" s="3"/>
      <c r="D240" s="3"/>
      <c r="E240" s="3"/>
      <c r="F240" s="3"/>
      <c r="G240" s="3"/>
      <c r="H240" s="3"/>
      <c r="I240" s="3"/>
      <c r="J240" s="3"/>
      <c r="K240" s="3"/>
      <c r="L240" s="3"/>
      <c r="M240" s="3"/>
      <c r="N240" s="3"/>
      <c r="O240" s="3"/>
      <c r="P240" s="3"/>
      <c r="Q240" s="3"/>
      <c r="R240" s="3"/>
      <c r="S240" s="3"/>
      <c r="T240" s="3"/>
      <c r="U240" s="3"/>
      <c r="V240" s="18"/>
      <c r="W240" s="3"/>
      <c r="X240" s="3"/>
      <c r="Y240" s="3"/>
      <c r="Z240" s="3"/>
      <c r="AA240" s="3"/>
    </row>
    <row r="241" spans="1:27" ht="24.75" customHeight="1">
      <c r="A241" s="3"/>
      <c r="B241" s="3"/>
      <c r="C241" s="3"/>
      <c r="D241" s="3"/>
      <c r="E241" s="3"/>
      <c r="F241" s="3"/>
      <c r="G241" s="3"/>
      <c r="H241" s="3"/>
      <c r="I241" s="3"/>
      <c r="J241" s="3"/>
      <c r="K241" s="3"/>
      <c r="L241" s="3"/>
      <c r="M241" s="3"/>
      <c r="N241" s="3"/>
      <c r="O241" s="3"/>
      <c r="P241" s="3"/>
      <c r="Q241" s="3"/>
      <c r="R241" s="3"/>
      <c r="S241" s="3"/>
      <c r="T241" s="3"/>
      <c r="U241" s="3"/>
      <c r="V241" s="18"/>
      <c r="W241" s="3"/>
      <c r="X241" s="3"/>
      <c r="Y241" s="3"/>
      <c r="Z241" s="3"/>
      <c r="AA241" s="3"/>
    </row>
    <row r="242" spans="1:27" ht="24.75" customHeight="1">
      <c r="A242" s="3"/>
      <c r="B242" s="3"/>
      <c r="C242" s="3"/>
      <c r="D242" s="3"/>
      <c r="E242" s="3"/>
      <c r="F242" s="3"/>
      <c r="G242" s="3"/>
      <c r="H242" s="3"/>
      <c r="I242" s="3"/>
      <c r="J242" s="3"/>
      <c r="K242" s="3"/>
      <c r="L242" s="3"/>
      <c r="M242" s="3"/>
      <c r="N242" s="3"/>
      <c r="O242" s="3"/>
      <c r="P242" s="3"/>
      <c r="Q242" s="3"/>
      <c r="R242" s="3"/>
      <c r="S242" s="3"/>
      <c r="T242" s="3"/>
      <c r="U242" s="3"/>
      <c r="V242" s="18"/>
      <c r="W242" s="3"/>
      <c r="X242" s="3"/>
      <c r="Y242" s="3"/>
      <c r="Z242" s="3"/>
      <c r="AA242" s="3"/>
    </row>
    <row r="243" spans="1:27" ht="24.75" customHeight="1">
      <c r="A243" s="3"/>
      <c r="B243" s="3"/>
      <c r="C243" s="3"/>
      <c r="D243" s="3"/>
      <c r="E243" s="3"/>
      <c r="F243" s="3"/>
      <c r="G243" s="3"/>
      <c r="H243" s="3"/>
      <c r="I243" s="3"/>
      <c r="J243" s="3"/>
      <c r="K243" s="3"/>
      <c r="L243" s="3"/>
      <c r="M243" s="3"/>
      <c r="N243" s="3"/>
      <c r="O243" s="3"/>
      <c r="P243" s="3"/>
      <c r="Q243" s="3"/>
      <c r="R243" s="3"/>
      <c r="S243" s="3"/>
      <c r="T243" s="3"/>
      <c r="U243" s="3"/>
      <c r="V243" s="18"/>
      <c r="W243" s="3"/>
      <c r="X243" s="3"/>
      <c r="Y243" s="3"/>
      <c r="Z243" s="3"/>
      <c r="AA243" s="3"/>
    </row>
    <row r="244" spans="1:27" ht="24.75" customHeight="1">
      <c r="A244" s="3"/>
      <c r="B244" s="3"/>
      <c r="C244" s="3"/>
      <c r="D244" s="3"/>
      <c r="E244" s="3"/>
      <c r="F244" s="3"/>
      <c r="G244" s="3"/>
      <c r="H244" s="3"/>
      <c r="I244" s="3"/>
      <c r="J244" s="3"/>
      <c r="K244" s="3"/>
      <c r="L244" s="3"/>
      <c r="M244" s="3"/>
      <c r="N244" s="3"/>
      <c r="O244" s="3"/>
      <c r="P244" s="3"/>
      <c r="Q244" s="3"/>
      <c r="R244" s="3"/>
      <c r="S244" s="3"/>
      <c r="T244" s="3"/>
      <c r="U244" s="3"/>
      <c r="V244" s="18"/>
      <c r="W244" s="3"/>
      <c r="X244" s="3"/>
      <c r="Y244" s="3"/>
      <c r="Z244" s="3"/>
      <c r="AA244" s="3"/>
    </row>
    <row r="245" spans="1:27" ht="24.75" customHeight="1">
      <c r="A245" s="3"/>
      <c r="B245" s="3"/>
      <c r="C245" s="3"/>
      <c r="D245" s="3"/>
      <c r="E245" s="3"/>
      <c r="F245" s="3"/>
      <c r="G245" s="3"/>
      <c r="H245" s="3"/>
      <c r="I245" s="3"/>
      <c r="J245" s="3"/>
      <c r="K245" s="3"/>
      <c r="L245" s="3"/>
      <c r="M245" s="3"/>
      <c r="N245" s="3"/>
      <c r="O245" s="3"/>
      <c r="P245" s="3"/>
      <c r="Q245" s="3"/>
      <c r="R245" s="3"/>
      <c r="S245" s="3"/>
      <c r="T245" s="3"/>
      <c r="U245" s="3"/>
      <c r="V245" s="18"/>
      <c r="W245" s="3"/>
      <c r="X245" s="3"/>
      <c r="Y245" s="3"/>
      <c r="Z245" s="3"/>
      <c r="AA245" s="3"/>
    </row>
    <row r="246" spans="1:27" ht="24.75" customHeight="1">
      <c r="A246" s="3"/>
      <c r="B246" s="3"/>
      <c r="C246" s="3"/>
      <c r="D246" s="3"/>
      <c r="E246" s="3"/>
      <c r="F246" s="3"/>
      <c r="G246" s="3"/>
      <c r="H246" s="3"/>
      <c r="I246" s="3"/>
      <c r="J246" s="3"/>
      <c r="K246" s="3"/>
      <c r="L246" s="3"/>
      <c r="M246" s="3"/>
      <c r="N246" s="3"/>
      <c r="O246" s="3"/>
      <c r="P246" s="3"/>
      <c r="Q246" s="3"/>
      <c r="R246" s="3"/>
      <c r="S246" s="3"/>
      <c r="T246" s="3"/>
      <c r="U246" s="3"/>
      <c r="V246" s="18"/>
      <c r="W246" s="3"/>
      <c r="X246" s="3"/>
      <c r="Y246" s="3"/>
      <c r="Z246" s="3"/>
      <c r="AA246" s="3"/>
    </row>
    <row r="247" spans="1:27" ht="24.75" customHeight="1">
      <c r="A247" s="3"/>
      <c r="B247" s="3"/>
      <c r="C247" s="3"/>
      <c r="D247" s="3"/>
      <c r="E247" s="3"/>
      <c r="F247" s="3"/>
      <c r="G247" s="3"/>
      <c r="H247" s="3"/>
      <c r="I247" s="3"/>
      <c r="J247" s="3"/>
      <c r="K247" s="3"/>
      <c r="L247" s="3"/>
      <c r="M247" s="3"/>
      <c r="N247" s="3"/>
      <c r="O247" s="3"/>
      <c r="P247" s="3"/>
      <c r="Q247" s="3"/>
      <c r="R247" s="3"/>
      <c r="S247" s="3"/>
      <c r="T247" s="3"/>
      <c r="U247" s="3"/>
      <c r="V247" s="18"/>
      <c r="W247" s="3"/>
      <c r="X247" s="3"/>
      <c r="Y247" s="3"/>
      <c r="Z247" s="3"/>
      <c r="AA247" s="3"/>
    </row>
    <row r="248" spans="1:27" ht="24.75" customHeight="1">
      <c r="A248" s="3"/>
      <c r="B248" s="3"/>
      <c r="C248" s="3"/>
      <c r="D248" s="3"/>
      <c r="E248" s="3"/>
      <c r="F248" s="3"/>
      <c r="G248" s="3"/>
      <c r="H248" s="3"/>
      <c r="I248" s="3"/>
      <c r="J248" s="3"/>
      <c r="K248" s="3"/>
      <c r="L248" s="3"/>
      <c r="M248" s="3"/>
      <c r="N248" s="3"/>
      <c r="O248" s="3"/>
      <c r="P248" s="3"/>
      <c r="Q248" s="3"/>
      <c r="R248" s="3"/>
      <c r="S248" s="3"/>
      <c r="T248" s="3"/>
      <c r="U248" s="3"/>
      <c r="V248" s="18"/>
      <c r="W248" s="3"/>
      <c r="X248" s="3"/>
      <c r="Y248" s="3"/>
      <c r="Z248" s="3"/>
      <c r="AA248" s="3"/>
    </row>
    <row r="249" spans="1:27" ht="24.75" customHeight="1">
      <c r="A249" s="3"/>
      <c r="B249" s="3"/>
      <c r="C249" s="3"/>
      <c r="D249" s="3"/>
      <c r="E249" s="3"/>
      <c r="F249" s="3"/>
      <c r="G249" s="3"/>
      <c r="H249" s="3"/>
      <c r="I249" s="3"/>
      <c r="J249" s="3"/>
      <c r="K249" s="3"/>
      <c r="L249" s="3"/>
      <c r="M249" s="3"/>
      <c r="N249" s="3"/>
      <c r="O249" s="3"/>
      <c r="P249" s="3"/>
      <c r="Q249" s="3"/>
      <c r="R249" s="3"/>
      <c r="S249" s="3"/>
      <c r="T249" s="3"/>
      <c r="U249" s="3"/>
      <c r="V249" s="18"/>
      <c r="W249" s="3"/>
      <c r="X249" s="3"/>
      <c r="Y249" s="3"/>
      <c r="Z249" s="3"/>
      <c r="AA249" s="3"/>
    </row>
    <row r="250" spans="1:27" ht="24.75" customHeight="1">
      <c r="A250" s="3"/>
      <c r="B250" s="3"/>
      <c r="C250" s="3"/>
      <c r="D250" s="3"/>
      <c r="E250" s="3"/>
      <c r="F250" s="3"/>
      <c r="G250" s="3"/>
      <c r="H250" s="3"/>
      <c r="I250" s="3"/>
      <c r="J250" s="3"/>
      <c r="K250" s="3"/>
      <c r="L250" s="3"/>
      <c r="M250" s="3"/>
      <c r="N250" s="3"/>
      <c r="O250" s="3"/>
      <c r="P250" s="3"/>
      <c r="Q250" s="3"/>
      <c r="R250" s="3"/>
      <c r="S250" s="3"/>
      <c r="T250" s="3"/>
      <c r="U250" s="3"/>
      <c r="V250" s="18"/>
      <c r="W250" s="3"/>
      <c r="X250" s="3"/>
      <c r="Y250" s="3"/>
      <c r="Z250" s="3"/>
      <c r="AA250" s="3"/>
    </row>
    <row r="251" spans="1:27" ht="24.75" customHeight="1">
      <c r="A251" s="3"/>
      <c r="B251" s="3"/>
      <c r="C251" s="3"/>
      <c r="D251" s="3"/>
      <c r="E251" s="3"/>
      <c r="F251" s="3"/>
      <c r="G251" s="3"/>
      <c r="H251" s="3"/>
      <c r="I251" s="3"/>
      <c r="J251" s="3"/>
      <c r="K251" s="3"/>
      <c r="L251" s="3"/>
      <c r="M251" s="3"/>
      <c r="N251" s="3"/>
      <c r="O251" s="3"/>
      <c r="P251" s="3"/>
      <c r="Q251" s="3"/>
      <c r="R251" s="3"/>
      <c r="S251" s="3"/>
      <c r="T251" s="3"/>
      <c r="U251" s="3"/>
      <c r="V251" s="18"/>
      <c r="W251" s="3"/>
      <c r="X251" s="3"/>
      <c r="Y251" s="3"/>
      <c r="Z251" s="3"/>
      <c r="AA251" s="3"/>
    </row>
    <row r="252" spans="1:27" ht="24.75" customHeight="1">
      <c r="A252" s="3"/>
      <c r="B252" s="3"/>
      <c r="C252" s="3"/>
      <c r="D252" s="3"/>
      <c r="E252" s="3"/>
      <c r="F252" s="3"/>
      <c r="G252" s="3"/>
      <c r="H252" s="3"/>
      <c r="I252" s="3"/>
      <c r="J252" s="3"/>
      <c r="K252" s="3"/>
      <c r="L252" s="3"/>
      <c r="M252" s="3"/>
      <c r="N252" s="3"/>
      <c r="O252" s="3"/>
      <c r="P252" s="3"/>
      <c r="Q252" s="3"/>
      <c r="R252" s="3"/>
      <c r="S252" s="3"/>
      <c r="T252" s="3"/>
      <c r="U252" s="3"/>
      <c r="V252" s="18"/>
      <c r="W252" s="3"/>
      <c r="X252" s="3"/>
      <c r="Y252" s="3"/>
      <c r="Z252" s="3"/>
      <c r="AA252" s="3"/>
    </row>
    <row r="253" spans="1:27" ht="24.75" customHeight="1">
      <c r="A253" s="3"/>
      <c r="B253" s="3"/>
      <c r="C253" s="3"/>
      <c r="D253" s="3"/>
      <c r="E253" s="3"/>
      <c r="F253" s="3"/>
      <c r="G253" s="3"/>
      <c r="H253" s="3"/>
      <c r="I253" s="3"/>
      <c r="J253" s="3"/>
      <c r="K253" s="3"/>
      <c r="L253" s="3"/>
      <c r="M253" s="3"/>
      <c r="N253" s="3"/>
      <c r="O253" s="3"/>
      <c r="P253" s="3"/>
      <c r="Q253" s="3"/>
      <c r="R253" s="3"/>
      <c r="S253" s="3"/>
      <c r="T253" s="3"/>
      <c r="U253" s="3"/>
      <c r="V253" s="18"/>
      <c r="W253" s="3"/>
      <c r="X253" s="3"/>
      <c r="Y253" s="3"/>
      <c r="Z253" s="3"/>
      <c r="AA253" s="3"/>
    </row>
    <row r="254" spans="1:27" ht="24.75" customHeight="1">
      <c r="A254" s="3"/>
      <c r="B254" s="3"/>
      <c r="C254" s="3"/>
      <c r="D254" s="3"/>
      <c r="E254" s="3"/>
      <c r="F254" s="3"/>
      <c r="G254" s="3"/>
      <c r="H254" s="3"/>
      <c r="I254" s="3"/>
      <c r="J254" s="3"/>
      <c r="K254" s="3"/>
      <c r="L254" s="3"/>
      <c r="M254" s="3"/>
      <c r="N254" s="3"/>
      <c r="O254" s="3"/>
      <c r="P254" s="3"/>
      <c r="Q254" s="3"/>
      <c r="R254" s="3"/>
      <c r="S254" s="3"/>
      <c r="T254" s="3"/>
      <c r="U254" s="3"/>
      <c r="V254" s="18"/>
      <c r="W254" s="3"/>
      <c r="X254" s="3"/>
      <c r="Y254" s="3"/>
      <c r="Z254" s="3"/>
      <c r="AA254" s="3"/>
    </row>
    <row r="255" spans="1:27" ht="24.75" customHeight="1">
      <c r="A255" s="3"/>
      <c r="B255" s="3"/>
      <c r="C255" s="3"/>
      <c r="D255" s="3"/>
      <c r="E255" s="3"/>
      <c r="F255" s="3"/>
      <c r="G255" s="3"/>
      <c r="H255" s="3"/>
      <c r="I255" s="3"/>
      <c r="J255" s="3"/>
      <c r="K255" s="3"/>
      <c r="L255" s="3"/>
      <c r="M255" s="3"/>
      <c r="N255" s="3"/>
      <c r="O255" s="3"/>
      <c r="P255" s="3"/>
      <c r="Q255" s="3"/>
      <c r="R255" s="3"/>
      <c r="S255" s="3"/>
      <c r="T255" s="3"/>
      <c r="U255" s="3"/>
      <c r="V255" s="18"/>
      <c r="W255" s="3"/>
      <c r="X255" s="3"/>
      <c r="Y255" s="3"/>
      <c r="Z255" s="3"/>
      <c r="AA255" s="3"/>
    </row>
    <row r="256" spans="1:27" ht="24.75" customHeight="1">
      <c r="A256" s="3"/>
      <c r="B256" s="3"/>
      <c r="C256" s="3"/>
      <c r="D256" s="3"/>
      <c r="E256" s="3"/>
      <c r="F256" s="3"/>
      <c r="G256" s="3"/>
      <c r="H256" s="3"/>
      <c r="I256" s="3"/>
      <c r="J256" s="3"/>
      <c r="K256" s="3"/>
      <c r="L256" s="3"/>
      <c r="M256" s="3"/>
      <c r="N256" s="3"/>
      <c r="O256" s="3"/>
      <c r="P256" s="3"/>
      <c r="Q256" s="3"/>
      <c r="R256" s="3"/>
      <c r="S256" s="3"/>
      <c r="T256" s="3"/>
      <c r="U256" s="3"/>
      <c r="V256" s="18"/>
      <c r="W256" s="3"/>
      <c r="X256" s="3"/>
      <c r="Y256" s="3"/>
      <c r="Z256" s="3"/>
      <c r="AA256" s="3"/>
    </row>
    <row r="257" spans="1:27" ht="24.75" customHeight="1">
      <c r="A257" s="3"/>
      <c r="B257" s="3"/>
      <c r="C257" s="3"/>
      <c r="D257" s="3"/>
      <c r="E257" s="3"/>
      <c r="F257" s="3"/>
      <c r="G257" s="3"/>
      <c r="H257" s="3"/>
      <c r="I257" s="3"/>
      <c r="J257" s="3"/>
      <c r="K257" s="3"/>
      <c r="L257" s="3"/>
      <c r="M257" s="3"/>
      <c r="N257" s="3"/>
      <c r="O257" s="3"/>
      <c r="P257" s="3"/>
      <c r="Q257" s="3"/>
      <c r="R257" s="3"/>
      <c r="S257" s="3"/>
      <c r="T257" s="3"/>
      <c r="U257" s="3"/>
      <c r="V257" s="18"/>
      <c r="W257" s="3"/>
      <c r="X257" s="3"/>
      <c r="Y257" s="3"/>
      <c r="Z257" s="3"/>
      <c r="AA257" s="3"/>
    </row>
    <row r="258" spans="1:27" ht="24.75" customHeight="1">
      <c r="A258" s="3"/>
      <c r="B258" s="3"/>
      <c r="C258" s="3"/>
      <c r="D258" s="3"/>
      <c r="E258" s="3"/>
      <c r="F258" s="3"/>
      <c r="G258" s="3"/>
      <c r="H258" s="3"/>
      <c r="I258" s="3"/>
      <c r="J258" s="3"/>
      <c r="K258" s="3"/>
      <c r="L258" s="3"/>
      <c r="M258" s="3"/>
      <c r="N258" s="3"/>
      <c r="O258" s="3"/>
      <c r="P258" s="3"/>
      <c r="Q258" s="3"/>
      <c r="R258" s="3"/>
      <c r="S258" s="3"/>
      <c r="T258" s="3"/>
      <c r="U258" s="3"/>
      <c r="V258" s="18"/>
      <c r="W258" s="3"/>
      <c r="X258" s="3"/>
      <c r="Y258" s="3"/>
      <c r="Z258" s="3"/>
      <c r="AA258" s="3"/>
    </row>
    <row r="259" spans="1:27" ht="24.75" customHeight="1">
      <c r="A259" s="3"/>
      <c r="B259" s="3"/>
      <c r="C259" s="3"/>
      <c r="D259" s="3"/>
      <c r="E259" s="3"/>
      <c r="F259" s="3"/>
      <c r="G259" s="3"/>
      <c r="H259" s="3"/>
      <c r="I259" s="3"/>
      <c r="J259" s="3"/>
      <c r="K259" s="3"/>
      <c r="L259" s="3"/>
      <c r="M259" s="3"/>
      <c r="N259" s="3"/>
      <c r="O259" s="3"/>
      <c r="P259" s="3"/>
      <c r="Q259" s="3"/>
      <c r="R259" s="3"/>
      <c r="S259" s="3"/>
      <c r="T259" s="3"/>
      <c r="U259" s="3"/>
      <c r="V259" s="18"/>
      <c r="W259" s="3"/>
      <c r="X259" s="3"/>
      <c r="Y259" s="3"/>
      <c r="Z259" s="3"/>
      <c r="AA259" s="3"/>
    </row>
    <row r="260" spans="1:27" ht="24.75" customHeight="1">
      <c r="A260" s="3"/>
      <c r="B260" s="3"/>
      <c r="C260" s="3"/>
      <c r="D260" s="3"/>
      <c r="E260" s="3"/>
      <c r="F260" s="3"/>
      <c r="G260" s="3"/>
      <c r="H260" s="3"/>
      <c r="I260" s="3"/>
      <c r="J260" s="3"/>
      <c r="K260" s="3"/>
      <c r="L260" s="3"/>
      <c r="M260" s="3"/>
      <c r="N260" s="3"/>
      <c r="O260" s="3"/>
      <c r="P260" s="3"/>
      <c r="Q260" s="3"/>
      <c r="R260" s="3"/>
      <c r="S260" s="3"/>
      <c r="T260" s="3"/>
      <c r="U260" s="3"/>
      <c r="V260" s="18"/>
      <c r="W260" s="3"/>
      <c r="X260" s="3"/>
      <c r="Y260" s="3"/>
      <c r="Z260" s="3"/>
      <c r="AA260" s="3"/>
    </row>
    <row r="261" spans="1:27" ht="24.75" customHeight="1">
      <c r="A261" s="3"/>
      <c r="B261" s="3"/>
      <c r="C261" s="3"/>
      <c r="D261" s="3"/>
      <c r="E261" s="3"/>
      <c r="F261" s="3"/>
      <c r="G261" s="3"/>
      <c r="H261" s="3"/>
      <c r="I261" s="3"/>
      <c r="J261" s="3"/>
      <c r="K261" s="3"/>
      <c r="L261" s="3"/>
      <c r="M261" s="3"/>
      <c r="N261" s="3"/>
      <c r="O261" s="3"/>
      <c r="P261" s="3"/>
      <c r="Q261" s="3"/>
      <c r="R261" s="3"/>
      <c r="S261" s="3"/>
      <c r="T261" s="3"/>
      <c r="U261" s="3"/>
      <c r="V261" s="18"/>
      <c r="W261" s="3"/>
      <c r="X261" s="3"/>
      <c r="Y261" s="3"/>
      <c r="Z261" s="3"/>
      <c r="AA261" s="3"/>
    </row>
    <row r="262" spans="1:27" ht="24.75" customHeight="1">
      <c r="A262" s="3"/>
      <c r="B262" s="3"/>
      <c r="C262" s="3"/>
      <c r="D262" s="3"/>
      <c r="E262" s="3"/>
      <c r="F262" s="3"/>
      <c r="G262" s="3"/>
      <c r="H262" s="3"/>
      <c r="I262" s="3"/>
      <c r="J262" s="3"/>
      <c r="K262" s="3"/>
      <c r="L262" s="3"/>
      <c r="M262" s="3"/>
      <c r="N262" s="3"/>
      <c r="O262" s="3"/>
      <c r="P262" s="3"/>
      <c r="Q262" s="3"/>
      <c r="R262" s="3"/>
      <c r="S262" s="3"/>
      <c r="T262" s="3"/>
      <c r="U262" s="3"/>
      <c r="V262" s="18"/>
      <c r="W262" s="3"/>
      <c r="X262" s="3"/>
      <c r="Y262" s="3"/>
      <c r="Z262" s="3"/>
      <c r="AA262" s="3"/>
    </row>
    <row r="263" spans="1:27" ht="24.75" customHeight="1">
      <c r="A263" s="3"/>
      <c r="B263" s="3"/>
      <c r="C263" s="3"/>
      <c r="D263" s="3"/>
      <c r="E263" s="3"/>
      <c r="F263" s="3"/>
      <c r="G263" s="3"/>
      <c r="H263" s="3"/>
      <c r="I263" s="3"/>
      <c r="J263" s="3"/>
      <c r="K263" s="3"/>
      <c r="L263" s="3"/>
      <c r="M263" s="3"/>
      <c r="N263" s="3"/>
      <c r="O263" s="3"/>
      <c r="P263" s="3"/>
      <c r="Q263" s="3"/>
      <c r="R263" s="3"/>
      <c r="S263" s="3"/>
      <c r="T263" s="3"/>
      <c r="U263" s="3"/>
      <c r="V263" s="18"/>
      <c r="W263" s="3"/>
      <c r="X263" s="3"/>
      <c r="Y263" s="3"/>
      <c r="Z263" s="3"/>
      <c r="AA263" s="3"/>
    </row>
    <row r="264" spans="1:27" ht="24.75" customHeight="1">
      <c r="A264" s="3"/>
      <c r="B264" s="3"/>
      <c r="C264" s="3"/>
      <c r="D264" s="3"/>
      <c r="E264" s="3"/>
      <c r="F264" s="3"/>
      <c r="G264" s="3"/>
      <c r="H264" s="3"/>
      <c r="I264" s="3"/>
      <c r="J264" s="3"/>
      <c r="K264" s="3"/>
      <c r="L264" s="3"/>
      <c r="M264" s="3"/>
      <c r="N264" s="3"/>
      <c r="O264" s="3"/>
      <c r="P264" s="3"/>
      <c r="Q264" s="3"/>
      <c r="R264" s="3"/>
      <c r="S264" s="3"/>
      <c r="T264" s="3"/>
      <c r="U264" s="3"/>
      <c r="V264" s="18"/>
      <c r="W264" s="3"/>
      <c r="X264" s="3"/>
      <c r="Y264" s="3"/>
      <c r="Z264" s="3"/>
      <c r="AA264" s="3"/>
    </row>
    <row r="265" spans="1:27" ht="24.75" customHeight="1">
      <c r="A265" s="3"/>
      <c r="B265" s="3"/>
      <c r="C265" s="3"/>
      <c r="D265" s="3"/>
      <c r="E265" s="3"/>
      <c r="F265" s="3"/>
      <c r="G265" s="3"/>
      <c r="H265" s="3"/>
      <c r="I265" s="3"/>
      <c r="J265" s="3"/>
      <c r="K265" s="3"/>
      <c r="L265" s="3"/>
      <c r="M265" s="3"/>
      <c r="N265" s="3"/>
      <c r="O265" s="3"/>
      <c r="P265" s="3"/>
      <c r="Q265" s="3"/>
      <c r="R265" s="3"/>
      <c r="S265" s="3"/>
      <c r="T265" s="3"/>
      <c r="U265" s="3"/>
      <c r="V265" s="18"/>
      <c r="W265" s="3"/>
      <c r="X265" s="3"/>
      <c r="Y265" s="3"/>
      <c r="Z265" s="3"/>
      <c r="AA265" s="3"/>
    </row>
    <row r="266" spans="1:27" ht="24.75" customHeight="1">
      <c r="A266" s="3"/>
      <c r="B266" s="3"/>
      <c r="C266" s="3"/>
      <c r="D266" s="3"/>
      <c r="E266" s="3"/>
      <c r="F266" s="3"/>
      <c r="G266" s="3"/>
      <c r="H266" s="3"/>
      <c r="I266" s="3"/>
      <c r="J266" s="3"/>
      <c r="K266" s="3"/>
      <c r="L266" s="3"/>
      <c r="M266" s="3"/>
      <c r="N266" s="3"/>
      <c r="O266" s="3"/>
      <c r="P266" s="3"/>
      <c r="Q266" s="3"/>
      <c r="R266" s="3"/>
      <c r="S266" s="3"/>
      <c r="T266" s="3"/>
      <c r="U266" s="3"/>
      <c r="V266" s="18"/>
      <c r="W266" s="3"/>
      <c r="X266" s="3"/>
      <c r="Y266" s="3"/>
      <c r="Z266" s="3"/>
      <c r="AA266" s="3"/>
    </row>
    <row r="267" spans="1:27" ht="24.75" customHeight="1">
      <c r="A267" s="3"/>
      <c r="B267" s="3"/>
      <c r="C267" s="3"/>
      <c r="D267" s="3"/>
      <c r="E267" s="3"/>
      <c r="F267" s="3"/>
      <c r="G267" s="3"/>
      <c r="H267" s="3"/>
      <c r="I267" s="3"/>
      <c r="J267" s="3"/>
      <c r="K267" s="3"/>
      <c r="L267" s="3"/>
      <c r="M267" s="3"/>
      <c r="N267" s="3"/>
      <c r="O267" s="3"/>
      <c r="P267" s="3"/>
      <c r="Q267" s="3"/>
      <c r="R267" s="3"/>
      <c r="S267" s="3"/>
      <c r="T267" s="3"/>
      <c r="U267" s="3"/>
      <c r="V267" s="18"/>
      <c r="W267" s="3"/>
      <c r="X267" s="3"/>
      <c r="Y267" s="3"/>
      <c r="Z267" s="3"/>
      <c r="AA267" s="3"/>
    </row>
    <row r="268" spans="1:27" ht="24.75" customHeight="1">
      <c r="A268" s="3"/>
      <c r="B268" s="3"/>
      <c r="C268" s="3"/>
      <c r="D268" s="3"/>
      <c r="E268" s="3"/>
      <c r="F268" s="3"/>
      <c r="G268" s="3"/>
      <c r="H268" s="3"/>
      <c r="I268" s="3"/>
      <c r="J268" s="3"/>
      <c r="K268" s="3"/>
      <c r="L268" s="3"/>
      <c r="M268" s="3"/>
      <c r="N268" s="3"/>
      <c r="O268" s="3"/>
      <c r="P268" s="3"/>
      <c r="Q268" s="3"/>
      <c r="R268" s="3"/>
      <c r="S268" s="3"/>
      <c r="T268" s="3"/>
      <c r="U268" s="3"/>
      <c r="V268" s="18"/>
      <c r="W268" s="3"/>
      <c r="X268" s="3"/>
      <c r="Y268" s="3"/>
      <c r="Z268" s="3"/>
      <c r="AA268" s="3"/>
    </row>
    <row r="269" spans="1:27" ht="24.75" customHeight="1">
      <c r="A269" s="3"/>
      <c r="B269" s="3"/>
      <c r="C269" s="3"/>
      <c r="D269" s="3"/>
      <c r="E269" s="3"/>
      <c r="F269" s="3"/>
      <c r="G269" s="3"/>
      <c r="H269" s="3"/>
      <c r="I269" s="3"/>
      <c r="J269" s="3"/>
      <c r="K269" s="3"/>
      <c r="L269" s="3"/>
      <c r="M269" s="3"/>
      <c r="N269" s="3"/>
      <c r="O269" s="3"/>
      <c r="P269" s="3"/>
      <c r="Q269" s="3"/>
      <c r="R269" s="3"/>
      <c r="S269" s="3"/>
      <c r="T269" s="3"/>
      <c r="U269" s="3"/>
      <c r="V269" s="18"/>
      <c r="W269" s="3"/>
      <c r="X269" s="3"/>
      <c r="Y269" s="3"/>
      <c r="Z269" s="3"/>
      <c r="AA269" s="3"/>
    </row>
    <row r="270" spans="1:27" ht="24.75" customHeight="1">
      <c r="A270" s="3"/>
      <c r="B270" s="3"/>
      <c r="C270" s="3"/>
      <c r="D270" s="3"/>
      <c r="E270" s="3"/>
      <c r="F270" s="3"/>
      <c r="G270" s="3"/>
      <c r="H270" s="3"/>
      <c r="I270" s="3"/>
      <c r="J270" s="3"/>
      <c r="K270" s="3"/>
      <c r="L270" s="3"/>
      <c r="M270" s="3"/>
      <c r="N270" s="3"/>
      <c r="O270" s="3"/>
      <c r="P270" s="3"/>
      <c r="Q270" s="3"/>
      <c r="R270" s="3"/>
      <c r="S270" s="3"/>
      <c r="T270" s="3"/>
      <c r="U270" s="3"/>
      <c r="V270" s="18"/>
      <c r="W270" s="3"/>
      <c r="X270" s="3"/>
      <c r="Y270" s="3"/>
      <c r="Z270" s="3"/>
      <c r="AA270" s="3"/>
    </row>
    <row r="271" spans="1:27" ht="24.75" customHeight="1">
      <c r="A271" s="3"/>
      <c r="B271" s="3"/>
      <c r="C271" s="3"/>
      <c r="D271" s="3"/>
      <c r="E271" s="3"/>
      <c r="F271" s="3"/>
      <c r="G271" s="3"/>
      <c r="H271" s="3"/>
      <c r="I271" s="3"/>
      <c r="J271" s="3"/>
      <c r="K271" s="3"/>
      <c r="L271" s="3"/>
      <c r="M271" s="3"/>
      <c r="N271" s="3"/>
      <c r="O271" s="3"/>
      <c r="P271" s="3"/>
      <c r="Q271" s="3"/>
      <c r="R271" s="3"/>
      <c r="S271" s="3"/>
      <c r="T271" s="3"/>
      <c r="U271" s="3"/>
      <c r="V271" s="18"/>
      <c r="W271" s="3"/>
      <c r="X271" s="3"/>
      <c r="Y271" s="3"/>
      <c r="Z271" s="3"/>
      <c r="AA271" s="3"/>
    </row>
    <row r="272" spans="1:27" ht="24.75" customHeight="1">
      <c r="A272" s="3"/>
      <c r="B272" s="3"/>
      <c r="C272" s="3"/>
      <c r="D272" s="3"/>
      <c r="E272" s="3"/>
      <c r="F272" s="3"/>
      <c r="G272" s="3"/>
      <c r="H272" s="3"/>
      <c r="I272" s="3"/>
      <c r="J272" s="3"/>
      <c r="K272" s="3"/>
      <c r="L272" s="3"/>
      <c r="M272" s="3"/>
      <c r="N272" s="3"/>
      <c r="O272" s="3"/>
      <c r="P272" s="3"/>
      <c r="Q272" s="3"/>
      <c r="R272" s="3"/>
      <c r="S272" s="3"/>
      <c r="T272" s="3"/>
      <c r="U272" s="3"/>
      <c r="V272" s="18"/>
      <c r="W272" s="3"/>
      <c r="X272" s="3"/>
      <c r="Y272" s="3"/>
      <c r="Z272" s="3"/>
      <c r="AA272" s="3"/>
    </row>
    <row r="273" spans="1:27" ht="24.75" customHeight="1">
      <c r="A273" s="3"/>
      <c r="B273" s="3"/>
      <c r="C273" s="3"/>
      <c r="D273" s="3"/>
      <c r="E273" s="3"/>
      <c r="F273" s="3"/>
      <c r="G273" s="3"/>
      <c r="H273" s="3"/>
      <c r="I273" s="3"/>
      <c r="J273" s="3"/>
      <c r="K273" s="3"/>
      <c r="L273" s="3"/>
      <c r="M273" s="3"/>
      <c r="N273" s="3"/>
      <c r="O273" s="3"/>
      <c r="P273" s="3"/>
      <c r="Q273" s="3"/>
      <c r="R273" s="3"/>
      <c r="S273" s="3"/>
      <c r="T273" s="3"/>
      <c r="U273" s="3"/>
      <c r="V273" s="18"/>
      <c r="W273" s="3"/>
      <c r="X273" s="3"/>
      <c r="Y273" s="3"/>
      <c r="Z273" s="3"/>
      <c r="AA273" s="3"/>
    </row>
    <row r="274" spans="1:27" ht="24.75" customHeight="1">
      <c r="A274" s="3"/>
      <c r="B274" s="3"/>
      <c r="C274" s="3"/>
      <c r="D274" s="3"/>
      <c r="E274" s="3"/>
      <c r="F274" s="3"/>
      <c r="G274" s="3"/>
      <c r="H274" s="3"/>
      <c r="I274" s="3"/>
      <c r="J274" s="3"/>
      <c r="K274" s="3"/>
      <c r="L274" s="3"/>
      <c r="M274" s="3"/>
      <c r="N274" s="3"/>
      <c r="O274" s="3"/>
      <c r="P274" s="3"/>
      <c r="Q274" s="3"/>
      <c r="R274" s="3"/>
      <c r="S274" s="3"/>
      <c r="T274" s="3"/>
      <c r="U274" s="3"/>
      <c r="V274" s="18"/>
      <c r="W274" s="3"/>
      <c r="X274" s="3"/>
      <c r="Y274" s="3"/>
      <c r="Z274" s="3"/>
      <c r="AA274" s="3"/>
    </row>
    <row r="275" spans="1:27" ht="24.75" customHeight="1">
      <c r="A275" s="3"/>
      <c r="B275" s="3"/>
      <c r="C275" s="3"/>
      <c r="D275" s="3"/>
      <c r="E275" s="3"/>
      <c r="F275" s="3"/>
      <c r="G275" s="3"/>
      <c r="H275" s="3"/>
      <c r="I275" s="3"/>
      <c r="J275" s="3"/>
      <c r="K275" s="3"/>
      <c r="L275" s="3"/>
      <c r="M275" s="3"/>
      <c r="N275" s="3"/>
      <c r="O275" s="3"/>
      <c r="P275" s="3"/>
      <c r="Q275" s="3"/>
      <c r="R275" s="3"/>
      <c r="S275" s="3"/>
      <c r="T275" s="3"/>
      <c r="U275" s="3"/>
      <c r="V275" s="18"/>
      <c r="W275" s="3"/>
      <c r="X275" s="3"/>
      <c r="Y275" s="3"/>
      <c r="Z275" s="3"/>
      <c r="AA275" s="3"/>
    </row>
    <row r="276" spans="1:27" ht="24.75" customHeight="1">
      <c r="A276" s="3"/>
      <c r="B276" s="3"/>
      <c r="C276" s="3"/>
      <c r="D276" s="3"/>
      <c r="E276" s="3"/>
      <c r="F276" s="3"/>
      <c r="G276" s="3"/>
      <c r="H276" s="3"/>
      <c r="I276" s="3"/>
      <c r="J276" s="3"/>
      <c r="K276" s="3"/>
      <c r="L276" s="3"/>
      <c r="M276" s="3"/>
      <c r="N276" s="3"/>
      <c r="O276" s="3"/>
      <c r="P276" s="3"/>
      <c r="Q276" s="3"/>
      <c r="R276" s="3"/>
      <c r="S276" s="3"/>
      <c r="T276" s="3"/>
      <c r="U276" s="3"/>
      <c r="V276" s="18"/>
      <c r="W276" s="3"/>
      <c r="X276" s="3"/>
      <c r="Y276" s="3"/>
      <c r="Z276" s="3"/>
      <c r="AA276" s="3"/>
    </row>
    <row r="277" spans="1:27" ht="24.75" customHeight="1">
      <c r="A277" s="3"/>
      <c r="B277" s="3"/>
      <c r="C277" s="3"/>
      <c r="D277" s="3"/>
      <c r="E277" s="3"/>
      <c r="F277" s="3"/>
      <c r="G277" s="3"/>
      <c r="H277" s="3"/>
      <c r="I277" s="3"/>
      <c r="J277" s="3"/>
      <c r="K277" s="3"/>
      <c r="L277" s="3"/>
      <c r="M277" s="3"/>
      <c r="N277" s="3"/>
      <c r="O277" s="3"/>
      <c r="P277" s="3"/>
      <c r="Q277" s="3"/>
      <c r="R277" s="3"/>
      <c r="S277" s="3"/>
      <c r="T277" s="3"/>
      <c r="U277" s="3"/>
      <c r="V277" s="18"/>
      <c r="W277" s="3"/>
      <c r="X277" s="3"/>
      <c r="Y277" s="3"/>
      <c r="Z277" s="3"/>
      <c r="AA277" s="3"/>
    </row>
    <row r="278" spans="1:27" ht="24.75" customHeight="1">
      <c r="A278" s="3"/>
      <c r="B278" s="3"/>
      <c r="C278" s="3"/>
      <c r="D278" s="3"/>
      <c r="E278" s="3"/>
      <c r="F278" s="3"/>
      <c r="G278" s="3"/>
      <c r="H278" s="3"/>
      <c r="I278" s="3"/>
      <c r="J278" s="3"/>
      <c r="K278" s="3"/>
      <c r="L278" s="3"/>
      <c r="M278" s="3"/>
      <c r="N278" s="3"/>
      <c r="O278" s="3"/>
      <c r="P278" s="3"/>
      <c r="Q278" s="3"/>
      <c r="R278" s="3"/>
      <c r="S278" s="3"/>
      <c r="T278" s="3"/>
      <c r="U278" s="3"/>
      <c r="V278" s="18"/>
      <c r="W278" s="3"/>
      <c r="X278" s="3"/>
      <c r="Y278" s="3"/>
      <c r="Z278" s="3"/>
      <c r="AA278" s="3"/>
    </row>
    <row r="279" spans="1:27" ht="24.75" customHeight="1">
      <c r="A279" s="3"/>
      <c r="B279" s="3"/>
      <c r="C279" s="3"/>
      <c r="D279" s="3"/>
      <c r="E279" s="3"/>
      <c r="F279" s="3"/>
      <c r="G279" s="3"/>
      <c r="H279" s="3"/>
      <c r="I279" s="3"/>
      <c r="J279" s="3"/>
      <c r="K279" s="3"/>
      <c r="L279" s="3"/>
      <c r="M279" s="3"/>
      <c r="N279" s="3"/>
      <c r="O279" s="3"/>
      <c r="P279" s="3"/>
      <c r="Q279" s="3"/>
      <c r="R279" s="3"/>
      <c r="S279" s="3"/>
      <c r="T279" s="3"/>
      <c r="U279" s="3"/>
      <c r="V279" s="18"/>
      <c r="W279" s="3"/>
      <c r="X279" s="3"/>
      <c r="Y279" s="3"/>
      <c r="Z279" s="3"/>
      <c r="AA279" s="3"/>
    </row>
    <row r="280" spans="1:27" ht="24.75" customHeight="1">
      <c r="A280" s="3"/>
      <c r="B280" s="3"/>
      <c r="C280" s="3"/>
      <c r="D280" s="3"/>
      <c r="E280" s="3"/>
      <c r="F280" s="3"/>
      <c r="G280" s="3"/>
      <c r="H280" s="3"/>
      <c r="I280" s="3"/>
      <c r="J280" s="3"/>
      <c r="K280" s="3"/>
      <c r="L280" s="3"/>
      <c r="M280" s="3"/>
      <c r="N280" s="3"/>
      <c r="O280" s="3"/>
      <c r="P280" s="3"/>
      <c r="Q280" s="3"/>
      <c r="R280" s="3"/>
      <c r="S280" s="3"/>
      <c r="T280" s="3"/>
      <c r="U280" s="3"/>
      <c r="V280" s="18"/>
      <c r="W280" s="3"/>
      <c r="X280" s="3"/>
      <c r="Y280" s="3"/>
      <c r="Z280" s="3"/>
      <c r="AA280" s="3"/>
    </row>
    <row r="281" spans="1:27" ht="24.75" customHeight="1">
      <c r="A281" s="3"/>
      <c r="B281" s="3"/>
      <c r="C281" s="3"/>
      <c r="D281" s="3"/>
      <c r="E281" s="3"/>
      <c r="F281" s="3"/>
      <c r="G281" s="3"/>
      <c r="H281" s="3"/>
      <c r="I281" s="3"/>
      <c r="J281" s="3"/>
      <c r="K281" s="3"/>
      <c r="L281" s="3"/>
      <c r="M281" s="3"/>
      <c r="N281" s="3"/>
      <c r="O281" s="3"/>
      <c r="P281" s="3"/>
      <c r="Q281" s="3"/>
      <c r="R281" s="3"/>
      <c r="S281" s="3"/>
      <c r="T281" s="3"/>
      <c r="U281" s="3"/>
      <c r="V281" s="18"/>
      <c r="W281" s="3"/>
      <c r="X281" s="3"/>
      <c r="Y281" s="3"/>
      <c r="Z281" s="3"/>
      <c r="AA281" s="3"/>
    </row>
    <row r="282" spans="1:27" ht="24.75" customHeight="1">
      <c r="A282" s="3"/>
      <c r="B282" s="3"/>
      <c r="C282" s="3"/>
      <c r="D282" s="3"/>
      <c r="E282" s="3"/>
      <c r="F282" s="3"/>
      <c r="G282" s="3"/>
      <c r="H282" s="3"/>
      <c r="I282" s="3"/>
      <c r="J282" s="3"/>
      <c r="K282" s="3"/>
      <c r="L282" s="3"/>
      <c r="M282" s="3"/>
      <c r="N282" s="3"/>
      <c r="O282" s="3"/>
      <c r="P282" s="3"/>
      <c r="Q282" s="3"/>
      <c r="R282" s="3"/>
      <c r="S282" s="3"/>
      <c r="T282" s="3"/>
      <c r="U282" s="3"/>
      <c r="V282" s="18"/>
      <c r="W282" s="3"/>
      <c r="X282" s="3"/>
      <c r="Y282" s="3"/>
      <c r="Z282" s="3"/>
      <c r="AA282" s="3"/>
    </row>
    <row r="283" spans="1:27" ht="24.75" customHeight="1">
      <c r="A283" s="3"/>
      <c r="B283" s="3"/>
      <c r="C283" s="3"/>
      <c r="D283" s="3"/>
      <c r="E283" s="3"/>
      <c r="F283" s="3"/>
      <c r="G283" s="3"/>
      <c r="H283" s="3"/>
      <c r="I283" s="3"/>
      <c r="J283" s="3"/>
      <c r="K283" s="3"/>
      <c r="L283" s="3"/>
      <c r="M283" s="3"/>
      <c r="N283" s="3"/>
      <c r="O283" s="3"/>
      <c r="P283" s="3"/>
      <c r="Q283" s="3"/>
      <c r="R283" s="3"/>
      <c r="S283" s="3"/>
      <c r="T283" s="3"/>
      <c r="U283" s="3"/>
      <c r="V283" s="18"/>
      <c r="W283" s="3"/>
      <c r="X283" s="3"/>
      <c r="Y283" s="3"/>
      <c r="Z283" s="3"/>
      <c r="AA283" s="3"/>
    </row>
    <row r="284" spans="1:27" ht="24.75" customHeight="1">
      <c r="A284" s="3"/>
      <c r="B284" s="3"/>
      <c r="C284" s="3"/>
      <c r="D284" s="3"/>
      <c r="E284" s="3"/>
      <c r="F284" s="3"/>
      <c r="G284" s="3"/>
      <c r="H284" s="3"/>
      <c r="I284" s="3"/>
      <c r="J284" s="3"/>
      <c r="K284" s="3"/>
      <c r="L284" s="3"/>
      <c r="M284" s="3"/>
      <c r="N284" s="3"/>
      <c r="O284" s="3"/>
      <c r="P284" s="3"/>
      <c r="Q284" s="3"/>
      <c r="R284" s="3"/>
      <c r="S284" s="3"/>
      <c r="T284" s="3"/>
      <c r="U284" s="3"/>
      <c r="V284" s="18"/>
      <c r="W284" s="3"/>
      <c r="X284" s="3"/>
      <c r="Y284" s="3"/>
      <c r="Z284" s="3"/>
      <c r="AA284" s="3"/>
    </row>
    <row r="285" spans="1:27" ht="24.75" customHeight="1">
      <c r="A285" s="3"/>
      <c r="B285" s="3"/>
      <c r="C285" s="3"/>
      <c r="D285" s="3"/>
      <c r="E285" s="3"/>
      <c r="F285" s="3"/>
      <c r="G285" s="3"/>
      <c r="H285" s="3"/>
      <c r="I285" s="3"/>
      <c r="J285" s="3"/>
      <c r="K285" s="3"/>
      <c r="L285" s="3"/>
      <c r="M285" s="3"/>
      <c r="N285" s="3"/>
      <c r="O285" s="3"/>
      <c r="P285" s="3"/>
      <c r="Q285" s="3"/>
      <c r="R285" s="3"/>
      <c r="S285" s="3"/>
      <c r="T285" s="3"/>
      <c r="U285" s="3"/>
      <c r="V285" s="18"/>
      <c r="W285" s="3"/>
      <c r="X285" s="3"/>
      <c r="Y285" s="3"/>
      <c r="Z285" s="3"/>
      <c r="AA285" s="3"/>
    </row>
    <row r="286" spans="1:27" ht="24.75" customHeight="1">
      <c r="A286" s="3"/>
      <c r="B286" s="3"/>
      <c r="C286" s="3"/>
      <c r="D286" s="3"/>
      <c r="E286" s="3"/>
      <c r="F286" s="3"/>
      <c r="G286" s="3"/>
      <c r="H286" s="3"/>
      <c r="I286" s="3"/>
      <c r="J286" s="3"/>
      <c r="K286" s="3"/>
      <c r="L286" s="3"/>
      <c r="M286" s="3"/>
      <c r="N286" s="3"/>
      <c r="O286" s="3"/>
      <c r="P286" s="3"/>
      <c r="Q286" s="3"/>
      <c r="R286" s="3"/>
      <c r="S286" s="3"/>
      <c r="T286" s="3"/>
      <c r="U286" s="3"/>
      <c r="V286" s="18"/>
      <c r="W286" s="3"/>
      <c r="X286" s="3"/>
      <c r="Y286" s="3"/>
      <c r="Z286" s="3"/>
      <c r="AA286" s="3"/>
    </row>
    <row r="287" spans="1:27" ht="24.75" customHeight="1">
      <c r="A287" s="3"/>
      <c r="B287" s="3"/>
      <c r="C287" s="3"/>
      <c r="D287" s="3"/>
      <c r="E287" s="3"/>
      <c r="F287" s="3"/>
      <c r="G287" s="3"/>
      <c r="H287" s="3"/>
      <c r="I287" s="3"/>
      <c r="J287" s="3"/>
      <c r="K287" s="3"/>
      <c r="L287" s="3"/>
      <c r="M287" s="3"/>
      <c r="N287" s="3"/>
      <c r="O287" s="3"/>
      <c r="P287" s="3"/>
      <c r="Q287" s="3"/>
      <c r="R287" s="3"/>
      <c r="S287" s="3"/>
      <c r="T287" s="3"/>
      <c r="U287" s="3"/>
      <c r="V287" s="18"/>
      <c r="W287" s="3"/>
      <c r="X287" s="3"/>
      <c r="Y287" s="3"/>
      <c r="Z287" s="3"/>
      <c r="AA287" s="3"/>
    </row>
    <row r="288" spans="1:27" ht="24.75" customHeight="1">
      <c r="A288" s="3"/>
      <c r="B288" s="3"/>
      <c r="C288" s="3"/>
      <c r="D288" s="3"/>
      <c r="E288" s="3"/>
      <c r="F288" s="3"/>
      <c r="G288" s="3"/>
      <c r="H288" s="3"/>
      <c r="I288" s="3"/>
      <c r="J288" s="3"/>
      <c r="K288" s="3"/>
      <c r="L288" s="3"/>
      <c r="M288" s="3"/>
      <c r="N288" s="3"/>
      <c r="O288" s="3"/>
      <c r="P288" s="3"/>
      <c r="Q288" s="3"/>
      <c r="R288" s="3"/>
      <c r="S288" s="3"/>
      <c r="T288" s="3"/>
      <c r="U288" s="3"/>
      <c r="V288" s="18"/>
      <c r="W288" s="3"/>
      <c r="X288" s="3"/>
      <c r="Y288" s="3"/>
      <c r="Z288" s="3"/>
      <c r="AA288" s="3"/>
    </row>
    <row r="289" spans="1:27" ht="24.75" customHeight="1">
      <c r="A289" s="3"/>
      <c r="B289" s="3"/>
      <c r="C289" s="3"/>
      <c r="D289" s="3"/>
      <c r="E289" s="3"/>
      <c r="F289" s="3"/>
      <c r="G289" s="3"/>
      <c r="H289" s="3"/>
      <c r="I289" s="3"/>
      <c r="J289" s="3"/>
      <c r="K289" s="3"/>
      <c r="L289" s="3"/>
      <c r="M289" s="3"/>
      <c r="N289" s="3"/>
      <c r="O289" s="3"/>
      <c r="P289" s="3"/>
      <c r="Q289" s="3"/>
      <c r="R289" s="3"/>
      <c r="S289" s="3"/>
      <c r="T289" s="3"/>
      <c r="U289" s="3"/>
      <c r="V289" s="18"/>
      <c r="W289" s="3"/>
      <c r="X289" s="3"/>
      <c r="Y289" s="3"/>
      <c r="Z289" s="3"/>
      <c r="AA289" s="3"/>
    </row>
    <row r="290" spans="1:27" ht="24.75" customHeight="1">
      <c r="A290" s="3"/>
      <c r="B290" s="3"/>
      <c r="C290" s="3"/>
      <c r="D290" s="3"/>
      <c r="E290" s="3"/>
      <c r="F290" s="3"/>
      <c r="G290" s="3"/>
      <c r="H290" s="3"/>
      <c r="I290" s="3"/>
      <c r="J290" s="3"/>
      <c r="K290" s="3"/>
      <c r="L290" s="3"/>
      <c r="M290" s="3"/>
      <c r="N290" s="3"/>
      <c r="O290" s="3"/>
      <c r="P290" s="3"/>
      <c r="Q290" s="3"/>
      <c r="R290" s="3"/>
      <c r="S290" s="3"/>
      <c r="T290" s="3"/>
      <c r="U290" s="3"/>
      <c r="V290" s="18"/>
      <c r="W290" s="3"/>
      <c r="X290" s="3"/>
      <c r="Y290" s="3"/>
      <c r="Z290" s="3"/>
      <c r="AA290" s="3"/>
    </row>
    <row r="291" spans="1:27" ht="24.75" customHeight="1">
      <c r="A291" s="3"/>
      <c r="B291" s="3"/>
      <c r="C291" s="3"/>
      <c r="D291" s="3"/>
      <c r="E291" s="3"/>
      <c r="F291" s="3"/>
      <c r="G291" s="3"/>
      <c r="H291" s="3"/>
      <c r="I291" s="3"/>
      <c r="J291" s="3"/>
      <c r="K291" s="3"/>
      <c r="L291" s="3"/>
      <c r="M291" s="3"/>
      <c r="N291" s="3"/>
      <c r="O291" s="3"/>
      <c r="P291" s="3"/>
      <c r="Q291" s="3"/>
      <c r="R291" s="3"/>
      <c r="S291" s="3"/>
      <c r="T291" s="3"/>
      <c r="U291" s="3"/>
      <c r="V291" s="18"/>
      <c r="W291" s="3"/>
      <c r="X291" s="3"/>
      <c r="Y291" s="3"/>
      <c r="Z291" s="3"/>
      <c r="AA291" s="3"/>
    </row>
    <row r="292" spans="1:27" ht="24.75" customHeight="1">
      <c r="A292" s="3"/>
      <c r="B292" s="3"/>
      <c r="C292" s="3"/>
      <c r="D292" s="3"/>
      <c r="E292" s="3"/>
      <c r="F292" s="3"/>
      <c r="G292" s="3"/>
      <c r="H292" s="3"/>
      <c r="I292" s="3"/>
      <c r="J292" s="3"/>
      <c r="K292" s="3"/>
      <c r="L292" s="3"/>
      <c r="M292" s="3"/>
      <c r="N292" s="3"/>
      <c r="O292" s="3"/>
      <c r="P292" s="3"/>
      <c r="Q292" s="3"/>
      <c r="R292" s="3"/>
      <c r="S292" s="3"/>
      <c r="T292" s="3"/>
      <c r="U292" s="3"/>
      <c r="V292" s="18"/>
      <c r="W292" s="3"/>
      <c r="X292" s="3"/>
      <c r="Y292" s="3"/>
      <c r="Z292" s="3"/>
      <c r="AA292" s="3"/>
    </row>
    <row r="293" spans="1:27" ht="24.75" customHeight="1">
      <c r="A293" s="3"/>
      <c r="B293" s="3"/>
      <c r="C293" s="3"/>
      <c r="D293" s="3"/>
      <c r="E293" s="3"/>
      <c r="F293" s="3"/>
      <c r="G293" s="3"/>
      <c r="H293" s="3"/>
      <c r="I293" s="3"/>
      <c r="J293" s="3"/>
      <c r="K293" s="3"/>
      <c r="L293" s="3"/>
      <c r="M293" s="3"/>
      <c r="N293" s="3"/>
      <c r="O293" s="3"/>
      <c r="P293" s="3"/>
      <c r="Q293" s="3"/>
      <c r="R293" s="3"/>
      <c r="S293" s="3"/>
      <c r="T293" s="3"/>
      <c r="U293" s="3"/>
      <c r="V293" s="18"/>
      <c r="W293" s="3"/>
      <c r="X293" s="3"/>
      <c r="Y293" s="3"/>
      <c r="Z293" s="3"/>
      <c r="AA293" s="3"/>
    </row>
    <row r="294" spans="1:27" ht="24.75" customHeight="1">
      <c r="A294" s="3"/>
      <c r="B294" s="3"/>
      <c r="C294" s="3"/>
      <c r="D294" s="3"/>
      <c r="E294" s="3"/>
      <c r="F294" s="3"/>
      <c r="G294" s="3"/>
      <c r="H294" s="3"/>
      <c r="I294" s="3"/>
      <c r="J294" s="3"/>
      <c r="K294" s="3"/>
      <c r="L294" s="3"/>
      <c r="M294" s="3"/>
      <c r="N294" s="3"/>
      <c r="O294" s="3"/>
      <c r="P294" s="3"/>
      <c r="Q294" s="3"/>
      <c r="R294" s="3"/>
      <c r="S294" s="3"/>
      <c r="T294" s="3"/>
      <c r="U294" s="3"/>
      <c r="V294" s="18"/>
      <c r="W294" s="3"/>
      <c r="X294" s="3"/>
      <c r="Y294" s="3"/>
      <c r="Z294" s="3"/>
      <c r="AA294" s="3"/>
    </row>
    <row r="295" spans="1:27" ht="24.75" customHeight="1">
      <c r="A295" s="3"/>
      <c r="B295" s="3"/>
      <c r="C295" s="3"/>
      <c r="D295" s="3"/>
      <c r="E295" s="3"/>
      <c r="F295" s="3"/>
      <c r="G295" s="3"/>
      <c r="H295" s="3"/>
      <c r="I295" s="3"/>
      <c r="J295" s="3"/>
      <c r="K295" s="3"/>
      <c r="L295" s="3"/>
      <c r="M295" s="3"/>
      <c r="N295" s="3"/>
      <c r="O295" s="3"/>
      <c r="P295" s="3"/>
      <c r="Q295" s="3"/>
      <c r="R295" s="3"/>
      <c r="S295" s="3"/>
      <c r="T295" s="3"/>
      <c r="U295" s="3"/>
      <c r="V295" s="18"/>
      <c r="W295" s="3"/>
      <c r="X295" s="3"/>
      <c r="Y295" s="3"/>
      <c r="Z295" s="3"/>
      <c r="AA295" s="3"/>
    </row>
    <row r="296" spans="1:27" ht="24.75" customHeight="1">
      <c r="A296" s="3"/>
      <c r="B296" s="3"/>
      <c r="C296" s="3"/>
      <c r="D296" s="3"/>
      <c r="E296" s="3"/>
      <c r="F296" s="3"/>
      <c r="G296" s="3"/>
      <c r="H296" s="3"/>
      <c r="I296" s="3"/>
      <c r="J296" s="3"/>
      <c r="K296" s="3"/>
      <c r="L296" s="3"/>
      <c r="M296" s="3"/>
      <c r="N296" s="3"/>
      <c r="O296" s="3"/>
      <c r="P296" s="3"/>
      <c r="Q296" s="3"/>
      <c r="R296" s="3"/>
      <c r="S296" s="3"/>
      <c r="T296" s="3"/>
      <c r="U296" s="3"/>
      <c r="V296" s="18"/>
      <c r="W296" s="3"/>
      <c r="X296" s="3"/>
      <c r="Y296" s="3"/>
      <c r="Z296" s="3"/>
      <c r="AA296" s="3"/>
    </row>
    <row r="297" spans="1:27" ht="24.75" customHeight="1">
      <c r="A297" s="3"/>
      <c r="B297" s="3"/>
      <c r="C297" s="3"/>
      <c r="D297" s="3"/>
      <c r="E297" s="3"/>
      <c r="F297" s="3"/>
      <c r="G297" s="3"/>
      <c r="H297" s="3"/>
      <c r="I297" s="3"/>
      <c r="J297" s="3"/>
      <c r="K297" s="3"/>
      <c r="L297" s="3"/>
      <c r="M297" s="3"/>
      <c r="N297" s="3"/>
      <c r="O297" s="3"/>
      <c r="P297" s="3"/>
      <c r="Q297" s="3"/>
      <c r="R297" s="3"/>
      <c r="S297" s="3"/>
      <c r="T297" s="3"/>
      <c r="U297" s="3"/>
      <c r="V297" s="18"/>
      <c r="W297" s="3"/>
      <c r="X297" s="3"/>
      <c r="Y297" s="3"/>
      <c r="Z297" s="3"/>
      <c r="AA297" s="3"/>
    </row>
    <row r="298" spans="1:27" ht="24.75" customHeight="1">
      <c r="A298" s="3"/>
      <c r="B298" s="3"/>
      <c r="C298" s="3"/>
      <c r="D298" s="3"/>
      <c r="E298" s="3"/>
      <c r="F298" s="3"/>
      <c r="G298" s="3"/>
      <c r="H298" s="3"/>
      <c r="I298" s="3"/>
      <c r="J298" s="3"/>
      <c r="K298" s="3"/>
      <c r="L298" s="3"/>
      <c r="M298" s="3"/>
      <c r="N298" s="3"/>
      <c r="O298" s="3"/>
      <c r="P298" s="3"/>
      <c r="Q298" s="3"/>
      <c r="R298" s="3"/>
      <c r="S298" s="3"/>
      <c r="T298" s="3"/>
      <c r="U298" s="3"/>
      <c r="V298" s="18"/>
      <c r="W298" s="3"/>
      <c r="X298" s="3"/>
      <c r="Y298" s="3"/>
      <c r="Z298" s="3"/>
      <c r="AA298" s="3"/>
    </row>
    <row r="299" spans="1:27" ht="24.75" customHeight="1">
      <c r="A299" s="3"/>
      <c r="B299" s="3"/>
      <c r="C299" s="3"/>
      <c r="D299" s="3"/>
      <c r="E299" s="3"/>
      <c r="F299" s="3"/>
      <c r="G299" s="3"/>
      <c r="H299" s="3"/>
      <c r="I299" s="3"/>
      <c r="J299" s="3"/>
      <c r="K299" s="3"/>
      <c r="L299" s="3"/>
      <c r="M299" s="3"/>
      <c r="N299" s="3"/>
      <c r="O299" s="3"/>
      <c r="P299" s="3"/>
      <c r="Q299" s="3"/>
      <c r="R299" s="3"/>
      <c r="S299" s="3"/>
      <c r="T299" s="3"/>
      <c r="U299" s="3"/>
      <c r="V299" s="18"/>
      <c r="W299" s="3"/>
      <c r="X299" s="3"/>
      <c r="Y299" s="3"/>
      <c r="Z299" s="3"/>
      <c r="AA299" s="3"/>
    </row>
    <row r="300" spans="1:27" ht="24.75" customHeight="1">
      <c r="A300" s="3"/>
      <c r="B300" s="3"/>
      <c r="C300" s="3"/>
      <c r="D300" s="3"/>
      <c r="E300" s="3"/>
      <c r="F300" s="3"/>
      <c r="G300" s="3"/>
      <c r="H300" s="3"/>
      <c r="I300" s="3"/>
      <c r="J300" s="3"/>
      <c r="K300" s="3"/>
      <c r="L300" s="3"/>
      <c r="M300" s="3"/>
      <c r="N300" s="3"/>
      <c r="O300" s="3"/>
      <c r="P300" s="3"/>
      <c r="Q300" s="3"/>
      <c r="R300" s="3"/>
      <c r="S300" s="3"/>
      <c r="T300" s="3"/>
      <c r="U300" s="3"/>
      <c r="V300" s="18"/>
      <c r="W300" s="3"/>
      <c r="X300" s="3"/>
      <c r="Y300" s="3"/>
      <c r="Z300" s="3"/>
      <c r="AA300" s="3"/>
    </row>
    <row r="301" spans="1:27" ht="24.75" customHeight="1">
      <c r="A301" s="3"/>
      <c r="B301" s="3"/>
      <c r="C301" s="3"/>
      <c r="D301" s="3"/>
      <c r="E301" s="3"/>
      <c r="F301" s="3"/>
      <c r="G301" s="3"/>
      <c r="H301" s="3"/>
      <c r="I301" s="3"/>
      <c r="J301" s="3"/>
      <c r="K301" s="3"/>
      <c r="L301" s="3"/>
      <c r="M301" s="3"/>
      <c r="N301" s="3"/>
      <c r="O301" s="3"/>
      <c r="P301" s="3"/>
      <c r="Q301" s="3"/>
      <c r="R301" s="3"/>
      <c r="S301" s="3"/>
      <c r="T301" s="3"/>
      <c r="U301" s="3"/>
      <c r="V301" s="18"/>
      <c r="W301" s="3"/>
      <c r="X301" s="3"/>
      <c r="Y301" s="3"/>
      <c r="Z301" s="3"/>
      <c r="AA301" s="3"/>
    </row>
    <row r="302" spans="1:27" ht="24.75" customHeight="1">
      <c r="A302" s="3"/>
      <c r="B302" s="3"/>
      <c r="C302" s="3"/>
      <c r="D302" s="3"/>
      <c r="E302" s="3"/>
      <c r="F302" s="3"/>
      <c r="G302" s="3"/>
      <c r="H302" s="3"/>
      <c r="I302" s="3"/>
      <c r="J302" s="3"/>
      <c r="K302" s="3"/>
      <c r="L302" s="3"/>
      <c r="M302" s="3"/>
      <c r="N302" s="3"/>
      <c r="O302" s="3"/>
      <c r="P302" s="3"/>
      <c r="Q302" s="3"/>
      <c r="R302" s="3"/>
      <c r="S302" s="3"/>
      <c r="T302" s="3"/>
      <c r="U302" s="3"/>
      <c r="V302" s="18"/>
      <c r="W302" s="3"/>
      <c r="X302" s="3"/>
      <c r="Y302" s="3"/>
      <c r="Z302" s="3"/>
      <c r="AA302" s="3"/>
    </row>
    <row r="303" spans="1:27" ht="24.75" customHeight="1">
      <c r="A303" s="3"/>
      <c r="B303" s="3"/>
      <c r="C303" s="3"/>
      <c r="D303" s="3"/>
      <c r="E303" s="3"/>
      <c r="F303" s="3"/>
      <c r="G303" s="3"/>
      <c r="H303" s="3"/>
      <c r="I303" s="3"/>
      <c r="J303" s="3"/>
      <c r="K303" s="3"/>
      <c r="L303" s="3"/>
      <c r="M303" s="3"/>
      <c r="N303" s="3"/>
      <c r="O303" s="3"/>
      <c r="P303" s="3"/>
      <c r="Q303" s="3"/>
      <c r="R303" s="3"/>
      <c r="S303" s="3"/>
      <c r="T303" s="3"/>
      <c r="U303" s="3"/>
      <c r="V303" s="18"/>
      <c r="W303" s="3"/>
      <c r="X303" s="3"/>
      <c r="Y303" s="3"/>
      <c r="Z303" s="3"/>
      <c r="AA303" s="3"/>
    </row>
    <row r="304" spans="1:27" ht="24.75" customHeight="1">
      <c r="A304" s="3"/>
      <c r="B304" s="3"/>
      <c r="C304" s="3"/>
      <c r="D304" s="3"/>
      <c r="E304" s="3"/>
      <c r="F304" s="3"/>
      <c r="G304" s="3"/>
      <c r="H304" s="3"/>
      <c r="I304" s="3"/>
      <c r="J304" s="3"/>
      <c r="K304" s="3"/>
      <c r="L304" s="3"/>
      <c r="M304" s="3"/>
      <c r="N304" s="3"/>
      <c r="O304" s="3"/>
      <c r="P304" s="3"/>
      <c r="Q304" s="3"/>
      <c r="R304" s="3"/>
      <c r="S304" s="3"/>
      <c r="T304" s="3"/>
      <c r="U304" s="3"/>
      <c r="V304" s="18"/>
      <c r="W304" s="3"/>
      <c r="X304" s="3"/>
      <c r="Y304" s="3"/>
      <c r="Z304" s="3"/>
      <c r="AA304" s="3"/>
    </row>
    <row r="305" spans="1:27" ht="24.75" customHeight="1">
      <c r="A305" s="3"/>
      <c r="B305" s="3"/>
      <c r="C305" s="3"/>
      <c r="D305" s="3"/>
      <c r="E305" s="3"/>
      <c r="F305" s="3"/>
      <c r="G305" s="3"/>
      <c r="H305" s="3"/>
      <c r="I305" s="3"/>
      <c r="J305" s="3"/>
      <c r="K305" s="3"/>
      <c r="L305" s="3"/>
      <c r="M305" s="3"/>
      <c r="N305" s="3"/>
      <c r="O305" s="3"/>
      <c r="P305" s="3"/>
      <c r="Q305" s="3"/>
      <c r="R305" s="3"/>
      <c r="S305" s="3"/>
      <c r="T305" s="3"/>
      <c r="U305" s="3"/>
      <c r="V305" s="18"/>
      <c r="W305" s="3"/>
      <c r="X305" s="3"/>
      <c r="Y305" s="3"/>
      <c r="Z305" s="3"/>
      <c r="AA305" s="3"/>
    </row>
    <row r="306" spans="1:27" ht="24.75" customHeight="1">
      <c r="A306" s="3"/>
      <c r="B306" s="3"/>
      <c r="C306" s="3"/>
      <c r="D306" s="3"/>
      <c r="E306" s="3"/>
      <c r="F306" s="3"/>
      <c r="G306" s="3"/>
      <c r="H306" s="3"/>
      <c r="I306" s="3"/>
      <c r="J306" s="3"/>
      <c r="K306" s="3"/>
      <c r="L306" s="3"/>
      <c r="M306" s="3"/>
      <c r="N306" s="3"/>
      <c r="O306" s="3"/>
      <c r="P306" s="3"/>
      <c r="Q306" s="3"/>
      <c r="R306" s="3"/>
      <c r="S306" s="3"/>
      <c r="T306" s="3"/>
      <c r="U306" s="3"/>
      <c r="V306" s="18"/>
      <c r="W306" s="3"/>
      <c r="X306" s="3"/>
      <c r="Y306" s="3"/>
      <c r="Z306" s="3"/>
      <c r="AA306" s="3"/>
    </row>
    <row r="307" spans="1:27" ht="24.75" customHeight="1">
      <c r="A307" s="3"/>
      <c r="B307" s="3"/>
      <c r="C307" s="3"/>
      <c r="D307" s="3"/>
      <c r="E307" s="3"/>
      <c r="F307" s="3"/>
      <c r="G307" s="3"/>
      <c r="H307" s="3"/>
      <c r="I307" s="3"/>
      <c r="J307" s="3"/>
      <c r="K307" s="3"/>
      <c r="L307" s="3"/>
      <c r="M307" s="3"/>
      <c r="N307" s="3"/>
      <c r="O307" s="3"/>
      <c r="P307" s="3"/>
      <c r="Q307" s="3"/>
      <c r="R307" s="3"/>
      <c r="S307" s="3"/>
      <c r="T307" s="3"/>
      <c r="U307" s="3"/>
      <c r="V307" s="18"/>
      <c r="W307" s="3"/>
      <c r="X307" s="3"/>
      <c r="Y307" s="3"/>
      <c r="Z307" s="3"/>
      <c r="AA307" s="3"/>
    </row>
    <row r="308" spans="1:27" ht="24.75" customHeight="1">
      <c r="A308" s="3"/>
      <c r="B308" s="3"/>
      <c r="C308" s="3"/>
      <c r="D308" s="3"/>
      <c r="E308" s="3"/>
      <c r="F308" s="3"/>
      <c r="G308" s="3"/>
      <c r="H308" s="3"/>
      <c r="I308" s="3"/>
      <c r="J308" s="3"/>
      <c r="K308" s="3"/>
      <c r="L308" s="3"/>
      <c r="M308" s="3"/>
      <c r="N308" s="3"/>
      <c r="O308" s="3"/>
      <c r="P308" s="3"/>
      <c r="Q308" s="3"/>
      <c r="R308" s="3"/>
      <c r="S308" s="3"/>
      <c r="T308" s="3"/>
      <c r="U308" s="3"/>
      <c r="V308" s="18"/>
      <c r="W308" s="3"/>
      <c r="X308" s="3"/>
      <c r="Y308" s="3"/>
      <c r="Z308" s="3"/>
      <c r="AA308" s="3"/>
    </row>
    <row r="309" spans="1:27" ht="24.75" customHeight="1">
      <c r="A309" s="3"/>
      <c r="B309" s="3"/>
      <c r="C309" s="3"/>
      <c r="D309" s="3"/>
      <c r="E309" s="3"/>
      <c r="F309" s="3"/>
      <c r="G309" s="3"/>
      <c r="H309" s="3"/>
      <c r="I309" s="3"/>
      <c r="J309" s="3"/>
      <c r="K309" s="3"/>
      <c r="L309" s="3"/>
      <c r="M309" s="3"/>
      <c r="N309" s="3"/>
      <c r="O309" s="3"/>
      <c r="P309" s="3"/>
      <c r="Q309" s="3"/>
      <c r="R309" s="3"/>
      <c r="S309" s="3"/>
      <c r="T309" s="3"/>
      <c r="U309" s="3"/>
      <c r="V309" s="18"/>
      <c r="W309" s="3"/>
      <c r="X309" s="3"/>
      <c r="Y309" s="3"/>
      <c r="Z309" s="3"/>
      <c r="AA309" s="3"/>
    </row>
    <row r="310" spans="1:27" ht="24.75" customHeight="1">
      <c r="A310" s="3"/>
      <c r="B310" s="3"/>
      <c r="C310" s="3"/>
      <c r="D310" s="3"/>
      <c r="E310" s="3"/>
      <c r="F310" s="3"/>
      <c r="G310" s="3"/>
      <c r="H310" s="3"/>
      <c r="I310" s="3"/>
      <c r="J310" s="3"/>
      <c r="K310" s="3"/>
      <c r="L310" s="3"/>
      <c r="M310" s="3"/>
      <c r="N310" s="3"/>
      <c r="O310" s="3"/>
      <c r="P310" s="3"/>
      <c r="Q310" s="3"/>
      <c r="R310" s="3"/>
      <c r="S310" s="3"/>
      <c r="T310" s="3"/>
      <c r="U310" s="3"/>
      <c r="V310" s="18"/>
      <c r="W310" s="3"/>
      <c r="X310" s="3"/>
      <c r="Y310" s="3"/>
      <c r="Z310" s="3"/>
      <c r="AA310" s="3"/>
    </row>
    <row r="311" spans="1:27" ht="24.75" customHeight="1">
      <c r="A311" s="3"/>
      <c r="B311" s="3"/>
      <c r="C311" s="3"/>
      <c r="D311" s="3"/>
      <c r="E311" s="3"/>
      <c r="F311" s="3"/>
      <c r="G311" s="3"/>
      <c r="H311" s="3"/>
      <c r="I311" s="3"/>
      <c r="J311" s="3"/>
      <c r="K311" s="3"/>
      <c r="L311" s="3"/>
      <c r="M311" s="3"/>
      <c r="N311" s="3"/>
      <c r="O311" s="3"/>
      <c r="P311" s="3"/>
      <c r="Q311" s="3"/>
      <c r="R311" s="3"/>
      <c r="S311" s="3"/>
      <c r="T311" s="3"/>
      <c r="U311" s="3"/>
      <c r="V311" s="18"/>
      <c r="W311" s="3"/>
      <c r="X311" s="3"/>
      <c r="Y311" s="3"/>
      <c r="Z311" s="3"/>
      <c r="AA311" s="3"/>
    </row>
    <row r="312" spans="1:27" ht="24.75" customHeight="1">
      <c r="A312" s="3"/>
      <c r="B312" s="3"/>
      <c r="C312" s="3"/>
      <c r="D312" s="3"/>
      <c r="E312" s="3"/>
      <c r="F312" s="3"/>
      <c r="G312" s="3"/>
      <c r="H312" s="3"/>
      <c r="I312" s="3"/>
      <c r="J312" s="3"/>
      <c r="K312" s="3"/>
      <c r="L312" s="3"/>
      <c r="M312" s="3"/>
      <c r="N312" s="3"/>
      <c r="O312" s="3"/>
      <c r="P312" s="3"/>
      <c r="Q312" s="3"/>
      <c r="R312" s="3"/>
      <c r="S312" s="3"/>
      <c r="T312" s="3"/>
      <c r="U312" s="3"/>
      <c r="V312" s="18"/>
      <c r="W312" s="3"/>
      <c r="X312" s="3"/>
      <c r="Y312" s="3"/>
      <c r="Z312" s="3"/>
      <c r="AA312" s="3"/>
    </row>
    <row r="313" spans="1:27" ht="24.75" customHeight="1">
      <c r="A313" s="3"/>
      <c r="B313" s="3"/>
      <c r="C313" s="3"/>
      <c r="D313" s="3"/>
      <c r="E313" s="3"/>
      <c r="F313" s="3"/>
      <c r="G313" s="3"/>
      <c r="H313" s="3"/>
      <c r="I313" s="3"/>
      <c r="J313" s="3"/>
      <c r="K313" s="3"/>
      <c r="L313" s="3"/>
      <c r="M313" s="3"/>
      <c r="N313" s="3"/>
      <c r="O313" s="3"/>
      <c r="P313" s="3"/>
      <c r="Q313" s="3"/>
      <c r="R313" s="3"/>
      <c r="S313" s="3"/>
      <c r="T313" s="3"/>
      <c r="U313" s="3"/>
      <c r="V313" s="18"/>
      <c r="W313" s="3"/>
      <c r="X313" s="3"/>
      <c r="Y313" s="3"/>
      <c r="Z313" s="3"/>
      <c r="AA313" s="3"/>
    </row>
    <row r="314" spans="1:27" ht="24.75" customHeight="1">
      <c r="A314" s="3"/>
      <c r="B314" s="3"/>
      <c r="C314" s="3"/>
      <c r="D314" s="3"/>
      <c r="E314" s="3"/>
      <c r="F314" s="3"/>
      <c r="G314" s="3"/>
      <c r="H314" s="3"/>
      <c r="I314" s="3"/>
      <c r="J314" s="3"/>
      <c r="K314" s="3"/>
      <c r="L314" s="3"/>
      <c r="M314" s="3"/>
      <c r="N314" s="3"/>
      <c r="O314" s="3"/>
      <c r="P314" s="3"/>
      <c r="Q314" s="3"/>
      <c r="R314" s="3"/>
      <c r="S314" s="3"/>
      <c r="T314" s="3"/>
      <c r="U314" s="3"/>
      <c r="V314" s="18"/>
      <c r="W314" s="3"/>
      <c r="X314" s="3"/>
      <c r="Y314" s="3"/>
      <c r="Z314" s="3"/>
      <c r="AA314" s="3"/>
    </row>
    <row r="315" spans="1:27" ht="24.75" customHeight="1">
      <c r="A315" s="3"/>
      <c r="B315" s="3"/>
      <c r="C315" s="3"/>
      <c r="D315" s="3"/>
      <c r="E315" s="3"/>
      <c r="F315" s="3"/>
      <c r="G315" s="3"/>
      <c r="H315" s="3"/>
      <c r="I315" s="3"/>
      <c r="J315" s="3"/>
      <c r="K315" s="3"/>
      <c r="L315" s="3"/>
      <c r="M315" s="3"/>
      <c r="N315" s="3"/>
      <c r="O315" s="3"/>
      <c r="P315" s="3"/>
      <c r="Q315" s="3"/>
      <c r="R315" s="3"/>
      <c r="S315" s="3"/>
      <c r="T315" s="3"/>
      <c r="U315" s="3"/>
      <c r="V315" s="18"/>
      <c r="W315" s="3"/>
      <c r="X315" s="3"/>
      <c r="Y315" s="3"/>
      <c r="Z315" s="3"/>
      <c r="AA315" s="3"/>
    </row>
    <row r="316" spans="1:27" ht="24.75" customHeight="1">
      <c r="A316" s="3"/>
      <c r="B316" s="3"/>
      <c r="C316" s="3"/>
      <c r="D316" s="3"/>
      <c r="E316" s="3"/>
      <c r="F316" s="3"/>
      <c r="G316" s="3"/>
      <c r="H316" s="3"/>
      <c r="I316" s="3"/>
      <c r="J316" s="3"/>
      <c r="K316" s="3"/>
      <c r="L316" s="3"/>
      <c r="M316" s="3"/>
      <c r="N316" s="3"/>
      <c r="O316" s="3"/>
      <c r="P316" s="3"/>
      <c r="Q316" s="3"/>
      <c r="R316" s="3"/>
      <c r="S316" s="3"/>
      <c r="T316" s="3"/>
      <c r="U316" s="3"/>
      <c r="V316" s="18"/>
      <c r="W316" s="3"/>
      <c r="X316" s="3"/>
      <c r="Y316" s="3"/>
      <c r="Z316" s="3"/>
      <c r="AA316" s="3"/>
    </row>
    <row r="317" spans="1:27" ht="24.75" customHeight="1">
      <c r="A317" s="3"/>
      <c r="B317" s="3"/>
      <c r="C317" s="3"/>
      <c r="D317" s="3"/>
      <c r="E317" s="3"/>
      <c r="F317" s="3"/>
      <c r="G317" s="3"/>
      <c r="H317" s="3"/>
      <c r="I317" s="3"/>
      <c r="J317" s="3"/>
      <c r="K317" s="3"/>
      <c r="L317" s="3"/>
      <c r="M317" s="3"/>
      <c r="N317" s="3"/>
      <c r="O317" s="3"/>
      <c r="P317" s="3"/>
      <c r="Q317" s="3"/>
      <c r="R317" s="3"/>
      <c r="S317" s="3"/>
      <c r="T317" s="3"/>
      <c r="U317" s="3"/>
      <c r="V317" s="18"/>
      <c r="W317" s="3"/>
      <c r="X317" s="3"/>
      <c r="Y317" s="3"/>
      <c r="Z317" s="3"/>
      <c r="AA317" s="3"/>
    </row>
    <row r="318" spans="1:27" ht="24.75" customHeight="1">
      <c r="A318" s="3"/>
      <c r="B318" s="3"/>
      <c r="C318" s="3"/>
      <c r="D318" s="3"/>
      <c r="E318" s="3"/>
      <c r="F318" s="3"/>
      <c r="G318" s="3"/>
      <c r="H318" s="3"/>
      <c r="I318" s="3"/>
      <c r="J318" s="3"/>
      <c r="K318" s="3"/>
      <c r="L318" s="3"/>
      <c r="M318" s="3"/>
      <c r="N318" s="3"/>
      <c r="O318" s="3"/>
      <c r="P318" s="3"/>
      <c r="Q318" s="3"/>
      <c r="R318" s="3"/>
      <c r="S318" s="3"/>
      <c r="T318" s="3"/>
      <c r="U318" s="3"/>
      <c r="V318" s="18"/>
      <c r="W318" s="3"/>
      <c r="X318" s="3"/>
      <c r="Y318" s="3"/>
      <c r="Z318" s="3"/>
      <c r="AA318" s="3"/>
    </row>
    <row r="319" spans="1:27" ht="24.75" customHeight="1">
      <c r="A319" s="3"/>
      <c r="B319" s="3"/>
      <c r="C319" s="3"/>
      <c r="D319" s="3"/>
      <c r="E319" s="3"/>
      <c r="F319" s="3"/>
      <c r="G319" s="3"/>
      <c r="H319" s="3"/>
      <c r="I319" s="3"/>
      <c r="J319" s="3"/>
      <c r="K319" s="3"/>
      <c r="L319" s="3"/>
      <c r="M319" s="3"/>
      <c r="N319" s="3"/>
      <c r="O319" s="3"/>
      <c r="P319" s="3"/>
      <c r="Q319" s="3"/>
      <c r="R319" s="3"/>
      <c r="S319" s="3"/>
      <c r="T319" s="3"/>
      <c r="U319" s="3"/>
      <c r="V319" s="18"/>
      <c r="W319" s="3"/>
      <c r="X319" s="3"/>
      <c r="Y319" s="3"/>
      <c r="Z319" s="3"/>
      <c r="AA319" s="3"/>
    </row>
    <row r="320" spans="1:27" ht="24.75" customHeight="1">
      <c r="A320" s="3"/>
      <c r="B320" s="3"/>
      <c r="C320" s="3"/>
      <c r="D320" s="3"/>
      <c r="E320" s="3"/>
      <c r="F320" s="3"/>
      <c r="G320" s="3"/>
      <c r="H320" s="3"/>
      <c r="I320" s="3"/>
      <c r="J320" s="3"/>
      <c r="K320" s="3"/>
      <c r="L320" s="3"/>
      <c r="M320" s="3"/>
      <c r="N320" s="3"/>
      <c r="O320" s="3"/>
      <c r="P320" s="3"/>
      <c r="Q320" s="3"/>
      <c r="R320" s="3"/>
      <c r="S320" s="3"/>
      <c r="T320" s="3"/>
      <c r="U320" s="3"/>
      <c r="V320" s="18"/>
      <c r="W320" s="3"/>
      <c r="X320" s="3"/>
      <c r="Y320" s="3"/>
      <c r="Z320" s="3"/>
      <c r="AA320" s="3"/>
    </row>
    <row r="321" spans="1:27" ht="24.75" customHeight="1">
      <c r="A321" s="3"/>
      <c r="B321" s="3"/>
      <c r="C321" s="3"/>
      <c r="D321" s="3"/>
      <c r="E321" s="3"/>
      <c r="F321" s="3"/>
      <c r="G321" s="3"/>
      <c r="H321" s="3"/>
      <c r="I321" s="3"/>
      <c r="J321" s="3"/>
      <c r="K321" s="3"/>
      <c r="L321" s="3"/>
      <c r="M321" s="3"/>
      <c r="N321" s="3"/>
      <c r="O321" s="3"/>
      <c r="P321" s="3"/>
      <c r="Q321" s="3"/>
      <c r="R321" s="3"/>
      <c r="S321" s="3"/>
      <c r="T321" s="3"/>
      <c r="U321" s="3"/>
      <c r="V321" s="18"/>
      <c r="W321" s="3"/>
      <c r="X321" s="3"/>
      <c r="Y321" s="3"/>
      <c r="Z321" s="3"/>
      <c r="AA321" s="3"/>
    </row>
    <row r="322" spans="1:27" ht="24.75" customHeight="1">
      <c r="A322" s="3"/>
      <c r="B322" s="3"/>
      <c r="C322" s="3"/>
      <c r="D322" s="3"/>
      <c r="E322" s="3"/>
      <c r="F322" s="3"/>
      <c r="G322" s="3"/>
      <c r="H322" s="3"/>
      <c r="I322" s="3"/>
      <c r="J322" s="3"/>
      <c r="K322" s="3"/>
      <c r="L322" s="3"/>
      <c r="M322" s="3"/>
      <c r="N322" s="3"/>
      <c r="O322" s="3"/>
      <c r="P322" s="3"/>
      <c r="Q322" s="3"/>
      <c r="R322" s="3"/>
      <c r="S322" s="3"/>
      <c r="T322" s="3"/>
      <c r="U322" s="3"/>
      <c r="V322" s="18"/>
      <c r="W322" s="3"/>
      <c r="X322" s="3"/>
      <c r="Y322" s="3"/>
      <c r="Z322" s="3"/>
      <c r="AA322" s="3"/>
    </row>
    <row r="323" spans="1:27" ht="24.75" customHeight="1">
      <c r="A323" s="3"/>
      <c r="B323" s="3"/>
      <c r="C323" s="3"/>
      <c r="D323" s="3"/>
      <c r="E323" s="3"/>
      <c r="F323" s="3"/>
      <c r="G323" s="3"/>
      <c r="H323" s="3"/>
      <c r="I323" s="3"/>
      <c r="J323" s="3"/>
      <c r="K323" s="3"/>
      <c r="L323" s="3"/>
      <c r="M323" s="3"/>
      <c r="N323" s="3"/>
      <c r="O323" s="3"/>
      <c r="P323" s="3"/>
      <c r="Q323" s="3"/>
      <c r="R323" s="3"/>
      <c r="S323" s="3"/>
      <c r="T323" s="3"/>
      <c r="U323" s="3"/>
      <c r="V323" s="18"/>
      <c r="W323" s="3"/>
      <c r="X323" s="3"/>
      <c r="Y323" s="3"/>
      <c r="Z323" s="3"/>
      <c r="AA323" s="3"/>
    </row>
    <row r="324" spans="1:27" ht="24.75" customHeight="1">
      <c r="A324" s="3"/>
      <c r="B324" s="3"/>
      <c r="C324" s="3"/>
      <c r="D324" s="3"/>
      <c r="E324" s="3"/>
      <c r="F324" s="3"/>
      <c r="G324" s="3"/>
      <c r="H324" s="3"/>
      <c r="I324" s="3"/>
      <c r="J324" s="3"/>
      <c r="K324" s="3"/>
      <c r="L324" s="3"/>
      <c r="M324" s="3"/>
      <c r="N324" s="3"/>
      <c r="O324" s="3"/>
      <c r="P324" s="3"/>
      <c r="Q324" s="3"/>
      <c r="R324" s="3"/>
      <c r="S324" s="3"/>
      <c r="T324" s="3"/>
      <c r="U324" s="3"/>
      <c r="V324" s="18"/>
      <c r="W324" s="3"/>
      <c r="X324" s="3"/>
      <c r="Y324" s="3"/>
      <c r="Z324" s="3"/>
      <c r="AA324" s="3"/>
    </row>
    <row r="325" spans="1:27" ht="24.75" customHeight="1">
      <c r="A325" s="3"/>
      <c r="B325" s="3"/>
      <c r="C325" s="3"/>
      <c r="D325" s="3"/>
      <c r="E325" s="3"/>
      <c r="F325" s="3"/>
      <c r="G325" s="3"/>
      <c r="H325" s="3"/>
      <c r="I325" s="3"/>
      <c r="J325" s="3"/>
      <c r="K325" s="3"/>
      <c r="L325" s="3"/>
      <c r="M325" s="3"/>
      <c r="N325" s="3"/>
      <c r="O325" s="3"/>
      <c r="P325" s="3"/>
      <c r="Q325" s="3"/>
      <c r="R325" s="3"/>
      <c r="S325" s="3"/>
      <c r="T325" s="3"/>
      <c r="U325" s="3"/>
      <c r="V325" s="18"/>
      <c r="W325" s="3"/>
      <c r="X325" s="3"/>
      <c r="Y325" s="3"/>
      <c r="Z325" s="3"/>
      <c r="AA325" s="3"/>
    </row>
    <row r="326" spans="1:27" ht="24.75" customHeight="1">
      <c r="A326" s="3"/>
      <c r="B326" s="3"/>
      <c r="C326" s="3"/>
      <c r="D326" s="3"/>
      <c r="E326" s="3"/>
      <c r="F326" s="3"/>
      <c r="G326" s="3"/>
      <c r="H326" s="3"/>
      <c r="I326" s="3"/>
      <c r="J326" s="3"/>
      <c r="K326" s="3"/>
      <c r="L326" s="3"/>
      <c r="M326" s="3"/>
      <c r="N326" s="3"/>
      <c r="O326" s="3"/>
      <c r="P326" s="3"/>
      <c r="Q326" s="3"/>
      <c r="R326" s="3"/>
      <c r="S326" s="3"/>
      <c r="T326" s="3"/>
      <c r="U326" s="3"/>
      <c r="V326" s="18"/>
      <c r="W326" s="3"/>
      <c r="X326" s="3"/>
      <c r="Y326" s="3"/>
      <c r="Z326" s="3"/>
      <c r="AA326" s="3"/>
    </row>
    <row r="327" spans="1:27" ht="24.75" customHeight="1">
      <c r="A327" s="3"/>
      <c r="B327" s="3"/>
      <c r="C327" s="3"/>
      <c r="D327" s="3"/>
      <c r="E327" s="3"/>
      <c r="F327" s="3"/>
      <c r="G327" s="3"/>
      <c r="H327" s="3"/>
      <c r="I327" s="3"/>
      <c r="J327" s="3"/>
      <c r="K327" s="3"/>
      <c r="L327" s="3"/>
      <c r="M327" s="3"/>
      <c r="N327" s="3"/>
      <c r="O327" s="3"/>
      <c r="P327" s="3"/>
      <c r="Q327" s="3"/>
      <c r="R327" s="3"/>
      <c r="S327" s="3"/>
      <c r="T327" s="3"/>
      <c r="U327" s="3"/>
      <c r="V327" s="18"/>
      <c r="W327" s="3"/>
      <c r="X327" s="3"/>
      <c r="Y327" s="3"/>
      <c r="Z327" s="3"/>
      <c r="AA327" s="3"/>
    </row>
    <row r="328" spans="1:27" ht="24.75" customHeight="1">
      <c r="A328" s="3"/>
      <c r="B328" s="3"/>
      <c r="C328" s="3"/>
      <c r="D328" s="3"/>
      <c r="E328" s="3"/>
      <c r="F328" s="3"/>
      <c r="G328" s="3"/>
      <c r="H328" s="3"/>
      <c r="I328" s="3"/>
      <c r="J328" s="3"/>
      <c r="K328" s="3"/>
      <c r="L328" s="3"/>
      <c r="M328" s="3"/>
      <c r="N328" s="3"/>
      <c r="O328" s="3"/>
      <c r="P328" s="3"/>
      <c r="Q328" s="3"/>
      <c r="R328" s="3"/>
      <c r="S328" s="3"/>
      <c r="T328" s="3"/>
      <c r="U328" s="3"/>
      <c r="V328" s="18"/>
      <c r="W328" s="3"/>
      <c r="X328" s="3"/>
      <c r="Y328" s="3"/>
      <c r="Z328" s="3"/>
      <c r="AA328" s="3"/>
    </row>
    <row r="329" spans="1:27" ht="24.75" customHeight="1">
      <c r="A329" s="3"/>
      <c r="B329" s="3"/>
      <c r="C329" s="3"/>
      <c r="D329" s="3"/>
      <c r="E329" s="3"/>
      <c r="F329" s="3"/>
      <c r="G329" s="3"/>
      <c r="H329" s="3"/>
      <c r="I329" s="3"/>
      <c r="J329" s="3"/>
      <c r="K329" s="3"/>
      <c r="L329" s="3"/>
      <c r="M329" s="3"/>
      <c r="N329" s="3"/>
      <c r="O329" s="3"/>
      <c r="P329" s="3"/>
      <c r="Q329" s="3"/>
      <c r="R329" s="3"/>
      <c r="S329" s="3"/>
      <c r="T329" s="3"/>
      <c r="U329" s="3"/>
      <c r="V329" s="18"/>
      <c r="W329" s="3"/>
      <c r="X329" s="3"/>
      <c r="Y329" s="3"/>
      <c r="Z329" s="3"/>
      <c r="AA329" s="3"/>
    </row>
    <row r="330" spans="1:27" ht="24.75" customHeight="1">
      <c r="A330" s="3"/>
      <c r="B330" s="3"/>
      <c r="C330" s="3"/>
      <c r="D330" s="3"/>
      <c r="E330" s="3"/>
      <c r="F330" s="3"/>
      <c r="G330" s="3"/>
      <c r="H330" s="3"/>
      <c r="I330" s="3"/>
      <c r="J330" s="3"/>
      <c r="K330" s="3"/>
      <c r="L330" s="3"/>
      <c r="M330" s="3"/>
      <c r="N330" s="3"/>
      <c r="O330" s="3"/>
      <c r="P330" s="3"/>
      <c r="Q330" s="3"/>
      <c r="R330" s="3"/>
      <c r="S330" s="3"/>
      <c r="T330" s="3"/>
      <c r="U330" s="3"/>
      <c r="V330" s="18"/>
      <c r="W330" s="3"/>
      <c r="X330" s="3"/>
      <c r="Y330" s="3"/>
      <c r="Z330" s="3"/>
      <c r="AA330" s="3"/>
    </row>
    <row r="331" spans="1:27" ht="24.75" customHeight="1">
      <c r="A331" s="3"/>
      <c r="B331" s="3"/>
      <c r="C331" s="3"/>
      <c r="D331" s="3"/>
      <c r="E331" s="3"/>
      <c r="F331" s="3"/>
      <c r="G331" s="3"/>
      <c r="H331" s="3"/>
      <c r="I331" s="3"/>
      <c r="J331" s="3"/>
      <c r="K331" s="3"/>
      <c r="L331" s="3"/>
      <c r="M331" s="3"/>
      <c r="N331" s="3"/>
      <c r="O331" s="3"/>
      <c r="P331" s="3"/>
      <c r="Q331" s="3"/>
      <c r="R331" s="3"/>
      <c r="S331" s="3"/>
      <c r="T331" s="3"/>
      <c r="U331" s="3"/>
      <c r="V331" s="18"/>
      <c r="W331" s="3"/>
      <c r="X331" s="3"/>
      <c r="Y331" s="3"/>
      <c r="Z331" s="3"/>
      <c r="AA331" s="3"/>
    </row>
    <row r="332" spans="1:27" ht="24.75" customHeight="1">
      <c r="A332" s="3"/>
      <c r="B332" s="3"/>
      <c r="C332" s="3"/>
      <c r="D332" s="3"/>
      <c r="E332" s="3"/>
      <c r="F332" s="3"/>
      <c r="G332" s="3"/>
      <c r="H332" s="3"/>
      <c r="I332" s="3"/>
      <c r="J332" s="3"/>
      <c r="K332" s="3"/>
      <c r="L332" s="3"/>
      <c r="M332" s="3"/>
      <c r="N332" s="3"/>
      <c r="O332" s="3"/>
      <c r="P332" s="3"/>
      <c r="Q332" s="3"/>
      <c r="R332" s="3"/>
      <c r="S332" s="3"/>
      <c r="T332" s="3"/>
      <c r="U332" s="3"/>
      <c r="V332" s="18"/>
      <c r="W332" s="3"/>
      <c r="X332" s="3"/>
      <c r="Y332" s="3"/>
      <c r="Z332" s="3"/>
      <c r="AA332" s="3"/>
    </row>
    <row r="333" spans="1:27" ht="24.75" customHeight="1">
      <c r="A333" s="3"/>
      <c r="B333" s="3"/>
      <c r="C333" s="3"/>
      <c r="D333" s="3"/>
      <c r="E333" s="3"/>
      <c r="F333" s="3"/>
      <c r="G333" s="3"/>
      <c r="H333" s="3"/>
      <c r="I333" s="3"/>
      <c r="J333" s="3"/>
      <c r="K333" s="3"/>
      <c r="L333" s="3"/>
      <c r="M333" s="3"/>
      <c r="N333" s="3"/>
      <c r="O333" s="3"/>
      <c r="P333" s="3"/>
      <c r="Q333" s="3"/>
      <c r="R333" s="3"/>
      <c r="S333" s="3"/>
      <c r="T333" s="3"/>
      <c r="U333" s="3"/>
      <c r="V333" s="18"/>
      <c r="W333" s="3"/>
      <c r="X333" s="3"/>
      <c r="Y333" s="3"/>
      <c r="Z333" s="3"/>
      <c r="AA333" s="3"/>
    </row>
    <row r="334" spans="1:27" ht="24.75" customHeight="1">
      <c r="A334" s="3"/>
      <c r="B334" s="3"/>
      <c r="C334" s="3"/>
      <c r="D334" s="3"/>
      <c r="E334" s="3"/>
      <c r="F334" s="3"/>
      <c r="G334" s="3"/>
      <c r="H334" s="3"/>
      <c r="I334" s="3"/>
      <c r="J334" s="3"/>
      <c r="K334" s="3"/>
      <c r="L334" s="3"/>
      <c r="M334" s="3"/>
      <c r="N334" s="3"/>
      <c r="O334" s="3"/>
      <c r="P334" s="3"/>
      <c r="Q334" s="3"/>
      <c r="R334" s="3"/>
      <c r="S334" s="3"/>
      <c r="T334" s="3"/>
      <c r="U334" s="3"/>
      <c r="V334" s="18"/>
      <c r="W334" s="3"/>
      <c r="X334" s="3"/>
      <c r="Y334" s="3"/>
      <c r="Z334" s="3"/>
      <c r="AA334" s="3"/>
    </row>
    <row r="335" spans="1:27" ht="24.75" customHeight="1">
      <c r="A335" s="3"/>
      <c r="B335" s="3"/>
      <c r="C335" s="3"/>
      <c r="D335" s="3"/>
      <c r="E335" s="3"/>
      <c r="F335" s="3"/>
      <c r="G335" s="3"/>
      <c r="H335" s="3"/>
      <c r="I335" s="3"/>
      <c r="J335" s="3"/>
      <c r="K335" s="3"/>
      <c r="L335" s="3"/>
      <c r="M335" s="3"/>
      <c r="N335" s="3"/>
      <c r="O335" s="3"/>
      <c r="P335" s="3"/>
      <c r="Q335" s="3"/>
      <c r="R335" s="3"/>
      <c r="S335" s="3"/>
      <c r="T335" s="3"/>
      <c r="U335" s="3"/>
      <c r="V335" s="18"/>
      <c r="W335" s="3"/>
      <c r="X335" s="3"/>
      <c r="Y335" s="3"/>
      <c r="Z335" s="3"/>
      <c r="AA335" s="3"/>
    </row>
    <row r="336" spans="1:27" ht="24.75" customHeight="1">
      <c r="A336" s="3"/>
      <c r="B336" s="3"/>
      <c r="C336" s="3"/>
      <c r="D336" s="3"/>
      <c r="E336" s="3"/>
      <c r="F336" s="3"/>
      <c r="G336" s="3"/>
      <c r="H336" s="3"/>
      <c r="I336" s="3"/>
      <c r="J336" s="3"/>
      <c r="K336" s="3"/>
      <c r="L336" s="3"/>
      <c r="M336" s="3"/>
      <c r="N336" s="3"/>
      <c r="O336" s="3"/>
      <c r="P336" s="3"/>
      <c r="Q336" s="3"/>
      <c r="R336" s="3"/>
      <c r="S336" s="3"/>
      <c r="T336" s="3"/>
      <c r="U336" s="3"/>
      <c r="V336" s="18"/>
      <c r="W336" s="3"/>
      <c r="X336" s="3"/>
      <c r="Y336" s="3"/>
      <c r="Z336" s="3"/>
      <c r="AA336" s="3"/>
    </row>
    <row r="337" spans="1:27" ht="24.75" customHeight="1">
      <c r="A337" s="3"/>
      <c r="B337" s="3"/>
      <c r="C337" s="3"/>
      <c r="D337" s="3"/>
      <c r="E337" s="3"/>
      <c r="F337" s="3"/>
      <c r="G337" s="3"/>
      <c r="H337" s="3"/>
      <c r="I337" s="3"/>
      <c r="J337" s="3"/>
      <c r="K337" s="3"/>
      <c r="L337" s="3"/>
      <c r="M337" s="3"/>
      <c r="N337" s="3"/>
      <c r="O337" s="3"/>
      <c r="P337" s="3"/>
      <c r="Q337" s="3"/>
      <c r="R337" s="3"/>
      <c r="S337" s="3"/>
      <c r="T337" s="3"/>
      <c r="U337" s="3"/>
      <c r="V337" s="18"/>
      <c r="W337" s="3"/>
      <c r="X337" s="3"/>
      <c r="Y337" s="3"/>
      <c r="Z337" s="3"/>
      <c r="AA337" s="3"/>
    </row>
    <row r="338" spans="1:27" ht="24.75" customHeight="1">
      <c r="A338" s="3"/>
      <c r="B338" s="3"/>
      <c r="C338" s="3"/>
      <c r="D338" s="3"/>
      <c r="E338" s="3"/>
      <c r="F338" s="3"/>
      <c r="G338" s="3"/>
      <c r="H338" s="3"/>
      <c r="I338" s="3"/>
      <c r="J338" s="3"/>
      <c r="K338" s="3"/>
      <c r="L338" s="3"/>
      <c r="M338" s="3"/>
      <c r="N338" s="3"/>
      <c r="O338" s="3"/>
      <c r="P338" s="3"/>
      <c r="Q338" s="3"/>
      <c r="R338" s="3"/>
      <c r="S338" s="3"/>
      <c r="T338" s="3"/>
      <c r="U338" s="3"/>
      <c r="V338" s="18"/>
      <c r="W338" s="3"/>
      <c r="X338" s="3"/>
      <c r="Y338" s="3"/>
      <c r="Z338" s="3"/>
      <c r="AA338" s="3"/>
    </row>
    <row r="339" spans="1:27" ht="24.75" customHeight="1">
      <c r="A339" s="3"/>
      <c r="B339" s="3"/>
      <c r="C339" s="3"/>
      <c r="D339" s="3"/>
      <c r="E339" s="3"/>
      <c r="F339" s="3"/>
      <c r="G339" s="3"/>
      <c r="H339" s="3"/>
      <c r="I339" s="3"/>
      <c r="J339" s="3"/>
      <c r="K339" s="3"/>
      <c r="L339" s="3"/>
      <c r="M339" s="3"/>
      <c r="N339" s="3"/>
      <c r="O339" s="3"/>
      <c r="P339" s="3"/>
      <c r="Q339" s="3"/>
      <c r="R339" s="3"/>
      <c r="S339" s="3"/>
      <c r="T339" s="3"/>
      <c r="U339" s="3"/>
      <c r="V339" s="18"/>
      <c r="W339" s="3"/>
      <c r="X339" s="3"/>
      <c r="Y339" s="3"/>
      <c r="Z339" s="3"/>
      <c r="AA339" s="3"/>
    </row>
    <row r="340" spans="1:27" ht="24.75" customHeight="1">
      <c r="A340" s="3"/>
      <c r="B340" s="3"/>
      <c r="C340" s="3"/>
      <c r="D340" s="3"/>
      <c r="E340" s="3"/>
      <c r="F340" s="3"/>
      <c r="G340" s="3"/>
      <c r="H340" s="3"/>
      <c r="I340" s="3"/>
      <c r="J340" s="3"/>
      <c r="K340" s="3"/>
      <c r="L340" s="3"/>
      <c r="M340" s="3"/>
      <c r="N340" s="3"/>
      <c r="O340" s="3"/>
      <c r="P340" s="3"/>
      <c r="Q340" s="3"/>
      <c r="R340" s="3"/>
      <c r="S340" s="3"/>
      <c r="T340" s="3"/>
      <c r="U340" s="3"/>
      <c r="V340" s="18"/>
      <c r="W340" s="3"/>
      <c r="X340" s="3"/>
      <c r="Y340" s="3"/>
      <c r="Z340" s="3"/>
      <c r="AA340" s="3"/>
    </row>
    <row r="341" spans="1:27" ht="24.75" customHeight="1">
      <c r="A341" s="3"/>
      <c r="B341" s="3"/>
      <c r="C341" s="3"/>
      <c r="D341" s="3"/>
      <c r="E341" s="3"/>
      <c r="F341" s="3"/>
      <c r="G341" s="3"/>
      <c r="H341" s="3"/>
      <c r="I341" s="3"/>
      <c r="J341" s="3"/>
      <c r="K341" s="3"/>
      <c r="L341" s="3"/>
      <c r="M341" s="3"/>
      <c r="N341" s="3"/>
      <c r="O341" s="3"/>
      <c r="P341" s="3"/>
      <c r="Q341" s="3"/>
      <c r="R341" s="3"/>
      <c r="S341" s="3"/>
      <c r="T341" s="3"/>
      <c r="U341" s="3"/>
      <c r="V341" s="18"/>
      <c r="W341" s="3"/>
      <c r="X341" s="3"/>
      <c r="Y341" s="3"/>
      <c r="Z341" s="3"/>
      <c r="AA341" s="3"/>
    </row>
    <row r="342" spans="1:27" ht="24.75" customHeight="1">
      <c r="A342" s="3"/>
      <c r="B342" s="3"/>
      <c r="C342" s="3"/>
      <c r="D342" s="3"/>
      <c r="E342" s="3"/>
      <c r="F342" s="3"/>
      <c r="G342" s="3"/>
      <c r="H342" s="3"/>
      <c r="I342" s="3"/>
      <c r="J342" s="3"/>
      <c r="K342" s="3"/>
      <c r="L342" s="3"/>
      <c r="M342" s="3"/>
      <c r="N342" s="3"/>
      <c r="O342" s="3"/>
      <c r="P342" s="3"/>
      <c r="Q342" s="3"/>
      <c r="R342" s="3"/>
      <c r="S342" s="3"/>
      <c r="T342" s="3"/>
      <c r="U342" s="3"/>
      <c r="V342" s="18"/>
      <c r="W342" s="3"/>
      <c r="X342" s="3"/>
      <c r="Y342" s="3"/>
      <c r="Z342" s="3"/>
      <c r="AA342" s="3"/>
    </row>
    <row r="343" spans="1:27" ht="24.75" customHeight="1">
      <c r="A343" s="3"/>
      <c r="B343" s="3"/>
      <c r="C343" s="3"/>
      <c r="D343" s="3"/>
      <c r="E343" s="3"/>
      <c r="F343" s="3"/>
      <c r="G343" s="3"/>
      <c r="H343" s="3"/>
      <c r="I343" s="3"/>
      <c r="J343" s="3"/>
      <c r="K343" s="3"/>
      <c r="L343" s="3"/>
      <c r="M343" s="3"/>
      <c r="N343" s="3"/>
      <c r="O343" s="3"/>
      <c r="P343" s="3"/>
      <c r="Q343" s="3"/>
      <c r="R343" s="3"/>
      <c r="S343" s="3"/>
      <c r="T343" s="3"/>
      <c r="U343" s="3"/>
      <c r="V343" s="18"/>
      <c r="W343" s="3"/>
      <c r="X343" s="3"/>
      <c r="Y343" s="3"/>
      <c r="Z343" s="3"/>
      <c r="AA343" s="3"/>
    </row>
    <row r="344" spans="1:27" ht="24.75" customHeight="1">
      <c r="A344" s="3"/>
      <c r="B344" s="3"/>
      <c r="C344" s="3"/>
      <c r="D344" s="3"/>
      <c r="E344" s="3"/>
      <c r="F344" s="3"/>
      <c r="G344" s="3"/>
      <c r="H344" s="3"/>
      <c r="I344" s="3"/>
      <c r="J344" s="3"/>
      <c r="K344" s="3"/>
      <c r="L344" s="3"/>
      <c r="M344" s="3"/>
      <c r="N344" s="3"/>
      <c r="O344" s="3"/>
      <c r="P344" s="3"/>
      <c r="Q344" s="3"/>
      <c r="R344" s="3"/>
      <c r="S344" s="3"/>
      <c r="T344" s="3"/>
      <c r="U344" s="3"/>
      <c r="V344" s="18"/>
      <c r="W344" s="3"/>
      <c r="X344" s="3"/>
      <c r="Y344" s="3"/>
      <c r="Z344" s="3"/>
      <c r="AA344" s="3"/>
    </row>
    <row r="345" spans="1:27" ht="24.75" customHeight="1">
      <c r="A345" s="3"/>
      <c r="B345" s="3"/>
      <c r="C345" s="3"/>
      <c r="D345" s="3"/>
      <c r="E345" s="3"/>
      <c r="F345" s="3"/>
      <c r="G345" s="3"/>
      <c r="H345" s="3"/>
      <c r="I345" s="3"/>
      <c r="J345" s="3"/>
      <c r="K345" s="3"/>
      <c r="L345" s="3"/>
      <c r="M345" s="3"/>
      <c r="N345" s="3"/>
      <c r="O345" s="3"/>
      <c r="P345" s="3"/>
      <c r="Q345" s="3"/>
      <c r="R345" s="3"/>
      <c r="S345" s="3"/>
      <c r="T345" s="3"/>
      <c r="U345" s="3"/>
      <c r="V345" s="18"/>
      <c r="W345" s="3"/>
      <c r="X345" s="3"/>
      <c r="Y345" s="3"/>
      <c r="Z345" s="3"/>
      <c r="AA345" s="3"/>
    </row>
    <row r="346" spans="1:27" ht="24.75" customHeight="1">
      <c r="A346" s="3"/>
      <c r="B346" s="3"/>
      <c r="C346" s="3"/>
      <c r="D346" s="3"/>
      <c r="E346" s="3"/>
      <c r="F346" s="3"/>
      <c r="G346" s="3"/>
      <c r="H346" s="3"/>
      <c r="I346" s="3"/>
      <c r="J346" s="3"/>
      <c r="K346" s="3"/>
      <c r="L346" s="3"/>
      <c r="M346" s="3"/>
      <c r="N346" s="3"/>
      <c r="O346" s="3"/>
      <c r="P346" s="3"/>
      <c r="Q346" s="3"/>
      <c r="R346" s="3"/>
      <c r="S346" s="3"/>
      <c r="T346" s="3"/>
      <c r="U346" s="3"/>
      <c r="V346" s="18"/>
      <c r="W346" s="3"/>
      <c r="X346" s="3"/>
      <c r="Y346" s="3"/>
      <c r="Z346" s="3"/>
      <c r="AA346" s="3"/>
    </row>
    <row r="347" spans="1:27" ht="24.75" customHeight="1">
      <c r="A347" s="3"/>
      <c r="B347" s="3"/>
      <c r="C347" s="3"/>
      <c r="D347" s="3"/>
      <c r="E347" s="3"/>
      <c r="F347" s="3"/>
      <c r="G347" s="3"/>
      <c r="H347" s="3"/>
      <c r="I347" s="3"/>
      <c r="J347" s="3"/>
      <c r="K347" s="3"/>
      <c r="L347" s="3"/>
      <c r="M347" s="3"/>
      <c r="N347" s="3"/>
      <c r="O347" s="3"/>
      <c r="P347" s="3"/>
      <c r="Q347" s="3"/>
      <c r="R347" s="3"/>
      <c r="S347" s="3"/>
      <c r="T347" s="3"/>
      <c r="U347" s="3"/>
      <c r="V347" s="18"/>
      <c r="W347" s="3"/>
      <c r="X347" s="3"/>
      <c r="Y347" s="3"/>
      <c r="Z347" s="3"/>
      <c r="AA347" s="3"/>
    </row>
    <row r="348" spans="1:27" ht="24.75" customHeight="1">
      <c r="A348" s="3"/>
      <c r="B348" s="3"/>
      <c r="C348" s="3"/>
      <c r="D348" s="3"/>
      <c r="E348" s="3"/>
      <c r="F348" s="3"/>
      <c r="G348" s="3"/>
      <c r="H348" s="3"/>
      <c r="I348" s="3"/>
      <c r="J348" s="3"/>
      <c r="K348" s="3"/>
      <c r="L348" s="3"/>
      <c r="M348" s="3"/>
      <c r="N348" s="3"/>
      <c r="O348" s="3"/>
      <c r="P348" s="3"/>
      <c r="Q348" s="3"/>
      <c r="R348" s="3"/>
      <c r="S348" s="3"/>
      <c r="T348" s="3"/>
      <c r="U348" s="3"/>
      <c r="V348" s="18"/>
      <c r="W348" s="3"/>
      <c r="X348" s="3"/>
      <c r="Y348" s="3"/>
      <c r="Z348" s="3"/>
      <c r="AA348" s="3"/>
    </row>
    <row r="349" spans="1:27" ht="24.75" customHeight="1">
      <c r="A349" s="3"/>
      <c r="B349" s="3"/>
      <c r="C349" s="3"/>
      <c r="D349" s="3"/>
      <c r="E349" s="3"/>
      <c r="F349" s="3"/>
      <c r="G349" s="3"/>
      <c r="H349" s="3"/>
      <c r="I349" s="3"/>
      <c r="J349" s="3"/>
      <c r="K349" s="3"/>
      <c r="L349" s="3"/>
      <c r="M349" s="3"/>
      <c r="N349" s="3"/>
      <c r="O349" s="3"/>
      <c r="P349" s="3"/>
      <c r="Q349" s="3"/>
      <c r="R349" s="3"/>
      <c r="S349" s="3"/>
      <c r="T349" s="3"/>
      <c r="U349" s="3"/>
      <c r="V349" s="18"/>
      <c r="W349" s="3"/>
      <c r="X349" s="3"/>
      <c r="Y349" s="3"/>
      <c r="Z349" s="3"/>
      <c r="AA349" s="3"/>
    </row>
    <row r="350" spans="1:27" ht="24.75" customHeight="1">
      <c r="A350" s="3"/>
      <c r="B350" s="3"/>
      <c r="C350" s="3"/>
      <c r="D350" s="3"/>
      <c r="E350" s="3"/>
      <c r="F350" s="3"/>
      <c r="G350" s="3"/>
      <c r="H350" s="3"/>
      <c r="I350" s="3"/>
      <c r="J350" s="3"/>
      <c r="K350" s="3"/>
      <c r="L350" s="3"/>
      <c r="M350" s="3"/>
      <c r="N350" s="3"/>
      <c r="O350" s="3"/>
      <c r="P350" s="3"/>
      <c r="Q350" s="3"/>
      <c r="R350" s="3"/>
      <c r="S350" s="3"/>
      <c r="T350" s="3"/>
      <c r="U350" s="3"/>
      <c r="V350" s="18"/>
      <c r="W350" s="3"/>
      <c r="X350" s="3"/>
      <c r="Y350" s="3"/>
      <c r="Z350" s="3"/>
      <c r="AA350" s="3"/>
    </row>
    <row r="351" spans="1:27" ht="24.75" customHeight="1">
      <c r="A351" s="3"/>
      <c r="B351" s="3"/>
      <c r="C351" s="3"/>
      <c r="D351" s="3"/>
      <c r="E351" s="3"/>
      <c r="F351" s="3"/>
      <c r="G351" s="3"/>
      <c r="H351" s="3"/>
      <c r="I351" s="3"/>
      <c r="J351" s="3"/>
      <c r="K351" s="3"/>
      <c r="L351" s="3"/>
      <c r="M351" s="3"/>
      <c r="N351" s="3"/>
      <c r="O351" s="3"/>
      <c r="P351" s="3"/>
      <c r="Q351" s="3"/>
      <c r="R351" s="3"/>
      <c r="S351" s="3"/>
      <c r="T351" s="3"/>
      <c r="U351" s="3"/>
      <c r="V351" s="18"/>
      <c r="W351" s="3"/>
      <c r="X351" s="3"/>
      <c r="Y351" s="3"/>
      <c r="Z351" s="3"/>
      <c r="AA351" s="3"/>
    </row>
    <row r="352" spans="1:27" ht="24.75" customHeight="1">
      <c r="A352" s="3"/>
      <c r="B352" s="3"/>
      <c r="C352" s="3"/>
      <c r="D352" s="3"/>
      <c r="E352" s="3"/>
      <c r="F352" s="3"/>
      <c r="G352" s="3"/>
      <c r="H352" s="3"/>
      <c r="I352" s="3"/>
      <c r="J352" s="3"/>
      <c r="K352" s="3"/>
      <c r="L352" s="3"/>
      <c r="M352" s="3"/>
      <c r="N352" s="3"/>
      <c r="O352" s="3"/>
      <c r="P352" s="3"/>
      <c r="Q352" s="3"/>
      <c r="R352" s="3"/>
      <c r="S352" s="3"/>
      <c r="T352" s="3"/>
      <c r="U352" s="3"/>
      <c r="V352" s="18"/>
      <c r="W352" s="3"/>
      <c r="X352" s="3"/>
      <c r="Y352" s="3"/>
      <c r="Z352" s="3"/>
      <c r="AA352" s="3"/>
    </row>
    <row r="353" spans="1:27" ht="24.75" customHeight="1">
      <c r="A353" s="3"/>
      <c r="B353" s="3"/>
      <c r="C353" s="3"/>
      <c r="D353" s="3"/>
      <c r="E353" s="3"/>
      <c r="F353" s="3"/>
      <c r="G353" s="3"/>
      <c r="H353" s="3"/>
      <c r="I353" s="3"/>
      <c r="J353" s="3"/>
      <c r="K353" s="3"/>
      <c r="L353" s="3"/>
      <c r="M353" s="3"/>
      <c r="N353" s="3"/>
      <c r="O353" s="3"/>
      <c r="P353" s="3"/>
      <c r="Q353" s="3"/>
      <c r="R353" s="3"/>
      <c r="S353" s="3"/>
      <c r="T353" s="3"/>
      <c r="U353" s="3"/>
      <c r="V353" s="18"/>
      <c r="W353" s="3"/>
      <c r="X353" s="3"/>
      <c r="Y353" s="3"/>
      <c r="Z353" s="3"/>
      <c r="AA353" s="3"/>
    </row>
    <row r="354" spans="1:27" ht="24.75" customHeight="1">
      <c r="A354" s="3"/>
      <c r="B354" s="3"/>
      <c r="C354" s="3"/>
      <c r="D354" s="3"/>
      <c r="E354" s="3"/>
      <c r="F354" s="3"/>
      <c r="G354" s="3"/>
      <c r="H354" s="3"/>
      <c r="I354" s="3"/>
      <c r="J354" s="3"/>
      <c r="K354" s="3"/>
      <c r="L354" s="3"/>
      <c r="M354" s="3"/>
      <c r="N354" s="3"/>
      <c r="O354" s="3"/>
      <c r="P354" s="3"/>
      <c r="Q354" s="3"/>
      <c r="R354" s="3"/>
      <c r="S354" s="3"/>
      <c r="T354" s="3"/>
      <c r="U354" s="3"/>
      <c r="V354" s="18"/>
      <c r="W354" s="3"/>
      <c r="X354" s="3"/>
      <c r="Y354" s="3"/>
      <c r="Z354" s="3"/>
      <c r="AA354" s="3"/>
    </row>
    <row r="355" spans="1:27" ht="24.75" customHeight="1">
      <c r="A355" s="3"/>
      <c r="B355" s="3"/>
      <c r="C355" s="3"/>
      <c r="D355" s="3"/>
      <c r="E355" s="3"/>
      <c r="F355" s="3"/>
      <c r="G355" s="3"/>
      <c r="H355" s="3"/>
      <c r="I355" s="3"/>
      <c r="J355" s="3"/>
      <c r="K355" s="3"/>
      <c r="L355" s="3"/>
      <c r="M355" s="3"/>
      <c r="N355" s="3"/>
      <c r="O355" s="3"/>
      <c r="P355" s="3"/>
      <c r="Q355" s="3"/>
      <c r="R355" s="3"/>
      <c r="S355" s="3"/>
      <c r="T355" s="3"/>
      <c r="U355" s="3"/>
      <c r="V355" s="18"/>
      <c r="W355" s="3"/>
      <c r="X355" s="3"/>
      <c r="Y355" s="3"/>
      <c r="Z355" s="3"/>
      <c r="AA355" s="3"/>
    </row>
    <row r="356" spans="1:27" ht="24.75" customHeight="1">
      <c r="A356" s="3"/>
      <c r="B356" s="3"/>
      <c r="C356" s="3"/>
      <c r="D356" s="3"/>
      <c r="E356" s="3"/>
      <c r="F356" s="3"/>
      <c r="G356" s="3"/>
      <c r="H356" s="3"/>
      <c r="I356" s="3"/>
      <c r="J356" s="3"/>
      <c r="K356" s="3"/>
      <c r="L356" s="3"/>
      <c r="M356" s="3"/>
      <c r="N356" s="3"/>
      <c r="O356" s="3"/>
      <c r="P356" s="3"/>
      <c r="Q356" s="3"/>
      <c r="R356" s="3"/>
      <c r="S356" s="3"/>
      <c r="T356" s="3"/>
      <c r="U356" s="3"/>
      <c r="V356" s="18"/>
      <c r="W356" s="3"/>
      <c r="X356" s="3"/>
      <c r="Y356" s="3"/>
      <c r="Z356" s="3"/>
      <c r="AA356" s="3"/>
    </row>
    <row r="357" spans="1:27" ht="24.75" customHeight="1">
      <c r="A357" s="3"/>
      <c r="B357" s="3"/>
      <c r="C357" s="3"/>
      <c r="D357" s="3"/>
      <c r="E357" s="3"/>
      <c r="F357" s="3"/>
      <c r="G357" s="3"/>
      <c r="H357" s="3"/>
      <c r="I357" s="3"/>
      <c r="J357" s="3"/>
      <c r="K357" s="3"/>
      <c r="L357" s="3"/>
      <c r="M357" s="3"/>
      <c r="N357" s="3"/>
      <c r="O357" s="3"/>
      <c r="P357" s="3"/>
      <c r="Q357" s="3"/>
      <c r="R357" s="3"/>
      <c r="S357" s="3"/>
      <c r="T357" s="3"/>
      <c r="U357" s="3"/>
      <c r="V357" s="18"/>
      <c r="W357" s="3"/>
      <c r="X357" s="3"/>
      <c r="Y357" s="3"/>
      <c r="Z357" s="3"/>
      <c r="AA357" s="3"/>
    </row>
    <row r="358" spans="1:27" ht="24.75" customHeight="1">
      <c r="A358" s="3"/>
      <c r="B358" s="3"/>
      <c r="C358" s="3"/>
      <c r="D358" s="3"/>
      <c r="E358" s="3"/>
      <c r="F358" s="3"/>
      <c r="G358" s="3"/>
      <c r="H358" s="3"/>
      <c r="I358" s="3"/>
      <c r="J358" s="3"/>
      <c r="K358" s="3"/>
      <c r="L358" s="3"/>
      <c r="M358" s="3"/>
      <c r="N358" s="3"/>
      <c r="O358" s="3"/>
      <c r="P358" s="3"/>
      <c r="Q358" s="3"/>
      <c r="R358" s="3"/>
      <c r="S358" s="3"/>
      <c r="T358" s="3"/>
      <c r="U358" s="3"/>
      <c r="V358" s="18"/>
      <c r="W358" s="3"/>
      <c r="X358" s="3"/>
      <c r="Y358" s="3"/>
      <c r="Z358" s="3"/>
      <c r="AA358" s="3"/>
    </row>
    <row r="359" spans="1:27" ht="24.75" customHeight="1">
      <c r="A359" s="3"/>
      <c r="B359" s="3"/>
      <c r="C359" s="3"/>
      <c r="D359" s="3"/>
      <c r="E359" s="3"/>
      <c r="F359" s="3"/>
      <c r="G359" s="3"/>
      <c r="H359" s="3"/>
      <c r="I359" s="3"/>
      <c r="J359" s="3"/>
      <c r="K359" s="3"/>
      <c r="L359" s="3"/>
      <c r="M359" s="3"/>
      <c r="N359" s="3"/>
      <c r="O359" s="3"/>
      <c r="P359" s="3"/>
      <c r="Q359" s="3"/>
      <c r="R359" s="3"/>
      <c r="S359" s="3"/>
      <c r="T359" s="3"/>
      <c r="U359" s="3"/>
      <c r="V359" s="18"/>
      <c r="W359" s="3"/>
      <c r="X359" s="3"/>
      <c r="Y359" s="3"/>
      <c r="Z359" s="3"/>
      <c r="AA359" s="3"/>
    </row>
    <row r="360" spans="1:27" ht="24.75" customHeight="1">
      <c r="A360" s="3"/>
      <c r="B360" s="3"/>
      <c r="C360" s="3"/>
      <c r="D360" s="3"/>
      <c r="E360" s="3"/>
      <c r="F360" s="3"/>
      <c r="G360" s="3"/>
      <c r="H360" s="3"/>
      <c r="I360" s="3"/>
      <c r="J360" s="3"/>
      <c r="K360" s="3"/>
      <c r="L360" s="3"/>
      <c r="M360" s="3"/>
      <c r="N360" s="3"/>
      <c r="O360" s="3"/>
      <c r="P360" s="3"/>
      <c r="Q360" s="3"/>
      <c r="R360" s="3"/>
      <c r="S360" s="3"/>
      <c r="T360" s="3"/>
      <c r="U360" s="3"/>
      <c r="V360" s="18"/>
      <c r="W360" s="3"/>
      <c r="X360" s="3"/>
      <c r="Y360" s="3"/>
      <c r="Z360" s="3"/>
      <c r="AA360" s="3"/>
    </row>
    <row r="361" spans="1:27" ht="24.75" customHeight="1">
      <c r="A361" s="3"/>
      <c r="B361" s="3"/>
      <c r="C361" s="3"/>
      <c r="D361" s="3"/>
      <c r="E361" s="3"/>
      <c r="F361" s="3"/>
      <c r="G361" s="3"/>
      <c r="H361" s="3"/>
      <c r="I361" s="3"/>
      <c r="J361" s="3"/>
      <c r="K361" s="3"/>
      <c r="L361" s="3"/>
      <c r="M361" s="3"/>
      <c r="N361" s="3"/>
      <c r="O361" s="3"/>
      <c r="P361" s="3"/>
      <c r="Q361" s="3"/>
      <c r="R361" s="3"/>
      <c r="S361" s="3"/>
      <c r="T361" s="3"/>
      <c r="U361" s="3"/>
      <c r="V361" s="18"/>
      <c r="W361" s="3"/>
      <c r="X361" s="3"/>
      <c r="Y361" s="3"/>
      <c r="Z361" s="3"/>
      <c r="AA361" s="3"/>
    </row>
    <row r="362" spans="1:27" ht="24.75" customHeight="1">
      <c r="A362" s="3"/>
      <c r="B362" s="3"/>
      <c r="C362" s="3"/>
      <c r="D362" s="3"/>
      <c r="E362" s="3"/>
      <c r="F362" s="3"/>
      <c r="G362" s="3"/>
      <c r="H362" s="3"/>
      <c r="I362" s="3"/>
      <c r="J362" s="3"/>
      <c r="K362" s="3"/>
      <c r="L362" s="3"/>
      <c r="M362" s="3"/>
      <c r="N362" s="3"/>
      <c r="O362" s="3"/>
      <c r="P362" s="3"/>
      <c r="Q362" s="3"/>
      <c r="R362" s="3"/>
      <c r="S362" s="3"/>
      <c r="T362" s="3"/>
      <c r="U362" s="3"/>
      <c r="V362" s="18"/>
      <c r="W362" s="3"/>
      <c r="X362" s="3"/>
      <c r="Y362" s="3"/>
      <c r="Z362" s="3"/>
      <c r="AA362" s="3"/>
    </row>
    <row r="363" spans="1:27" ht="24.75" customHeight="1">
      <c r="A363" s="3"/>
      <c r="B363" s="3"/>
      <c r="C363" s="3"/>
      <c r="D363" s="3"/>
      <c r="E363" s="3"/>
      <c r="F363" s="3"/>
      <c r="G363" s="3"/>
      <c r="H363" s="3"/>
      <c r="I363" s="3"/>
      <c r="J363" s="3"/>
      <c r="K363" s="3"/>
      <c r="L363" s="3"/>
      <c r="M363" s="3"/>
      <c r="N363" s="3"/>
      <c r="O363" s="3"/>
      <c r="P363" s="3"/>
      <c r="Q363" s="3"/>
      <c r="R363" s="3"/>
      <c r="S363" s="3"/>
      <c r="T363" s="3"/>
      <c r="U363" s="3"/>
      <c r="V363" s="18"/>
      <c r="W363" s="3"/>
      <c r="X363" s="3"/>
      <c r="Y363" s="3"/>
      <c r="Z363" s="3"/>
      <c r="AA363" s="3"/>
    </row>
    <row r="364" spans="1:27" ht="24.75" customHeight="1">
      <c r="A364" s="3"/>
      <c r="B364" s="3"/>
      <c r="C364" s="3"/>
      <c r="D364" s="3"/>
      <c r="E364" s="3"/>
      <c r="F364" s="3"/>
      <c r="G364" s="3"/>
      <c r="H364" s="3"/>
      <c r="I364" s="3"/>
      <c r="J364" s="3"/>
      <c r="K364" s="3"/>
      <c r="L364" s="3"/>
      <c r="M364" s="3"/>
      <c r="N364" s="3"/>
      <c r="O364" s="3"/>
      <c r="P364" s="3"/>
      <c r="Q364" s="3"/>
      <c r="R364" s="3"/>
      <c r="S364" s="3"/>
      <c r="T364" s="3"/>
      <c r="U364" s="3"/>
      <c r="V364" s="18"/>
      <c r="W364" s="3"/>
      <c r="X364" s="3"/>
      <c r="Y364" s="3"/>
      <c r="Z364" s="3"/>
      <c r="AA364" s="3"/>
    </row>
    <row r="365" spans="1:27" ht="24.75" customHeight="1">
      <c r="A365" s="3"/>
      <c r="B365" s="3"/>
      <c r="C365" s="3"/>
      <c r="D365" s="3"/>
      <c r="E365" s="3"/>
      <c r="F365" s="3"/>
      <c r="G365" s="3"/>
      <c r="H365" s="3"/>
      <c r="I365" s="3"/>
      <c r="J365" s="3"/>
      <c r="K365" s="3"/>
      <c r="L365" s="3"/>
      <c r="M365" s="3"/>
      <c r="N365" s="3"/>
      <c r="O365" s="3"/>
      <c r="P365" s="3"/>
      <c r="Q365" s="3"/>
      <c r="R365" s="3"/>
      <c r="S365" s="3"/>
      <c r="T365" s="3"/>
      <c r="U365" s="3"/>
      <c r="V365" s="18"/>
      <c r="W365" s="3"/>
      <c r="X365" s="3"/>
      <c r="Y365" s="3"/>
      <c r="Z365" s="3"/>
      <c r="AA365" s="3"/>
    </row>
    <row r="366" spans="1:27" ht="24.75" customHeight="1">
      <c r="A366" s="3"/>
      <c r="B366" s="3"/>
      <c r="C366" s="3"/>
      <c r="D366" s="3"/>
      <c r="E366" s="3"/>
      <c r="F366" s="3"/>
      <c r="G366" s="3"/>
      <c r="H366" s="3"/>
      <c r="I366" s="3"/>
      <c r="J366" s="3"/>
      <c r="K366" s="3"/>
      <c r="L366" s="3"/>
      <c r="M366" s="3"/>
      <c r="N366" s="3"/>
      <c r="O366" s="3"/>
      <c r="P366" s="3"/>
      <c r="Q366" s="3"/>
      <c r="R366" s="3"/>
      <c r="S366" s="3"/>
      <c r="T366" s="3"/>
      <c r="U366" s="3"/>
      <c r="V366" s="18"/>
      <c r="W366" s="3"/>
      <c r="X366" s="3"/>
      <c r="Y366" s="3"/>
      <c r="Z366" s="3"/>
      <c r="AA366" s="3"/>
    </row>
    <row r="367" spans="1:27" ht="24.75" customHeight="1">
      <c r="A367" s="3"/>
      <c r="B367" s="3"/>
      <c r="C367" s="3"/>
      <c r="D367" s="3"/>
      <c r="E367" s="3"/>
      <c r="F367" s="3"/>
      <c r="G367" s="3"/>
      <c r="H367" s="3"/>
      <c r="I367" s="3"/>
      <c r="J367" s="3"/>
      <c r="K367" s="3"/>
      <c r="L367" s="3"/>
      <c r="M367" s="3"/>
      <c r="N367" s="3"/>
      <c r="O367" s="3"/>
      <c r="P367" s="3"/>
      <c r="Q367" s="3"/>
      <c r="R367" s="3"/>
      <c r="S367" s="3"/>
      <c r="T367" s="3"/>
      <c r="U367" s="3"/>
      <c r="V367" s="18"/>
      <c r="W367" s="3"/>
      <c r="X367" s="3"/>
      <c r="Y367" s="3"/>
      <c r="Z367" s="3"/>
      <c r="AA367" s="3"/>
    </row>
    <row r="368" spans="1:27" ht="24.75" customHeight="1">
      <c r="A368" s="3"/>
      <c r="B368" s="3"/>
      <c r="C368" s="3"/>
      <c r="D368" s="3"/>
      <c r="E368" s="3"/>
      <c r="F368" s="3"/>
      <c r="G368" s="3"/>
      <c r="H368" s="3"/>
      <c r="I368" s="3"/>
      <c r="J368" s="3"/>
      <c r="K368" s="3"/>
      <c r="L368" s="3"/>
      <c r="M368" s="3"/>
      <c r="N368" s="3"/>
      <c r="O368" s="3"/>
      <c r="P368" s="3"/>
      <c r="Q368" s="3"/>
      <c r="R368" s="3"/>
      <c r="S368" s="3"/>
      <c r="T368" s="3"/>
      <c r="U368" s="3"/>
      <c r="V368" s="18"/>
      <c r="W368" s="3"/>
      <c r="X368" s="3"/>
      <c r="Y368" s="3"/>
      <c r="Z368" s="3"/>
      <c r="AA368" s="3"/>
    </row>
    <row r="369" spans="1:27" ht="24.75" customHeight="1">
      <c r="A369" s="3"/>
      <c r="B369" s="3"/>
      <c r="C369" s="3"/>
      <c r="D369" s="3"/>
      <c r="E369" s="3"/>
      <c r="F369" s="3"/>
      <c r="G369" s="3"/>
      <c r="H369" s="3"/>
      <c r="I369" s="3"/>
      <c r="J369" s="3"/>
      <c r="K369" s="3"/>
      <c r="L369" s="3"/>
      <c r="M369" s="3"/>
      <c r="N369" s="3"/>
      <c r="O369" s="3"/>
      <c r="P369" s="3"/>
      <c r="Q369" s="3"/>
      <c r="R369" s="3"/>
      <c r="S369" s="3"/>
      <c r="T369" s="3"/>
      <c r="U369" s="3"/>
      <c r="V369" s="18"/>
      <c r="W369" s="3"/>
      <c r="X369" s="3"/>
      <c r="Y369" s="3"/>
      <c r="Z369" s="3"/>
      <c r="AA369" s="3"/>
    </row>
    <row r="370" spans="1:27" ht="24.75" customHeight="1">
      <c r="A370" s="3"/>
      <c r="B370" s="3"/>
      <c r="C370" s="3"/>
      <c r="D370" s="3"/>
      <c r="E370" s="3"/>
      <c r="F370" s="3"/>
      <c r="G370" s="3"/>
      <c r="H370" s="3"/>
      <c r="I370" s="3"/>
      <c r="J370" s="3"/>
      <c r="K370" s="3"/>
      <c r="L370" s="3"/>
      <c r="M370" s="3"/>
      <c r="N370" s="3"/>
      <c r="O370" s="3"/>
      <c r="P370" s="3"/>
      <c r="Q370" s="3"/>
      <c r="R370" s="3"/>
      <c r="S370" s="3"/>
      <c r="T370" s="3"/>
      <c r="U370" s="3"/>
      <c r="V370" s="18"/>
      <c r="W370" s="3"/>
      <c r="X370" s="3"/>
      <c r="Y370" s="3"/>
      <c r="Z370" s="3"/>
      <c r="AA370" s="3"/>
    </row>
    <row r="371" spans="1:27" ht="24.75" customHeight="1">
      <c r="A371" s="3"/>
      <c r="B371" s="3"/>
      <c r="C371" s="3"/>
      <c r="D371" s="3"/>
      <c r="E371" s="3"/>
      <c r="F371" s="3"/>
      <c r="G371" s="3"/>
      <c r="H371" s="3"/>
      <c r="I371" s="3"/>
      <c r="J371" s="3"/>
      <c r="K371" s="3"/>
      <c r="L371" s="3"/>
      <c r="M371" s="3"/>
      <c r="N371" s="3"/>
      <c r="O371" s="3"/>
      <c r="P371" s="3"/>
      <c r="Q371" s="3"/>
      <c r="R371" s="3"/>
      <c r="S371" s="3"/>
      <c r="T371" s="3"/>
      <c r="U371" s="3"/>
      <c r="V371" s="18"/>
      <c r="W371" s="3"/>
      <c r="X371" s="3"/>
      <c r="Y371" s="3"/>
      <c r="Z371" s="3"/>
      <c r="AA371" s="3"/>
    </row>
    <row r="372" spans="1:27" ht="24.75" customHeight="1">
      <c r="A372" s="3"/>
      <c r="B372" s="3"/>
      <c r="C372" s="3"/>
      <c r="D372" s="3"/>
      <c r="E372" s="3"/>
      <c r="F372" s="3"/>
      <c r="G372" s="3"/>
      <c r="H372" s="3"/>
      <c r="I372" s="3"/>
      <c r="J372" s="3"/>
      <c r="K372" s="3"/>
      <c r="L372" s="3"/>
      <c r="M372" s="3"/>
      <c r="N372" s="3"/>
      <c r="O372" s="3"/>
      <c r="P372" s="3"/>
      <c r="Q372" s="3"/>
      <c r="R372" s="3"/>
      <c r="S372" s="3"/>
      <c r="T372" s="3"/>
      <c r="U372" s="3"/>
      <c r="V372" s="18"/>
      <c r="W372" s="3"/>
      <c r="X372" s="3"/>
      <c r="Y372" s="3"/>
      <c r="Z372" s="3"/>
      <c r="AA372" s="3"/>
    </row>
    <row r="373" spans="1:27" ht="24.75" customHeight="1">
      <c r="A373" s="3"/>
      <c r="B373" s="3"/>
      <c r="C373" s="3"/>
      <c r="D373" s="3"/>
      <c r="E373" s="3"/>
      <c r="F373" s="3"/>
      <c r="G373" s="3"/>
      <c r="H373" s="3"/>
      <c r="I373" s="3"/>
      <c r="J373" s="3"/>
      <c r="K373" s="3"/>
      <c r="L373" s="3"/>
      <c r="M373" s="3"/>
      <c r="N373" s="3"/>
      <c r="O373" s="3"/>
      <c r="P373" s="3"/>
      <c r="Q373" s="3"/>
      <c r="R373" s="3"/>
      <c r="S373" s="3"/>
      <c r="T373" s="3"/>
      <c r="U373" s="3"/>
      <c r="V373" s="18"/>
      <c r="W373" s="3"/>
      <c r="X373" s="3"/>
      <c r="Y373" s="3"/>
      <c r="Z373" s="3"/>
      <c r="AA373" s="3"/>
    </row>
    <row r="374" spans="1:27" ht="24.75" customHeight="1">
      <c r="A374" s="3"/>
      <c r="B374" s="3"/>
      <c r="C374" s="3"/>
      <c r="D374" s="3"/>
      <c r="E374" s="3"/>
      <c r="F374" s="3"/>
      <c r="G374" s="3"/>
      <c r="H374" s="3"/>
      <c r="I374" s="3"/>
      <c r="J374" s="3"/>
      <c r="K374" s="3"/>
      <c r="L374" s="3"/>
      <c r="M374" s="3"/>
      <c r="N374" s="3"/>
      <c r="O374" s="3"/>
      <c r="P374" s="3"/>
      <c r="Q374" s="3"/>
      <c r="R374" s="3"/>
      <c r="S374" s="3"/>
      <c r="T374" s="3"/>
      <c r="U374" s="3"/>
      <c r="V374" s="18"/>
      <c r="W374" s="3"/>
      <c r="X374" s="3"/>
      <c r="Y374" s="3"/>
      <c r="Z374" s="3"/>
      <c r="AA374" s="3"/>
    </row>
    <row r="375" spans="1:27" ht="24.75" customHeight="1">
      <c r="A375" s="3"/>
      <c r="B375" s="3"/>
      <c r="C375" s="3"/>
      <c r="D375" s="3"/>
      <c r="E375" s="3"/>
      <c r="F375" s="3"/>
      <c r="G375" s="3"/>
      <c r="H375" s="3"/>
      <c r="I375" s="3"/>
      <c r="J375" s="3"/>
      <c r="K375" s="3"/>
      <c r="L375" s="3"/>
      <c r="M375" s="3"/>
      <c r="N375" s="3"/>
      <c r="O375" s="3"/>
      <c r="P375" s="3"/>
      <c r="Q375" s="3"/>
      <c r="R375" s="3"/>
      <c r="S375" s="3"/>
      <c r="T375" s="3"/>
      <c r="U375" s="3"/>
      <c r="V375" s="18"/>
      <c r="W375" s="3"/>
      <c r="X375" s="3"/>
      <c r="Y375" s="3"/>
      <c r="Z375" s="3"/>
      <c r="AA375" s="3"/>
    </row>
    <row r="376" spans="1:27" ht="24.75" customHeight="1">
      <c r="A376" s="3"/>
      <c r="B376" s="3"/>
      <c r="C376" s="3"/>
      <c r="D376" s="3"/>
      <c r="E376" s="3"/>
      <c r="F376" s="3"/>
      <c r="G376" s="3"/>
      <c r="H376" s="3"/>
      <c r="I376" s="3"/>
      <c r="J376" s="3"/>
      <c r="K376" s="3"/>
      <c r="L376" s="3"/>
      <c r="M376" s="3"/>
      <c r="N376" s="3"/>
      <c r="O376" s="3"/>
      <c r="P376" s="3"/>
      <c r="Q376" s="3"/>
      <c r="R376" s="3"/>
      <c r="S376" s="3"/>
      <c r="T376" s="3"/>
      <c r="U376" s="3"/>
      <c r="V376" s="18"/>
      <c r="W376" s="3"/>
      <c r="X376" s="3"/>
      <c r="Y376" s="3"/>
      <c r="Z376" s="3"/>
      <c r="AA376" s="3"/>
    </row>
    <row r="377" spans="1:27" ht="24.75" customHeight="1">
      <c r="A377" s="3"/>
      <c r="B377" s="3"/>
      <c r="C377" s="3"/>
      <c r="D377" s="3"/>
      <c r="E377" s="3"/>
      <c r="F377" s="3"/>
      <c r="G377" s="3"/>
      <c r="H377" s="3"/>
      <c r="I377" s="3"/>
      <c r="J377" s="3"/>
      <c r="K377" s="3"/>
      <c r="L377" s="3"/>
      <c r="M377" s="3"/>
      <c r="N377" s="3"/>
      <c r="O377" s="3"/>
      <c r="P377" s="3"/>
      <c r="Q377" s="3"/>
      <c r="R377" s="3"/>
      <c r="S377" s="3"/>
      <c r="T377" s="3"/>
      <c r="U377" s="3"/>
      <c r="V377" s="18"/>
      <c r="W377" s="3"/>
      <c r="X377" s="3"/>
      <c r="Y377" s="3"/>
      <c r="Z377" s="3"/>
      <c r="AA377" s="3"/>
    </row>
    <row r="378" spans="1:27" ht="24.75" customHeight="1">
      <c r="A378" s="3"/>
      <c r="B378" s="3"/>
      <c r="C378" s="3"/>
      <c r="D378" s="3"/>
      <c r="E378" s="3"/>
      <c r="F378" s="3"/>
      <c r="G378" s="3"/>
      <c r="H378" s="3"/>
      <c r="I378" s="3"/>
      <c r="J378" s="3"/>
      <c r="K378" s="3"/>
      <c r="L378" s="3"/>
      <c r="M378" s="3"/>
      <c r="N378" s="3"/>
      <c r="O378" s="3"/>
      <c r="P378" s="3"/>
      <c r="Q378" s="3"/>
      <c r="R378" s="3"/>
      <c r="S378" s="3"/>
      <c r="T378" s="3"/>
      <c r="U378" s="3"/>
      <c r="V378" s="18"/>
      <c r="W378" s="3"/>
      <c r="X378" s="3"/>
      <c r="Y378" s="3"/>
      <c r="Z378" s="3"/>
      <c r="AA378" s="3"/>
    </row>
    <row r="379" spans="1:27" ht="24.75" customHeight="1">
      <c r="A379" s="3"/>
      <c r="B379" s="3"/>
      <c r="C379" s="3"/>
      <c r="D379" s="3"/>
      <c r="E379" s="3"/>
      <c r="F379" s="3"/>
      <c r="G379" s="3"/>
      <c r="H379" s="3"/>
      <c r="I379" s="3"/>
      <c r="J379" s="3"/>
      <c r="K379" s="3"/>
      <c r="L379" s="3"/>
      <c r="M379" s="3"/>
      <c r="N379" s="3"/>
      <c r="O379" s="3"/>
      <c r="P379" s="3"/>
      <c r="Q379" s="3"/>
      <c r="R379" s="3"/>
      <c r="S379" s="3"/>
      <c r="T379" s="3"/>
      <c r="U379" s="3"/>
      <c r="V379" s="18"/>
      <c r="W379" s="3"/>
      <c r="X379" s="3"/>
      <c r="Y379" s="3"/>
      <c r="Z379" s="3"/>
      <c r="AA379" s="3"/>
    </row>
    <row r="380" spans="1:27" ht="24.75" customHeight="1">
      <c r="A380" s="3"/>
      <c r="B380" s="3"/>
      <c r="C380" s="3"/>
      <c r="D380" s="3"/>
      <c r="E380" s="3"/>
      <c r="F380" s="3"/>
      <c r="G380" s="3"/>
      <c r="H380" s="3"/>
      <c r="I380" s="3"/>
      <c r="J380" s="3"/>
      <c r="K380" s="3"/>
      <c r="L380" s="3"/>
      <c r="M380" s="3"/>
      <c r="N380" s="3"/>
      <c r="O380" s="3"/>
      <c r="P380" s="3"/>
      <c r="Q380" s="3"/>
      <c r="R380" s="3"/>
      <c r="S380" s="3"/>
      <c r="T380" s="3"/>
      <c r="U380" s="3"/>
      <c r="V380" s="18"/>
      <c r="W380" s="3"/>
      <c r="X380" s="3"/>
      <c r="Y380" s="3"/>
      <c r="Z380" s="3"/>
      <c r="AA380" s="3"/>
    </row>
    <row r="381" spans="1:27" ht="24.75" customHeight="1">
      <c r="A381" s="3"/>
      <c r="B381" s="3"/>
      <c r="C381" s="3"/>
      <c r="D381" s="3"/>
      <c r="E381" s="3"/>
      <c r="F381" s="3"/>
      <c r="G381" s="3"/>
      <c r="H381" s="3"/>
      <c r="I381" s="3"/>
      <c r="J381" s="3"/>
      <c r="K381" s="3"/>
      <c r="L381" s="3"/>
      <c r="M381" s="3"/>
      <c r="N381" s="3"/>
      <c r="O381" s="3"/>
      <c r="P381" s="3"/>
      <c r="Q381" s="3"/>
      <c r="R381" s="3"/>
      <c r="S381" s="3"/>
      <c r="T381" s="3"/>
      <c r="U381" s="3"/>
      <c r="V381" s="18"/>
      <c r="W381" s="3"/>
      <c r="X381" s="3"/>
      <c r="Y381" s="3"/>
      <c r="Z381" s="3"/>
      <c r="AA381" s="3"/>
    </row>
    <row r="382" spans="1:27" ht="24.75" customHeight="1">
      <c r="A382" s="3"/>
      <c r="B382" s="3"/>
      <c r="C382" s="3"/>
      <c r="D382" s="3"/>
      <c r="E382" s="3"/>
      <c r="F382" s="3"/>
      <c r="G382" s="3"/>
      <c r="H382" s="3"/>
      <c r="I382" s="3"/>
      <c r="J382" s="3"/>
      <c r="K382" s="3"/>
      <c r="L382" s="3"/>
      <c r="M382" s="3"/>
      <c r="N382" s="3"/>
      <c r="O382" s="3"/>
      <c r="P382" s="3"/>
      <c r="Q382" s="3"/>
      <c r="R382" s="3"/>
      <c r="S382" s="3"/>
      <c r="T382" s="3"/>
      <c r="U382" s="3"/>
      <c r="V382" s="18"/>
      <c r="W382" s="3"/>
      <c r="X382" s="3"/>
      <c r="Y382" s="3"/>
      <c r="Z382" s="3"/>
      <c r="AA382" s="3"/>
    </row>
    <row r="383" spans="1:27" ht="24.75" customHeight="1">
      <c r="A383" s="3"/>
      <c r="B383" s="3"/>
      <c r="C383" s="3"/>
      <c r="D383" s="3"/>
      <c r="E383" s="3"/>
      <c r="F383" s="3"/>
      <c r="G383" s="3"/>
      <c r="H383" s="3"/>
      <c r="I383" s="3"/>
      <c r="J383" s="3"/>
      <c r="K383" s="3"/>
      <c r="L383" s="3"/>
      <c r="M383" s="3"/>
      <c r="N383" s="3"/>
      <c r="O383" s="3"/>
      <c r="P383" s="3"/>
      <c r="Q383" s="3"/>
      <c r="R383" s="3"/>
      <c r="S383" s="3"/>
      <c r="T383" s="3"/>
      <c r="U383" s="3"/>
      <c r="V383" s="18"/>
      <c r="W383" s="3"/>
      <c r="X383" s="3"/>
      <c r="Y383" s="3"/>
      <c r="Z383" s="3"/>
      <c r="AA383" s="3"/>
    </row>
    <row r="384" spans="1:27" ht="24.75" customHeight="1">
      <c r="A384" s="3"/>
      <c r="B384" s="3"/>
      <c r="C384" s="3"/>
      <c r="D384" s="3"/>
      <c r="E384" s="3"/>
      <c r="F384" s="3"/>
      <c r="G384" s="3"/>
      <c r="H384" s="3"/>
      <c r="I384" s="3"/>
      <c r="J384" s="3"/>
      <c r="K384" s="3"/>
      <c r="L384" s="3"/>
      <c r="M384" s="3"/>
      <c r="N384" s="3"/>
      <c r="O384" s="3"/>
      <c r="P384" s="3"/>
      <c r="Q384" s="3"/>
      <c r="R384" s="3"/>
      <c r="S384" s="3"/>
      <c r="T384" s="3"/>
      <c r="U384" s="3"/>
      <c r="V384" s="18"/>
      <c r="W384" s="3"/>
      <c r="X384" s="3"/>
      <c r="Y384" s="3"/>
      <c r="Z384" s="3"/>
      <c r="AA384" s="3"/>
    </row>
    <row r="385" spans="1:27" ht="24.75" customHeight="1">
      <c r="A385" s="3"/>
      <c r="B385" s="3"/>
      <c r="C385" s="3"/>
      <c r="D385" s="3"/>
      <c r="E385" s="3"/>
      <c r="F385" s="3"/>
      <c r="G385" s="3"/>
      <c r="H385" s="3"/>
      <c r="I385" s="3"/>
      <c r="J385" s="3"/>
      <c r="K385" s="3"/>
      <c r="L385" s="3"/>
      <c r="M385" s="3"/>
      <c r="N385" s="3"/>
      <c r="O385" s="3"/>
      <c r="P385" s="3"/>
      <c r="Q385" s="3"/>
      <c r="R385" s="3"/>
      <c r="S385" s="3"/>
      <c r="T385" s="3"/>
      <c r="U385" s="3"/>
      <c r="V385" s="18"/>
      <c r="W385" s="3"/>
      <c r="X385" s="3"/>
      <c r="Y385" s="3"/>
      <c r="Z385" s="3"/>
      <c r="AA385" s="3"/>
    </row>
    <row r="386" spans="1:27" ht="24.75" customHeight="1">
      <c r="A386" s="3"/>
      <c r="B386" s="3"/>
      <c r="C386" s="3"/>
      <c r="D386" s="3"/>
      <c r="E386" s="3"/>
      <c r="F386" s="3"/>
      <c r="G386" s="3"/>
      <c r="H386" s="3"/>
      <c r="I386" s="3"/>
      <c r="J386" s="3"/>
      <c r="K386" s="3"/>
      <c r="L386" s="3"/>
      <c r="M386" s="3"/>
      <c r="N386" s="3"/>
      <c r="O386" s="3"/>
      <c r="P386" s="3"/>
      <c r="Q386" s="3"/>
      <c r="R386" s="3"/>
      <c r="S386" s="3"/>
      <c r="T386" s="3"/>
      <c r="U386" s="3"/>
      <c r="V386" s="18"/>
      <c r="W386" s="3"/>
      <c r="X386" s="3"/>
      <c r="Y386" s="3"/>
      <c r="Z386" s="3"/>
      <c r="AA386" s="3"/>
    </row>
    <row r="387" spans="1:27" ht="24.75" customHeight="1">
      <c r="A387" s="3"/>
      <c r="B387" s="3"/>
      <c r="C387" s="3"/>
      <c r="D387" s="3"/>
      <c r="E387" s="3"/>
      <c r="F387" s="3"/>
      <c r="G387" s="3"/>
      <c r="H387" s="3"/>
      <c r="I387" s="3"/>
      <c r="J387" s="3"/>
      <c r="K387" s="3"/>
      <c r="L387" s="3"/>
      <c r="M387" s="3"/>
      <c r="N387" s="3"/>
      <c r="O387" s="3"/>
      <c r="P387" s="3"/>
      <c r="Q387" s="3"/>
      <c r="R387" s="3"/>
      <c r="S387" s="3"/>
      <c r="T387" s="3"/>
      <c r="U387" s="3"/>
      <c r="V387" s="18"/>
      <c r="W387" s="3"/>
      <c r="X387" s="3"/>
      <c r="Y387" s="3"/>
      <c r="Z387" s="3"/>
      <c r="AA387" s="3"/>
    </row>
    <row r="388" spans="1:27" ht="24.75" customHeight="1">
      <c r="A388" s="3"/>
      <c r="B388" s="3"/>
      <c r="C388" s="3"/>
      <c r="D388" s="3"/>
      <c r="E388" s="3"/>
      <c r="F388" s="3"/>
      <c r="G388" s="3"/>
      <c r="H388" s="3"/>
      <c r="I388" s="3"/>
      <c r="J388" s="3"/>
      <c r="K388" s="3"/>
      <c r="L388" s="3"/>
      <c r="M388" s="3"/>
      <c r="N388" s="3"/>
      <c r="O388" s="3"/>
      <c r="P388" s="3"/>
      <c r="Q388" s="3"/>
      <c r="R388" s="3"/>
      <c r="S388" s="3"/>
      <c r="T388" s="3"/>
      <c r="U388" s="3"/>
      <c r="V388" s="18"/>
      <c r="W388" s="3"/>
      <c r="X388" s="3"/>
      <c r="Y388" s="3"/>
      <c r="Z388" s="3"/>
      <c r="AA388" s="3"/>
    </row>
    <row r="389" spans="1:27" ht="24.75" customHeight="1">
      <c r="A389" s="3"/>
      <c r="B389" s="3"/>
      <c r="C389" s="3"/>
      <c r="D389" s="3"/>
      <c r="E389" s="3"/>
      <c r="F389" s="3"/>
      <c r="G389" s="3"/>
      <c r="H389" s="3"/>
      <c r="I389" s="3"/>
      <c r="J389" s="3"/>
      <c r="K389" s="3"/>
      <c r="L389" s="3"/>
      <c r="M389" s="3"/>
      <c r="N389" s="3"/>
      <c r="O389" s="3"/>
      <c r="P389" s="3"/>
      <c r="Q389" s="3"/>
      <c r="R389" s="3"/>
      <c r="S389" s="3"/>
      <c r="T389" s="3"/>
      <c r="U389" s="3"/>
      <c r="V389" s="18"/>
      <c r="W389" s="3"/>
      <c r="X389" s="3"/>
      <c r="Y389" s="3"/>
      <c r="Z389" s="3"/>
      <c r="AA389" s="3"/>
    </row>
    <row r="390" spans="1:27" ht="24.75" customHeight="1">
      <c r="A390" s="3"/>
      <c r="B390" s="3"/>
      <c r="C390" s="3"/>
      <c r="D390" s="3"/>
      <c r="E390" s="3"/>
      <c r="F390" s="3"/>
      <c r="G390" s="3"/>
      <c r="H390" s="3"/>
      <c r="I390" s="3"/>
      <c r="J390" s="3"/>
      <c r="K390" s="3"/>
      <c r="L390" s="3"/>
      <c r="M390" s="3"/>
      <c r="N390" s="3"/>
      <c r="O390" s="3"/>
      <c r="P390" s="3"/>
      <c r="Q390" s="3"/>
      <c r="R390" s="3"/>
      <c r="S390" s="3"/>
      <c r="T390" s="3"/>
      <c r="U390" s="3"/>
      <c r="V390" s="18"/>
      <c r="W390" s="3"/>
      <c r="X390" s="3"/>
      <c r="Y390" s="3"/>
      <c r="Z390" s="3"/>
      <c r="AA390" s="3"/>
    </row>
    <row r="391" spans="1:27" ht="24.75" customHeight="1">
      <c r="A391" s="3"/>
      <c r="B391" s="3"/>
      <c r="C391" s="3"/>
      <c r="D391" s="3"/>
      <c r="E391" s="3"/>
      <c r="F391" s="3"/>
      <c r="G391" s="3"/>
      <c r="H391" s="3"/>
      <c r="I391" s="3"/>
      <c r="J391" s="3"/>
      <c r="K391" s="3"/>
      <c r="L391" s="3"/>
      <c r="M391" s="3"/>
      <c r="N391" s="3"/>
      <c r="O391" s="3"/>
      <c r="P391" s="3"/>
      <c r="Q391" s="3"/>
      <c r="R391" s="3"/>
      <c r="S391" s="3"/>
      <c r="T391" s="3"/>
      <c r="U391" s="3"/>
      <c r="V391" s="18"/>
      <c r="W391" s="3"/>
      <c r="X391" s="3"/>
      <c r="Y391" s="3"/>
      <c r="Z391" s="3"/>
      <c r="AA391" s="3"/>
    </row>
    <row r="392" spans="1:27" ht="24.75" customHeight="1">
      <c r="A392" s="3"/>
      <c r="B392" s="3"/>
      <c r="C392" s="3"/>
      <c r="D392" s="3"/>
      <c r="E392" s="3"/>
      <c r="F392" s="3"/>
      <c r="G392" s="3"/>
      <c r="H392" s="3"/>
      <c r="I392" s="3"/>
      <c r="J392" s="3"/>
      <c r="K392" s="3"/>
      <c r="L392" s="3"/>
      <c r="M392" s="3"/>
      <c r="N392" s="3"/>
      <c r="O392" s="3"/>
      <c r="P392" s="3"/>
      <c r="Q392" s="3"/>
      <c r="R392" s="3"/>
      <c r="S392" s="3"/>
      <c r="T392" s="3"/>
      <c r="U392" s="3"/>
      <c r="V392" s="18"/>
      <c r="W392" s="3"/>
      <c r="X392" s="3"/>
      <c r="Y392" s="3"/>
      <c r="Z392" s="3"/>
      <c r="AA392" s="3"/>
    </row>
    <row r="393" spans="1:27" ht="24.75" customHeight="1">
      <c r="A393" s="3"/>
      <c r="B393" s="3"/>
      <c r="C393" s="3"/>
      <c r="D393" s="3"/>
      <c r="E393" s="3"/>
      <c r="F393" s="3"/>
      <c r="G393" s="3"/>
      <c r="H393" s="3"/>
      <c r="I393" s="3"/>
      <c r="J393" s="3"/>
      <c r="K393" s="3"/>
      <c r="L393" s="3"/>
      <c r="M393" s="3"/>
      <c r="N393" s="3"/>
      <c r="O393" s="3"/>
      <c r="P393" s="3"/>
      <c r="Q393" s="3"/>
      <c r="R393" s="3"/>
      <c r="S393" s="3"/>
      <c r="T393" s="3"/>
      <c r="U393" s="3"/>
      <c r="V393" s="18"/>
      <c r="W393" s="3"/>
      <c r="X393" s="3"/>
      <c r="Y393" s="3"/>
      <c r="Z393" s="3"/>
      <c r="AA393" s="3"/>
    </row>
    <row r="394" spans="1:27" ht="24.75" customHeight="1">
      <c r="A394" s="3"/>
      <c r="B394" s="3"/>
      <c r="C394" s="3"/>
      <c r="D394" s="3"/>
      <c r="E394" s="3"/>
      <c r="F394" s="3"/>
      <c r="G394" s="3"/>
      <c r="H394" s="3"/>
      <c r="I394" s="3"/>
      <c r="J394" s="3"/>
      <c r="K394" s="3"/>
      <c r="L394" s="3"/>
      <c r="M394" s="3"/>
      <c r="N394" s="3"/>
      <c r="O394" s="3"/>
      <c r="P394" s="3"/>
      <c r="Q394" s="3"/>
      <c r="R394" s="3"/>
      <c r="S394" s="3"/>
      <c r="T394" s="3"/>
      <c r="U394" s="3"/>
      <c r="V394" s="18"/>
      <c r="W394" s="3"/>
      <c r="X394" s="3"/>
      <c r="Y394" s="3"/>
      <c r="Z394" s="3"/>
      <c r="AA394" s="3"/>
    </row>
    <row r="395" spans="1:27" ht="24.75" customHeight="1">
      <c r="A395" s="3"/>
      <c r="B395" s="3"/>
      <c r="C395" s="3"/>
      <c r="D395" s="3"/>
      <c r="E395" s="3"/>
      <c r="F395" s="3"/>
      <c r="G395" s="3"/>
      <c r="H395" s="3"/>
      <c r="I395" s="3"/>
      <c r="J395" s="3"/>
      <c r="K395" s="3"/>
      <c r="L395" s="3"/>
      <c r="M395" s="3"/>
      <c r="N395" s="3"/>
      <c r="O395" s="3"/>
      <c r="P395" s="3"/>
      <c r="Q395" s="3"/>
      <c r="R395" s="3"/>
      <c r="S395" s="3"/>
      <c r="T395" s="3"/>
      <c r="U395" s="3"/>
      <c r="V395" s="18"/>
      <c r="W395" s="3"/>
      <c r="X395" s="3"/>
      <c r="Y395" s="3"/>
      <c r="Z395" s="3"/>
      <c r="AA395" s="3"/>
    </row>
    <row r="396" spans="1:27" ht="24.75" customHeight="1">
      <c r="A396" s="3"/>
      <c r="B396" s="3"/>
      <c r="C396" s="3"/>
      <c r="D396" s="3"/>
      <c r="E396" s="3"/>
      <c r="F396" s="3"/>
      <c r="G396" s="3"/>
      <c r="H396" s="3"/>
      <c r="I396" s="3"/>
      <c r="J396" s="3"/>
      <c r="K396" s="3"/>
      <c r="L396" s="3"/>
      <c r="M396" s="3"/>
      <c r="N396" s="3"/>
      <c r="O396" s="3"/>
      <c r="P396" s="3"/>
      <c r="Q396" s="3"/>
      <c r="R396" s="3"/>
      <c r="S396" s="3"/>
      <c r="T396" s="3"/>
      <c r="U396" s="3"/>
      <c r="V396" s="18"/>
      <c r="W396" s="3"/>
      <c r="X396" s="3"/>
      <c r="Y396" s="3"/>
      <c r="Z396" s="3"/>
      <c r="AA396" s="3"/>
    </row>
    <row r="397" spans="1:27" ht="24.75" customHeight="1">
      <c r="A397" s="3"/>
      <c r="B397" s="3"/>
      <c r="C397" s="3"/>
      <c r="D397" s="3"/>
      <c r="E397" s="3"/>
      <c r="F397" s="3"/>
      <c r="G397" s="3"/>
      <c r="H397" s="3"/>
      <c r="I397" s="3"/>
      <c r="J397" s="3"/>
      <c r="K397" s="3"/>
      <c r="L397" s="3"/>
      <c r="M397" s="3"/>
      <c r="N397" s="3"/>
      <c r="O397" s="3"/>
      <c r="P397" s="3"/>
      <c r="Q397" s="3"/>
      <c r="R397" s="3"/>
      <c r="S397" s="3"/>
      <c r="T397" s="3"/>
      <c r="U397" s="3"/>
      <c r="V397" s="18"/>
      <c r="W397" s="3"/>
      <c r="X397" s="3"/>
      <c r="Y397" s="3"/>
      <c r="Z397" s="3"/>
      <c r="AA397" s="3"/>
    </row>
    <row r="398" spans="1:27" ht="24.75" customHeight="1">
      <c r="A398" s="3"/>
      <c r="B398" s="3"/>
      <c r="C398" s="3"/>
      <c r="D398" s="3"/>
      <c r="E398" s="3"/>
      <c r="F398" s="3"/>
      <c r="G398" s="3"/>
      <c r="H398" s="3"/>
      <c r="I398" s="3"/>
      <c r="J398" s="3"/>
      <c r="K398" s="3"/>
      <c r="L398" s="3"/>
      <c r="M398" s="3"/>
      <c r="N398" s="3"/>
      <c r="O398" s="3"/>
      <c r="P398" s="3"/>
      <c r="Q398" s="3"/>
      <c r="R398" s="3"/>
      <c r="S398" s="3"/>
      <c r="T398" s="3"/>
      <c r="U398" s="3"/>
      <c r="V398" s="18"/>
      <c r="W398" s="3"/>
      <c r="X398" s="3"/>
      <c r="Y398" s="3"/>
      <c r="Z398" s="3"/>
      <c r="AA398" s="3"/>
    </row>
    <row r="399" spans="1:27" ht="24.75" customHeight="1">
      <c r="A399" s="3"/>
      <c r="B399" s="3"/>
      <c r="C399" s="3"/>
      <c r="D399" s="3"/>
      <c r="E399" s="3"/>
      <c r="F399" s="3"/>
      <c r="G399" s="3"/>
      <c r="H399" s="3"/>
      <c r="I399" s="3"/>
      <c r="J399" s="3"/>
      <c r="K399" s="3"/>
      <c r="L399" s="3"/>
      <c r="M399" s="3"/>
      <c r="N399" s="3"/>
      <c r="O399" s="3"/>
      <c r="P399" s="3"/>
      <c r="Q399" s="3"/>
      <c r="R399" s="3"/>
      <c r="S399" s="3"/>
      <c r="T399" s="3"/>
      <c r="U399" s="3"/>
      <c r="V399" s="18"/>
      <c r="W399" s="3"/>
      <c r="X399" s="3"/>
      <c r="Y399" s="3"/>
      <c r="Z399" s="3"/>
      <c r="AA399" s="3"/>
    </row>
    <row r="400" spans="1:27" ht="24.75" customHeight="1">
      <c r="A400" s="3"/>
      <c r="B400" s="3"/>
      <c r="C400" s="3"/>
      <c r="D400" s="3"/>
      <c r="E400" s="3"/>
      <c r="F400" s="3"/>
      <c r="G400" s="3"/>
      <c r="H400" s="3"/>
      <c r="I400" s="3"/>
      <c r="J400" s="3"/>
      <c r="K400" s="3"/>
      <c r="L400" s="3"/>
      <c r="M400" s="3"/>
      <c r="N400" s="3"/>
      <c r="O400" s="3"/>
      <c r="P400" s="3"/>
      <c r="Q400" s="3"/>
      <c r="R400" s="3"/>
      <c r="S400" s="3"/>
      <c r="T400" s="3"/>
      <c r="U400" s="3"/>
      <c r="V400" s="18"/>
      <c r="W400" s="3"/>
      <c r="X400" s="3"/>
      <c r="Y400" s="3"/>
      <c r="Z400" s="3"/>
      <c r="AA400" s="3"/>
    </row>
    <row r="401" spans="1:27" ht="24.75" customHeight="1">
      <c r="A401" s="3"/>
      <c r="B401" s="3"/>
      <c r="C401" s="3"/>
      <c r="D401" s="3"/>
      <c r="E401" s="3"/>
      <c r="F401" s="3"/>
      <c r="G401" s="3"/>
      <c r="H401" s="3"/>
      <c r="I401" s="3"/>
      <c r="J401" s="3"/>
      <c r="K401" s="3"/>
      <c r="L401" s="3"/>
      <c r="M401" s="3"/>
      <c r="N401" s="3"/>
      <c r="O401" s="3"/>
      <c r="P401" s="3"/>
      <c r="Q401" s="3"/>
      <c r="R401" s="3"/>
      <c r="S401" s="3"/>
      <c r="T401" s="3"/>
      <c r="U401" s="3"/>
      <c r="V401" s="18"/>
      <c r="W401" s="3"/>
      <c r="X401" s="3"/>
      <c r="Y401" s="3"/>
      <c r="Z401" s="3"/>
      <c r="AA401" s="3"/>
    </row>
    <row r="402" spans="1:27" ht="24.75" customHeight="1">
      <c r="A402" s="3"/>
      <c r="B402" s="3"/>
      <c r="C402" s="3"/>
      <c r="D402" s="3"/>
      <c r="E402" s="3"/>
      <c r="F402" s="3"/>
      <c r="G402" s="3"/>
      <c r="H402" s="3"/>
      <c r="I402" s="3"/>
      <c r="J402" s="3"/>
      <c r="K402" s="3"/>
      <c r="L402" s="3"/>
      <c r="M402" s="3"/>
      <c r="N402" s="3"/>
      <c r="O402" s="3"/>
      <c r="P402" s="3"/>
      <c r="Q402" s="3"/>
      <c r="R402" s="3"/>
      <c r="S402" s="3"/>
      <c r="T402" s="3"/>
      <c r="U402" s="3"/>
      <c r="V402" s="18"/>
      <c r="W402" s="3"/>
      <c r="X402" s="3"/>
      <c r="Y402" s="3"/>
      <c r="Z402" s="3"/>
      <c r="AA402" s="3"/>
    </row>
    <row r="403" spans="1:27" ht="24.75" customHeight="1">
      <c r="A403" s="3"/>
      <c r="B403" s="3"/>
      <c r="C403" s="3"/>
      <c r="D403" s="3"/>
      <c r="E403" s="3"/>
      <c r="F403" s="3"/>
      <c r="G403" s="3"/>
      <c r="H403" s="3"/>
      <c r="I403" s="3"/>
      <c r="J403" s="3"/>
      <c r="K403" s="3"/>
      <c r="L403" s="3"/>
      <c r="M403" s="3"/>
      <c r="N403" s="3"/>
      <c r="O403" s="3"/>
      <c r="P403" s="3"/>
      <c r="Q403" s="3"/>
      <c r="R403" s="3"/>
      <c r="S403" s="3"/>
      <c r="T403" s="3"/>
      <c r="U403" s="3"/>
      <c r="V403" s="18"/>
      <c r="W403" s="3"/>
      <c r="X403" s="3"/>
      <c r="Y403" s="3"/>
      <c r="Z403" s="3"/>
      <c r="AA403" s="3"/>
    </row>
    <row r="404" spans="1:27" ht="24.75" customHeight="1">
      <c r="A404" s="3"/>
      <c r="B404" s="3"/>
      <c r="C404" s="3"/>
      <c r="D404" s="3"/>
      <c r="E404" s="3"/>
      <c r="F404" s="3"/>
      <c r="G404" s="3"/>
      <c r="H404" s="3"/>
      <c r="I404" s="3"/>
      <c r="J404" s="3"/>
      <c r="K404" s="3"/>
      <c r="L404" s="3"/>
      <c r="M404" s="3"/>
      <c r="N404" s="3"/>
      <c r="O404" s="3"/>
      <c r="P404" s="3"/>
      <c r="Q404" s="3"/>
      <c r="R404" s="3"/>
      <c r="S404" s="3"/>
      <c r="T404" s="3"/>
      <c r="U404" s="3"/>
      <c r="V404" s="18"/>
      <c r="W404" s="3"/>
      <c r="X404" s="3"/>
      <c r="Y404" s="3"/>
      <c r="Z404" s="3"/>
      <c r="AA404" s="3"/>
    </row>
    <row r="405" spans="1:27" ht="24.75" customHeight="1">
      <c r="A405" s="3"/>
      <c r="B405" s="3"/>
      <c r="C405" s="3"/>
      <c r="D405" s="3"/>
      <c r="E405" s="3"/>
      <c r="F405" s="3"/>
      <c r="G405" s="3"/>
      <c r="H405" s="3"/>
      <c r="I405" s="3"/>
      <c r="J405" s="3"/>
      <c r="K405" s="3"/>
      <c r="L405" s="3"/>
      <c r="M405" s="3"/>
      <c r="N405" s="3"/>
      <c r="O405" s="3"/>
      <c r="P405" s="3"/>
      <c r="Q405" s="3"/>
      <c r="R405" s="3"/>
      <c r="S405" s="3"/>
      <c r="T405" s="3"/>
      <c r="U405" s="3"/>
      <c r="V405" s="18"/>
      <c r="W405" s="3"/>
      <c r="X405" s="3"/>
      <c r="Y405" s="3"/>
      <c r="Z405" s="3"/>
      <c r="AA405" s="3"/>
    </row>
    <row r="406" spans="1:27" ht="24.75" customHeight="1">
      <c r="A406" s="3"/>
      <c r="B406" s="3"/>
      <c r="C406" s="3"/>
      <c r="D406" s="3"/>
      <c r="E406" s="3"/>
      <c r="F406" s="3"/>
      <c r="G406" s="3"/>
      <c r="H406" s="3"/>
      <c r="I406" s="3"/>
      <c r="J406" s="3"/>
      <c r="K406" s="3"/>
      <c r="L406" s="3"/>
      <c r="M406" s="3"/>
      <c r="N406" s="3"/>
      <c r="O406" s="3"/>
      <c r="P406" s="3"/>
      <c r="Q406" s="3"/>
      <c r="R406" s="3"/>
      <c r="S406" s="3"/>
      <c r="T406" s="3"/>
      <c r="U406" s="3"/>
      <c r="V406" s="18"/>
      <c r="W406" s="3"/>
      <c r="X406" s="3"/>
      <c r="Y406" s="3"/>
      <c r="Z406" s="3"/>
      <c r="AA406" s="3"/>
    </row>
    <row r="407" spans="1:27" ht="24.75" customHeight="1">
      <c r="A407" s="3"/>
      <c r="B407" s="3"/>
      <c r="C407" s="3"/>
      <c r="D407" s="3"/>
      <c r="E407" s="3"/>
      <c r="F407" s="3"/>
      <c r="G407" s="3"/>
      <c r="H407" s="3"/>
      <c r="I407" s="3"/>
      <c r="J407" s="3"/>
      <c r="K407" s="3"/>
      <c r="L407" s="3"/>
      <c r="M407" s="3"/>
      <c r="N407" s="3"/>
      <c r="O407" s="3"/>
      <c r="P407" s="3"/>
      <c r="Q407" s="3"/>
      <c r="R407" s="3"/>
      <c r="S407" s="3"/>
      <c r="T407" s="3"/>
      <c r="U407" s="3"/>
      <c r="V407" s="18"/>
      <c r="W407" s="3"/>
      <c r="X407" s="3"/>
      <c r="Y407" s="3"/>
      <c r="Z407" s="3"/>
      <c r="AA407" s="3"/>
    </row>
    <row r="408" spans="1:27" ht="24.75" customHeight="1">
      <c r="A408" s="3"/>
      <c r="B408" s="3"/>
      <c r="C408" s="3"/>
      <c r="D408" s="3"/>
      <c r="E408" s="3"/>
      <c r="F408" s="3"/>
      <c r="G408" s="3"/>
      <c r="H408" s="3"/>
      <c r="I408" s="3"/>
      <c r="J408" s="3"/>
      <c r="K408" s="3"/>
      <c r="L408" s="3"/>
      <c r="M408" s="3"/>
      <c r="N408" s="3"/>
      <c r="O408" s="3"/>
      <c r="P408" s="3"/>
      <c r="Q408" s="3"/>
      <c r="R408" s="3"/>
      <c r="S408" s="3"/>
      <c r="T408" s="3"/>
      <c r="U408" s="3"/>
      <c r="V408" s="18"/>
      <c r="W408" s="3"/>
      <c r="X408" s="3"/>
      <c r="Y408" s="3"/>
      <c r="Z408" s="3"/>
      <c r="AA408" s="3"/>
    </row>
    <row r="409" spans="1:27" ht="24.75" customHeight="1">
      <c r="A409" s="3"/>
      <c r="B409" s="3"/>
      <c r="C409" s="3"/>
      <c r="D409" s="3"/>
      <c r="E409" s="3"/>
      <c r="F409" s="3"/>
      <c r="G409" s="3"/>
      <c r="H409" s="3"/>
      <c r="I409" s="3"/>
      <c r="J409" s="3"/>
      <c r="K409" s="3"/>
      <c r="L409" s="3"/>
      <c r="M409" s="3"/>
      <c r="N409" s="3"/>
      <c r="O409" s="3"/>
      <c r="P409" s="3"/>
      <c r="Q409" s="3"/>
      <c r="R409" s="3"/>
      <c r="S409" s="3"/>
      <c r="T409" s="3"/>
      <c r="U409" s="3"/>
      <c r="V409" s="18"/>
      <c r="W409" s="3"/>
      <c r="X409" s="3"/>
      <c r="Y409" s="3"/>
      <c r="Z409" s="3"/>
      <c r="AA409" s="3"/>
    </row>
    <row r="410" spans="1:27" ht="24.75" customHeight="1">
      <c r="A410" s="3"/>
      <c r="B410" s="3"/>
      <c r="C410" s="3"/>
      <c r="D410" s="3"/>
      <c r="E410" s="3"/>
      <c r="F410" s="3"/>
      <c r="G410" s="3"/>
      <c r="H410" s="3"/>
      <c r="I410" s="3"/>
      <c r="J410" s="3"/>
      <c r="K410" s="3"/>
      <c r="L410" s="3"/>
      <c r="M410" s="3"/>
      <c r="N410" s="3"/>
      <c r="O410" s="3"/>
      <c r="P410" s="3"/>
      <c r="Q410" s="3"/>
      <c r="R410" s="3"/>
      <c r="S410" s="3"/>
      <c r="T410" s="3"/>
      <c r="U410" s="3"/>
      <c r="V410" s="18"/>
      <c r="W410" s="3"/>
      <c r="X410" s="3"/>
      <c r="Y410" s="3"/>
      <c r="Z410" s="3"/>
      <c r="AA410" s="3"/>
    </row>
    <row r="411" spans="1:27" ht="24.75" customHeight="1">
      <c r="A411" s="3"/>
      <c r="B411" s="3"/>
      <c r="C411" s="3"/>
      <c r="D411" s="3"/>
      <c r="E411" s="3"/>
      <c r="F411" s="3"/>
      <c r="G411" s="3"/>
      <c r="H411" s="3"/>
      <c r="I411" s="3"/>
      <c r="J411" s="3"/>
      <c r="K411" s="3"/>
      <c r="L411" s="3"/>
      <c r="M411" s="3"/>
      <c r="N411" s="3"/>
      <c r="O411" s="3"/>
      <c r="P411" s="3"/>
      <c r="Q411" s="3"/>
      <c r="R411" s="3"/>
      <c r="S411" s="3"/>
      <c r="T411" s="3"/>
      <c r="U411" s="3"/>
      <c r="V411" s="18"/>
      <c r="W411" s="3"/>
      <c r="X411" s="3"/>
      <c r="Y411" s="3"/>
      <c r="Z411" s="3"/>
      <c r="AA411" s="3"/>
    </row>
    <row r="412" spans="1:27" ht="15.75" customHeight="1">
      <c r="A412" s="12"/>
      <c r="B412" s="12"/>
      <c r="C412" s="12"/>
      <c r="D412" s="12"/>
      <c r="E412" s="12"/>
      <c r="F412" s="12"/>
      <c r="G412" s="12"/>
      <c r="H412" s="12"/>
      <c r="I412" s="12"/>
      <c r="J412" s="12"/>
      <c r="K412" s="12"/>
      <c r="L412" s="12"/>
      <c r="M412" s="12"/>
      <c r="N412" s="12"/>
      <c r="O412" s="12"/>
      <c r="P412" s="12"/>
      <c r="Q412" s="12"/>
      <c r="R412" s="12"/>
      <c r="S412" s="12"/>
      <c r="T412" s="12"/>
      <c r="U412" s="12"/>
      <c r="W412" s="12"/>
      <c r="X412" s="12"/>
      <c r="Y412" s="12"/>
      <c r="Z412" s="12"/>
      <c r="AA412" s="12"/>
    </row>
    <row r="413" spans="1:27" ht="15.75" customHeight="1">
      <c r="A413" s="12"/>
      <c r="B413" s="12"/>
      <c r="C413" s="12"/>
      <c r="D413" s="12"/>
      <c r="E413" s="12"/>
      <c r="F413" s="12"/>
      <c r="G413" s="12"/>
      <c r="H413" s="12"/>
      <c r="I413" s="12"/>
      <c r="J413" s="12"/>
      <c r="K413" s="12"/>
      <c r="L413" s="12"/>
      <c r="M413" s="12"/>
      <c r="N413" s="12"/>
      <c r="O413" s="12"/>
      <c r="P413" s="12"/>
      <c r="Q413" s="12"/>
      <c r="R413" s="12"/>
      <c r="S413" s="12"/>
      <c r="T413" s="12"/>
      <c r="U413" s="12"/>
      <c r="W413" s="12"/>
      <c r="X413" s="12"/>
      <c r="Y413" s="12"/>
      <c r="Z413" s="12"/>
      <c r="AA413" s="12"/>
    </row>
    <row r="414" spans="1:27" ht="15.75" customHeight="1">
      <c r="A414" s="12"/>
      <c r="B414" s="12"/>
      <c r="C414" s="12"/>
      <c r="D414" s="12"/>
      <c r="E414" s="12"/>
      <c r="F414" s="12"/>
      <c r="G414" s="12"/>
      <c r="H414" s="12"/>
      <c r="I414" s="12"/>
      <c r="J414" s="12"/>
      <c r="K414" s="12"/>
      <c r="L414" s="12"/>
      <c r="M414" s="12"/>
      <c r="N414" s="12"/>
      <c r="O414" s="12"/>
      <c r="P414" s="12"/>
      <c r="Q414" s="12"/>
      <c r="R414" s="12"/>
      <c r="S414" s="12"/>
      <c r="T414" s="12"/>
      <c r="U414" s="12"/>
      <c r="W414" s="12"/>
      <c r="X414" s="12"/>
      <c r="Y414" s="12"/>
      <c r="Z414" s="12"/>
      <c r="AA414" s="12"/>
    </row>
    <row r="415" spans="1:27" ht="15.75" customHeight="1">
      <c r="A415" s="12"/>
      <c r="B415" s="12"/>
      <c r="C415" s="12"/>
      <c r="D415" s="12"/>
      <c r="E415" s="12"/>
      <c r="F415" s="12"/>
      <c r="G415" s="12"/>
      <c r="H415" s="12"/>
      <c r="I415" s="12"/>
      <c r="J415" s="12"/>
      <c r="K415" s="12"/>
      <c r="L415" s="12"/>
      <c r="M415" s="12"/>
      <c r="N415" s="12"/>
      <c r="O415" s="12"/>
      <c r="P415" s="12"/>
      <c r="Q415" s="12"/>
      <c r="R415" s="12"/>
      <c r="S415" s="12"/>
      <c r="T415" s="12"/>
      <c r="U415" s="12"/>
      <c r="W415" s="12"/>
      <c r="X415" s="12"/>
      <c r="Y415" s="12"/>
      <c r="Z415" s="12"/>
      <c r="AA415" s="12"/>
    </row>
    <row r="416" spans="1:27" ht="15.75" customHeight="1">
      <c r="A416" s="12"/>
      <c r="B416" s="12"/>
      <c r="C416" s="12"/>
      <c r="D416" s="12"/>
      <c r="E416" s="12"/>
      <c r="F416" s="12"/>
      <c r="G416" s="12"/>
      <c r="H416" s="12"/>
      <c r="I416" s="12"/>
      <c r="J416" s="12"/>
      <c r="K416" s="12"/>
      <c r="L416" s="12"/>
      <c r="M416" s="12"/>
      <c r="N416" s="12"/>
      <c r="O416" s="12"/>
      <c r="P416" s="12"/>
      <c r="Q416" s="12"/>
      <c r="R416" s="12"/>
      <c r="S416" s="12"/>
      <c r="T416" s="12"/>
      <c r="U416" s="12"/>
      <c r="W416" s="12"/>
      <c r="X416" s="12"/>
      <c r="Y416" s="12"/>
      <c r="Z416" s="12"/>
      <c r="AA416" s="12"/>
    </row>
    <row r="417" spans="1:27" ht="15.75" customHeight="1">
      <c r="A417" s="12"/>
      <c r="B417" s="12"/>
      <c r="C417" s="12"/>
      <c r="D417" s="12"/>
      <c r="E417" s="12"/>
      <c r="F417" s="12"/>
      <c r="G417" s="12"/>
      <c r="H417" s="12"/>
      <c r="I417" s="12"/>
      <c r="J417" s="12"/>
      <c r="K417" s="12"/>
      <c r="L417" s="12"/>
      <c r="M417" s="12"/>
      <c r="N417" s="12"/>
      <c r="O417" s="12"/>
      <c r="P417" s="12"/>
      <c r="Q417" s="12"/>
      <c r="R417" s="12"/>
      <c r="S417" s="12"/>
      <c r="T417" s="12"/>
      <c r="U417" s="12"/>
      <c r="W417" s="12"/>
      <c r="X417" s="12"/>
      <c r="Y417" s="12"/>
      <c r="Z417" s="12"/>
      <c r="AA417" s="12"/>
    </row>
    <row r="418" spans="1:27" ht="15.75" customHeight="1">
      <c r="A418" s="12"/>
      <c r="B418" s="12"/>
      <c r="C418" s="12"/>
      <c r="D418" s="12"/>
      <c r="E418" s="12"/>
      <c r="F418" s="12"/>
      <c r="G418" s="12"/>
      <c r="H418" s="12"/>
      <c r="I418" s="12"/>
      <c r="J418" s="12"/>
      <c r="K418" s="12"/>
      <c r="L418" s="12"/>
      <c r="M418" s="12"/>
      <c r="N418" s="12"/>
      <c r="O418" s="12"/>
      <c r="P418" s="12"/>
      <c r="Q418" s="12"/>
      <c r="R418" s="12"/>
      <c r="S418" s="12"/>
      <c r="T418" s="12"/>
      <c r="U418" s="12"/>
      <c r="W418" s="12"/>
      <c r="X418" s="12"/>
      <c r="Y418" s="12"/>
      <c r="Z418" s="12"/>
      <c r="AA418" s="12"/>
    </row>
    <row r="419" spans="1:27" ht="15.75" customHeight="1">
      <c r="A419" s="12"/>
      <c r="B419" s="12"/>
      <c r="C419" s="12"/>
      <c r="D419" s="12"/>
      <c r="E419" s="12"/>
      <c r="F419" s="12"/>
      <c r="G419" s="12"/>
      <c r="H419" s="12"/>
      <c r="I419" s="12"/>
      <c r="J419" s="12"/>
      <c r="K419" s="12"/>
      <c r="L419" s="12"/>
      <c r="M419" s="12"/>
      <c r="N419" s="12"/>
      <c r="O419" s="12"/>
      <c r="P419" s="12"/>
      <c r="Q419" s="12"/>
      <c r="R419" s="12"/>
      <c r="S419" s="12"/>
      <c r="T419" s="12"/>
      <c r="U419" s="12"/>
      <c r="W419" s="12"/>
      <c r="X419" s="12"/>
      <c r="Y419" s="12"/>
      <c r="Z419" s="12"/>
      <c r="AA419" s="12"/>
    </row>
    <row r="420" spans="1:27" ht="15.75" customHeight="1">
      <c r="A420" s="12"/>
      <c r="B420" s="12"/>
      <c r="C420" s="12"/>
      <c r="D420" s="12"/>
      <c r="E420" s="12"/>
      <c r="F420" s="12"/>
      <c r="G420" s="12"/>
      <c r="H420" s="12"/>
      <c r="I420" s="12"/>
      <c r="J420" s="12"/>
      <c r="K420" s="12"/>
      <c r="L420" s="12"/>
      <c r="M420" s="12"/>
      <c r="N420" s="12"/>
      <c r="O420" s="12"/>
      <c r="P420" s="12"/>
      <c r="Q420" s="12"/>
      <c r="R420" s="12"/>
      <c r="S420" s="12"/>
      <c r="T420" s="12"/>
      <c r="U420" s="12"/>
      <c r="W420" s="12"/>
      <c r="X420" s="12"/>
      <c r="Y420" s="12"/>
      <c r="Z420" s="12"/>
      <c r="AA420" s="12"/>
    </row>
    <row r="421" spans="1:27" ht="15.75" customHeight="1">
      <c r="A421" s="12"/>
      <c r="B421" s="12"/>
      <c r="C421" s="12"/>
      <c r="D421" s="12"/>
      <c r="E421" s="12"/>
      <c r="F421" s="12"/>
      <c r="G421" s="12"/>
      <c r="H421" s="12"/>
      <c r="I421" s="12"/>
      <c r="J421" s="12"/>
      <c r="K421" s="12"/>
      <c r="L421" s="12"/>
      <c r="M421" s="12"/>
      <c r="N421" s="12"/>
      <c r="O421" s="12"/>
      <c r="P421" s="12"/>
      <c r="Q421" s="12"/>
      <c r="R421" s="12"/>
      <c r="S421" s="12"/>
      <c r="T421" s="12"/>
      <c r="U421" s="12"/>
      <c r="W421" s="12"/>
      <c r="X421" s="12"/>
      <c r="Y421" s="12"/>
      <c r="Z421" s="12"/>
      <c r="AA421" s="12"/>
    </row>
    <row r="422" spans="1:27" ht="15.75" customHeight="1">
      <c r="A422" s="12"/>
      <c r="B422" s="12"/>
      <c r="C422" s="12"/>
      <c r="D422" s="12"/>
      <c r="E422" s="12"/>
      <c r="F422" s="12"/>
      <c r="G422" s="12"/>
      <c r="H422" s="12"/>
      <c r="I422" s="12"/>
      <c r="J422" s="12"/>
      <c r="K422" s="12"/>
      <c r="L422" s="12"/>
      <c r="M422" s="12"/>
      <c r="N422" s="12"/>
      <c r="O422" s="12"/>
      <c r="P422" s="12"/>
      <c r="Q422" s="12"/>
      <c r="R422" s="12"/>
      <c r="S422" s="12"/>
      <c r="T422" s="12"/>
      <c r="U422" s="12"/>
      <c r="W422" s="12"/>
      <c r="X422" s="12"/>
      <c r="Y422" s="12"/>
      <c r="Z422" s="12"/>
      <c r="AA422" s="12"/>
    </row>
    <row r="423" spans="1:27" ht="15.75" customHeight="1">
      <c r="A423" s="12"/>
      <c r="B423" s="12"/>
      <c r="C423" s="12"/>
      <c r="D423" s="12"/>
      <c r="E423" s="12"/>
      <c r="F423" s="12"/>
      <c r="G423" s="12"/>
      <c r="H423" s="12"/>
      <c r="I423" s="12"/>
      <c r="J423" s="12"/>
      <c r="K423" s="12"/>
      <c r="L423" s="12"/>
      <c r="M423" s="12"/>
      <c r="N423" s="12"/>
      <c r="O423" s="12"/>
      <c r="P423" s="12"/>
      <c r="Q423" s="12"/>
      <c r="R423" s="12"/>
      <c r="S423" s="12"/>
      <c r="T423" s="12"/>
      <c r="U423" s="12"/>
      <c r="W423" s="12"/>
      <c r="X423" s="12"/>
      <c r="Y423" s="12"/>
      <c r="Z423" s="12"/>
      <c r="AA423" s="12"/>
    </row>
    <row r="424" spans="1:27" ht="15.75" customHeight="1">
      <c r="A424" s="12"/>
      <c r="B424" s="12"/>
      <c r="C424" s="12"/>
      <c r="D424" s="12"/>
      <c r="E424" s="12"/>
      <c r="F424" s="12"/>
      <c r="G424" s="12"/>
      <c r="H424" s="12"/>
      <c r="I424" s="12"/>
      <c r="J424" s="12"/>
      <c r="K424" s="12"/>
      <c r="L424" s="12"/>
      <c r="M424" s="12"/>
      <c r="N424" s="12"/>
      <c r="O424" s="12"/>
      <c r="P424" s="12"/>
      <c r="Q424" s="12"/>
      <c r="R424" s="12"/>
      <c r="S424" s="12"/>
      <c r="T424" s="12"/>
      <c r="U424" s="12"/>
      <c r="W424" s="12"/>
      <c r="X424" s="12"/>
      <c r="Y424" s="12"/>
      <c r="Z424" s="12"/>
      <c r="AA424" s="12"/>
    </row>
    <row r="425" spans="1:27" ht="15.75" customHeight="1">
      <c r="A425" s="12"/>
      <c r="B425" s="12"/>
      <c r="C425" s="12"/>
      <c r="D425" s="12"/>
      <c r="E425" s="12"/>
      <c r="F425" s="12"/>
      <c r="G425" s="12"/>
      <c r="H425" s="12"/>
      <c r="I425" s="12"/>
      <c r="J425" s="12"/>
      <c r="K425" s="12"/>
      <c r="L425" s="12"/>
      <c r="M425" s="12"/>
      <c r="N425" s="12"/>
      <c r="O425" s="12"/>
      <c r="P425" s="12"/>
      <c r="Q425" s="12"/>
      <c r="R425" s="12"/>
      <c r="S425" s="12"/>
      <c r="T425" s="12"/>
      <c r="U425" s="12"/>
      <c r="W425" s="12"/>
      <c r="X425" s="12"/>
      <c r="Y425" s="12"/>
      <c r="Z425" s="12"/>
      <c r="AA425" s="12"/>
    </row>
    <row r="426" spans="1:27" ht="15.75" customHeight="1">
      <c r="A426" s="12"/>
      <c r="B426" s="12"/>
      <c r="C426" s="12"/>
      <c r="D426" s="12"/>
      <c r="E426" s="12"/>
      <c r="F426" s="12"/>
      <c r="G426" s="12"/>
      <c r="H426" s="12"/>
      <c r="I426" s="12"/>
      <c r="J426" s="12"/>
      <c r="K426" s="12"/>
      <c r="L426" s="12"/>
      <c r="M426" s="12"/>
      <c r="N426" s="12"/>
      <c r="O426" s="12"/>
      <c r="P426" s="12"/>
      <c r="Q426" s="12"/>
      <c r="R426" s="12"/>
      <c r="S426" s="12"/>
      <c r="T426" s="12"/>
      <c r="U426" s="12"/>
      <c r="W426" s="12"/>
      <c r="X426" s="12"/>
      <c r="Y426" s="12"/>
      <c r="Z426" s="12"/>
      <c r="AA426" s="12"/>
    </row>
    <row r="427" spans="1:27" ht="15.75" customHeight="1">
      <c r="A427" s="12"/>
      <c r="B427" s="12"/>
      <c r="C427" s="12"/>
      <c r="D427" s="12"/>
      <c r="E427" s="12"/>
      <c r="F427" s="12"/>
      <c r="G427" s="12"/>
      <c r="H427" s="12"/>
      <c r="I427" s="12"/>
      <c r="J427" s="12"/>
      <c r="K427" s="12"/>
      <c r="L427" s="12"/>
      <c r="M427" s="12"/>
      <c r="N427" s="12"/>
      <c r="O427" s="12"/>
      <c r="P427" s="12"/>
      <c r="Q427" s="12"/>
      <c r="R427" s="12"/>
      <c r="S427" s="12"/>
      <c r="T427" s="12"/>
      <c r="U427" s="12"/>
      <c r="W427" s="12"/>
      <c r="X427" s="12"/>
      <c r="Y427" s="12"/>
      <c r="Z427" s="12"/>
      <c r="AA427" s="12"/>
    </row>
    <row r="428" spans="1:27" ht="15.75" customHeight="1">
      <c r="A428" s="12"/>
      <c r="B428" s="12"/>
      <c r="C428" s="12"/>
      <c r="D428" s="12"/>
      <c r="E428" s="12"/>
      <c r="F428" s="12"/>
      <c r="G428" s="12"/>
      <c r="H428" s="12"/>
      <c r="I428" s="12"/>
      <c r="J428" s="12"/>
      <c r="K428" s="12"/>
      <c r="L428" s="12"/>
      <c r="M428" s="12"/>
      <c r="N428" s="12"/>
      <c r="O428" s="12"/>
      <c r="P428" s="12"/>
      <c r="Q428" s="12"/>
      <c r="R428" s="12"/>
      <c r="S428" s="12"/>
      <c r="T428" s="12"/>
      <c r="U428" s="12"/>
      <c r="W428" s="12"/>
      <c r="X428" s="12"/>
      <c r="Y428" s="12"/>
      <c r="Z428" s="12"/>
      <c r="AA428" s="12"/>
    </row>
    <row r="429" spans="1:27" ht="15.75" customHeight="1">
      <c r="A429" s="12"/>
      <c r="B429" s="12"/>
      <c r="C429" s="12"/>
      <c r="D429" s="12"/>
      <c r="E429" s="12"/>
      <c r="F429" s="12"/>
      <c r="G429" s="12"/>
      <c r="H429" s="12"/>
      <c r="I429" s="12"/>
      <c r="J429" s="12"/>
      <c r="K429" s="12"/>
      <c r="L429" s="12"/>
      <c r="M429" s="12"/>
      <c r="N429" s="12"/>
      <c r="O429" s="12"/>
      <c r="P429" s="12"/>
      <c r="Q429" s="12"/>
      <c r="R429" s="12"/>
      <c r="S429" s="12"/>
      <c r="T429" s="12"/>
      <c r="U429" s="12"/>
      <c r="W429" s="12"/>
      <c r="X429" s="12"/>
      <c r="Y429" s="12"/>
      <c r="Z429" s="12"/>
      <c r="AA429" s="12"/>
    </row>
    <row r="430" spans="1:27" ht="15.75" customHeight="1">
      <c r="A430" s="12"/>
      <c r="B430" s="12"/>
      <c r="C430" s="12"/>
      <c r="D430" s="12"/>
      <c r="E430" s="12"/>
      <c r="F430" s="12"/>
      <c r="G430" s="12"/>
      <c r="H430" s="12"/>
      <c r="I430" s="12"/>
      <c r="J430" s="12"/>
      <c r="K430" s="12"/>
      <c r="L430" s="12"/>
      <c r="M430" s="12"/>
      <c r="N430" s="12"/>
      <c r="O430" s="12"/>
      <c r="P430" s="12"/>
      <c r="Q430" s="12"/>
      <c r="R430" s="12"/>
      <c r="S430" s="12"/>
      <c r="T430" s="12"/>
      <c r="U430" s="12"/>
      <c r="W430" s="12"/>
      <c r="X430" s="12"/>
      <c r="Y430" s="12"/>
      <c r="Z430" s="12"/>
      <c r="AA430" s="12"/>
    </row>
    <row r="431" spans="1:27" ht="15.75" customHeight="1">
      <c r="A431" s="12"/>
      <c r="B431" s="12"/>
      <c r="C431" s="12"/>
      <c r="D431" s="12"/>
      <c r="E431" s="12"/>
      <c r="F431" s="12"/>
      <c r="G431" s="12"/>
      <c r="H431" s="12"/>
      <c r="I431" s="12"/>
      <c r="J431" s="12"/>
      <c r="K431" s="12"/>
      <c r="L431" s="12"/>
      <c r="M431" s="12"/>
      <c r="N431" s="12"/>
      <c r="O431" s="12"/>
      <c r="P431" s="12"/>
      <c r="Q431" s="12"/>
      <c r="R431" s="12"/>
      <c r="S431" s="12"/>
      <c r="T431" s="12"/>
      <c r="U431" s="12"/>
      <c r="W431" s="12"/>
      <c r="X431" s="12"/>
      <c r="Y431" s="12"/>
      <c r="Z431" s="12"/>
      <c r="AA431" s="12"/>
    </row>
    <row r="432" spans="1:27" ht="15.75" customHeight="1">
      <c r="A432" s="12"/>
      <c r="B432" s="12"/>
      <c r="C432" s="12"/>
      <c r="D432" s="12"/>
      <c r="E432" s="12"/>
      <c r="F432" s="12"/>
      <c r="G432" s="12"/>
      <c r="H432" s="12"/>
      <c r="I432" s="12"/>
      <c r="J432" s="12"/>
      <c r="K432" s="12"/>
      <c r="L432" s="12"/>
      <c r="M432" s="12"/>
      <c r="N432" s="12"/>
      <c r="O432" s="12"/>
      <c r="P432" s="12"/>
      <c r="Q432" s="12"/>
      <c r="R432" s="12"/>
      <c r="S432" s="12"/>
      <c r="T432" s="12"/>
      <c r="U432" s="12"/>
      <c r="W432" s="12"/>
      <c r="X432" s="12"/>
      <c r="Y432" s="12"/>
      <c r="Z432" s="12"/>
      <c r="AA432" s="12"/>
    </row>
    <row r="433" spans="1:27" ht="15.75" customHeight="1">
      <c r="A433" s="12"/>
      <c r="B433" s="12"/>
      <c r="C433" s="12"/>
      <c r="D433" s="12"/>
      <c r="E433" s="12"/>
      <c r="F433" s="12"/>
      <c r="G433" s="12"/>
      <c r="H433" s="12"/>
      <c r="I433" s="12"/>
      <c r="J433" s="12"/>
      <c r="K433" s="12"/>
      <c r="L433" s="12"/>
      <c r="M433" s="12"/>
      <c r="N433" s="12"/>
      <c r="O433" s="12"/>
      <c r="P433" s="12"/>
      <c r="Q433" s="12"/>
      <c r="R433" s="12"/>
      <c r="S433" s="12"/>
      <c r="T433" s="12"/>
      <c r="U433" s="12"/>
      <c r="W433" s="12"/>
      <c r="X433" s="12"/>
      <c r="Y433" s="12"/>
      <c r="Z433" s="12"/>
      <c r="AA433" s="12"/>
    </row>
    <row r="434" spans="1:27" ht="15.75" customHeight="1">
      <c r="A434" s="12"/>
      <c r="B434" s="12"/>
      <c r="C434" s="12"/>
      <c r="D434" s="12"/>
      <c r="E434" s="12"/>
      <c r="F434" s="12"/>
      <c r="G434" s="12"/>
      <c r="H434" s="12"/>
      <c r="I434" s="12"/>
      <c r="J434" s="12"/>
      <c r="K434" s="12"/>
      <c r="L434" s="12"/>
      <c r="M434" s="12"/>
      <c r="N434" s="12"/>
      <c r="O434" s="12"/>
      <c r="P434" s="12"/>
      <c r="Q434" s="12"/>
      <c r="R434" s="12"/>
      <c r="S434" s="12"/>
      <c r="T434" s="12"/>
      <c r="U434" s="12"/>
      <c r="W434" s="12"/>
      <c r="X434" s="12"/>
      <c r="Y434" s="12"/>
      <c r="Z434" s="12"/>
      <c r="AA434" s="12"/>
    </row>
    <row r="435" spans="1:27" ht="15.75" customHeight="1">
      <c r="A435" s="12"/>
      <c r="B435" s="12"/>
      <c r="C435" s="12"/>
      <c r="D435" s="12"/>
      <c r="E435" s="12"/>
      <c r="F435" s="12"/>
      <c r="G435" s="12"/>
      <c r="H435" s="12"/>
      <c r="I435" s="12"/>
      <c r="J435" s="12"/>
      <c r="K435" s="12"/>
      <c r="L435" s="12"/>
      <c r="M435" s="12"/>
      <c r="N435" s="12"/>
      <c r="O435" s="12"/>
      <c r="P435" s="12"/>
      <c r="Q435" s="12"/>
      <c r="R435" s="12"/>
      <c r="S435" s="12"/>
      <c r="T435" s="12"/>
      <c r="U435" s="12"/>
      <c r="W435" s="12"/>
      <c r="X435" s="12"/>
      <c r="Y435" s="12"/>
      <c r="Z435" s="12"/>
      <c r="AA435" s="12"/>
    </row>
    <row r="436" spans="1:27" ht="15.75" customHeight="1">
      <c r="A436" s="12"/>
      <c r="B436" s="12"/>
      <c r="C436" s="12"/>
      <c r="D436" s="12"/>
      <c r="E436" s="12"/>
      <c r="F436" s="12"/>
      <c r="G436" s="12"/>
      <c r="H436" s="12"/>
      <c r="I436" s="12"/>
      <c r="J436" s="12"/>
      <c r="K436" s="12"/>
      <c r="L436" s="12"/>
      <c r="M436" s="12"/>
      <c r="N436" s="12"/>
      <c r="O436" s="12"/>
      <c r="P436" s="12"/>
      <c r="Q436" s="12"/>
      <c r="R436" s="12"/>
      <c r="S436" s="12"/>
      <c r="T436" s="12"/>
      <c r="U436" s="12"/>
      <c r="W436" s="12"/>
      <c r="X436" s="12"/>
      <c r="Y436" s="12"/>
      <c r="Z436" s="12"/>
      <c r="AA436" s="12"/>
    </row>
    <row r="437" spans="1:27" ht="15.75" customHeight="1">
      <c r="A437" s="12"/>
      <c r="B437" s="12"/>
      <c r="C437" s="12"/>
      <c r="D437" s="12"/>
      <c r="E437" s="12"/>
      <c r="F437" s="12"/>
      <c r="G437" s="12"/>
      <c r="H437" s="12"/>
      <c r="I437" s="12"/>
      <c r="J437" s="12"/>
      <c r="K437" s="12"/>
      <c r="L437" s="12"/>
      <c r="M437" s="12"/>
      <c r="N437" s="12"/>
      <c r="O437" s="12"/>
      <c r="P437" s="12"/>
      <c r="Q437" s="12"/>
      <c r="R437" s="12"/>
      <c r="S437" s="12"/>
      <c r="T437" s="12"/>
      <c r="U437" s="12"/>
      <c r="W437" s="12"/>
      <c r="X437" s="12"/>
      <c r="Y437" s="12"/>
      <c r="Z437" s="12"/>
      <c r="AA437" s="12"/>
    </row>
    <row r="438" spans="1:27" ht="15.75" customHeight="1">
      <c r="A438" s="12"/>
      <c r="B438" s="12"/>
      <c r="C438" s="12"/>
      <c r="D438" s="12"/>
      <c r="E438" s="12"/>
      <c r="F438" s="12"/>
      <c r="G438" s="12"/>
      <c r="H438" s="12"/>
      <c r="I438" s="12"/>
      <c r="J438" s="12"/>
      <c r="K438" s="12"/>
      <c r="L438" s="12"/>
      <c r="M438" s="12"/>
      <c r="N438" s="12"/>
      <c r="O438" s="12"/>
      <c r="P438" s="12"/>
      <c r="Q438" s="12"/>
      <c r="R438" s="12"/>
      <c r="S438" s="12"/>
      <c r="T438" s="12"/>
      <c r="U438" s="12"/>
      <c r="W438" s="12"/>
      <c r="X438" s="12"/>
      <c r="Y438" s="12"/>
      <c r="Z438" s="12"/>
      <c r="AA438" s="12"/>
    </row>
    <row r="439" spans="1:27" ht="15.75" customHeight="1">
      <c r="A439" s="12"/>
      <c r="B439" s="12"/>
      <c r="C439" s="12"/>
      <c r="D439" s="12"/>
      <c r="E439" s="12"/>
      <c r="F439" s="12"/>
      <c r="G439" s="12"/>
      <c r="H439" s="12"/>
      <c r="I439" s="12"/>
      <c r="J439" s="12"/>
      <c r="K439" s="12"/>
      <c r="L439" s="12"/>
      <c r="M439" s="12"/>
      <c r="N439" s="12"/>
      <c r="O439" s="12"/>
      <c r="P439" s="12"/>
      <c r="Q439" s="12"/>
      <c r="R439" s="12"/>
      <c r="S439" s="12"/>
      <c r="T439" s="12"/>
      <c r="U439" s="12"/>
      <c r="W439" s="12"/>
      <c r="X439" s="12"/>
      <c r="Y439" s="12"/>
      <c r="Z439" s="12"/>
      <c r="AA439" s="12"/>
    </row>
    <row r="440" spans="1:27" ht="15.75" customHeight="1">
      <c r="A440" s="12"/>
      <c r="B440" s="12"/>
      <c r="C440" s="12"/>
      <c r="D440" s="12"/>
      <c r="E440" s="12"/>
      <c r="F440" s="12"/>
      <c r="G440" s="12"/>
      <c r="H440" s="12"/>
      <c r="I440" s="12"/>
      <c r="J440" s="12"/>
      <c r="K440" s="12"/>
      <c r="L440" s="12"/>
      <c r="M440" s="12"/>
      <c r="N440" s="12"/>
      <c r="O440" s="12"/>
      <c r="P440" s="12"/>
      <c r="Q440" s="12"/>
      <c r="R440" s="12"/>
      <c r="S440" s="12"/>
      <c r="T440" s="12"/>
      <c r="U440" s="12"/>
      <c r="W440" s="12"/>
      <c r="X440" s="12"/>
      <c r="Y440" s="12"/>
      <c r="Z440" s="12"/>
      <c r="AA440" s="12"/>
    </row>
    <row r="441" spans="1:27" ht="15.75" customHeight="1">
      <c r="A441" s="12"/>
      <c r="B441" s="12"/>
      <c r="C441" s="12"/>
      <c r="D441" s="12"/>
      <c r="E441" s="12"/>
      <c r="F441" s="12"/>
      <c r="G441" s="12"/>
      <c r="H441" s="12"/>
      <c r="I441" s="12"/>
      <c r="J441" s="12"/>
      <c r="K441" s="12"/>
      <c r="L441" s="12"/>
      <c r="M441" s="12"/>
      <c r="N441" s="12"/>
      <c r="O441" s="12"/>
      <c r="P441" s="12"/>
      <c r="Q441" s="12"/>
      <c r="R441" s="12"/>
      <c r="S441" s="12"/>
      <c r="T441" s="12"/>
      <c r="U441" s="12"/>
      <c r="W441" s="12"/>
      <c r="X441" s="12"/>
      <c r="Y441" s="12"/>
      <c r="Z441" s="12"/>
      <c r="AA441" s="12"/>
    </row>
    <row r="442" spans="1:27" ht="15.75" customHeight="1">
      <c r="A442" s="12"/>
      <c r="B442" s="12"/>
      <c r="C442" s="12"/>
      <c r="D442" s="12"/>
      <c r="E442" s="12"/>
      <c r="F442" s="12"/>
      <c r="G442" s="12"/>
      <c r="H442" s="12"/>
      <c r="I442" s="12"/>
      <c r="J442" s="12"/>
      <c r="K442" s="12"/>
      <c r="L442" s="12"/>
      <c r="M442" s="12"/>
      <c r="N442" s="12"/>
      <c r="O442" s="12"/>
      <c r="P442" s="12"/>
      <c r="Q442" s="12"/>
      <c r="R442" s="12"/>
      <c r="S442" s="12"/>
      <c r="T442" s="12"/>
      <c r="U442" s="12"/>
      <c r="W442" s="12"/>
      <c r="X442" s="12"/>
      <c r="Y442" s="12"/>
      <c r="Z442" s="12"/>
      <c r="AA442" s="12"/>
    </row>
    <row r="443" spans="1:27" ht="15.75" customHeight="1">
      <c r="A443" s="12"/>
      <c r="B443" s="12"/>
      <c r="C443" s="12"/>
      <c r="D443" s="12"/>
      <c r="E443" s="12"/>
      <c r="F443" s="12"/>
      <c r="G443" s="12"/>
      <c r="H443" s="12"/>
      <c r="I443" s="12"/>
      <c r="J443" s="12"/>
      <c r="K443" s="12"/>
      <c r="L443" s="12"/>
      <c r="M443" s="12"/>
      <c r="N443" s="12"/>
      <c r="O443" s="12"/>
      <c r="P443" s="12"/>
      <c r="Q443" s="12"/>
      <c r="R443" s="12"/>
      <c r="S443" s="12"/>
      <c r="T443" s="12"/>
      <c r="U443" s="12"/>
      <c r="W443" s="12"/>
      <c r="X443" s="12"/>
      <c r="Y443" s="12"/>
      <c r="Z443" s="12"/>
      <c r="AA443" s="12"/>
    </row>
    <row r="444" spans="1:27" ht="15.75" customHeight="1">
      <c r="A444" s="12"/>
      <c r="B444" s="12"/>
      <c r="C444" s="12"/>
      <c r="D444" s="12"/>
      <c r="E444" s="12"/>
      <c r="F444" s="12"/>
      <c r="G444" s="12"/>
      <c r="H444" s="12"/>
      <c r="I444" s="12"/>
      <c r="J444" s="12"/>
      <c r="K444" s="12"/>
      <c r="L444" s="12"/>
      <c r="M444" s="12"/>
      <c r="N444" s="12"/>
      <c r="O444" s="12"/>
      <c r="P444" s="12"/>
      <c r="Q444" s="12"/>
      <c r="R444" s="12"/>
      <c r="S444" s="12"/>
      <c r="T444" s="12"/>
      <c r="U444" s="12"/>
      <c r="W444" s="12"/>
      <c r="X444" s="12"/>
      <c r="Y444" s="12"/>
      <c r="Z444" s="12"/>
      <c r="AA444" s="12"/>
    </row>
    <row r="445" spans="1:27" ht="15.75" customHeight="1">
      <c r="A445" s="12"/>
      <c r="B445" s="12"/>
      <c r="C445" s="12"/>
      <c r="D445" s="12"/>
      <c r="E445" s="12"/>
      <c r="F445" s="12"/>
      <c r="G445" s="12"/>
      <c r="H445" s="12"/>
      <c r="I445" s="12"/>
      <c r="J445" s="12"/>
      <c r="K445" s="12"/>
      <c r="L445" s="12"/>
      <c r="M445" s="12"/>
      <c r="N445" s="12"/>
      <c r="O445" s="12"/>
      <c r="P445" s="12"/>
      <c r="Q445" s="12"/>
      <c r="R445" s="12"/>
      <c r="S445" s="12"/>
      <c r="T445" s="12"/>
      <c r="U445" s="12"/>
      <c r="W445" s="12"/>
      <c r="X445" s="12"/>
      <c r="Y445" s="12"/>
      <c r="Z445" s="12"/>
      <c r="AA445" s="12"/>
    </row>
    <row r="446" spans="1:27" ht="15.75" customHeight="1">
      <c r="A446" s="12"/>
      <c r="B446" s="12"/>
      <c r="C446" s="12"/>
      <c r="D446" s="12"/>
      <c r="E446" s="12"/>
      <c r="F446" s="12"/>
      <c r="G446" s="12"/>
      <c r="H446" s="12"/>
      <c r="I446" s="12"/>
      <c r="J446" s="12"/>
      <c r="K446" s="12"/>
      <c r="L446" s="12"/>
      <c r="M446" s="12"/>
      <c r="N446" s="12"/>
      <c r="O446" s="12"/>
      <c r="P446" s="12"/>
      <c r="Q446" s="12"/>
      <c r="R446" s="12"/>
      <c r="S446" s="12"/>
      <c r="T446" s="12"/>
      <c r="U446" s="12"/>
      <c r="W446" s="12"/>
      <c r="X446" s="12"/>
      <c r="Y446" s="12"/>
      <c r="Z446" s="12"/>
      <c r="AA446" s="12"/>
    </row>
    <row r="447" spans="1:27" ht="15.75" customHeight="1">
      <c r="A447" s="12"/>
      <c r="B447" s="12"/>
      <c r="C447" s="12"/>
      <c r="D447" s="12"/>
      <c r="E447" s="12"/>
      <c r="F447" s="12"/>
      <c r="G447" s="12"/>
      <c r="H447" s="12"/>
      <c r="I447" s="12"/>
      <c r="J447" s="12"/>
      <c r="K447" s="12"/>
      <c r="L447" s="12"/>
      <c r="M447" s="12"/>
      <c r="N447" s="12"/>
      <c r="O447" s="12"/>
      <c r="P447" s="12"/>
      <c r="Q447" s="12"/>
      <c r="R447" s="12"/>
      <c r="S447" s="12"/>
      <c r="T447" s="12"/>
      <c r="U447" s="12"/>
      <c r="W447" s="12"/>
      <c r="X447" s="12"/>
      <c r="Y447" s="12"/>
      <c r="Z447" s="12"/>
      <c r="AA447" s="12"/>
    </row>
    <row r="448" spans="1:27" ht="15.75" customHeight="1">
      <c r="A448" s="12"/>
      <c r="B448" s="12"/>
      <c r="C448" s="12"/>
      <c r="D448" s="12"/>
      <c r="E448" s="12"/>
      <c r="F448" s="12"/>
      <c r="G448" s="12"/>
      <c r="H448" s="12"/>
      <c r="I448" s="12"/>
      <c r="J448" s="12"/>
      <c r="K448" s="12"/>
      <c r="L448" s="12"/>
      <c r="M448" s="12"/>
      <c r="N448" s="12"/>
      <c r="O448" s="12"/>
      <c r="P448" s="12"/>
      <c r="Q448" s="12"/>
      <c r="R448" s="12"/>
      <c r="S448" s="12"/>
      <c r="T448" s="12"/>
      <c r="U448" s="12"/>
      <c r="W448" s="12"/>
      <c r="X448" s="12"/>
      <c r="Y448" s="12"/>
      <c r="Z448" s="12"/>
      <c r="AA448" s="12"/>
    </row>
    <row r="449" spans="1:27" ht="15.75" customHeight="1">
      <c r="A449" s="12"/>
      <c r="B449" s="12"/>
      <c r="C449" s="12"/>
      <c r="D449" s="12"/>
      <c r="E449" s="12"/>
      <c r="F449" s="12"/>
      <c r="G449" s="12"/>
      <c r="H449" s="12"/>
      <c r="I449" s="12"/>
      <c r="J449" s="12"/>
      <c r="K449" s="12"/>
      <c r="L449" s="12"/>
      <c r="M449" s="12"/>
      <c r="N449" s="12"/>
      <c r="O449" s="12"/>
      <c r="P449" s="12"/>
      <c r="Q449" s="12"/>
      <c r="R449" s="12"/>
      <c r="S449" s="12"/>
      <c r="T449" s="12"/>
      <c r="U449" s="12"/>
      <c r="W449" s="12"/>
      <c r="X449" s="12"/>
      <c r="Y449" s="12"/>
      <c r="Z449" s="12"/>
      <c r="AA449" s="12"/>
    </row>
    <row r="450" spans="1:27" ht="15.75" customHeight="1">
      <c r="A450" s="12"/>
      <c r="B450" s="12"/>
      <c r="C450" s="12"/>
      <c r="D450" s="12"/>
      <c r="E450" s="12"/>
      <c r="F450" s="12"/>
      <c r="G450" s="12"/>
      <c r="H450" s="12"/>
      <c r="I450" s="12"/>
      <c r="J450" s="12"/>
      <c r="K450" s="12"/>
      <c r="L450" s="12"/>
      <c r="M450" s="12"/>
      <c r="N450" s="12"/>
      <c r="O450" s="12"/>
      <c r="P450" s="12"/>
      <c r="Q450" s="12"/>
      <c r="R450" s="12"/>
      <c r="S450" s="12"/>
      <c r="T450" s="12"/>
      <c r="U450" s="12"/>
      <c r="W450" s="12"/>
      <c r="X450" s="12"/>
      <c r="Y450" s="12"/>
      <c r="Z450" s="12"/>
      <c r="AA450" s="12"/>
    </row>
    <row r="451" spans="1:27" ht="15.75" customHeight="1">
      <c r="A451" s="12"/>
      <c r="B451" s="12"/>
      <c r="C451" s="12"/>
      <c r="D451" s="12"/>
      <c r="E451" s="12"/>
      <c r="F451" s="12"/>
      <c r="G451" s="12"/>
      <c r="H451" s="12"/>
      <c r="I451" s="12"/>
      <c r="J451" s="12"/>
      <c r="K451" s="12"/>
      <c r="L451" s="12"/>
      <c r="M451" s="12"/>
      <c r="N451" s="12"/>
      <c r="O451" s="12"/>
      <c r="P451" s="12"/>
      <c r="Q451" s="12"/>
      <c r="R451" s="12"/>
      <c r="S451" s="12"/>
      <c r="T451" s="12"/>
      <c r="U451" s="12"/>
      <c r="W451" s="12"/>
      <c r="X451" s="12"/>
      <c r="Y451" s="12"/>
      <c r="Z451" s="12"/>
      <c r="AA451" s="12"/>
    </row>
    <row r="452" spans="1:27" ht="15.75" customHeight="1">
      <c r="A452" s="12"/>
      <c r="B452" s="12"/>
      <c r="C452" s="12"/>
      <c r="D452" s="12"/>
      <c r="E452" s="12"/>
      <c r="F452" s="12"/>
      <c r="G452" s="12"/>
      <c r="H452" s="12"/>
      <c r="I452" s="12"/>
      <c r="J452" s="12"/>
      <c r="K452" s="12"/>
      <c r="L452" s="12"/>
      <c r="M452" s="12"/>
      <c r="N452" s="12"/>
      <c r="O452" s="12"/>
      <c r="P452" s="12"/>
      <c r="Q452" s="12"/>
      <c r="R452" s="12"/>
      <c r="S452" s="12"/>
      <c r="T452" s="12"/>
      <c r="U452" s="12"/>
      <c r="W452" s="12"/>
      <c r="X452" s="12"/>
      <c r="Y452" s="12"/>
      <c r="Z452" s="12"/>
      <c r="AA452" s="12"/>
    </row>
    <row r="453" spans="1:27" ht="15.75" customHeight="1">
      <c r="A453" s="12"/>
      <c r="B453" s="12"/>
      <c r="C453" s="12"/>
      <c r="D453" s="12"/>
      <c r="E453" s="12"/>
      <c r="F453" s="12"/>
      <c r="G453" s="12"/>
      <c r="H453" s="12"/>
      <c r="I453" s="12"/>
      <c r="J453" s="12"/>
      <c r="K453" s="12"/>
      <c r="L453" s="12"/>
      <c r="M453" s="12"/>
      <c r="N453" s="12"/>
      <c r="O453" s="12"/>
      <c r="P453" s="12"/>
      <c r="Q453" s="12"/>
      <c r="R453" s="12"/>
      <c r="S453" s="12"/>
      <c r="T453" s="12"/>
      <c r="U453" s="12"/>
      <c r="W453" s="12"/>
      <c r="X453" s="12"/>
      <c r="Y453" s="12"/>
      <c r="Z453" s="12"/>
      <c r="AA453" s="12"/>
    </row>
    <row r="454" spans="1:27" ht="15.75" customHeight="1">
      <c r="A454" s="12"/>
      <c r="B454" s="12"/>
      <c r="C454" s="12"/>
      <c r="D454" s="12"/>
      <c r="E454" s="12"/>
      <c r="F454" s="12"/>
      <c r="G454" s="12"/>
      <c r="H454" s="12"/>
      <c r="I454" s="12"/>
      <c r="J454" s="12"/>
      <c r="K454" s="12"/>
      <c r="L454" s="12"/>
      <c r="M454" s="12"/>
      <c r="N454" s="12"/>
      <c r="O454" s="12"/>
      <c r="P454" s="12"/>
      <c r="Q454" s="12"/>
      <c r="R454" s="12"/>
      <c r="S454" s="12"/>
      <c r="T454" s="12"/>
      <c r="U454" s="12"/>
      <c r="W454" s="12"/>
      <c r="X454" s="12"/>
      <c r="Y454" s="12"/>
      <c r="Z454" s="12"/>
      <c r="AA454" s="12"/>
    </row>
    <row r="455" spans="1:27" ht="15.75" customHeight="1">
      <c r="A455" s="12"/>
      <c r="B455" s="12"/>
      <c r="C455" s="12"/>
      <c r="D455" s="12"/>
      <c r="E455" s="12"/>
      <c r="F455" s="12"/>
      <c r="G455" s="12"/>
      <c r="H455" s="12"/>
      <c r="I455" s="12"/>
      <c r="J455" s="12"/>
      <c r="K455" s="12"/>
      <c r="L455" s="12"/>
      <c r="M455" s="12"/>
      <c r="N455" s="12"/>
      <c r="O455" s="12"/>
      <c r="P455" s="12"/>
      <c r="Q455" s="12"/>
      <c r="R455" s="12"/>
      <c r="S455" s="12"/>
      <c r="T455" s="12"/>
      <c r="U455" s="12"/>
      <c r="W455" s="12"/>
      <c r="X455" s="12"/>
      <c r="Y455" s="12"/>
      <c r="Z455" s="12"/>
      <c r="AA455" s="12"/>
    </row>
    <row r="456" spans="1:27" ht="15.75" customHeight="1">
      <c r="A456" s="12"/>
      <c r="B456" s="12"/>
      <c r="C456" s="12"/>
      <c r="D456" s="12"/>
      <c r="E456" s="12"/>
      <c r="F456" s="12"/>
      <c r="G456" s="12"/>
      <c r="H456" s="12"/>
      <c r="I456" s="12"/>
      <c r="J456" s="12"/>
      <c r="K456" s="12"/>
      <c r="L456" s="12"/>
      <c r="M456" s="12"/>
      <c r="N456" s="12"/>
      <c r="O456" s="12"/>
      <c r="P456" s="12"/>
      <c r="Q456" s="12"/>
      <c r="R456" s="12"/>
      <c r="S456" s="12"/>
      <c r="T456" s="12"/>
      <c r="U456" s="12"/>
      <c r="W456" s="12"/>
      <c r="X456" s="12"/>
      <c r="Y456" s="12"/>
      <c r="Z456" s="12"/>
      <c r="AA456" s="12"/>
    </row>
    <row r="457" spans="1:27" ht="15.75" customHeight="1">
      <c r="A457" s="12"/>
      <c r="B457" s="12"/>
      <c r="C457" s="12"/>
      <c r="D457" s="12"/>
      <c r="E457" s="12"/>
      <c r="F457" s="12"/>
      <c r="G457" s="12"/>
      <c r="H457" s="12"/>
      <c r="I457" s="12"/>
      <c r="J457" s="12"/>
      <c r="K457" s="12"/>
      <c r="L457" s="12"/>
      <c r="M457" s="12"/>
      <c r="N457" s="12"/>
      <c r="O457" s="12"/>
      <c r="P457" s="12"/>
      <c r="Q457" s="12"/>
      <c r="R457" s="12"/>
      <c r="S457" s="12"/>
      <c r="T457" s="12"/>
      <c r="U457" s="12"/>
      <c r="W457" s="12"/>
      <c r="X457" s="12"/>
      <c r="Y457" s="12"/>
      <c r="Z457" s="12"/>
      <c r="AA457" s="12"/>
    </row>
    <row r="458" spans="1:27" ht="15.75" customHeight="1">
      <c r="A458" s="12"/>
      <c r="B458" s="12"/>
      <c r="C458" s="12"/>
      <c r="D458" s="12"/>
      <c r="E458" s="12"/>
      <c r="F458" s="12"/>
      <c r="G458" s="12"/>
      <c r="H458" s="12"/>
      <c r="I458" s="12"/>
      <c r="J458" s="12"/>
      <c r="K458" s="12"/>
      <c r="L458" s="12"/>
      <c r="M458" s="12"/>
      <c r="N458" s="12"/>
      <c r="O458" s="12"/>
      <c r="P458" s="12"/>
      <c r="Q458" s="12"/>
      <c r="R458" s="12"/>
      <c r="S458" s="12"/>
      <c r="T458" s="12"/>
      <c r="U458" s="12"/>
      <c r="W458" s="12"/>
      <c r="X458" s="12"/>
      <c r="Y458" s="12"/>
      <c r="Z458" s="12"/>
      <c r="AA458" s="12"/>
    </row>
    <row r="459" spans="1:27" ht="15.75" customHeight="1">
      <c r="A459" s="12"/>
      <c r="B459" s="12"/>
      <c r="C459" s="12"/>
      <c r="D459" s="12"/>
      <c r="E459" s="12"/>
      <c r="F459" s="12"/>
      <c r="G459" s="12"/>
      <c r="H459" s="12"/>
      <c r="I459" s="12"/>
      <c r="J459" s="12"/>
      <c r="K459" s="12"/>
      <c r="L459" s="12"/>
      <c r="M459" s="12"/>
      <c r="N459" s="12"/>
      <c r="O459" s="12"/>
      <c r="P459" s="12"/>
      <c r="Q459" s="12"/>
      <c r="R459" s="12"/>
      <c r="S459" s="12"/>
      <c r="T459" s="12"/>
      <c r="U459" s="12"/>
      <c r="W459" s="12"/>
      <c r="X459" s="12"/>
      <c r="Y459" s="12"/>
      <c r="Z459" s="12"/>
      <c r="AA459" s="12"/>
    </row>
    <row r="460" spans="1:27" ht="15.75" customHeight="1">
      <c r="A460" s="12"/>
      <c r="B460" s="12"/>
      <c r="C460" s="12"/>
      <c r="D460" s="12"/>
      <c r="E460" s="12"/>
      <c r="F460" s="12"/>
      <c r="G460" s="12"/>
      <c r="H460" s="12"/>
      <c r="I460" s="12"/>
      <c r="J460" s="12"/>
      <c r="K460" s="12"/>
      <c r="L460" s="12"/>
      <c r="M460" s="12"/>
      <c r="N460" s="12"/>
      <c r="O460" s="12"/>
      <c r="P460" s="12"/>
      <c r="Q460" s="12"/>
      <c r="R460" s="12"/>
      <c r="S460" s="12"/>
      <c r="T460" s="12"/>
      <c r="U460" s="12"/>
      <c r="W460" s="12"/>
      <c r="X460" s="12"/>
      <c r="Y460" s="12"/>
      <c r="Z460" s="12"/>
      <c r="AA460" s="12"/>
    </row>
    <row r="461" spans="1:27" ht="15.75" customHeight="1">
      <c r="A461" s="12"/>
      <c r="B461" s="12"/>
      <c r="C461" s="12"/>
      <c r="D461" s="12"/>
      <c r="E461" s="12"/>
      <c r="F461" s="12"/>
      <c r="G461" s="12"/>
      <c r="H461" s="12"/>
      <c r="I461" s="12"/>
      <c r="J461" s="12"/>
      <c r="K461" s="12"/>
      <c r="L461" s="12"/>
      <c r="M461" s="12"/>
      <c r="N461" s="12"/>
      <c r="O461" s="12"/>
      <c r="P461" s="12"/>
      <c r="Q461" s="12"/>
      <c r="R461" s="12"/>
      <c r="S461" s="12"/>
      <c r="T461" s="12"/>
      <c r="U461" s="12"/>
      <c r="W461" s="12"/>
      <c r="X461" s="12"/>
      <c r="Y461" s="12"/>
      <c r="Z461" s="12"/>
      <c r="AA461" s="12"/>
    </row>
    <row r="462" spans="1:27" ht="15.75" customHeight="1">
      <c r="A462" s="12"/>
      <c r="B462" s="12"/>
      <c r="C462" s="12"/>
      <c r="D462" s="12"/>
      <c r="E462" s="12"/>
      <c r="F462" s="12"/>
      <c r="G462" s="12"/>
      <c r="H462" s="12"/>
      <c r="I462" s="12"/>
      <c r="J462" s="12"/>
      <c r="K462" s="12"/>
      <c r="L462" s="12"/>
      <c r="M462" s="12"/>
      <c r="N462" s="12"/>
      <c r="O462" s="12"/>
      <c r="P462" s="12"/>
      <c r="Q462" s="12"/>
      <c r="R462" s="12"/>
      <c r="S462" s="12"/>
      <c r="T462" s="12"/>
      <c r="U462" s="12"/>
      <c r="W462" s="12"/>
      <c r="X462" s="12"/>
      <c r="Y462" s="12"/>
      <c r="Z462" s="12"/>
      <c r="AA462" s="12"/>
    </row>
    <row r="463" spans="1:27" ht="15.75" customHeight="1">
      <c r="A463" s="12"/>
      <c r="B463" s="12"/>
      <c r="C463" s="12"/>
      <c r="D463" s="12"/>
      <c r="E463" s="12"/>
      <c r="F463" s="12"/>
      <c r="G463" s="12"/>
      <c r="H463" s="12"/>
      <c r="I463" s="12"/>
      <c r="J463" s="12"/>
      <c r="K463" s="12"/>
      <c r="L463" s="12"/>
      <c r="M463" s="12"/>
      <c r="N463" s="12"/>
      <c r="O463" s="12"/>
      <c r="P463" s="12"/>
      <c r="Q463" s="12"/>
      <c r="R463" s="12"/>
      <c r="S463" s="12"/>
      <c r="T463" s="12"/>
      <c r="U463" s="12"/>
      <c r="W463" s="12"/>
      <c r="X463" s="12"/>
      <c r="Y463" s="12"/>
      <c r="Z463" s="12"/>
      <c r="AA463" s="12"/>
    </row>
    <row r="464" spans="1:27" ht="15.75" customHeight="1">
      <c r="A464" s="12"/>
      <c r="B464" s="12"/>
      <c r="C464" s="12"/>
      <c r="D464" s="12"/>
      <c r="E464" s="12"/>
      <c r="F464" s="12"/>
      <c r="G464" s="12"/>
      <c r="H464" s="12"/>
      <c r="I464" s="12"/>
      <c r="J464" s="12"/>
      <c r="K464" s="12"/>
      <c r="L464" s="12"/>
      <c r="M464" s="12"/>
      <c r="N464" s="12"/>
      <c r="O464" s="12"/>
      <c r="P464" s="12"/>
      <c r="Q464" s="12"/>
      <c r="R464" s="12"/>
      <c r="S464" s="12"/>
      <c r="T464" s="12"/>
      <c r="U464" s="12"/>
      <c r="W464" s="12"/>
      <c r="X464" s="12"/>
      <c r="Y464" s="12"/>
      <c r="Z464" s="12"/>
      <c r="AA464" s="12"/>
    </row>
    <row r="465" spans="1:27" ht="15.75" customHeight="1">
      <c r="A465" s="12"/>
      <c r="B465" s="12"/>
      <c r="C465" s="12"/>
      <c r="D465" s="12"/>
      <c r="E465" s="12"/>
      <c r="F465" s="12"/>
      <c r="G465" s="12"/>
      <c r="H465" s="12"/>
      <c r="I465" s="12"/>
      <c r="J465" s="12"/>
      <c r="K465" s="12"/>
      <c r="L465" s="12"/>
      <c r="M465" s="12"/>
      <c r="N465" s="12"/>
      <c r="O465" s="12"/>
      <c r="P465" s="12"/>
      <c r="Q465" s="12"/>
      <c r="R465" s="12"/>
      <c r="S465" s="12"/>
      <c r="T465" s="12"/>
      <c r="U465" s="12"/>
      <c r="W465" s="12"/>
      <c r="X465" s="12"/>
      <c r="Y465" s="12"/>
      <c r="Z465" s="12"/>
      <c r="AA465" s="12"/>
    </row>
    <row r="466" spans="1:27" ht="15.75" customHeight="1">
      <c r="A466" s="12"/>
      <c r="B466" s="12"/>
      <c r="C466" s="12"/>
      <c r="D466" s="12"/>
      <c r="E466" s="12"/>
      <c r="F466" s="12"/>
      <c r="G466" s="12"/>
      <c r="H466" s="12"/>
      <c r="I466" s="12"/>
      <c r="J466" s="12"/>
      <c r="K466" s="12"/>
      <c r="L466" s="12"/>
      <c r="M466" s="12"/>
      <c r="N466" s="12"/>
      <c r="O466" s="12"/>
      <c r="P466" s="12"/>
      <c r="Q466" s="12"/>
      <c r="R466" s="12"/>
      <c r="S466" s="12"/>
      <c r="T466" s="12"/>
      <c r="U466" s="12"/>
      <c r="W466" s="12"/>
      <c r="X466" s="12"/>
      <c r="Y466" s="12"/>
      <c r="Z466" s="12"/>
      <c r="AA466" s="12"/>
    </row>
    <row r="467" spans="1:27" ht="15.75" customHeight="1">
      <c r="A467" s="12"/>
      <c r="B467" s="12"/>
      <c r="C467" s="12"/>
      <c r="D467" s="12"/>
      <c r="E467" s="12"/>
      <c r="F467" s="12"/>
      <c r="G467" s="12"/>
      <c r="H467" s="12"/>
      <c r="I467" s="12"/>
      <c r="J467" s="12"/>
      <c r="K467" s="12"/>
      <c r="L467" s="12"/>
      <c r="M467" s="12"/>
      <c r="N467" s="12"/>
      <c r="O467" s="12"/>
      <c r="P467" s="12"/>
      <c r="Q467" s="12"/>
      <c r="R467" s="12"/>
      <c r="S467" s="12"/>
      <c r="T467" s="12"/>
      <c r="U467" s="12"/>
      <c r="W467" s="12"/>
      <c r="X467" s="12"/>
      <c r="Y467" s="12"/>
      <c r="Z467" s="12"/>
      <c r="AA467" s="12"/>
    </row>
    <row r="468" spans="1:27" ht="15.75" customHeight="1">
      <c r="A468" s="12"/>
      <c r="B468" s="12"/>
      <c r="C468" s="12"/>
      <c r="D468" s="12"/>
      <c r="E468" s="12"/>
      <c r="F468" s="12"/>
      <c r="G468" s="12"/>
      <c r="H468" s="12"/>
      <c r="I468" s="12"/>
      <c r="J468" s="12"/>
      <c r="K468" s="12"/>
      <c r="L468" s="12"/>
      <c r="M468" s="12"/>
      <c r="N468" s="12"/>
      <c r="O468" s="12"/>
      <c r="P468" s="12"/>
      <c r="Q468" s="12"/>
      <c r="R468" s="12"/>
      <c r="S468" s="12"/>
      <c r="T468" s="12"/>
      <c r="U468" s="12"/>
      <c r="W468" s="12"/>
      <c r="X468" s="12"/>
      <c r="Y468" s="12"/>
      <c r="Z468" s="12"/>
      <c r="AA468" s="12"/>
    </row>
    <row r="469" spans="1:27" ht="15.75" customHeight="1">
      <c r="A469" s="12"/>
      <c r="B469" s="12"/>
      <c r="C469" s="12"/>
      <c r="D469" s="12"/>
      <c r="E469" s="12"/>
      <c r="F469" s="12"/>
      <c r="G469" s="12"/>
      <c r="H469" s="12"/>
      <c r="I469" s="12"/>
      <c r="J469" s="12"/>
      <c r="K469" s="12"/>
      <c r="L469" s="12"/>
      <c r="M469" s="12"/>
      <c r="N469" s="12"/>
      <c r="O469" s="12"/>
      <c r="P469" s="12"/>
      <c r="Q469" s="12"/>
      <c r="R469" s="12"/>
      <c r="S469" s="12"/>
      <c r="T469" s="12"/>
      <c r="U469" s="12"/>
      <c r="W469" s="12"/>
      <c r="X469" s="12"/>
      <c r="Y469" s="12"/>
      <c r="Z469" s="12"/>
      <c r="AA469" s="12"/>
    </row>
    <row r="470" spans="1:27" ht="15.75" customHeight="1">
      <c r="A470" s="12"/>
      <c r="B470" s="12"/>
      <c r="C470" s="12"/>
      <c r="D470" s="12"/>
      <c r="E470" s="12"/>
      <c r="F470" s="12"/>
      <c r="G470" s="12"/>
      <c r="H470" s="12"/>
      <c r="I470" s="12"/>
      <c r="J470" s="12"/>
      <c r="K470" s="12"/>
      <c r="L470" s="12"/>
      <c r="M470" s="12"/>
      <c r="N470" s="12"/>
      <c r="O470" s="12"/>
      <c r="P470" s="12"/>
      <c r="Q470" s="12"/>
      <c r="R470" s="12"/>
      <c r="S470" s="12"/>
      <c r="T470" s="12"/>
      <c r="U470" s="12"/>
      <c r="W470" s="12"/>
      <c r="X470" s="12"/>
      <c r="Y470" s="12"/>
      <c r="Z470" s="12"/>
      <c r="AA470" s="12"/>
    </row>
    <row r="471" spans="1:27" ht="15.75" customHeight="1">
      <c r="A471" s="12"/>
      <c r="B471" s="12"/>
      <c r="C471" s="12"/>
      <c r="D471" s="12"/>
      <c r="E471" s="12"/>
      <c r="F471" s="12"/>
      <c r="G471" s="12"/>
      <c r="H471" s="12"/>
      <c r="I471" s="12"/>
      <c r="J471" s="12"/>
      <c r="K471" s="12"/>
      <c r="L471" s="12"/>
      <c r="M471" s="12"/>
      <c r="N471" s="12"/>
      <c r="O471" s="12"/>
      <c r="P471" s="12"/>
      <c r="Q471" s="12"/>
      <c r="R471" s="12"/>
      <c r="S471" s="12"/>
      <c r="T471" s="12"/>
      <c r="U471" s="12"/>
      <c r="W471" s="12"/>
      <c r="X471" s="12"/>
      <c r="Y471" s="12"/>
      <c r="Z471" s="12"/>
      <c r="AA471" s="12"/>
    </row>
    <row r="472" spans="1:27" ht="15.75" customHeight="1">
      <c r="A472" s="12"/>
      <c r="B472" s="12"/>
      <c r="C472" s="12"/>
      <c r="D472" s="12"/>
      <c r="E472" s="12"/>
      <c r="F472" s="12"/>
      <c r="G472" s="12"/>
      <c r="H472" s="12"/>
      <c r="I472" s="12"/>
      <c r="J472" s="12"/>
      <c r="K472" s="12"/>
      <c r="L472" s="12"/>
      <c r="M472" s="12"/>
      <c r="N472" s="12"/>
      <c r="O472" s="12"/>
      <c r="P472" s="12"/>
      <c r="Q472" s="12"/>
      <c r="R472" s="12"/>
      <c r="S472" s="12"/>
      <c r="T472" s="12"/>
      <c r="U472" s="12"/>
      <c r="W472" s="12"/>
      <c r="X472" s="12"/>
      <c r="Y472" s="12"/>
      <c r="Z472" s="12"/>
      <c r="AA472" s="12"/>
    </row>
    <row r="473" spans="1:27" ht="15.75" customHeight="1">
      <c r="A473" s="12"/>
      <c r="B473" s="12"/>
      <c r="C473" s="12"/>
      <c r="D473" s="12"/>
      <c r="E473" s="12"/>
      <c r="F473" s="12"/>
      <c r="G473" s="12"/>
      <c r="H473" s="12"/>
      <c r="I473" s="12"/>
      <c r="J473" s="12"/>
      <c r="K473" s="12"/>
      <c r="L473" s="12"/>
      <c r="M473" s="12"/>
      <c r="N473" s="12"/>
      <c r="O473" s="12"/>
      <c r="P473" s="12"/>
      <c r="Q473" s="12"/>
      <c r="R473" s="12"/>
      <c r="S473" s="12"/>
      <c r="T473" s="12"/>
      <c r="U473" s="12"/>
      <c r="W473" s="12"/>
      <c r="X473" s="12"/>
      <c r="Y473" s="12"/>
      <c r="Z473" s="12"/>
      <c r="AA473" s="12"/>
    </row>
    <row r="474" spans="1:27" ht="15.75" customHeight="1">
      <c r="A474" s="12"/>
      <c r="B474" s="12"/>
      <c r="C474" s="12"/>
      <c r="D474" s="12"/>
      <c r="E474" s="12"/>
      <c r="F474" s="12"/>
      <c r="G474" s="12"/>
      <c r="H474" s="12"/>
      <c r="I474" s="12"/>
      <c r="J474" s="12"/>
      <c r="K474" s="12"/>
      <c r="L474" s="12"/>
      <c r="M474" s="12"/>
      <c r="N474" s="12"/>
      <c r="O474" s="12"/>
      <c r="P474" s="12"/>
      <c r="Q474" s="12"/>
      <c r="R474" s="12"/>
      <c r="S474" s="12"/>
      <c r="T474" s="12"/>
      <c r="U474" s="12"/>
      <c r="W474" s="12"/>
      <c r="X474" s="12"/>
      <c r="Y474" s="12"/>
      <c r="Z474" s="12"/>
      <c r="AA474" s="12"/>
    </row>
    <row r="475" spans="1:27" ht="15.75" customHeight="1">
      <c r="A475" s="12"/>
      <c r="B475" s="12"/>
      <c r="C475" s="12"/>
      <c r="D475" s="12"/>
      <c r="E475" s="12"/>
      <c r="F475" s="12"/>
      <c r="G475" s="12"/>
      <c r="H475" s="12"/>
      <c r="I475" s="12"/>
      <c r="J475" s="12"/>
      <c r="K475" s="12"/>
      <c r="L475" s="12"/>
      <c r="M475" s="12"/>
      <c r="N475" s="12"/>
      <c r="O475" s="12"/>
      <c r="P475" s="12"/>
      <c r="Q475" s="12"/>
      <c r="R475" s="12"/>
      <c r="S475" s="12"/>
      <c r="T475" s="12"/>
      <c r="U475" s="12"/>
      <c r="W475" s="12"/>
      <c r="X475" s="12"/>
      <c r="Y475" s="12"/>
      <c r="Z475" s="12"/>
      <c r="AA475" s="12"/>
    </row>
    <row r="476" spans="1:27" ht="15.75" customHeight="1">
      <c r="A476" s="12"/>
      <c r="B476" s="12"/>
      <c r="C476" s="12"/>
      <c r="D476" s="12"/>
      <c r="E476" s="12"/>
      <c r="F476" s="12"/>
      <c r="G476" s="12"/>
      <c r="H476" s="12"/>
      <c r="I476" s="12"/>
      <c r="J476" s="12"/>
      <c r="K476" s="12"/>
      <c r="L476" s="12"/>
      <c r="M476" s="12"/>
      <c r="N476" s="12"/>
      <c r="O476" s="12"/>
      <c r="P476" s="12"/>
      <c r="Q476" s="12"/>
      <c r="R476" s="12"/>
      <c r="S476" s="12"/>
      <c r="T476" s="12"/>
      <c r="U476" s="12"/>
      <c r="W476" s="12"/>
      <c r="X476" s="12"/>
      <c r="Y476" s="12"/>
      <c r="Z476" s="12"/>
      <c r="AA476" s="12"/>
    </row>
    <row r="477" spans="1:27" ht="15.75" customHeight="1">
      <c r="A477" s="12"/>
      <c r="B477" s="12"/>
      <c r="C477" s="12"/>
      <c r="D477" s="12"/>
      <c r="E477" s="12"/>
      <c r="F477" s="12"/>
      <c r="G477" s="12"/>
      <c r="H477" s="12"/>
      <c r="I477" s="12"/>
      <c r="J477" s="12"/>
      <c r="K477" s="12"/>
      <c r="L477" s="12"/>
      <c r="M477" s="12"/>
      <c r="N477" s="12"/>
      <c r="O477" s="12"/>
      <c r="P477" s="12"/>
      <c r="Q477" s="12"/>
      <c r="R477" s="12"/>
      <c r="S477" s="12"/>
      <c r="T477" s="12"/>
      <c r="U477" s="12"/>
      <c r="W477" s="12"/>
      <c r="X477" s="12"/>
      <c r="Y477" s="12"/>
      <c r="Z477" s="12"/>
      <c r="AA477" s="12"/>
    </row>
    <row r="478" spans="1:27" ht="15.75" customHeight="1">
      <c r="A478" s="12"/>
      <c r="B478" s="12"/>
      <c r="C478" s="12"/>
      <c r="D478" s="12"/>
      <c r="E478" s="12"/>
      <c r="F478" s="12"/>
      <c r="G478" s="12"/>
      <c r="H478" s="12"/>
      <c r="I478" s="12"/>
      <c r="J478" s="12"/>
      <c r="K478" s="12"/>
      <c r="L478" s="12"/>
      <c r="M478" s="12"/>
      <c r="N478" s="12"/>
      <c r="O478" s="12"/>
      <c r="P478" s="12"/>
      <c r="Q478" s="12"/>
      <c r="R478" s="12"/>
      <c r="S478" s="12"/>
      <c r="T478" s="12"/>
      <c r="U478" s="12"/>
      <c r="W478" s="12"/>
      <c r="X478" s="12"/>
      <c r="Y478" s="12"/>
      <c r="Z478" s="12"/>
      <c r="AA478" s="12"/>
    </row>
    <row r="479" spans="1:27" ht="15.75" customHeight="1">
      <c r="A479" s="12"/>
      <c r="B479" s="12"/>
      <c r="C479" s="12"/>
      <c r="D479" s="12"/>
      <c r="E479" s="12"/>
      <c r="F479" s="12"/>
      <c r="G479" s="12"/>
      <c r="H479" s="12"/>
      <c r="I479" s="12"/>
      <c r="J479" s="12"/>
      <c r="K479" s="12"/>
      <c r="L479" s="12"/>
      <c r="M479" s="12"/>
      <c r="N479" s="12"/>
      <c r="O479" s="12"/>
      <c r="P479" s="12"/>
      <c r="Q479" s="12"/>
      <c r="R479" s="12"/>
      <c r="S479" s="12"/>
      <c r="T479" s="12"/>
      <c r="U479" s="12"/>
      <c r="W479" s="12"/>
      <c r="X479" s="12"/>
      <c r="Y479" s="12"/>
      <c r="Z479" s="12"/>
      <c r="AA479" s="12"/>
    </row>
    <row r="480" spans="1:27" ht="15.75" customHeight="1">
      <c r="A480" s="12"/>
      <c r="B480" s="12"/>
      <c r="C480" s="12"/>
      <c r="D480" s="12"/>
      <c r="E480" s="12"/>
      <c r="F480" s="12"/>
      <c r="G480" s="12"/>
      <c r="H480" s="12"/>
      <c r="I480" s="12"/>
      <c r="J480" s="12"/>
      <c r="K480" s="12"/>
      <c r="L480" s="12"/>
      <c r="M480" s="12"/>
      <c r="N480" s="12"/>
      <c r="O480" s="12"/>
      <c r="P480" s="12"/>
      <c r="Q480" s="12"/>
      <c r="R480" s="12"/>
      <c r="S480" s="12"/>
      <c r="T480" s="12"/>
      <c r="U480" s="12"/>
      <c r="W480" s="12"/>
      <c r="X480" s="12"/>
      <c r="Y480" s="12"/>
      <c r="Z480" s="12"/>
      <c r="AA480" s="12"/>
    </row>
    <row r="481" spans="1:27" ht="15.75" customHeight="1">
      <c r="A481" s="12"/>
      <c r="B481" s="12"/>
      <c r="C481" s="12"/>
      <c r="D481" s="12"/>
      <c r="E481" s="12"/>
      <c r="F481" s="12"/>
      <c r="G481" s="12"/>
      <c r="H481" s="12"/>
      <c r="I481" s="12"/>
      <c r="J481" s="12"/>
      <c r="K481" s="12"/>
      <c r="L481" s="12"/>
      <c r="M481" s="12"/>
      <c r="N481" s="12"/>
      <c r="O481" s="12"/>
      <c r="P481" s="12"/>
      <c r="Q481" s="12"/>
      <c r="R481" s="12"/>
      <c r="S481" s="12"/>
      <c r="T481" s="12"/>
      <c r="U481" s="12"/>
      <c r="W481" s="12"/>
      <c r="X481" s="12"/>
      <c r="Y481" s="12"/>
      <c r="Z481" s="12"/>
      <c r="AA481" s="12"/>
    </row>
    <row r="482" spans="1:27" ht="15.75" customHeight="1">
      <c r="A482" s="12"/>
      <c r="B482" s="12"/>
      <c r="C482" s="12"/>
      <c r="D482" s="12"/>
      <c r="E482" s="12"/>
      <c r="F482" s="12"/>
      <c r="G482" s="12"/>
      <c r="H482" s="12"/>
      <c r="I482" s="12"/>
      <c r="J482" s="12"/>
      <c r="K482" s="12"/>
      <c r="L482" s="12"/>
      <c r="M482" s="12"/>
      <c r="N482" s="12"/>
      <c r="O482" s="12"/>
      <c r="P482" s="12"/>
      <c r="Q482" s="12"/>
      <c r="R482" s="12"/>
      <c r="S482" s="12"/>
      <c r="T482" s="12"/>
      <c r="U482" s="12"/>
      <c r="W482" s="12"/>
      <c r="X482" s="12"/>
      <c r="Y482" s="12"/>
      <c r="Z482" s="12"/>
      <c r="AA482" s="12"/>
    </row>
    <row r="483" spans="1:27" ht="15.75" customHeight="1">
      <c r="A483" s="12"/>
      <c r="B483" s="12"/>
      <c r="C483" s="12"/>
      <c r="D483" s="12"/>
      <c r="E483" s="12"/>
      <c r="F483" s="12"/>
      <c r="G483" s="12"/>
      <c r="H483" s="12"/>
      <c r="I483" s="12"/>
      <c r="J483" s="12"/>
      <c r="K483" s="12"/>
      <c r="L483" s="12"/>
      <c r="M483" s="12"/>
      <c r="N483" s="12"/>
      <c r="O483" s="12"/>
      <c r="P483" s="12"/>
      <c r="Q483" s="12"/>
      <c r="R483" s="12"/>
      <c r="S483" s="12"/>
      <c r="T483" s="12"/>
      <c r="U483" s="12"/>
      <c r="W483" s="12"/>
      <c r="X483" s="12"/>
      <c r="Y483" s="12"/>
      <c r="Z483" s="12"/>
      <c r="AA483" s="12"/>
    </row>
    <row r="484" spans="1:27" ht="15.75" customHeight="1">
      <c r="A484" s="12"/>
      <c r="B484" s="12"/>
      <c r="C484" s="12"/>
      <c r="D484" s="12"/>
      <c r="E484" s="12"/>
      <c r="F484" s="12"/>
      <c r="G484" s="12"/>
      <c r="H484" s="12"/>
      <c r="I484" s="12"/>
      <c r="J484" s="12"/>
      <c r="K484" s="12"/>
      <c r="L484" s="12"/>
      <c r="M484" s="12"/>
      <c r="N484" s="12"/>
      <c r="O484" s="12"/>
      <c r="P484" s="12"/>
      <c r="Q484" s="12"/>
      <c r="R484" s="12"/>
      <c r="S484" s="12"/>
      <c r="T484" s="12"/>
      <c r="U484" s="12"/>
      <c r="W484" s="12"/>
      <c r="X484" s="12"/>
      <c r="Y484" s="12"/>
      <c r="Z484" s="12"/>
      <c r="AA484" s="12"/>
    </row>
    <row r="485" spans="1:27" ht="15.75" customHeight="1">
      <c r="A485" s="12"/>
      <c r="B485" s="12"/>
      <c r="C485" s="12"/>
      <c r="D485" s="12"/>
      <c r="E485" s="12"/>
      <c r="F485" s="12"/>
      <c r="G485" s="12"/>
      <c r="H485" s="12"/>
      <c r="I485" s="12"/>
      <c r="J485" s="12"/>
      <c r="K485" s="12"/>
      <c r="L485" s="12"/>
      <c r="M485" s="12"/>
      <c r="N485" s="12"/>
      <c r="O485" s="12"/>
      <c r="P485" s="12"/>
      <c r="Q485" s="12"/>
      <c r="R485" s="12"/>
      <c r="S485" s="12"/>
      <c r="T485" s="12"/>
      <c r="U485" s="12"/>
      <c r="W485" s="12"/>
      <c r="X485" s="12"/>
      <c r="Y485" s="12"/>
      <c r="Z485" s="12"/>
      <c r="AA485" s="12"/>
    </row>
    <row r="486" spans="1:27" ht="15.75" customHeight="1">
      <c r="A486" s="12"/>
      <c r="B486" s="12"/>
      <c r="C486" s="12"/>
      <c r="D486" s="12"/>
      <c r="E486" s="12"/>
      <c r="F486" s="12"/>
      <c r="G486" s="12"/>
      <c r="H486" s="12"/>
      <c r="I486" s="12"/>
      <c r="J486" s="12"/>
      <c r="K486" s="12"/>
      <c r="L486" s="12"/>
      <c r="M486" s="12"/>
      <c r="N486" s="12"/>
      <c r="O486" s="12"/>
      <c r="P486" s="12"/>
      <c r="Q486" s="12"/>
      <c r="R486" s="12"/>
      <c r="S486" s="12"/>
      <c r="T486" s="12"/>
      <c r="U486" s="12"/>
      <c r="W486" s="12"/>
      <c r="X486" s="12"/>
      <c r="Y486" s="12"/>
      <c r="Z486" s="12"/>
      <c r="AA486" s="12"/>
    </row>
    <row r="487" spans="1:27" ht="15.75" customHeight="1">
      <c r="A487" s="12"/>
      <c r="B487" s="12"/>
      <c r="C487" s="12"/>
      <c r="D487" s="12"/>
      <c r="E487" s="12"/>
      <c r="F487" s="12"/>
      <c r="G487" s="12"/>
      <c r="H487" s="12"/>
      <c r="I487" s="12"/>
      <c r="J487" s="12"/>
      <c r="K487" s="12"/>
      <c r="L487" s="12"/>
      <c r="M487" s="12"/>
      <c r="N487" s="12"/>
      <c r="O487" s="12"/>
      <c r="P487" s="12"/>
      <c r="Q487" s="12"/>
      <c r="R487" s="12"/>
      <c r="S487" s="12"/>
      <c r="T487" s="12"/>
      <c r="U487" s="12"/>
      <c r="W487" s="12"/>
      <c r="X487" s="12"/>
      <c r="Y487" s="12"/>
      <c r="Z487" s="12"/>
      <c r="AA487" s="12"/>
    </row>
    <row r="488" spans="1:27" ht="15.75" customHeight="1">
      <c r="A488" s="12"/>
      <c r="B488" s="12"/>
      <c r="C488" s="12"/>
      <c r="D488" s="12"/>
      <c r="E488" s="12"/>
      <c r="F488" s="12"/>
      <c r="G488" s="12"/>
      <c r="H488" s="12"/>
      <c r="I488" s="12"/>
      <c r="J488" s="12"/>
      <c r="K488" s="12"/>
      <c r="L488" s="12"/>
      <c r="M488" s="12"/>
      <c r="N488" s="12"/>
      <c r="O488" s="12"/>
      <c r="P488" s="12"/>
      <c r="Q488" s="12"/>
      <c r="R488" s="12"/>
      <c r="S488" s="12"/>
      <c r="T488" s="12"/>
      <c r="U488" s="12"/>
      <c r="W488" s="12"/>
      <c r="X488" s="12"/>
      <c r="Y488" s="12"/>
      <c r="Z488" s="12"/>
      <c r="AA488" s="12"/>
    </row>
    <row r="489" spans="1:27" ht="15.75" customHeight="1">
      <c r="A489" s="12"/>
      <c r="B489" s="12"/>
      <c r="C489" s="12"/>
      <c r="D489" s="12"/>
      <c r="E489" s="12"/>
      <c r="F489" s="12"/>
      <c r="G489" s="12"/>
      <c r="H489" s="12"/>
      <c r="I489" s="12"/>
      <c r="J489" s="12"/>
      <c r="K489" s="12"/>
      <c r="L489" s="12"/>
      <c r="M489" s="12"/>
      <c r="N489" s="12"/>
      <c r="O489" s="12"/>
      <c r="P489" s="12"/>
      <c r="Q489" s="12"/>
      <c r="R489" s="12"/>
      <c r="S489" s="12"/>
      <c r="T489" s="12"/>
      <c r="U489" s="12"/>
      <c r="W489" s="12"/>
      <c r="X489" s="12"/>
      <c r="Y489" s="12"/>
      <c r="Z489" s="12"/>
      <c r="AA489" s="12"/>
    </row>
    <row r="490" spans="1:27" ht="15.75" customHeight="1">
      <c r="A490" s="12"/>
      <c r="B490" s="12"/>
      <c r="C490" s="12"/>
      <c r="D490" s="12"/>
      <c r="E490" s="12"/>
      <c r="F490" s="12"/>
      <c r="G490" s="12"/>
      <c r="H490" s="12"/>
      <c r="I490" s="12"/>
      <c r="J490" s="12"/>
      <c r="K490" s="12"/>
      <c r="L490" s="12"/>
      <c r="M490" s="12"/>
      <c r="N490" s="12"/>
      <c r="O490" s="12"/>
      <c r="P490" s="12"/>
      <c r="Q490" s="12"/>
      <c r="R490" s="12"/>
      <c r="S490" s="12"/>
      <c r="T490" s="12"/>
      <c r="U490" s="12"/>
      <c r="W490" s="12"/>
      <c r="X490" s="12"/>
      <c r="Y490" s="12"/>
      <c r="Z490" s="12"/>
      <c r="AA490" s="12"/>
    </row>
    <row r="491" spans="1:27" ht="15.75" customHeight="1">
      <c r="A491" s="12"/>
      <c r="B491" s="12"/>
      <c r="C491" s="12"/>
      <c r="D491" s="12"/>
      <c r="E491" s="12"/>
      <c r="F491" s="12"/>
      <c r="G491" s="12"/>
      <c r="H491" s="12"/>
      <c r="I491" s="12"/>
      <c r="J491" s="12"/>
      <c r="K491" s="12"/>
      <c r="L491" s="12"/>
      <c r="M491" s="12"/>
      <c r="N491" s="12"/>
      <c r="O491" s="12"/>
      <c r="P491" s="12"/>
      <c r="Q491" s="12"/>
      <c r="R491" s="12"/>
      <c r="S491" s="12"/>
      <c r="T491" s="12"/>
      <c r="U491" s="12"/>
      <c r="W491" s="12"/>
      <c r="X491" s="12"/>
      <c r="Y491" s="12"/>
      <c r="Z491" s="12"/>
      <c r="AA491" s="12"/>
    </row>
    <row r="492" spans="1:27" ht="15.75" customHeight="1">
      <c r="A492" s="12"/>
      <c r="B492" s="12"/>
      <c r="C492" s="12"/>
      <c r="D492" s="12"/>
      <c r="E492" s="12"/>
      <c r="F492" s="12"/>
      <c r="G492" s="12"/>
      <c r="H492" s="12"/>
      <c r="I492" s="12"/>
      <c r="J492" s="12"/>
      <c r="K492" s="12"/>
      <c r="L492" s="12"/>
      <c r="M492" s="12"/>
      <c r="N492" s="12"/>
      <c r="O492" s="12"/>
      <c r="P492" s="12"/>
      <c r="Q492" s="12"/>
      <c r="R492" s="12"/>
      <c r="S492" s="12"/>
      <c r="T492" s="12"/>
      <c r="U492" s="12"/>
      <c r="W492" s="12"/>
      <c r="X492" s="12"/>
      <c r="Y492" s="12"/>
      <c r="Z492" s="12"/>
      <c r="AA492" s="12"/>
    </row>
    <row r="493" spans="1:27" ht="15.75" customHeight="1">
      <c r="A493" s="12"/>
      <c r="B493" s="12"/>
      <c r="C493" s="12"/>
      <c r="D493" s="12"/>
      <c r="E493" s="12"/>
      <c r="F493" s="12"/>
      <c r="G493" s="12"/>
      <c r="H493" s="12"/>
      <c r="I493" s="12"/>
      <c r="J493" s="12"/>
      <c r="K493" s="12"/>
      <c r="L493" s="12"/>
      <c r="M493" s="12"/>
      <c r="N493" s="12"/>
      <c r="O493" s="12"/>
      <c r="P493" s="12"/>
      <c r="Q493" s="12"/>
      <c r="R493" s="12"/>
      <c r="S493" s="12"/>
      <c r="T493" s="12"/>
      <c r="U493" s="12"/>
      <c r="W493" s="12"/>
      <c r="X493" s="12"/>
      <c r="Y493" s="12"/>
      <c r="Z493" s="12"/>
      <c r="AA493" s="12"/>
    </row>
    <row r="494" spans="1:27" ht="15.75" customHeight="1">
      <c r="A494" s="12"/>
      <c r="B494" s="12"/>
      <c r="C494" s="12"/>
      <c r="D494" s="12"/>
      <c r="E494" s="12"/>
      <c r="F494" s="12"/>
      <c r="G494" s="12"/>
      <c r="H494" s="12"/>
      <c r="I494" s="12"/>
      <c r="J494" s="12"/>
      <c r="K494" s="12"/>
      <c r="L494" s="12"/>
      <c r="M494" s="12"/>
      <c r="N494" s="12"/>
      <c r="O494" s="12"/>
      <c r="P494" s="12"/>
      <c r="Q494" s="12"/>
      <c r="R494" s="12"/>
      <c r="S494" s="12"/>
      <c r="T494" s="12"/>
      <c r="U494" s="12"/>
      <c r="W494" s="12"/>
      <c r="X494" s="12"/>
      <c r="Y494" s="12"/>
      <c r="Z494" s="12"/>
      <c r="AA494" s="12"/>
    </row>
    <row r="495" spans="1:27" ht="15.75" customHeight="1">
      <c r="A495" s="12"/>
      <c r="B495" s="12"/>
      <c r="C495" s="12"/>
      <c r="D495" s="12"/>
      <c r="E495" s="12"/>
      <c r="F495" s="12"/>
      <c r="G495" s="12"/>
      <c r="H495" s="12"/>
      <c r="I495" s="12"/>
      <c r="J495" s="12"/>
      <c r="K495" s="12"/>
      <c r="L495" s="12"/>
      <c r="M495" s="12"/>
      <c r="N495" s="12"/>
      <c r="O495" s="12"/>
      <c r="P495" s="12"/>
      <c r="Q495" s="12"/>
      <c r="R495" s="12"/>
      <c r="S495" s="12"/>
      <c r="T495" s="12"/>
      <c r="U495" s="12"/>
      <c r="W495" s="12"/>
      <c r="X495" s="12"/>
      <c r="Y495" s="12"/>
      <c r="Z495" s="12"/>
      <c r="AA495" s="12"/>
    </row>
    <row r="496" spans="1:27" ht="15.75" customHeight="1">
      <c r="A496" s="12"/>
      <c r="B496" s="12"/>
      <c r="C496" s="12"/>
      <c r="D496" s="12"/>
      <c r="E496" s="12"/>
      <c r="F496" s="12"/>
      <c r="G496" s="12"/>
      <c r="H496" s="12"/>
      <c r="I496" s="12"/>
      <c r="J496" s="12"/>
      <c r="K496" s="12"/>
      <c r="L496" s="12"/>
      <c r="M496" s="12"/>
      <c r="N496" s="12"/>
      <c r="O496" s="12"/>
      <c r="P496" s="12"/>
      <c r="Q496" s="12"/>
      <c r="R496" s="12"/>
      <c r="S496" s="12"/>
      <c r="T496" s="12"/>
      <c r="U496" s="12"/>
      <c r="W496" s="12"/>
      <c r="X496" s="12"/>
      <c r="Y496" s="12"/>
      <c r="Z496" s="12"/>
      <c r="AA496" s="12"/>
    </row>
    <row r="497" spans="1:27" ht="15.75" customHeight="1">
      <c r="A497" s="12"/>
      <c r="B497" s="12"/>
      <c r="C497" s="12"/>
      <c r="D497" s="12"/>
      <c r="E497" s="12"/>
      <c r="F497" s="12"/>
      <c r="G497" s="12"/>
      <c r="H497" s="12"/>
      <c r="I497" s="12"/>
      <c r="J497" s="12"/>
      <c r="K497" s="12"/>
      <c r="L497" s="12"/>
      <c r="M497" s="12"/>
      <c r="N497" s="12"/>
      <c r="O497" s="12"/>
      <c r="P497" s="12"/>
      <c r="Q497" s="12"/>
      <c r="R497" s="12"/>
      <c r="S497" s="12"/>
      <c r="T497" s="12"/>
      <c r="U497" s="12"/>
      <c r="W497" s="12"/>
      <c r="X497" s="12"/>
      <c r="Y497" s="12"/>
      <c r="Z497" s="12"/>
      <c r="AA497" s="12"/>
    </row>
    <row r="498" spans="1:27" ht="15.75" customHeight="1">
      <c r="A498" s="12"/>
      <c r="B498" s="12"/>
      <c r="C498" s="12"/>
      <c r="D498" s="12"/>
      <c r="E498" s="12"/>
      <c r="F498" s="12"/>
      <c r="G498" s="12"/>
      <c r="H498" s="12"/>
      <c r="I498" s="12"/>
      <c r="J498" s="12"/>
      <c r="K498" s="12"/>
      <c r="L498" s="12"/>
      <c r="M498" s="12"/>
      <c r="N498" s="12"/>
      <c r="O498" s="12"/>
      <c r="P498" s="12"/>
      <c r="Q498" s="12"/>
      <c r="R498" s="12"/>
      <c r="S498" s="12"/>
      <c r="T498" s="12"/>
      <c r="U498" s="12"/>
      <c r="W498" s="12"/>
      <c r="X498" s="12"/>
      <c r="Y498" s="12"/>
      <c r="Z498" s="12"/>
      <c r="AA498" s="12"/>
    </row>
    <row r="499" spans="1:27" ht="15.75" customHeight="1">
      <c r="A499" s="12"/>
      <c r="B499" s="12"/>
      <c r="C499" s="12"/>
      <c r="D499" s="12"/>
      <c r="E499" s="12"/>
      <c r="F499" s="12"/>
      <c r="G499" s="12"/>
      <c r="H499" s="12"/>
      <c r="I499" s="12"/>
      <c r="J499" s="12"/>
      <c r="K499" s="12"/>
      <c r="L499" s="12"/>
      <c r="M499" s="12"/>
      <c r="N499" s="12"/>
      <c r="O499" s="12"/>
      <c r="P499" s="12"/>
      <c r="Q499" s="12"/>
      <c r="R499" s="12"/>
      <c r="S499" s="12"/>
      <c r="T499" s="12"/>
      <c r="U499" s="12"/>
      <c r="W499" s="12"/>
      <c r="X499" s="12"/>
      <c r="Y499" s="12"/>
      <c r="Z499" s="12"/>
      <c r="AA499" s="12"/>
    </row>
    <row r="500" spans="1:27" ht="15.75" customHeight="1">
      <c r="A500" s="12"/>
      <c r="B500" s="12"/>
      <c r="C500" s="12"/>
      <c r="D500" s="12"/>
      <c r="E500" s="12"/>
      <c r="F500" s="12"/>
      <c r="G500" s="12"/>
      <c r="H500" s="12"/>
      <c r="I500" s="12"/>
      <c r="J500" s="12"/>
      <c r="K500" s="12"/>
      <c r="L500" s="12"/>
      <c r="M500" s="12"/>
      <c r="N500" s="12"/>
      <c r="O500" s="12"/>
      <c r="P500" s="12"/>
      <c r="Q500" s="12"/>
      <c r="R500" s="12"/>
      <c r="S500" s="12"/>
      <c r="T500" s="12"/>
      <c r="U500" s="12"/>
      <c r="W500" s="12"/>
      <c r="X500" s="12"/>
      <c r="Y500" s="12"/>
      <c r="Z500" s="12"/>
      <c r="AA500" s="12"/>
    </row>
    <row r="501" spans="1:27" ht="15.75" customHeight="1">
      <c r="A501" s="12"/>
      <c r="B501" s="12"/>
      <c r="C501" s="12"/>
      <c r="D501" s="12"/>
      <c r="E501" s="12"/>
      <c r="F501" s="12"/>
      <c r="G501" s="12"/>
      <c r="H501" s="12"/>
      <c r="I501" s="12"/>
      <c r="J501" s="12"/>
      <c r="K501" s="12"/>
      <c r="L501" s="12"/>
      <c r="M501" s="12"/>
      <c r="N501" s="12"/>
      <c r="O501" s="12"/>
      <c r="P501" s="12"/>
      <c r="Q501" s="12"/>
      <c r="R501" s="12"/>
      <c r="S501" s="12"/>
      <c r="T501" s="12"/>
      <c r="U501" s="12"/>
      <c r="W501" s="12"/>
      <c r="X501" s="12"/>
      <c r="Y501" s="12"/>
      <c r="Z501" s="12"/>
      <c r="AA501" s="12"/>
    </row>
    <row r="502" spans="1:27" ht="15.75" customHeight="1">
      <c r="A502" s="12"/>
      <c r="B502" s="12"/>
      <c r="C502" s="12"/>
      <c r="D502" s="12"/>
      <c r="E502" s="12"/>
      <c r="F502" s="12"/>
      <c r="G502" s="12"/>
      <c r="H502" s="12"/>
      <c r="I502" s="12"/>
      <c r="J502" s="12"/>
      <c r="K502" s="12"/>
      <c r="L502" s="12"/>
      <c r="M502" s="12"/>
      <c r="N502" s="12"/>
      <c r="O502" s="12"/>
      <c r="P502" s="12"/>
      <c r="Q502" s="12"/>
      <c r="R502" s="12"/>
      <c r="S502" s="12"/>
      <c r="T502" s="12"/>
      <c r="U502" s="12"/>
      <c r="W502" s="12"/>
      <c r="X502" s="12"/>
      <c r="Y502" s="12"/>
      <c r="Z502" s="12"/>
      <c r="AA502" s="12"/>
    </row>
    <row r="503" spans="1:27" ht="15.75" customHeight="1">
      <c r="A503" s="12"/>
      <c r="B503" s="12"/>
      <c r="C503" s="12"/>
      <c r="D503" s="12"/>
      <c r="E503" s="12"/>
      <c r="F503" s="12"/>
      <c r="G503" s="12"/>
      <c r="H503" s="12"/>
      <c r="I503" s="12"/>
      <c r="J503" s="12"/>
      <c r="K503" s="12"/>
      <c r="L503" s="12"/>
      <c r="M503" s="12"/>
      <c r="N503" s="12"/>
      <c r="O503" s="12"/>
      <c r="P503" s="12"/>
      <c r="Q503" s="12"/>
      <c r="R503" s="12"/>
      <c r="S503" s="12"/>
      <c r="T503" s="12"/>
      <c r="U503" s="12"/>
      <c r="W503" s="12"/>
      <c r="X503" s="12"/>
      <c r="Y503" s="12"/>
      <c r="Z503" s="12"/>
      <c r="AA503" s="12"/>
    </row>
    <row r="504" spans="1:27" ht="15.75" customHeight="1">
      <c r="A504" s="12"/>
      <c r="B504" s="12"/>
      <c r="C504" s="12"/>
      <c r="D504" s="12"/>
      <c r="E504" s="12"/>
      <c r="F504" s="12"/>
      <c r="G504" s="12"/>
      <c r="H504" s="12"/>
      <c r="I504" s="12"/>
      <c r="J504" s="12"/>
      <c r="K504" s="12"/>
      <c r="L504" s="12"/>
      <c r="M504" s="12"/>
      <c r="N504" s="12"/>
      <c r="O504" s="12"/>
      <c r="P504" s="12"/>
      <c r="Q504" s="12"/>
      <c r="R504" s="12"/>
      <c r="S504" s="12"/>
      <c r="T504" s="12"/>
      <c r="U504" s="12"/>
      <c r="W504" s="12"/>
      <c r="X504" s="12"/>
      <c r="Y504" s="12"/>
      <c r="Z504" s="12"/>
      <c r="AA504" s="12"/>
    </row>
    <row r="505" spans="1:27" ht="15.75" customHeight="1">
      <c r="A505" s="12"/>
      <c r="B505" s="12"/>
      <c r="C505" s="12"/>
      <c r="D505" s="12"/>
      <c r="E505" s="12"/>
      <c r="F505" s="12"/>
      <c r="G505" s="12"/>
      <c r="H505" s="12"/>
      <c r="I505" s="12"/>
      <c r="J505" s="12"/>
      <c r="K505" s="12"/>
      <c r="L505" s="12"/>
      <c r="M505" s="12"/>
      <c r="N505" s="12"/>
      <c r="O505" s="12"/>
      <c r="P505" s="12"/>
      <c r="Q505" s="12"/>
      <c r="R505" s="12"/>
      <c r="S505" s="12"/>
      <c r="T505" s="12"/>
      <c r="U505" s="12"/>
      <c r="W505" s="12"/>
      <c r="X505" s="12"/>
      <c r="Y505" s="12"/>
      <c r="Z505" s="12"/>
      <c r="AA505" s="12"/>
    </row>
    <row r="506" spans="1:27" ht="15.75" customHeight="1">
      <c r="A506" s="12"/>
      <c r="B506" s="12"/>
      <c r="C506" s="12"/>
      <c r="D506" s="12"/>
      <c r="E506" s="12"/>
      <c r="F506" s="12"/>
      <c r="G506" s="12"/>
      <c r="H506" s="12"/>
      <c r="I506" s="12"/>
      <c r="J506" s="12"/>
      <c r="K506" s="12"/>
      <c r="L506" s="12"/>
      <c r="M506" s="12"/>
      <c r="N506" s="12"/>
      <c r="O506" s="12"/>
      <c r="P506" s="12"/>
      <c r="Q506" s="12"/>
      <c r="R506" s="12"/>
      <c r="S506" s="12"/>
      <c r="T506" s="12"/>
      <c r="U506" s="12"/>
      <c r="W506" s="12"/>
      <c r="X506" s="12"/>
      <c r="Y506" s="12"/>
      <c r="Z506" s="12"/>
      <c r="AA506" s="12"/>
    </row>
    <row r="507" spans="1:27" ht="15.75" customHeight="1">
      <c r="A507" s="12"/>
      <c r="B507" s="12"/>
      <c r="C507" s="12"/>
      <c r="D507" s="12"/>
      <c r="E507" s="12"/>
      <c r="F507" s="12"/>
      <c r="G507" s="12"/>
      <c r="H507" s="12"/>
      <c r="I507" s="12"/>
      <c r="J507" s="12"/>
      <c r="K507" s="12"/>
      <c r="L507" s="12"/>
      <c r="M507" s="12"/>
      <c r="N507" s="12"/>
      <c r="O507" s="12"/>
      <c r="P507" s="12"/>
      <c r="Q507" s="12"/>
      <c r="R507" s="12"/>
      <c r="S507" s="12"/>
      <c r="T507" s="12"/>
      <c r="U507" s="12"/>
      <c r="W507" s="12"/>
      <c r="X507" s="12"/>
      <c r="Y507" s="12"/>
      <c r="Z507" s="12"/>
      <c r="AA507" s="12"/>
    </row>
    <row r="508" spans="1:27" ht="15.75" customHeight="1">
      <c r="A508" s="12"/>
      <c r="B508" s="12"/>
      <c r="C508" s="12"/>
      <c r="D508" s="12"/>
      <c r="E508" s="12"/>
      <c r="F508" s="12"/>
      <c r="G508" s="12"/>
      <c r="H508" s="12"/>
      <c r="I508" s="12"/>
      <c r="J508" s="12"/>
      <c r="K508" s="12"/>
      <c r="L508" s="12"/>
      <c r="M508" s="12"/>
      <c r="N508" s="12"/>
      <c r="O508" s="12"/>
      <c r="P508" s="12"/>
      <c r="Q508" s="12"/>
      <c r="R508" s="12"/>
      <c r="S508" s="12"/>
      <c r="T508" s="12"/>
      <c r="U508" s="12"/>
      <c r="W508" s="12"/>
      <c r="X508" s="12"/>
      <c r="Y508" s="12"/>
      <c r="Z508" s="12"/>
      <c r="AA508" s="12"/>
    </row>
    <row r="509" spans="1:27" ht="15.75" customHeight="1">
      <c r="A509" s="12"/>
      <c r="B509" s="12"/>
      <c r="C509" s="12"/>
      <c r="D509" s="12"/>
      <c r="E509" s="12"/>
      <c r="F509" s="12"/>
      <c r="G509" s="12"/>
      <c r="H509" s="12"/>
      <c r="I509" s="12"/>
      <c r="J509" s="12"/>
      <c r="K509" s="12"/>
      <c r="L509" s="12"/>
      <c r="M509" s="12"/>
      <c r="N509" s="12"/>
      <c r="O509" s="12"/>
      <c r="P509" s="12"/>
      <c r="Q509" s="12"/>
      <c r="R509" s="12"/>
      <c r="S509" s="12"/>
      <c r="T509" s="12"/>
      <c r="U509" s="12"/>
      <c r="W509" s="12"/>
      <c r="X509" s="12"/>
      <c r="Y509" s="12"/>
      <c r="Z509" s="12"/>
      <c r="AA509" s="12"/>
    </row>
    <row r="510" spans="1:27" ht="15.75" customHeight="1">
      <c r="A510" s="12"/>
      <c r="B510" s="12"/>
      <c r="C510" s="12"/>
      <c r="D510" s="12"/>
      <c r="E510" s="12"/>
      <c r="F510" s="12"/>
      <c r="G510" s="12"/>
      <c r="H510" s="12"/>
      <c r="I510" s="12"/>
      <c r="J510" s="12"/>
      <c r="K510" s="12"/>
      <c r="L510" s="12"/>
      <c r="M510" s="12"/>
      <c r="N510" s="12"/>
      <c r="O510" s="12"/>
      <c r="P510" s="12"/>
      <c r="Q510" s="12"/>
      <c r="R510" s="12"/>
      <c r="S510" s="12"/>
      <c r="T510" s="12"/>
      <c r="U510" s="12"/>
      <c r="W510" s="12"/>
      <c r="X510" s="12"/>
      <c r="Y510" s="12"/>
      <c r="Z510" s="12"/>
      <c r="AA510" s="12"/>
    </row>
    <row r="511" spans="1:27" ht="15.75" customHeight="1">
      <c r="A511" s="12"/>
      <c r="B511" s="12"/>
      <c r="C511" s="12"/>
      <c r="D511" s="12"/>
      <c r="E511" s="12"/>
      <c r="F511" s="12"/>
      <c r="G511" s="12"/>
      <c r="H511" s="12"/>
      <c r="I511" s="12"/>
      <c r="J511" s="12"/>
      <c r="K511" s="12"/>
      <c r="L511" s="12"/>
      <c r="M511" s="12"/>
      <c r="N511" s="12"/>
      <c r="O511" s="12"/>
      <c r="P511" s="12"/>
      <c r="Q511" s="12"/>
      <c r="R511" s="12"/>
      <c r="S511" s="12"/>
      <c r="T511" s="12"/>
      <c r="U511" s="12"/>
      <c r="W511" s="12"/>
      <c r="X511" s="12"/>
      <c r="Y511" s="12"/>
      <c r="Z511" s="12"/>
      <c r="AA511" s="12"/>
    </row>
    <row r="512" spans="1:27" ht="15.75" customHeight="1">
      <c r="A512" s="12"/>
      <c r="B512" s="12"/>
      <c r="C512" s="12"/>
      <c r="D512" s="12"/>
      <c r="E512" s="12"/>
      <c r="F512" s="12"/>
      <c r="G512" s="12"/>
      <c r="H512" s="12"/>
      <c r="I512" s="12"/>
      <c r="J512" s="12"/>
      <c r="K512" s="12"/>
      <c r="L512" s="12"/>
      <c r="M512" s="12"/>
      <c r="N512" s="12"/>
      <c r="O512" s="12"/>
      <c r="P512" s="12"/>
      <c r="Q512" s="12"/>
      <c r="R512" s="12"/>
      <c r="S512" s="12"/>
      <c r="T512" s="12"/>
      <c r="U512" s="12"/>
      <c r="W512" s="12"/>
      <c r="X512" s="12"/>
      <c r="Y512" s="12"/>
      <c r="Z512" s="12"/>
      <c r="AA512" s="12"/>
    </row>
    <row r="513" spans="1:27" ht="15.75" customHeight="1">
      <c r="A513" s="12"/>
      <c r="B513" s="12"/>
      <c r="C513" s="12"/>
      <c r="D513" s="12"/>
      <c r="E513" s="12"/>
      <c r="F513" s="12"/>
      <c r="G513" s="12"/>
      <c r="H513" s="12"/>
      <c r="I513" s="12"/>
      <c r="J513" s="12"/>
      <c r="K513" s="12"/>
      <c r="L513" s="12"/>
      <c r="M513" s="12"/>
      <c r="N513" s="12"/>
      <c r="O513" s="12"/>
      <c r="P513" s="12"/>
      <c r="Q513" s="12"/>
      <c r="R513" s="12"/>
      <c r="S513" s="12"/>
      <c r="T513" s="12"/>
      <c r="U513" s="12"/>
      <c r="W513" s="12"/>
      <c r="X513" s="12"/>
      <c r="Y513" s="12"/>
      <c r="Z513" s="12"/>
      <c r="AA513" s="12"/>
    </row>
    <row r="514" spans="1:27" ht="15.75" customHeight="1">
      <c r="A514" s="12"/>
      <c r="B514" s="12"/>
      <c r="C514" s="12"/>
      <c r="D514" s="12"/>
      <c r="E514" s="12"/>
      <c r="F514" s="12"/>
      <c r="G514" s="12"/>
      <c r="H514" s="12"/>
      <c r="I514" s="12"/>
      <c r="J514" s="12"/>
      <c r="K514" s="12"/>
      <c r="L514" s="12"/>
      <c r="M514" s="12"/>
      <c r="N514" s="12"/>
      <c r="O514" s="12"/>
      <c r="P514" s="12"/>
      <c r="Q514" s="12"/>
      <c r="R514" s="12"/>
      <c r="S514" s="12"/>
      <c r="T514" s="12"/>
      <c r="U514" s="12"/>
      <c r="W514" s="12"/>
      <c r="X514" s="12"/>
      <c r="Y514" s="12"/>
      <c r="Z514" s="12"/>
      <c r="AA514" s="12"/>
    </row>
    <row r="515" spans="1:27" ht="15.75" customHeight="1">
      <c r="A515" s="12"/>
      <c r="B515" s="12"/>
      <c r="C515" s="12"/>
      <c r="D515" s="12"/>
      <c r="E515" s="12"/>
      <c r="F515" s="12"/>
      <c r="G515" s="12"/>
      <c r="H515" s="12"/>
      <c r="I515" s="12"/>
      <c r="J515" s="12"/>
      <c r="K515" s="12"/>
      <c r="L515" s="12"/>
      <c r="M515" s="12"/>
      <c r="N515" s="12"/>
      <c r="O515" s="12"/>
      <c r="P515" s="12"/>
      <c r="Q515" s="12"/>
      <c r="R515" s="12"/>
      <c r="S515" s="12"/>
      <c r="T515" s="12"/>
      <c r="U515" s="12"/>
      <c r="W515" s="12"/>
      <c r="X515" s="12"/>
      <c r="Y515" s="12"/>
      <c r="Z515" s="12"/>
      <c r="AA515" s="12"/>
    </row>
    <row r="516" spans="1:27" ht="15.75" customHeight="1">
      <c r="A516" s="12"/>
      <c r="B516" s="12"/>
      <c r="C516" s="12"/>
      <c r="D516" s="12"/>
      <c r="E516" s="12"/>
      <c r="F516" s="12"/>
      <c r="G516" s="12"/>
      <c r="H516" s="12"/>
      <c r="I516" s="12"/>
      <c r="J516" s="12"/>
      <c r="K516" s="12"/>
      <c r="L516" s="12"/>
      <c r="M516" s="12"/>
      <c r="N516" s="12"/>
      <c r="O516" s="12"/>
      <c r="P516" s="12"/>
      <c r="Q516" s="12"/>
      <c r="R516" s="12"/>
      <c r="S516" s="12"/>
      <c r="T516" s="12"/>
      <c r="U516" s="12"/>
      <c r="W516" s="12"/>
      <c r="X516" s="12"/>
      <c r="Y516" s="12"/>
      <c r="Z516" s="12"/>
      <c r="AA516" s="12"/>
    </row>
    <row r="517" spans="1:27" ht="15.75" customHeight="1">
      <c r="A517" s="12"/>
      <c r="B517" s="12"/>
      <c r="C517" s="12"/>
      <c r="D517" s="12"/>
      <c r="E517" s="12"/>
      <c r="F517" s="12"/>
      <c r="G517" s="12"/>
      <c r="H517" s="12"/>
      <c r="I517" s="12"/>
      <c r="J517" s="12"/>
      <c r="K517" s="12"/>
      <c r="L517" s="12"/>
      <c r="M517" s="12"/>
      <c r="N517" s="12"/>
      <c r="O517" s="12"/>
      <c r="P517" s="12"/>
      <c r="Q517" s="12"/>
      <c r="R517" s="12"/>
      <c r="S517" s="12"/>
      <c r="T517" s="12"/>
      <c r="U517" s="12"/>
      <c r="W517" s="12"/>
      <c r="X517" s="12"/>
      <c r="Y517" s="12"/>
      <c r="Z517" s="12"/>
      <c r="AA517" s="12"/>
    </row>
    <row r="518" spans="1:27" ht="15.75" customHeight="1">
      <c r="A518" s="12"/>
      <c r="B518" s="12"/>
      <c r="C518" s="12"/>
      <c r="D518" s="12"/>
      <c r="E518" s="12"/>
      <c r="F518" s="12"/>
      <c r="G518" s="12"/>
      <c r="H518" s="12"/>
      <c r="I518" s="12"/>
      <c r="J518" s="12"/>
      <c r="K518" s="12"/>
      <c r="L518" s="12"/>
      <c r="M518" s="12"/>
      <c r="N518" s="12"/>
      <c r="O518" s="12"/>
      <c r="P518" s="12"/>
      <c r="Q518" s="12"/>
      <c r="R518" s="12"/>
      <c r="S518" s="12"/>
      <c r="T518" s="12"/>
      <c r="U518" s="12"/>
      <c r="W518" s="12"/>
      <c r="X518" s="12"/>
      <c r="Y518" s="12"/>
      <c r="Z518" s="12"/>
      <c r="AA518" s="12"/>
    </row>
    <row r="519" spans="1:27" ht="15.75" customHeight="1">
      <c r="A519" s="12"/>
      <c r="B519" s="12"/>
      <c r="C519" s="12"/>
      <c r="D519" s="12"/>
      <c r="E519" s="12"/>
      <c r="F519" s="12"/>
      <c r="G519" s="12"/>
      <c r="H519" s="12"/>
      <c r="I519" s="12"/>
      <c r="J519" s="12"/>
      <c r="K519" s="12"/>
      <c r="L519" s="12"/>
      <c r="M519" s="12"/>
      <c r="N519" s="12"/>
      <c r="O519" s="12"/>
      <c r="P519" s="12"/>
      <c r="Q519" s="12"/>
      <c r="R519" s="12"/>
      <c r="S519" s="12"/>
      <c r="T519" s="12"/>
      <c r="U519" s="12"/>
      <c r="W519" s="12"/>
      <c r="X519" s="12"/>
      <c r="Y519" s="12"/>
      <c r="Z519" s="12"/>
      <c r="AA519" s="12"/>
    </row>
    <row r="520" spans="1:27" ht="15.75" customHeight="1">
      <c r="A520" s="12"/>
      <c r="B520" s="12"/>
      <c r="C520" s="12"/>
      <c r="D520" s="12"/>
      <c r="E520" s="12"/>
      <c r="F520" s="12"/>
      <c r="G520" s="12"/>
      <c r="H520" s="12"/>
      <c r="I520" s="12"/>
      <c r="J520" s="12"/>
      <c r="K520" s="12"/>
      <c r="L520" s="12"/>
      <c r="M520" s="12"/>
      <c r="N520" s="12"/>
      <c r="O520" s="12"/>
      <c r="P520" s="12"/>
      <c r="Q520" s="12"/>
      <c r="R520" s="12"/>
      <c r="S520" s="12"/>
      <c r="T520" s="12"/>
      <c r="U520" s="12"/>
      <c r="W520" s="12"/>
      <c r="X520" s="12"/>
      <c r="Y520" s="12"/>
      <c r="Z520" s="12"/>
      <c r="AA520" s="12"/>
    </row>
    <row r="521" spans="1:27" ht="15.75" customHeight="1">
      <c r="A521" s="12"/>
      <c r="B521" s="12"/>
      <c r="C521" s="12"/>
      <c r="D521" s="12"/>
      <c r="E521" s="12"/>
      <c r="F521" s="12"/>
      <c r="G521" s="12"/>
      <c r="H521" s="12"/>
      <c r="I521" s="12"/>
      <c r="J521" s="12"/>
      <c r="K521" s="12"/>
      <c r="L521" s="12"/>
      <c r="M521" s="12"/>
      <c r="N521" s="12"/>
      <c r="O521" s="12"/>
      <c r="P521" s="12"/>
      <c r="Q521" s="12"/>
      <c r="R521" s="12"/>
      <c r="S521" s="12"/>
      <c r="T521" s="12"/>
      <c r="U521" s="12"/>
      <c r="W521" s="12"/>
      <c r="X521" s="12"/>
      <c r="Y521" s="12"/>
      <c r="Z521" s="12"/>
      <c r="AA521" s="12"/>
    </row>
    <row r="522" spans="1:27" ht="15.75" customHeight="1">
      <c r="A522" s="12"/>
      <c r="B522" s="12"/>
      <c r="C522" s="12"/>
      <c r="D522" s="12"/>
      <c r="E522" s="12"/>
      <c r="F522" s="12"/>
      <c r="G522" s="12"/>
      <c r="H522" s="12"/>
      <c r="I522" s="12"/>
      <c r="J522" s="12"/>
      <c r="K522" s="12"/>
      <c r="L522" s="12"/>
      <c r="M522" s="12"/>
      <c r="N522" s="12"/>
      <c r="O522" s="12"/>
      <c r="P522" s="12"/>
      <c r="Q522" s="12"/>
      <c r="R522" s="12"/>
      <c r="S522" s="12"/>
      <c r="T522" s="12"/>
      <c r="U522" s="12"/>
      <c r="W522" s="12"/>
      <c r="X522" s="12"/>
      <c r="Y522" s="12"/>
      <c r="Z522" s="12"/>
      <c r="AA522" s="12"/>
    </row>
    <row r="523" spans="1:27" ht="15.75" customHeight="1">
      <c r="A523" s="12"/>
      <c r="B523" s="12"/>
      <c r="C523" s="12"/>
      <c r="D523" s="12"/>
      <c r="E523" s="12"/>
      <c r="F523" s="12"/>
      <c r="G523" s="12"/>
      <c r="H523" s="12"/>
      <c r="I523" s="12"/>
      <c r="J523" s="12"/>
      <c r="K523" s="12"/>
      <c r="L523" s="12"/>
      <c r="M523" s="12"/>
      <c r="N523" s="12"/>
      <c r="O523" s="12"/>
      <c r="P523" s="12"/>
      <c r="Q523" s="12"/>
      <c r="R523" s="12"/>
      <c r="S523" s="12"/>
      <c r="T523" s="12"/>
      <c r="U523" s="12"/>
      <c r="W523" s="12"/>
      <c r="X523" s="12"/>
      <c r="Y523" s="12"/>
      <c r="Z523" s="12"/>
      <c r="AA523" s="12"/>
    </row>
    <row r="524" spans="1:27" ht="15.75" customHeight="1">
      <c r="A524" s="12"/>
      <c r="B524" s="12"/>
      <c r="C524" s="12"/>
      <c r="D524" s="12"/>
      <c r="E524" s="12"/>
      <c r="F524" s="12"/>
      <c r="G524" s="12"/>
      <c r="H524" s="12"/>
      <c r="I524" s="12"/>
      <c r="J524" s="12"/>
      <c r="K524" s="12"/>
      <c r="L524" s="12"/>
      <c r="M524" s="12"/>
      <c r="N524" s="12"/>
      <c r="O524" s="12"/>
      <c r="P524" s="12"/>
      <c r="Q524" s="12"/>
      <c r="R524" s="12"/>
      <c r="S524" s="12"/>
      <c r="T524" s="12"/>
      <c r="U524" s="12"/>
      <c r="W524" s="12"/>
      <c r="X524" s="12"/>
      <c r="Y524" s="12"/>
      <c r="Z524" s="12"/>
      <c r="AA524" s="12"/>
    </row>
    <row r="525" spans="1:27" ht="15.75" customHeight="1">
      <c r="A525" s="12"/>
      <c r="B525" s="12"/>
      <c r="C525" s="12"/>
      <c r="D525" s="12"/>
      <c r="E525" s="12"/>
      <c r="F525" s="12"/>
      <c r="G525" s="12"/>
      <c r="H525" s="12"/>
      <c r="I525" s="12"/>
      <c r="J525" s="12"/>
      <c r="K525" s="12"/>
      <c r="L525" s="12"/>
      <c r="M525" s="12"/>
      <c r="N525" s="12"/>
      <c r="O525" s="12"/>
      <c r="P525" s="12"/>
      <c r="Q525" s="12"/>
      <c r="R525" s="12"/>
      <c r="S525" s="12"/>
      <c r="T525" s="12"/>
      <c r="U525" s="12"/>
      <c r="W525" s="12"/>
      <c r="X525" s="12"/>
      <c r="Y525" s="12"/>
      <c r="Z525" s="12"/>
      <c r="AA525" s="12"/>
    </row>
    <row r="526" spans="1:27" ht="15.75" customHeight="1">
      <c r="A526" s="12"/>
      <c r="B526" s="12"/>
      <c r="C526" s="12"/>
      <c r="D526" s="12"/>
      <c r="E526" s="12"/>
      <c r="F526" s="12"/>
      <c r="G526" s="12"/>
      <c r="H526" s="12"/>
      <c r="I526" s="12"/>
      <c r="J526" s="12"/>
      <c r="K526" s="12"/>
      <c r="L526" s="12"/>
      <c r="M526" s="12"/>
      <c r="N526" s="12"/>
      <c r="O526" s="12"/>
      <c r="P526" s="12"/>
      <c r="Q526" s="12"/>
      <c r="R526" s="12"/>
      <c r="S526" s="12"/>
      <c r="T526" s="12"/>
      <c r="U526" s="12"/>
      <c r="W526" s="12"/>
      <c r="X526" s="12"/>
      <c r="Y526" s="12"/>
      <c r="Z526" s="12"/>
      <c r="AA526" s="12"/>
    </row>
    <row r="527" spans="1:27" ht="15.75" customHeight="1">
      <c r="A527" s="12"/>
      <c r="B527" s="12"/>
      <c r="C527" s="12"/>
      <c r="D527" s="12"/>
      <c r="E527" s="12"/>
      <c r="F527" s="12"/>
      <c r="G527" s="12"/>
      <c r="H527" s="12"/>
      <c r="I527" s="12"/>
      <c r="J527" s="12"/>
      <c r="K527" s="12"/>
      <c r="L527" s="12"/>
      <c r="M527" s="12"/>
      <c r="N527" s="12"/>
      <c r="O527" s="12"/>
      <c r="P527" s="12"/>
      <c r="Q527" s="12"/>
      <c r="R527" s="12"/>
      <c r="S527" s="12"/>
      <c r="T527" s="12"/>
      <c r="U527" s="12"/>
      <c r="W527" s="12"/>
      <c r="X527" s="12"/>
      <c r="Y527" s="12"/>
      <c r="Z527" s="12"/>
      <c r="AA527" s="12"/>
    </row>
    <row r="528" spans="1:27" ht="15.75" customHeight="1">
      <c r="A528" s="12"/>
      <c r="B528" s="12"/>
      <c r="C528" s="12"/>
      <c r="D528" s="12"/>
      <c r="E528" s="12"/>
      <c r="F528" s="12"/>
      <c r="G528" s="12"/>
      <c r="H528" s="12"/>
      <c r="I528" s="12"/>
      <c r="J528" s="12"/>
      <c r="K528" s="12"/>
      <c r="L528" s="12"/>
      <c r="M528" s="12"/>
      <c r="N528" s="12"/>
      <c r="O528" s="12"/>
      <c r="P528" s="12"/>
      <c r="Q528" s="12"/>
      <c r="R528" s="12"/>
      <c r="S528" s="12"/>
      <c r="T528" s="12"/>
      <c r="U528" s="12"/>
      <c r="W528" s="12"/>
      <c r="X528" s="12"/>
      <c r="Y528" s="12"/>
      <c r="Z528" s="12"/>
      <c r="AA528" s="12"/>
    </row>
    <row r="529" spans="1:27" ht="15.75" customHeight="1">
      <c r="A529" s="12"/>
      <c r="B529" s="12"/>
      <c r="C529" s="12"/>
      <c r="D529" s="12"/>
      <c r="E529" s="12"/>
      <c r="F529" s="12"/>
      <c r="G529" s="12"/>
      <c r="H529" s="12"/>
      <c r="I529" s="12"/>
      <c r="J529" s="12"/>
      <c r="K529" s="12"/>
      <c r="L529" s="12"/>
      <c r="M529" s="12"/>
      <c r="N529" s="12"/>
      <c r="O529" s="12"/>
      <c r="P529" s="12"/>
      <c r="Q529" s="12"/>
      <c r="R529" s="12"/>
      <c r="S529" s="12"/>
      <c r="T529" s="12"/>
      <c r="U529" s="12"/>
      <c r="W529" s="12"/>
      <c r="X529" s="12"/>
      <c r="Y529" s="12"/>
      <c r="Z529" s="12"/>
      <c r="AA529" s="12"/>
    </row>
    <row r="530" spans="1:27" ht="15.75" customHeight="1">
      <c r="A530" s="12"/>
      <c r="B530" s="12"/>
      <c r="C530" s="12"/>
      <c r="D530" s="12"/>
      <c r="E530" s="12"/>
      <c r="F530" s="12"/>
      <c r="G530" s="12"/>
      <c r="H530" s="12"/>
      <c r="I530" s="12"/>
      <c r="J530" s="12"/>
      <c r="K530" s="12"/>
      <c r="L530" s="12"/>
      <c r="M530" s="12"/>
      <c r="N530" s="12"/>
      <c r="O530" s="12"/>
      <c r="P530" s="12"/>
      <c r="Q530" s="12"/>
      <c r="R530" s="12"/>
      <c r="S530" s="12"/>
      <c r="T530" s="12"/>
      <c r="U530" s="12"/>
      <c r="W530" s="12"/>
      <c r="X530" s="12"/>
      <c r="Y530" s="12"/>
      <c r="Z530" s="12"/>
      <c r="AA530" s="12"/>
    </row>
    <row r="531" spans="1:27" ht="15.75" customHeight="1">
      <c r="A531" s="12"/>
      <c r="B531" s="12"/>
      <c r="C531" s="12"/>
      <c r="D531" s="12"/>
      <c r="E531" s="12"/>
      <c r="F531" s="12"/>
      <c r="G531" s="12"/>
      <c r="H531" s="12"/>
      <c r="I531" s="12"/>
      <c r="J531" s="12"/>
      <c r="K531" s="12"/>
      <c r="L531" s="12"/>
      <c r="M531" s="12"/>
      <c r="N531" s="12"/>
      <c r="O531" s="12"/>
      <c r="P531" s="12"/>
      <c r="Q531" s="12"/>
      <c r="R531" s="12"/>
      <c r="S531" s="12"/>
      <c r="T531" s="12"/>
      <c r="U531" s="12"/>
      <c r="W531" s="12"/>
      <c r="X531" s="12"/>
      <c r="Y531" s="12"/>
      <c r="Z531" s="12"/>
      <c r="AA531" s="12"/>
    </row>
    <row r="532" spans="1:27" ht="15.75" customHeight="1">
      <c r="A532" s="12"/>
      <c r="B532" s="12"/>
      <c r="C532" s="12"/>
      <c r="D532" s="12"/>
      <c r="E532" s="12"/>
      <c r="F532" s="12"/>
      <c r="G532" s="12"/>
      <c r="H532" s="12"/>
      <c r="I532" s="12"/>
      <c r="J532" s="12"/>
      <c r="K532" s="12"/>
      <c r="L532" s="12"/>
      <c r="M532" s="12"/>
      <c r="N532" s="12"/>
      <c r="O532" s="12"/>
      <c r="P532" s="12"/>
      <c r="Q532" s="12"/>
      <c r="R532" s="12"/>
      <c r="S532" s="12"/>
      <c r="T532" s="12"/>
      <c r="U532" s="12"/>
      <c r="W532" s="12"/>
      <c r="X532" s="12"/>
      <c r="Y532" s="12"/>
      <c r="Z532" s="12"/>
      <c r="AA532" s="12"/>
    </row>
    <row r="533" spans="1:27" ht="15.75" customHeight="1">
      <c r="A533" s="12"/>
      <c r="B533" s="12"/>
      <c r="C533" s="12"/>
      <c r="D533" s="12"/>
      <c r="E533" s="12"/>
      <c r="F533" s="12"/>
      <c r="G533" s="12"/>
      <c r="H533" s="12"/>
      <c r="I533" s="12"/>
      <c r="J533" s="12"/>
      <c r="K533" s="12"/>
      <c r="L533" s="12"/>
      <c r="M533" s="12"/>
      <c r="N533" s="12"/>
      <c r="O533" s="12"/>
      <c r="P533" s="12"/>
      <c r="Q533" s="12"/>
      <c r="R533" s="12"/>
      <c r="S533" s="12"/>
      <c r="T533" s="12"/>
      <c r="U533" s="12"/>
      <c r="W533" s="12"/>
      <c r="X533" s="12"/>
      <c r="Y533" s="12"/>
      <c r="Z533" s="12"/>
      <c r="AA533" s="12"/>
    </row>
    <row r="534" spans="1:27" ht="15.75" customHeight="1">
      <c r="A534" s="12"/>
      <c r="B534" s="12"/>
      <c r="C534" s="12"/>
      <c r="D534" s="12"/>
      <c r="E534" s="12"/>
      <c r="F534" s="12"/>
      <c r="G534" s="12"/>
      <c r="H534" s="12"/>
      <c r="I534" s="12"/>
      <c r="J534" s="12"/>
      <c r="K534" s="12"/>
      <c r="L534" s="12"/>
      <c r="M534" s="12"/>
      <c r="N534" s="12"/>
      <c r="O534" s="12"/>
      <c r="P534" s="12"/>
      <c r="Q534" s="12"/>
      <c r="R534" s="12"/>
      <c r="S534" s="12"/>
      <c r="T534" s="12"/>
      <c r="U534" s="12"/>
      <c r="W534" s="12"/>
      <c r="X534" s="12"/>
      <c r="Y534" s="12"/>
      <c r="Z534" s="12"/>
      <c r="AA534" s="12"/>
    </row>
    <row r="535" spans="1:27" ht="15.75" customHeight="1">
      <c r="A535" s="12"/>
      <c r="B535" s="12"/>
      <c r="C535" s="12"/>
      <c r="D535" s="12"/>
      <c r="E535" s="12"/>
      <c r="F535" s="12"/>
      <c r="G535" s="12"/>
      <c r="H535" s="12"/>
      <c r="I535" s="12"/>
      <c r="J535" s="12"/>
      <c r="K535" s="12"/>
      <c r="L535" s="12"/>
      <c r="M535" s="12"/>
      <c r="N535" s="12"/>
      <c r="O535" s="12"/>
      <c r="P535" s="12"/>
      <c r="Q535" s="12"/>
      <c r="R535" s="12"/>
      <c r="S535" s="12"/>
      <c r="T535" s="12"/>
      <c r="U535" s="12"/>
      <c r="W535" s="12"/>
      <c r="X535" s="12"/>
      <c r="Y535" s="12"/>
      <c r="Z535" s="12"/>
      <c r="AA535" s="12"/>
    </row>
    <row r="536" spans="1:27" ht="15.75" customHeight="1">
      <c r="A536" s="12"/>
      <c r="B536" s="12"/>
      <c r="C536" s="12"/>
      <c r="D536" s="12"/>
      <c r="E536" s="12"/>
      <c r="F536" s="12"/>
      <c r="G536" s="12"/>
      <c r="H536" s="12"/>
      <c r="I536" s="12"/>
      <c r="J536" s="12"/>
      <c r="K536" s="12"/>
      <c r="L536" s="12"/>
      <c r="M536" s="12"/>
      <c r="N536" s="12"/>
      <c r="O536" s="12"/>
      <c r="P536" s="12"/>
      <c r="Q536" s="12"/>
      <c r="R536" s="12"/>
      <c r="S536" s="12"/>
      <c r="T536" s="12"/>
      <c r="U536" s="12"/>
      <c r="W536" s="12"/>
      <c r="X536" s="12"/>
      <c r="Y536" s="12"/>
      <c r="Z536" s="12"/>
      <c r="AA536" s="12"/>
    </row>
    <row r="537" spans="1:27" ht="15.75" customHeight="1">
      <c r="A537" s="12"/>
      <c r="B537" s="12"/>
      <c r="C537" s="12"/>
      <c r="D537" s="12"/>
      <c r="E537" s="12"/>
      <c r="F537" s="12"/>
      <c r="G537" s="12"/>
      <c r="H537" s="12"/>
      <c r="I537" s="12"/>
      <c r="J537" s="12"/>
      <c r="K537" s="12"/>
      <c r="L537" s="12"/>
      <c r="M537" s="12"/>
      <c r="N537" s="12"/>
      <c r="O537" s="12"/>
      <c r="P537" s="12"/>
      <c r="Q537" s="12"/>
      <c r="R537" s="12"/>
      <c r="S537" s="12"/>
      <c r="T537" s="12"/>
      <c r="U537" s="12"/>
      <c r="W537" s="12"/>
      <c r="X537" s="12"/>
      <c r="Y537" s="12"/>
      <c r="Z537" s="12"/>
      <c r="AA537" s="12"/>
    </row>
    <row r="538" spans="1:27" ht="15.75" customHeight="1">
      <c r="A538" s="12"/>
      <c r="B538" s="12"/>
      <c r="C538" s="12"/>
      <c r="D538" s="12"/>
      <c r="E538" s="12"/>
      <c r="F538" s="12"/>
      <c r="G538" s="12"/>
      <c r="H538" s="12"/>
      <c r="I538" s="12"/>
      <c r="J538" s="12"/>
      <c r="K538" s="12"/>
      <c r="L538" s="12"/>
      <c r="M538" s="12"/>
      <c r="N538" s="12"/>
      <c r="O538" s="12"/>
      <c r="P538" s="12"/>
      <c r="Q538" s="12"/>
      <c r="R538" s="12"/>
      <c r="S538" s="12"/>
      <c r="T538" s="12"/>
      <c r="U538" s="12"/>
      <c r="W538" s="12"/>
      <c r="X538" s="12"/>
      <c r="Y538" s="12"/>
      <c r="Z538" s="12"/>
      <c r="AA538" s="12"/>
    </row>
    <row r="539" spans="1:27" ht="15.75" customHeight="1">
      <c r="A539" s="12"/>
      <c r="B539" s="12"/>
      <c r="C539" s="12"/>
      <c r="D539" s="12"/>
      <c r="E539" s="12"/>
      <c r="F539" s="12"/>
      <c r="G539" s="12"/>
      <c r="H539" s="12"/>
      <c r="I539" s="12"/>
      <c r="J539" s="12"/>
      <c r="K539" s="12"/>
      <c r="L539" s="12"/>
      <c r="M539" s="12"/>
      <c r="N539" s="12"/>
      <c r="O539" s="12"/>
      <c r="P539" s="12"/>
      <c r="Q539" s="12"/>
      <c r="R539" s="12"/>
      <c r="S539" s="12"/>
      <c r="T539" s="12"/>
      <c r="U539" s="12"/>
      <c r="W539" s="12"/>
      <c r="X539" s="12"/>
      <c r="Y539" s="12"/>
      <c r="Z539" s="12"/>
      <c r="AA539" s="12"/>
    </row>
    <row r="540" spans="1:27" ht="15.75" customHeight="1">
      <c r="A540" s="12"/>
      <c r="B540" s="12"/>
      <c r="C540" s="12"/>
      <c r="D540" s="12"/>
      <c r="E540" s="12"/>
      <c r="F540" s="12"/>
      <c r="G540" s="12"/>
      <c r="H540" s="12"/>
      <c r="I540" s="12"/>
      <c r="J540" s="12"/>
      <c r="K540" s="12"/>
      <c r="L540" s="12"/>
      <c r="M540" s="12"/>
      <c r="N540" s="12"/>
      <c r="O540" s="12"/>
      <c r="P540" s="12"/>
      <c r="Q540" s="12"/>
      <c r="R540" s="12"/>
      <c r="S540" s="12"/>
      <c r="T540" s="12"/>
      <c r="U540" s="12"/>
      <c r="W540" s="12"/>
      <c r="X540" s="12"/>
      <c r="Y540" s="12"/>
      <c r="Z540" s="12"/>
      <c r="AA540" s="12"/>
    </row>
    <row r="541" spans="1:27" ht="15.75" customHeight="1">
      <c r="A541" s="12"/>
      <c r="B541" s="12"/>
      <c r="C541" s="12"/>
      <c r="D541" s="12"/>
      <c r="E541" s="12"/>
      <c r="F541" s="12"/>
      <c r="G541" s="12"/>
      <c r="H541" s="12"/>
      <c r="I541" s="12"/>
      <c r="J541" s="12"/>
      <c r="K541" s="12"/>
      <c r="L541" s="12"/>
      <c r="M541" s="12"/>
      <c r="N541" s="12"/>
      <c r="O541" s="12"/>
      <c r="P541" s="12"/>
      <c r="Q541" s="12"/>
      <c r="R541" s="12"/>
      <c r="S541" s="12"/>
      <c r="T541" s="12"/>
      <c r="U541" s="12"/>
      <c r="W541" s="12"/>
      <c r="X541" s="12"/>
      <c r="Y541" s="12"/>
      <c r="Z541" s="12"/>
      <c r="AA541" s="12"/>
    </row>
    <row r="542" spans="1:27" ht="15.75" customHeight="1">
      <c r="A542" s="12"/>
      <c r="B542" s="12"/>
      <c r="C542" s="12"/>
      <c r="D542" s="12"/>
      <c r="E542" s="12"/>
      <c r="F542" s="12"/>
      <c r="G542" s="12"/>
      <c r="H542" s="12"/>
      <c r="I542" s="12"/>
      <c r="J542" s="12"/>
      <c r="K542" s="12"/>
      <c r="L542" s="12"/>
      <c r="M542" s="12"/>
      <c r="N542" s="12"/>
      <c r="O542" s="12"/>
      <c r="P542" s="12"/>
      <c r="Q542" s="12"/>
      <c r="R542" s="12"/>
      <c r="S542" s="12"/>
      <c r="T542" s="12"/>
      <c r="U542" s="12"/>
      <c r="W542" s="12"/>
      <c r="X542" s="12"/>
      <c r="Y542" s="12"/>
      <c r="Z542" s="12"/>
      <c r="AA542" s="12"/>
    </row>
    <row r="543" spans="1:27" ht="15.75" customHeight="1">
      <c r="A543" s="12"/>
      <c r="B543" s="12"/>
      <c r="C543" s="12"/>
      <c r="D543" s="12"/>
      <c r="E543" s="12"/>
      <c r="F543" s="12"/>
      <c r="G543" s="12"/>
      <c r="H543" s="12"/>
      <c r="I543" s="12"/>
      <c r="J543" s="12"/>
      <c r="K543" s="12"/>
      <c r="L543" s="12"/>
      <c r="M543" s="12"/>
      <c r="N543" s="12"/>
      <c r="O543" s="12"/>
      <c r="P543" s="12"/>
      <c r="Q543" s="12"/>
      <c r="R543" s="12"/>
      <c r="S543" s="12"/>
      <c r="T543" s="12"/>
      <c r="U543" s="12"/>
      <c r="W543" s="12"/>
      <c r="X543" s="12"/>
      <c r="Y543" s="12"/>
      <c r="Z543" s="12"/>
      <c r="AA543" s="12"/>
    </row>
    <row r="544" spans="1:27" ht="15.75" customHeight="1">
      <c r="A544" s="12"/>
      <c r="B544" s="12"/>
      <c r="C544" s="12"/>
      <c r="D544" s="12"/>
      <c r="E544" s="12"/>
      <c r="F544" s="12"/>
      <c r="G544" s="12"/>
      <c r="H544" s="12"/>
      <c r="I544" s="12"/>
      <c r="J544" s="12"/>
      <c r="K544" s="12"/>
      <c r="L544" s="12"/>
      <c r="M544" s="12"/>
      <c r="N544" s="12"/>
      <c r="O544" s="12"/>
      <c r="P544" s="12"/>
      <c r="Q544" s="12"/>
      <c r="R544" s="12"/>
      <c r="S544" s="12"/>
      <c r="T544" s="12"/>
      <c r="U544" s="12"/>
      <c r="W544" s="12"/>
      <c r="X544" s="12"/>
      <c r="Y544" s="12"/>
      <c r="Z544" s="12"/>
      <c r="AA544" s="12"/>
    </row>
    <row r="545" spans="1:27" ht="15.75" customHeight="1">
      <c r="A545" s="12"/>
      <c r="B545" s="12"/>
      <c r="C545" s="12"/>
      <c r="D545" s="12"/>
      <c r="E545" s="12"/>
      <c r="F545" s="12"/>
      <c r="G545" s="12"/>
      <c r="H545" s="12"/>
      <c r="I545" s="12"/>
      <c r="J545" s="12"/>
      <c r="K545" s="12"/>
      <c r="L545" s="12"/>
      <c r="M545" s="12"/>
      <c r="N545" s="12"/>
      <c r="O545" s="12"/>
      <c r="P545" s="12"/>
      <c r="Q545" s="12"/>
      <c r="R545" s="12"/>
      <c r="S545" s="12"/>
      <c r="T545" s="12"/>
      <c r="U545" s="12"/>
      <c r="W545" s="12"/>
      <c r="X545" s="12"/>
      <c r="Y545" s="12"/>
      <c r="Z545" s="12"/>
      <c r="AA545" s="12"/>
    </row>
    <row r="546" spans="1:27" ht="15.75" customHeight="1">
      <c r="A546" s="12"/>
      <c r="B546" s="12"/>
      <c r="C546" s="12"/>
      <c r="D546" s="12"/>
      <c r="E546" s="12"/>
      <c r="F546" s="12"/>
      <c r="G546" s="12"/>
      <c r="H546" s="12"/>
      <c r="I546" s="12"/>
      <c r="J546" s="12"/>
      <c r="K546" s="12"/>
      <c r="L546" s="12"/>
      <c r="M546" s="12"/>
      <c r="N546" s="12"/>
      <c r="O546" s="12"/>
      <c r="P546" s="12"/>
      <c r="Q546" s="12"/>
      <c r="R546" s="12"/>
      <c r="S546" s="12"/>
      <c r="T546" s="12"/>
      <c r="U546" s="12"/>
      <c r="W546" s="12"/>
      <c r="X546" s="12"/>
      <c r="Y546" s="12"/>
      <c r="Z546" s="12"/>
      <c r="AA546" s="12"/>
    </row>
    <row r="547" spans="1:27" ht="15.75" customHeight="1">
      <c r="A547" s="12"/>
      <c r="B547" s="12"/>
      <c r="C547" s="12"/>
      <c r="D547" s="12"/>
      <c r="E547" s="12"/>
      <c r="F547" s="12"/>
      <c r="G547" s="12"/>
      <c r="H547" s="12"/>
      <c r="I547" s="12"/>
      <c r="J547" s="12"/>
      <c r="K547" s="12"/>
      <c r="L547" s="12"/>
      <c r="M547" s="12"/>
      <c r="N547" s="12"/>
      <c r="O547" s="12"/>
      <c r="P547" s="12"/>
      <c r="Q547" s="12"/>
      <c r="R547" s="12"/>
      <c r="S547" s="12"/>
      <c r="T547" s="12"/>
      <c r="U547" s="12"/>
      <c r="W547" s="12"/>
      <c r="X547" s="12"/>
      <c r="Y547" s="12"/>
      <c r="Z547" s="12"/>
      <c r="AA547" s="12"/>
    </row>
    <row r="548" spans="1:27" ht="15.75" customHeight="1">
      <c r="A548" s="12"/>
      <c r="B548" s="12"/>
      <c r="C548" s="12"/>
      <c r="D548" s="12"/>
      <c r="E548" s="12"/>
      <c r="F548" s="12"/>
      <c r="G548" s="12"/>
      <c r="H548" s="12"/>
      <c r="I548" s="12"/>
      <c r="J548" s="12"/>
      <c r="K548" s="12"/>
      <c r="L548" s="12"/>
      <c r="M548" s="12"/>
      <c r="N548" s="12"/>
      <c r="O548" s="12"/>
      <c r="P548" s="12"/>
      <c r="Q548" s="12"/>
      <c r="R548" s="12"/>
      <c r="S548" s="12"/>
      <c r="T548" s="12"/>
      <c r="U548" s="12"/>
      <c r="W548" s="12"/>
      <c r="X548" s="12"/>
      <c r="Y548" s="12"/>
      <c r="Z548" s="12"/>
      <c r="AA548" s="12"/>
    </row>
    <row r="549" spans="1:27" ht="15.75" customHeight="1">
      <c r="A549" s="12"/>
      <c r="B549" s="12"/>
      <c r="C549" s="12"/>
      <c r="D549" s="12"/>
      <c r="E549" s="12"/>
      <c r="F549" s="12"/>
      <c r="G549" s="12"/>
      <c r="H549" s="12"/>
      <c r="I549" s="12"/>
      <c r="J549" s="12"/>
      <c r="K549" s="12"/>
      <c r="L549" s="12"/>
      <c r="M549" s="12"/>
      <c r="N549" s="12"/>
      <c r="O549" s="12"/>
      <c r="P549" s="12"/>
      <c r="Q549" s="12"/>
      <c r="R549" s="12"/>
      <c r="S549" s="12"/>
      <c r="T549" s="12"/>
      <c r="U549" s="12"/>
      <c r="W549" s="12"/>
      <c r="X549" s="12"/>
      <c r="Y549" s="12"/>
      <c r="Z549" s="12"/>
      <c r="AA549" s="12"/>
    </row>
    <row r="550" spans="1:27" ht="15.75" customHeight="1">
      <c r="A550" s="12"/>
      <c r="B550" s="12"/>
      <c r="C550" s="12"/>
      <c r="D550" s="12"/>
      <c r="E550" s="12"/>
      <c r="F550" s="12"/>
      <c r="G550" s="12"/>
      <c r="H550" s="12"/>
      <c r="I550" s="12"/>
      <c r="J550" s="12"/>
      <c r="K550" s="12"/>
      <c r="L550" s="12"/>
      <c r="M550" s="12"/>
      <c r="N550" s="12"/>
      <c r="O550" s="12"/>
      <c r="P550" s="12"/>
      <c r="Q550" s="12"/>
      <c r="R550" s="12"/>
      <c r="S550" s="12"/>
      <c r="T550" s="12"/>
      <c r="U550" s="12"/>
      <c r="W550" s="12"/>
      <c r="X550" s="12"/>
      <c r="Y550" s="12"/>
      <c r="Z550" s="12"/>
      <c r="AA550" s="12"/>
    </row>
    <row r="551" spans="1:27" ht="15.75" customHeight="1">
      <c r="A551" s="12"/>
      <c r="B551" s="12"/>
      <c r="C551" s="12"/>
      <c r="D551" s="12"/>
      <c r="E551" s="12"/>
      <c r="F551" s="12"/>
      <c r="G551" s="12"/>
      <c r="H551" s="12"/>
      <c r="I551" s="12"/>
      <c r="J551" s="12"/>
      <c r="K551" s="12"/>
      <c r="L551" s="12"/>
      <c r="M551" s="12"/>
      <c r="N551" s="12"/>
      <c r="O551" s="12"/>
      <c r="P551" s="12"/>
      <c r="Q551" s="12"/>
      <c r="R551" s="12"/>
      <c r="S551" s="12"/>
      <c r="T551" s="12"/>
      <c r="U551" s="12"/>
      <c r="W551" s="12"/>
      <c r="X551" s="12"/>
      <c r="Y551" s="12"/>
      <c r="Z551" s="12"/>
      <c r="AA551" s="12"/>
    </row>
    <row r="552" spans="1:27" ht="15.75" customHeight="1">
      <c r="A552" s="12"/>
      <c r="B552" s="12"/>
      <c r="C552" s="12"/>
      <c r="D552" s="12"/>
      <c r="E552" s="12"/>
      <c r="F552" s="12"/>
      <c r="G552" s="12"/>
      <c r="H552" s="12"/>
      <c r="I552" s="12"/>
      <c r="J552" s="12"/>
      <c r="K552" s="12"/>
      <c r="L552" s="12"/>
      <c r="M552" s="12"/>
      <c r="N552" s="12"/>
      <c r="O552" s="12"/>
      <c r="P552" s="12"/>
      <c r="Q552" s="12"/>
      <c r="R552" s="12"/>
      <c r="S552" s="12"/>
      <c r="T552" s="12"/>
      <c r="U552" s="12"/>
      <c r="W552" s="12"/>
      <c r="X552" s="12"/>
      <c r="Y552" s="12"/>
      <c r="Z552" s="12"/>
      <c r="AA552" s="12"/>
    </row>
    <row r="553" spans="1:27" ht="15.75" customHeight="1">
      <c r="A553" s="12"/>
      <c r="B553" s="12"/>
      <c r="C553" s="12"/>
      <c r="D553" s="12"/>
      <c r="E553" s="12"/>
      <c r="F553" s="12"/>
      <c r="G553" s="12"/>
      <c r="H553" s="12"/>
      <c r="I553" s="12"/>
      <c r="J553" s="12"/>
      <c r="K553" s="12"/>
      <c r="L553" s="12"/>
      <c r="M553" s="12"/>
      <c r="N553" s="12"/>
      <c r="O553" s="12"/>
      <c r="P553" s="12"/>
      <c r="Q553" s="12"/>
      <c r="R553" s="12"/>
      <c r="S553" s="12"/>
      <c r="T553" s="12"/>
      <c r="U553" s="12"/>
      <c r="W553" s="12"/>
      <c r="X553" s="12"/>
      <c r="Y553" s="12"/>
      <c r="Z553" s="12"/>
      <c r="AA553" s="12"/>
    </row>
    <row r="554" spans="1:27" ht="15.75" customHeight="1">
      <c r="A554" s="12"/>
      <c r="B554" s="12"/>
      <c r="C554" s="12"/>
      <c r="D554" s="12"/>
      <c r="E554" s="12"/>
      <c r="F554" s="12"/>
      <c r="G554" s="12"/>
      <c r="H554" s="12"/>
      <c r="I554" s="12"/>
      <c r="J554" s="12"/>
      <c r="K554" s="12"/>
      <c r="L554" s="12"/>
      <c r="M554" s="12"/>
      <c r="N554" s="12"/>
      <c r="O554" s="12"/>
      <c r="P554" s="12"/>
      <c r="Q554" s="12"/>
      <c r="R554" s="12"/>
      <c r="S554" s="12"/>
      <c r="T554" s="12"/>
      <c r="U554" s="12"/>
      <c r="W554" s="12"/>
      <c r="X554" s="12"/>
      <c r="Y554" s="12"/>
      <c r="Z554" s="12"/>
      <c r="AA554" s="12"/>
    </row>
    <row r="555" spans="1:27" ht="15.75" customHeight="1">
      <c r="A555" s="12"/>
      <c r="B555" s="12"/>
      <c r="C555" s="12"/>
      <c r="D555" s="12"/>
      <c r="E555" s="12"/>
      <c r="F555" s="12"/>
      <c r="G555" s="12"/>
      <c r="H555" s="12"/>
      <c r="I555" s="12"/>
      <c r="J555" s="12"/>
      <c r="K555" s="12"/>
      <c r="L555" s="12"/>
      <c r="M555" s="12"/>
      <c r="N555" s="12"/>
      <c r="O555" s="12"/>
      <c r="P555" s="12"/>
      <c r="Q555" s="12"/>
      <c r="R555" s="12"/>
      <c r="S555" s="12"/>
      <c r="T555" s="12"/>
      <c r="U555" s="12"/>
      <c r="W555" s="12"/>
      <c r="X555" s="12"/>
      <c r="Y555" s="12"/>
      <c r="Z555" s="12"/>
      <c r="AA555" s="12"/>
    </row>
    <row r="556" spans="1:27" ht="15.75" customHeight="1">
      <c r="A556" s="12"/>
      <c r="B556" s="12"/>
      <c r="C556" s="12"/>
      <c r="D556" s="12"/>
      <c r="E556" s="12"/>
      <c r="F556" s="12"/>
      <c r="G556" s="12"/>
      <c r="H556" s="12"/>
      <c r="I556" s="12"/>
      <c r="J556" s="12"/>
      <c r="K556" s="12"/>
      <c r="L556" s="12"/>
      <c r="M556" s="12"/>
      <c r="N556" s="12"/>
      <c r="O556" s="12"/>
      <c r="P556" s="12"/>
      <c r="Q556" s="12"/>
      <c r="R556" s="12"/>
      <c r="S556" s="12"/>
      <c r="T556" s="12"/>
      <c r="U556" s="12"/>
      <c r="W556" s="12"/>
      <c r="X556" s="12"/>
      <c r="Y556" s="12"/>
      <c r="Z556" s="12"/>
      <c r="AA556" s="12"/>
    </row>
    <row r="557" spans="1:27" ht="15.75" customHeight="1">
      <c r="A557" s="12"/>
      <c r="B557" s="12"/>
      <c r="C557" s="12"/>
      <c r="D557" s="12"/>
      <c r="E557" s="12"/>
      <c r="F557" s="12"/>
      <c r="G557" s="12"/>
      <c r="H557" s="12"/>
      <c r="I557" s="12"/>
      <c r="J557" s="12"/>
      <c r="K557" s="12"/>
      <c r="L557" s="12"/>
      <c r="M557" s="12"/>
      <c r="N557" s="12"/>
      <c r="O557" s="12"/>
      <c r="P557" s="12"/>
      <c r="Q557" s="12"/>
      <c r="R557" s="12"/>
      <c r="S557" s="12"/>
      <c r="T557" s="12"/>
      <c r="U557" s="12"/>
      <c r="W557" s="12"/>
      <c r="X557" s="12"/>
      <c r="Y557" s="12"/>
      <c r="Z557" s="12"/>
      <c r="AA557" s="12"/>
    </row>
    <row r="558" spans="1:27" ht="15.75" customHeight="1">
      <c r="A558" s="12"/>
      <c r="B558" s="12"/>
      <c r="C558" s="12"/>
      <c r="D558" s="12"/>
      <c r="E558" s="12"/>
      <c r="F558" s="12"/>
      <c r="G558" s="12"/>
      <c r="H558" s="12"/>
      <c r="I558" s="12"/>
      <c r="J558" s="12"/>
      <c r="K558" s="12"/>
      <c r="L558" s="12"/>
      <c r="M558" s="12"/>
      <c r="N558" s="12"/>
      <c r="O558" s="12"/>
      <c r="P558" s="12"/>
      <c r="Q558" s="12"/>
      <c r="R558" s="12"/>
      <c r="S558" s="12"/>
      <c r="T558" s="12"/>
      <c r="U558" s="12"/>
      <c r="W558" s="12"/>
      <c r="X558" s="12"/>
      <c r="Y558" s="12"/>
      <c r="Z558" s="12"/>
      <c r="AA558" s="12"/>
    </row>
    <row r="559" spans="1:27" ht="15.75" customHeight="1">
      <c r="A559" s="12"/>
      <c r="B559" s="12"/>
      <c r="C559" s="12"/>
      <c r="D559" s="12"/>
      <c r="E559" s="12"/>
      <c r="F559" s="12"/>
      <c r="G559" s="12"/>
      <c r="H559" s="12"/>
      <c r="I559" s="12"/>
      <c r="J559" s="12"/>
      <c r="K559" s="12"/>
      <c r="L559" s="12"/>
      <c r="M559" s="12"/>
      <c r="N559" s="12"/>
      <c r="O559" s="12"/>
      <c r="P559" s="12"/>
      <c r="Q559" s="12"/>
      <c r="R559" s="12"/>
      <c r="S559" s="12"/>
      <c r="T559" s="12"/>
      <c r="U559" s="12"/>
      <c r="W559" s="12"/>
      <c r="X559" s="12"/>
      <c r="Y559" s="12"/>
      <c r="Z559" s="12"/>
      <c r="AA559" s="12"/>
    </row>
    <row r="560" spans="1:27" ht="15.75" customHeight="1">
      <c r="A560" s="12"/>
      <c r="B560" s="12"/>
      <c r="C560" s="12"/>
      <c r="D560" s="12"/>
      <c r="E560" s="12"/>
      <c r="F560" s="12"/>
      <c r="G560" s="12"/>
      <c r="H560" s="12"/>
      <c r="I560" s="12"/>
      <c r="J560" s="12"/>
      <c r="K560" s="12"/>
      <c r="L560" s="12"/>
      <c r="M560" s="12"/>
      <c r="N560" s="12"/>
      <c r="O560" s="12"/>
      <c r="P560" s="12"/>
      <c r="Q560" s="12"/>
      <c r="R560" s="12"/>
      <c r="S560" s="12"/>
      <c r="T560" s="12"/>
      <c r="U560" s="12"/>
      <c r="W560" s="12"/>
      <c r="X560" s="12"/>
      <c r="Y560" s="12"/>
      <c r="Z560" s="12"/>
      <c r="AA560" s="12"/>
    </row>
    <row r="561" spans="1:27" ht="15.75" customHeight="1">
      <c r="A561" s="12"/>
      <c r="B561" s="12"/>
      <c r="C561" s="12"/>
      <c r="D561" s="12"/>
      <c r="E561" s="12"/>
      <c r="F561" s="12"/>
      <c r="G561" s="12"/>
      <c r="H561" s="12"/>
      <c r="I561" s="12"/>
      <c r="J561" s="12"/>
      <c r="K561" s="12"/>
      <c r="L561" s="12"/>
      <c r="M561" s="12"/>
      <c r="N561" s="12"/>
      <c r="O561" s="12"/>
      <c r="P561" s="12"/>
      <c r="Q561" s="12"/>
      <c r="R561" s="12"/>
      <c r="S561" s="12"/>
      <c r="T561" s="12"/>
      <c r="U561" s="12"/>
      <c r="W561" s="12"/>
      <c r="X561" s="12"/>
      <c r="Y561" s="12"/>
      <c r="Z561" s="12"/>
      <c r="AA561" s="12"/>
    </row>
    <row r="562" spans="1:27" ht="15.75" customHeight="1">
      <c r="A562" s="12"/>
      <c r="B562" s="12"/>
      <c r="C562" s="12"/>
      <c r="D562" s="12"/>
      <c r="E562" s="12"/>
      <c r="F562" s="12"/>
      <c r="G562" s="12"/>
      <c r="H562" s="12"/>
      <c r="I562" s="12"/>
      <c r="J562" s="12"/>
      <c r="K562" s="12"/>
      <c r="L562" s="12"/>
      <c r="M562" s="12"/>
      <c r="N562" s="12"/>
      <c r="O562" s="12"/>
      <c r="P562" s="12"/>
      <c r="Q562" s="12"/>
      <c r="R562" s="12"/>
      <c r="S562" s="12"/>
      <c r="T562" s="12"/>
      <c r="U562" s="12"/>
      <c r="W562" s="12"/>
      <c r="X562" s="12"/>
      <c r="Y562" s="12"/>
      <c r="Z562" s="12"/>
      <c r="AA562" s="12"/>
    </row>
    <row r="563" spans="1:27" ht="15.75" customHeight="1">
      <c r="A563" s="12"/>
      <c r="B563" s="12"/>
      <c r="C563" s="12"/>
      <c r="D563" s="12"/>
      <c r="E563" s="12"/>
      <c r="F563" s="12"/>
      <c r="G563" s="12"/>
      <c r="H563" s="12"/>
      <c r="I563" s="12"/>
      <c r="J563" s="12"/>
      <c r="K563" s="12"/>
      <c r="L563" s="12"/>
      <c r="M563" s="12"/>
      <c r="N563" s="12"/>
      <c r="O563" s="12"/>
      <c r="P563" s="12"/>
      <c r="Q563" s="12"/>
      <c r="R563" s="12"/>
      <c r="S563" s="12"/>
      <c r="T563" s="12"/>
      <c r="U563" s="12"/>
      <c r="W563" s="12"/>
      <c r="X563" s="12"/>
      <c r="Y563" s="12"/>
      <c r="Z563" s="12"/>
      <c r="AA563" s="12"/>
    </row>
    <row r="564" spans="1:27" ht="15.75" customHeight="1">
      <c r="A564" s="12"/>
      <c r="B564" s="12"/>
      <c r="C564" s="12"/>
      <c r="D564" s="12"/>
      <c r="E564" s="12"/>
      <c r="F564" s="12"/>
      <c r="G564" s="12"/>
      <c r="H564" s="12"/>
      <c r="I564" s="12"/>
      <c r="J564" s="12"/>
      <c r="K564" s="12"/>
      <c r="L564" s="12"/>
      <c r="M564" s="12"/>
      <c r="N564" s="12"/>
      <c r="O564" s="12"/>
      <c r="P564" s="12"/>
      <c r="Q564" s="12"/>
      <c r="R564" s="12"/>
      <c r="S564" s="12"/>
      <c r="T564" s="12"/>
      <c r="U564" s="12"/>
      <c r="W564" s="12"/>
      <c r="X564" s="12"/>
      <c r="Y564" s="12"/>
      <c r="Z564" s="12"/>
      <c r="AA564" s="12"/>
    </row>
    <row r="565" spans="1:27" ht="15.75" customHeight="1">
      <c r="A565" s="12"/>
      <c r="B565" s="12"/>
      <c r="C565" s="12"/>
      <c r="D565" s="12"/>
      <c r="E565" s="12"/>
      <c r="F565" s="12"/>
      <c r="G565" s="12"/>
      <c r="H565" s="12"/>
      <c r="I565" s="12"/>
      <c r="J565" s="12"/>
      <c r="K565" s="12"/>
      <c r="L565" s="12"/>
      <c r="M565" s="12"/>
      <c r="N565" s="12"/>
      <c r="O565" s="12"/>
      <c r="P565" s="12"/>
      <c r="Q565" s="12"/>
      <c r="R565" s="12"/>
      <c r="S565" s="12"/>
      <c r="T565" s="12"/>
      <c r="U565" s="12"/>
      <c r="W565" s="12"/>
      <c r="X565" s="12"/>
      <c r="Y565" s="12"/>
      <c r="Z565" s="12"/>
      <c r="AA565" s="12"/>
    </row>
    <row r="566" spans="1:27" ht="15.75" customHeight="1">
      <c r="A566" s="12"/>
      <c r="B566" s="12"/>
      <c r="C566" s="12"/>
      <c r="D566" s="12"/>
      <c r="E566" s="12"/>
      <c r="F566" s="12"/>
      <c r="G566" s="12"/>
      <c r="H566" s="12"/>
      <c r="I566" s="12"/>
      <c r="J566" s="12"/>
      <c r="K566" s="12"/>
      <c r="L566" s="12"/>
      <c r="M566" s="12"/>
      <c r="N566" s="12"/>
      <c r="O566" s="12"/>
      <c r="P566" s="12"/>
      <c r="Q566" s="12"/>
      <c r="R566" s="12"/>
      <c r="S566" s="12"/>
      <c r="T566" s="12"/>
      <c r="U566" s="12"/>
      <c r="W566" s="12"/>
      <c r="X566" s="12"/>
      <c r="Y566" s="12"/>
      <c r="Z566" s="12"/>
      <c r="AA566" s="12"/>
    </row>
    <row r="567" spans="1:27" ht="15.75" customHeight="1">
      <c r="A567" s="12"/>
      <c r="B567" s="12"/>
      <c r="C567" s="12"/>
      <c r="D567" s="12"/>
      <c r="E567" s="12"/>
      <c r="F567" s="12"/>
      <c r="G567" s="12"/>
      <c r="H567" s="12"/>
      <c r="I567" s="12"/>
      <c r="J567" s="12"/>
      <c r="K567" s="12"/>
      <c r="L567" s="12"/>
      <c r="M567" s="12"/>
      <c r="N567" s="12"/>
      <c r="O567" s="12"/>
      <c r="P567" s="12"/>
      <c r="Q567" s="12"/>
      <c r="R567" s="12"/>
      <c r="S567" s="12"/>
      <c r="T567" s="12"/>
      <c r="U567" s="12"/>
      <c r="W567" s="12"/>
      <c r="X567" s="12"/>
      <c r="Y567" s="12"/>
      <c r="Z567" s="12"/>
      <c r="AA567" s="12"/>
    </row>
    <row r="568" spans="1:27" ht="15.75" customHeight="1">
      <c r="A568" s="12"/>
      <c r="B568" s="12"/>
      <c r="C568" s="12"/>
      <c r="D568" s="12"/>
      <c r="E568" s="12"/>
      <c r="F568" s="12"/>
      <c r="G568" s="12"/>
      <c r="H568" s="12"/>
      <c r="I568" s="12"/>
      <c r="J568" s="12"/>
      <c r="K568" s="12"/>
      <c r="L568" s="12"/>
      <c r="M568" s="12"/>
      <c r="N568" s="12"/>
      <c r="O568" s="12"/>
      <c r="P568" s="12"/>
      <c r="Q568" s="12"/>
      <c r="R568" s="12"/>
      <c r="S568" s="12"/>
      <c r="T568" s="12"/>
      <c r="U568" s="12"/>
      <c r="W568" s="12"/>
      <c r="X568" s="12"/>
      <c r="Y568" s="12"/>
      <c r="Z568" s="12"/>
      <c r="AA568" s="12"/>
    </row>
    <row r="569" spans="1:27" ht="15.75" customHeight="1">
      <c r="A569" s="12"/>
      <c r="B569" s="12"/>
      <c r="C569" s="12"/>
      <c r="D569" s="12"/>
      <c r="E569" s="12"/>
      <c r="F569" s="12"/>
      <c r="G569" s="12"/>
      <c r="H569" s="12"/>
      <c r="I569" s="12"/>
      <c r="J569" s="12"/>
      <c r="K569" s="12"/>
      <c r="L569" s="12"/>
      <c r="M569" s="12"/>
      <c r="N569" s="12"/>
      <c r="O569" s="12"/>
      <c r="P569" s="12"/>
      <c r="Q569" s="12"/>
      <c r="R569" s="12"/>
      <c r="S569" s="12"/>
      <c r="T569" s="12"/>
      <c r="U569" s="12"/>
      <c r="W569" s="12"/>
      <c r="X569" s="12"/>
      <c r="Y569" s="12"/>
      <c r="Z569" s="12"/>
      <c r="AA569" s="12"/>
    </row>
    <row r="570" spans="1:27" ht="15.75" customHeight="1">
      <c r="A570" s="12"/>
      <c r="B570" s="12"/>
      <c r="C570" s="12"/>
      <c r="D570" s="12"/>
      <c r="E570" s="12"/>
      <c r="F570" s="12"/>
      <c r="G570" s="12"/>
      <c r="H570" s="12"/>
      <c r="I570" s="12"/>
      <c r="J570" s="12"/>
      <c r="K570" s="12"/>
      <c r="L570" s="12"/>
      <c r="M570" s="12"/>
      <c r="N570" s="12"/>
      <c r="O570" s="12"/>
      <c r="P570" s="12"/>
      <c r="Q570" s="12"/>
      <c r="R570" s="12"/>
      <c r="S570" s="12"/>
      <c r="T570" s="12"/>
      <c r="U570" s="12"/>
      <c r="W570" s="12"/>
      <c r="X570" s="12"/>
      <c r="Y570" s="12"/>
      <c r="Z570" s="12"/>
      <c r="AA570" s="12"/>
    </row>
    <row r="571" spans="1:27" ht="15.75" customHeight="1">
      <c r="A571" s="12"/>
      <c r="B571" s="12"/>
      <c r="C571" s="12"/>
      <c r="D571" s="12"/>
      <c r="E571" s="12"/>
      <c r="F571" s="12"/>
      <c r="G571" s="12"/>
      <c r="H571" s="12"/>
      <c r="I571" s="12"/>
      <c r="J571" s="12"/>
      <c r="K571" s="12"/>
      <c r="L571" s="12"/>
      <c r="M571" s="12"/>
      <c r="N571" s="12"/>
      <c r="O571" s="12"/>
      <c r="P571" s="12"/>
      <c r="Q571" s="12"/>
      <c r="R571" s="12"/>
      <c r="S571" s="12"/>
      <c r="T571" s="12"/>
      <c r="U571" s="12"/>
      <c r="W571" s="12"/>
      <c r="X571" s="12"/>
      <c r="Y571" s="12"/>
      <c r="Z571" s="12"/>
      <c r="AA571" s="12"/>
    </row>
    <row r="572" spans="1:27" ht="15.75" customHeight="1">
      <c r="A572" s="12"/>
      <c r="B572" s="12"/>
      <c r="C572" s="12"/>
      <c r="D572" s="12"/>
      <c r="E572" s="12"/>
      <c r="F572" s="12"/>
      <c r="G572" s="12"/>
      <c r="H572" s="12"/>
      <c r="I572" s="12"/>
      <c r="J572" s="12"/>
      <c r="K572" s="12"/>
      <c r="L572" s="12"/>
      <c r="M572" s="12"/>
      <c r="N572" s="12"/>
      <c r="O572" s="12"/>
      <c r="P572" s="12"/>
      <c r="Q572" s="12"/>
      <c r="R572" s="12"/>
      <c r="S572" s="12"/>
      <c r="T572" s="12"/>
      <c r="U572" s="12"/>
      <c r="W572" s="12"/>
      <c r="X572" s="12"/>
      <c r="Y572" s="12"/>
      <c r="Z572" s="12"/>
      <c r="AA572" s="12"/>
    </row>
    <row r="573" spans="1:27" ht="15.75" customHeight="1">
      <c r="A573" s="12"/>
      <c r="B573" s="12"/>
      <c r="C573" s="12"/>
      <c r="D573" s="12"/>
      <c r="E573" s="12"/>
      <c r="F573" s="12"/>
      <c r="G573" s="12"/>
      <c r="H573" s="12"/>
      <c r="I573" s="12"/>
      <c r="J573" s="12"/>
      <c r="K573" s="12"/>
      <c r="L573" s="12"/>
      <c r="M573" s="12"/>
      <c r="N573" s="12"/>
      <c r="O573" s="12"/>
      <c r="P573" s="12"/>
      <c r="Q573" s="12"/>
      <c r="R573" s="12"/>
      <c r="S573" s="12"/>
      <c r="T573" s="12"/>
      <c r="U573" s="12"/>
      <c r="W573" s="12"/>
      <c r="X573" s="12"/>
      <c r="Y573" s="12"/>
      <c r="Z573" s="12"/>
      <c r="AA573" s="12"/>
    </row>
    <row r="574" spans="1:27" ht="15.75" customHeight="1">
      <c r="A574" s="12"/>
      <c r="B574" s="12"/>
      <c r="C574" s="12"/>
      <c r="D574" s="12"/>
      <c r="E574" s="12"/>
      <c r="F574" s="12"/>
      <c r="G574" s="12"/>
      <c r="H574" s="12"/>
      <c r="I574" s="12"/>
      <c r="J574" s="12"/>
      <c r="K574" s="12"/>
      <c r="L574" s="12"/>
      <c r="M574" s="12"/>
      <c r="N574" s="12"/>
      <c r="O574" s="12"/>
      <c r="P574" s="12"/>
      <c r="Q574" s="12"/>
      <c r="R574" s="12"/>
      <c r="S574" s="12"/>
      <c r="T574" s="12"/>
      <c r="U574" s="12"/>
      <c r="W574" s="12"/>
      <c r="X574" s="12"/>
      <c r="Y574" s="12"/>
      <c r="Z574" s="12"/>
      <c r="AA574" s="12"/>
    </row>
    <row r="575" spans="1:27" ht="15.75" customHeight="1">
      <c r="A575" s="12"/>
      <c r="B575" s="12"/>
      <c r="C575" s="12"/>
      <c r="D575" s="12"/>
      <c r="E575" s="12"/>
      <c r="F575" s="12"/>
      <c r="G575" s="12"/>
      <c r="H575" s="12"/>
      <c r="I575" s="12"/>
      <c r="J575" s="12"/>
      <c r="K575" s="12"/>
      <c r="L575" s="12"/>
      <c r="M575" s="12"/>
      <c r="N575" s="12"/>
      <c r="O575" s="12"/>
      <c r="P575" s="12"/>
      <c r="Q575" s="12"/>
      <c r="R575" s="12"/>
      <c r="S575" s="12"/>
      <c r="T575" s="12"/>
      <c r="U575" s="12"/>
      <c r="W575" s="12"/>
      <c r="X575" s="12"/>
      <c r="Y575" s="12"/>
      <c r="Z575" s="12"/>
      <c r="AA575" s="12"/>
    </row>
    <row r="576" spans="1:27" ht="15.75" customHeight="1">
      <c r="A576" s="12"/>
      <c r="B576" s="12"/>
      <c r="C576" s="12"/>
      <c r="D576" s="12"/>
      <c r="E576" s="12"/>
      <c r="F576" s="12"/>
      <c r="G576" s="12"/>
      <c r="H576" s="12"/>
      <c r="I576" s="12"/>
      <c r="J576" s="12"/>
      <c r="K576" s="12"/>
      <c r="L576" s="12"/>
      <c r="M576" s="12"/>
      <c r="N576" s="12"/>
      <c r="O576" s="12"/>
      <c r="P576" s="12"/>
      <c r="Q576" s="12"/>
      <c r="R576" s="12"/>
      <c r="S576" s="12"/>
      <c r="T576" s="12"/>
      <c r="U576" s="12"/>
      <c r="W576" s="12"/>
      <c r="X576" s="12"/>
      <c r="Y576" s="12"/>
      <c r="Z576" s="12"/>
      <c r="AA576" s="12"/>
    </row>
    <row r="577" spans="1:27" ht="15.75" customHeight="1">
      <c r="A577" s="12"/>
      <c r="B577" s="12"/>
      <c r="C577" s="12"/>
      <c r="D577" s="12"/>
      <c r="E577" s="12"/>
      <c r="F577" s="12"/>
      <c r="G577" s="12"/>
      <c r="H577" s="12"/>
      <c r="I577" s="12"/>
      <c r="J577" s="12"/>
      <c r="K577" s="12"/>
      <c r="L577" s="12"/>
      <c r="M577" s="12"/>
      <c r="N577" s="12"/>
      <c r="O577" s="12"/>
      <c r="P577" s="12"/>
      <c r="Q577" s="12"/>
      <c r="R577" s="12"/>
      <c r="S577" s="12"/>
      <c r="T577" s="12"/>
      <c r="U577" s="12"/>
      <c r="W577" s="12"/>
      <c r="X577" s="12"/>
      <c r="Y577" s="12"/>
      <c r="Z577" s="12"/>
      <c r="AA577" s="12"/>
    </row>
    <row r="578" spans="1:27" ht="15.75" customHeight="1">
      <c r="A578" s="12"/>
      <c r="B578" s="12"/>
      <c r="C578" s="12"/>
      <c r="D578" s="12"/>
      <c r="E578" s="12"/>
      <c r="F578" s="12"/>
      <c r="G578" s="12"/>
      <c r="H578" s="12"/>
      <c r="I578" s="12"/>
      <c r="J578" s="12"/>
      <c r="K578" s="12"/>
      <c r="L578" s="12"/>
      <c r="M578" s="12"/>
      <c r="N578" s="12"/>
      <c r="O578" s="12"/>
      <c r="P578" s="12"/>
      <c r="Q578" s="12"/>
      <c r="R578" s="12"/>
      <c r="S578" s="12"/>
      <c r="T578" s="12"/>
      <c r="U578" s="12"/>
      <c r="W578" s="12"/>
      <c r="X578" s="12"/>
      <c r="Y578" s="12"/>
      <c r="Z578" s="12"/>
      <c r="AA578" s="12"/>
    </row>
    <row r="579" spans="1:27" ht="15.75" customHeight="1">
      <c r="A579" s="12"/>
      <c r="B579" s="12"/>
      <c r="C579" s="12"/>
      <c r="D579" s="12"/>
      <c r="E579" s="12"/>
      <c r="F579" s="12"/>
      <c r="G579" s="12"/>
      <c r="H579" s="12"/>
      <c r="I579" s="12"/>
      <c r="J579" s="12"/>
      <c r="K579" s="12"/>
      <c r="L579" s="12"/>
      <c r="M579" s="12"/>
      <c r="N579" s="12"/>
      <c r="O579" s="12"/>
      <c r="P579" s="12"/>
      <c r="Q579" s="12"/>
      <c r="R579" s="12"/>
      <c r="S579" s="12"/>
      <c r="T579" s="12"/>
      <c r="U579" s="12"/>
      <c r="W579" s="12"/>
      <c r="X579" s="12"/>
      <c r="Y579" s="12"/>
      <c r="Z579" s="12"/>
      <c r="AA579" s="12"/>
    </row>
    <row r="580" spans="1:27" ht="15.75" customHeight="1">
      <c r="A580" s="12"/>
      <c r="B580" s="12"/>
      <c r="C580" s="12"/>
      <c r="D580" s="12"/>
      <c r="E580" s="12"/>
      <c r="F580" s="12"/>
      <c r="G580" s="12"/>
      <c r="H580" s="12"/>
      <c r="I580" s="12"/>
      <c r="J580" s="12"/>
      <c r="K580" s="12"/>
      <c r="L580" s="12"/>
      <c r="M580" s="12"/>
      <c r="N580" s="12"/>
      <c r="O580" s="12"/>
      <c r="P580" s="12"/>
      <c r="Q580" s="12"/>
      <c r="R580" s="12"/>
      <c r="S580" s="12"/>
      <c r="T580" s="12"/>
      <c r="U580" s="12"/>
      <c r="W580" s="12"/>
      <c r="X580" s="12"/>
      <c r="Y580" s="12"/>
      <c r="Z580" s="12"/>
      <c r="AA580" s="12"/>
    </row>
    <row r="581" spans="1:27" ht="15.75" customHeight="1">
      <c r="A581" s="12"/>
      <c r="B581" s="12"/>
      <c r="C581" s="12"/>
      <c r="D581" s="12"/>
      <c r="E581" s="12"/>
      <c r="F581" s="12"/>
      <c r="G581" s="12"/>
      <c r="H581" s="12"/>
      <c r="I581" s="12"/>
      <c r="J581" s="12"/>
      <c r="K581" s="12"/>
      <c r="L581" s="12"/>
      <c r="M581" s="12"/>
      <c r="N581" s="12"/>
      <c r="O581" s="12"/>
      <c r="P581" s="12"/>
      <c r="Q581" s="12"/>
      <c r="R581" s="12"/>
      <c r="S581" s="12"/>
      <c r="T581" s="12"/>
      <c r="U581" s="12"/>
      <c r="W581" s="12"/>
      <c r="X581" s="12"/>
      <c r="Y581" s="12"/>
      <c r="Z581" s="12"/>
      <c r="AA581" s="12"/>
    </row>
    <row r="582" spans="1:27" ht="15.75" customHeight="1">
      <c r="A582" s="12"/>
      <c r="B582" s="12"/>
      <c r="C582" s="12"/>
      <c r="D582" s="12"/>
      <c r="E582" s="12"/>
      <c r="F582" s="12"/>
      <c r="G582" s="12"/>
      <c r="H582" s="12"/>
      <c r="I582" s="12"/>
      <c r="J582" s="12"/>
      <c r="K582" s="12"/>
      <c r="L582" s="12"/>
      <c r="M582" s="12"/>
      <c r="N582" s="12"/>
      <c r="O582" s="12"/>
      <c r="P582" s="12"/>
      <c r="Q582" s="12"/>
      <c r="R582" s="12"/>
      <c r="S582" s="12"/>
      <c r="T582" s="12"/>
      <c r="U582" s="12"/>
      <c r="W582" s="12"/>
      <c r="X582" s="12"/>
      <c r="Y582" s="12"/>
      <c r="Z582" s="12"/>
      <c r="AA582" s="12"/>
    </row>
    <row r="583" spans="1:27" ht="15.75" customHeight="1">
      <c r="A583" s="12"/>
      <c r="B583" s="12"/>
      <c r="C583" s="12"/>
      <c r="D583" s="12"/>
      <c r="E583" s="12"/>
      <c r="F583" s="12"/>
      <c r="G583" s="12"/>
      <c r="H583" s="12"/>
      <c r="I583" s="12"/>
      <c r="J583" s="12"/>
      <c r="K583" s="12"/>
      <c r="L583" s="12"/>
      <c r="M583" s="12"/>
      <c r="N583" s="12"/>
      <c r="O583" s="12"/>
      <c r="P583" s="12"/>
      <c r="Q583" s="12"/>
      <c r="R583" s="12"/>
      <c r="S583" s="12"/>
      <c r="T583" s="12"/>
      <c r="U583" s="12"/>
      <c r="W583" s="12"/>
      <c r="X583" s="12"/>
      <c r="Y583" s="12"/>
      <c r="Z583" s="12"/>
      <c r="AA583" s="12"/>
    </row>
    <row r="584" spans="1:27" ht="15.75" customHeight="1">
      <c r="A584" s="12"/>
      <c r="B584" s="12"/>
      <c r="C584" s="12"/>
      <c r="D584" s="12"/>
      <c r="E584" s="12"/>
      <c r="F584" s="12"/>
      <c r="G584" s="12"/>
      <c r="H584" s="12"/>
      <c r="I584" s="12"/>
      <c r="J584" s="12"/>
      <c r="K584" s="12"/>
      <c r="L584" s="12"/>
      <c r="M584" s="12"/>
      <c r="N584" s="12"/>
      <c r="O584" s="12"/>
      <c r="P584" s="12"/>
      <c r="Q584" s="12"/>
      <c r="R584" s="12"/>
      <c r="S584" s="12"/>
      <c r="T584" s="12"/>
      <c r="U584" s="12"/>
      <c r="W584" s="12"/>
      <c r="X584" s="12"/>
      <c r="Y584" s="12"/>
      <c r="Z584" s="12"/>
      <c r="AA584" s="12"/>
    </row>
    <row r="585" spans="1:27" ht="15.75" customHeight="1">
      <c r="A585" s="12"/>
      <c r="B585" s="12"/>
      <c r="C585" s="12"/>
      <c r="D585" s="12"/>
      <c r="E585" s="12"/>
      <c r="F585" s="12"/>
      <c r="G585" s="12"/>
      <c r="H585" s="12"/>
      <c r="I585" s="12"/>
      <c r="J585" s="12"/>
      <c r="K585" s="12"/>
      <c r="L585" s="12"/>
      <c r="M585" s="12"/>
      <c r="N585" s="12"/>
      <c r="O585" s="12"/>
      <c r="P585" s="12"/>
      <c r="Q585" s="12"/>
      <c r="R585" s="12"/>
      <c r="S585" s="12"/>
      <c r="T585" s="12"/>
      <c r="U585" s="12"/>
      <c r="W585" s="12"/>
      <c r="X585" s="12"/>
      <c r="Y585" s="12"/>
      <c r="Z585" s="12"/>
      <c r="AA585" s="12"/>
    </row>
    <row r="586" spans="1:27" ht="15.75" customHeight="1">
      <c r="A586" s="12"/>
      <c r="B586" s="12"/>
      <c r="C586" s="12"/>
      <c r="D586" s="12"/>
      <c r="E586" s="12"/>
      <c r="F586" s="12"/>
      <c r="G586" s="12"/>
      <c r="H586" s="12"/>
      <c r="I586" s="12"/>
      <c r="J586" s="12"/>
      <c r="K586" s="12"/>
      <c r="L586" s="12"/>
      <c r="M586" s="12"/>
      <c r="N586" s="12"/>
      <c r="O586" s="12"/>
      <c r="P586" s="12"/>
      <c r="Q586" s="12"/>
      <c r="R586" s="12"/>
      <c r="S586" s="12"/>
      <c r="T586" s="12"/>
      <c r="U586" s="12"/>
      <c r="W586" s="12"/>
      <c r="X586" s="12"/>
      <c r="Y586" s="12"/>
      <c r="Z586" s="12"/>
      <c r="AA586" s="12"/>
    </row>
    <row r="587" spans="1:27" ht="15.75" customHeight="1">
      <c r="A587" s="12"/>
      <c r="B587" s="12"/>
      <c r="C587" s="12"/>
      <c r="D587" s="12"/>
      <c r="E587" s="12"/>
      <c r="F587" s="12"/>
      <c r="G587" s="12"/>
      <c r="H587" s="12"/>
      <c r="I587" s="12"/>
      <c r="J587" s="12"/>
      <c r="K587" s="12"/>
      <c r="L587" s="12"/>
      <c r="M587" s="12"/>
      <c r="N587" s="12"/>
      <c r="O587" s="12"/>
      <c r="P587" s="12"/>
      <c r="Q587" s="12"/>
      <c r="R587" s="12"/>
      <c r="S587" s="12"/>
      <c r="T587" s="12"/>
      <c r="U587" s="12"/>
      <c r="W587" s="12"/>
      <c r="X587" s="12"/>
      <c r="Y587" s="12"/>
      <c r="Z587" s="12"/>
      <c r="AA587" s="12"/>
    </row>
    <row r="588" spans="1:27" ht="15.75" customHeight="1">
      <c r="A588" s="12"/>
      <c r="B588" s="12"/>
      <c r="C588" s="12"/>
      <c r="D588" s="12"/>
      <c r="E588" s="12"/>
      <c r="F588" s="12"/>
      <c r="G588" s="12"/>
      <c r="H588" s="12"/>
      <c r="I588" s="12"/>
      <c r="J588" s="12"/>
      <c r="K588" s="12"/>
      <c r="L588" s="12"/>
      <c r="M588" s="12"/>
      <c r="N588" s="12"/>
      <c r="O588" s="12"/>
      <c r="P588" s="12"/>
      <c r="Q588" s="12"/>
      <c r="R588" s="12"/>
      <c r="S588" s="12"/>
      <c r="T588" s="12"/>
      <c r="U588" s="12"/>
      <c r="W588" s="12"/>
      <c r="X588" s="12"/>
      <c r="Y588" s="12"/>
      <c r="Z588" s="12"/>
      <c r="AA588" s="12"/>
    </row>
    <row r="589" spans="1:27" ht="15.75" customHeight="1">
      <c r="A589" s="12"/>
      <c r="B589" s="12"/>
      <c r="C589" s="12"/>
      <c r="D589" s="12"/>
      <c r="E589" s="12"/>
      <c r="F589" s="12"/>
      <c r="G589" s="12"/>
      <c r="H589" s="12"/>
      <c r="I589" s="12"/>
      <c r="J589" s="12"/>
      <c r="K589" s="12"/>
      <c r="L589" s="12"/>
      <c r="M589" s="12"/>
      <c r="N589" s="12"/>
      <c r="O589" s="12"/>
      <c r="P589" s="12"/>
      <c r="Q589" s="12"/>
      <c r="R589" s="12"/>
      <c r="S589" s="12"/>
      <c r="T589" s="12"/>
      <c r="U589" s="12"/>
      <c r="W589" s="12"/>
      <c r="X589" s="12"/>
      <c r="Y589" s="12"/>
      <c r="Z589" s="12"/>
      <c r="AA589" s="12"/>
    </row>
    <row r="590" spans="1:27" ht="15.75" customHeight="1">
      <c r="A590" s="12"/>
      <c r="B590" s="12"/>
      <c r="C590" s="12"/>
      <c r="D590" s="12"/>
      <c r="E590" s="12"/>
      <c r="F590" s="12"/>
      <c r="G590" s="12"/>
      <c r="H590" s="12"/>
      <c r="I590" s="12"/>
      <c r="J590" s="12"/>
      <c r="K590" s="12"/>
      <c r="L590" s="12"/>
      <c r="M590" s="12"/>
      <c r="N590" s="12"/>
      <c r="O590" s="12"/>
      <c r="P590" s="12"/>
      <c r="Q590" s="12"/>
      <c r="R590" s="12"/>
      <c r="S590" s="12"/>
      <c r="T590" s="12"/>
      <c r="U590" s="12"/>
      <c r="W590" s="12"/>
      <c r="X590" s="12"/>
      <c r="Y590" s="12"/>
      <c r="Z590" s="12"/>
      <c r="AA590" s="12"/>
    </row>
    <row r="591" spans="1:27" ht="15.75" customHeight="1">
      <c r="A591" s="12"/>
      <c r="B591" s="12"/>
      <c r="C591" s="12"/>
      <c r="D591" s="12"/>
      <c r="E591" s="12"/>
      <c r="F591" s="12"/>
      <c r="G591" s="12"/>
      <c r="H591" s="12"/>
      <c r="I591" s="12"/>
      <c r="J591" s="12"/>
      <c r="K591" s="12"/>
      <c r="L591" s="12"/>
      <c r="M591" s="12"/>
      <c r="N591" s="12"/>
      <c r="O591" s="12"/>
      <c r="P591" s="12"/>
      <c r="Q591" s="12"/>
      <c r="R591" s="12"/>
      <c r="S591" s="12"/>
      <c r="T591" s="12"/>
      <c r="U591" s="12"/>
      <c r="W591" s="12"/>
      <c r="X591" s="12"/>
      <c r="Y591" s="12"/>
      <c r="Z591" s="12"/>
      <c r="AA591" s="12"/>
    </row>
    <row r="592" spans="1:27" ht="15.75" customHeight="1">
      <c r="A592" s="12"/>
      <c r="B592" s="12"/>
      <c r="C592" s="12"/>
      <c r="D592" s="12"/>
      <c r="E592" s="12"/>
      <c r="F592" s="12"/>
      <c r="G592" s="12"/>
      <c r="H592" s="12"/>
      <c r="I592" s="12"/>
      <c r="J592" s="12"/>
      <c r="K592" s="12"/>
      <c r="L592" s="12"/>
      <c r="M592" s="12"/>
      <c r="N592" s="12"/>
      <c r="O592" s="12"/>
      <c r="P592" s="12"/>
      <c r="Q592" s="12"/>
      <c r="R592" s="12"/>
      <c r="S592" s="12"/>
      <c r="T592" s="12"/>
      <c r="U592" s="12"/>
      <c r="W592" s="12"/>
      <c r="X592" s="12"/>
      <c r="Y592" s="12"/>
      <c r="Z592" s="12"/>
      <c r="AA592" s="12"/>
    </row>
    <row r="593" spans="1:27" ht="15.75" customHeight="1">
      <c r="A593" s="12"/>
      <c r="B593" s="12"/>
      <c r="C593" s="12"/>
      <c r="D593" s="12"/>
      <c r="E593" s="12"/>
      <c r="F593" s="12"/>
      <c r="G593" s="12"/>
      <c r="H593" s="12"/>
      <c r="I593" s="12"/>
      <c r="J593" s="12"/>
      <c r="K593" s="12"/>
      <c r="L593" s="12"/>
      <c r="M593" s="12"/>
      <c r="N593" s="12"/>
      <c r="O593" s="12"/>
      <c r="P593" s="12"/>
      <c r="Q593" s="12"/>
      <c r="R593" s="12"/>
      <c r="S593" s="12"/>
      <c r="T593" s="12"/>
      <c r="U593" s="12"/>
      <c r="W593" s="12"/>
      <c r="X593" s="12"/>
      <c r="Y593" s="12"/>
      <c r="Z593" s="12"/>
      <c r="AA593" s="12"/>
    </row>
    <row r="594" spans="1:27" ht="15.75" customHeight="1">
      <c r="A594" s="12"/>
      <c r="B594" s="12"/>
      <c r="C594" s="12"/>
      <c r="D594" s="12"/>
      <c r="E594" s="12"/>
      <c r="F594" s="12"/>
      <c r="G594" s="12"/>
      <c r="H594" s="12"/>
      <c r="I594" s="12"/>
      <c r="J594" s="12"/>
      <c r="K594" s="12"/>
      <c r="L594" s="12"/>
      <c r="M594" s="12"/>
      <c r="N594" s="12"/>
      <c r="O594" s="12"/>
      <c r="P594" s="12"/>
      <c r="Q594" s="12"/>
      <c r="R594" s="12"/>
      <c r="S594" s="12"/>
      <c r="T594" s="12"/>
      <c r="U594" s="12"/>
      <c r="W594" s="12"/>
      <c r="X594" s="12"/>
      <c r="Y594" s="12"/>
      <c r="Z594" s="12"/>
      <c r="AA594" s="12"/>
    </row>
    <row r="595" spans="1:27" ht="15.75" customHeight="1">
      <c r="A595" s="12"/>
      <c r="B595" s="12"/>
      <c r="C595" s="12"/>
      <c r="D595" s="12"/>
      <c r="E595" s="12"/>
      <c r="F595" s="12"/>
      <c r="G595" s="12"/>
      <c r="H595" s="12"/>
      <c r="I595" s="12"/>
      <c r="J595" s="12"/>
      <c r="K595" s="12"/>
      <c r="L595" s="12"/>
      <c r="M595" s="12"/>
      <c r="N595" s="12"/>
      <c r="O595" s="12"/>
      <c r="P595" s="12"/>
      <c r="Q595" s="12"/>
      <c r="R595" s="12"/>
      <c r="S595" s="12"/>
      <c r="T595" s="12"/>
      <c r="U595" s="12"/>
      <c r="W595" s="12"/>
      <c r="X595" s="12"/>
      <c r="Y595" s="12"/>
      <c r="Z595" s="12"/>
      <c r="AA595" s="12"/>
    </row>
    <row r="596" spans="1:27" ht="15.75" customHeight="1">
      <c r="A596" s="12"/>
      <c r="B596" s="12"/>
      <c r="C596" s="12"/>
      <c r="D596" s="12"/>
      <c r="E596" s="12"/>
      <c r="F596" s="12"/>
      <c r="G596" s="12"/>
      <c r="H596" s="12"/>
      <c r="I596" s="12"/>
      <c r="J596" s="12"/>
      <c r="K596" s="12"/>
      <c r="L596" s="12"/>
      <c r="M596" s="12"/>
      <c r="N596" s="12"/>
      <c r="O596" s="12"/>
      <c r="P596" s="12"/>
      <c r="Q596" s="12"/>
      <c r="R596" s="12"/>
      <c r="S596" s="12"/>
      <c r="T596" s="12"/>
      <c r="U596" s="12"/>
      <c r="W596" s="12"/>
      <c r="X596" s="12"/>
      <c r="Y596" s="12"/>
      <c r="Z596" s="12"/>
      <c r="AA596" s="12"/>
    </row>
    <row r="597" spans="1:27" ht="15.75" customHeight="1">
      <c r="A597" s="12"/>
      <c r="B597" s="12"/>
      <c r="C597" s="12"/>
      <c r="D597" s="12"/>
      <c r="E597" s="12"/>
      <c r="F597" s="12"/>
      <c r="G597" s="12"/>
      <c r="H597" s="12"/>
      <c r="I597" s="12"/>
      <c r="J597" s="12"/>
      <c r="K597" s="12"/>
      <c r="L597" s="12"/>
      <c r="M597" s="12"/>
      <c r="N597" s="12"/>
      <c r="O597" s="12"/>
      <c r="P597" s="12"/>
      <c r="Q597" s="12"/>
      <c r="R597" s="12"/>
      <c r="S597" s="12"/>
      <c r="T597" s="12"/>
      <c r="U597" s="12"/>
      <c r="W597" s="12"/>
      <c r="X597" s="12"/>
      <c r="Y597" s="12"/>
      <c r="Z597" s="12"/>
      <c r="AA597" s="12"/>
    </row>
    <row r="598" spans="1:27" ht="15.75" customHeight="1">
      <c r="A598" s="12"/>
      <c r="B598" s="12"/>
      <c r="C598" s="12"/>
      <c r="D598" s="12"/>
      <c r="E598" s="12"/>
      <c r="F598" s="12"/>
      <c r="G598" s="12"/>
      <c r="H598" s="12"/>
      <c r="I598" s="12"/>
      <c r="J598" s="12"/>
      <c r="K598" s="12"/>
      <c r="L598" s="12"/>
      <c r="M598" s="12"/>
      <c r="N598" s="12"/>
      <c r="O598" s="12"/>
      <c r="P598" s="12"/>
      <c r="Q598" s="12"/>
      <c r="R598" s="12"/>
      <c r="S598" s="12"/>
      <c r="T598" s="12"/>
      <c r="U598" s="12"/>
      <c r="W598" s="12"/>
      <c r="X598" s="12"/>
      <c r="Y598" s="12"/>
      <c r="Z598" s="12"/>
      <c r="AA598" s="12"/>
    </row>
    <row r="599" spans="1:27" ht="15.75" customHeight="1">
      <c r="A599" s="12"/>
      <c r="B599" s="12"/>
      <c r="C599" s="12"/>
      <c r="D599" s="12"/>
      <c r="E599" s="12"/>
      <c r="F599" s="12"/>
      <c r="G599" s="12"/>
      <c r="H599" s="12"/>
      <c r="I599" s="12"/>
      <c r="J599" s="12"/>
      <c r="K599" s="12"/>
      <c r="L599" s="12"/>
      <c r="M599" s="12"/>
      <c r="N599" s="12"/>
      <c r="O599" s="12"/>
      <c r="P599" s="12"/>
      <c r="Q599" s="12"/>
      <c r="R599" s="12"/>
      <c r="S599" s="12"/>
      <c r="T599" s="12"/>
      <c r="U599" s="12"/>
      <c r="W599" s="12"/>
      <c r="X599" s="12"/>
      <c r="Y599" s="12"/>
      <c r="Z599" s="12"/>
      <c r="AA599" s="12"/>
    </row>
    <row r="600" spans="1:27" ht="15.75" customHeight="1">
      <c r="A600" s="12"/>
      <c r="B600" s="12"/>
      <c r="C600" s="12"/>
      <c r="D600" s="12"/>
      <c r="E600" s="12"/>
      <c r="F600" s="12"/>
      <c r="G600" s="12"/>
      <c r="H600" s="12"/>
      <c r="I600" s="12"/>
      <c r="J600" s="12"/>
      <c r="K600" s="12"/>
      <c r="L600" s="12"/>
      <c r="M600" s="12"/>
      <c r="N600" s="12"/>
      <c r="O600" s="12"/>
      <c r="P600" s="12"/>
      <c r="Q600" s="12"/>
      <c r="R600" s="12"/>
      <c r="S600" s="12"/>
      <c r="T600" s="12"/>
      <c r="U600" s="12"/>
      <c r="W600" s="12"/>
      <c r="X600" s="12"/>
      <c r="Y600" s="12"/>
      <c r="Z600" s="12"/>
      <c r="AA600" s="12"/>
    </row>
    <row r="601" spans="1:27" ht="15.75" customHeight="1">
      <c r="A601" s="12"/>
      <c r="B601" s="12"/>
      <c r="C601" s="12"/>
      <c r="D601" s="12"/>
      <c r="E601" s="12"/>
      <c r="F601" s="12"/>
      <c r="G601" s="12"/>
      <c r="H601" s="12"/>
      <c r="I601" s="12"/>
      <c r="J601" s="12"/>
      <c r="K601" s="12"/>
      <c r="L601" s="12"/>
      <c r="M601" s="12"/>
      <c r="N601" s="12"/>
      <c r="O601" s="12"/>
      <c r="P601" s="12"/>
      <c r="Q601" s="12"/>
      <c r="R601" s="12"/>
      <c r="S601" s="12"/>
      <c r="T601" s="12"/>
      <c r="U601" s="12"/>
      <c r="W601" s="12"/>
      <c r="X601" s="12"/>
      <c r="Y601" s="12"/>
      <c r="Z601" s="12"/>
      <c r="AA601" s="12"/>
    </row>
    <row r="602" spans="1:27" ht="15.75" customHeight="1">
      <c r="A602" s="12"/>
      <c r="B602" s="12"/>
      <c r="C602" s="12"/>
      <c r="D602" s="12"/>
      <c r="E602" s="12"/>
      <c r="F602" s="12"/>
      <c r="G602" s="12"/>
      <c r="H602" s="12"/>
      <c r="I602" s="12"/>
      <c r="J602" s="12"/>
      <c r="K602" s="12"/>
      <c r="L602" s="12"/>
      <c r="M602" s="12"/>
      <c r="N602" s="12"/>
      <c r="O602" s="12"/>
      <c r="P602" s="12"/>
      <c r="Q602" s="12"/>
      <c r="R602" s="12"/>
      <c r="S602" s="12"/>
      <c r="T602" s="12"/>
      <c r="U602" s="12"/>
      <c r="W602" s="12"/>
      <c r="X602" s="12"/>
      <c r="Y602" s="12"/>
      <c r="Z602" s="12"/>
      <c r="AA602" s="12"/>
    </row>
    <row r="603" spans="1:27" ht="15.75" customHeight="1">
      <c r="A603" s="12"/>
      <c r="B603" s="12"/>
      <c r="C603" s="12"/>
      <c r="D603" s="12"/>
      <c r="E603" s="12"/>
      <c r="F603" s="12"/>
      <c r="G603" s="12"/>
      <c r="H603" s="12"/>
      <c r="I603" s="12"/>
      <c r="J603" s="12"/>
      <c r="K603" s="12"/>
      <c r="L603" s="12"/>
      <c r="M603" s="12"/>
      <c r="N603" s="12"/>
      <c r="O603" s="12"/>
      <c r="P603" s="12"/>
      <c r="Q603" s="12"/>
      <c r="R603" s="12"/>
      <c r="S603" s="12"/>
      <c r="T603" s="12"/>
      <c r="U603" s="12"/>
      <c r="W603" s="12"/>
      <c r="X603" s="12"/>
      <c r="Y603" s="12"/>
      <c r="Z603" s="12"/>
      <c r="AA603" s="12"/>
    </row>
    <row r="604" spans="1:27" ht="15.75" customHeight="1">
      <c r="A604" s="12"/>
      <c r="B604" s="12"/>
      <c r="C604" s="12"/>
      <c r="D604" s="12"/>
      <c r="E604" s="12"/>
      <c r="F604" s="12"/>
      <c r="G604" s="12"/>
      <c r="H604" s="12"/>
      <c r="I604" s="12"/>
      <c r="J604" s="12"/>
      <c r="K604" s="12"/>
      <c r="L604" s="12"/>
      <c r="M604" s="12"/>
      <c r="N604" s="12"/>
      <c r="O604" s="12"/>
      <c r="P604" s="12"/>
      <c r="Q604" s="12"/>
      <c r="R604" s="12"/>
      <c r="S604" s="12"/>
      <c r="T604" s="12"/>
      <c r="U604" s="12"/>
      <c r="W604" s="12"/>
      <c r="X604" s="12"/>
      <c r="Y604" s="12"/>
      <c r="Z604" s="12"/>
      <c r="AA604" s="12"/>
    </row>
    <row r="605" spans="1:27" ht="15.75" customHeight="1">
      <c r="A605" s="12"/>
      <c r="B605" s="12"/>
      <c r="C605" s="12"/>
      <c r="D605" s="12"/>
      <c r="E605" s="12"/>
      <c r="F605" s="12"/>
      <c r="G605" s="12"/>
      <c r="H605" s="12"/>
      <c r="I605" s="12"/>
      <c r="J605" s="12"/>
      <c r="K605" s="12"/>
      <c r="L605" s="12"/>
      <c r="M605" s="12"/>
      <c r="N605" s="12"/>
      <c r="O605" s="12"/>
      <c r="P605" s="12"/>
      <c r="Q605" s="12"/>
      <c r="R605" s="12"/>
      <c r="S605" s="12"/>
      <c r="T605" s="12"/>
      <c r="U605" s="12"/>
      <c r="W605" s="12"/>
      <c r="X605" s="12"/>
      <c r="Y605" s="12"/>
      <c r="Z605" s="12"/>
      <c r="AA605" s="12"/>
    </row>
    <row r="606" spans="1:27" ht="15.75" customHeight="1">
      <c r="A606" s="12"/>
      <c r="B606" s="12"/>
      <c r="C606" s="12"/>
      <c r="D606" s="12"/>
      <c r="E606" s="12"/>
      <c r="F606" s="12"/>
      <c r="G606" s="12"/>
      <c r="H606" s="12"/>
      <c r="I606" s="12"/>
      <c r="J606" s="12"/>
      <c r="K606" s="12"/>
      <c r="L606" s="12"/>
      <c r="M606" s="12"/>
      <c r="N606" s="12"/>
      <c r="O606" s="12"/>
      <c r="P606" s="12"/>
      <c r="Q606" s="12"/>
      <c r="R606" s="12"/>
      <c r="S606" s="12"/>
      <c r="T606" s="12"/>
      <c r="U606" s="12"/>
      <c r="W606" s="12"/>
      <c r="X606" s="12"/>
      <c r="Y606" s="12"/>
      <c r="Z606" s="12"/>
      <c r="AA606" s="12"/>
    </row>
    <row r="607" spans="1:27" ht="15.75" customHeight="1">
      <c r="A607" s="12"/>
      <c r="B607" s="12"/>
      <c r="C607" s="12"/>
      <c r="D607" s="12"/>
      <c r="E607" s="12"/>
      <c r="F607" s="12"/>
      <c r="G607" s="12"/>
      <c r="H607" s="12"/>
      <c r="I607" s="12"/>
      <c r="J607" s="12"/>
      <c r="K607" s="12"/>
      <c r="L607" s="12"/>
      <c r="M607" s="12"/>
      <c r="N607" s="12"/>
      <c r="O607" s="12"/>
      <c r="P607" s="12"/>
      <c r="Q607" s="12"/>
      <c r="R607" s="12"/>
      <c r="S607" s="12"/>
      <c r="T607" s="12"/>
      <c r="U607" s="12"/>
      <c r="W607" s="12"/>
      <c r="X607" s="12"/>
      <c r="Y607" s="12"/>
      <c r="Z607" s="12"/>
      <c r="AA607" s="12"/>
    </row>
    <row r="608" spans="1:27" ht="15.75" customHeight="1">
      <c r="A608" s="12"/>
      <c r="B608" s="12"/>
      <c r="C608" s="12"/>
      <c r="D608" s="12"/>
      <c r="E608" s="12"/>
      <c r="F608" s="12"/>
      <c r="G608" s="12"/>
      <c r="H608" s="12"/>
      <c r="I608" s="12"/>
      <c r="J608" s="12"/>
      <c r="K608" s="12"/>
      <c r="L608" s="12"/>
      <c r="M608" s="12"/>
      <c r="N608" s="12"/>
      <c r="O608" s="12"/>
      <c r="P608" s="12"/>
      <c r="Q608" s="12"/>
      <c r="R608" s="12"/>
      <c r="S608" s="12"/>
      <c r="T608" s="12"/>
      <c r="U608" s="12"/>
      <c r="W608" s="12"/>
      <c r="X608" s="12"/>
      <c r="Y608" s="12"/>
      <c r="Z608" s="12"/>
      <c r="AA608" s="12"/>
    </row>
    <row r="609" spans="1:27" ht="15.75" customHeight="1">
      <c r="A609" s="12"/>
      <c r="B609" s="12"/>
      <c r="C609" s="12"/>
      <c r="D609" s="12"/>
      <c r="E609" s="12"/>
      <c r="F609" s="12"/>
      <c r="G609" s="12"/>
      <c r="H609" s="12"/>
      <c r="I609" s="12"/>
      <c r="J609" s="12"/>
      <c r="K609" s="12"/>
      <c r="L609" s="12"/>
      <c r="M609" s="12"/>
      <c r="N609" s="12"/>
      <c r="O609" s="12"/>
      <c r="P609" s="12"/>
      <c r="Q609" s="12"/>
      <c r="R609" s="12"/>
      <c r="S609" s="12"/>
      <c r="T609" s="12"/>
      <c r="U609" s="12"/>
      <c r="W609" s="12"/>
      <c r="X609" s="12"/>
      <c r="Y609" s="12"/>
      <c r="Z609" s="12"/>
      <c r="AA609" s="12"/>
    </row>
    <row r="610" spans="1:27" ht="15.75" customHeight="1">
      <c r="A610" s="12"/>
      <c r="B610" s="12"/>
      <c r="C610" s="12"/>
      <c r="D610" s="12"/>
      <c r="E610" s="12"/>
      <c r="F610" s="12"/>
      <c r="G610" s="12"/>
      <c r="H610" s="12"/>
      <c r="I610" s="12"/>
      <c r="J610" s="12"/>
      <c r="K610" s="12"/>
      <c r="L610" s="12"/>
      <c r="M610" s="12"/>
      <c r="N610" s="12"/>
      <c r="O610" s="12"/>
      <c r="P610" s="12"/>
      <c r="Q610" s="12"/>
      <c r="R610" s="12"/>
      <c r="S610" s="12"/>
      <c r="T610" s="12"/>
      <c r="U610" s="12"/>
      <c r="W610" s="12"/>
      <c r="X610" s="12"/>
      <c r="Y610" s="12"/>
      <c r="Z610" s="12"/>
      <c r="AA610" s="12"/>
    </row>
    <row r="611" spans="1:27" ht="15.75" customHeight="1">
      <c r="A611" s="12"/>
      <c r="B611" s="12"/>
      <c r="C611" s="12"/>
      <c r="D611" s="12"/>
      <c r="E611" s="12"/>
      <c r="F611" s="12"/>
      <c r="G611" s="12"/>
      <c r="H611" s="12"/>
      <c r="I611" s="12"/>
      <c r="J611" s="12"/>
      <c r="K611" s="12"/>
      <c r="L611" s="12"/>
      <c r="M611" s="12"/>
      <c r="N611" s="12"/>
      <c r="O611" s="12"/>
      <c r="P611" s="12"/>
      <c r="Q611" s="12"/>
      <c r="R611" s="12"/>
      <c r="S611" s="12"/>
      <c r="T611" s="12"/>
      <c r="U611" s="12"/>
      <c r="W611" s="12"/>
      <c r="X611" s="12"/>
      <c r="Y611" s="12"/>
      <c r="Z611" s="12"/>
      <c r="AA611" s="12"/>
    </row>
    <row r="612" spans="1:27" ht="15.75" customHeight="1">
      <c r="A612" s="12"/>
      <c r="B612" s="12"/>
      <c r="C612" s="12"/>
      <c r="D612" s="12"/>
      <c r="E612" s="12"/>
      <c r="F612" s="12"/>
      <c r="G612" s="12"/>
      <c r="H612" s="12"/>
      <c r="I612" s="12"/>
      <c r="J612" s="12"/>
      <c r="K612" s="12"/>
      <c r="L612" s="12"/>
      <c r="M612" s="12"/>
      <c r="N612" s="12"/>
      <c r="O612" s="12"/>
      <c r="P612" s="12"/>
      <c r="Q612" s="12"/>
      <c r="R612" s="12"/>
      <c r="S612" s="12"/>
      <c r="T612" s="12"/>
      <c r="U612" s="12"/>
      <c r="W612" s="12"/>
      <c r="X612" s="12"/>
      <c r="Y612" s="12"/>
      <c r="Z612" s="12"/>
      <c r="AA612" s="12"/>
    </row>
    <row r="613" spans="1:27" ht="15.75" customHeight="1">
      <c r="A613" s="12"/>
      <c r="B613" s="12"/>
      <c r="C613" s="12"/>
      <c r="D613" s="12"/>
      <c r="E613" s="12"/>
      <c r="F613" s="12"/>
      <c r="G613" s="12"/>
      <c r="H613" s="12"/>
      <c r="I613" s="12"/>
      <c r="J613" s="12"/>
      <c r="K613" s="12"/>
      <c r="L613" s="12"/>
      <c r="M613" s="12"/>
      <c r="N613" s="12"/>
      <c r="O613" s="12"/>
      <c r="P613" s="12"/>
      <c r="Q613" s="12"/>
      <c r="R613" s="12"/>
      <c r="S613" s="12"/>
      <c r="T613" s="12"/>
      <c r="U613" s="12"/>
      <c r="W613" s="12"/>
      <c r="X613" s="12"/>
      <c r="Y613" s="12"/>
      <c r="Z613" s="12"/>
      <c r="AA613" s="12"/>
    </row>
    <row r="614" spans="1:27" ht="15.75" customHeight="1">
      <c r="A614" s="12"/>
      <c r="B614" s="12"/>
      <c r="C614" s="12"/>
      <c r="D614" s="12"/>
      <c r="E614" s="12"/>
      <c r="F614" s="12"/>
      <c r="G614" s="12"/>
      <c r="H614" s="12"/>
      <c r="I614" s="12"/>
      <c r="J614" s="12"/>
      <c r="K614" s="12"/>
      <c r="L614" s="12"/>
      <c r="M614" s="12"/>
      <c r="N614" s="12"/>
      <c r="O614" s="12"/>
      <c r="P614" s="12"/>
      <c r="Q614" s="12"/>
      <c r="R614" s="12"/>
      <c r="S614" s="12"/>
      <c r="T614" s="12"/>
      <c r="U614" s="12"/>
      <c r="W614" s="12"/>
      <c r="X614" s="12"/>
      <c r="Y614" s="12"/>
      <c r="Z614" s="12"/>
      <c r="AA614" s="12"/>
    </row>
    <row r="615" spans="1:27" ht="15.75" customHeight="1">
      <c r="A615" s="12"/>
      <c r="B615" s="12"/>
      <c r="C615" s="12"/>
      <c r="D615" s="12"/>
      <c r="E615" s="12"/>
      <c r="F615" s="12"/>
      <c r="G615" s="12"/>
      <c r="H615" s="12"/>
      <c r="I615" s="12"/>
      <c r="J615" s="12"/>
      <c r="K615" s="12"/>
      <c r="L615" s="12"/>
      <c r="M615" s="12"/>
      <c r="N615" s="12"/>
      <c r="O615" s="12"/>
      <c r="P615" s="12"/>
      <c r="Q615" s="12"/>
      <c r="R615" s="12"/>
      <c r="S615" s="12"/>
      <c r="T615" s="12"/>
      <c r="U615" s="12"/>
      <c r="W615" s="12"/>
      <c r="X615" s="12"/>
      <c r="Y615" s="12"/>
      <c r="Z615" s="12"/>
      <c r="AA615" s="12"/>
    </row>
    <row r="616" spans="1:27" ht="15.75" customHeight="1">
      <c r="A616" s="12"/>
      <c r="B616" s="12"/>
      <c r="C616" s="12"/>
      <c r="D616" s="12"/>
      <c r="E616" s="12"/>
      <c r="F616" s="12"/>
      <c r="G616" s="12"/>
      <c r="H616" s="12"/>
      <c r="I616" s="12"/>
      <c r="J616" s="12"/>
      <c r="K616" s="12"/>
      <c r="L616" s="12"/>
      <c r="M616" s="12"/>
      <c r="N616" s="12"/>
      <c r="O616" s="12"/>
      <c r="P616" s="12"/>
      <c r="Q616" s="12"/>
      <c r="R616" s="12"/>
      <c r="S616" s="12"/>
      <c r="T616" s="12"/>
      <c r="U616" s="12"/>
      <c r="W616" s="12"/>
      <c r="X616" s="12"/>
      <c r="Y616" s="12"/>
      <c r="Z616" s="12"/>
      <c r="AA616" s="12"/>
    </row>
    <row r="617" spans="1:27" ht="15.75" customHeight="1">
      <c r="A617" s="12"/>
      <c r="B617" s="12"/>
      <c r="C617" s="12"/>
      <c r="D617" s="12"/>
      <c r="E617" s="12"/>
      <c r="F617" s="12"/>
      <c r="G617" s="12"/>
      <c r="H617" s="12"/>
      <c r="I617" s="12"/>
      <c r="J617" s="12"/>
      <c r="K617" s="12"/>
      <c r="L617" s="12"/>
      <c r="M617" s="12"/>
      <c r="N617" s="12"/>
      <c r="O617" s="12"/>
      <c r="P617" s="12"/>
      <c r="Q617" s="12"/>
      <c r="R617" s="12"/>
      <c r="S617" s="12"/>
      <c r="T617" s="12"/>
      <c r="U617" s="12"/>
      <c r="W617" s="12"/>
      <c r="X617" s="12"/>
      <c r="Y617" s="12"/>
      <c r="Z617" s="12"/>
      <c r="AA617" s="12"/>
    </row>
    <row r="618" spans="1:27" ht="15.75" customHeight="1">
      <c r="A618" s="12"/>
      <c r="B618" s="12"/>
      <c r="C618" s="12"/>
      <c r="D618" s="12"/>
      <c r="E618" s="12"/>
      <c r="F618" s="12"/>
      <c r="G618" s="12"/>
      <c r="H618" s="12"/>
      <c r="I618" s="12"/>
      <c r="J618" s="12"/>
      <c r="K618" s="12"/>
      <c r="L618" s="12"/>
      <c r="M618" s="12"/>
      <c r="N618" s="12"/>
      <c r="O618" s="12"/>
      <c r="P618" s="12"/>
      <c r="Q618" s="12"/>
      <c r="R618" s="12"/>
      <c r="S618" s="12"/>
      <c r="T618" s="12"/>
      <c r="U618" s="12"/>
      <c r="W618" s="12"/>
      <c r="X618" s="12"/>
      <c r="Y618" s="12"/>
      <c r="Z618" s="12"/>
      <c r="AA618" s="12"/>
    </row>
    <row r="619" spans="1:27" ht="15.75" customHeight="1">
      <c r="A619" s="12"/>
      <c r="B619" s="12"/>
      <c r="C619" s="12"/>
      <c r="D619" s="12"/>
      <c r="E619" s="12"/>
      <c r="F619" s="12"/>
      <c r="G619" s="12"/>
      <c r="H619" s="12"/>
      <c r="I619" s="12"/>
      <c r="J619" s="12"/>
      <c r="K619" s="12"/>
      <c r="L619" s="12"/>
      <c r="M619" s="12"/>
      <c r="N619" s="12"/>
      <c r="O619" s="12"/>
      <c r="P619" s="12"/>
      <c r="Q619" s="12"/>
      <c r="R619" s="12"/>
      <c r="S619" s="12"/>
      <c r="T619" s="12"/>
      <c r="U619" s="12"/>
      <c r="W619" s="12"/>
      <c r="X619" s="12"/>
      <c r="Y619" s="12"/>
      <c r="Z619" s="12"/>
      <c r="AA619" s="12"/>
    </row>
    <row r="620" spans="1:27" ht="15.75" customHeight="1">
      <c r="A620" s="12"/>
      <c r="B620" s="12"/>
      <c r="C620" s="12"/>
      <c r="D620" s="12"/>
      <c r="E620" s="12"/>
      <c r="F620" s="12"/>
      <c r="G620" s="12"/>
      <c r="H620" s="12"/>
      <c r="I620" s="12"/>
      <c r="J620" s="12"/>
      <c r="K620" s="12"/>
      <c r="L620" s="12"/>
      <c r="M620" s="12"/>
      <c r="N620" s="12"/>
      <c r="O620" s="12"/>
      <c r="P620" s="12"/>
      <c r="Q620" s="12"/>
      <c r="R620" s="12"/>
      <c r="S620" s="12"/>
      <c r="T620" s="12"/>
      <c r="U620" s="12"/>
      <c r="W620" s="12"/>
      <c r="X620" s="12"/>
      <c r="Y620" s="12"/>
      <c r="Z620" s="12"/>
      <c r="AA620" s="12"/>
    </row>
    <row r="621" spans="1:27" ht="15.75" customHeight="1">
      <c r="A621" s="12"/>
      <c r="B621" s="12"/>
      <c r="C621" s="12"/>
      <c r="D621" s="12"/>
      <c r="E621" s="12"/>
      <c r="F621" s="12"/>
      <c r="G621" s="12"/>
      <c r="H621" s="12"/>
      <c r="I621" s="12"/>
      <c r="J621" s="12"/>
      <c r="K621" s="12"/>
      <c r="L621" s="12"/>
      <c r="M621" s="12"/>
      <c r="N621" s="12"/>
      <c r="O621" s="12"/>
      <c r="P621" s="12"/>
      <c r="Q621" s="12"/>
      <c r="R621" s="12"/>
      <c r="S621" s="12"/>
      <c r="T621" s="12"/>
      <c r="U621" s="12"/>
      <c r="W621" s="12"/>
      <c r="X621" s="12"/>
      <c r="Y621" s="12"/>
      <c r="Z621" s="12"/>
      <c r="AA621" s="12"/>
    </row>
    <row r="622" spans="1:27" ht="15.75" customHeight="1">
      <c r="A622" s="12"/>
      <c r="B622" s="12"/>
      <c r="C622" s="12"/>
      <c r="D622" s="12"/>
      <c r="E622" s="12"/>
      <c r="F622" s="12"/>
      <c r="G622" s="12"/>
      <c r="H622" s="12"/>
      <c r="I622" s="12"/>
      <c r="J622" s="12"/>
      <c r="K622" s="12"/>
      <c r="L622" s="12"/>
      <c r="M622" s="12"/>
      <c r="N622" s="12"/>
      <c r="O622" s="12"/>
      <c r="P622" s="12"/>
      <c r="Q622" s="12"/>
      <c r="R622" s="12"/>
      <c r="S622" s="12"/>
      <c r="T622" s="12"/>
      <c r="U622" s="12"/>
      <c r="W622" s="12"/>
      <c r="X622" s="12"/>
      <c r="Y622" s="12"/>
      <c r="Z622" s="12"/>
      <c r="AA622" s="12"/>
    </row>
    <row r="623" spans="1:27" ht="15.75" customHeight="1">
      <c r="A623" s="12"/>
      <c r="B623" s="12"/>
      <c r="C623" s="12"/>
      <c r="D623" s="12"/>
      <c r="E623" s="12"/>
      <c r="F623" s="12"/>
      <c r="G623" s="12"/>
      <c r="H623" s="12"/>
      <c r="I623" s="12"/>
      <c r="J623" s="12"/>
      <c r="K623" s="12"/>
      <c r="L623" s="12"/>
      <c r="M623" s="12"/>
      <c r="N623" s="12"/>
      <c r="O623" s="12"/>
      <c r="P623" s="12"/>
      <c r="Q623" s="12"/>
      <c r="R623" s="12"/>
      <c r="S623" s="12"/>
      <c r="T623" s="12"/>
      <c r="U623" s="12"/>
      <c r="W623" s="12"/>
      <c r="X623" s="12"/>
      <c r="Y623" s="12"/>
      <c r="Z623" s="12"/>
      <c r="AA623" s="12"/>
    </row>
    <row r="624" spans="1:27" ht="15.75" customHeight="1">
      <c r="A624" s="12"/>
      <c r="B624" s="12"/>
      <c r="C624" s="12"/>
      <c r="D624" s="12"/>
      <c r="E624" s="12"/>
      <c r="F624" s="12"/>
      <c r="G624" s="12"/>
      <c r="H624" s="12"/>
      <c r="I624" s="12"/>
      <c r="J624" s="12"/>
      <c r="K624" s="12"/>
      <c r="L624" s="12"/>
      <c r="M624" s="12"/>
      <c r="N624" s="12"/>
      <c r="O624" s="12"/>
      <c r="P624" s="12"/>
      <c r="Q624" s="12"/>
      <c r="R624" s="12"/>
      <c r="S624" s="12"/>
      <c r="T624" s="12"/>
      <c r="U624" s="12"/>
      <c r="W624" s="12"/>
      <c r="X624" s="12"/>
      <c r="Y624" s="12"/>
      <c r="Z624" s="12"/>
      <c r="AA624" s="12"/>
    </row>
    <row r="625" spans="1:27" ht="15.75" customHeight="1">
      <c r="A625" s="12"/>
      <c r="B625" s="12"/>
      <c r="C625" s="12"/>
      <c r="D625" s="12"/>
      <c r="E625" s="12"/>
      <c r="F625" s="12"/>
      <c r="G625" s="12"/>
      <c r="H625" s="12"/>
      <c r="I625" s="12"/>
      <c r="J625" s="12"/>
      <c r="K625" s="12"/>
      <c r="L625" s="12"/>
      <c r="M625" s="12"/>
      <c r="N625" s="12"/>
      <c r="O625" s="12"/>
      <c r="P625" s="12"/>
      <c r="Q625" s="12"/>
      <c r="R625" s="12"/>
      <c r="S625" s="12"/>
      <c r="T625" s="12"/>
      <c r="U625" s="12"/>
      <c r="W625" s="12"/>
      <c r="X625" s="12"/>
      <c r="Y625" s="12"/>
      <c r="Z625" s="12"/>
      <c r="AA625" s="12"/>
    </row>
    <row r="626" spans="1:27" ht="15.75" customHeight="1">
      <c r="A626" s="12"/>
      <c r="B626" s="12"/>
      <c r="C626" s="12"/>
      <c r="D626" s="12"/>
      <c r="E626" s="12"/>
      <c r="F626" s="12"/>
      <c r="G626" s="12"/>
      <c r="H626" s="12"/>
      <c r="I626" s="12"/>
      <c r="J626" s="12"/>
      <c r="K626" s="12"/>
      <c r="L626" s="12"/>
      <c r="M626" s="12"/>
      <c r="N626" s="12"/>
      <c r="O626" s="12"/>
      <c r="P626" s="12"/>
      <c r="Q626" s="12"/>
      <c r="R626" s="12"/>
      <c r="S626" s="12"/>
      <c r="T626" s="12"/>
      <c r="U626" s="12"/>
      <c r="W626" s="12"/>
      <c r="X626" s="12"/>
      <c r="Y626" s="12"/>
      <c r="Z626" s="12"/>
      <c r="AA626" s="12"/>
    </row>
    <row r="627" spans="1:27" ht="15.75" customHeight="1">
      <c r="A627" s="12"/>
      <c r="B627" s="12"/>
      <c r="C627" s="12"/>
      <c r="D627" s="12"/>
      <c r="E627" s="12"/>
      <c r="F627" s="12"/>
      <c r="G627" s="12"/>
      <c r="H627" s="12"/>
      <c r="I627" s="12"/>
      <c r="J627" s="12"/>
      <c r="K627" s="12"/>
      <c r="L627" s="12"/>
      <c r="M627" s="12"/>
      <c r="N627" s="12"/>
      <c r="O627" s="12"/>
      <c r="P627" s="12"/>
      <c r="Q627" s="12"/>
      <c r="R627" s="12"/>
      <c r="S627" s="12"/>
      <c r="T627" s="12"/>
      <c r="U627" s="12"/>
      <c r="W627" s="12"/>
      <c r="X627" s="12"/>
      <c r="Y627" s="12"/>
      <c r="Z627" s="12"/>
      <c r="AA627" s="12"/>
    </row>
    <row r="628" spans="1:27" ht="15.75" customHeight="1">
      <c r="A628" s="12"/>
      <c r="B628" s="12"/>
      <c r="C628" s="12"/>
      <c r="D628" s="12"/>
      <c r="E628" s="12"/>
      <c r="F628" s="12"/>
      <c r="G628" s="12"/>
      <c r="H628" s="12"/>
      <c r="I628" s="12"/>
      <c r="J628" s="12"/>
      <c r="K628" s="12"/>
      <c r="L628" s="12"/>
      <c r="M628" s="12"/>
      <c r="N628" s="12"/>
      <c r="O628" s="12"/>
      <c r="P628" s="12"/>
      <c r="Q628" s="12"/>
      <c r="R628" s="12"/>
      <c r="S628" s="12"/>
      <c r="T628" s="12"/>
      <c r="U628" s="12"/>
      <c r="W628" s="12"/>
      <c r="X628" s="12"/>
      <c r="Y628" s="12"/>
      <c r="Z628" s="12"/>
      <c r="AA628" s="12"/>
    </row>
    <row r="629" spans="1:27" ht="15.75" customHeight="1">
      <c r="A629" s="12"/>
      <c r="B629" s="12"/>
      <c r="C629" s="12"/>
      <c r="D629" s="12"/>
      <c r="E629" s="12"/>
      <c r="F629" s="12"/>
      <c r="G629" s="12"/>
      <c r="H629" s="12"/>
      <c r="I629" s="12"/>
      <c r="J629" s="12"/>
      <c r="K629" s="12"/>
      <c r="L629" s="12"/>
      <c r="M629" s="12"/>
      <c r="N629" s="12"/>
      <c r="O629" s="12"/>
      <c r="P629" s="12"/>
      <c r="Q629" s="12"/>
      <c r="R629" s="12"/>
      <c r="S629" s="12"/>
      <c r="T629" s="12"/>
      <c r="U629" s="12"/>
      <c r="W629" s="12"/>
      <c r="X629" s="12"/>
      <c r="Y629" s="12"/>
      <c r="Z629" s="12"/>
      <c r="AA629" s="12"/>
    </row>
    <row r="630" spans="1:27" ht="15.75" customHeight="1">
      <c r="A630" s="12"/>
      <c r="B630" s="12"/>
      <c r="C630" s="12"/>
      <c r="D630" s="12"/>
      <c r="E630" s="12"/>
      <c r="F630" s="12"/>
      <c r="G630" s="12"/>
      <c r="H630" s="12"/>
      <c r="I630" s="12"/>
      <c r="J630" s="12"/>
      <c r="K630" s="12"/>
      <c r="L630" s="12"/>
      <c r="M630" s="12"/>
      <c r="N630" s="12"/>
      <c r="O630" s="12"/>
      <c r="P630" s="12"/>
      <c r="Q630" s="12"/>
      <c r="R630" s="12"/>
      <c r="S630" s="12"/>
      <c r="T630" s="12"/>
      <c r="U630" s="12"/>
      <c r="W630" s="12"/>
      <c r="X630" s="12"/>
      <c r="Y630" s="12"/>
      <c r="Z630" s="12"/>
      <c r="AA630" s="12"/>
    </row>
    <row r="631" spans="1:27" ht="15.75" customHeight="1">
      <c r="A631" s="12"/>
      <c r="B631" s="12"/>
      <c r="C631" s="12"/>
      <c r="D631" s="12"/>
      <c r="E631" s="12"/>
      <c r="F631" s="12"/>
      <c r="G631" s="12"/>
      <c r="H631" s="12"/>
      <c r="I631" s="12"/>
      <c r="J631" s="12"/>
      <c r="K631" s="12"/>
      <c r="L631" s="12"/>
      <c r="M631" s="12"/>
      <c r="N631" s="12"/>
      <c r="O631" s="12"/>
      <c r="P631" s="12"/>
      <c r="Q631" s="12"/>
      <c r="R631" s="12"/>
      <c r="S631" s="12"/>
      <c r="T631" s="12"/>
      <c r="U631" s="12"/>
      <c r="W631" s="12"/>
      <c r="X631" s="12"/>
      <c r="Y631" s="12"/>
      <c r="Z631" s="12"/>
      <c r="AA631" s="12"/>
    </row>
    <row r="632" spans="1:27" ht="15.75" customHeight="1">
      <c r="A632" s="12"/>
      <c r="B632" s="12"/>
      <c r="C632" s="12"/>
      <c r="D632" s="12"/>
      <c r="E632" s="12"/>
      <c r="F632" s="12"/>
      <c r="G632" s="12"/>
      <c r="H632" s="12"/>
      <c r="I632" s="12"/>
      <c r="J632" s="12"/>
      <c r="K632" s="12"/>
      <c r="L632" s="12"/>
      <c r="M632" s="12"/>
      <c r="N632" s="12"/>
      <c r="O632" s="12"/>
      <c r="P632" s="12"/>
      <c r="Q632" s="12"/>
      <c r="R632" s="12"/>
      <c r="S632" s="12"/>
      <c r="T632" s="12"/>
      <c r="U632" s="12"/>
      <c r="W632" s="12"/>
      <c r="X632" s="12"/>
      <c r="Y632" s="12"/>
      <c r="Z632" s="12"/>
      <c r="AA632" s="12"/>
    </row>
    <row r="633" spans="1:27" ht="15.75" customHeight="1">
      <c r="A633" s="12"/>
      <c r="B633" s="12"/>
      <c r="C633" s="12"/>
      <c r="D633" s="12"/>
      <c r="E633" s="12"/>
      <c r="F633" s="12"/>
      <c r="G633" s="12"/>
      <c r="H633" s="12"/>
      <c r="I633" s="12"/>
      <c r="J633" s="12"/>
      <c r="K633" s="12"/>
      <c r="L633" s="12"/>
      <c r="M633" s="12"/>
      <c r="N633" s="12"/>
      <c r="O633" s="12"/>
      <c r="P633" s="12"/>
      <c r="Q633" s="12"/>
      <c r="R633" s="12"/>
      <c r="S633" s="12"/>
      <c r="T633" s="12"/>
      <c r="U633" s="12"/>
      <c r="W633" s="12"/>
      <c r="X633" s="12"/>
      <c r="Y633" s="12"/>
      <c r="Z633" s="12"/>
      <c r="AA633" s="12"/>
    </row>
    <row r="634" spans="1:27" ht="15.75" customHeight="1">
      <c r="A634" s="12"/>
      <c r="B634" s="12"/>
      <c r="C634" s="12"/>
      <c r="D634" s="12"/>
      <c r="E634" s="12"/>
      <c r="F634" s="12"/>
      <c r="G634" s="12"/>
      <c r="H634" s="12"/>
      <c r="I634" s="12"/>
      <c r="J634" s="12"/>
      <c r="K634" s="12"/>
      <c r="L634" s="12"/>
      <c r="M634" s="12"/>
      <c r="N634" s="12"/>
      <c r="O634" s="12"/>
      <c r="P634" s="12"/>
      <c r="Q634" s="12"/>
      <c r="R634" s="12"/>
      <c r="S634" s="12"/>
      <c r="T634" s="12"/>
      <c r="U634" s="12"/>
      <c r="W634" s="12"/>
      <c r="X634" s="12"/>
      <c r="Y634" s="12"/>
      <c r="Z634" s="12"/>
      <c r="AA634" s="12"/>
    </row>
    <row r="635" spans="1:27" ht="15.75" customHeight="1">
      <c r="A635" s="12"/>
      <c r="B635" s="12"/>
      <c r="C635" s="12"/>
      <c r="D635" s="12"/>
      <c r="E635" s="12"/>
      <c r="F635" s="12"/>
      <c r="G635" s="12"/>
      <c r="H635" s="12"/>
      <c r="I635" s="12"/>
      <c r="J635" s="12"/>
      <c r="K635" s="12"/>
      <c r="L635" s="12"/>
      <c r="M635" s="12"/>
      <c r="N635" s="12"/>
      <c r="O635" s="12"/>
      <c r="P635" s="12"/>
      <c r="Q635" s="12"/>
      <c r="R635" s="12"/>
      <c r="S635" s="12"/>
      <c r="T635" s="12"/>
      <c r="U635" s="12"/>
      <c r="W635" s="12"/>
      <c r="X635" s="12"/>
      <c r="Y635" s="12"/>
      <c r="Z635" s="12"/>
      <c r="AA635" s="12"/>
    </row>
    <row r="636" spans="1:27" ht="15.75" customHeight="1">
      <c r="A636" s="12"/>
      <c r="B636" s="12"/>
      <c r="C636" s="12"/>
      <c r="D636" s="12"/>
      <c r="E636" s="12"/>
      <c r="F636" s="12"/>
      <c r="G636" s="12"/>
      <c r="H636" s="12"/>
      <c r="I636" s="12"/>
      <c r="J636" s="12"/>
      <c r="K636" s="12"/>
      <c r="L636" s="12"/>
      <c r="M636" s="12"/>
      <c r="N636" s="12"/>
      <c r="O636" s="12"/>
      <c r="P636" s="12"/>
      <c r="Q636" s="12"/>
      <c r="R636" s="12"/>
      <c r="S636" s="12"/>
      <c r="T636" s="12"/>
      <c r="U636" s="12"/>
      <c r="W636" s="12"/>
      <c r="X636" s="12"/>
      <c r="Y636" s="12"/>
      <c r="Z636" s="12"/>
      <c r="AA636" s="12"/>
    </row>
    <row r="637" spans="1:27" ht="15.75" customHeight="1">
      <c r="A637" s="12"/>
      <c r="B637" s="12"/>
      <c r="C637" s="12"/>
      <c r="D637" s="12"/>
      <c r="E637" s="12"/>
      <c r="F637" s="12"/>
      <c r="G637" s="12"/>
      <c r="H637" s="12"/>
      <c r="I637" s="12"/>
      <c r="J637" s="12"/>
      <c r="K637" s="12"/>
      <c r="L637" s="12"/>
      <c r="M637" s="12"/>
      <c r="N637" s="12"/>
      <c r="O637" s="12"/>
      <c r="P637" s="12"/>
      <c r="Q637" s="12"/>
      <c r="R637" s="12"/>
      <c r="S637" s="12"/>
      <c r="T637" s="12"/>
      <c r="U637" s="12"/>
      <c r="W637" s="12"/>
      <c r="X637" s="12"/>
      <c r="Y637" s="12"/>
      <c r="Z637" s="12"/>
      <c r="AA637" s="12"/>
    </row>
    <row r="638" spans="1:27" ht="15.75" customHeight="1">
      <c r="A638" s="12"/>
      <c r="B638" s="12"/>
      <c r="C638" s="12"/>
      <c r="D638" s="12"/>
      <c r="E638" s="12"/>
      <c r="F638" s="12"/>
      <c r="G638" s="12"/>
      <c r="H638" s="12"/>
      <c r="I638" s="12"/>
      <c r="J638" s="12"/>
      <c r="K638" s="12"/>
      <c r="L638" s="12"/>
      <c r="M638" s="12"/>
      <c r="N638" s="12"/>
      <c r="O638" s="12"/>
      <c r="P638" s="12"/>
      <c r="Q638" s="12"/>
      <c r="R638" s="12"/>
      <c r="S638" s="12"/>
      <c r="T638" s="12"/>
      <c r="U638" s="12"/>
      <c r="W638" s="12"/>
      <c r="X638" s="12"/>
      <c r="Y638" s="12"/>
      <c r="Z638" s="12"/>
      <c r="AA638" s="12"/>
    </row>
    <row r="639" spans="1:27" ht="15.75" customHeight="1">
      <c r="A639" s="12"/>
      <c r="B639" s="12"/>
      <c r="C639" s="12"/>
      <c r="D639" s="12"/>
      <c r="E639" s="12"/>
      <c r="F639" s="12"/>
      <c r="G639" s="12"/>
      <c r="H639" s="12"/>
      <c r="I639" s="12"/>
      <c r="J639" s="12"/>
      <c r="K639" s="12"/>
      <c r="L639" s="12"/>
      <c r="M639" s="12"/>
      <c r="N639" s="12"/>
      <c r="O639" s="12"/>
      <c r="P639" s="12"/>
      <c r="Q639" s="12"/>
      <c r="R639" s="12"/>
      <c r="S639" s="12"/>
      <c r="T639" s="12"/>
      <c r="U639" s="12"/>
      <c r="W639" s="12"/>
      <c r="X639" s="12"/>
      <c r="Y639" s="12"/>
      <c r="Z639" s="12"/>
      <c r="AA639" s="12"/>
    </row>
    <row r="640" spans="1:27" ht="15.75" customHeight="1">
      <c r="A640" s="12"/>
      <c r="B640" s="12"/>
      <c r="C640" s="12"/>
      <c r="D640" s="12"/>
      <c r="E640" s="12"/>
      <c r="F640" s="12"/>
      <c r="G640" s="12"/>
      <c r="H640" s="12"/>
      <c r="I640" s="12"/>
      <c r="J640" s="12"/>
      <c r="K640" s="12"/>
      <c r="L640" s="12"/>
      <c r="M640" s="12"/>
      <c r="N640" s="12"/>
      <c r="O640" s="12"/>
      <c r="P640" s="12"/>
      <c r="Q640" s="12"/>
      <c r="R640" s="12"/>
      <c r="S640" s="12"/>
      <c r="T640" s="12"/>
      <c r="U640" s="12"/>
      <c r="W640" s="12"/>
      <c r="X640" s="12"/>
      <c r="Y640" s="12"/>
      <c r="Z640" s="12"/>
      <c r="AA640" s="12"/>
    </row>
    <row r="641" spans="1:27" ht="15.75" customHeight="1">
      <c r="A641" s="12"/>
      <c r="B641" s="12"/>
      <c r="C641" s="12"/>
      <c r="D641" s="12"/>
      <c r="E641" s="12"/>
      <c r="F641" s="12"/>
      <c r="G641" s="12"/>
      <c r="H641" s="12"/>
      <c r="I641" s="12"/>
      <c r="J641" s="12"/>
      <c r="K641" s="12"/>
      <c r="L641" s="12"/>
      <c r="M641" s="12"/>
      <c r="N641" s="12"/>
      <c r="O641" s="12"/>
      <c r="P641" s="12"/>
      <c r="Q641" s="12"/>
      <c r="R641" s="12"/>
      <c r="S641" s="12"/>
      <c r="T641" s="12"/>
      <c r="U641" s="12"/>
      <c r="W641" s="12"/>
      <c r="X641" s="12"/>
      <c r="Y641" s="12"/>
      <c r="Z641" s="12"/>
      <c r="AA641" s="12"/>
    </row>
    <row r="642" spans="1:27" ht="15.75" customHeight="1">
      <c r="A642" s="12"/>
      <c r="B642" s="12"/>
      <c r="C642" s="12"/>
      <c r="D642" s="12"/>
      <c r="E642" s="12"/>
      <c r="F642" s="12"/>
      <c r="G642" s="12"/>
      <c r="H642" s="12"/>
      <c r="I642" s="12"/>
      <c r="J642" s="12"/>
      <c r="K642" s="12"/>
      <c r="L642" s="12"/>
      <c r="M642" s="12"/>
      <c r="N642" s="12"/>
      <c r="O642" s="12"/>
      <c r="P642" s="12"/>
      <c r="Q642" s="12"/>
      <c r="R642" s="12"/>
      <c r="S642" s="12"/>
      <c r="T642" s="12"/>
      <c r="U642" s="12"/>
      <c r="W642" s="12"/>
      <c r="X642" s="12"/>
      <c r="Y642" s="12"/>
      <c r="Z642" s="12"/>
      <c r="AA642" s="12"/>
    </row>
    <row r="643" spans="1:27" ht="15.75" customHeight="1">
      <c r="A643" s="12"/>
      <c r="B643" s="12"/>
      <c r="C643" s="12"/>
      <c r="D643" s="12"/>
      <c r="E643" s="12"/>
      <c r="F643" s="12"/>
      <c r="G643" s="12"/>
      <c r="H643" s="12"/>
      <c r="I643" s="12"/>
      <c r="J643" s="12"/>
      <c r="K643" s="12"/>
      <c r="L643" s="12"/>
      <c r="M643" s="12"/>
      <c r="N643" s="12"/>
      <c r="O643" s="12"/>
      <c r="P643" s="12"/>
      <c r="Q643" s="12"/>
      <c r="R643" s="12"/>
      <c r="S643" s="12"/>
      <c r="T643" s="12"/>
      <c r="U643" s="12"/>
      <c r="W643" s="12"/>
      <c r="X643" s="12"/>
      <c r="Y643" s="12"/>
      <c r="Z643" s="12"/>
      <c r="AA643" s="12"/>
    </row>
    <row r="644" spans="1:27" ht="15.75" customHeight="1">
      <c r="A644" s="12"/>
      <c r="B644" s="12"/>
      <c r="C644" s="12"/>
      <c r="D644" s="12"/>
      <c r="E644" s="12"/>
      <c r="F644" s="12"/>
      <c r="G644" s="12"/>
      <c r="H644" s="12"/>
      <c r="I644" s="12"/>
      <c r="J644" s="12"/>
      <c r="K644" s="12"/>
      <c r="L644" s="12"/>
      <c r="M644" s="12"/>
      <c r="N644" s="12"/>
      <c r="O644" s="12"/>
      <c r="P644" s="12"/>
      <c r="Q644" s="12"/>
      <c r="R644" s="12"/>
      <c r="S644" s="12"/>
      <c r="T644" s="12"/>
      <c r="U644" s="12"/>
      <c r="W644" s="12"/>
      <c r="X644" s="12"/>
      <c r="Y644" s="12"/>
      <c r="Z644" s="12"/>
      <c r="AA644" s="12"/>
    </row>
    <row r="645" spans="1:27" ht="15.75" customHeight="1">
      <c r="A645" s="12"/>
      <c r="B645" s="12"/>
      <c r="C645" s="12"/>
      <c r="D645" s="12"/>
      <c r="E645" s="12"/>
      <c r="F645" s="12"/>
      <c r="G645" s="12"/>
      <c r="H645" s="12"/>
      <c r="I645" s="12"/>
      <c r="J645" s="12"/>
      <c r="K645" s="12"/>
      <c r="L645" s="12"/>
      <c r="M645" s="12"/>
      <c r="N645" s="12"/>
      <c r="O645" s="12"/>
      <c r="P645" s="12"/>
      <c r="Q645" s="12"/>
      <c r="R645" s="12"/>
      <c r="S645" s="12"/>
      <c r="T645" s="12"/>
      <c r="U645" s="12"/>
      <c r="W645" s="12"/>
      <c r="X645" s="12"/>
      <c r="Y645" s="12"/>
      <c r="Z645" s="12"/>
      <c r="AA645" s="12"/>
    </row>
    <row r="646" spans="1:27" ht="15.75" customHeight="1">
      <c r="A646" s="12"/>
      <c r="B646" s="12"/>
      <c r="C646" s="12"/>
      <c r="D646" s="12"/>
      <c r="E646" s="12"/>
      <c r="F646" s="12"/>
      <c r="G646" s="12"/>
      <c r="H646" s="12"/>
      <c r="I646" s="12"/>
      <c r="J646" s="12"/>
      <c r="K646" s="12"/>
      <c r="L646" s="12"/>
      <c r="M646" s="12"/>
      <c r="N646" s="12"/>
      <c r="O646" s="12"/>
      <c r="P646" s="12"/>
      <c r="Q646" s="12"/>
      <c r="R646" s="12"/>
      <c r="S646" s="12"/>
      <c r="T646" s="12"/>
      <c r="U646" s="12"/>
      <c r="W646" s="12"/>
      <c r="X646" s="12"/>
      <c r="Y646" s="12"/>
      <c r="Z646" s="12"/>
      <c r="AA646" s="12"/>
    </row>
    <row r="647" spans="1:27" ht="15.75" customHeight="1">
      <c r="A647" s="12"/>
      <c r="B647" s="12"/>
      <c r="C647" s="12"/>
      <c r="D647" s="12"/>
      <c r="E647" s="12"/>
      <c r="F647" s="12"/>
      <c r="G647" s="12"/>
      <c r="H647" s="12"/>
      <c r="I647" s="12"/>
      <c r="J647" s="12"/>
      <c r="K647" s="12"/>
      <c r="L647" s="12"/>
      <c r="M647" s="12"/>
      <c r="N647" s="12"/>
      <c r="O647" s="12"/>
      <c r="P647" s="12"/>
      <c r="Q647" s="12"/>
      <c r="R647" s="12"/>
      <c r="S647" s="12"/>
      <c r="T647" s="12"/>
      <c r="U647" s="12"/>
      <c r="W647" s="12"/>
      <c r="X647" s="12"/>
      <c r="Y647" s="12"/>
      <c r="Z647" s="12"/>
      <c r="AA647" s="12"/>
    </row>
    <row r="648" spans="1:27" ht="15.75" customHeight="1">
      <c r="A648" s="12"/>
      <c r="B648" s="12"/>
      <c r="C648" s="12"/>
      <c r="D648" s="12"/>
      <c r="E648" s="12"/>
      <c r="F648" s="12"/>
      <c r="G648" s="12"/>
      <c r="H648" s="12"/>
      <c r="I648" s="12"/>
      <c r="J648" s="12"/>
      <c r="K648" s="12"/>
      <c r="L648" s="12"/>
      <c r="M648" s="12"/>
      <c r="N648" s="12"/>
      <c r="O648" s="12"/>
      <c r="P648" s="12"/>
      <c r="Q648" s="12"/>
      <c r="R648" s="12"/>
      <c r="S648" s="12"/>
      <c r="T648" s="12"/>
      <c r="U648" s="12"/>
      <c r="W648" s="12"/>
      <c r="X648" s="12"/>
      <c r="Y648" s="12"/>
      <c r="Z648" s="12"/>
      <c r="AA648" s="12"/>
    </row>
    <row r="649" spans="1:27" ht="15.75" customHeight="1">
      <c r="A649" s="12"/>
      <c r="B649" s="12"/>
      <c r="C649" s="12"/>
      <c r="D649" s="12"/>
      <c r="E649" s="12"/>
      <c r="F649" s="12"/>
      <c r="G649" s="12"/>
      <c r="H649" s="12"/>
      <c r="I649" s="12"/>
      <c r="J649" s="12"/>
      <c r="K649" s="12"/>
      <c r="L649" s="12"/>
      <c r="M649" s="12"/>
      <c r="N649" s="12"/>
      <c r="O649" s="12"/>
      <c r="P649" s="12"/>
      <c r="Q649" s="12"/>
      <c r="R649" s="12"/>
      <c r="S649" s="12"/>
      <c r="T649" s="12"/>
      <c r="U649" s="12"/>
      <c r="W649" s="12"/>
      <c r="X649" s="12"/>
      <c r="Y649" s="12"/>
      <c r="Z649" s="12"/>
      <c r="AA649" s="12"/>
    </row>
    <row r="650" spans="1:27" ht="15.75" customHeight="1">
      <c r="A650" s="12"/>
      <c r="B650" s="12"/>
      <c r="C650" s="12"/>
      <c r="D650" s="12"/>
      <c r="E650" s="12"/>
      <c r="F650" s="12"/>
      <c r="G650" s="12"/>
      <c r="H650" s="12"/>
      <c r="I650" s="12"/>
      <c r="J650" s="12"/>
      <c r="K650" s="12"/>
      <c r="L650" s="12"/>
      <c r="M650" s="12"/>
      <c r="N650" s="12"/>
      <c r="O650" s="12"/>
      <c r="P650" s="12"/>
      <c r="Q650" s="12"/>
      <c r="R650" s="12"/>
      <c r="S650" s="12"/>
      <c r="T650" s="12"/>
      <c r="U650" s="12"/>
      <c r="W650" s="12"/>
      <c r="X650" s="12"/>
      <c r="Y650" s="12"/>
      <c r="Z650" s="12"/>
      <c r="AA650" s="12"/>
    </row>
    <row r="651" spans="1:27" ht="15.75" customHeight="1">
      <c r="A651" s="12"/>
      <c r="B651" s="12"/>
      <c r="C651" s="12"/>
      <c r="D651" s="12"/>
      <c r="E651" s="12"/>
      <c r="F651" s="12"/>
      <c r="G651" s="12"/>
      <c r="H651" s="12"/>
      <c r="I651" s="12"/>
      <c r="J651" s="12"/>
      <c r="K651" s="12"/>
      <c r="L651" s="12"/>
      <c r="M651" s="12"/>
      <c r="N651" s="12"/>
      <c r="O651" s="12"/>
      <c r="P651" s="12"/>
      <c r="Q651" s="12"/>
      <c r="R651" s="12"/>
      <c r="S651" s="12"/>
      <c r="T651" s="12"/>
      <c r="U651" s="12"/>
      <c r="W651" s="12"/>
      <c r="X651" s="12"/>
      <c r="Y651" s="12"/>
      <c r="Z651" s="12"/>
      <c r="AA651" s="12"/>
    </row>
    <row r="652" spans="1:27" ht="15.75" customHeight="1">
      <c r="A652" s="12"/>
      <c r="B652" s="12"/>
      <c r="C652" s="12"/>
      <c r="D652" s="12"/>
      <c r="E652" s="12"/>
      <c r="F652" s="12"/>
      <c r="G652" s="12"/>
      <c r="H652" s="12"/>
      <c r="I652" s="12"/>
      <c r="J652" s="12"/>
      <c r="K652" s="12"/>
      <c r="L652" s="12"/>
      <c r="M652" s="12"/>
      <c r="N652" s="12"/>
      <c r="O652" s="12"/>
      <c r="P652" s="12"/>
      <c r="Q652" s="12"/>
      <c r="R652" s="12"/>
      <c r="S652" s="12"/>
      <c r="T652" s="12"/>
      <c r="U652" s="12"/>
      <c r="W652" s="12"/>
      <c r="X652" s="12"/>
      <c r="Y652" s="12"/>
      <c r="Z652" s="12"/>
      <c r="AA652" s="12"/>
    </row>
    <row r="653" spans="1:27" ht="15.75" customHeight="1">
      <c r="A653" s="12"/>
      <c r="B653" s="12"/>
      <c r="C653" s="12"/>
      <c r="D653" s="12"/>
      <c r="E653" s="12"/>
      <c r="F653" s="12"/>
      <c r="G653" s="12"/>
      <c r="H653" s="12"/>
      <c r="I653" s="12"/>
      <c r="J653" s="12"/>
      <c r="K653" s="12"/>
      <c r="L653" s="12"/>
      <c r="M653" s="12"/>
      <c r="N653" s="12"/>
      <c r="O653" s="12"/>
      <c r="P653" s="12"/>
      <c r="Q653" s="12"/>
      <c r="R653" s="12"/>
      <c r="S653" s="12"/>
      <c r="T653" s="12"/>
      <c r="U653" s="12"/>
      <c r="W653" s="12"/>
      <c r="X653" s="12"/>
      <c r="Y653" s="12"/>
      <c r="Z653" s="12"/>
      <c r="AA653" s="12"/>
    </row>
    <row r="654" spans="1:27" ht="15.75" customHeight="1">
      <c r="A654" s="12"/>
      <c r="B654" s="12"/>
      <c r="C654" s="12"/>
      <c r="D654" s="12"/>
      <c r="E654" s="12"/>
      <c r="F654" s="12"/>
      <c r="G654" s="12"/>
      <c r="H654" s="12"/>
      <c r="I654" s="12"/>
      <c r="J654" s="12"/>
      <c r="K654" s="12"/>
      <c r="L654" s="12"/>
      <c r="M654" s="12"/>
      <c r="N654" s="12"/>
      <c r="O654" s="12"/>
      <c r="P654" s="12"/>
      <c r="Q654" s="12"/>
      <c r="R654" s="12"/>
      <c r="S654" s="12"/>
      <c r="T654" s="12"/>
      <c r="U654" s="12"/>
      <c r="W654" s="12"/>
      <c r="X654" s="12"/>
      <c r="Y654" s="12"/>
      <c r="Z654" s="12"/>
      <c r="AA654" s="12"/>
    </row>
    <row r="655" spans="1:27" ht="15.75" customHeight="1">
      <c r="A655" s="12"/>
      <c r="B655" s="12"/>
      <c r="C655" s="12"/>
      <c r="D655" s="12"/>
      <c r="E655" s="12"/>
      <c r="F655" s="12"/>
      <c r="G655" s="12"/>
      <c r="H655" s="12"/>
      <c r="I655" s="12"/>
      <c r="J655" s="12"/>
      <c r="K655" s="12"/>
      <c r="L655" s="12"/>
      <c r="M655" s="12"/>
      <c r="N655" s="12"/>
      <c r="O655" s="12"/>
      <c r="P655" s="12"/>
      <c r="Q655" s="12"/>
      <c r="R655" s="12"/>
      <c r="S655" s="12"/>
      <c r="T655" s="12"/>
      <c r="U655" s="12"/>
      <c r="W655" s="12"/>
      <c r="X655" s="12"/>
      <c r="Y655" s="12"/>
      <c r="Z655" s="12"/>
      <c r="AA655" s="12"/>
    </row>
    <row r="656" spans="1:27" ht="15.75" customHeight="1">
      <c r="A656" s="12"/>
      <c r="B656" s="12"/>
      <c r="C656" s="12"/>
      <c r="D656" s="12"/>
      <c r="E656" s="12"/>
      <c r="F656" s="12"/>
      <c r="G656" s="12"/>
      <c r="H656" s="12"/>
      <c r="I656" s="12"/>
      <c r="J656" s="12"/>
      <c r="K656" s="12"/>
      <c r="L656" s="12"/>
      <c r="M656" s="12"/>
      <c r="N656" s="12"/>
      <c r="O656" s="12"/>
      <c r="P656" s="12"/>
      <c r="Q656" s="12"/>
      <c r="R656" s="12"/>
      <c r="S656" s="12"/>
      <c r="T656" s="12"/>
      <c r="U656" s="12"/>
      <c r="W656" s="12"/>
      <c r="X656" s="12"/>
      <c r="Y656" s="12"/>
      <c r="Z656" s="12"/>
      <c r="AA656" s="12"/>
    </row>
    <row r="657" spans="1:27" ht="15.75" customHeight="1">
      <c r="A657" s="12"/>
      <c r="B657" s="12"/>
      <c r="C657" s="12"/>
      <c r="D657" s="12"/>
      <c r="E657" s="12"/>
      <c r="F657" s="12"/>
      <c r="G657" s="12"/>
      <c r="H657" s="12"/>
      <c r="I657" s="12"/>
      <c r="J657" s="12"/>
      <c r="K657" s="12"/>
      <c r="L657" s="12"/>
      <c r="M657" s="12"/>
      <c r="N657" s="12"/>
      <c r="O657" s="12"/>
      <c r="P657" s="12"/>
      <c r="Q657" s="12"/>
      <c r="R657" s="12"/>
      <c r="S657" s="12"/>
      <c r="T657" s="12"/>
      <c r="U657" s="12"/>
      <c r="W657" s="12"/>
      <c r="X657" s="12"/>
      <c r="Y657" s="12"/>
      <c r="Z657" s="12"/>
      <c r="AA657" s="12"/>
    </row>
    <row r="658" spans="1:27" ht="15.75" customHeight="1">
      <c r="A658" s="12"/>
      <c r="B658" s="12"/>
      <c r="C658" s="12"/>
      <c r="D658" s="12"/>
      <c r="E658" s="12"/>
      <c r="F658" s="12"/>
      <c r="G658" s="12"/>
      <c r="H658" s="12"/>
      <c r="I658" s="12"/>
      <c r="J658" s="12"/>
      <c r="K658" s="12"/>
      <c r="L658" s="12"/>
      <c r="M658" s="12"/>
      <c r="N658" s="12"/>
      <c r="O658" s="12"/>
      <c r="P658" s="12"/>
      <c r="Q658" s="12"/>
      <c r="R658" s="12"/>
      <c r="S658" s="12"/>
      <c r="T658" s="12"/>
      <c r="U658" s="12"/>
      <c r="W658" s="12"/>
      <c r="X658" s="12"/>
      <c r="Y658" s="12"/>
      <c r="Z658" s="12"/>
      <c r="AA658" s="12"/>
    </row>
    <row r="659" spans="1:27" ht="15.75" customHeight="1">
      <c r="A659" s="12"/>
      <c r="B659" s="12"/>
      <c r="C659" s="12"/>
      <c r="D659" s="12"/>
      <c r="E659" s="12"/>
      <c r="F659" s="12"/>
      <c r="G659" s="12"/>
      <c r="H659" s="12"/>
      <c r="I659" s="12"/>
      <c r="J659" s="12"/>
      <c r="K659" s="12"/>
      <c r="L659" s="12"/>
      <c r="M659" s="12"/>
      <c r="N659" s="12"/>
      <c r="O659" s="12"/>
      <c r="P659" s="12"/>
      <c r="Q659" s="12"/>
      <c r="R659" s="12"/>
      <c r="S659" s="12"/>
      <c r="T659" s="12"/>
      <c r="U659" s="12"/>
      <c r="W659" s="12"/>
      <c r="X659" s="12"/>
      <c r="Y659" s="12"/>
      <c r="Z659" s="12"/>
      <c r="AA659" s="12"/>
    </row>
    <row r="660" spans="1:27" ht="15.75" customHeight="1">
      <c r="A660" s="12"/>
      <c r="B660" s="12"/>
      <c r="C660" s="12"/>
      <c r="D660" s="12"/>
      <c r="E660" s="12"/>
      <c r="F660" s="12"/>
      <c r="G660" s="12"/>
      <c r="H660" s="12"/>
      <c r="I660" s="12"/>
      <c r="J660" s="12"/>
      <c r="K660" s="12"/>
      <c r="L660" s="12"/>
      <c r="M660" s="12"/>
      <c r="N660" s="12"/>
      <c r="O660" s="12"/>
      <c r="P660" s="12"/>
      <c r="Q660" s="12"/>
      <c r="R660" s="12"/>
      <c r="S660" s="12"/>
      <c r="T660" s="12"/>
      <c r="U660" s="12"/>
      <c r="W660" s="12"/>
      <c r="X660" s="12"/>
      <c r="Y660" s="12"/>
      <c r="Z660" s="12"/>
      <c r="AA660" s="12"/>
    </row>
    <row r="661" spans="1:27" ht="15.75" customHeight="1">
      <c r="A661" s="12"/>
      <c r="B661" s="12"/>
      <c r="C661" s="12"/>
      <c r="D661" s="12"/>
      <c r="E661" s="12"/>
      <c r="F661" s="12"/>
      <c r="G661" s="12"/>
      <c r="H661" s="12"/>
      <c r="I661" s="12"/>
      <c r="J661" s="12"/>
      <c r="K661" s="12"/>
      <c r="L661" s="12"/>
      <c r="M661" s="12"/>
      <c r="N661" s="12"/>
      <c r="O661" s="12"/>
      <c r="P661" s="12"/>
      <c r="Q661" s="12"/>
      <c r="R661" s="12"/>
      <c r="S661" s="12"/>
      <c r="T661" s="12"/>
      <c r="U661" s="12"/>
      <c r="W661" s="12"/>
      <c r="X661" s="12"/>
      <c r="Y661" s="12"/>
      <c r="Z661" s="12"/>
      <c r="AA661" s="12"/>
    </row>
    <row r="662" spans="1:27" ht="15.75" customHeight="1">
      <c r="A662" s="12"/>
      <c r="B662" s="12"/>
      <c r="C662" s="12"/>
      <c r="D662" s="12"/>
      <c r="E662" s="12"/>
      <c r="F662" s="12"/>
      <c r="G662" s="12"/>
      <c r="H662" s="12"/>
      <c r="I662" s="12"/>
      <c r="J662" s="12"/>
      <c r="K662" s="12"/>
      <c r="L662" s="12"/>
      <c r="M662" s="12"/>
      <c r="N662" s="12"/>
      <c r="O662" s="12"/>
      <c r="P662" s="12"/>
      <c r="Q662" s="12"/>
      <c r="R662" s="12"/>
      <c r="S662" s="12"/>
      <c r="T662" s="12"/>
      <c r="U662" s="12"/>
      <c r="W662" s="12"/>
      <c r="X662" s="12"/>
      <c r="Y662" s="12"/>
      <c r="Z662" s="12"/>
      <c r="AA662" s="12"/>
    </row>
    <row r="663" spans="1:27" ht="15.75" customHeight="1">
      <c r="A663" s="12"/>
      <c r="B663" s="12"/>
      <c r="C663" s="12"/>
      <c r="D663" s="12"/>
      <c r="E663" s="12"/>
      <c r="F663" s="12"/>
      <c r="G663" s="12"/>
      <c r="H663" s="12"/>
      <c r="I663" s="12"/>
      <c r="J663" s="12"/>
      <c r="K663" s="12"/>
      <c r="L663" s="12"/>
      <c r="M663" s="12"/>
      <c r="N663" s="12"/>
      <c r="O663" s="12"/>
      <c r="P663" s="12"/>
      <c r="Q663" s="12"/>
      <c r="R663" s="12"/>
      <c r="S663" s="12"/>
      <c r="T663" s="12"/>
      <c r="U663" s="12"/>
      <c r="W663" s="12"/>
      <c r="X663" s="12"/>
      <c r="Y663" s="12"/>
      <c r="Z663" s="12"/>
      <c r="AA663" s="12"/>
    </row>
    <row r="664" spans="1:27" ht="15.75" customHeight="1">
      <c r="A664" s="12"/>
      <c r="B664" s="12"/>
      <c r="C664" s="12"/>
      <c r="D664" s="12"/>
      <c r="E664" s="12"/>
      <c r="F664" s="12"/>
      <c r="G664" s="12"/>
      <c r="H664" s="12"/>
      <c r="I664" s="12"/>
      <c r="J664" s="12"/>
      <c r="K664" s="12"/>
      <c r="L664" s="12"/>
      <c r="M664" s="12"/>
      <c r="N664" s="12"/>
      <c r="O664" s="12"/>
      <c r="P664" s="12"/>
      <c r="Q664" s="12"/>
      <c r="R664" s="12"/>
      <c r="S664" s="12"/>
      <c r="T664" s="12"/>
      <c r="U664" s="12"/>
      <c r="W664" s="12"/>
      <c r="X664" s="12"/>
      <c r="Y664" s="12"/>
      <c r="Z664" s="12"/>
      <c r="AA664" s="12"/>
    </row>
    <row r="665" spans="1:27" ht="15.75" customHeight="1">
      <c r="A665" s="12"/>
      <c r="B665" s="12"/>
      <c r="C665" s="12"/>
      <c r="D665" s="12"/>
      <c r="E665" s="12"/>
      <c r="F665" s="12"/>
      <c r="G665" s="12"/>
      <c r="H665" s="12"/>
      <c r="I665" s="12"/>
      <c r="J665" s="12"/>
      <c r="K665" s="12"/>
      <c r="L665" s="12"/>
      <c r="M665" s="12"/>
      <c r="N665" s="12"/>
      <c r="O665" s="12"/>
      <c r="P665" s="12"/>
      <c r="Q665" s="12"/>
      <c r="R665" s="12"/>
      <c r="S665" s="12"/>
      <c r="T665" s="12"/>
      <c r="U665" s="12"/>
      <c r="W665" s="12"/>
      <c r="X665" s="12"/>
      <c r="Y665" s="12"/>
      <c r="Z665" s="12"/>
      <c r="AA665" s="12"/>
    </row>
    <row r="666" spans="1:27" ht="15.75" customHeight="1">
      <c r="A666" s="12"/>
      <c r="B666" s="12"/>
      <c r="C666" s="12"/>
      <c r="D666" s="12"/>
      <c r="E666" s="12"/>
      <c r="F666" s="12"/>
      <c r="G666" s="12"/>
      <c r="H666" s="12"/>
      <c r="I666" s="12"/>
      <c r="J666" s="12"/>
      <c r="K666" s="12"/>
      <c r="L666" s="12"/>
      <c r="M666" s="12"/>
      <c r="N666" s="12"/>
      <c r="O666" s="12"/>
      <c r="P666" s="12"/>
      <c r="Q666" s="12"/>
      <c r="R666" s="12"/>
      <c r="S666" s="12"/>
      <c r="T666" s="12"/>
      <c r="U666" s="12"/>
      <c r="W666" s="12"/>
      <c r="X666" s="12"/>
      <c r="Y666" s="12"/>
      <c r="Z666" s="12"/>
      <c r="AA666" s="12"/>
    </row>
    <row r="667" spans="1:27" ht="15.75" customHeight="1">
      <c r="A667" s="12"/>
      <c r="B667" s="12"/>
      <c r="C667" s="12"/>
      <c r="D667" s="12"/>
      <c r="E667" s="12"/>
      <c r="F667" s="12"/>
      <c r="G667" s="12"/>
      <c r="H667" s="12"/>
      <c r="I667" s="12"/>
      <c r="J667" s="12"/>
      <c r="K667" s="12"/>
      <c r="L667" s="12"/>
      <c r="M667" s="12"/>
      <c r="N667" s="12"/>
      <c r="O667" s="12"/>
      <c r="P667" s="12"/>
      <c r="Q667" s="12"/>
      <c r="R667" s="12"/>
      <c r="S667" s="12"/>
      <c r="T667" s="12"/>
      <c r="U667" s="12"/>
      <c r="W667" s="12"/>
      <c r="X667" s="12"/>
      <c r="Y667" s="12"/>
      <c r="Z667" s="12"/>
      <c r="AA667" s="12"/>
    </row>
    <row r="668" spans="1:27" ht="15.75" customHeight="1">
      <c r="A668" s="12"/>
      <c r="B668" s="12"/>
      <c r="C668" s="12"/>
      <c r="D668" s="12"/>
      <c r="E668" s="12"/>
      <c r="F668" s="12"/>
      <c r="G668" s="12"/>
      <c r="H668" s="12"/>
      <c r="I668" s="12"/>
      <c r="J668" s="12"/>
      <c r="K668" s="12"/>
      <c r="L668" s="12"/>
      <c r="M668" s="12"/>
      <c r="N668" s="12"/>
      <c r="O668" s="12"/>
      <c r="P668" s="12"/>
      <c r="Q668" s="12"/>
      <c r="R668" s="12"/>
      <c r="S668" s="12"/>
      <c r="T668" s="12"/>
      <c r="U668" s="12"/>
      <c r="W668" s="12"/>
      <c r="X668" s="12"/>
      <c r="Y668" s="12"/>
      <c r="Z668" s="12"/>
      <c r="AA668" s="12"/>
    </row>
    <row r="669" spans="1:27" ht="15.75" customHeight="1">
      <c r="A669" s="12"/>
      <c r="B669" s="12"/>
      <c r="C669" s="12"/>
      <c r="D669" s="12"/>
      <c r="E669" s="12"/>
      <c r="F669" s="12"/>
      <c r="G669" s="12"/>
      <c r="H669" s="12"/>
      <c r="I669" s="12"/>
      <c r="J669" s="12"/>
      <c r="K669" s="12"/>
      <c r="L669" s="12"/>
      <c r="M669" s="12"/>
      <c r="N669" s="12"/>
      <c r="O669" s="12"/>
      <c r="P669" s="12"/>
      <c r="Q669" s="12"/>
      <c r="R669" s="12"/>
      <c r="S669" s="12"/>
      <c r="T669" s="12"/>
      <c r="U669" s="12"/>
      <c r="W669" s="12"/>
      <c r="X669" s="12"/>
      <c r="Y669" s="12"/>
      <c r="Z669" s="12"/>
      <c r="AA669" s="12"/>
    </row>
    <row r="670" spans="1:27" ht="15.75" customHeight="1">
      <c r="A670" s="12"/>
      <c r="B670" s="12"/>
      <c r="C670" s="12"/>
      <c r="D670" s="12"/>
      <c r="E670" s="12"/>
      <c r="F670" s="12"/>
      <c r="G670" s="12"/>
      <c r="H670" s="12"/>
      <c r="I670" s="12"/>
      <c r="J670" s="12"/>
      <c r="K670" s="12"/>
      <c r="L670" s="12"/>
      <c r="M670" s="12"/>
      <c r="N670" s="12"/>
      <c r="O670" s="12"/>
      <c r="P670" s="12"/>
      <c r="Q670" s="12"/>
      <c r="R670" s="12"/>
      <c r="S670" s="12"/>
      <c r="T670" s="12"/>
      <c r="U670" s="12"/>
      <c r="W670" s="12"/>
      <c r="X670" s="12"/>
      <c r="Y670" s="12"/>
      <c r="Z670" s="12"/>
      <c r="AA670" s="12"/>
    </row>
    <row r="671" spans="1:27" ht="15.75" customHeight="1">
      <c r="A671" s="12"/>
      <c r="B671" s="12"/>
      <c r="C671" s="12"/>
      <c r="D671" s="12"/>
      <c r="E671" s="12"/>
      <c r="F671" s="12"/>
      <c r="G671" s="12"/>
      <c r="H671" s="12"/>
      <c r="I671" s="12"/>
      <c r="J671" s="12"/>
      <c r="K671" s="12"/>
      <c r="L671" s="12"/>
      <c r="M671" s="12"/>
      <c r="N671" s="12"/>
      <c r="O671" s="12"/>
      <c r="P671" s="12"/>
      <c r="Q671" s="12"/>
      <c r="R671" s="12"/>
      <c r="S671" s="12"/>
      <c r="T671" s="12"/>
      <c r="U671" s="12"/>
      <c r="W671" s="12"/>
      <c r="X671" s="12"/>
      <c r="Y671" s="12"/>
      <c r="Z671" s="12"/>
      <c r="AA671" s="12"/>
    </row>
    <row r="672" spans="1:27" ht="15.75" customHeight="1">
      <c r="A672" s="12"/>
      <c r="B672" s="12"/>
      <c r="C672" s="12"/>
      <c r="D672" s="12"/>
      <c r="E672" s="12"/>
      <c r="F672" s="12"/>
      <c r="G672" s="12"/>
      <c r="H672" s="12"/>
      <c r="I672" s="12"/>
      <c r="J672" s="12"/>
      <c r="K672" s="12"/>
      <c r="L672" s="12"/>
      <c r="M672" s="12"/>
      <c r="N672" s="12"/>
      <c r="O672" s="12"/>
      <c r="P672" s="12"/>
      <c r="Q672" s="12"/>
      <c r="R672" s="12"/>
      <c r="S672" s="12"/>
      <c r="T672" s="12"/>
      <c r="U672" s="12"/>
      <c r="W672" s="12"/>
      <c r="X672" s="12"/>
      <c r="Y672" s="12"/>
      <c r="Z672" s="12"/>
      <c r="AA672" s="12"/>
    </row>
    <row r="673" spans="1:27" ht="15.75" customHeight="1">
      <c r="A673" s="12"/>
      <c r="B673" s="12"/>
      <c r="C673" s="12"/>
      <c r="D673" s="12"/>
      <c r="E673" s="12"/>
      <c r="F673" s="12"/>
      <c r="G673" s="12"/>
      <c r="H673" s="12"/>
      <c r="I673" s="12"/>
      <c r="J673" s="12"/>
      <c r="K673" s="12"/>
      <c r="L673" s="12"/>
      <c r="M673" s="12"/>
      <c r="N673" s="12"/>
      <c r="O673" s="12"/>
      <c r="P673" s="12"/>
      <c r="Q673" s="12"/>
      <c r="R673" s="12"/>
      <c r="S673" s="12"/>
      <c r="T673" s="12"/>
      <c r="U673" s="12"/>
      <c r="W673" s="12"/>
      <c r="X673" s="12"/>
      <c r="Y673" s="12"/>
      <c r="Z673" s="12"/>
      <c r="AA673" s="12"/>
    </row>
    <row r="674" spans="1:27" ht="15.75" customHeight="1">
      <c r="A674" s="12"/>
      <c r="B674" s="12"/>
      <c r="C674" s="12"/>
      <c r="D674" s="12"/>
      <c r="E674" s="12"/>
      <c r="F674" s="12"/>
      <c r="G674" s="12"/>
      <c r="H674" s="12"/>
      <c r="I674" s="12"/>
      <c r="J674" s="12"/>
      <c r="K674" s="12"/>
      <c r="L674" s="12"/>
      <c r="M674" s="12"/>
      <c r="N674" s="12"/>
      <c r="O674" s="12"/>
      <c r="P674" s="12"/>
      <c r="Q674" s="12"/>
      <c r="R674" s="12"/>
      <c r="S674" s="12"/>
      <c r="T674" s="12"/>
      <c r="U674" s="12"/>
      <c r="W674" s="12"/>
      <c r="X674" s="12"/>
      <c r="Y674" s="12"/>
      <c r="Z674" s="12"/>
      <c r="AA674" s="12"/>
    </row>
    <row r="675" spans="1:27" ht="15.75" customHeight="1">
      <c r="A675" s="12"/>
      <c r="B675" s="12"/>
      <c r="C675" s="12"/>
      <c r="D675" s="12"/>
      <c r="E675" s="12"/>
      <c r="F675" s="12"/>
      <c r="G675" s="12"/>
      <c r="H675" s="12"/>
      <c r="I675" s="12"/>
      <c r="J675" s="12"/>
      <c r="K675" s="12"/>
      <c r="L675" s="12"/>
      <c r="M675" s="12"/>
      <c r="N675" s="12"/>
      <c r="O675" s="12"/>
      <c r="P675" s="12"/>
      <c r="Q675" s="12"/>
      <c r="R675" s="12"/>
      <c r="S675" s="12"/>
      <c r="T675" s="12"/>
      <c r="U675" s="12"/>
      <c r="W675" s="12"/>
      <c r="X675" s="12"/>
      <c r="Y675" s="12"/>
      <c r="Z675" s="12"/>
      <c r="AA675" s="12"/>
    </row>
    <row r="676" spans="1:27" ht="15.75" customHeight="1">
      <c r="A676" s="12"/>
      <c r="B676" s="12"/>
      <c r="C676" s="12"/>
      <c r="D676" s="12"/>
      <c r="E676" s="12"/>
      <c r="F676" s="12"/>
      <c r="G676" s="12"/>
      <c r="H676" s="12"/>
      <c r="I676" s="12"/>
      <c r="J676" s="12"/>
      <c r="K676" s="12"/>
      <c r="L676" s="12"/>
      <c r="M676" s="12"/>
      <c r="N676" s="12"/>
      <c r="O676" s="12"/>
      <c r="P676" s="12"/>
      <c r="Q676" s="12"/>
      <c r="R676" s="12"/>
      <c r="S676" s="12"/>
      <c r="T676" s="12"/>
      <c r="U676" s="12"/>
      <c r="W676" s="12"/>
      <c r="X676" s="12"/>
      <c r="Y676" s="12"/>
      <c r="Z676" s="12"/>
      <c r="AA676" s="12"/>
    </row>
    <row r="677" spans="1:27" ht="15.75" customHeight="1">
      <c r="A677" s="12"/>
      <c r="B677" s="12"/>
      <c r="C677" s="12"/>
      <c r="D677" s="12"/>
      <c r="E677" s="12"/>
      <c r="F677" s="12"/>
      <c r="G677" s="12"/>
      <c r="H677" s="12"/>
      <c r="I677" s="12"/>
      <c r="J677" s="12"/>
      <c r="K677" s="12"/>
      <c r="L677" s="12"/>
      <c r="M677" s="12"/>
      <c r="N677" s="12"/>
      <c r="O677" s="12"/>
      <c r="P677" s="12"/>
      <c r="Q677" s="12"/>
      <c r="R677" s="12"/>
      <c r="S677" s="12"/>
      <c r="T677" s="12"/>
      <c r="U677" s="12"/>
      <c r="W677" s="12"/>
      <c r="X677" s="12"/>
      <c r="Y677" s="12"/>
      <c r="Z677" s="12"/>
      <c r="AA677" s="12"/>
    </row>
    <row r="678" spans="1:27" ht="15.75" customHeight="1">
      <c r="A678" s="12"/>
      <c r="B678" s="12"/>
      <c r="C678" s="12"/>
      <c r="D678" s="12"/>
      <c r="E678" s="12"/>
      <c r="F678" s="12"/>
      <c r="G678" s="12"/>
      <c r="H678" s="12"/>
      <c r="I678" s="12"/>
      <c r="J678" s="12"/>
      <c r="K678" s="12"/>
      <c r="L678" s="12"/>
      <c r="M678" s="12"/>
      <c r="N678" s="12"/>
      <c r="O678" s="12"/>
      <c r="P678" s="12"/>
      <c r="Q678" s="12"/>
      <c r="R678" s="12"/>
      <c r="S678" s="12"/>
      <c r="T678" s="12"/>
      <c r="U678" s="12"/>
      <c r="W678" s="12"/>
      <c r="X678" s="12"/>
      <c r="Y678" s="12"/>
      <c r="Z678" s="12"/>
      <c r="AA678" s="12"/>
    </row>
    <row r="679" spans="1:27" ht="15.75" customHeight="1">
      <c r="A679" s="12"/>
      <c r="B679" s="12"/>
      <c r="C679" s="12"/>
      <c r="D679" s="12"/>
      <c r="E679" s="12"/>
      <c r="F679" s="12"/>
      <c r="G679" s="12"/>
      <c r="H679" s="12"/>
      <c r="I679" s="12"/>
      <c r="J679" s="12"/>
      <c r="K679" s="12"/>
      <c r="L679" s="12"/>
      <c r="M679" s="12"/>
      <c r="N679" s="12"/>
      <c r="O679" s="12"/>
      <c r="P679" s="12"/>
      <c r="Q679" s="12"/>
      <c r="R679" s="12"/>
      <c r="S679" s="12"/>
      <c r="T679" s="12"/>
      <c r="U679" s="12"/>
      <c r="W679" s="12"/>
      <c r="X679" s="12"/>
      <c r="Y679" s="12"/>
      <c r="Z679" s="12"/>
      <c r="AA679" s="12"/>
    </row>
    <row r="680" spans="1:27" ht="15.75" customHeight="1">
      <c r="A680" s="12"/>
      <c r="B680" s="12"/>
      <c r="C680" s="12"/>
      <c r="D680" s="12"/>
      <c r="E680" s="12"/>
      <c r="F680" s="12"/>
      <c r="G680" s="12"/>
      <c r="H680" s="12"/>
      <c r="I680" s="12"/>
      <c r="J680" s="12"/>
      <c r="K680" s="12"/>
      <c r="L680" s="12"/>
      <c r="M680" s="12"/>
      <c r="N680" s="12"/>
      <c r="O680" s="12"/>
      <c r="P680" s="12"/>
      <c r="Q680" s="12"/>
      <c r="R680" s="12"/>
      <c r="S680" s="12"/>
      <c r="T680" s="12"/>
      <c r="U680" s="12"/>
      <c r="W680" s="12"/>
      <c r="X680" s="12"/>
      <c r="Y680" s="12"/>
      <c r="Z680" s="12"/>
      <c r="AA680" s="12"/>
    </row>
    <row r="681" spans="1:27" ht="15.75" customHeight="1">
      <c r="A681" s="12"/>
      <c r="B681" s="12"/>
      <c r="C681" s="12"/>
      <c r="D681" s="12"/>
      <c r="E681" s="12"/>
      <c r="F681" s="12"/>
      <c r="G681" s="12"/>
      <c r="H681" s="12"/>
      <c r="I681" s="12"/>
      <c r="J681" s="12"/>
      <c r="K681" s="12"/>
      <c r="L681" s="12"/>
      <c r="M681" s="12"/>
      <c r="N681" s="12"/>
      <c r="O681" s="12"/>
      <c r="P681" s="12"/>
      <c r="Q681" s="12"/>
      <c r="R681" s="12"/>
      <c r="S681" s="12"/>
      <c r="T681" s="12"/>
      <c r="U681" s="12"/>
      <c r="W681" s="12"/>
      <c r="X681" s="12"/>
      <c r="Y681" s="12"/>
      <c r="Z681" s="12"/>
      <c r="AA681" s="12"/>
    </row>
    <row r="682" spans="1:27" ht="15.75" customHeight="1">
      <c r="A682" s="12"/>
      <c r="B682" s="12"/>
      <c r="C682" s="12"/>
      <c r="D682" s="12"/>
      <c r="E682" s="12"/>
      <c r="F682" s="12"/>
      <c r="G682" s="12"/>
      <c r="H682" s="12"/>
      <c r="I682" s="12"/>
      <c r="J682" s="12"/>
      <c r="K682" s="12"/>
      <c r="L682" s="12"/>
      <c r="M682" s="12"/>
      <c r="N682" s="12"/>
      <c r="O682" s="12"/>
      <c r="P682" s="12"/>
      <c r="Q682" s="12"/>
      <c r="R682" s="12"/>
      <c r="S682" s="12"/>
      <c r="T682" s="12"/>
      <c r="U682" s="12"/>
      <c r="W682" s="12"/>
      <c r="X682" s="12"/>
      <c r="Y682" s="12"/>
      <c r="Z682" s="12"/>
      <c r="AA682" s="12"/>
    </row>
    <row r="683" spans="1:27" ht="15.75" customHeight="1">
      <c r="A683" s="12"/>
      <c r="B683" s="12"/>
      <c r="C683" s="12"/>
      <c r="D683" s="12"/>
      <c r="E683" s="12"/>
      <c r="F683" s="12"/>
      <c r="G683" s="12"/>
      <c r="H683" s="12"/>
      <c r="I683" s="12"/>
      <c r="J683" s="12"/>
      <c r="K683" s="12"/>
      <c r="L683" s="12"/>
      <c r="M683" s="12"/>
      <c r="N683" s="12"/>
      <c r="O683" s="12"/>
      <c r="P683" s="12"/>
      <c r="Q683" s="12"/>
      <c r="R683" s="12"/>
      <c r="S683" s="12"/>
      <c r="T683" s="12"/>
      <c r="U683" s="12"/>
      <c r="W683" s="12"/>
      <c r="X683" s="12"/>
      <c r="Y683" s="12"/>
      <c r="Z683" s="12"/>
      <c r="AA683" s="12"/>
    </row>
    <row r="684" spans="1:27" ht="15.75" customHeight="1">
      <c r="A684" s="12"/>
      <c r="B684" s="12"/>
      <c r="C684" s="12"/>
      <c r="D684" s="12"/>
      <c r="E684" s="12"/>
      <c r="F684" s="12"/>
      <c r="G684" s="12"/>
      <c r="H684" s="12"/>
      <c r="I684" s="12"/>
      <c r="J684" s="12"/>
      <c r="K684" s="12"/>
      <c r="L684" s="12"/>
      <c r="M684" s="12"/>
      <c r="N684" s="12"/>
      <c r="O684" s="12"/>
      <c r="P684" s="12"/>
      <c r="Q684" s="12"/>
      <c r="R684" s="12"/>
      <c r="S684" s="12"/>
      <c r="T684" s="12"/>
      <c r="U684" s="12"/>
      <c r="W684" s="12"/>
      <c r="X684" s="12"/>
      <c r="Y684" s="12"/>
      <c r="Z684" s="12"/>
      <c r="AA684" s="12"/>
    </row>
    <row r="685" spans="1:27" ht="15.75" customHeight="1">
      <c r="A685" s="12"/>
      <c r="B685" s="12"/>
      <c r="C685" s="12"/>
      <c r="D685" s="12"/>
      <c r="E685" s="12"/>
      <c r="F685" s="12"/>
      <c r="G685" s="12"/>
      <c r="H685" s="12"/>
      <c r="I685" s="12"/>
      <c r="J685" s="12"/>
      <c r="K685" s="12"/>
      <c r="L685" s="12"/>
      <c r="M685" s="12"/>
      <c r="N685" s="12"/>
      <c r="O685" s="12"/>
      <c r="P685" s="12"/>
      <c r="Q685" s="12"/>
      <c r="R685" s="12"/>
      <c r="S685" s="12"/>
      <c r="T685" s="12"/>
      <c r="U685" s="12"/>
      <c r="W685" s="12"/>
      <c r="X685" s="12"/>
      <c r="Y685" s="12"/>
      <c r="Z685" s="12"/>
      <c r="AA685" s="12"/>
    </row>
    <row r="686" spans="1:27" ht="15.75" customHeight="1">
      <c r="A686" s="12"/>
      <c r="B686" s="12"/>
      <c r="C686" s="12"/>
      <c r="D686" s="12"/>
      <c r="E686" s="12"/>
      <c r="F686" s="12"/>
      <c r="G686" s="12"/>
      <c r="H686" s="12"/>
      <c r="I686" s="12"/>
      <c r="J686" s="12"/>
      <c r="K686" s="12"/>
      <c r="L686" s="12"/>
      <c r="M686" s="12"/>
      <c r="N686" s="12"/>
      <c r="O686" s="12"/>
      <c r="P686" s="12"/>
      <c r="Q686" s="12"/>
      <c r="R686" s="12"/>
      <c r="S686" s="12"/>
      <c r="T686" s="12"/>
      <c r="U686" s="12"/>
      <c r="W686" s="12"/>
      <c r="X686" s="12"/>
      <c r="Y686" s="12"/>
      <c r="Z686" s="12"/>
      <c r="AA686" s="12"/>
    </row>
    <row r="687" spans="1:27" ht="15.75" customHeight="1">
      <c r="A687" s="12"/>
      <c r="B687" s="12"/>
      <c r="C687" s="12"/>
      <c r="D687" s="12"/>
      <c r="E687" s="12"/>
      <c r="F687" s="12"/>
      <c r="G687" s="12"/>
      <c r="H687" s="12"/>
      <c r="I687" s="12"/>
      <c r="J687" s="12"/>
      <c r="K687" s="12"/>
      <c r="L687" s="12"/>
      <c r="M687" s="12"/>
      <c r="N687" s="12"/>
      <c r="O687" s="12"/>
      <c r="P687" s="12"/>
      <c r="Q687" s="12"/>
      <c r="R687" s="12"/>
      <c r="S687" s="12"/>
      <c r="T687" s="12"/>
      <c r="U687" s="12"/>
      <c r="W687" s="12"/>
      <c r="X687" s="12"/>
      <c r="Y687" s="12"/>
      <c r="Z687" s="12"/>
      <c r="AA687" s="12"/>
    </row>
    <row r="688" spans="1:27" ht="15.75" customHeight="1">
      <c r="A688" s="12"/>
      <c r="B688" s="12"/>
      <c r="C688" s="12"/>
      <c r="D688" s="12"/>
      <c r="E688" s="12"/>
      <c r="F688" s="12"/>
      <c r="G688" s="12"/>
      <c r="H688" s="12"/>
      <c r="I688" s="12"/>
      <c r="J688" s="12"/>
      <c r="K688" s="12"/>
      <c r="L688" s="12"/>
      <c r="M688" s="12"/>
      <c r="N688" s="12"/>
      <c r="O688" s="12"/>
      <c r="P688" s="12"/>
      <c r="Q688" s="12"/>
      <c r="R688" s="12"/>
      <c r="S688" s="12"/>
      <c r="T688" s="12"/>
      <c r="U688" s="12"/>
      <c r="W688" s="12"/>
      <c r="X688" s="12"/>
      <c r="Y688" s="12"/>
      <c r="Z688" s="12"/>
      <c r="AA688" s="12"/>
    </row>
    <row r="689" spans="1:27" ht="15.75" customHeight="1">
      <c r="A689" s="12"/>
      <c r="B689" s="12"/>
      <c r="C689" s="12"/>
      <c r="D689" s="12"/>
      <c r="E689" s="12"/>
      <c r="F689" s="12"/>
      <c r="G689" s="12"/>
      <c r="H689" s="12"/>
      <c r="I689" s="12"/>
      <c r="J689" s="12"/>
      <c r="K689" s="12"/>
      <c r="L689" s="12"/>
      <c r="M689" s="12"/>
      <c r="N689" s="12"/>
      <c r="O689" s="12"/>
      <c r="P689" s="12"/>
      <c r="Q689" s="12"/>
      <c r="R689" s="12"/>
      <c r="S689" s="12"/>
      <c r="T689" s="12"/>
      <c r="U689" s="12"/>
      <c r="W689" s="12"/>
      <c r="X689" s="12"/>
      <c r="Y689" s="12"/>
      <c r="Z689" s="12"/>
      <c r="AA689" s="12"/>
    </row>
    <row r="690" spans="1:27" ht="15.75" customHeight="1">
      <c r="A690" s="12"/>
      <c r="B690" s="12"/>
      <c r="C690" s="12"/>
      <c r="D690" s="12"/>
      <c r="E690" s="12"/>
      <c r="F690" s="12"/>
      <c r="G690" s="12"/>
      <c r="H690" s="12"/>
      <c r="I690" s="12"/>
      <c r="J690" s="12"/>
      <c r="K690" s="12"/>
      <c r="L690" s="12"/>
      <c r="M690" s="12"/>
      <c r="N690" s="12"/>
      <c r="O690" s="12"/>
      <c r="P690" s="12"/>
      <c r="Q690" s="12"/>
      <c r="R690" s="12"/>
      <c r="S690" s="12"/>
      <c r="T690" s="12"/>
      <c r="U690" s="12"/>
      <c r="W690" s="12"/>
      <c r="X690" s="12"/>
      <c r="Y690" s="12"/>
      <c r="Z690" s="12"/>
      <c r="AA690" s="12"/>
    </row>
    <row r="691" spans="1:27" ht="15.75" customHeight="1">
      <c r="A691" s="12"/>
      <c r="B691" s="12"/>
      <c r="C691" s="12"/>
      <c r="D691" s="12"/>
      <c r="E691" s="12"/>
      <c r="F691" s="12"/>
      <c r="G691" s="12"/>
      <c r="H691" s="12"/>
      <c r="I691" s="12"/>
      <c r="J691" s="12"/>
      <c r="K691" s="12"/>
      <c r="L691" s="12"/>
      <c r="M691" s="12"/>
      <c r="N691" s="12"/>
      <c r="O691" s="12"/>
      <c r="P691" s="12"/>
      <c r="Q691" s="12"/>
      <c r="R691" s="12"/>
      <c r="S691" s="12"/>
      <c r="T691" s="12"/>
      <c r="U691" s="12"/>
      <c r="W691" s="12"/>
      <c r="X691" s="12"/>
      <c r="Y691" s="12"/>
      <c r="Z691" s="12"/>
      <c r="AA691" s="12"/>
    </row>
    <row r="692" spans="1:27" ht="15.75" customHeight="1">
      <c r="A692" s="12"/>
      <c r="B692" s="12"/>
      <c r="C692" s="12"/>
      <c r="D692" s="12"/>
      <c r="E692" s="12"/>
      <c r="F692" s="12"/>
      <c r="G692" s="12"/>
      <c r="H692" s="12"/>
      <c r="I692" s="12"/>
      <c r="J692" s="12"/>
      <c r="K692" s="12"/>
      <c r="L692" s="12"/>
      <c r="M692" s="12"/>
      <c r="N692" s="12"/>
      <c r="O692" s="12"/>
      <c r="P692" s="12"/>
      <c r="Q692" s="12"/>
      <c r="R692" s="12"/>
      <c r="S692" s="12"/>
      <c r="T692" s="12"/>
      <c r="U692" s="12"/>
      <c r="W692" s="12"/>
      <c r="X692" s="12"/>
      <c r="Y692" s="12"/>
      <c r="Z692" s="12"/>
      <c r="AA692" s="12"/>
    </row>
    <row r="693" spans="1:27" ht="15.75" customHeight="1">
      <c r="A693" s="12"/>
      <c r="B693" s="12"/>
      <c r="C693" s="12"/>
      <c r="D693" s="12"/>
      <c r="E693" s="12"/>
      <c r="F693" s="12"/>
      <c r="G693" s="12"/>
      <c r="H693" s="12"/>
      <c r="I693" s="12"/>
      <c r="J693" s="12"/>
      <c r="K693" s="12"/>
      <c r="L693" s="12"/>
      <c r="M693" s="12"/>
      <c r="N693" s="12"/>
      <c r="O693" s="12"/>
      <c r="P693" s="12"/>
      <c r="Q693" s="12"/>
      <c r="R693" s="12"/>
      <c r="S693" s="12"/>
      <c r="T693" s="12"/>
      <c r="U693" s="12"/>
      <c r="W693" s="12"/>
      <c r="X693" s="12"/>
      <c r="Y693" s="12"/>
      <c r="Z693" s="12"/>
      <c r="AA693" s="12"/>
    </row>
    <row r="694" spans="1:27" ht="15.75" customHeight="1">
      <c r="A694" s="12"/>
      <c r="B694" s="12"/>
      <c r="C694" s="12"/>
      <c r="D694" s="12"/>
      <c r="E694" s="12"/>
      <c r="F694" s="12"/>
      <c r="G694" s="12"/>
      <c r="H694" s="12"/>
      <c r="I694" s="12"/>
      <c r="J694" s="12"/>
      <c r="K694" s="12"/>
      <c r="L694" s="12"/>
      <c r="M694" s="12"/>
      <c r="N694" s="12"/>
      <c r="O694" s="12"/>
      <c r="P694" s="12"/>
      <c r="Q694" s="12"/>
      <c r="R694" s="12"/>
      <c r="S694" s="12"/>
      <c r="T694" s="12"/>
      <c r="U694" s="12"/>
      <c r="W694" s="12"/>
      <c r="X694" s="12"/>
      <c r="Y694" s="12"/>
      <c r="Z694" s="12"/>
      <c r="AA694" s="12"/>
    </row>
    <row r="695" spans="1:27" ht="15.75" customHeight="1">
      <c r="A695" s="12"/>
      <c r="B695" s="12"/>
      <c r="C695" s="12"/>
      <c r="D695" s="12"/>
      <c r="E695" s="12"/>
      <c r="F695" s="12"/>
      <c r="G695" s="12"/>
      <c r="H695" s="12"/>
      <c r="I695" s="12"/>
      <c r="J695" s="12"/>
      <c r="K695" s="12"/>
      <c r="L695" s="12"/>
      <c r="M695" s="12"/>
      <c r="N695" s="12"/>
      <c r="O695" s="12"/>
      <c r="P695" s="12"/>
      <c r="Q695" s="12"/>
      <c r="R695" s="12"/>
      <c r="S695" s="12"/>
      <c r="T695" s="12"/>
      <c r="U695" s="12"/>
      <c r="W695" s="12"/>
      <c r="X695" s="12"/>
      <c r="Y695" s="12"/>
      <c r="Z695" s="12"/>
      <c r="AA695" s="12"/>
    </row>
    <row r="696" spans="1:27" ht="15.75" customHeight="1">
      <c r="A696" s="12"/>
      <c r="B696" s="12"/>
      <c r="C696" s="12"/>
      <c r="D696" s="12"/>
      <c r="E696" s="12"/>
      <c r="F696" s="12"/>
      <c r="G696" s="12"/>
      <c r="H696" s="12"/>
      <c r="I696" s="12"/>
      <c r="J696" s="12"/>
      <c r="K696" s="12"/>
      <c r="L696" s="12"/>
      <c r="M696" s="12"/>
      <c r="N696" s="12"/>
      <c r="O696" s="12"/>
      <c r="P696" s="12"/>
      <c r="Q696" s="12"/>
      <c r="R696" s="12"/>
      <c r="S696" s="12"/>
      <c r="T696" s="12"/>
      <c r="U696" s="12"/>
      <c r="W696" s="12"/>
      <c r="X696" s="12"/>
      <c r="Y696" s="12"/>
      <c r="Z696" s="12"/>
      <c r="AA696" s="12"/>
    </row>
    <row r="697" spans="1:27" ht="15.75" customHeight="1">
      <c r="A697" s="12"/>
      <c r="B697" s="12"/>
      <c r="C697" s="12"/>
      <c r="D697" s="12"/>
      <c r="E697" s="12"/>
      <c r="F697" s="12"/>
      <c r="G697" s="12"/>
      <c r="H697" s="12"/>
      <c r="I697" s="12"/>
      <c r="J697" s="12"/>
      <c r="K697" s="12"/>
      <c r="L697" s="12"/>
      <c r="M697" s="12"/>
      <c r="N697" s="12"/>
      <c r="O697" s="12"/>
      <c r="P697" s="12"/>
      <c r="Q697" s="12"/>
      <c r="R697" s="12"/>
      <c r="S697" s="12"/>
      <c r="T697" s="12"/>
      <c r="U697" s="12"/>
      <c r="W697" s="12"/>
      <c r="X697" s="12"/>
      <c r="Y697" s="12"/>
      <c r="Z697" s="12"/>
      <c r="AA697" s="12"/>
    </row>
    <row r="698" spans="1:27" ht="15.75" customHeight="1">
      <c r="A698" s="12"/>
      <c r="B698" s="12"/>
      <c r="C698" s="12"/>
      <c r="D698" s="12"/>
      <c r="E698" s="12"/>
      <c r="F698" s="12"/>
      <c r="G698" s="12"/>
      <c r="H698" s="12"/>
      <c r="I698" s="12"/>
      <c r="J698" s="12"/>
      <c r="K698" s="12"/>
      <c r="L698" s="12"/>
      <c r="M698" s="12"/>
      <c r="N698" s="12"/>
      <c r="O698" s="12"/>
      <c r="P698" s="12"/>
      <c r="Q698" s="12"/>
      <c r="R698" s="12"/>
      <c r="S698" s="12"/>
      <c r="T698" s="12"/>
      <c r="U698" s="12"/>
      <c r="W698" s="12"/>
      <c r="X698" s="12"/>
      <c r="Y698" s="12"/>
      <c r="Z698" s="12"/>
      <c r="AA698" s="12"/>
    </row>
    <row r="699" spans="1:27" ht="15.75" customHeight="1">
      <c r="A699" s="12"/>
      <c r="B699" s="12"/>
      <c r="C699" s="12"/>
      <c r="D699" s="12"/>
      <c r="E699" s="12"/>
      <c r="F699" s="12"/>
      <c r="G699" s="12"/>
      <c r="H699" s="12"/>
      <c r="I699" s="12"/>
      <c r="J699" s="12"/>
      <c r="K699" s="12"/>
      <c r="L699" s="12"/>
      <c r="M699" s="12"/>
      <c r="N699" s="12"/>
      <c r="O699" s="12"/>
      <c r="P699" s="12"/>
      <c r="Q699" s="12"/>
      <c r="R699" s="12"/>
      <c r="S699" s="12"/>
      <c r="T699" s="12"/>
      <c r="U699" s="12"/>
      <c r="W699" s="12"/>
      <c r="X699" s="12"/>
      <c r="Y699" s="12"/>
      <c r="Z699" s="12"/>
      <c r="AA699" s="12"/>
    </row>
    <row r="700" spans="1:27" ht="15.75" customHeight="1">
      <c r="A700" s="12"/>
      <c r="B700" s="12"/>
      <c r="C700" s="12"/>
      <c r="D700" s="12"/>
      <c r="E700" s="12"/>
      <c r="F700" s="12"/>
      <c r="G700" s="12"/>
      <c r="H700" s="12"/>
      <c r="I700" s="12"/>
      <c r="J700" s="12"/>
      <c r="K700" s="12"/>
      <c r="L700" s="12"/>
      <c r="M700" s="12"/>
      <c r="N700" s="12"/>
      <c r="O700" s="12"/>
      <c r="P700" s="12"/>
      <c r="Q700" s="12"/>
      <c r="R700" s="12"/>
      <c r="S700" s="12"/>
      <c r="T700" s="12"/>
      <c r="U700" s="12"/>
      <c r="W700" s="12"/>
      <c r="X700" s="12"/>
      <c r="Y700" s="12"/>
      <c r="Z700" s="12"/>
      <c r="AA700" s="12"/>
    </row>
    <row r="701" spans="1:27" ht="15.75" customHeight="1">
      <c r="A701" s="12"/>
      <c r="B701" s="12"/>
      <c r="C701" s="12"/>
      <c r="D701" s="12"/>
      <c r="E701" s="12"/>
      <c r="F701" s="12"/>
      <c r="G701" s="12"/>
      <c r="H701" s="12"/>
      <c r="I701" s="12"/>
      <c r="J701" s="12"/>
      <c r="K701" s="12"/>
      <c r="L701" s="12"/>
      <c r="M701" s="12"/>
      <c r="N701" s="12"/>
      <c r="O701" s="12"/>
      <c r="P701" s="12"/>
      <c r="Q701" s="12"/>
      <c r="R701" s="12"/>
      <c r="S701" s="12"/>
      <c r="T701" s="12"/>
      <c r="U701" s="12"/>
      <c r="W701" s="12"/>
      <c r="X701" s="12"/>
      <c r="Y701" s="12"/>
      <c r="Z701" s="12"/>
      <c r="AA701" s="12"/>
    </row>
    <row r="702" spans="1:27" ht="15.75" customHeight="1">
      <c r="A702" s="12"/>
      <c r="B702" s="12"/>
      <c r="C702" s="12"/>
      <c r="D702" s="12"/>
      <c r="E702" s="12"/>
      <c r="F702" s="12"/>
      <c r="G702" s="12"/>
      <c r="H702" s="12"/>
      <c r="I702" s="12"/>
      <c r="J702" s="12"/>
      <c r="K702" s="12"/>
      <c r="L702" s="12"/>
      <c r="M702" s="12"/>
      <c r="N702" s="12"/>
      <c r="O702" s="12"/>
      <c r="P702" s="12"/>
      <c r="Q702" s="12"/>
      <c r="R702" s="12"/>
      <c r="S702" s="12"/>
      <c r="T702" s="12"/>
      <c r="U702" s="12"/>
      <c r="W702" s="12"/>
      <c r="X702" s="12"/>
      <c r="Y702" s="12"/>
      <c r="Z702" s="12"/>
      <c r="AA702" s="12"/>
    </row>
    <row r="703" spans="1:27" ht="15.75" customHeight="1">
      <c r="A703" s="12"/>
      <c r="B703" s="12"/>
      <c r="C703" s="12"/>
      <c r="D703" s="12"/>
      <c r="E703" s="12"/>
      <c r="F703" s="12"/>
      <c r="G703" s="12"/>
      <c r="H703" s="12"/>
      <c r="I703" s="12"/>
      <c r="J703" s="12"/>
      <c r="K703" s="12"/>
      <c r="L703" s="12"/>
      <c r="M703" s="12"/>
      <c r="N703" s="12"/>
      <c r="O703" s="12"/>
      <c r="P703" s="12"/>
      <c r="Q703" s="12"/>
      <c r="R703" s="12"/>
      <c r="S703" s="12"/>
      <c r="T703" s="12"/>
      <c r="U703" s="12"/>
      <c r="W703" s="12"/>
      <c r="X703" s="12"/>
      <c r="Y703" s="12"/>
      <c r="Z703" s="12"/>
      <c r="AA703" s="12"/>
    </row>
    <row r="704" spans="1:27" ht="15.75" customHeight="1">
      <c r="A704" s="12"/>
      <c r="B704" s="12"/>
      <c r="C704" s="12"/>
      <c r="D704" s="12"/>
      <c r="E704" s="12"/>
      <c r="F704" s="12"/>
      <c r="G704" s="12"/>
      <c r="H704" s="12"/>
      <c r="I704" s="12"/>
      <c r="J704" s="12"/>
      <c r="K704" s="12"/>
      <c r="L704" s="12"/>
      <c r="M704" s="12"/>
      <c r="N704" s="12"/>
      <c r="O704" s="12"/>
      <c r="P704" s="12"/>
      <c r="Q704" s="12"/>
      <c r="R704" s="12"/>
      <c r="S704" s="12"/>
      <c r="T704" s="12"/>
      <c r="U704" s="12"/>
      <c r="W704" s="12"/>
      <c r="X704" s="12"/>
      <c r="Y704" s="12"/>
      <c r="Z704" s="12"/>
      <c r="AA704" s="12"/>
    </row>
    <row r="705" spans="1:27" ht="15.75" customHeight="1">
      <c r="A705" s="12"/>
      <c r="B705" s="12"/>
      <c r="C705" s="12"/>
      <c r="D705" s="12"/>
      <c r="E705" s="12"/>
      <c r="F705" s="12"/>
      <c r="G705" s="12"/>
      <c r="H705" s="12"/>
      <c r="I705" s="12"/>
      <c r="J705" s="12"/>
      <c r="K705" s="12"/>
      <c r="L705" s="12"/>
      <c r="M705" s="12"/>
      <c r="N705" s="12"/>
      <c r="O705" s="12"/>
      <c r="P705" s="12"/>
      <c r="Q705" s="12"/>
      <c r="R705" s="12"/>
      <c r="S705" s="12"/>
      <c r="T705" s="12"/>
      <c r="U705" s="12"/>
      <c r="W705" s="12"/>
      <c r="X705" s="12"/>
      <c r="Y705" s="12"/>
      <c r="Z705" s="12"/>
      <c r="AA705" s="12"/>
    </row>
    <row r="706" spans="1:27" ht="15.75" customHeight="1">
      <c r="A706" s="12"/>
      <c r="B706" s="12"/>
      <c r="C706" s="12"/>
      <c r="D706" s="12"/>
      <c r="E706" s="12"/>
      <c r="F706" s="12"/>
      <c r="G706" s="12"/>
      <c r="H706" s="12"/>
      <c r="I706" s="12"/>
      <c r="J706" s="12"/>
      <c r="K706" s="12"/>
      <c r="L706" s="12"/>
      <c r="M706" s="12"/>
      <c r="N706" s="12"/>
      <c r="O706" s="12"/>
      <c r="P706" s="12"/>
      <c r="Q706" s="12"/>
      <c r="R706" s="12"/>
      <c r="S706" s="12"/>
      <c r="T706" s="12"/>
      <c r="U706" s="12"/>
      <c r="W706" s="12"/>
      <c r="X706" s="12"/>
      <c r="Y706" s="12"/>
      <c r="Z706" s="12"/>
      <c r="AA706" s="12"/>
    </row>
    <row r="707" spans="1:27" ht="15.75" customHeight="1">
      <c r="A707" s="12"/>
      <c r="B707" s="12"/>
      <c r="C707" s="12"/>
      <c r="D707" s="12"/>
      <c r="E707" s="12"/>
      <c r="F707" s="12"/>
      <c r="G707" s="12"/>
      <c r="H707" s="12"/>
      <c r="I707" s="12"/>
      <c r="J707" s="12"/>
      <c r="K707" s="12"/>
      <c r="L707" s="12"/>
      <c r="M707" s="12"/>
      <c r="N707" s="12"/>
      <c r="O707" s="12"/>
      <c r="P707" s="12"/>
      <c r="Q707" s="12"/>
      <c r="R707" s="12"/>
      <c r="S707" s="12"/>
      <c r="T707" s="12"/>
      <c r="U707" s="12"/>
      <c r="W707" s="12"/>
      <c r="X707" s="12"/>
      <c r="Y707" s="12"/>
      <c r="Z707" s="12"/>
      <c r="AA707" s="12"/>
    </row>
    <row r="708" spans="1:27" ht="15.75" customHeight="1">
      <c r="A708" s="12"/>
      <c r="B708" s="12"/>
      <c r="C708" s="12"/>
      <c r="D708" s="12"/>
      <c r="E708" s="12"/>
      <c r="F708" s="12"/>
      <c r="G708" s="12"/>
      <c r="H708" s="12"/>
      <c r="I708" s="12"/>
      <c r="J708" s="12"/>
      <c r="K708" s="12"/>
      <c r="L708" s="12"/>
      <c r="M708" s="12"/>
      <c r="N708" s="12"/>
      <c r="O708" s="12"/>
      <c r="P708" s="12"/>
      <c r="Q708" s="12"/>
      <c r="R708" s="12"/>
      <c r="S708" s="12"/>
      <c r="T708" s="12"/>
      <c r="U708" s="12"/>
      <c r="W708" s="12"/>
      <c r="X708" s="12"/>
      <c r="Y708" s="12"/>
      <c r="Z708" s="12"/>
      <c r="AA708" s="12"/>
    </row>
    <row r="709" spans="1:27" ht="15.75" customHeight="1">
      <c r="A709" s="12"/>
      <c r="B709" s="12"/>
      <c r="C709" s="12"/>
      <c r="D709" s="12"/>
      <c r="E709" s="12"/>
      <c r="F709" s="12"/>
      <c r="G709" s="12"/>
      <c r="H709" s="12"/>
      <c r="I709" s="12"/>
      <c r="J709" s="12"/>
      <c r="K709" s="12"/>
      <c r="L709" s="12"/>
      <c r="M709" s="12"/>
      <c r="N709" s="12"/>
      <c r="O709" s="12"/>
      <c r="P709" s="12"/>
      <c r="Q709" s="12"/>
      <c r="R709" s="12"/>
      <c r="S709" s="12"/>
      <c r="T709" s="12"/>
      <c r="U709" s="12"/>
      <c r="W709" s="12"/>
      <c r="X709" s="12"/>
      <c r="Y709" s="12"/>
      <c r="Z709" s="12"/>
      <c r="AA709" s="12"/>
    </row>
    <row r="710" spans="1:27" ht="15.75" customHeight="1">
      <c r="A710" s="12"/>
      <c r="B710" s="12"/>
      <c r="C710" s="12"/>
      <c r="D710" s="12"/>
      <c r="E710" s="12"/>
      <c r="F710" s="12"/>
      <c r="G710" s="12"/>
      <c r="H710" s="12"/>
      <c r="I710" s="12"/>
      <c r="J710" s="12"/>
      <c r="K710" s="12"/>
      <c r="L710" s="12"/>
      <c r="M710" s="12"/>
      <c r="N710" s="12"/>
      <c r="O710" s="12"/>
      <c r="P710" s="12"/>
      <c r="Q710" s="12"/>
      <c r="R710" s="12"/>
      <c r="S710" s="12"/>
      <c r="T710" s="12"/>
      <c r="U710" s="12"/>
      <c r="W710" s="12"/>
      <c r="X710" s="12"/>
      <c r="Y710" s="12"/>
      <c r="Z710" s="12"/>
      <c r="AA710" s="12"/>
    </row>
    <row r="711" spans="1:27" ht="15.75" customHeight="1">
      <c r="A711" s="12"/>
      <c r="B711" s="12"/>
      <c r="C711" s="12"/>
      <c r="D711" s="12"/>
      <c r="E711" s="12"/>
      <c r="F711" s="12"/>
      <c r="G711" s="12"/>
      <c r="H711" s="12"/>
      <c r="I711" s="12"/>
      <c r="J711" s="12"/>
      <c r="K711" s="12"/>
      <c r="L711" s="12"/>
      <c r="M711" s="12"/>
      <c r="N711" s="12"/>
      <c r="O711" s="12"/>
      <c r="P711" s="12"/>
      <c r="Q711" s="12"/>
      <c r="R711" s="12"/>
      <c r="S711" s="12"/>
      <c r="T711" s="12"/>
      <c r="U711" s="12"/>
      <c r="W711" s="12"/>
      <c r="X711" s="12"/>
      <c r="Y711" s="12"/>
      <c r="Z711" s="12"/>
      <c r="AA711" s="12"/>
    </row>
    <row r="712" spans="1:27" ht="15.75" customHeight="1">
      <c r="A712" s="12"/>
      <c r="B712" s="12"/>
      <c r="C712" s="12"/>
      <c r="D712" s="12"/>
      <c r="E712" s="12"/>
      <c r="F712" s="12"/>
      <c r="G712" s="12"/>
      <c r="H712" s="12"/>
      <c r="I712" s="12"/>
      <c r="J712" s="12"/>
      <c r="K712" s="12"/>
      <c r="L712" s="12"/>
      <c r="M712" s="12"/>
      <c r="N712" s="12"/>
      <c r="O712" s="12"/>
      <c r="P712" s="12"/>
      <c r="Q712" s="12"/>
      <c r="R712" s="12"/>
      <c r="S712" s="12"/>
      <c r="T712" s="12"/>
      <c r="U712" s="12"/>
      <c r="W712" s="12"/>
      <c r="X712" s="12"/>
      <c r="Y712" s="12"/>
      <c r="Z712" s="12"/>
      <c r="AA712" s="12"/>
    </row>
    <row r="713" spans="1:27" ht="15.75" customHeight="1">
      <c r="A713" s="12"/>
      <c r="B713" s="12"/>
      <c r="C713" s="12"/>
      <c r="D713" s="12"/>
      <c r="E713" s="12"/>
      <c r="F713" s="12"/>
      <c r="G713" s="12"/>
      <c r="H713" s="12"/>
      <c r="I713" s="12"/>
      <c r="J713" s="12"/>
      <c r="K713" s="12"/>
      <c r="L713" s="12"/>
      <c r="M713" s="12"/>
      <c r="N713" s="12"/>
      <c r="O713" s="12"/>
      <c r="P713" s="12"/>
      <c r="Q713" s="12"/>
      <c r="R713" s="12"/>
      <c r="S713" s="12"/>
      <c r="T713" s="12"/>
      <c r="U713" s="12"/>
      <c r="W713" s="12"/>
      <c r="X713" s="12"/>
      <c r="Y713" s="12"/>
      <c r="Z713" s="12"/>
      <c r="AA713" s="12"/>
    </row>
    <row r="714" spans="1:27" ht="15.75" customHeight="1">
      <c r="A714" s="12"/>
      <c r="B714" s="12"/>
      <c r="C714" s="12"/>
      <c r="D714" s="12"/>
      <c r="E714" s="12"/>
      <c r="F714" s="12"/>
      <c r="G714" s="12"/>
      <c r="H714" s="12"/>
      <c r="I714" s="12"/>
      <c r="J714" s="12"/>
      <c r="K714" s="12"/>
      <c r="L714" s="12"/>
      <c r="M714" s="12"/>
      <c r="N714" s="12"/>
      <c r="O714" s="12"/>
      <c r="P714" s="12"/>
      <c r="Q714" s="12"/>
      <c r="R714" s="12"/>
      <c r="S714" s="12"/>
      <c r="T714" s="12"/>
      <c r="U714" s="12"/>
      <c r="W714" s="12"/>
      <c r="X714" s="12"/>
      <c r="Y714" s="12"/>
      <c r="Z714" s="12"/>
      <c r="AA714" s="12"/>
    </row>
    <row r="715" spans="1:27" ht="15.75" customHeight="1">
      <c r="A715" s="12"/>
      <c r="B715" s="12"/>
      <c r="C715" s="12"/>
      <c r="D715" s="12"/>
      <c r="E715" s="12"/>
      <c r="F715" s="12"/>
      <c r="G715" s="12"/>
      <c r="H715" s="12"/>
      <c r="I715" s="12"/>
      <c r="J715" s="12"/>
      <c r="K715" s="12"/>
      <c r="L715" s="12"/>
      <c r="M715" s="12"/>
      <c r="N715" s="12"/>
      <c r="O715" s="12"/>
      <c r="P715" s="12"/>
      <c r="Q715" s="12"/>
      <c r="R715" s="12"/>
      <c r="S715" s="12"/>
      <c r="T715" s="12"/>
      <c r="U715" s="12"/>
      <c r="W715" s="12"/>
      <c r="X715" s="12"/>
      <c r="Y715" s="12"/>
      <c r="Z715" s="12"/>
      <c r="AA715" s="12"/>
    </row>
    <row r="716" spans="1:27" ht="15.75" customHeight="1">
      <c r="A716" s="12"/>
      <c r="B716" s="12"/>
      <c r="C716" s="12"/>
      <c r="D716" s="12"/>
      <c r="E716" s="12"/>
      <c r="F716" s="12"/>
      <c r="G716" s="12"/>
      <c r="H716" s="12"/>
      <c r="I716" s="12"/>
      <c r="J716" s="12"/>
      <c r="K716" s="12"/>
      <c r="L716" s="12"/>
      <c r="M716" s="12"/>
      <c r="N716" s="12"/>
      <c r="O716" s="12"/>
      <c r="P716" s="12"/>
      <c r="Q716" s="12"/>
      <c r="R716" s="12"/>
      <c r="S716" s="12"/>
      <c r="T716" s="12"/>
      <c r="U716" s="12"/>
      <c r="W716" s="12"/>
      <c r="X716" s="12"/>
      <c r="Y716" s="12"/>
      <c r="Z716" s="12"/>
      <c r="AA716" s="12"/>
    </row>
    <row r="717" spans="1:27" ht="15.75" customHeight="1">
      <c r="A717" s="12"/>
      <c r="B717" s="12"/>
      <c r="C717" s="12"/>
      <c r="D717" s="12"/>
      <c r="E717" s="12"/>
      <c r="F717" s="12"/>
      <c r="G717" s="12"/>
      <c r="H717" s="12"/>
      <c r="I717" s="12"/>
      <c r="J717" s="12"/>
      <c r="K717" s="12"/>
      <c r="L717" s="12"/>
      <c r="M717" s="12"/>
      <c r="N717" s="12"/>
      <c r="O717" s="12"/>
      <c r="P717" s="12"/>
      <c r="Q717" s="12"/>
      <c r="R717" s="12"/>
      <c r="S717" s="12"/>
      <c r="T717" s="12"/>
      <c r="U717" s="12"/>
      <c r="W717" s="12"/>
      <c r="X717" s="12"/>
      <c r="Y717" s="12"/>
      <c r="Z717" s="12"/>
      <c r="AA717" s="12"/>
    </row>
    <row r="718" spans="1:27" ht="15.75" customHeight="1">
      <c r="A718" s="12"/>
      <c r="B718" s="12"/>
      <c r="C718" s="12"/>
      <c r="D718" s="12"/>
      <c r="E718" s="12"/>
      <c r="F718" s="12"/>
      <c r="G718" s="12"/>
      <c r="H718" s="12"/>
      <c r="I718" s="12"/>
      <c r="J718" s="12"/>
      <c r="K718" s="12"/>
      <c r="L718" s="12"/>
      <c r="M718" s="12"/>
      <c r="N718" s="12"/>
      <c r="O718" s="12"/>
      <c r="P718" s="12"/>
      <c r="Q718" s="12"/>
      <c r="R718" s="12"/>
      <c r="S718" s="12"/>
      <c r="T718" s="12"/>
      <c r="U718" s="12"/>
      <c r="W718" s="12"/>
      <c r="X718" s="12"/>
      <c r="Y718" s="12"/>
      <c r="Z718" s="12"/>
      <c r="AA718" s="12"/>
    </row>
    <row r="719" spans="1:27" ht="15.75" customHeight="1">
      <c r="A719" s="12"/>
      <c r="B719" s="12"/>
      <c r="C719" s="12"/>
      <c r="D719" s="12"/>
      <c r="E719" s="12"/>
      <c r="F719" s="12"/>
      <c r="G719" s="12"/>
      <c r="H719" s="12"/>
      <c r="I719" s="12"/>
      <c r="J719" s="12"/>
      <c r="K719" s="12"/>
      <c r="L719" s="12"/>
      <c r="M719" s="12"/>
      <c r="N719" s="12"/>
      <c r="O719" s="12"/>
      <c r="P719" s="12"/>
      <c r="Q719" s="12"/>
      <c r="R719" s="12"/>
      <c r="S719" s="12"/>
      <c r="T719" s="12"/>
      <c r="U719" s="12"/>
      <c r="W719" s="12"/>
      <c r="X719" s="12"/>
      <c r="Y719" s="12"/>
      <c r="Z719" s="12"/>
      <c r="AA719" s="12"/>
    </row>
    <row r="720" spans="1:27" ht="15.75" customHeight="1">
      <c r="A720" s="12"/>
      <c r="B720" s="12"/>
      <c r="C720" s="12"/>
      <c r="D720" s="12"/>
      <c r="E720" s="12"/>
      <c r="F720" s="12"/>
      <c r="G720" s="12"/>
      <c r="H720" s="12"/>
      <c r="I720" s="12"/>
      <c r="J720" s="12"/>
      <c r="K720" s="12"/>
      <c r="L720" s="12"/>
      <c r="M720" s="12"/>
      <c r="N720" s="12"/>
      <c r="O720" s="12"/>
      <c r="P720" s="12"/>
      <c r="Q720" s="12"/>
      <c r="R720" s="12"/>
      <c r="S720" s="12"/>
      <c r="T720" s="12"/>
      <c r="U720" s="12"/>
      <c r="W720" s="12"/>
      <c r="X720" s="12"/>
      <c r="Y720" s="12"/>
      <c r="Z720" s="12"/>
      <c r="AA720" s="12"/>
    </row>
    <row r="721" spans="1:27" ht="15.75" customHeight="1">
      <c r="A721" s="12"/>
      <c r="B721" s="12"/>
      <c r="C721" s="12"/>
      <c r="D721" s="12"/>
      <c r="E721" s="12"/>
      <c r="F721" s="12"/>
      <c r="G721" s="12"/>
      <c r="H721" s="12"/>
      <c r="I721" s="12"/>
      <c r="J721" s="12"/>
      <c r="K721" s="12"/>
      <c r="L721" s="12"/>
      <c r="M721" s="12"/>
      <c r="N721" s="12"/>
      <c r="O721" s="12"/>
      <c r="P721" s="12"/>
      <c r="Q721" s="12"/>
      <c r="R721" s="12"/>
      <c r="S721" s="12"/>
      <c r="T721" s="12"/>
      <c r="U721" s="12"/>
      <c r="W721" s="12"/>
      <c r="X721" s="12"/>
      <c r="Y721" s="12"/>
      <c r="Z721" s="12"/>
      <c r="AA721" s="12"/>
    </row>
    <row r="722" spans="1:27" ht="15.75" customHeight="1">
      <c r="A722" s="12"/>
      <c r="B722" s="12"/>
      <c r="C722" s="12"/>
      <c r="D722" s="12"/>
      <c r="E722" s="12"/>
      <c r="F722" s="12"/>
      <c r="G722" s="12"/>
      <c r="H722" s="12"/>
      <c r="I722" s="12"/>
      <c r="J722" s="12"/>
      <c r="K722" s="12"/>
      <c r="L722" s="12"/>
      <c r="M722" s="12"/>
      <c r="N722" s="12"/>
      <c r="O722" s="12"/>
      <c r="P722" s="12"/>
      <c r="Q722" s="12"/>
      <c r="R722" s="12"/>
      <c r="S722" s="12"/>
      <c r="T722" s="12"/>
      <c r="U722" s="12"/>
      <c r="W722" s="12"/>
      <c r="X722" s="12"/>
      <c r="Y722" s="12"/>
      <c r="Z722" s="12"/>
      <c r="AA722" s="12"/>
    </row>
    <row r="723" spans="1:27" ht="15.75" customHeight="1">
      <c r="A723" s="12"/>
      <c r="B723" s="12"/>
      <c r="C723" s="12"/>
      <c r="D723" s="12"/>
      <c r="E723" s="12"/>
      <c r="F723" s="12"/>
      <c r="G723" s="12"/>
      <c r="H723" s="12"/>
      <c r="I723" s="12"/>
      <c r="J723" s="12"/>
      <c r="K723" s="12"/>
      <c r="L723" s="12"/>
      <c r="M723" s="12"/>
      <c r="N723" s="12"/>
      <c r="O723" s="12"/>
      <c r="P723" s="12"/>
      <c r="Q723" s="12"/>
      <c r="R723" s="12"/>
      <c r="S723" s="12"/>
      <c r="T723" s="12"/>
      <c r="U723" s="12"/>
      <c r="W723" s="12"/>
      <c r="X723" s="12"/>
      <c r="Y723" s="12"/>
      <c r="Z723" s="12"/>
      <c r="AA723" s="12"/>
    </row>
    <row r="724" spans="1:27" ht="15.75" customHeight="1">
      <c r="A724" s="12"/>
      <c r="B724" s="12"/>
      <c r="C724" s="12"/>
      <c r="D724" s="12"/>
      <c r="E724" s="12"/>
      <c r="F724" s="12"/>
      <c r="G724" s="12"/>
      <c r="H724" s="12"/>
      <c r="I724" s="12"/>
      <c r="J724" s="12"/>
      <c r="K724" s="12"/>
      <c r="L724" s="12"/>
      <c r="M724" s="12"/>
      <c r="N724" s="12"/>
      <c r="O724" s="12"/>
      <c r="P724" s="12"/>
      <c r="Q724" s="12"/>
      <c r="R724" s="12"/>
      <c r="S724" s="12"/>
      <c r="T724" s="12"/>
      <c r="U724" s="12"/>
      <c r="W724" s="12"/>
      <c r="X724" s="12"/>
      <c r="Y724" s="12"/>
      <c r="Z724" s="12"/>
      <c r="AA724" s="12"/>
    </row>
    <row r="725" spans="1:27" ht="15.75" customHeight="1">
      <c r="A725" s="12"/>
      <c r="B725" s="12"/>
      <c r="C725" s="12"/>
      <c r="D725" s="12"/>
      <c r="E725" s="12"/>
      <c r="F725" s="12"/>
      <c r="G725" s="12"/>
      <c r="H725" s="12"/>
      <c r="I725" s="12"/>
      <c r="J725" s="12"/>
      <c r="K725" s="12"/>
      <c r="L725" s="12"/>
      <c r="M725" s="12"/>
      <c r="N725" s="12"/>
      <c r="O725" s="12"/>
      <c r="P725" s="12"/>
      <c r="Q725" s="12"/>
      <c r="R725" s="12"/>
      <c r="S725" s="12"/>
      <c r="T725" s="12"/>
      <c r="U725" s="12"/>
      <c r="W725" s="12"/>
      <c r="X725" s="12"/>
      <c r="Y725" s="12"/>
      <c r="Z725" s="12"/>
      <c r="AA725" s="12"/>
    </row>
    <row r="726" spans="1:27" ht="15.75" customHeight="1">
      <c r="A726" s="12"/>
      <c r="B726" s="12"/>
      <c r="C726" s="12"/>
      <c r="D726" s="12"/>
      <c r="E726" s="12"/>
      <c r="F726" s="12"/>
      <c r="G726" s="12"/>
      <c r="H726" s="12"/>
      <c r="I726" s="12"/>
      <c r="J726" s="12"/>
      <c r="K726" s="12"/>
      <c r="L726" s="12"/>
      <c r="M726" s="12"/>
      <c r="N726" s="12"/>
      <c r="O726" s="12"/>
      <c r="P726" s="12"/>
      <c r="Q726" s="12"/>
      <c r="R726" s="12"/>
      <c r="S726" s="12"/>
      <c r="T726" s="12"/>
      <c r="U726" s="12"/>
      <c r="W726" s="12"/>
      <c r="X726" s="12"/>
      <c r="Y726" s="12"/>
      <c r="Z726" s="12"/>
      <c r="AA726" s="12"/>
    </row>
    <row r="727" spans="1:27" ht="15.75" customHeight="1">
      <c r="A727" s="12"/>
      <c r="B727" s="12"/>
      <c r="C727" s="12"/>
      <c r="D727" s="12"/>
      <c r="E727" s="12"/>
      <c r="F727" s="12"/>
      <c r="G727" s="12"/>
      <c r="H727" s="12"/>
      <c r="I727" s="12"/>
      <c r="J727" s="12"/>
      <c r="K727" s="12"/>
      <c r="L727" s="12"/>
      <c r="M727" s="12"/>
      <c r="N727" s="12"/>
      <c r="O727" s="12"/>
      <c r="P727" s="12"/>
      <c r="Q727" s="12"/>
      <c r="R727" s="12"/>
      <c r="S727" s="12"/>
      <c r="T727" s="12"/>
      <c r="U727" s="12"/>
      <c r="W727" s="12"/>
      <c r="X727" s="12"/>
      <c r="Y727" s="12"/>
      <c r="Z727" s="12"/>
      <c r="AA727" s="12"/>
    </row>
    <row r="728" spans="1:27" ht="15.75" customHeight="1">
      <c r="A728" s="12"/>
      <c r="B728" s="12"/>
      <c r="C728" s="12"/>
      <c r="D728" s="12"/>
      <c r="E728" s="12"/>
      <c r="F728" s="12"/>
      <c r="G728" s="12"/>
      <c r="H728" s="12"/>
      <c r="I728" s="12"/>
      <c r="J728" s="12"/>
      <c r="K728" s="12"/>
      <c r="L728" s="12"/>
      <c r="M728" s="12"/>
      <c r="N728" s="12"/>
      <c r="O728" s="12"/>
      <c r="P728" s="12"/>
      <c r="Q728" s="12"/>
      <c r="R728" s="12"/>
      <c r="S728" s="12"/>
      <c r="T728" s="12"/>
      <c r="U728" s="12"/>
      <c r="W728" s="12"/>
      <c r="X728" s="12"/>
      <c r="Y728" s="12"/>
      <c r="Z728" s="12"/>
      <c r="AA728" s="12"/>
    </row>
    <row r="729" spans="1:27" ht="15.75" customHeight="1">
      <c r="A729" s="12"/>
      <c r="B729" s="12"/>
      <c r="C729" s="12"/>
      <c r="D729" s="12"/>
      <c r="E729" s="12"/>
      <c r="F729" s="12"/>
      <c r="G729" s="12"/>
      <c r="H729" s="12"/>
      <c r="I729" s="12"/>
      <c r="J729" s="12"/>
      <c r="K729" s="12"/>
      <c r="L729" s="12"/>
      <c r="M729" s="12"/>
      <c r="N729" s="12"/>
      <c r="O729" s="12"/>
      <c r="P729" s="12"/>
      <c r="Q729" s="12"/>
      <c r="R729" s="12"/>
      <c r="S729" s="12"/>
      <c r="T729" s="12"/>
      <c r="U729" s="12"/>
      <c r="W729" s="12"/>
      <c r="X729" s="12"/>
      <c r="Y729" s="12"/>
      <c r="Z729" s="12"/>
      <c r="AA729" s="12"/>
    </row>
    <row r="730" spans="1:27" ht="15.75" customHeight="1">
      <c r="A730" s="12"/>
      <c r="B730" s="12"/>
      <c r="C730" s="12"/>
      <c r="D730" s="12"/>
      <c r="E730" s="12"/>
      <c r="F730" s="12"/>
      <c r="G730" s="12"/>
      <c r="H730" s="12"/>
      <c r="I730" s="12"/>
      <c r="J730" s="12"/>
      <c r="K730" s="12"/>
      <c r="L730" s="12"/>
      <c r="M730" s="12"/>
      <c r="N730" s="12"/>
      <c r="O730" s="12"/>
      <c r="P730" s="12"/>
      <c r="Q730" s="12"/>
      <c r="R730" s="12"/>
      <c r="S730" s="12"/>
      <c r="T730" s="12"/>
      <c r="U730" s="12"/>
      <c r="W730" s="12"/>
      <c r="X730" s="12"/>
      <c r="Y730" s="12"/>
      <c r="Z730" s="12"/>
      <c r="AA730" s="12"/>
    </row>
    <row r="731" spans="1:27" ht="15.75" customHeight="1">
      <c r="A731" s="12"/>
      <c r="B731" s="12"/>
      <c r="C731" s="12"/>
      <c r="D731" s="12"/>
      <c r="E731" s="12"/>
      <c r="F731" s="12"/>
      <c r="G731" s="12"/>
      <c r="H731" s="12"/>
      <c r="I731" s="12"/>
      <c r="J731" s="12"/>
      <c r="K731" s="12"/>
      <c r="L731" s="12"/>
      <c r="M731" s="12"/>
      <c r="N731" s="12"/>
      <c r="O731" s="12"/>
      <c r="P731" s="12"/>
      <c r="Q731" s="12"/>
      <c r="R731" s="12"/>
      <c r="S731" s="12"/>
      <c r="T731" s="12"/>
      <c r="U731" s="12"/>
      <c r="W731" s="12"/>
      <c r="X731" s="12"/>
      <c r="Y731" s="12"/>
      <c r="Z731" s="12"/>
      <c r="AA731" s="12"/>
    </row>
    <row r="732" spans="1:27" ht="15.75" customHeight="1">
      <c r="A732" s="12"/>
      <c r="B732" s="12"/>
      <c r="C732" s="12"/>
      <c r="D732" s="12"/>
      <c r="E732" s="12"/>
      <c r="F732" s="12"/>
      <c r="G732" s="12"/>
      <c r="H732" s="12"/>
      <c r="I732" s="12"/>
      <c r="J732" s="12"/>
      <c r="K732" s="12"/>
      <c r="L732" s="12"/>
      <c r="M732" s="12"/>
      <c r="N732" s="12"/>
      <c r="O732" s="12"/>
      <c r="P732" s="12"/>
      <c r="Q732" s="12"/>
      <c r="R732" s="12"/>
      <c r="S732" s="12"/>
      <c r="T732" s="12"/>
      <c r="U732" s="12"/>
      <c r="W732" s="12"/>
      <c r="X732" s="12"/>
      <c r="Y732" s="12"/>
      <c r="Z732" s="12"/>
      <c r="AA732" s="12"/>
    </row>
    <row r="733" spans="1:27" ht="15.75" customHeight="1">
      <c r="A733" s="12"/>
      <c r="B733" s="12"/>
      <c r="C733" s="12"/>
      <c r="D733" s="12"/>
      <c r="E733" s="12"/>
      <c r="F733" s="12"/>
      <c r="G733" s="12"/>
      <c r="H733" s="12"/>
      <c r="I733" s="12"/>
      <c r="J733" s="12"/>
      <c r="K733" s="12"/>
      <c r="L733" s="12"/>
      <c r="M733" s="12"/>
      <c r="N733" s="12"/>
      <c r="O733" s="12"/>
      <c r="P733" s="12"/>
      <c r="Q733" s="12"/>
      <c r="R733" s="12"/>
      <c r="S733" s="12"/>
      <c r="T733" s="12"/>
      <c r="U733" s="12"/>
      <c r="W733" s="12"/>
      <c r="X733" s="12"/>
      <c r="Y733" s="12"/>
      <c r="Z733" s="12"/>
      <c r="AA733" s="12"/>
    </row>
    <row r="734" spans="1:27" ht="15.75" customHeight="1">
      <c r="A734" s="12"/>
      <c r="B734" s="12"/>
      <c r="C734" s="12"/>
      <c r="D734" s="12"/>
      <c r="E734" s="12"/>
      <c r="F734" s="12"/>
      <c r="G734" s="12"/>
      <c r="H734" s="12"/>
      <c r="I734" s="12"/>
      <c r="J734" s="12"/>
      <c r="K734" s="12"/>
      <c r="L734" s="12"/>
      <c r="M734" s="12"/>
      <c r="N734" s="12"/>
      <c r="O734" s="12"/>
      <c r="P734" s="12"/>
      <c r="Q734" s="12"/>
      <c r="R734" s="12"/>
      <c r="S734" s="12"/>
      <c r="T734" s="12"/>
      <c r="U734" s="12"/>
      <c r="W734" s="12"/>
      <c r="X734" s="12"/>
      <c r="Y734" s="12"/>
      <c r="Z734" s="12"/>
      <c r="AA734" s="12"/>
    </row>
    <row r="735" spans="1:27" ht="15.75" customHeight="1">
      <c r="A735" s="12"/>
      <c r="B735" s="12"/>
      <c r="C735" s="12"/>
      <c r="D735" s="12"/>
      <c r="E735" s="12"/>
      <c r="F735" s="12"/>
      <c r="G735" s="12"/>
      <c r="H735" s="12"/>
      <c r="I735" s="12"/>
      <c r="J735" s="12"/>
      <c r="K735" s="12"/>
      <c r="L735" s="12"/>
      <c r="M735" s="12"/>
      <c r="N735" s="12"/>
      <c r="O735" s="12"/>
      <c r="P735" s="12"/>
      <c r="Q735" s="12"/>
      <c r="R735" s="12"/>
      <c r="S735" s="12"/>
      <c r="T735" s="12"/>
      <c r="U735" s="12"/>
      <c r="W735" s="12"/>
      <c r="X735" s="12"/>
      <c r="Y735" s="12"/>
      <c r="Z735" s="12"/>
      <c r="AA735" s="12"/>
    </row>
    <row r="736" spans="1:27" ht="15.75" customHeight="1">
      <c r="A736" s="12"/>
      <c r="B736" s="12"/>
      <c r="C736" s="12"/>
      <c r="D736" s="12"/>
      <c r="E736" s="12"/>
      <c r="F736" s="12"/>
      <c r="G736" s="12"/>
      <c r="H736" s="12"/>
      <c r="I736" s="12"/>
      <c r="J736" s="12"/>
      <c r="K736" s="12"/>
      <c r="L736" s="12"/>
      <c r="M736" s="12"/>
      <c r="N736" s="12"/>
      <c r="O736" s="12"/>
      <c r="P736" s="12"/>
      <c r="Q736" s="12"/>
      <c r="R736" s="12"/>
      <c r="S736" s="12"/>
      <c r="T736" s="12"/>
      <c r="U736" s="12"/>
      <c r="W736" s="12"/>
      <c r="X736" s="12"/>
      <c r="Y736" s="12"/>
      <c r="Z736" s="12"/>
      <c r="AA736" s="12"/>
    </row>
    <row r="737" spans="1:27" ht="15.75" customHeight="1">
      <c r="A737" s="12"/>
      <c r="B737" s="12"/>
      <c r="C737" s="12"/>
      <c r="D737" s="12"/>
      <c r="E737" s="12"/>
      <c r="F737" s="12"/>
      <c r="G737" s="12"/>
      <c r="H737" s="12"/>
      <c r="I737" s="12"/>
      <c r="J737" s="12"/>
      <c r="K737" s="12"/>
      <c r="L737" s="12"/>
      <c r="M737" s="12"/>
      <c r="N737" s="12"/>
      <c r="O737" s="12"/>
      <c r="P737" s="12"/>
      <c r="Q737" s="12"/>
      <c r="R737" s="12"/>
      <c r="S737" s="12"/>
      <c r="T737" s="12"/>
      <c r="U737" s="12"/>
      <c r="W737" s="12"/>
      <c r="X737" s="12"/>
      <c r="Y737" s="12"/>
      <c r="Z737" s="12"/>
      <c r="AA737" s="12"/>
    </row>
    <row r="738" spans="1:27" ht="15.75" customHeight="1">
      <c r="A738" s="12"/>
      <c r="B738" s="12"/>
      <c r="C738" s="12"/>
      <c r="D738" s="12"/>
      <c r="E738" s="12"/>
      <c r="F738" s="12"/>
      <c r="G738" s="12"/>
      <c r="H738" s="12"/>
      <c r="I738" s="12"/>
      <c r="J738" s="12"/>
      <c r="K738" s="12"/>
      <c r="L738" s="12"/>
      <c r="M738" s="12"/>
      <c r="N738" s="12"/>
      <c r="O738" s="12"/>
      <c r="P738" s="12"/>
      <c r="Q738" s="12"/>
      <c r="R738" s="12"/>
      <c r="S738" s="12"/>
      <c r="T738" s="12"/>
      <c r="U738" s="12"/>
      <c r="W738" s="12"/>
      <c r="X738" s="12"/>
      <c r="Y738" s="12"/>
      <c r="Z738" s="12"/>
      <c r="AA738" s="12"/>
    </row>
    <row r="739" spans="1:27" ht="15.75" customHeight="1">
      <c r="A739" s="12"/>
      <c r="B739" s="12"/>
      <c r="C739" s="12"/>
      <c r="D739" s="12"/>
      <c r="E739" s="12"/>
      <c r="F739" s="12"/>
      <c r="G739" s="12"/>
      <c r="H739" s="12"/>
      <c r="I739" s="12"/>
      <c r="J739" s="12"/>
      <c r="K739" s="12"/>
      <c r="L739" s="12"/>
      <c r="M739" s="12"/>
      <c r="N739" s="12"/>
      <c r="O739" s="12"/>
      <c r="P739" s="12"/>
      <c r="Q739" s="12"/>
      <c r="R739" s="12"/>
      <c r="S739" s="12"/>
      <c r="T739" s="12"/>
      <c r="U739" s="12"/>
      <c r="W739" s="12"/>
      <c r="X739" s="12"/>
      <c r="Y739" s="12"/>
      <c r="Z739" s="12"/>
      <c r="AA739" s="12"/>
    </row>
    <row r="740" spans="1:27" ht="15.75" customHeight="1">
      <c r="A740" s="12"/>
      <c r="B740" s="12"/>
      <c r="C740" s="12"/>
      <c r="D740" s="12"/>
      <c r="E740" s="12"/>
      <c r="F740" s="12"/>
      <c r="G740" s="12"/>
      <c r="H740" s="12"/>
      <c r="I740" s="12"/>
      <c r="J740" s="12"/>
      <c r="K740" s="12"/>
      <c r="L740" s="12"/>
      <c r="M740" s="12"/>
      <c r="N740" s="12"/>
      <c r="O740" s="12"/>
      <c r="P740" s="12"/>
      <c r="Q740" s="12"/>
      <c r="R740" s="12"/>
      <c r="S740" s="12"/>
      <c r="T740" s="12"/>
      <c r="U740" s="12"/>
      <c r="W740" s="12"/>
      <c r="X740" s="12"/>
      <c r="Y740" s="12"/>
      <c r="Z740" s="12"/>
      <c r="AA740" s="12"/>
    </row>
    <row r="741" spans="1:27" ht="15.75" customHeight="1">
      <c r="A741" s="12"/>
      <c r="B741" s="12"/>
      <c r="C741" s="12"/>
      <c r="D741" s="12"/>
      <c r="E741" s="12"/>
      <c r="F741" s="12"/>
      <c r="G741" s="12"/>
      <c r="H741" s="12"/>
      <c r="I741" s="12"/>
      <c r="J741" s="12"/>
      <c r="K741" s="12"/>
      <c r="L741" s="12"/>
      <c r="M741" s="12"/>
      <c r="N741" s="12"/>
      <c r="O741" s="12"/>
      <c r="P741" s="12"/>
      <c r="Q741" s="12"/>
      <c r="R741" s="12"/>
      <c r="S741" s="12"/>
      <c r="T741" s="12"/>
      <c r="U741" s="12"/>
      <c r="W741" s="12"/>
      <c r="X741" s="12"/>
      <c r="Y741" s="12"/>
      <c r="Z741" s="12"/>
      <c r="AA741" s="12"/>
    </row>
    <row r="742" spans="1:27" ht="15.75" customHeight="1">
      <c r="A742" s="12"/>
      <c r="B742" s="12"/>
      <c r="C742" s="12"/>
      <c r="D742" s="12"/>
      <c r="E742" s="12"/>
      <c r="F742" s="12"/>
      <c r="G742" s="12"/>
      <c r="H742" s="12"/>
      <c r="I742" s="12"/>
      <c r="J742" s="12"/>
      <c r="K742" s="12"/>
      <c r="L742" s="12"/>
      <c r="M742" s="12"/>
      <c r="N742" s="12"/>
      <c r="O742" s="12"/>
      <c r="P742" s="12"/>
      <c r="Q742" s="12"/>
      <c r="R742" s="12"/>
      <c r="S742" s="12"/>
      <c r="T742" s="12"/>
      <c r="U742" s="12"/>
      <c r="W742" s="12"/>
      <c r="X742" s="12"/>
      <c r="Y742" s="12"/>
      <c r="Z742" s="12"/>
      <c r="AA742" s="12"/>
    </row>
    <row r="743" spans="1:27" ht="15.75" customHeight="1">
      <c r="A743" s="12"/>
      <c r="B743" s="12"/>
      <c r="C743" s="12"/>
      <c r="D743" s="12"/>
      <c r="E743" s="12"/>
      <c r="F743" s="12"/>
      <c r="G743" s="12"/>
      <c r="H743" s="12"/>
      <c r="I743" s="12"/>
      <c r="J743" s="12"/>
      <c r="K743" s="12"/>
      <c r="L743" s="12"/>
      <c r="M743" s="12"/>
      <c r="N743" s="12"/>
      <c r="O743" s="12"/>
      <c r="P743" s="12"/>
      <c r="Q743" s="12"/>
      <c r="R743" s="12"/>
      <c r="S743" s="12"/>
      <c r="T743" s="12"/>
      <c r="U743" s="12"/>
      <c r="W743" s="12"/>
      <c r="X743" s="12"/>
      <c r="Y743" s="12"/>
      <c r="Z743" s="12"/>
      <c r="AA743" s="12"/>
    </row>
    <row r="744" spans="1:27" ht="15.75" customHeight="1">
      <c r="A744" s="12"/>
      <c r="B744" s="12"/>
      <c r="C744" s="12"/>
      <c r="D744" s="12"/>
      <c r="E744" s="12"/>
      <c r="F744" s="12"/>
      <c r="G744" s="12"/>
      <c r="H744" s="12"/>
      <c r="I744" s="12"/>
      <c r="J744" s="12"/>
      <c r="K744" s="12"/>
      <c r="L744" s="12"/>
      <c r="M744" s="12"/>
      <c r="N744" s="12"/>
      <c r="O744" s="12"/>
      <c r="P744" s="12"/>
      <c r="Q744" s="12"/>
      <c r="R744" s="12"/>
      <c r="S744" s="12"/>
      <c r="T744" s="12"/>
      <c r="U744" s="12"/>
      <c r="W744" s="12"/>
      <c r="X744" s="12"/>
      <c r="Y744" s="12"/>
      <c r="Z744" s="12"/>
      <c r="AA744" s="12"/>
    </row>
    <row r="745" spans="1:27" ht="15.75" customHeight="1">
      <c r="A745" s="12"/>
      <c r="B745" s="12"/>
      <c r="C745" s="12"/>
      <c r="D745" s="12"/>
      <c r="E745" s="12"/>
      <c r="F745" s="12"/>
      <c r="G745" s="12"/>
      <c r="H745" s="12"/>
      <c r="I745" s="12"/>
      <c r="J745" s="12"/>
      <c r="K745" s="12"/>
      <c r="L745" s="12"/>
      <c r="M745" s="12"/>
      <c r="N745" s="12"/>
      <c r="O745" s="12"/>
      <c r="P745" s="12"/>
      <c r="Q745" s="12"/>
      <c r="R745" s="12"/>
      <c r="S745" s="12"/>
      <c r="T745" s="12"/>
      <c r="U745" s="12"/>
      <c r="W745" s="12"/>
      <c r="X745" s="12"/>
      <c r="Y745" s="12"/>
      <c r="Z745" s="12"/>
      <c r="AA745" s="12"/>
    </row>
    <row r="746" spans="1:27" ht="15.75" customHeight="1">
      <c r="A746" s="12"/>
      <c r="B746" s="12"/>
      <c r="C746" s="12"/>
      <c r="D746" s="12"/>
      <c r="E746" s="12"/>
      <c r="F746" s="12"/>
      <c r="G746" s="12"/>
      <c r="H746" s="12"/>
      <c r="I746" s="12"/>
      <c r="J746" s="12"/>
      <c r="K746" s="12"/>
      <c r="L746" s="12"/>
      <c r="M746" s="12"/>
      <c r="N746" s="12"/>
      <c r="O746" s="12"/>
      <c r="P746" s="12"/>
      <c r="Q746" s="12"/>
      <c r="R746" s="12"/>
      <c r="S746" s="12"/>
      <c r="T746" s="12"/>
      <c r="U746" s="12"/>
      <c r="W746" s="12"/>
      <c r="X746" s="12"/>
      <c r="Y746" s="12"/>
      <c r="Z746" s="12"/>
      <c r="AA746" s="12"/>
    </row>
    <row r="747" spans="1:27" ht="15.75" customHeight="1">
      <c r="A747" s="12"/>
      <c r="B747" s="12"/>
      <c r="C747" s="12"/>
      <c r="D747" s="12"/>
      <c r="E747" s="12"/>
      <c r="F747" s="12"/>
      <c r="G747" s="12"/>
      <c r="H747" s="12"/>
      <c r="I747" s="12"/>
      <c r="J747" s="12"/>
      <c r="K747" s="12"/>
      <c r="L747" s="12"/>
      <c r="M747" s="12"/>
      <c r="N747" s="12"/>
      <c r="O747" s="12"/>
      <c r="P747" s="12"/>
      <c r="Q747" s="12"/>
      <c r="R747" s="12"/>
      <c r="S747" s="12"/>
      <c r="T747" s="12"/>
      <c r="U747" s="12"/>
      <c r="W747" s="12"/>
      <c r="X747" s="12"/>
      <c r="Y747" s="12"/>
      <c r="Z747" s="12"/>
      <c r="AA747" s="12"/>
    </row>
    <row r="748" spans="1:27" ht="15.75" customHeight="1">
      <c r="A748" s="12"/>
      <c r="B748" s="12"/>
      <c r="C748" s="12"/>
      <c r="D748" s="12"/>
      <c r="E748" s="12"/>
      <c r="F748" s="12"/>
      <c r="G748" s="12"/>
      <c r="H748" s="12"/>
      <c r="I748" s="12"/>
      <c r="J748" s="12"/>
      <c r="K748" s="12"/>
      <c r="L748" s="12"/>
      <c r="M748" s="12"/>
      <c r="N748" s="12"/>
      <c r="O748" s="12"/>
      <c r="P748" s="12"/>
      <c r="Q748" s="12"/>
      <c r="R748" s="12"/>
      <c r="S748" s="12"/>
      <c r="T748" s="12"/>
      <c r="U748" s="12"/>
      <c r="W748" s="12"/>
      <c r="X748" s="12"/>
      <c r="Y748" s="12"/>
      <c r="Z748" s="12"/>
      <c r="AA748" s="12"/>
    </row>
    <row r="749" spans="1:27" ht="15.75" customHeight="1">
      <c r="A749" s="12"/>
      <c r="B749" s="12"/>
      <c r="C749" s="12"/>
      <c r="D749" s="12"/>
      <c r="E749" s="12"/>
      <c r="F749" s="12"/>
      <c r="G749" s="12"/>
      <c r="H749" s="12"/>
      <c r="I749" s="12"/>
      <c r="J749" s="12"/>
      <c r="K749" s="12"/>
      <c r="L749" s="12"/>
      <c r="M749" s="12"/>
      <c r="N749" s="12"/>
      <c r="O749" s="12"/>
      <c r="P749" s="12"/>
      <c r="Q749" s="12"/>
      <c r="R749" s="12"/>
      <c r="S749" s="12"/>
      <c r="T749" s="12"/>
      <c r="U749" s="12"/>
      <c r="W749" s="12"/>
      <c r="X749" s="12"/>
      <c r="Y749" s="12"/>
      <c r="Z749" s="12"/>
      <c r="AA749" s="12"/>
    </row>
    <row r="750" spans="1:27" ht="15.75" customHeight="1">
      <c r="A750" s="12"/>
      <c r="B750" s="12"/>
      <c r="C750" s="12"/>
      <c r="D750" s="12"/>
      <c r="E750" s="12"/>
      <c r="F750" s="12"/>
      <c r="G750" s="12"/>
      <c r="H750" s="12"/>
      <c r="I750" s="12"/>
      <c r="J750" s="12"/>
      <c r="K750" s="12"/>
      <c r="L750" s="12"/>
      <c r="M750" s="12"/>
      <c r="N750" s="12"/>
      <c r="O750" s="12"/>
      <c r="P750" s="12"/>
      <c r="Q750" s="12"/>
      <c r="R750" s="12"/>
      <c r="S750" s="12"/>
      <c r="T750" s="12"/>
      <c r="U750" s="12"/>
      <c r="W750" s="12"/>
      <c r="X750" s="12"/>
      <c r="Y750" s="12"/>
      <c r="Z750" s="12"/>
      <c r="AA750" s="12"/>
    </row>
    <row r="751" spans="1:27" ht="15.75" customHeight="1">
      <c r="A751" s="12"/>
      <c r="B751" s="12"/>
      <c r="C751" s="12"/>
      <c r="D751" s="12"/>
      <c r="E751" s="12"/>
      <c r="F751" s="12"/>
      <c r="G751" s="12"/>
      <c r="H751" s="12"/>
      <c r="I751" s="12"/>
      <c r="J751" s="12"/>
      <c r="K751" s="12"/>
      <c r="L751" s="12"/>
      <c r="M751" s="12"/>
      <c r="N751" s="12"/>
      <c r="O751" s="12"/>
      <c r="P751" s="12"/>
      <c r="Q751" s="12"/>
      <c r="R751" s="12"/>
      <c r="S751" s="12"/>
      <c r="T751" s="12"/>
      <c r="U751" s="12"/>
      <c r="W751" s="12"/>
      <c r="X751" s="12"/>
      <c r="Y751" s="12"/>
      <c r="Z751" s="12"/>
      <c r="AA751" s="12"/>
    </row>
    <row r="752" spans="1:27" ht="15.75" customHeight="1">
      <c r="A752" s="12"/>
      <c r="B752" s="12"/>
      <c r="C752" s="12"/>
      <c r="D752" s="12"/>
      <c r="E752" s="12"/>
      <c r="F752" s="12"/>
      <c r="G752" s="12"/>
      <c r="H752" s="12"/>
      <c r="I752" s="12"/>
      <c r="J752" s="12"/>
      <c r="K752" s="12"/>
      <c r="L752" s="12"/>
      <c r="M752" s="12"/>
      <c r="N752" s="12"/>
      <c r="O752" s="12"/>
      <c r="P752" s="12"/>
      <c r="Q752" s="12"/>
      <c r="R752" s="12"/>
      <c r="S752" s="12"/>
      <c r="T752" s="12"/>
      <c r="U752" s="12"/>
      <c r="W752" s="12"/>
      <c r="X752" s="12"/>
      <c r="Y752" s="12"/>
      <c r="Z752" s="12"/>
      <c r="AA752" s="12"/>
    </row>
    <row r="753" spans="1:27" ht="15.75" customHeight="1">
      <c r="A753" s="12"/>
      <c r="B753" s="12"/>
      <c r="C753" s="12"/>
      <c r="D753" s="12"/>
      <c r="E753" s="12"/>
      <c r="F753" s="12"/>
      <c r="G753" s="12"/>
      <c r="H753" s="12"/>
      <c r="I753" s="12"/>
      <c r="J753" s="12"/>
      <c r="K753" s="12"/>
      <c r="L753" s="12"/>
      <c r="M753" s="12"/>
      <c r="N753" s="12"/>
      <c r="O753" s="12"/>
      <c r="P753" s="12"/>
      <c r="Q753" s="12"/>
      <c r="R753" s="12"/>
      <c r="S753" s="12"/>
      <c r="T753" s="12"/>
      <c r="U753" s="12"/>
      <c r="W753" s="12"/>
      <c r="X753" s="12"/>
      <c r="Y753" s="12"/>
      <c r="Z753" s="12"/>
      <c r="AA753" s="12"/>
    </row>
    <row r="754" spans="1:27" ht="15.75" customHeight="1">
      <c r="A754" s="12"/>
      <c r="B754" s="12"/>
      <c r="C754" s="12"/>
      <c r="D754" s="12"/>
      <c r="E754" s="12"/>
      <c r="F754" s="12"/>
      <c r="G754" s="12"/>
      <c r="H754" s="12"/>
      <c r="I754" s="12"/>
      <c r="J754" s="12"/>
      <c r="K754" s="12"/>
      <c r="L754" s="12"/>
      <c r="M754" s="12"/>
      <c r="N754" s="12"/>
      <c r="O754" s="12"/>
      <c r="P754" s="12"/>
      <c r="Q754" s="12"/>
      <c r="R754" s="12"/>
      <c r="S754" s="12"/>
      <c r="T754" s="12"/>
      <c r="U754" s="12"/>
      <c r="W754" s="12"/>
      <c r="X754" s="12"/>
      <c r="Y754" s="12"/>
      <c r="Z754" s="12"/>
      <c r="AA754" s="12"/>
    </row>
    <row r="755" spans="1:27" ht="15.75" customHeight="1">
      <c r="A755" s="12"/>
      <c r="B755" s="12"/>
      <c r="C755" s="12"/>
      <c r="D755" s="12"/>
      <c r="E755" s="12"/>
      <c r="F755" s="12"/>
      <c r="G755" s="12"/>
      <c r="H755" s="12"/>
      <c r="I755" s="12"/>
      <c r="J755" s="12"/>
      <c r="K755" s="12"/>
      <c r="L755" s="12"/>
      <c r="M755" s="12"/>
      <c r="N755" s="12"/>
      <c r="O755" s="12"/>
      <c r="P755" s="12"/>
      <c r="Q755" s="12"/>
      <c r="R755" s="12"/>
      <c r="S755" s="12"/>
      <c r="T755" s="12"/>
      <c r="U755" s="12"/>
      <c r="W755" s="12"/>
      <c r="X755" s="12"/>
      <c r="Y755" s="12"/>
      <c r="Z755" s="12"/>
      <c r="AA755" s="12"/>
    </row>
    <row r="756" spans="1:27" ht="15.75" customHeight="1">
      <c r="A756" s="12"/>
      <c r="B756" s="12"/>
      <c r="C756" s="12"/>
      <c r="D756" s="12"/>
      <c r="E756" s="12"/>
      <c r="F756" s="12"/>
      <c r="G756" s="12"/>
      <c r="H756" s="12"/>
      <c r="I756" s="12"/>
      <c r="J756" s="12"/>
      <c r="K756" s="12"/>
      <c r="L756" s="12"/>
      <c r="M756" s="12"/>
      <c r="N756" s="12"/>
      <c r="O756" s="12"/>
      <c r="P756" s="12"/>
      <c r="Q756" s="12"/>
      <c r="R756" s="12"/>
      <c r="S756" s="12"/>
      <c r="T756" s="12"/>
      <c r="U756" s="12"/>
      <c r="W756" s="12"/>
      <c r="X756" s="12"/>
      <c r="Y756" s="12"/>
      <c r="Z756" s="12"/>
      <c r="AA756" s="12"/>
    </row>
    <row r="757" spans="1:27" ht="15.75" customHeight="1">
      <c r="A757" s="12"/>
      <c r="B757" s="12"/>
      <c r="C757" s="12"/>
      <c r="D757" s="12"/>
      <c r="E757" s="12"/>
      <c r="F757" s="12"/>
      <c r="G757" s="12"/>
      <c r="H757" s="12"/>
      <c r="I757" s="12"/>
      <c r="J757" s="12"/>
      <c r="K757" s="12"/>
      <c r="L757" s="12"/>
      <c r="M757" s="12"/>
      <c r="N757" s="12"/>
      <c r="O757" s="12"/>
      <c r="P757" s="12"/>
      <c r="Q757" s="12"/>
      <c r="R757" s="12"/>
      <c r="S757" s="12"/>
      <c r="T757" s="12"/>
      <c r="U757" s="12"/>
      <c r="W757" s="12"/>
      <c r="X757" s="12"/>
      <c r="Y757" s="12"/>
      <c r="Z757" s="12"/>
      <c r="AA757" s="12"/>
    </row>
    <row r="758" spans="1:27" ht="15.75" customHeight="1">
      <c r="A758" s="12"/>
      <c r="B758" s="12"/>
      <c r="C758" s="12"/>
      <c r="D758" s="12"/>
      <c r="E758" s="12"/>
      <c r="F758" s="12"/>
      <c r="G758" s="12"/>
      <c r="H758" s="12"/>
      <c r="I758" s="12"/>
      <c r="J758" s="12"/>
      <c r="K758" s="12"/>
      <c r="L758" s="12"/>
      <c r="M758" s="12"/>
      <c r="N758" s="12"/>
      <c r="O758" s="12"/>
      <c r="P758" s="12"/>
      <c r="Q758" s="12"/>
      <c r="R758" s="12"/>
      <c r="S758" s="12"/>
      <c r="T758" s="12"/>
      <c r="U758" s="12"/>
      <c r="W758" s="12"/>
      <c r="X758" s="12"/>
      <c r="Y758" s="12"/>
      <c r="Z758" s="12"/>
      <c r="AA758" s="12"/>
    </row>
    <row r="759" spans="1:27" ht="15.75" customHeight="1">
      <c r="A759" s="12"/>
      <c r="B759" s="12"/>
      <c r="C759" s="12"/>
      <c r="D759" s="12"/>
      <c r="E759" s="12"/>
      <c r="F759" s="12"/>
      <c r="G759" s="12"/>
      <c r="H759" s="12"/>
      <c r="I759" s="12"/>
      <c r="J759" s="12"/>
      <c r="K759" s="12"/>
      <c r="L759" s="12"/>
      <c r="M759" s="12"/>
      <c r="N759" s="12"/>
      <c r="O759" s="12"/>
      <c r="P759" s="12"/>
      <c r="Q759" s="12"/>
      <c r="R759" s="12"/>
      <c r="S759" s="12"/>
      <c r="T759" s="12"/>
      <c r="U759" s="12"/>
      <c r="W759" s="12"/>
      <c r="X759" s="12"/>
      <c r="Y759" s="12"/>
      <c r="Z759" s="12"/>
      <c r="AA759" s="12"/>
    </row>
    <row r="760" spans="1:27" ht="15.75" customHeight="1">
      <c r="A760" s="12"/>
      <c r="B760" s="12"/>
      <c r="C760" s="12"/>
      <c r="D760" s="12"/>
      <c r="E760" s="12"/>
      <c r="F760" s="12"/>
      <c r="G760" s="12"/>
      <c r="H760" s="12"/>
      <c r="I760" s="12"/>
      <c r="J760" s="12"/>
      <c r="K760" s="12"/>
      <c r="L760" s="12"/>
      <c r="M760" s="12"/>
      <c r="N760" s="12"/>
      <c r="O760" s="12"/>
      <c r="P760" s="12"/>
      <c r="Q760" s="12"/>
      <c r="R760" s="12"/>
      <c r="S760" s="12"/>
      <c r="T760" s="12"/>
      <c r="U760" s="12"/>
      <c r="W760" s="12"/>
      <c r="X760" s="12"/>
      <c r="Y760" s="12"/>
      <c r="Z760" s="12"/>
      <c r="AA760" s="12"/>
    </row>
    <row r="761" spans="1:27" ht="15.75" customHeight="1">
      <c r="A761" s="12"/>
      <c r="B761" s="12"/>
      <c r="C761" s="12"/>
      <c r="D761" s="12"/>
      <c r="E761" s="12"/>
      <c r="F761" s="12"/>
      <c r="G761" s="12"/>
      <c r="H761" s="12"/>
      <c r="I761" s="12"/>
      <c r="J761" s="12"/>
      <c r="K761" s="12"/>
      <c r="L761" s="12"/>
      <c r="M761" s="12"/>
      <c r="N761" s="12"/>
      <c r="O761" s="12"/>
      <c r="P761" s="12"/>
      <c r="Q761" s="12"/>
      <c r="R761" s="12"/>
      <c r="S761" s="12"/>
      <c r="T761" s="12"/>
      <c r="U761" s="12"/>
      <c r="W761" s="12"/>
      <c r="X761" s="12"/>
      <c r="Y761" s="12"/>
      <c r="Z761" s="12"/>
      <c r="AA761" s="12"/>
    </row>
    <row r="762" spans="1:27" ht="15.75" customHeight="1">
      <c r="A762" s="12"/>
      <c r="B762" s="12"/>
      <c r="C762" s="12"/>
      <c r="D762" s="12"/>
      <c r="E762" s="12"/>
      <c r="F762" s="12"/>
      <c r="G762" s="12"/>
      <c r="H762" s="12"/>
      <c r="I762" s="12"/>
      <c r="J762" s="12"/>
      <c r="K762" s="12"/>
      <c r="L762" s="12"/>
      <c r="M762" s="12"/>
      <c r="N762" s="12"/>
      <c r="O762" s="12"/>
      <c r="P762" s="12"/>
      <c r="Q762" s="12"/>
      <c r="R762" s="12"/>
      <c r="S762" s="12"/>
      <c r="T762" s="12"/>
      <c r="U762" s="12"/>
      <c r="W762" s="12"/>
      <c r="X762" s="12"/>
      <c r="Y762" s="12"/>
      <c r="Z762" s="12"/>
      <c r="AA762" s="12"/>
    </row>
    <row r="763" spans="1:27" ht="15.75" customHeight="1">
      <c r="A763" s="12"/>
      <c r="B763" s="12"/>
      <c r="C763" s="12"/>
      <c r="D763" s="12"/>
      <c r="E763" s="12"/>
      <c r="F763" s="12"/>
      <c r="G763" s="12"/>
      <c r="H763" s="12"/>
      <c r="I763" s="12"/>
      <c r="J763" s="12"/>
      <c r="K763" s="12"/>
      <c r="L763" s="12"/>
      <c r="M763" s="12"/>
      <c r="N763" s="12"/>
      <c r="O763" s="12"/>
      <c r="P763" s="12"/>
      <c r="Q763" s="12"/>
      <c r="R763" s="12"/>
      <c r="S763" s="12"/>
      <c r="T763" s="12"/>
      <c r="U763" s="12"/>
      <c r="W763" s="12"/>
      <c r="X763" s="12"/>
      <c r="Y763" s="12"/>
      <c r="Z763" s="12"/>
      <c r="AA763" s="12"/>
    </row>
    <row r="764" spans="1:27" ht="15.75" customHeight="1">
      <c r="A764" s="12"/>
      <c r="B764" s="12"/>
      <c r="C764" s="12"/>
      <c r="D764" s="12"/>
      <c r="E764" s="12"/>
      <c r="F764" s="12"/>
      <c r="G764" s="12"/>
      <c r="H764" s="12"/>
      <c r="I764" s="12"/>
      <c r="J764" s="12"/>
      <c r="K764" s="12"/>
      <c r="L764" s="12"/>
      <c r="M764" s="12"/>
      <c r="N764" s="12"/>
      <c r="O764" s="12"/>
      <c r="P764" s="12"/>
      <c r="Q764" s="12"/>
      <c r="R764" s="12"/>
      <c r="S764" s="12"/>
      <c r="T764" s="12"/>
      <c r="U764" s="12"/>
      <c r="W764" s="12"/>
      <c r="X764" s="12"/>
      <c r="Y764" s="12"/>
      <c r="Z764" s="12"/>
      <c r="AA764" s="12"/>
    </row>
    <row r="765" spans="1:27" ht="15.75" customHeight="1">
      <c r="A765" s="12"/>
      <c r="B765" s="12"/>
      <c r="C765" s="12"/>
      <c r="D765" s="12"/>
      <c r="E765" s="12"/>
      <c r="F765" s="12"/>
      <c r="G765" s="12"/>
      <c r="H765" s="12"/>
      <c r="I765" s="12"/>
      <c r="J765" s="12"/>
      <c r="K765" s="12"/>
      <c r="L765" s="12"/>
      <c r="M765" s="12"/>
      <c r="N765" s="12"/>
      <c r="O765" s="12"/>
      <c r="P765" s="12"/>
      <c r="Q765" s="12"/>
      <c r="R765" s="12"/>
      <c r="S765" s="12"/>
      <c r="T765" s="12"/>
      <c r="U765" s="12"/>
      <c r="W765" s="12"/>
      <c r="X765" s="12"/>
      <c r="Y765" s="12"/>
      <c r="Z765" s="12"/>
      <c r="AA765" s="12"/>
    </row>
    <row r="766" spans="1:27" ht="15.75" customHeight="1">
      <c r="A766" s="12"/>
      <c r="B766" s="12"/>
      <c r="C766" s="12"/>
      <c r="D766" s="12"/>
      <c r="E766" s="12"/>
      <c r="F766" s="12"/>
      <c r="G766" s="12"/>
      <c r="H766" s="12"/>
      <c r="I766" s="12"/>
      <c r="J766" s="12"/>
      <c r="K766" s="12"/>
      <c r="L766" s="12"/>
      <c r="M766" s="12"/>
      <c r="N766" s="12"/>
      <c r="O766" s="12"/>
      <c r="P766" s="12"/>
      <c r="Q766" s="12"/>
      <c r="R766" s="12"/>
      <c r="S766" s="12"/>
      <c r="T766" s="12"/>
      <c r="U766" s="12"/>
      <c r="W766" s="12"/>
      <c r="X766" s="12"/>
      <c r="Y766" s="12"/>
      <c r="Z766" s="12"/>
      <c r="AA766" s="12"/>
    </row>
    <row r="767" spans="1:27" ht="15.75" customHeight="1">
      <c r="A767" s="12"/>
      <c r="B767" s="12"/>
      <c r="C767" s="12"/>
      <c r="D767" s="12"/>
      <c r="E767" s="12"/>
      <c r="F767" s="12"/>
      <c r="G767" s="12"/>
      <c r="H767" s="12"/>
      <c r="I767" s="12"/>
      <c r="J767" s="12"/>
      <c r="K767" s="12"/>
      <c r="L767" s="12"/>
      <c r="M767" s="12"/>
      <c r="N767" s="12"/>
      <c r="O767" s="12"/>
      <c r="P767" s="12"/>
      <c r="Q767" s="12"/>
      <c r="R767" s="12"/>
      <c r="S767" s="12"/>
      <c r="T767" s="12"/>
      <c r="U767" s="12"/>
      <c r="W767" s="12"/>
      <c r="X767" s="12"/>
      <c r="Y767" s="12"/>
      <c r="Z767" s="12"/>
      <c r="AA767" s="12"/>
    </row>
    <row r="768" spans="1:27" ht="15.75" customHeight="1">
      <c r="A768" s="12"/>
      <c r="B768" s="12"/>
      <c r="C768" s="12"/>
      <c r="D768" s="12"/>
      <c r="E768" s="12"/>
      <c r="F768" s="12"/>
      <c r="G768" s="12"/>
      <c r="H768" s="12"/>
      <c r="I768" s="12"/>
      <c r="J768" s="12"/>
      <c r="K768" s="12"/>
      <c r="L768" s="12"/>
      <c r="M768" s="12"/>
      <c r="N768" s="12"/>
      <c r="O768" s="12"/>
      <c r="P768" s="12"/>
      <c r="Q768" s="12"/>
      <c r="R768" s="12"/>
      <c r="S768" s="12"/>
      <c r="T768" s="12"/>
      <c r="U768" s="12"/>
      <c r="W768" s="12"/>
      <c r="X768" s="12"/>
      <c r="Y768" s="12"/>
      <c r="Z768" s="12"/>
      <c r="AA768" s="12"/>
    </row>
    <row r="769" spans="1:27" ht="15.75" customHeight="1">
      <c r="A769" s="12"/>
      <c r="B769" s="12"/>
      <c r="C769" s="12"/>
      <c r="D769" s="12"/>
      <c r="E769" s="12"/>
      <c r="F769" s="12"/>
      <c r="G769" s="12"/>
      <c r="H769" s="12"/>
      <c r="I769" s="12"/>
      <c r="J769" s="12"/>
      <c r="K769" s="12"/>
      <c r="L769" s="12"/>
      <c r="M769" s="12"/>
      <c r="N769" s="12"/>
      <c r="O769" s="12"/>
      <c r="P769" s="12"/>
      <c r="Q769" s="12"/>
      <c r="R769" s="12"/>
      <c r="S769" s="12"/>
      <c r="T769" s="12"/>
      <c r="U769" s="12"/>
      <c r="W769" s="12"/>
      <c r="X769" s="12"/>
      <c r="Y769" s="12"/>
      <c r="Z769" s="12"/>
      <c r="AA769" s="12"/>
    </row>
    <row r="770" spans="1:27" ht="15.75" customHeight="1">
      <c r="A770" s="12"/>
      <c r="B770" s="12"/>
      <c r="C770" s="12"/>
      <c r="D770" s="12"/>
      <c r="E770" s="12"/>
      <c r="F770" s="12"/>
      <c r="G770" s="12"/>
      <c r="H770" s="12"/>
      <c r="I770" s="12"/>
      <c r="J770" s="12"/>
      <c r="K770" s="12"/>
      <c r="L770" s="12"/>
      <c r="M770" s="12"/>
      <c r="N770" s="12"/>
      <c r="O770" s="12"/>
      <c r="P770" s="12"/>
      <c r="Q770" s="12"/>
      <c r="R770" s="12"/>
      <c r="S770" s="12"/>
      <c r="T770" s="12"/>
      <c r="U770" s="12"/>
      <c r="W770" s="12"/>
      <c r="X770" s="12"/>
      <c r="Y770" s="12"/>
      <c r="Z770" s="12"/>
      <c r="AA770" s="12"/>
    </row>
    <row r="771" spans="1:27" ht="15.75" customHeight="1">
      <c r="A771" s="12"/>
      <c r="B771" s="12"/>
      <c r="C771" s="12"/>
      <c r="D771" s="12"/>
      <c r="E771" s="12"/>
      <c r="F771" s="12"/>
      <c r="G771" s="12"/>
      <c r="H771" s="12"/>
      <c r="I771" s="12"/>
      <c r="J771" s="12"/>
      <c r="K771" s="12"/>
      <c r="L771" s="12"/>
      <c r="M771" s="12"/>
      <c r="N771" s="12"/>
      <c r="O771" s="12"/>
      <c r="P771" s="12"/>
      <c r="Q771" s="12"/>
      <c r="R771" s="12"/>
      <c r="S771" s="12"/>
      <c r="T771" s="12"/>
      <c r="U771" s="12"/>
      <c r="W771" s="12"/>
      <c r="X771" s="12"/>
      <c r="Y771" s="12"/>
      <c r="Z771" s="12"/>
      <c r="AA771" s="12"/>
    </row>
    <row r="772" spans="1:27" ht="15.75" customHeight="1">
      <c r="A772" s="12"/>
      <c r="B772" s="12"/>
      <c r="C772" s="12"/>
      <c r="D772" s="12"/>
      <c r="E772" s="12"/>
      <c r="F772" s="12"/>
      <c r="G772" s="12"/>
      <c r="H772" s="12"/>
      <c r="I772" s="12"/>
      <c r="J772" s="12"/>
      <c r="K772" s="12"/>
      <c r="L772" s="12"/>
      <c r="M772" s="12"/>
      <c r="N772" s="12"/>
      <c r="O772" s="12"/>
      <c r="P772" s="12"/>
      <c r="Q772" s="12"/>
      <c r="R772" s="12"/>
      <c r="S772" s="12"/>
      <c r="T772" s="12"/>
      <c r="U772" s="12"/>
      <c r="W772" s="12"/>
      <c r="X772" s="12"/>
      <c r="Y772" s="12"/>
      <c r="Z772" s="12"/>
      <c r="AA772" s="12"/>
    </row>
    <row r="773" spans="1:27" ht="15.75" customHeight="1">
      <c r="A773" s="12"/>
      <c r="B773" s="12"/>
      <c r="C773" s="12"/>
      <c r="D773" s="12"/>
      <c r="E773" s="12"/>
      <c r="F773" s="12"/>
      <c r="G773" s="12"/>
      <c r="H773" s="12"/>
      <c r="I773" s="12"/>
      <c r="J773" s="12"/>
      <c r="K773" s="12"/>
      <c r="L773" s="12"/>
      <c r="M773" s="12"/>
      <c r="N773" s="12"/>
      <c r="O773" s="12"/>
      <c r="P773" s="12"/>
      <c r="Q773" s="12"/>
      <c r="R773" s="12"/>
      <c r="S773" s="12"/>
      <c r="T773" s="12"/>
      <c r="U773" s="12"/>
      <c r="W773" s="12"/>
      <c r="X773" s="12"/>
      <c r="Y773" s="12"/>
      <c r="Z773" s="12"/>
      <c r="AA773" s="12"/>
    </row>
    <row r="774" spans="1:27" ht="15.75" customHeight="1">
      <c r="A774" s="12"/>
      <c r="B774" s="12"/>
      <c r="C774" s="12"/>
      <c r="D774" s="12"/>
      <c r="E774" s="12"/>
      <c r="F774" s="12"/>
      <c r="G774" s="12"/>
      <c r="H774" s="12"/>
      <c r="I774" s="12"/>
      <c r="J774" s="12"/>
      <c r="K774" s="12"/>
      <c r="L774" s="12"/>
      <c r="M774" s="12"/>
      <c r="N774" s="12"/>
      <c r="O774" s="12"/>
      <c r="P774" s="12"/>
      <c r="Q774" s="12"/>
      <c r="R774" s="12"/>
      <c r="S774" s="12"/>
      <c r="T774" s="12"/>
      <c r="U774" s="12"/>
      <c r="W774" s="12"/>
      <c r="X774" s="12"/>
      <c r="Y774" s="12"/>
      <c r="Z774" s="12"/>
      <c r="AA774" s="12"/>
    </row>
    <row r="775" spans="1:27" ht="15.75" customHeight="1">
      <c r="A775" s="12"/>
      <c r="B775" s="12"/>
      <c r="C775" s="12"/>
      <c r="D775" s="12"/>
      <c r="E775" s="12"/>
      <c r="F775" s="12"/>
      <c r="G775" s="12"/>
      <c r="H775" s="12"/>
      <c r="I775" s="12"/>
      <c r="J775" s="12"/>
      <c r="K775" s="12"/>
      <c r="L775" s="12"/>
      <c r="M775" s="12"/>
      <c r="N775" s="12"/>
      <c r="O775" s="12"/>
      <c r="P775" s="12"/>
      <c r="Q775" s="12"/>
      <c r="R775" s="12"/>
      <c r="S775" s="12"/>
      <c r="T775" s="12"/>
      <c r="U775" s="12"/>
      <c r="W775" s="12"/>
      <c r="X775" s="12"/>
      <c r="Y775" s="12"/>
      <c r="Z775" s="12"/>
      <c r="AA775" s="12"/>
    </row>
    <row r="776" spans="1:27" ht="15.75" customHeight="1">
      <c r="A776" s="12"/>
      <c r="B776" s="12"/>
      <c r="C776" s="12"/>
      <c r="D776" s="12"/>
      <c r="E776" s="12"/>
      <c r="F776" s="12"/>
      <c r="G776" s="12"/>
      <c r="H776" s="12"/>
      <c r="I776" s="12"/>
      <c r="J776" s="12"/>
      <c r="K776" s="12"/>
      <c r="L776" s="12"/>
      <c r="M776" s="12"/>
      <c r="N776" s="12"/>
      <c r="O776" s="12"/>
      <c r="P776" s="12"/>
      <c r="Q776" s="12"/>
      <c r="R776" s="12"/>
      <c r="S776" s="12"/>
      <c r="T776" s="12"/>
      <c r="U776" s="12"/>
      <c r="W776" s="12"/>
      <c r="X776" s="12"/>
      <c r="Y776" s="12"/>
      <c r="Z776" s="12"/>
      <c r="AA776" s="12"/>
    </row>
    <row r="777" spans="1:27" ht="15.75" customHeight="1">
      <c r="A777" s="12"/>
      <c r="B777" s="12"/>
      <c r="C777" s="12"/>
      <c r="D777" s="12"/>
      <c r="E777" s="12"/>
      <c r="F777" s="12"/>
      <c r="G777" s="12"/>
      <c r="H777" s="12"/>
      <c r="I777" s="12"/>
      <c r="J777" s="12"/>
      <c r="K777" s="12"/>
      <c r="L777" s="12"/>
      <c r="M777" s="12"/>
      <c r="N777" s="12"/>
      <c r="O777" s="12"/>
      <c r="P777" s="12"/>
      <c r="Q777" s="12"/>
      <c r="R777" s="12"/>
      <c r="S777" s="12"/>
      <c r="T777" s="12"/>
      <c r="U777" s="12"/>
      <c r="W777" s="12"/>
      <c r="X777" s="12"/>
      <c r="Y777" s="12"/>
      <c r="Z777" s="12"/>
      <c r="AA777" s="12"/>
    </row>
    <row r="778" spans="1:27" ht="15.75" customHeight="1">
      <c r="A778" s="12"/>
      <c r="B778" s="12"/>
      <c r="C778" s="12"/>
      <c r="D778" s="12"/>
      <c r="E778" s="12"/>
      <c r="F778" s="12"/>
      <c r="G778" s="12"/>
      <c r="H778" s="12"/>
      <c r="I778" s="12"/>
      <c r="J778" s="12"/>
      <c r="K778" s="12"/>
      <c r="L778" s="12"/>
      <c r="M778" s="12"/>
      <c r="N778" s="12"/>
      <c r="O778" s="12"/>
      <c r="P778" s="12"/>
      <c r="Q778" s="12"/>
      <c r="R778" s="12"/>
      <c r="S778" s="12"/>
      <c r="T778" s="12"/>
      <c r="U778" s="12"/>
      <c r="W778" s="12"/>
      <c r="X778" s="12"/>
      <c r="Y778" s="12"/>
      <c r="Z778" s="12"/>
      <c r="AA778" s="12"/>
    </row>
    <row r="779" spans="1:27" ht="15.75" customHeight="1">
      <c r="A779" s="12"/>
      <c r="B779" s="12"/>
      <c r="C779" s="12"/>
      <c r="D779" s="12"/>
      <c r="E779" s="12"/>
      <c r="F779" s="12"/>
      <c r="G779" s="12"/>
      <c r="H779" s="12"/>
      <c r="I779" s="12"/>
      <c r="J779" s="12"/>
      <c r="K779" s="12"/>
      <c r="L779" s="12"/>
      <c r="M779" s="12"/>
      <c r="N779" s="12"/>
      <c r="O779" s="12"/>
      <c r="P779" s="12"/>
      <c r="Q779" s="12"/>
      <c r="R779" s="12"/>
      <c r="S779" s="12"/>
      <c r="T779" s="12"/>
      <c r="U779" s="12"/>
      <c r="W779" s="12"/>
      <c r="X779" s="12"/>
      <c r="Y779" s="12"/>
      <c r="Z779" s="12"/>
      <c r="AA779" s="12"/>
    </row>
    <row r="780" spans="1:27" ht="15.75" customHeight="1">
      <c r="A780" s="12"/>
      <c r="B780" s="12"/>
      <c r="C780" s="12"/>
      <c r="D780" s="12"/>
      <c r="E780" s="12"/>
      <c r="F780" s="12"/>
      <c r="G780" s="12"/>
      <c r="H780" s="12"/>
      <c r="I780" s="12"/>
      <c r="J780" s="12"/>
      <c r="K780" s="12"/>
      <c r="L780" s="12"/>
      <c r="M780" s="12"/>
      <c r="N780" s="12"/>
      <c r="O780" s="12"/>
      <c r="P780" s="12"/>
      <c r="Q780" s="12"/>
      <c r="R780" s="12"/>
      <c r="S780" s="12"/>
      <c r="T780" s="12"/>
      <c r="U780" s="12"/>
      <c r="W780" s="12"/>
      <c r="X780" s="12"/>
      <c r="Y780" s="12"/>
      <c r="Z780" s="12"/>
      <c r="AA780" s="12"/>
    </row>
    <row r="781" spans="1:27" ht="15.75" customHeight="1">
      <c r="A781" s="12"/>
      <c r="B781" s="12"/>
      <c r="C781" s="12"/>
      <c r="D781" s="12"/>
      <c r="E781" s="12"/>
      <c r="F781" s="12"/>
      <c r="G781" s="12"/>
      <c r="H781" s="12"/>
      <c r="I781" s="12"/>
      <c r="J781" s="12"/>
      <c r="K781" s="12"/>
      <c r="L781" s="12"/>
      <c r="M781" s="12"/>
      <c r="N781" s="12"/>
      <c r="O781" s="12"/>
      <c r="P781" s="12"/>
      <c r="Q781" s="12"/>
      <c r="R781" s="12"/>
      <c r="S781" s="12"/>
      <c r="T781" s="12"/>
      <c r="U781" s="12"/>
      <c r="W781" s="12"/>
      <c r="X781" s="12"/>
      <c r="Y781" s="12"/>
      <c r="Z781" s="12"/>
      <c r="AA781" s="12"/>
    </row>
    <row r="782" spans="1:27" ht="15.75" customHeight="1">
      <c r="A782" s="12"/>
      <c r="B782" s="12"/>
      <c r="C782" s="12"/>
      <c r="D782" s="12"/>
      <c r="E782" s="12"/>
      <c r="F782" s="12"/>
      <c r="G782" s="12"/>
      <c r="H782" s="12"/>
      <c r="I782" s="12"/>
      <c r="J782" s="12"/>
      <c r="K782" s="12"/>
      <c r="L782" s="12"/>
      <c r="M782" s="12"/>
      <c r="N782" s="12"/>
      <c r="O782" s="12"/>
      <c r="P782" s="12"/>
      <c r="Q782" s="12"/>
      <c r="R782" s="12"/>
      <c r="S782" s="12"/>
      <c r="T782" s="12"/>
      <c r="U782" s="12"/>
      <c r="W782" s="12"/>
      <c r="X782" s="12"/>
      <c r="Y782" s="12"/>
      <c r="Z782" s="12"/>
      <c r="AA782" s="12"/>
    </row>
    <row r="783" spans="1:27" ht="15.75" customHeight="1">
      <c r="A783" s="12"/>
      <c r="B783" s="12"/>
      <c r="C783" s="12"/>
      <c r="D783" s="12"/>
      <c r="E783" s="12"/>
      <c r="F783" s="12"/>
      <c r="G783" s="12"/>
      <c r="H783" s="12"/>
      <c r="I783" s="12"/>
      <c r="J783" s="12"/>
      <c r="K783" s="12"/>
      <c r="L783" s="12"/>
      <c r="M783" s="12"/>
      <c r="N783" s="12"/>
      <c r="O783" s="12"/>
      <c r="P783" s="12"/>
      <c r="Q783" s="12"/>
      <c r="R783" s="12"/>
      <c r="S783" s="12"/>
      <c r="T783" s="12"/>
      <c r="U783" s="12"/>
      <c r="W783" s="12"/>
      <c r="X783" s="12"/>
      <c r="Y783" s="12"/>
      <c r="Z783" s="12"/>
      <c r="AA783" s="12"/>
    </row>
    <row r="784" spans="1:27" ht="15.75" customHeight="1">
      <c r="A784" s="12"/>
      <c r="B784" s="12"/>
      <c r="C784" s="12"/>
      <c r="D784" s="12"/>
      <c r="E784" s="12"/>
      <c r="F784" s="12"/>
      <c r="G784" s="12"/>
      <c r="H784" s="12"/>
      <c r="I784" s="12"/>
      <c r="J784" s="12"/>
      <c r="K784" s="12"/>
      <c r="L784" s="12"/>
      <c r="M784" s="12"/>
      <c r="N784" s="12"/>
      <c r="O784" s="12"/>
      <c r="P784" s="12"/>
      <c r="Q784" s="12"/>
      <c r="R784" s="12"/>
      <c r="S784" s="12"/>
      <c r="T784" s="12"/>
      <c r="U784" s="12"/>
      <c r="W784" s="12"/>
      <c r="X784" s="12"/>
      <c r="Y784" s="12"/>
      <c r="Z784" s="12"/>
      <c r="AA784" s="12"/>
    </row>
    <row r="785" spans="1:27" ht="15.75" customHeight="1">
      <c r="A785" s="12"/>
      <c r="B785" s="12"/>
      <c r="C785" s="12"/>
      <c r="D785" s="12"/>
      <c r="E785" s="12"/>
      <c r="F785" s="12"/>
      <c r="G785" s="12"/>
      <c r="H785" s="12"/>
      <c r="I785" s="12"/>
      <c r="J785" s="12"/>
      <c r="K785" s="12"/>
      <c r="L785" s="12"/>
      <c r="M785" s="12"/>
      <c r="N785" s="12"/>
      <c r="O785" s="12"/>
      <c r="P785" s="12"/>
      <c r="Q785" s="12"/>
      <c r="R785" s="12"/>
      <c r="S785" s="12"/>
      <c r="T785" s="12"/>
      <c r="U785" s="12"/>
      <c r="W785" s="12"/>
      <c r="X785" s="12"/>
      <c r="Y785" s="12"/>
      <c r="Z785" s="12"/>
      <c r="AA785" s="12"/>
    </row>
    <row r="786" spans="1:27" ht="15.75" customHeight="1">
      <c r="A786" s="12"/>
      <c r="B786" s="12"/>
      <c r="C786" s="12"/>
      <c r="D786" s="12"/>
      <c r="E786" s="12"/>
      <c r="F786" s="12"/>
      <c r="G786" s="12"/>
      <c r="H786" s="12"/>
      <c r="I786" s="12"/>
      <c r="J786" s="12"/>
      <c r="K786" s="12"/>
      <c r="L786" s="12"/>
      <c r="M786" s="12"/>
      <c r="N786" s="12"/>
      <c r="O786" s="12"/>
      <c r="P786" s="12"/>
      <c r="Q786" s="12"/>
      <c r="R786" s="12"/>
      <c r="S786" s="12"/>
      <c r="T786" s="12"/>
      <c r="U786" s="12"/>
      <c r="W786" s="12"/>
      <c r="X786" s="12"/>
      <c r="Y786" s="12"/>
      <c r="Z786" s="12"/>
      <c r="AA786" s="12"/>
    </row>
    <row r="787" spans="1:27" ht="15.75" customHeight="1">
      <c r="A787" s="12"/>
      <c r="B787" s="12"/>
      <c r="C787" s="12"/>
      <c r="D787" s="12"/>
      <c r="E787" s="12"/>
      <c r="F787" s="12"/>
      <c r="G787" s="12"/>
      <c r="H787" s="12"/>
      <c r="I787" s="12"/>
      <c r="J787" s="12"/>
      <c r="K787" s="12"/>
      <c r="L787" s="12"/>
      <c r="M787" s="12"/>
      <c r="N787" s="12"/>
      <c r="O787" s="12"/>
      <c r="P787" s="12"/>
      <c r="Q787" s="12"/>
      <c r="R787" s="12"/>
      <c r="S787" s="12"/>
      <c r="T787" s="12"/>
      <c r="U787" s="12"/>
      <c r="W787" s="12"/>
      <c r="X787" s="12"/>
      <c r="Y787" s="12"/>
      <c r="Z787" s="12"/>
      <c r="AA787" s="12"/>
    </row>
    <row r="788" spans="1:27" ht="15.75" customHeight="1">
      <c r="A788" s="12"/>
      <c r="B788" s="12"/>
      <c r="C788" s="12"/>
      <c r="D788" s="12"/>
      <c r="E788" s="12"/>
      <c r="F788" s="12"/>
      <c r="G788" s="12"/>
      <c r="H788" s="12"/>
      <c r="I788" s="12"/>
      <c r="J788" s="12"/>
      <c r="K788" s="12"/>
      <c r="L788" s="12"/>
      <c r="M788" s="12"/>
      <c r="N788" s="12"/>
      <c r="O788" s="12"/>
      <c r="P788" s="12"/>
      <c r="Q788" s="12"/>
      <c r="R788" s="12"/>
      <c r="S788" s="12"/>
      <c r="T788" s="12"/>
      <c r="U788" s="12"/>
      <c r="W788" s="12"/>
      <c r="X788" s="12"/>
      <c r="Y788" s="12"/>
      <c r="Z788" s="12"/>
      <c r="AA788" s="12"/>
    </row>
    <row r="789" spans="1:27" ht="15.75" customHeight="1">
      <c r="A789" s="12"/>
      <c r="B789" s="12"/>
      <c r="C789" s="12"/>
      <c r="D789" s="12"/>
      <c r="E789" s="12"/>
      <c r="F789" s="12"/>
      <c r="G789" s="12"/>
      <c r="H789" s="12"/>
      <c r="I789" s="12"/>
      <c r="J789" s="12"/>
      <c r="K789" s="12"/>
      <c r="L789" s="12"/>
      <c r="M789" s="12"/>
      <c r="N789" s="12"/>
      <c r="O789" s="12"/>
      <c r="P789" s="12"/>
      <c r="Q789" s="12"/>
      <c r="R789" s="12"/>
      <c r="S789" s="12"/>
      <c r="T789" s="12"/>
      <c r="U789" s="12"/>
      <c r="W789" s="12"/>
      <c r="X789" s="12"/>
      <c r="Y789" s="12"/>
      <c r="Z789" s="12"/>
      <c r="AA789" s="12"/>
    </row>
    <row r="790" spans="1:27" ht="15.75" customHeight="1">
      <c r="A790" s="12"/>
      <c r="B790" s="12"/>
      <c r="C790" s="12"/>
      <c r="D790" s="12"/>
      <c r="E790" s="12"/>
      <c r="F790" s="12"/>
      <c r="G790" s="12"/>
      <c r="H790" s="12"/>
      <c r="I790" s="12"/>
      <c r="J790" s="12"/>
      <c r="K790" s="12"/>
      <c r="L790" s="12"/>
      <c r="M790" s="12"/>
      <c r="N790" s="12"/>
      <c r="O790" s="12"/>
      <c r="P790" s="12"/>
      <c r="Q790" s="12"/>
      <c r="R790" s="12"/>
      <c r="S790" s="12"/>
      <c r="T790" s="12"/>
      <c r="U790" s="12"/>
      <c r="W790" s="12"/>
      <c r="X790" s="12"/>
      <c r="Y790" s="12"/>
      <c r="Z790" s="12"/>
      <c r="AA790" s="12"/>
    </row>
    <row r="791" spans="1:27" ht="15.75" customHeight="1">
      <c r="A791" s="12"/>
      <c r="B791" s="12"/>
      <c r="C791" s="12"/>
      <c r="D791" s="12"/>
      <c r="E791" s="12"/>
      <c r="F791" s="12"/>
      <c r="G791" s="12"/>
      <c r="H791" s="12"/>
      <c r="I791" s="12"/>
      <c r="J791" s="12"/>
      <c r="K791" s="12"/>
      <c r="L791" s="12"/>
      <c r="M791" s="12"/>
      <c r="N791" s="12"/>
      <c r="O791" s="12"/>
      <c r="P791" s="12"/>
      <c r="Q791" s="12"/>
      <c r="R791" s="12"/>
      <c r="S791" s="12"/>
      <c r="T791" s="12"/>
      <c r="U791" s="12"/>
      <c r="W791" s="12"/>
      <c r="X791" s="12"/>
      <c r="Y791" s="12"/>
      <c r="Z791" s="12"/>
      <c r="AA791" s="12"/>
    </row>
    <row r="792" spans="1:27" ht="15.75" customHeight="1">
      <c r="A792" s="12"/>
      <c r="B792" s="12"/>
      <c r="C792" s="12"/>
      <c r="D792" s="12"/>
      <c r="E792" s="12"/>
      <c r="F792" s="12"/>
      <c r="G792" s="12"/>
      <c r="H792" s="12"/>
      <c r="I792" s="12"/>
      <c r="J792" s="12"/>
      <c r="K792" s="12"/>
      <c r="L792" s="12"/>
      <c r="M792" s="12"/>
      <c r="N792" s="12"/>
      <c r="O792" s="12"/>
      <c r="P792" s="12"/>
      <c r="Q792" s="12"/>
      <c r="R792" s="12"/>
      <c r="S792" s="12"/>
      <c r="T792" s="12"/>
      <c r="U792" s="12"/>
      <c r="W792" s="12"/>
      <c r="X792" s="12"/>
      <c r="Y792" s="12"/>
      <c r="Z792" s="12"/>
      <c r="AA792" s="12"/>
    </row>
    <row r="793" spans="1:27" ht="15.75" customHeight="1">
      <c r="A793" s="12"/>
      <c r="B793" s="12"/>
      <c r="C793" s="12"/>
      <c r="D793" s="12"/>
      <c r="E793" s="12"/>
      <c r="F793" s="12"/>
      <c r="G793" s="12"/>
      <c r="H793" s="12"/>
      <c r="I793" s="12"/>
      <c r="J793" s="12"/>
      <c r="K793" s="12"/>
      <c r="L793" s="12"/>
      <c r="M793" s="12"/>
      <c r="N793" s="12"/>
      <c r="O793" s="12"/>
      <c r="P793" s="12"/>
      <c r="Q793" s="12"/>
      <c r="R793" s="12"/>
      <c r="S793" s="12"/>
      <c r="T793" s="12"/>
      <c r="U793" s="12"/>
      <c r="W793" s="12"/>
      <c r="X793" s="12"/>
      <c r="Y793" s="12"/>
      <c r="Z793" s="12"/>
      <c r="AA793" s="12"/>
    </row>
    <row r="794" spans="1:27" ht="15.75" customHeight="1">
      <c r="A794" s="12"/>
      <c r="B794" s="12"/>
      <c r="C794" s="12"/>
      <c r="D794" s="12"/>
      <c r="E794" s="12"/>
      <c r="F794" s="12"/>
      <c r="G794" s="12"/>
      <c r="H794" s="12"/>
      <c r="I794" s="12"/>
      <c r="J794" s="12"/>
      <c r="K794" s="12"/>
      <c r="L794" s="12"/>
      <c r="M794" s="12"/>
      <c r="N794" s="12"/>
      <c r="O794" s="12"/>
      <c r="P794" s="12"/>
      <c r="Q794" s="12"/>
      <c r="R794" s="12"/>
      <c r="S794" s="12"/>
      <c r="T794" s="12"/>
      <c r="U794" s="12"/>
      <c r="W794" s="12"/>
      <c r="X794" s="12"/>
      <c r="Y794" s="12"/>
      <c r="Z794" s="12"/>
      <c r="AA794" s="12"/>
    </row>
    <row r="795" spans="1:27" ht="15.75" customHeight="1">
      <c r="A795" s="12"/>
      <c r="B795" s="12"/>
      <c r="C795" s="12"/>
      <c r="D795" s="12"/>
      <c r="E795" s="12"/>
      <c r="F795" s="12"/>
      <c r="G795" s="12"/>
      <c r="H795" s="12"/>
      <c r="I795" s="12"/>
      <c r="J795" s="12"/>
      <c r="K795" s="12"/>
      <c r="L795" s="12"/>
      <c r="M795" s="12"/>
      <c r="N795" s="12"/>
      <c r="O795" s="12"/>
      <c r="P795" s="12"/>
      <c r="Q795" s="12"/>
      <c r="R795" s="12"/>
      <c r="S795" s="12"/>
      <c r="T795" s="12"/>
      <c r="U795" s="12"/>
      <c r="W795" s="12"/>
      <c r="X795" s="12"/>
      <c r="Y795" s="12"/>
      <c r="Z795" s="12"/>
      <c r="AA795" s="12"/>
    </row>
    <row r="796" spans="1:27" ht="15.75" customHeight="1">
      <c r="A796" s="12"/>
      <c r="B796" s="12"/>
      <c r="C796" s="12"/>
      <c r="D796" s="12"/>
      <c r="E796" s="12"/>
      <c r="F796" s="12"/>
      <c r="G796" s="12"/>
      <c r="H796" s="12"/>
      <c r="I796" s="12"/>
      <c r="J796" s="12"/>
      <c r="K796" s="12"/>
      <c r="L796" s="12"/>
      <c r="M796" s="12"/>
      <c r="N796" s="12"/>
      <c r="O796" s="12"/>
      <c r="P796" s="12"/>
      <c r="Q796" s="12"/>
      <c r="R796" s="12"/>
      <c r="S796" s="12"/>
      <c r="T796" s="12"/>
      <c r="U796" s="12"/>
      <c r="W796" s="12"/>
      <c r="X796" s="12"/>
      <c r="Y796" s="12"/>
      <c r="Z796" s="12"/>
      <c r="AA796" s="12"/>
    </row>
    <row r="797" spans="1:27" ht="15.75" customHeight="1">
      <c r="A797" s="12"/>
      <c r="B797" s="12"/>
      <c r="C797" s="12"/>
      <c r="D797" s="12"/>
      <c r="E797" s="12"/>
      <c r="F797" s="12"/>
      <c r="G797" s="12"/>
      <c r="H797" s="12"/>
      <c r="I797" s="12"/>
      <c r="J797" s="12"/>
      <c r="K797" s="12"/>
      <c r="L797" s="12"/>
      <c r="M797" s="12"/>
      <c r="N797" s="12"/>
      <c r="O797" s="12"/>
      <c r="P797" s="12"/>
      <c r="Q797" s="12"/>
      <c r="R797" s="12"/>
      <c r="S797" s="12"/>
      <c r="T797" s="12"/>
      <c r="U797" s="12"/>
      <c r="W797" s="12"/>
      <c r="X797" s="12"/>
      <c r="Y797" s="12"/>
      <c r="Z797" s="12"/>
      <c r="AA797" s="12"/>
    </row>
    <row r="798" spans="1:27" ht="15.75" customHeight="1">
      <c r="A798" s="12"/>
      <c r="B798" s="12"/>
      <c r="C798" s="12"/>
      <c r="D798" s="12"/>
      <c r="E798" s="12"/>
      <c r="F798" s="12"/>
      <c r="G798" s="12"/>
      <c r="H798" s="12"/>
      <c r="I798" s="12"/>
      <c r="J798" s="12"/>
      <c r="K798" s="12"/>
      <c r="L798" s="12"/>
      <c r="M798" s="12"/>
      <c r="N798" s="12"/>
      <c r="O798" s="12"/>
      <c r="P798" s="12"/>
      <c r="Q798" s="12"/>
      <c r="R798" s="12"/>
      <c r="S798" s="12"/>
      <c r="T798" s="12"/>
      <c r="U798" s="12"/>
      <c r="W798" s="12"/>
      <c r="X798" s="12"/>
      <c r="Y798" s="12"/>
      <c r="Z798" s="12"/>
      <c r="AA798" s="12"/>
    </row>
    <row r="799" spans="1:27" ht="15.75" customHeight="1">
      <c r="A799" s="12"/>
      <c r="B799" s="12"/>
      <c r="C799" s="12"/>
      <c r="D799" s="12"/>
      <c r="E799" s="12"/>
      <c r="F799" s="12"/>
      <c r="G799" s="12"/>
      <c r="H799" s="12"/>
      <c r="I799" s="12"/>
      <c r="J799" s="12"/>
      <c r="K799" s="12"/>
      <c r="L799" s="12"/>
      <c r="M799" s="12"/>
      <c r="N799" s="12"/>
      <c r="O799" s="12"/>
      <c r="P799" s="12"/>
      <c r="Q799" s="12"/>
      <c r="R799" s="12"/>
      <c r="S799" s="12"/>
      <c r="T799" s="12"/>
      <c r="U799" s="12"/>
      <c r="W799" s="12"/>
      <c r="X799" s="12"/>
      <c r="Y799" s="12"/>
      <c r="Z799" s="12"/>
      <c r="AA799" s="12"/>
    </row>
    <row r="800" spans="1:27" ht="15.75" customHeight="1">
      <c r="A800" s="12"/>
      <c r="B800" s="12"/>
      <c r="C800" s="12"/>
      <c r="D800" s="12"/>
      <c r="E800" s="12"/>
      <c r="F800" s="12"/>
      <c r="G800" s="12"/>
      <c r="H800" s="12"/>
      <c r="I800" s="12"/>
      <c r="J800" s="12"/>
      <c r="K800" s="12"/>
      <c r="L800" s="12"/>
      <c r="M800" s="12"/>
      <c r="N800" s="12"/>
      <c r="O800" s="12"/>
      <c r="P800" s="12"/>
      <c r="Q800" s="12"/>
      <c r="R800" s="12"/>
      <c r="S800" s="12"/>
      <c r="T800" s="12"/>
      <c r="U800" s="12"/>
      <c r="W800" s="12"/>
      <c r="X800" s="12"/>
      <c r="Y800" s="12"/>
      <c r="Z800" s="12"/>
      <c r="AA800" s="12"/>
    </row>
    <row r="801" spans="1:27" ht="15.75" customHeight="1">
      <c r="A801" s="12"/>
      <c r="B801" s="12"/>
      <c r="C801" s="12"/>
      <c r="D801" s="12"/>
      <c r="E801" s="12"/>
      <c r="F801" s="12"/>
      <c r="G801" s="12"/>
      <c r="H801" s="12"/>
      <c r="I801" s="12"/>
      <c r="J801" s="12"/>
      <c r="K801" s="12"/>
      <c r="L801" s="12"/>
      <c r="M801" s="12"/>
      <c r="N801" s="12"/>
      <c r="O801" s="12"/>
      <c r="P801" s="12"/>
      <c r="Q801" s="12"/>
      <c r="R801" s="12"/>
      <c r="S801" s="12"/>
      <c r="T801" s="12"/>
      <c r="U801" s="12"/>
      <c r="W801" s="12"/>
      <c r="X801" s="12"/>
      <c r="Y801" s="12"/>
      <c r="Z801" s="12"/>
      <c r="AA801" s="12"/>
    </row>
    <row r="802" spans="1:27" ht="15.75" customHeight="1">
      <c r="A802" s="12"/>
      <c r="B802" s="12"/>
      <c r="C802" s="12"/>
      <c r="D802" s="12"/>
      <c r="E802" s="12"/>
      <c r="F802" s="12"/>
      <c r="G802" s="12"/>
      <c r="H802" s="12"/>
      <c r="I802" s="12"/>
      <c r="J802" s="12"/>
      <c r="K802" s="12"/>
      <c r="L802" s="12"/>
      <c r="M802" s="12"/>
      <c r="N802" s="12"/>
      <c r="O802" s="12"/>
      <c r="P802" s="12"/>
      <c r="Q802" s="12"/>
      <c r="R802" s="12"/>
      <c r="S802" s="12"/>
      <c r="T802" s="12"/>
      <c r="U802" s="12"/>
      <c r="W802" s="12"/>
      <c r="X802" s="12"/>
      <c r="Y802" s="12"/>
      <c r="Z802" s="12"/>
      <c r="AA802" s="12"/>
    </row>
    <row r="803" spans="1:27" ht="15.75" customHeight="1">
      <c r="A803" s="12"/>
      <c r="B803" s="12"/>
      <c r="C803" s="12"/>
      <c r="D803" s="12"/>
      <c r="E803" s="12"/>
      <c r="F803" s="12"/>
      <c r="G803" s="12"/>
      <c r="H803" s="12"/>
      <c r="I803" s="12"/>
      <c r="J803" s="12"/>
      <c r="K803" s="12"/>
      <c r="L803" s="12"/>
      <c r="M803" s="12"/>
      <c r="N803" s="12"/>
      <c r="O803" s="12"/>
      <c r="P803" s="12"/>
      <c r="Q803" s="12"/>
      <c r="R803" s="12"/>
      <c r="S803" s="12"/>
      <c r="T803" s="12"/>
      <c r="U803" s="12"/>
      <c r="W803" s="12"/>
      <c r="X803" s="12"/>
      <c r="Y803" s="12"/>
      <c r="Z803" s="12"/>
      <c r="AA803" s="12"/>
    </row>
    <row r="804" spans="1:27" ht="15.75" customHeight="1">
      <c r="A804" s="12"/>
      <c r="B804" s="12"/>
      <c r="C804" s="12"/>
      <c r="D804" s="12"/>
      <c r="E804" s="12"/>
      <c r="F804" s="12"/>
      <c r="G804" s="12"/>
      <c r="H804" s="12"/>
      <c r="I804" s="12"/>
      <c r="J804" s="12"/>
      <c r="K804" s="12"/>
      <c r="L804" s="12"/>
      <c r="M804" s="12"/>
      <c r="N804" s="12"/>
      <c r="O804" s="12"/>
      <c r="P804" s="12"/>
      <c r="Q804" s="12"/>
      <c r="R804" s="12"/>
      <c r="S804" s="12"/>
      <c r="T804" s="12"/>
      <c r="U804" s="12"/>
      <c r="W804" s="12"/>
      <c r="X804" s="12"/>
      <c r="Y804" s="12"/>
      <c r="Z804" s="12"/>
      <c r="AA804" s="12"/>
    </row>
    <row r="805" spans="1:27" ht="15.75" customHeight="1">
      <c r="A805" s="12"/>
      <c r="B805" s="12"/>
      <c r="C805" s="12"/>
      <c r="D805" s="12"/>
      <c r="E805" s="12"/>
      <c r="F805" s="12"/>
      <c r="G805" s="12"/>
      <c r="H805" s="12"/>
      <c r="I805" s="12"/>
      <c r="J805" s="12"/>
      <c r="K805" s="12"/>
      <c r="L805" s="12"/>
      <c r="M805" s="12"/>
      <c r="N805" s="12"/>
      <c r="O805" s="12"/>
      <c r="P805" s="12"/>
      <c r="Q805" s="12"/>
      <c r="R805" s="12"/>
      <c r="S805" s="12"/>
      <c r="T805" s="12"/>
      <c r="U805" s="12"/>
      <c r="W805" s="12"/>
      <c r="X805" s="12"/>
      <c r="Y805" s="12"/>
      <c r="Z805" s="12"/>
      <c r="AA805" s="12"/>
    </row>
    <row r="806" spans="1:27" ht="15.75" customHeight="1">
      <c r="A806" s="12"/>
      <c r="B806" s="12"/>
      <c r="C806" s="12"/>
      <c r="D806" s="12"/>
      <c r="E806" s="12"/>
      <c r="F806" s="12"/>
      <c r="G806" s="12"/>
      <c r="H806" s="12"/>
      <c r="I806" s="12"/>
      <c r="J806" s="12"/>
      <c r="K806" s="12"/>
      <c r="L806" s="12"/>
      <c r="M806" s="12"/>
      <c r="N806" s="12"/>
      <c r="O806" s="12"/>
      <c r="P806" s="12"/>
      <c r="Q806" s="12"/>
      <c r="R806" s="12"/>
      <c r="S806" s="12"/>
      <c r="T806" s="12"/>
      <c r="U806" s="12"/>
      <c r="W806" s="12"/>
      <c r="X806" s="12"/>
      <c r="Y806" s="12"/>
      <c r="Z806" s="12"/>
      <c r="AA806" s="12"/>
    </row>
    <row r="807" spans="1:27" ht="15.75" customHeight="1">
      <c r="A807" s="12"/>
      <c r="B807" s="12"/>
      <c r="C807" s="12"/>
      <c r="D807" s="12"/>
      <c r="E807" s="12"/>
      <c r="F807" s="12"/>
      <c r="G807" s="12"/>
      <c r="H807" s="12"/>
      <c r="I807" s="12"/>
      <c r="J807" s="12"/>
      <c r="K807" s="12"/>
      <c r="L807" s="12"/>
      <c r="M807" s="12"/>
      <c r="N807" s="12"/>
      <c r="O807" s="12"/>
      <c r="P807" s="12"/>
      <c r="Q807" s="12"/>
      <c r="R807" s="12"/>
      <c r="S807" s="12"/>
      <c r="T807" s="12"/>
      <c r="U807" s="12"/>
      <c r="W807" s="12"/>
      <c r="X807" s="12"/>
      <c r="Y807" s="12"/>
      <c r="Z807" s="12"/>
      <c r="AA807" s="12"/>
    </row>
    <row r="808" spans="1:27" ht="15.75" customHeight="1">
      <c r="A808" s="12"/>
      <c r="B808" s="12"/>
      <c r="C808" s="12"/>
      <c r="D808" s="12"/>
      <c r="E808" s="12"/>
      <c r="F808" s="12"/>
      <c r="G808" s="12"/>
      <c r="H808" s="12"/>
      <c r="I808" s="12"/>
      <c r="J808" s="12"/>
      <c r="K808" s="12"/>
      <c r="L808" s="12"/>
      <c r="M808" s="12"/>
      <c r="N808" s="12"/>
      <c r="O808" s="12"/>
      <c r="P808" s="12"/>
      <c r="Q808" s="12"/>
      <c r="R808" s="12"/>
      <c r="S808" s="12"/>
      <c r="T808" s="12"/>
      <c r="U808" s="12"/>
      <c r="W808" s="12"/>
      <c r="X808" s="12"/>
      <c r="Y808" s="12"/>
      <c r="Z808" s="12"/>
      <c r="AA808" s="12"/>
    </row>
    <row r="809" spans="1:27" ht="15.75" customHeight="1">
      <c r="A809" s="12"/>
      <c r="B809" s="12"/>
      <c r="C809" s="12"/>
      <c r="D809" s="12"/>
      <c r="E809" s="12"/>
      <c r="F809" s="12"/>
      <c r="G809" s="12"/>
      <c r="H809" s="12"/>
      <c r="I809" s="12"/>
      <c r="J809" s="12"/>
      <c r="K809" s="12"/>
      <c r="L809" s="12"/>
      <c r="M809" s="12"/>
      <c r="N809" s="12"/>
      <c r="O809" s="12"/>
      <c r="P809" s="12"/>
      <c r="Q809" s="12"/>
      <c r="R809" s="12"/>
      <c r="S809" s="12"/>
      <c r="T809" s="12"/>
      <c r="U809" s="12"/>
      <c r="W809" s="12"/>
      <c r="X809" s="12"/>
      <c r="Y809" s="12"/>
      <c r="Z809" s="12"/>
      <c r="AA809" s="12"/>
    </row>
    <row r="810" spans="1:27" ht="15.75" customHeight="1">
      <c r="A810" s="12"/>
      <c r="B810" s="12"/>
      <c r="C810" s="12"/>
      <c r="D810" s="12"/>
      <c r="E810" s="12"/>
      <c r="F810" s="12"/>
      <c r="G810" s="12"/>
      <c r="H810" s="12"/>
      <c r="I810" s="12"/>
      <c r="J810" s="12"/>
      <c r="K810" s="12"/>
      <c r="L810" s="12"/>
      <c r="M810" s="12"/>
      <c r="N810" s="12"/>
      <c r="O810" s="12"/>
      <c r="P810" s="12"/>
      <c r="Q810" s="12"/>
      <c r="R810" s="12"/>
      <c r="S810" s="12"/>
      <c r="T810" s="12"/>
      <c r="U810" s="12"/>
      <c r="W810" s="12"/>
      <c r="X810" s="12"/>
      <c r="Y810" s="12"/>
      <c r="Z810" s="12"/>
      <c r="AA810" s="12"/>
    </row>
    <row r="811" spans="1:27" ht="15.75" customHeight="1">
      <c r="A811" s="12"/>
      <c r="B811" s="12"/>
      <c r="C811" s="12"/>
      <c r="D811" s="12"/>
      <c r="E811" s="12"/>
      <c r="F811" s="12"/>
      <c r="G811" s="12"/>
      <c r="H811" s="12"/>
      <c r="I811" s="12"/>
      <c r="J811" s="12"/>
      <c r="K811" s="12"/>
      <c r="L811" s="12"/>
      <c r="M811" s="12"/>
      <c r="N811" s="12"/>
      <c r="O811" s="12"/>
      <c r="P811" s="12"/>
      <c r="Q811" s="12"/>
      <c r="R811" s="12"/>
      <c r="S811" s="12"/>
      <c r="T811" s="12"/>
      <c r="U811" s="12"/>
      <c r="W811" s="12"/>
      <c r="X811" s="12"/>
      <c r="Y811" s="12"/>
      <c r="Z811" s="12"/>
      <c r="AA811" s="12"/>
    </row>
    <row r="812" spans="1:27" ht="15.75" customHeight="1">
      <c r="A812" s="12"/>
      <c r="B812" s="12"/>
      <c r="C812" s="12"/>
      <c r="D812" s="12"/>
      <c r="E812" s="12"/>
      <c r="F812" s="12"/>
      <c r="G812" s="12"/>
      <c r="H812" s="12"/>
      <c r="I812" s="12"/>
      <c r="J812" s="12"/>
      <c r="K812" s="12"/>
      <c r="L812" s="12"/>
      <c r="M812" s="12"/>
      <c r="N812" s="12"/>
      <c r="O812" s="12"/>
      <c r="P812" s="12"/>
      <c r="Q812" s="12"/>
      <c r="R812" s="12"/>
      <c r="S812" s="12"/>
      <c r="T812" s="12"/>
      <c r="U812" s="12"/>
      <c r="W812" s="12"/>
      <c r="X812" s="12"/>
      <c r="Y812" s="12"/>
      <c r="Z812" s="12"/>
      <c r="AA812" s="12"/>
    </row>
    <row r="813" spans="1:27" ht="15.75" customHeight="1">
      <c r="A813" s="12"/>
      <c r="B813" s="12"/>
      <c r="C813" s="12"/>
      <c r="D813" s="12"/>
      <c r="E813" s="12"/>
      <c r="F813" s="12"/>
      <c r="G813" s="12"/>
      <c r="H813" s="12"/>
      <c r="I813" s="12"/>
      <c r="J813" s="12"/>
      <c r="K813" s="12"/>
      <c r="L813" s="12"/>
      <c r="M813" s="12"/>
      <c r="N813" s="12"/>
      <c r="O813" s="12"/>
      <c r="P813" s="12"/>
      <c r="Q813" s="12"/>
      <c r="R813" s="12"/>
      <c r="S813" s="12"/>
      <c r="T813" s="12"/>
      <c r="U813" s="12"/>
      <c r="W813" s="12"/>
      <c r="X813" s="12"/>
      <c r="Y813" s="12"/>
      <c r="Z813" s="12"/>
      <c r="AA813" s="12"/>
    </row>
    <row r="814" spans="1:27" ht="15.75" customHeight="1">
      <c r="A814" s="12"/>
      <c r="B814" s="12"/>
      <c r="C814" s="12"/>
      <c r="D814" s="12"/>
      <c r="E814" s="12"/>
      <c r="F814" s="12"/>
      <c r="G814" s="12"/>
      <c r="H814" s="12"/>
      <c r="I814" s="12"/>
      <c r="J814" s="12"/>
      <c r="K814" s="12"/>
      <c r="L814" s="12"/>
      <c r="M814" s="12"/>
      <c r="N814" s="12"/>
      <c r="O814" s="12"/>
      <c r="P814" s="12"/>
      <c r="Q814" s="12"/>
      <c r="R814" s="12"/>
      <c r="S814" s="12"/>
      <c r="T814" s="12"/>
      <c r="U814" s="12"/>
      <c r="W814" s="12"/>
      <c r="X814" s="12"/>
      <c r="Y814" s="12"/>
      <c r="Z814" s="12"/>
      <c r="AA814" s="12"/>
    </row>
    <row r="815" spans="1:27" ht="15.75" customHeight="1">
      <c r="A815" s="12"/>
      <c r="B815" s="12"/>
      <c r="C815" s="12"/>
      <c r="D815" s="12"/>
      <c r="E815" s="12"/>
      <c r="F815" s="12"/>
      <c r="G815" s="12"/>
      <c r="H815" s="12"/>
      <c r="I815" s="12"/>
      <c r="J815" s="12"/>
      <c r="K815" s="12"/>
      <c r="L815" s="12"/>
      <c r="M815" s="12"/>
      <c r="N815" s="12"/>
      <c r="O815" s="12"/>
      <c r="P815" s="12"/>
      <c r="Q815" s="12"/>
      <c r="R815" s="12"/>
      <c r="S815" s="12"/>
      <c r="T815" s="12"/>
      <c r="U815" s="12"/>
      <c r="W815" s="12"/>
      <c r="X815" s="12"/>
      <c r="Y815" s="12"/>
      <c r="Z815" s="12"/>
      <c r="AA815" s="12"/>
    </row>
    <row r="816" spans="1:27" ht="15.75" customHeight="1">
      <c r="A816" s="12"/>
      <c r="B816" s="12"/>
      <c r="C816" s="12"/>
      <c r="D816" s="12"/>
      <c r="E816" s="12"/>
      <c r="F816" s="12"/>
      <c r="G816" s="12"/>
      <c r="H816" s="12"/>
      <c r="I816" s="12"/>
      <c r="J816" s="12"/>
      <c r="K816" s="12"/>
      <c r="L816" s="12"/>
      <c r="M816" s="12"/>
      <c r="N816" s="12"/>
      <c r="O816" s="12"/>
      <c r="P816" s="12"/>
      <c r="Q816" s="12"/>
      <c r="R816" s="12"/>
      <c r="S816" s="12"/>
      <c r="T816" s="12"/>
      <c r="U816" s="12"/>
      <c r="W816" s="12"/>
      <c r="X816" s="12"/>
      <c r="Y816" s="12"/>
      <c r="Z816" s="12"/>
      <c r="AA816" s="12"/>
    </row>
    <row r="817" spans="1:27" ht="15.75" customHeight="1">
      <c r="A817" s="12"/>
      <c r="B817" s="12"/>
      <c r="C817" s="12"/>
      <c r="D817" s="12"/>
      <c r="E817" s="12"/>
      <c r="F817" s="12"/>
      <c r="G817" s="12"/>
      <c r="H817" s="12"/>
      <c r="I817" s="12"/>
      <c r="J817" s="12"/>
      <c r="K817" s="12"/>
      <c r="L817" s="12"/>
      <c r="M817" s="12"/>
      <c r="N817" s="12"/>
      <c r="O817" s="12"/>
      <c r="P817" s="12"/>
      <c r="Q817" s="12"/>
      <c r="R817" s="12"/>
      <c r="S817" s="12"/>
      <c r="T817" s="12"/>
      <c r="U817" s="12"/>
      <c r="W817" s="12"/>
      <c r="X817" s="12"/>
      <c r="Y817" s="12"/>
      <c r="Z817" s="12"/>
      <c r="AA817" s="12"/>
    </row>
    <row r="818" spans="1:27" ht="15.75" customHeight="1">
      <c r="A818" s="12"/>
      <c r="B818" s="12"/>
      <c r="C818" s="12"/>
      <c r="D818" s="12"/>
      <c r="E818" s="12"/>
      <c r="F818" s="12"/>
      <c r="G818" s="12"/>
      <c r="H818" s="12"/>
      <c r="I818" s="12"/>
      <c r="J818" s="12"/>
      <c r="K818" s="12"/>
      <c r="L818" s="12"/>
      <c r="M818" s="12"/>
      <c r="N818" s="12"/>
      <c r="O818" s="12"/>
      <c r="P818" s="12"/>
      <c r="Q818" s="12"/>
      <c r="R818" s="12"/>
      <c r="S818" s="12"/>
      <c r="T818" s="12"/>
      <c r="U818" s="12"/>
      <c r="W818" s="12"/>
      <c r="X818" s="12"/>
      <c r="Y818" s="12"/>
      <c r="Z818" s="12"/>
      <c r="AA818" s="12"/>
    </row>
    <row r="819" spans="1:27" ht="15.75" customHeight="1">
      <c r="A819" s="12"/>
      <c r="B819" s="12"/>
      <c r="C819" s="12"/>
      <c r="D819" s="12"/>
      <c r="E819" s="12"/>
      <c r="F819" s="12"/>
      <c r="G819" s="12"/>
      <c r="H819" s="12"/>
      <c r="I819" s="12"/>
      <c r="J819" s="12"/>
      <c r="K819" s="12"/>
      <c r="L819" s="12"/>
      <c r="M819" s="12"/>
      <c r="N819" s="12"/>
      <c r="O819" s="12"/>
      <c r="P819" s="12"/>
      <c r="Q819" s="12"/>
      <c r="R819" s="12"/>
      <c r="S819" s="12"/>
      <c r="T819" s="12"/>
      <c r="U819" s="12"/>
      <c r="W819" s="12"/>
      <c r="X819" s="12"/>
      <c r="Y819" s="12"/>
      <c r="Z819" s="12"/>
      <c r="AA819" s="12"/>
    </row>
    <row r="820" spans="1:27" ht="15.75" customHeight="1">
      <c r="A820" s="12"/>
      <c r="B820" s="12"/>
      <c r="C820" s="12"/>
      <c r="D820" s="12"/>
      <c r="E820" s="12"/>
      <c r="F820" s="12"/>
      <c r="G820" s="12"/>
      <c r="H820" s="12"/>
      <c r="I820" s="12"/>
      <c r="J820" s="12"/>
      <c r="K820" s="12"/>
      <c r="L820" s="12"/>
      <c r="M820" s="12"/>
      <c r="N820" s="12"/>
      <c r="O820" s="12"/>
      <c r="P820" s="12"/>
      <c r="Q820" s="12"/>
      <c r="R820" s="12"/>
      <c r="S820" s="12"/>
      <c r="T820" s="12"/>
      <c r="U820" s="12"/>
      <c r="W820" s="12"/>
      <c r="X820" s="12"/>
      <c r="Y820" s="12"/>
      <c r="Z820" s="12"/>
      <c r="AA820" s="12"/>
    </row>
    <row r="821" spans="1:27" ht="15.75" customHeight="1">
      <c r="A821" s="12"/>
      <c r="B821" s="12"/>
      <c r="C821" s="12"/>
      <c r="D821" s="12"/>
      <c r="E821" s="12"/>
      <c r="F821" s="12"/>
      <c r="G821" s="12"/>
      <c r="H821" s="12"/>
      <c r="I821" s="12"/>
      <c r="J821" s="12"/>
      <c r="K821" s="12"/>
      <c r="L821" s="12"/>
      <c r="M821" s="12"/>
      <c r="N821" s="12"/>
      <c r="O821" s="12"/>
      <c r="P821" s="12"/>
      <c r="Q821" s="12"/>
      <c r="R821" s="12"/>
      <c r="S821" s="12"/>
      <c r="T821" s="12"/>
      <c r="U821" s="12"/>
      <c r="W821" s="12"/>
      <c r="X821" s="12"/>
      <c r="Y821" s="12"/>
      <c r="Z821" s="12"/>
      <c r="AA821" s="12"/>
    </row>
    <row r="822" spans="1:27" ht="15.75" customHeight="1">
      <c r="A822" s="12"/>
      <c r="B822" s="12"/>
      <c r="C822" s="12"/>
      <c r="D822" s="12"/>
      <c r="E822" s="12"/>
      <c r="F822" s="12"/>
      <c r="G822" s="12"/>
      <c r="H822" s="12"/>
      <c r="I822" s="12"/>
      <c r="J822" s="12"/>
      <c r="K822" s="12"/>
      <c r="L822" s="12"/>
      <c r="M822" s="12"/>
      <c r="N822" s="12"/>
      <c r="O822" s="12"/>
      <c r="P822" s="12"/>
      <c r="Q822" s="12"/>
      <c r="R822" s="12"/>
      <c r="S822" s="12"/>
      <c r="T822" s="12"/>
      <c r="U822" s="12"/>
      <c r="W822" s="12"/>
      <c r="X822" s="12"/>
      <c r="Y822" s="12"/>
      <c r="Z822" s="12"/>
      <c r="AA822" s="12"/>
    </row>
    <row r="823" spans="1:27" ht="15.75" customHeight="1">
      <c r="A823" s="12"/>
      <c r="B823" s="12"/>
      <c r="C823" s="12"/>
      <c r="D823" s="12"/>
      <c r="E823" s="12"/>
      <c r="F823" s="12"/>
      <c r="G823" s="12"/>
      <c r="H823" s="12"/>
      <c r="I823" s="12"/>
      <c r="J823" s="12"/>
      <c r="K823" s="12"/>
      <c r="L823" s="12"/>
      <c r="M823" s="12"/>
      <c r="N823" s="12"/>
      <c r="O823" s="12"/>
      <c r="P823" s="12"/>
      <c r="Q823" s="12"/>
      <c r="R823" s="12"/>
      <c r="S823" s="12"/>
      <c r="T823" s="12"/>
      <c r="U823" s="12"/>
      <c r="W823" s="12"/>
      <c r="X823" s="12"/>
      <c r="Y823" s="12"/>
      <c r="Z823" s="12"/>
      <c r="AA823" s="12"/>
    </row>
    <row r="824" spans="1:27" ht="15.75" customHeight="1">
      <c r="A824" s="12"/>
      <c r="B824" s="12"/>
      <c r="C824" s="12"/>
      <c r="D824" s="12"/>
      <c r="E824" s="12"/>
      <c r="F824" s="12"/>
      <c r="G824" s="12"/>
      <c r="H824" s="12"/>
      <c r="I824" s="12"/>
      <c r="J824" s="12"/>
      <c r="K824" s="12"/>
      <c r="L824" s="12"/>
      <c r="M824" s="12"/>
      <c r="N824" s="12"/>
      <c r="O824" s="12"/>
      <c r="P824" s="12"/>
      <c r="Q824" s="12"/>
      <c r="R824" s="12"/>
      <c r="S824" s="12"/>
      <c r="T824" s="12"/>
      <c r="U824" s="12"/>
      <c r="W824" s="12"/>
      <c r="X824" s="12"/>
      <c r="Y824" s="12"/>
      <c r="Z824" s="12"/>
      <c r="AA824" s="12"/>
    </row>
    <row r="825" spans="1:27" ht="15.75" customHeight="1">
      <c r="A825" s="12"/>
      <c r="B825" s="12"/>
      <c r="C825" s="12"/>
      <c r="D825" s="12"/>
      <c r="E825" s="12"/>
      <c r="F825" s="12"/>
      <c r="G825" s="12"/>
      <c r="H825" s="12"/>
      <c r="I825" s="12"/>
      <c r="J825" s="12"/>
      <c r="K825" s="12"/>
      <c r="L825" s="12"/>
      <c r="M825" s="12"/>
      <c r="N825" s="12"/>
      <c r="O825" s="12"/>
      <c r="P825" s="12"/>
      <c r="Q825" s="12"/>
      <c r="R825" s="12"/>
      <c r="S825" s="12"/>
      <c r="T825" s="12"/>
      <c r="U825" s="12"/>
      <c r="W825" s="12"/>
      <c r="X825" s="12"/>
      <c r="Y825" s="12"/>
      <c r="Z825" s="12"/>
      <c r="AA825" s="12"/>
    </row>
    <row r="826" spans="1:27" ht="15.75" customHeight="1">
      <c r="A826" s="12"/>
      <c r="B826" s="12"/>
      <c r="C826" s="12"/>
      <c r="D826" s="12"/>
      <c r="E826" s="12"/>
      <c r="F826" s="12"/>
      <c r="G826" s="12"/>
      <c r="H826" s="12"/>
      <c r="I826" s="12"/>
      <c r="J826" s="12"/>
      <c r="K826" s="12"/>
      <c r="L826" s="12"/>
      <c r="M826" s="12"/>
      <c r="N826" s="12"/>
      <c r="O826" s="12"/>
      <c r="P826" s="12"/>
      <c r="Q826" s="12"/>
      <c r="R826" s="12"/>
      <c r="S826" s="12"/>
      <c r="T826" s="12"/>
      <c r="U826" s="12"/>
      <c r="W826" s="12"/>
      <c r="X826" s="12"/>
      <c r="Y826" s="12"/>
      <c r="Z826" s="12"/>
      <c r="AA826" s="12"/>
    </row>
    <row r="827" spans="1:27" ht="15.75" customHeight="1">
      <c r="A827" s="12"/>
      <c r="B827" s="12"/>
      <c r="C827" s="12"/>
      <c r="D827" s="12"/>
      <c r="E827" s="12"/>
      <c r="F827" s="12"/>
      <c r="G827" s="12"/>
      <c r="H827" s="12"/>
      <c r="I827" s="12"/>
      <c r="J827" s="12"/>
      <c r="K827" s="12"/>
      <c r="L827" s="12"/>
      <c r="M827" s="12"/>
      <c r="N827" s="12"/>
      <c r="O827" s="12"/>
      <c r="P827" s="12"/>
      <c r="Q827" s="12"/>
      <c r="R827" s="12"/>
      <c r="S827" s="12"/>
      <c r="T827" s="12"/>
      <c r="U827" s="12"/>
      <c r="W827" s="12"/>
      <c r="X827" s="12"/>
      <c r="Y827" s="12"/>
      <c r="Z827" s="12"/>
      <c r="AA827" s="12"/>
    </row>
    <row r="828" spans="1:27" ht="15.75" customHeight="1">
      <c r="A828" s="12"/>
      <c r="B828" s="12"/>
      <c r="C828" s="12"/>
      <c r="D828" s="12"/>
      <c r="E828" s="12"/>
      <c r="F828" s="12"/>
      <c r="G828" s="12"/>
      <c r="H828" s="12"/>
      <c r="I828" s="12"/>
      <c r="J828" s="12"/>
      <c r="K828" s="12"/>
      <c r="L828" s="12"/>
      <c r="M828" s="12"/>
      <c r="N828" s="12"/>
      <c r="O828" s="12"/>
      <c r="P828" s="12"/>
      <c r="Q828" s="12"/>
      <c r="R828" s="12"/>
      <c r="S828" s="12"/>
      <c r="T828" s="12"/>
      <c r="U828" s="12"/>
      <c r="W828" s="12"/>
      <c r="X828" s="12"/>
      <c r="Y828" s="12"/>
      <c r="Z828" s="12"/>
      <c r="AA828" s="12"/>
    </row>
    <row r="829" spans="1:27" ht="15.75" customHeight="1">
      <c r="A829" s="12"/>
      <c r="B829" s="12"/>
      <c r="C829" s="12"/>
      <c r="D829" s="12"/>
      <c r="E829" s="12"/>
      <c r="F829" s="12"/>
      <c r="G829" s="12"/>
      <c r="H829" s="12"/>
      <c r="I829" s="12"/>
      <c r="J829" s="12"/>
      <c r="K829" s="12"/>
      <c r="L829" s="12"/>
      <c r="M829" s="12"/>
      <c r="N829" s="12"/>
      <c r="O829" s="12"/>
      <c r="P829" s="12"/>
      <c r="Q829" s="12"/>
      <c r="R829" s="12"/>
      <c r="S829" s="12"/>
      <c r="T829" s="12"/>
      <c r="U829" s="12"/>
      <c r="W829" s="12"/>
      <c r="X829" s="12"/>
      <c r="Y829" s="12"/>
      <c r="Z829" s="12"/>
      <c r="AA829" s="12"/>
    </row>
    <row r="830" spans="1:27" ht="15.75" customHeight="1">
      <c r="A830" s="12"/>
      <c r="B830" s="12"/>
      <c r="C830" s="12"/>
      <c r="D830" s="12"/>
      <c r="E830" s="12"/>
      <c r="F830" s="12"/>
      <c r="G830" s="12"/>
      <c r="H830" s="12"/>
      <c r="I830" s="12"/>
      <c r="J830" s="12"/>
      <c r="K830" s="12"/>
      <c r="L830" s="12"/>
      <c r="M830" s="12"/>
      <c r="N830" s="12"/>
      <c r="O830" s="12"/>
      <c r="P830" s="12"/>
      <c r="Q830" s="12"/>
      <c r="R830" s="12"/>
      <c r="S830" s="12"/>
      <c r="T830" s="12"/>
      <c r="U830" s="12"/>
      <c r="W830" s="12"/>
      <c r="X830" s="12"/>
      <c r="Y830" s="12"/>
      <c r="Z830" s="12"/>
      <c r="AA830" s="12"/>
    </row>
    <row r="831" spans="1:27" ht="15.75" customHeight="1">
      <c r="A831" s="12"/>
      <c r="B831" s="12"/>
      <c r="C831" s="12"/>
      <c r="D831" s="12"/>
      <c r="E831" s="12"/>
      <c r="F831" s="12"/>
      <c r="G831" s="12"/>
      <c r="H831" s="12"/>
      <c r="I831" s="12"/>
      <c r="J831" s="12"/>
      <c r="K831" s="12"/>
      <c r="L831" s="12"/>
      <c r="M831" s="12"/>
      <c r="N831" s="12"/>
      <c r="O831" s="12"/>
      <c r="P831" s="12"/>
      <c r="Q831" s="12"/>
      <c r="R831" s="12"/>
      <c r="S831" s="12"/>
      <c r="T831" s="12"/>
      <c r="U831" s="12"/>
      <c r="W831" s="12"/>
      <c r="X831" s="12"/>
      <c r="Y831" s="12"/>
      <c r="Z831" s="12"/>
      <c r="AA831" s="12"/>
    </row>
    <row r="832" spans="1:27" ht="15.75" customHeight="1">
      <c r="A832" s="12"/>
      <c r="B832" s="12"/>
      <c r="C832" s="12"/>
      <c r="D832" s="12"/>
      <c r="E832" s="12"/>
      <c r="F832" s="12"/>
      <c r="G832" s="12"/>
      <c r="H832" s="12"/>
      <c r="I832" s="12"/>
      <c r="J832" s="12"/>
      <c r="K832" s="12"/>
      <c r="L832" s="12"/>
      <c r="M832" s="12"/>
      <c r="N832" s="12"/>
      <c r="O832" s="12"/>
      <c r="P832" s="12"/>
      <c r="Q832" s="12"/>
      <c r="R832" s="12"/>
      <c r="S832" s="12"/>
      <c r="T832" s="12"/>
      <c r="U832" s="12"/>
      <c r="W832" s="12"/>
      <c r="X832" s="12"/>
      <c r="Y832" s="12"/>
      <c r="Z832" s="12"/>
      <c r="AA832" s="12"/>
    </row>
    <row r="833" spans="1:27" ht="15.75" customHeight="1">
      <c r="A833" s="12"/>
      <c r="B833" s="12"/>
      <c r="C833" s="12"/>
      <c r="D833" s="12"/>
      <c r="E833" s="12"/>
      <c r="F833" s="12"/>
      <c r="G833" s="12"/>
      <c r="H833" s="12"/>
      <c r="I833" s="12"/>
      <c r="J833" s="12"/>
      <c r="K833" s="12"/>
      <c r="L833" s="12"/>
      <c r="M833" s="12"/>
      <c r="N833" s="12"/>
      <c r="O833" s="12"/>
      <c r="P833" s="12"/>
      <c r="Q833" s="12"/>
      <c r="R833" s="12"/>
      <c r="S833" s="12"/>
      <c r="T833" s="12"/>
      <c r="U833" s="12"/>
      <c r="W833" s="12"/>
      <c r="X833" s="12"/>
      <c r="Y833" s="12"/>
      <c r="Z833" s="12"/>
      <c r="AA833" s="12"/>
    </row>
    <row r="834" spans="1:27" ht="15.75" customHeight="1">
      <c r="A834" s="12"/>
      <c r="B834" s="12"/>
      <c r="C834" s="12"/>
      <c r="D834" s="12"/>
      <c r="E834" s="12"/>
      <c r="F834" s="12"/>
      <c r="G834" s="12"/>
      <c r="H834" s="12"/>
      <c r="I834" s="12"/>
      <c r="J834" s="12"/>
      <c r="K834" s="12"/>
      <c r="L834" s="12"/>
      <c r="M834" s="12"/>
      <c r="N834" s="12"/>
      <c r="O834" s="12"/>
      <c r="P834" s="12"/>
      <c r="Q834" s="12"/>
      <c r="R834" s="12"/>
      <c r="S834" s="12"/>
      <c r="T834" s="12"/>
      <c r="U834" s="12"/>
      <c r="W834" s="12"/>
      <c r="X834" s="12"/>
      <c r="Y834" s="12"/>
      <c r="Z834" s="12"/>
      <c r="AA834" s="12"/>
    </row>
    <row r="835" spans="1:27" ht="15.75" customHeight="1">
      <c r="A835" s="12"/>
      <c r="B835" s="12"/>
      <c r="C835" s="12"/>
      <c r="D835" s="12"/>
      <c r="E835" s="12"/>
      <c r="F835" s="12"/>
      <c r="G835" s="12"/>
      <c r="H835" s="12"/>
      <c r="I835" s="12"/>
      <c r="J835" s="12"/>
      <c r="K835" s="12"/>
      <c r="L835" s="12"/>
      <c r="M835" s="12"/>
      <c r="N835" s="12"/>
      <c r="O835" s="12"/>
      <c r="P835" s="12"/>
      <c r="Q835" s="12"/>
      <c r="R835" s="12"/>
      <c r="S835" s="12"/>
      <c r="T835" s="12"/>
      <c r="U835" s="12"/>
      <c r="W835" s="12"/>
      <c r="X835" s="12"/>
      <c r="Y835" s="12"/>
      <c r="Z835" s="12"/>
      <c r="AA835" s="12"/>
    </row>
    <row r="836" spans="1:27" ht="15.75" customHeight="1">
      <c r="A836" s="12"/>
      <c r="B836" s="12"/>
      <c r="C836" s="12"/>
      <c r="D836" s="12"/>
      <c r="E836" s="12"/>
      <c r="F836" s="12"/>
      <c r="G836" s="12"/>
      <c r="H836" s="12"/>
      <c r="I836" s="12"/>
      <c r="J836" s="12"/>
      <c r="K836" s="12"/>
      <c r="L836" s="12"/>
      <c r="M836" s="12"/>
      <c r="N836" s="12"/>
      <c r="O836" s="12"/>
      <c r="P836" s="12"/>
      <c r="Q836" s="12"/>
      <c r="R836" s="12"/>
      <c r="S836" s="12"/>
      <c r="T836" s="12"/>
      <c r="U836" s="12"/>
      <c r="W836" s="12"/>
      <c r="X836" s="12"/>
      <c r="Y836" s="12"/>
      <c r="Z836" s="12"/>
      <c r="AA836" s="12"/>
    </row>
    <row r="837" spans="1:27" ht="15.75" customHeight="1">
      <c r="A837" s="12"/>
      <c r="B837" s="12"/>
      <c r="C837" s="12"/>
      <c r="D837" s="12"/>
      <c r="E837" s="12"/>
      <c r="F837" s="12"/>
      <c r="G837" s="12"/>
      <c r="H837" s="12"/>
      <c r="I837" s="12"/>
      <c r="J837" s="12"/>
      <c r="K837" s="12"/>
      <c r="L837" s="12"/>
      <c r="M837" s="12"/>
      <c r="N837" s="12"/>
      <c r="O837" s="12"/>
      <c r="P837" s="12"/>
      <c r="Q837" s="12"/>
      <c r="R837" s="12"/>
      <c r="S837" s="12"/>
      <c r="T837" s="12"/>
      <c r="U837" s="12"/>
      <c r="W837" s="12"/>
      <c r="X837" s="12"/>
      <c r="Y837" s="12"/>
      <c r="Z837" s="12"/>
      <c r="AA837" s="12"/>
    </row>
    <row r="838" spans="1:27" ht="15.75" customHeight="1">
      <c r="A838" s="12"/>
      <c r="B838" s="12"/>
      <c r="C838" s="12"/>
      <c r="D838" s="12"/>
      <c r="E838" s="12"/>
      <c r="F838" s="12"/>
      <c r="G838" s="12"/>
      <c r="H838" s="12"/>
      <c r="I838" s="12"/>
      <c r="J838" s="12"/>
      <c r="K838" s="12"/>
      <c r="L838" s="12"/>
      <c r="M838" s="12"/>
      <c r="N838" s="12"/>
      <c r="O838" s="12"/>
      <c r="P838" s="12"/>
      <c r="Q838" s="12"/>
      <c r="R838" s="12"/>
      <c r="S838" s="12"/>
      <c r="T838" s="12"/>
      <c r="U838" s="12"/>
      <c r="W838" s="12"/>
      <c r="X838" s="12"/>
      <c r="Y838" s="12"/>
      <c r="Z838" s="12"/>
      <c r="AA838" s="12"/>
    </row>
    <row r="839" spans="1:27" ht="15.75" customHeight="1">
      <c r="A839" s="12"/>
      <c r="B839" s="12"/>
      <c r="C839" s="12"/>
      <c r="D839" s="12"/>
      <c r="E839" s="12"/>
      <c r="F839" s="12"/>
      <c r="G839" s="12"/>
      <c r="H839" s="12"/>
      <c r="I839" s="12"/>
      <c r="J839" s="12"/>
      <c r="K839" s="12"/>
      <c r="L839" s="12"/>
      <c r="M839" s="12"/>
      <c r="N839" s="12"/>
      <c r="O839" s="12"/>
      <c r="P839" s="12"/>
      <c r="Q839" s="12"/>
      <c r="R839" s="12"/>
      <c r="S839" s="12"/>
      <c r="T839" s="12"/>
      <c r="U839" s="12"/>
      <c r="W839" s="12"/>
      <c r="X839" s="12"/>
      <c r="Y839" s="12"/>
      <c r="Z839" s="12"/>
      <c r="AA839" s="12"/>
    </row>
    <row r="840" spans="1:27" ht="15.75" customHeight="1">
      <c r="A840" s="12"/>
      <c r="B840" s="12"/>
      <c r="C840" s="12"/>
      <c r="D840" s="12"/>
      <c r="E840" s="12"/>
      <c r="F840" s="12"/>
      <c r="G840" s="12"/>
      <c r="H840" s="12"/>
      <c r="I840" s="12"/>
      <c r="J840" s="12"/>
      <c r="K840" s="12"/>
      <c r="L840" s="12"/>
      <c r="M840" s="12"/>
      <c r="N840" s="12"/>
      <c r="O840" s="12"/>
      <c r="P840" s="12"/>
      <c r="Q840" s="12"/>
      <c r="R840" s="12"/>
      <c r="S840" s="12"/>
      <c r="T840" s="12"/>
      <c r="U840" s="12"/>
      <c r="W840" s="12"/>
      <c r="X840" s="12"/>
      <c r="Y840" s="12"/>
      <c r="Z840" s="12"/>
      <c r="AA840" s="12"/>
    </row>
    <row r="841" spans="1:27" ht="15.75" customHeight="1">
      <c r="A841" s="12"/>
      <c r="B841" s="12"/>
      <c r="C841" s="12"/>
      <c r="D841" s="12"/>
      <c r="E841" s="12"/>
      <c r="F841" s="12"/>
      <c r="G841" s="12"/>
      <c r="H841" s="12"/>
      <c r="I841" s="12"/>
      <c r="J841" s="12"/>
      <c r="K841" s="12"/>
      <c r="L841" s="12"/>
      <c r="M841" s="12"/>
      <c r="N841" s="12"/>
      <c r="O841" s="12"/>
      <c r="P841" s="12"/>
      <c r="Q841" s="12"/>
      <c r="R841" s="12"/>
      <c r="S841" s="12"/>
      <c r="T841" s="12"/>
      <c r="U841" s="12"/>
      <c r="W841" s="12"/>
      <c r="X841" s="12"/>
      <c r="Y841" s="12"/>
      <c r="Z841" s="12"/>
      <c r="AA841" s="12"/>
    </row>
    <row r="842" spans="1:27" ht="15.75" customHeight="1">
      <c r="A842" s="12"/>
      <c r="B842" s="12"/>
      <c r="C842" s="12"/>
      <c r="D842" s="12"/>
      <c r="E842" s="12"/>
      <c r="F842" s="12"/>
      <c r="G842" s="12"/>
      <c r="H842" s="12"/>
      <c r="I842" s="12"/>
      <c r="J842" s="12"/>
      <c r="K842" s="12"/>
      <c r="L842" s="12"/>
      <c r="M842" s="12"/>
      <c r="N842" s="12"/>
      <c r="O842" s="12"/>
      <c r="P842" s="12"/>
      <c r="Q842" s="12"/>
      <c r="R842" s="12"/>
      <c r="S842" s="12"/>
      <c r="T842" s="12"/>
      <c r="U842" s="12"/>
      <c r="W842" s="12"/>
      <c r="X842" s="12"/>
      <c r="Y842" s="12"/>
      <c r="Z842" s="12"/>
      <c r="AA842" s="12"/>
    </row>
    <row r="843" spans="1:27" ht="15.75" customHeight="1">
      <c r="A843" s="12"/>
      <c r="B843" s="12"/>
      <c r="C843" s="12"/>
      <c r="D843" s="12"/>
      <c r="E843" s="12"/>
      <c r="F843" s="12"/>
      <c r="G843" s="12"/>
      <c r="H843" s="12"/>
      <c r="I843" s="12"/>
      <c r="J843" s="12"/>
      <c r="K843" s="12"/>
      <c r="L843" s="12"/>
      <c r="M843" s="12"/>
      <c r="N843" s="12"/>
      <c r="O843" s="12"/>
      <c r="P843" s="12"/>
      <c r="Q843" s="12"/>
      <c r="R843" s="12"/>
      <c r="S843" s="12"/>
      <c r="T843" s="12"/>
      <c r="U843" s="12"/>
      <c r="W843" s="12"/>
      <c r="X843" s="12"/>
      <c r="Y843" s="12"/>
      <c r="Z843" s="12"/>
      <c r="AA843" s="12"/>
    </row>
    <row r="844" spans="1:27" ht="15.75" customHeight="1">
      <c r="A844" s="12"/>
      <c r="B844" s="12"/>
      <c r="C844" s="12"/>
      <c r="D844" s="12"/>
      <c r="E844" s="12"/>
      <c r="F844" s="12"/>
      <c r="G844" s="12"/>
      <c r="H844" s="12"/>
      <c r="I844" s="12"/>
      <c r="J844" s="12"/>
      <c r="K844" s="12"/>
      <c r="L844" s="12"/>
      <c r="M844" s="12"/>
      <c r="N844" s="12"/>
      <c r="O844" s="12"/>
      <c r="P844" s="12"/>
      <c r="Q844" s="12"/>
      <c r="R844" s="12"/>
      <c r="S844" s="12"/>
      <c r="T844" s="12"/>
      <c r="U844" s="12"/>
      <c r="W844" s="12"/>
      <c r="X844" s="12"/>
      <c r="Y844" s="12"/>
      <c r="Z844" s="12"/>
      <c r="AA844" s="12"/>
    </row>
    <row r="845" spans="1:27" ht="15.75" customHeight="1">
      <c r="A845" s="12"/>
      <c r="B845" s="12"/>
      <c r="C845" s="12"/>
      <c r="D845" s="12"/>
      <c r="E845" s="12"/>
      <c r="F845" s="12"/>
      <c r="G845" s="12"/>
      <c r="H845" s="12"/>
      <c r="I845" s="12"/>
      <c r="J845" s="12"/>
      <c r="K845" s="12"/>
      <c r="L845" s="12"/>
      <c r="M845" s="12"/>
      <c r="N845" s="12"/>
      <c r="O845" s="12"/>
      <c r="P845" s="12"/>
      <c r="Q845" s="12"/>
      <c r="R845" s="12"/>
      <c r="S845" s="12"/>
      <c r="T845" s="12"/>
      <c r="U845" s="12"/>
      <c r="W845" s="12"/>
      <c r="X845" s="12"/>
      <c r="Y845" s="12"/>
      <c r="Z845" s="12"/>
      <c r="AA845" s="12"/>
    </row>
    <row r="846" spans="1:27" ht="15.75" customHeight="1">
      <c r="A846" s="12"/>
      <c r="B846" s="12"/>
      <c r="C846" s="12"/>
      <c r="D846" s="12"/>
      <c r="E846" s="12"/>
      <c r="F846" s="12"/>
      <c r="G846" s="12"/>
      <c r="H846" s="12"/>
      <c r="I846" s="12"/>
      <c r="J846" s="12"/>
      <c r="K846" s="12"/>
      <c r="L846" s="12"/>
      <c r="M846" s="12"/>
      <c r="N846" s="12"/>
      <c r="O846" s="12"/>
      <c r="P846" s="12"/>
      <c r="Q846" s="12"/>
      <c r="R846" s="12"/>
      <c r="S846" s="12"/>
      <c r="T846" s="12"/>
      <c r="U846" s="12"/>
      <c r="W846" s="12"/>
      <c r="X846" s="12"/>
      <c r="Y846" s="12"/>
      <c r="Z846" s="12"/>
      <c r="AA846" s="12"/>
    </row>
    <row r="847" spans="1:27" ht="15.75" customHeight="1">
      <c r="A847" s="12"/>
      <c r="B847" s="12"/>
      <c r="C847" s="12"/>
      <c r="D847" s="12"/>
      <c r="E847" s="12"/>
      <c r="F847" s="12"/>
      <c r="G847" s="12"/>
      <c r="H847" s="12"/>
      <c r="I847" s="12"/>
      <c r="J847" s="12"/>
      <c r="K847" s="12"/>
      <c r="L847" s="12"/>
      <c r="M847" s="12"/>
      <c r="N847" s="12"/>
      <c r="O847" s="12"/>
      <c r="P847" s="12"/>
      <c r="Q847" s="12"/>
      <c r="R847" s="12"/>
      <c r="S847" s="12"/>
      <c r="T847" s="12"/>
      <c r="U847" s="12"/>
      <c r="W847" s="12"/>
      <c r="X847" s="12"/>
      <c r="Y847" s="12"/>
      <c r="Z847" s="12"/>
      <c r="AA847" s="12"/>
    </row>
    <row r="848" spans="1:27" ht="15.75" customHeight="1">
      <c r="A848" s="12"/>
      <c r="B848" s="12"/>
      <c r="C848" s="12"/>
      <c r="D848" s="12"/>
      <c r="E848" s="12"/>
      <c r="F848" s="12"/>
      <c r="G848" s="12"/>
      <c r="H848" s="12"/>
      <c r="I848" s="12"/>
      <c r="J848" s="12"/>
      <c r="K848" s="12"/>
      <c r="L848" s="12"/>
      <c r="M848" s="12"/>
      <c r="N848" s="12"/>
      <c r="O848" s="12"/>
      <c r="P848" s="12"/>
      <c r="Q848" s="12"/>
      <c r="R848" s="12"/>
      <c r="S848" s="12"/>
      <c r="T848" s="12"/>
      <c r="U848" s="12"/>
      <c r="W848" s="12"/>
      <c r="X848" s="12"/>
      <c r="Y848" s="12"/>
      <c r="Z848" s="12"/>
      <c r="AA848" s="12"/>
    </row>
    <row r="849" spans="1:27" ht="15.75" customHeight="1">
      <c r="A849" s="12"/>
      <c r="B849" s="12"/>
      <c r="C849" s="12"/>
      <c r="D849" s="12"/>
      <c r="E849" s="12"/>
      <c r="F849" s="12"/>
      <c r="G849" s="12"/>
      <c r="H849" s="12"/>
      <c r="I849" s="12"/>
      <c r="J849" s="12"/>
      <c r="K849" s="12"/>
      <c r="L849" s="12"/>
      <c r="M849" s="12"/>
      <c r="N849" s="12"/>
      <c r="O849" s="12"/>
      <c r="P849" s="12"/>
      <c r="Q849" s="12"/>
      <c r="R849" s="12"/>
      <c r="S849" s="12"/>
      <c r="T849" s="12"/>
      <c r="U849" s="12"/>
      <c r="W849" s="12"/>
      <c r="X849" s="12"/>
      <c r="Y849" s="12"/>
      <c r="Z849" s="12"/>
      <c r="AA849" s="12"/>
    </row>
    <row r="850" spans="1:27" ht="15.75" customHeight="1">
      <c r="A850" s="12"/>
      <c r="B850" s="12"/>
      <c r="C850" s="12"/>
      <c r="D850" s="12"/>
      <c r="E850" s="12"/>
      <c r="F850" s="12"/>
      <c r="G850" s="12"/>
      <c r="H850" s="12"/>
      <c r="I850" s="12"/>
      <c r="J850" s="12"/>
      <c r="K850" s="12"/>
      <c r="L850" s="12"/>
      <c r="M850" s="12"/>
      <c r="N850" s="12"/>
      <c r="O850" s="12"/>
      <c r="P850" s="12"/>
      <c r="Q850" s="12"/>
      <c r="R850" s="12"/>
      <c r="S850" s="12"/>
      <c r="T850" s="12"/>
      <c r="U850" s="12"/>
      <c r="W850" s="12"/>
      <c r="X850" s="12"/>
      <c r="Y850" s="12"/>
      <c r="Z850" s="12"/>
      <c r="AA850" s="12"/>
    </row>
    <row r="851" spans="1:27" ht="15.75" customHeight="1">
      <c r="A851" s="12"/>
      <c r="B851" s="12"/>
      <c r="C851" s="12"/>
      <c r="D851" s="12"/>
      <c r="E851" s="12"/>
      <c r="F851" s="12"/>
      <c r="G851" s="12"/>
      <c r="H851" s="12"/>
      <c r="I851" s="12"/>
      <c r="J851" s="12"/>
      <c r="K851" s="12"/>
      <c r="L851" s="12"/>
      <c r="M851" s="12"/>
      <c r="N851" s="12"/>
      <c r="O851" s="12"/>
      <c r="P851" s="12"/>
      <c r="Q851" s="12"/>
      <c r="R851" s="12"/>
      <c r="S851" s="12"/>
      <c r="T851" s="12"/>
      <c r="U851" s="12"/>
      <c r="W851" s="12"/>
      <c r="X851" s="12"/>
      <c r="Y851" s="12"/>
      <c r="Z851" s="12"/>
      <c r="AA851" s="12"/>
    </row>
    <row r="852" spans="1:27" ht="15.75" customHeight="1">
      <c r="A852" s="12"/>
      <c r="B852" s="12"/>
      <c r="C852" s="12"/>
      <c r="D852" s="12"/>
      <c r="E852" s="12"/>
      <c r="F852" s="12"/>
      <c r="G852" s="12"/>
      <c r="H852" s="12"/>
      <c r="I852" s="12"/>
      <c r="J852" s="12"/>
      <c r="K852" s="12"/>
      <c r="L852" s="12"/>
      <c r="M852" s="12"/>
      <c r="N852" s="12"/>
      <c r="O852" s="12"/>
      <c r="P852" s="12"/>
      <c r="Q852" s="12"/>
      <c r="R852" s="12"/>
      <c r="S852" s="12"/>
      <c r="T852" s="12"/>
      <c r="U852" s="12"/>
      <c r="W852" s="12"/>
      <c r="X852" s="12"/>
      <c r="Y852" s="12"/>
      <c r="Z852" s="12"/>
      <c r="AA852" s="12"/>
    </row>
    <row r="853" spans="1:27" ht="15.75" customHeight="1">
      <c r="A853" s="12"/>
      <c r="B853" s="12"/>
      <c r="C853" s="12"/>
      <c r="D853" s="12"/>
      <c r="E853" s="12"/>
      <c r="F853" s="12"/>
      <c r="G853" s="12"/>
      <c r="H853" s="12"/>
      <c r="I853" s="12"/>
      <c r="J853" s="12"/>
      <c r="K853" s="12"/>
      <c r="L853" s="12"/>
      <c r="M853" s="12"/>
      <c r="N853" s="12"/>
      <c r="O853" s="12"/>
      <c r="P853" s="12"/>
      <c r="Q853" s="12"/>
      <c r="R853" s="12"/>
      <c r="S853" s="12"/>
      <c r="T853" s="12"/>
      <c r="U853" s="12"/>
      <c r="W853" s="12"/>
      <c r="X853" s="12"/>
      <c r="Y853" s="12"/>
      <c r="Z853" s="12"/>
      <c r="AA853" s="12"/>
    </row>
    <row r="854" spans="1:27" ht="15.75" customHeight="1">
      <c r="A854" s="12"/>
      <c r="B854" s="12"/>
      <c r="C854" s="12"/>
      <c r="D854" s="12"/>
      <c r="E854" s="12"/>
      <c r="F854" s="12"/>
      <c r="G854" s="12"/>
      <c r="H854" s="12"/>
      <c r="I854" s="12"/>
      <c r="J854" s="12"/>
      <c r="K854" s="12"/>
      <c r="L854" s="12"/>
      <c r="M854" s="12"/>
      <c r="N854" s="12"/>
      <c r="O854" s="12"/>
      <c r="P854" s="12"/>
      <c r="Q854" s="12"/>
      <c r="R854" s="12"/>
      <c r="S854" s="12"/>
      <c r="T854" s="12"/>
      <c r="U854" s="12"/>
      <c r="W854" s="12"/>
      <c r="X854" s="12"/>
      <c r="Y854" s="12"/>
      <c r="Z854" s="12"/>
      <c r="AA854" s="12"/>
    </row>
    <row r="855" spans="1:27" ht="15.75" customHeight="1">
      <c r="A855" s="12"/>
      <c r="B855" s="12"/>
      <c r="C855" s="12"/>
      <c r="D855" s="12"/>
      <c r="E855" s="12"/>
      <c r="F855" s="12"/>
      <c r="G855" s="12"/>
      <c r="H855" s="12"/>
      <c r="I855" s="12"/>
      <c r="J855" s="12"/>
      <c r="K855" s="12"/>
      <c r="L855" s="12"/>
      <c r="M855" s="12"/>
      <c r="N855" s="12"/>
      <c r="O855" s="12"/>
      <c r="P855" s="12"/>
      <c r="Q855" s="12"/>
      <c r="R855" s="12"/>
      <c r="S855" s="12"/>
      <c r="T855" s="12"/>
      <c r="U855" s="12"/>
      <c r="W855" s="12"/>
      <c r="X855" s="12"/>
      <c r="Y855" s="12"/>
      <c r="Z855" s="12"/>
      <c r="AA855" s="12"/>
    </row>
    <row r="856" spans="1:27" ht="15.75" customHeight="1">
      <c r="A856" s="12"/>
      <c r="B856" s="12"/>
      <c r="C856" s="12"/>
      <c r="D856" s="12"/>
      <c r="E856" s="12"/>
      <c r="F856" s="12"/>
      <c r="G856" s="12"/>
      <c r="H856" s="12"/>
      <c r="I856" s="12"/>
      <c r="J856" s="12"/>
      <c r="K856" s="12"/>
      <c r="L856" s="12"/>
      <c r="M856" s="12"/>
      <c r="N856" s="12"/>
      <c r="O856" s="12"/>
      <c r="P856" s="12"/>
      <c r="Q856" s="12"/>
      <c r="R856" s="12"/>
      <c r="S856" s="12"/>
      <c r="T856" s="12"/>
      <c r="U856" s="12"/>
      <c r="W856" s="12"/>
      <c r="X856" s="12"/>
      <c r="Y856" s="12"/>
      <c r="Z856" s="12"/>
      <c r="AA856" s="12"/>
    </row>
    <row r="857" spans="1:27" ht="15.75" customHeight="1">
      <c r="A857" s="12"/>
      <c r="B857" s="12"/>
      <c r="C857" s="12"/>
      <c r="D857" s="12"/>
      <c r="E857" s="12"/>
      <c r="F857" s="12"/>
      <c r="G857" s="12"/>
      <c r="H857" s="12"/>
      <c r="I857" s="12"/>
      <c r="J857" s="12"/>
      <c r="K857" s="12"/>
      <c r="L857" s="12"/>
      <c r="M857" s="12"/>
      <c r="N857" s="12"/>
      <c r="O857" s="12"/>
      <c r="P857" s="12"/>
      <c r="Q857" s="12"/>
      <c r="R857" s="12"/>
      <c r="S857" s="12"/>
      <c r="T857" s="12"/>
      <c r="U857" s="12"/>
      <c r="W857" s="12"/>
      <c r="X857" s="12"/>
      <c r="Y857" s="12"/>
      <c r="Z857" s="12"/>
      <c r="AA857" s="12"/>
    </row>
    <row r="858" spans="1:27" ht="15.75" customHeight="1">
      <c r="A858" s="12"/>
      <c r="B858" s="12"/>
      <c r="C858" s="12"/>
      <c r="D858" s="12"/>
      <c r="E858" s="12"/>
      <c r="F858" s="12"/>
      <c r="G858" s="12"/>
      <c r="H858" s="12"/>
      <c r="I858" s="12"/>
      <c r="J858" s="12"/>
      <c r="K858" s="12"/>
      <c r="L858" s="12"/>
      <c r="M858" s="12"/>
      <c r="N858" s="12"/>
      <c r="O858" s="12"/>
      <c r="P858" s="12"/>
      <c r="Q858" s="12"/>
      <c r="R858" s="12"/>
      <c r="S858" s="12"/>
      <c r="T858" s="12"/>
      <c r="U858" s="12"/>
      <c r="W858" s="12"/>
      <c r="X858" s="12"/>
      <c r="Y858" s="12"/>
      <c r="Z858" s="12"/>
      <c r="AA858" s="12"/>
    </row>
    <row r="859" spans="1:27" ht="15.75" customHeight="1">
      <c r="A859" s="12"/>
      <c r="B859" s="12"/>
      <c r="C859" s="12"/>
      <c r="D859" s="12"/>
      <c r="E859" s="12"/>
      <c r="F859" s="12"/>
      <c r="G859" s="12"/>
      <c r="H859" s="12"/>
      <c r="I859" s="12"/>
      <c r="J859" s="12"/>
      <c r="K859" s="12"/>
      <c r="L859" s="12"/>
      <c r="M859" s="12"/>
      <c r="N859" s="12"/>
      <c r="O859" s="12"/>
      <c r="P859" s="12"/>
      <c r="Q859" s="12"/>
      <c r="R859" s="12"/>
      <c r="S859" s="12"/>
      <c r="T859" s="12"/>
      <c r="U859" s="12"/>
      <c r="W859" s="12"/>
      <c r="X859" s="12"/>
      <c r="Y859" s="12"/>
      <c r="Z859" s="12"/>
      <c r="AA859" s="12"/>
    </row>
    <row r="860" spans="1:27" ht="15.75" customHeight="1">
      <c r="A860" s="12"/>
      <c r="B860" s="12"/>
      <c r="C860" s="12"/>
      <c r="D860" s="12"/>
      <c r="E860" s="12"/>
      <c r="F860" s="12"/>
      <c r="G860" s="12"/>
      <c r="H860" s="12"/>
      <c r="I860" s="12"/>
      <c r="J860" s="12"/>
      <c r="K860" s="12"/>
      <c r="L860" s="12"/>
      <c r="M860" s="12"/>
      <c r="N860" s="12"/>
      <c r="O860" s="12"/>
      <c r="P860" s="12"/>
      <c r="Q860" s="12"/>
      <c r="R860" s="12"/>
      <c r="S860" s="12"/>
      <c r="T860" s="12"/>
      <c r="U860" s="12"/>
      <c r="W860" s="12"/>
      <c r="X860" s="12"/>
      <c r="Y860" s="12"/>
      <c r="Z860" s="12"/>
      <c r="AA860" s="12"/>
    </row>
    <row r="861" spans="1:27" ht="15.75" customHeight="1">
      <c r="A861" s="12"/>
      <c r="B861" s="12"/>
      <c r="C861" s="12"/>
      <c r="D861" s="12"/>
      <c r="E861" s="12"/>
      <c r="F861" s="12"/>
      <c r="G861" s="12"/>
      <c r="H861" s="12"/>
      <c r="I861" s="12"/>
      <c r="J861" s="12"/>
      <c r="K861" s="12"/>
      <c r="L861" s="12"/>
      <c r="M861" s="12"/>
      <c r="N861" s="12"/>
      <c r="O861" s="12"/>
      <c r="P861" s="12"/>
      <c r="Q861" s="12"/>
      <c r="R861" s="12"/>
      <c r="S861" s="12"/>
      <c r="T861" s="12"/>
      <c r="U861" s="12"/>
      <c r="W861" s="12"/>
      <c r="X861" s="12"/>
      <c r="Y861" s="12"/>
      <c r="Z861" s="12"/>
      <c r="AA861" s="12"/>
    </row>
    <row r="862" spans="1:27" ht="15.75" customHeight="1">
      <c r="A862" s="12"/>
      <c r="B862" s="12"/>
      <c r="C862" s="12"/>
      <c r="D862" s="12"/>
      <c r="E862" s="12"/>
      <c r="F862" s="12"/>
      <c r="G862" s="12"/>
      <c r="H862" s="12"/>
      <c r="I862" s="12"/>
      <c r="J862" s="12"/>
      <c r="K862" s="12"/>
      <c r="L862" s="12"/>
      <c r="M862" s="12"/>
      <c r="N862" s="12"/>
      <c r="O862" s="12"/>
      <c r="P862" s="12"/>
      <c r="Q862" s="12"/>
      <c r="R862" s="12"/>
      <c r="S862" s="12"/>
      <c r="T862" s="12"/>
      <c r="U862" s="12"/>
      <c r="W862" s="12"/>
      <c r="X862" s="12"/>
      <c r="Y862" s="12"/>
      <c r="Z862" s="12"/>
      <c r="AA862" s="12"/>
    </row>
    <row r="863" spans="1:27" ht="15.75" customHeight="1">
      <c r="A863" s="12"/>
      <c r="B863" s="12"/>
      <c r="C863" s="12"/>
      <c r="D863" s="12"/>
      <c r="E863" s="12"/>
      <c r="F863" s="12"/>
      <c r="G863" s="12"/>
      <c r="H863" s="12"/>
      <c r="I863" s="12"/>
      <c r="J863" s="12"/>
      <c r="K863" s="12"/>
      <c r="L863" s="12"/>
      <c r="M863" s="12"/>
      <c r="N863" s="12"/>
      <c r="O863" s="12"/>
      <c r="P863" s="12"/>
      <c r="Q863" s="12"/>
      <c r="R863" s="12"/>
      <c r="S863" s="12"/>
      <c r="T863" s="12"/>
      <c r="U863" s="12"/>
      <c r="W863" s="12"/>
      <c r="X863" s="12"/>
      <c r="Y863" s="12"/>
      <c r="Z863" s="12"/>
      <c r="AA863" s="12"/>
    </row>
    <row r="864" spans="1:27" ht="15.75" customHeight="1">
      <c r="A864" s="12"/>
      <c r="B864" s="12"/>
      <c r="C864" s="12"/>
      <c r="D864" s="12"/>
      <c r="E864" s="12"/>
      <c r="F864" s="12"/>
      <c r="G864" s="12"/>
      <c r="H864" s="12"/>
      <c r="I864" s="12"/>
      <c r="J864" s="12"/>
      <c r="K864" s="12"/>
      <c r="L864" s="12"/>
      <c r="M864" s="12"/>
      <c r="N864" s="12"/>
      <c r="O864" s="12"/>
      <c r="P864" s="12"/>
      <c r="Q864" s="12"/>
      <c r="R864" s="12"/>
      <c r="S864" s="12"/>
      <c r="T864" s="12"/>
      <c r="U864" s="12"/>
      <c r="W864" s="12"/>
      <c r="X864" s="12"/>
      <c r="Y864" s="12"/>
      <c r="Z864" s="12"/>
      <c r="AA864" s="12"/>
    </row>
    <row r="865" spans="1:27" ht="15.75" customHeight="1">
      <c r="A865" s="12"/>
      <c r="B865" s="12"/>
      <c r="C865" s="12"/>
      <c r="D865" s="12"/>
      <c r="E865" s="12"/>
      <c r="F865" s="12"/>
      <c r="G865" s="12"/>
      <c r="H865" s="12"/>
      <c r="I865" s="12"/>
      <c r="J865" s="12"/>
      <c r="K865" s="12"/>
      <c r="L865" s="12"/>
      <c r="M865" s="12"/>
      <c r="N865" s="12"/>
      <c r="O865" s="12"/>
      <c r="P865" s="12"/>
      <c r="Q865" s="12"/>
      <c r="R865" s="12"/>
      <c r="S865" s="12"/>
      <c r="T865" s="12"/>
      <c r="U865" s="12"/>
      <c r="W865" s="12"/>
      <c r="X865" s="12"/>
      <c r="Y865" s="12"/>
      <c r="Z865" s="12"/>
      <c r="AA865" s="12"/>
    </row>
    <row r="866" spans="1:27" ht="15.75" customHeight="1">
      <c r="A866" s="12"/>
      <c r="B866" s="12"/>
      <c r="C866" s="12"/>
      <c r="D866" s="12"/>
      <c r="E866" s="12"/>
      <c r="F866" s="12"/>
      <c r="G866" s="12"/>
      <c r="H866" s="12"/>
      <c r="I866" s="12"/>
      <c r="J866" s="12"/>
      <c r="K866" s="12"/>
      <c r="L866" s="12"/>
      <c r="M866" s="12"/>
      <c r="N866" s="12"/>
      <c r="O866" s="12"/>
      <c r="P866" s="12"/>
      <c r="Q866" s="12"/>
      <c r="R866" s="12"/>
      <c r="S866" s="12"/>
      <c r="T866" s="12"/>
      <c r="U866" s="12"/>
      <c r="W866" s="12"/>
      <c r="X866" s="12"/>
      <c r="Y866" s="12"/>
      <c r="Z866" s="12"/>
      <c r="AA866" s="12"/>
    </row>
    <row r="867" spans="1:27" ht="15.75" customHeight="1">
      <c r="A867" s="12"/>
      <c r="B867" s="12"/>
      <c r="C867" s="12"/>
      <c r="D867" s="12"/>
      <c r="E867" s="12"/>
      <c r="F867" s="12"/>
      <c r="G867" s="12"/>
      <c r="H867" s="12"/>
      <c r="I867" s="12"/>
      <c r="J867" s="12"/>
      <c r="K867" s="12"/>
      <c r="L867" s="12"/>
      <c r="M867" s="12"/>
      <c r="N867" s="12"/>
      <c r="O867" s="12"/>
      <c r="P867" s="12"/>
      <c r="Q867" s="12"/>
      <c r="R867" s="12"/>
      <c r="S867" s="12"/>
      <c r="T867" s="12"/>
      <c r="U867" s="12"/>
      <c r="W867" s="12"/>
      <c r="X867" s="12"/>
      <c r="Y867" s="12"/>
      <c r="Z867" s="12"/>
      <c r="AA867" s="12"/>
    </row>
    <row r="868" spans="1:27" ht="15.75" customHeight="1">
      <c r="A868" s="12"/>
      <c r="B868" s="12"/>
      <c r="C868" s="12"/>
      <c r="D868" s="12"/>
      <c r="E868" s="12"/>
      <c r="F868" s="12"/>
      <c r="G868" s="12"/>
      <c r="H868" s="12"/>
      <c r="I868" s="12"/>
      <c r="J868" s="12"/>
      <c r="K868" s="12"/>
      <c r="L868" s="12"/>
      <c r="M868" s="12"/>
      <c r="N868" s="12"/>
      <c r="O868" s="12"/>
      <c r="P868" s="12"/>
      <c r="Q868" s="12"/>
      <c r="R868" s="12"/>
      <c r="S868" s="12"/>
      <c r="T868" s="12"/>
      <c r="U868" s="12"/>
      <c r="W868" s="12"/>
      <c r="X868" s="12"/>
      <c r="Y868" s="12"/>
      <c r="Z868" s="12"/>
      <c r="AA868" s="12"/>
    </row>
    <row r="869" spans="1:27" ht="15.75" customHeight="1">
      <c r="A869" s="12"/>
      <c r="B869" s="12"/>
      <c r="C869" s="12"/>
      <c r="D869" s="12"/>
      <c r="E869" s="12"/>
      <c r="F869" s="12"/>
      <c r="G869" s="12"/>
      <c r="H869" s="12"/>
      <c r="I869" s="12"/>
      <c r="J869" s="12"/>
      <c r="K869" s="12"/>
      <c r="L869" s="12"/>
      <c r="M869" s="12"/>
      <c r="N869" s="12"/>
      <c r="O869" s="12"/>
      <c r="P869" s="12"/>
      <c r="Q869" s="12"/>
      <c r="R869" s="12"/>
      <c r="S869" s="12"/>
      <c r="T869" s="12"/>
      <c r="U869" s="12"/>
      <c r="W869" s="12"/>
      <c r="X869" s="12"/>
      <c r="Y869" s="12"/>
      <c r="Z869" s="12"/>
      <c r="AA869" s="12"/>
    </row>
    <row r="870" spans="1:27" ht="15.75" customHeight="1">
      <c r="A870" s="12"/>
      <c r="B870" s="12"/>
      <c r="C870" s="12"/>
      <c r="D870" s="12"/>
      <c r="E870" s="12"/>
      <c r="F870" s="12"/>
      <c r="G870" s="12"/>
      <c r="H870" s="12"/>
      <c r="I870" s="12"/>
      <c r="J870" s="12"/>
      <c r="K870" s="12"/>
      <c r="L870" s="12"/>
      <c r="M870" s="12"/>
      <c r="N870" s="12"/>
      <c r="O870" s="12"/>
      <c r="P870" s="12"/>
      <c r="Q870" s="12"/>
      <c r="R870" s="12"/>
      <c r="S870" s="12"/>
      <c r="T870" s="12"/>
      <c r="U870" s="12"/>
      <c r="W870" s="12"/>
      <c r="X870" s="12"/>
      <c r="Y870" s="12"/>
      <c r="Z870" s="12"/>
      <c r="AA870" s="12"/>
    </row>
    <row r="871" spans="1:27" ht="15.75" customHeight="1">
      <c r="A871" s="12"/>
      <c r="B871" s="12"/>
      <c r="C871" s="12"/>
      <c r="D871" s="12"/>
      <c r="E871" s="12"/>
      <c r="F871" s="12"/>
      <c r="G871" s="12"/>
      <c r="H871" s="12"/>
      <c r="I871" s="12"/>
      <c r="J871" s="12"/>
      <c r="K871" s="12"/>
      <c r="L871" s="12"/>
      <c r="M871" s="12"/>
      <c r="N871" s="12"/>
      <c r="O871" s="12"/>
      <c r="P871" s="12"/>
      <c r="Q871" s="12"/>
      <c r="R871" s="12"/>
      <c r="S871" s="12"/>
      <c r="T871" s="12"/>
      <c r="U871" s="12"/>
      <c r="W871" s="12"/>
      <c r="X871" s="12"/>
      <c r="Y871" s="12"/>
      <c r="Z871" s="12"/>
      <c r="AA871" s="12"/>
    </row>
    <row r="872" spans="1:27" ht="15.75" customHeight="1">
      <c r="A872" s="12"/>
      <c r="B872" s="12"/>
      <c r="C872" s="12"/>
      <c r="D872" s="12"/>
      <c r="E872" s="12"/>
      <c r="F872" s="12"/>
      <c r="G872" s="12"/>
      <c r="H872" s="12"/>
      <c r="I872" s="12"/>
      <c r="J872" s="12"/>
      <c r="K872" s="12"/>
      <c r="L872" s="12"/>
      <c r="M872" s="12"/>
      <c r="N872" s="12"/>
      <c r="O872" s="12"/>
      <c r="P872" s="12"/>
      <c r="Q872" s="12"/>
      <c r="R872" s="12"/>
      <c r="S872" s="12"/>
      <c r="T872" s="12"/>
      <c r="U872" s="12"/>
      <c r="W872" s="12"/>
      <c r="X872" s="12"/>
      <c r="Y872" s="12"/>
      <c r="Z872" s="12"/>
      <c r="AA872" s="12"/>
    </row>
    <row r="873" spans="1:27" ht="15.75" customHeight="1">
      <c r="A873" s="12"/>
      <c r="B873" s="12"/>
      <c r="C873" s="12"/>
      <c r="D873" s="12"/>
      <c r="E873" s="12"/>
      <c r="F873" s="12"/>
      <c r="G873" s="12"/>
      <c r="H873" s="12"/>
      <c r="I873" s="12"/>
      <c r="J873" s="12"/>
      <c r="K873" s="12"/>
      <c r="L873" s="12"/>
      <c r="M873" s="12"/>
      <c r="N873" s="12"/>
      <c r="O873" s="12"/>
      <c r="P873" s="12"/>
      <c r="Q873" s="12"/>
      <c r="R873" s="12"/>
      <c r="S873" s="12"/>
      <c r="T873" s="12"/>
      <c r="U873" s="12"/>
      <c r="W873" s="12"/>
      <c r="X873" s="12"/>
      <c r="Y873" s="12"/>
      <c r="Z873" s="12"/>
      <c r="AA873" s="12"/>
    </row>
    <row r="874" spans="1:27" ht="15.75" customHeight="1">
      <c r="A874" s="12"/>
      <c r="B874" s="12"/>
      <c r="C874" s="12"/>
      <c r="D874" s="12"/>
      <c r="E874" s="12"/>
      <c r="F874" s="12"/>
      <c r="G874" s="12"/>
      <c r="H874" s="12"/>
      <c r="I874" s="12"/>
      <c r="J874" s="12"/>
      <c r="K874" s="12"/>
      <c r="L874" s="12"/>
      <c r="M874" s="12"/>
      <c r="N874" s="12"/>
      <c r="O874" s="12"/>
      <c r="P874" s="12"/>
      <c r="Q874" s="12"/>
      <c r="R874" s="12"/>
      <c r="S874" s="12"/>
      <c r="T874" s="12"/>
      <c r="U874" s="12"/>
      <c r="W874" s="12"/>
      <c r="X874" s="12"/>
      <c r="Y874" s="12"/>
      <c r="Z874" s="12"/>
      <c r="AA874" s="12"/>
    </row>
    <row r="875" spans="1:27" ht="15.75" customHeight="1">
      <c r="A875" s="12"/>
      <c r="B875" s="12"/>
      <c r="C875" s="12"/>
      <c r="D875" s="12"/>
      <c r="E875" s="12"/>
      <c r="F875" s="12"/>
      <c r="G875" s="12"/>
      <c r="H875" s="12"/>
      <c r="I875" s="12"/>
      <c r="J875" s="12"/>
      <c r="K875" s="12"/>
      <c r="L875" s="12"/>
      <c r="M875" s="12"/>
      <c r="N875" s="12"/>
      <c r="O875" s="12"/>
      <c r="P875" s="12"/>
      <c r="Q875" s="12"/>
      <c r="R875" s="12"/>
      <c r="S875" s="12"/>
      <c r="T875" s="12"/>
      <c r="U875" s="12"/>
      <c r="W875" s="12"/>
      <c r="X875" s="12"/>
      <c r="Y875" s="12"/>
      <c r="Z875" s="12"/>
      <c r="AA875" s="12"/>
    </row>
    <row r="876" spans="1:27" ht="15.75" customHeight="1">
      <c r="A876" s="12"/>
      <c r="B876" s="12"/>
      <c r="C876" s="12"/>
      <c r="D876" s="12"/>
      <c r="E876" s="12"/>
      <c r="F876" s="12"/>
      <c r="G876" s="12"/>
      <c r="H876" s="12"/>
      <c r="I876" s="12"/>
      <c r="J876" s="12"/>
      <c r="K876" s="12"/>
      <c r="L876" s="12"/>
      <c r="M876" s="12"/>
      <c r="N876" s="12"/>
      <c r="O876" s="12"/>
      <c r="P876" s="12"/>
      <c r="Q876" s="12"/>
      <c r="R876" s="12"/>
      <c r="S876" s="12"/>
      <c r="T876" s="12"/>
      <c r="U876" s="12"/>
      <c r="W876" s="12"/>
      <c r="X876" s="12"/>
      <c r="Y876" s="12"/>
      <c r="Z876" s="12"/>
      <c r="AA876" s="12"/>
    </row>
    <row r="877" spans="1:27" ht="15.75" customHeight="1">
      <c r="A877" s="12"/>
      <c r="B877" s="12"/>
      <c r="C877" s="12"/>
      <c r="D877" s="12"/>
      <c r="E877" s="12"/>
      <c r="F877" s="12"/>
      <c r="G877" s="12"/>
      <c r="H877" s="12"/>
      <c r="I877" s="12"/>
      <c r="J877" s="12"/>
      <c r="K877" s="12"/>
      <c r="L877" s="12"/>
      <c r="M877" s="12"/>
      <c r="N877" s="12"/>
      <c r="O877" s="12"/>
      <c r="P877" s="12"/>
      <c r="Q877" s="12"/>
      <c r="R877" s="12"/>
      <c r="S877" s="12"/>
      <c r="T877" s="12"/>
      <c r="U877" s="12"/>
      <c r="W877" s="12"/>
      <c r="X877" s="12"/>
      <c r="Y877" s="12"/>
      <c r="Z877" s="12"/>
      <c r="AA877" s="12"/>
    </row>
    <row r="878" spans="1:27" ht="15.75" customHeight="1">
      <c r="A878" s="12"/>
      <c r="B878" s="12"/>
      <c r="C878" s="12"/>
      <c r="D878" s="12"/>
      <c r="E878" s="12"/>
      <c r="F878" s="12"/>
      <c r="G878" s="12"/>
      <c r="H878" s="12"/>
      <c r="I878" s="12"/>
      <c r="J878" s="12"/>
      <c r="K878" s="12"/>
      <c r="L878" s="12"/>
      <c r="M878" s="12"/>
      <c r="N878" s="12"/>
      <c r="O878" s="12"/>
      <c r="P878" s="12"/>
      <c r="Q878" s="12"/>
      <c r="R878" s="12"/>
      <c r="S878" s="12"/>
      <c r="T878" s="12"/>
      <c r="U878" s="12"/>
      <c r="W878" s="12"/>
      <c r="X878" s="12"/>
      <c r="Y878" s="12"/>
      <c r="Z878" s="12"/>
      <c r="AA878" s="12"/>
    </row>
    <row r="879" spans="1:27" ht="15.75" customHeight="1">
      <c r="A879" s="12"/>
      <c r="B879" s="12"/>
      <c r="C879" s="12"/>
      <c r="D879" s="12"/>
      <c r="E879" s="12"/>
      <c r="F879" s="12"/>
      <c r="G879" s="12"/>
      <c r="H879" s="12"/>
      <c r="I879" s="12"/>
      <c r="J879" s="12"/>
      <c r="K879" s="12"/>
      <c r="L879" s="12"/>
      <c r="M879" s="12"/>
      <c r="N879" s="12"/>
      <c r="O879" s="12"/>
      <c r="P879" s="12"/>
      <c r="Q879" s="12"/>
      <c r="R879" s="12"/>
      <c r="S879" s="12"/>
      <c r="T879" s="12"/>
      <c r="U879" s="12"/>
      <c r="W879" s="12"/>
      <c r="X879" s="12"/>
      <c r="Y879" s="12"/>
      <c r="Z879" s="12"/>
      <c r="AA879" s="12"/>
    </row>
    <row r="880" spans="1:27" ht="15.75" customHeight="1">
      <c r="A880" s="12"/>
      <c r="B880" s="12"/>
      <c r="C880" s="12"/>
      <c r="D880" s="12"/>
      <c r="E880" s="12"/>
      <c r="F880" s="12"/>
      <c r="G880" s="12"/>
      <c r="H880" s="12"/>
      <c r="I880" s="12"/>
      <c r="J880" s="12"/>
      <c r="K880" s="12"/>
      <c r="L880" s="12"/>
      <c r="M880" s="12"/>
      <c r="N880" s="12"/>
      <c r="O880" s="12"/>
      <c r="P880" s="12"/>
      <c r="Q880" s="12"/>
      <c r="R880" s="12"/>
      <c r="S880" s="12"/>
      <c r="T880" s="12"/>
      <c r="U880" s="12"/>
      <c r="W880" s="12"/>
      <c r="X880" s="12"/>
      <c r="Y880" s="12"/>
      <c r="Z880" s="12"/>
      <c r="AA880" s="12"/>
    </row>
    <row r="881" spans="1:27" ht="15.75" customHeight="1">
      <c r="A881" s="12"/>
      <c r="B881" s="12"/>
      <c r="C881" s="12"/>
      <c r="D881" s="12"/>
      <c r="E881" s="12"/>
      <c r="F881" s="12"/>
      <c r="G881" s="12"/>
      <c r="H881" s="12"/>
      <c r="I881" s="12"/>
      <c r="J881" s="12"/>
      <c r="K881" s="12"/>
      <c r="L881" s="12"/>
      <c r="M881" s="12"/>
      <c r="N881" s="12"/>
      <c r="O881" s="12"/>
      <c r="P881" s="12"/>
      <c r="Q881" s="12"/>
      <c r="R881" s="12"/>
      <c r="S881" s="12"/>
      <c r="T881" s="12"/>
      <c r="U881" s="12"/>
      <c r="W881" s="12"/>
      <c r="X881" s="12"/>
      <c r="Y881" s="12"/>
      <c r="Z881" s="12"/>
      <c r="AA881" s="12"/>
    </row>
    <row r="882" spans="1:27" ht="15.75" customHeight="1">
      <c r="A882" s="12"/>
      <c r="B882" s="12"/>
      <c r="C882" s="12"/>
      <c r="D882" s="12"/>
      <c r="E882" s="12"/>
      <c r="F882" s="12"/>
      <c r="G882" s="12"/>
      <c r="H882" s="12"/>
      <c r="I882" s="12"/>
      <c r="J882" s="12"/>
      <c r="K882" s="12"/>
      <c r="L882" s="12"/>
      <c r="M882" s="12"/>
      <c r="N882" s="12"/>
      <c r="O882" s="12"/>
      <c r="P882" s="12"/>
      <c r="Q882" s="12"/>
      <c r="R882" s="12"/>
      <c r="S882" s="12"/>
      <c r="T882" s="12"/>
      <c r="U882" s="12"/>
      <c r="W882" s="12"/>
      <c r="X882" s="12"/>
      <c r="Y882" s="12"/>
      <c r="Z882" s="12"/>
      <c r="AA882" s="12"/>
    </row>
    <row r="883" spans="1:27" ht="15.75" customHeight="1">
      <c r="A883" s="12"/>
      <c r="B883" s="12"/>
      <c r="C883" s="12"/>
      <c r="D883" s="12"/>
      <c r="E883" s="12"/>
      <c r="F883" s="12"/>
      <c r="G883" s="12"/>
      <c r="H883" s="12"/>
      <c r="I883" s="12"/>
      <c r="J883" s="12"/>
      <c r="K883" s="12"/>
      <c r="L883" s="12"/>
      <c r="M883" s="12"/>
      <c r="N883" s="12"/>
      <c r="O883" s="12"/>
      <c r="P883" s="12"/>
      <c r="Q883" s="12"/>
      <c r="R883" s="12"/>
      <c r="S883" s="12"/>
      <c r="T883" s="12"/>
      <c r="U883" s="12"/>
      <c r="W883" s="12"/>
      <c r="X883" s="12"/>
      <c r="Y883" s="12"/>
      <c r="Z883" s="12"/>
      <c r="AA883" s="12"/>
    </row>
    <row r="884" spans="1:27" ht="15.75" customHeight="1">
      <c r="A884" s="12"/>
      <c r="B884" s="12"/>
      <c r="C884" s="12"/>
      <c r="D884" s="12"/>
      <c r="E884" s="12"/>
      <c r="F884" s="12"/>
      <c r="G884" s="12"/>
      <c r="H884" s="12"/>
      <c r="I884" s="12"/>
      <c r="J884" s="12"/>
      <c r="K884" s="12"/>
      <c r="L884" s="12"/>
      <c r="M884" s="12"/>
      <c r="N884" s="12"/>
      <c r="O884" s="12"/>
      <c r="P884" s="12"/>
      <c r="Q884" s="12"/>
      <c r="R884" s="12"/>
      <c r="S884" s="12"/>
      <c r="T884" s="12"/>
      <c r="U884" s="12"/>
      <c r="W884" s="12"/>
      <c r="X884" s="12"/>
      <c r="Y884" s="12"/>
      <c r="Z884" s="12"/>
      <c r="AA884" s="12"/>
    </row>
    <row r="885" spans="1:27" ht="15.75" customHeight="1">
      <c r="A885" s="12"/>
      <c r="B885" s="12"/>
      <c r="C885" s="12"/>
      <c r="D885" s="12"/>
      <c r="E885" s="12"/>
      <c r="F885" s="12"/>
      <c r="G885" s="12"/>
      <c r="H885" s="12"/>
      <c r="I885" s="12"/>
      <c r="J885" s="12"/>
      <c r="K885" s="12"/>
      <c r="L885" s="12"/>
      <c r="M885" s="12"/>
      <c r="N885" s="12"/>
      <c r="O885" s="12"/>
      <c r="P885" s="12"/>
      <c r="Q885" s="12"/>
      <c r="R885" s="12"/>
      <c r="S885" s="12"/>
      <c r="T885" s="12"/>
      <c r="U885" s="12"/>
      <c r="W885" s="12"/>
      <c r="X885" s="12"/>
      <c r="Y885" s="12"/>
      <c r="Z885" s="12"/>
      <c r="AA885" s="12"/>
    </row>
    <row r="886" spans="1:27" ht="15.75" customHeight="1">
      <c r="A886" s="12"/>
      <c r="B886" s="12"/>
      <c r="C886" s="12"/>
      <c r="D886" s="12"/>
      <c r="E886" s="12"/>
      <c r="F886" s="12"/>
      <c r="G886" s="12"/>
      <c r="H886" s="12"/>
      <c r="I886" s="12"/>
      <c r="J886" s="12"/>
      <c r="K886" s="12"/>
      <c r="L886" s="12"/>
      <c r="M886" s="12"/>
      <c r="N886" s="12"/>
      <c r="O886" s="12"/>
      <c r="P886" s="12"/>
      <c r="Q886" s="12"/>
      <c r="R886" s="12"/>
      <c r="S886" s="12"/>
      <c r="T886" s="12"/>
      <c r="U886" s="12"/>
      <c r="W886" s="12"/>
      <c r="X886" s="12"/>
      <c r="Y886" s="12"/>
      <c r="Z886" s="12"/>
      <c r="AA886" s="12"/>
    </row>
    <row r="887" spans="1:27" ht="15.75" customHeight="1">
      <c r="A887" s="12"/>
      <c r="B887" s="12"/>
      <c r="C887" s="12"/>
      <c r="D887" s="12"/>
      <c r="E887" s="12"/>
      <c r="F887" s="12"/>
      <c r="G887" s="12"/>
      <c r="H887" s="12"/>
      <c r="I887" s="12"/>
      <c r="J887" s="12"/>
      <c r="K887" s="12"/>
      <c r="L887" s="12"/>
      <c r="M887" s="12"/>
      <c r="N887" s="12"/>
      <c r="O887" s="12"/>
      <c r="P887" s="12"/>
      <c r="Q887" s="12"/>
      <c r="R887" s="12"/>
      <c r="S887" s="12"/>
      <c r="T887" s="12"/>
      <c r="U887" s="12"/>
      <c r="W887" s="12"/>
      <c r="X887" s="12"/>
      <c r="Y887" s="12"/>
      <c r="Z887" s="12"/>
      <c r="AA887" s="12"/>
    </row>
    <row r="888" spans="1:27" ht="15.75" customHeight="1">
      <c r="A888" s="12"/>
      <c r="B888" s="12"/>
      <c r="C888" s="12"/>
      <c r="D888" s="12"/>
      <c r="E888" s="12"/>
      <c r="F888" s="12"/>
      <c r="G888" s="12"/>
      <c r="H888" s="12"/>
      <c r="I888" s="12"/>
      <c r="J888" s="12"/>
      <c r="K888" s="12"/>
      <c r="L888" s="12"/>
      <c r="M888" s="12"/>
      <c r="N888" s="12"/>
      <c r="O888" s="12"/>
      <c r="P888" s="12"/>
      <c r="Q888" s="12"/>
      <c r="R888" s="12"/>
      <c r="S888" s="12"/>
      <c r="T888" s="12"/>
      <c r="U888" s="12"/>
      <c r="W888" s="12"/>
      <c r="X888" s="12"/>
      <c r="Y888" s="12"/>
      <c r="Z888" s="12"/>
      <c r="AA888" s="12"/>
    </row>
    <row r="889" spans="1:27" ht="15.75" customHeight="1">
      <c r="A889" s="12"/>
      <c r="B889" s="12"/>
      <c r="C889" s="12"/>
      <c r="D889" s="12"/>
      <c r="E889" s="12"/>
      <c r="F889" s="12"/>
      <c r="G889" s="12"/>
      <c r="H889" s="12"/>
      <c r="I889" s="12"/>
      <c r="J889" s="12"/>
      <c r="K889" s="12"/>
      <c r="L889" s="12"/>
      <c r="M889" s="12"/>
      <c r="N889" s="12"/>
      <c r="O889" s="12"/>
      <c r="P889" s="12"/>
      <c r="Q889" s="12"/>
      <c r="R889" s="12"/>
      <c r="S889" s="12"/>
      <c r="T889" s="12"/>
      <c r="U889" s="12"/>
      <c r="W889" s="12"/>
      <c r="X889" s="12"/>
      <c r="Y889" s="12"/>
      <c r="Z889" s="12"/>
      <c r="AA889" s="12"/>
    </row>
    <row r="890" spans="1:27" ht="15.75" customHeight="1">
      <c r="A890" s="12"/>
      <c r="B890" s="12"/>
      <c r="C890" s="12"/>
      <c r="D890" s="12"/>
      <c r="E890" s="12"/>
      <c r="F890" s="12"/>
      <c r="G890" s="12"/>
      <c r="H890" s="12"/>
      <c r="I890" s="12"/>
      <c r="J890" s="12"/>
      <c r="K890" s="12"/>
      <c r="L890" s="12"/>
      <c r="M890" s="12"/>
      <c r="N890" s="12"/>
      <c r="O890" s="12"/>
      <c r="P890" s="12"/>
      <c r="Q890" s="12"/>
      <c r="R890" s="12"/>
      <c r="S890" s="12"/>
      <c r="T890" s="12"/>
      <c r="U890" s="12"/>
      <c r="W890" s="12"/>
      <c r="X890" s="12"/>
      <c r="Y890" s="12"/>
      <c r="Z890" s="12"/>
      <c r="AA890" s="12"/>
    </row>
    <row r="891" spans="1:27" ht="15.75" customHeight="1">
      <c r="A891" s="12"/>
      <c r="B891" s="12"/>
      <c r="C891" s="12"/>
      <c r="D891" s="12"/>
      <c r="E891" s="12"/>
      <c r="F891" s="12"/>
      <c r="G891" s="12"/>
      <c r="H891" s="12"/>
      <c r="I891" s="12"/>
      <c r="J891" s="12"/>
      <c r="K891" s="12"/>
      <c r="L891" s="12"/>
      <c r="M891" s="12"/>
      <c r="N891" s="12"/>
      <c r="O891" s="12"/>
      <c r="P891" s="12"/>
      <c r="Q891" s="12"/>
      <c r="R891" s="12"/>
      <c r="S891" s="12"/>
      <c r="T891" s="12"/>
      <c r="U891" s="12"/>
      <c r="W891" s="12"/>
      <c r="X891" s="12"/>
      <c r="Y891" s="12"/>
      <c r="Z891" s="12"/>
      <c r="AA891" s="12"/>
    </row>
    <row r="892" spans="1:27" ht="15.75" customHeight="1">
      <c r="A892" s="12"/>
      <c r="B892" s="12"/>
      <c r="C892" s="12"/>
      <c r="D892" s="12"/>
      <c r="E892" s="12"/>
      <c r="F892" s="12"/>
      <c r="G892" s="12"/>
      <c r="H892" s="12"/>
      <c r="I892" s="12"/>
      <c r="J892" s="12"/>
      <c r="K892" s="12"/>
      <c r="L892" s="12"/>
      <c r="M892" s="12"/>
      <c r="N892" s="12"/>
      <c r="O892" s="12"/>
      <c r="P892" s="12"/>
      <c r="Q892" s="12"/>
      <c r="R892" s="12"/>
      <c r="S892" s="12"/>
      <c r="T892" s="12"/>
      <c r="U892" s="12"/>
      <c r="W892" s="12"/>
      <c r="X892" s="12"/>
      <c r="Y892" s="12"/>
      <c r="Z892" s="12"/>
      <c r="AA892" s="12"/>
    </row>
    <row r="893" spans="1:27" ht="15.75" customHeight="1">
      <c r="A893" s="12"/>
      <c r="B893" s="12"/>
      <c r="C893" s="12"/>
      <c r="D893" s="12"/>
      <c r="E893" s="12"/>
      <c r="F893" s="12"/>
      <c r="G893" s="12"/>
      <c r="H893" s="12"/>
      <c r="I893" s="12"/>
      <c r="J893" s="12"/>
      <c r="K893" s="12"/>
      <c r="L893" s="12"/>
      <c r="M893" s="12"/>
      <c r="N893" s="12"/>
      <c r="O893" s="12"/>
      <c r="P893" s="12"/>
      <c r="Q893" s="12"/>
      <c r="R893" s="12"/>
      <c r="S893" s="12"/>
      <c r="T893" s="12"/>
      <c r="U893" s="12"/>
      <c r="W893" s="12"/>
      <c r="X893" s="12"/>
      <c r="Y893" s="12"/>
      <c r="Z893" s="12"/>
      <c r="AA893" s="12"/>
    </row>
    <row r="894" spans="1:27" ht="15.75" customHeight="1">
      <c r="A894" s="12"/>
      <c r="B894" s="12"/>
      <c r="C894" s="12"/>
      <c r="D894" s="12"/>
      <c r="E894" s="12"/>
      <c r="F894" s="12"/>
      <c r="G894" s="12"/>
      <c r="H894" s="12"/>
      <c r="I894" s="12"/>
      <c r="J894" s="12"/>
      <c r="K894" s="12"/>
      <c r="L894" s="12"/>
      <c r="M894" s="12"/>
      <c r="N894" s="12"/>
      <c r="O894" s="12"/>
      <c r="P894" s="12"/>
      <c r="Q894" s="12"/>
      <c r="R894" s="12"/>
      <c r="S894" s="12"/>
      <c r="T894" s="12"/>
      <c r="U894" s="12"/>
      <c r="W894" s="12"/>
      <c r="X894" s="12"/>
      <c r="Y894" s="12"/>
      <c r="Z894" s="12"/>
      <c r="AA894" s="12"/>
    </row>
    <row r="895" spans="1:27" ht="15.75" customHeight="1">
      <c r="A895" s="12"/>
      <c r="B895" s="12"/>
      <c r="C895" s="12"/>
      <c r="D895" s="12"/>
      <c r="E895" s="12"/>
      <c r="F895" s="12"/>
      <c r="G895" s="12"/>
      <c r="H895" s="12"/>
      <c r="I895" s="12"/>
      <c r="J895" s="12"/>
      <c r="K895" s="12"/>
      <c r="L895" s="12"/>
      <c r="M895" s="12"/>
      <c r="N895" s="12"/>
      <c r="O895" s="12"/>
      <c r="P895" s="12"/>
      <c r="Q895" s="12"/>
      <c r="R895" s="12"/>
      <c r="S895" s="12"/>
      <c r="T895" s="12"/>
      <c r="U895" s="12"/>
      <c r="W895" s="12"/>
      <c r="X895" s="12"/>
      <c r="Y895" s="12"/>
      <c r="Z895" s="12"/>
      <c r="AA895" s="12"/>
    </row>
    <row r="896" spans="1:27" ht="15.75" customHeight="1">
      <c r="A896" s="12"/>
      <c r="B896" s="12"/>
      <c r="C896" s="12"/>
      <c r="D896" s="12"/>
      <c r="E896" s="12"/>
      <c r="F896" s="12"/>
      <c r="G896" s="12"/>
      <c r="H896" s="12"/>
      <c r="I896" s="12"/>
      <c r="J896" s="12"/>
      <c r="K896" s="12"/>
      <c r="L896" s="12"/>
      <c r="M896" s="12"/>
      <c r="N896" s="12"/>
      <c r="O896" s="12"/>
      <c r="P896" s="12"/>
      <c r="Q896" s="12"/>
      <c r="R896" s="12"/>
      <c r="S896" s="12"/>
      <c r="T896" s="12"/>
      <c r="U896" s="12"/>
      <c r="W896" s="12"/>
      <c r="X896" s="12"/>
      <c r="Y896" s="12"/>
      <c r="Z896" s="12"/>
      <c r="AA896" s="12"/>
    </row>
    <row r="897" spans="1:27" ht="15.75" customHeight="1">
      <c r="A897" s="12"/>
      <c r="B897" s="12"/>
      <c r="C897" s="12"/>
      <c r="D897" s="12"/>
      <c r="E897" s="12"/>
      <c r="F897" s="12"/>
      <c r="G897" s="12"/>
      <c r="H897" s="12"/>
      <c r="I897" s="12"/>
      <c r="J897" s="12"/>
      <c r="K897" s="12"/>
      <c r="L897" s="12"/>
      <c r="M897" s="12"/>
      <c r="N897" s="12"/>
      <c r="O897" s="12"/>
      <c r="P897" s="12"/>
      <c r="Q897" s="12"/>
      <c r="R897" s="12"/>
      <c r="S897" s="12"/>
      <c r="T897" s="12"/>
      <c r="U897" s="12"/>
      <c r="W897" s="12"/>
      <c r="X897" s="12"/>
      <c r="Y897" s="12"/>
      <c r="Z897" s="12"/>
      <c r="AA897" s="12"/>
    </row>
    <row r="898" spans="1:27" ht="15.75" customHeight="1">
      <c r="A898" s="12"/>
      <c r="B898" s="12"/>
      <c r="C898" s="12"/>
      <c r="D898" s="12"/>
      <c r="E898" s="12"/>
      <c r="F898" s="12"/>
      <c r="G898" s="12"/>
      <c r="H898" s="12"/>
      <c r="I898" s="12"/>
      <c r="J898" s="12"/>
      <c r="K898" s="12"/>
      <c r="L898" s="12"/>
      <c r="M898" s="12"/>
      <c r="N898" s="12"/>
      <c r="O898" s="12"/>
      <c r="P898" s="12"/>
      <c r="Q898" s="12"/>
      <c r="R898" s="12"/>
      <c r="S898" s="12"/>
      <c r="T898" s="12"/>
      <c r="U898" s="12"/>
      <c r="W898" s="12"/>
      <c r="X898" s="12"/>
      <c r="Y898" s="12"/>
      <c r="Z898" s="12"/>
      <c r="AA898" s="12"/>
    </row>
    <row r="899" spans="1:27" ht="15.75" customHeight="1">
      <c r="A899" s="12"/>
      <c r="B899" s="12"/>
      <c r="C899" s="12"/>
      <c r="D899" s="12"/>
      <c r="E899" s="12"/>
      <c r="F899" s="12"/>
      <c r="G899" s="12"/>
      <c r="H899" s="12"/>
      <c r="I899" s="12"/>
      <c r="J899" s="12"/>
      <c r="K899" s="12"/>
      <c r="L899" s="12"/>
      <c r="M899" s="12"/>
      <c r="N899" s="12"/>
      <c r="O899" s="12"/>
      <c r="P899" s="12"/>
      <c r="Q899" s="12"/>
      <c r="R899" s="12"/>
      <c r="S899" s="12"/>
      <c r="T899" s="12"/>
      <c r="U899" s="12"/>
      <c r="W899" s="12"/>
      <c r="X899" s="12"/>
      <c r="Y899" s="12"/>
      <c r="Z899" s="12"/>
      <c r="AA899" s="12"/>
    </row>
    <row r="900" spans="1:27" ht="15.75" customHeight="1">
      <c r="A900" s="12"/>
      <c r="B900" s="12"/>
      <c r="C900" s="12"/>
      <c r="D900" s="12"/>
      <c r="E900" s="12"/>
      <c r="F900" s="12"/>
      <c r="G900" s="12"/>
      <c r="H900" s="12"/>
      <c r="I900" s="12"/>
      <c r="J900" s="12"/>
      <c r="K900" s="12"/>
      <c r="L900" s="12"/>
      <c r="M900" s="12"/>
      <c r="N900" s="12"/>
      <c r="O900" s="12"/>
      <c r="P900" s="12"/>
      <c r="Q900" s="12"/>
      <c r="R900" s="12"/>
      <c r="S900" s="12"/>
      <c r="T900" s="12"/>
      <c r="U900" s="12"/>
      <c r="W900" s="12"/>
      <c r="X900" s="12"/>
      <c r="Y900" s="12"/>
      <c r="Z900" s="12"/>
      <c r="AA900" s="12"/>
    </row>
    <row r="901" spans="1:27" ht="15.75" customHeight="1">
      <c r="A901" s="12"/>
      <c r="B901" s="12"/>
      <c r="C901" s="12"/>
      <c r="D901" s="12"/>
      <c r="E901" s="12"/>
      <c r="F901" s="12"/>
      <c r="G901" s="12"/>
      <c r="H901" s="12"/>
      <c r="I901" s="12"/>
      <c r="J901" s="12"/>
      <c r="K901" s="12"/>
      <c r="L901" s="12"/>
      <c r="M901" s="12"/>
      <c r="N901" s="12"/>
      <c r="O901" s="12"/>
      <c r="P901" s="12"/>
      <c r="Q901" s="12"/>
      <c r="R901" s="12"/>
      <c r="S901" s="12"/>
      <c r="T901" s="12"/>
      <c r="U901" s="12"/>
      <c r="W901" s="12"/>
      <c r="X901" s="12"/>
      <c r="Y901" s="12"/>
      <c r="Z901" s="12"/>
      <c r="AA901" s="12"/>
    </row>
    <row r="902" spans="1:27" ht="15.75" customHeight="1">
      <c r="A902" s="12"/>
      <c r="B902" s="12"/>
      <c r="C902" s="12"/>
      <c r="D902" s="12"/>
      <c r="E902" s="12"/>
      <c r="F902" s="12"/>
      <c r="G902" s="12"/>
      <c r="H902" s="12"/>
      <c r="I902" s="12"/>
      <c r="J902" s="12"/>
      <c r="K902" s="12"/>
      <c r="L902" s="12"/>
      <c r="M902" s="12"/>
      <c r="N902" s="12"/>
      <c r="O902" s="12"/>
      <c r="P902" s="12"/>
      <c r="Q902" s="12"/>
      <c r="R902" s="12"/>
      <c r="S902" s="12"/>
      <c r="T902" s="12"/>
      <c r="U902" s="12"/>
      <c r="W902" s="12"/>
      <c r="X902" s="12"/>
      <c r="Y902" s="12"/>
      <c r="Z902" s="12"/>
      <c r="AA902" s="12"/>
    </row>
    <row r="903" spans="1:27" ht="15.75" customHeight="1">
      <c r="A903" s="12"/>
      <c r="B903" s="12"/>
      <c r="C903" s="12"/>
      <c r="D903" s="12"/>
      <c r="E903" s="12"/>
      <c r="F903" s="12"/>
      <c r="G903" s="12"/>
      <c r="H903" s="12"/>
      <c r="I903" s="12"/>
      <c r="J903" s="12"/>
      <c r="K903" s="12"/>
      <c r="L903" s="12"/>
      <c r="M903" s="12"/>
      <c r="N903" s="12"/>
      <c r="O903" s="12"/>
      <c r="P903" s="12"/>
      <c r="Q903" s="12"/>
      <c r="R903" s="12"/>
      <c r="S903" s="12"/>
      <c r="T903" s="12"/>
      <c r="U903" s="12"/>
      <c r="W903" s="12"/>
      <c r="X903" s="12"/>
      <c r="Y903" s="12"/>
      <c r="Z903" s="12"/>
      <c r="AA903" s="12"/>
    </row>
    <row r="904" spans="1:27" ht="15.75" customHeight="1">
      <c r="A904" s="12"/>
      <c r="B904" s="12"/>
      <c r="C904" s="12"/>
      <c r="D904" s="12"/>
      <c r="E904" s="12"/>
      <c r="F904" s="12"/>
      <c r="G904" s="12"/>
      <c r="H904" s="12"/>
      <c r="I904" s="12"/>
      <c r="J904" s="12"/>
      <c r="K904" s="12"/>
      <c r="L904" s="12"/>
      <c r="M904" s="12"/>
      <c r="N904" s="12"/>
      <c r="O904" s="12"/>
      <c r="P904" s="12"/>
      <c r="Q904" s="12"/>
      <c r="R904" s="12"/>
      <c r="S904" s="12"/>
      <c r="T904" s="12"/>
      <c r="U904" s="12"/>
      <c r="W904" s="12"/>
      <c r="X904" s="12"/>
      <c r="Y904" s="12"/>
      <c r="Z904" s="12"/>
      <c r="AA904" s="12"/>
    </row>
    <row r="905" spans="1:27" ht="15.75" customHeight="1">
      <c r="A905" s="12"/>
      <c r="B905" s="12"/>
      <c r="C905" s="12"/>
      <c r="D905" s="12"/>
      <c r="E905" s="12"/>
      <c r="F905" s="12"/>
      <c r="G905" s="12"/>
      <c r="H905" s="12"/>
      <c r="I905" s="12"/>
      <c r="J905" s="12"/>
      <c r="K905" s="12"/>
      <c r="L905" s="12"/>
      <c r="M905" s="12"/>
      <c r="N905" s="12"/>
      <c r="O905" s="12"/>
      <c r="P905" s="12"/>
      <c r="Q905" s="12"/>
      <c r="R905" s="12"/>
      <c r="S905" s="12"/>
      <c r="T905" s="12"/>
      <c r="U905" s="12"/>
      <c r="W905" s="12"/>
      <c r="X905" s="12"/>
      <c r="Y905" s="12"/>
      <c r="Z905" s="12"/>
      <c r="AA905" s="12"/>
    </row>
    <row r="906" spans="1:27" ht="15.75" customHeight="1">
      <c r="A906" s="12"/>
      <c r="B906" s="12"/>
      <c r="C906" s="12"/>
      <c r="D906" s="12"/>
      <c r="E906" s="12"/>
      <c r="F906" s="12"/>
      <c r="G906" s="12"/>
      <c r="H906" s="12"/>
      <c r="I906" s="12"/>
      <c r="J906" s="12"/>
      <c r="K906" s="12"/>
      <c r="L906" s="12"/>
      <c r="M906" s="12"/>
      <c r="N906" s="12"/>
      <c r="O906" s="12"/>
      <c r="P906" s="12"/>
      <c r="Q906" s="12"/>
      <c r="R906" s="12"/>
      <c r="S906" s="12"/>
      <c r="T906" s="12"/>
      <c r="U906" s="12"/>
      <c r="W906" s="12"/>
      <c r="X906" s="12"/>
      <c r="Y906" s="12"/>
      <c r="Z906" s="12"/>
      <c r="AA906" s="12"/>
    </row>
    <row r="907" spans="1:27" ht="15.75" customHeight="1">
      <c r="A907" s="12"/>
      <c r="B907" s="12"/>
      <c r="C907" s="12"/>
      <c r="D907" s="12"/>
      <c r="E907" s="12"/>
      <c r="F907" s="12"/>
      <c r="G907" s="12"/>
      <c r="H907" s="12"/>
      <c r="I907" s="12"/>
      <c r="J907" s="12"/>
      <c r="K907" s="12"/>
      <c r="L907" s="12"/>
      <c r="M907" s="12"/>
      <c r="N907" s="12"/>
      <c r="O907" s="12"/>
      <c r="P907" s="12"/>
      <c r="Q907" s="12"/>
      <c r="R907" s="12"/>
      <c r="S907" s="12"/>
      <c r="T907" s="12"/>
      <c r="U907" s="12"/>
      <c r="W907" s="12"/>
      <c r="X907" s="12"/>
      <c r="Y907" s="12"/>
      <c r="Z907" s="12"/>
      <c r="AA907" s="12"/>
    </row>
    <row r="908" spans="1:27" ht="15.75" customHeight="1">
      <c r="A908" s="12"/>
      <c r="B908" s="12"/>
      <c r="C908" s="12"/>
      <c r="D908" s="12"/>
      <c r="E908" s="12"/>
      <c r="F908" s="12"/>
      <c r="G908" s="12"/>
      <c r="H908" s="12"/>
      <c r="I908" s="12"/>
      <c r="J908" s="12"/>
      <c r="K908" s="12"/>
      <c r="L908" s="12"/>
      <c r="M908" s="12"/>
      <c r="N908" s="12"/>
      <c r="O908" s="12"/>
      <c r="P908" s="12"/>
      <c r="Q908" s="12"/>
      <c r="R908" s="12"/>
      <c r="S908" s="12"/>
      <c r="T908" s="12"/>
      <c r="U908" s="12"/>
      <c r="W908" s="12"/>
      <c r="X908" s="12"/>
      <c r="Y908" s="12"/>
      <c r="Z908" s="12"/>
      <c r="AA908" s="12"/>
    </row>
    <row r="909" spans="1:27" ht="15.75" customHeight="1">
      <c r="A909" s="12"/>
      <c r="B909" s="12"/>
      <c r="C909" s="12"/>
      <c r="D909" s="12"/>
      <c r="E909" s="12"/>
      <c r="F909" s="12"/>
      <c r="G909" s="12"/>
      <c r="H909" s="12"/>
      <c r="I909" s="12"/>
      <c r="J909" s="12"/>
      <c r="K909" s="12"/>
      <c r="L909" s="12"/>
      <c r="M909" s="12"/>
      <c r="N909" s="12"/>
      <c r="O909" s="12"/>
      <c r="P909" s="12"/>
      <c r="Q909" s="12"/>
      <c r="R909" s="12"/>
      <c r="S909" s="12"/>
      <c r="T909" s="12"/>
      <c r="U909" s="12"/>
      <c r="W909" s="12"/>
      <c r="X909" s="12"/>
      <c r="Y909" s="12"/>
      <c r="Z909" s="12"/>
      <c r="AA909" s="12"/>
    </row>
    <row r="910" spans="1:27" ht="15.75" customHeight="1">
      <c r="A910" s="12"/>
      <c r="B910" s="12"/>
      <c r="C910" s="12"/>
      <c r="D910" s="12"/>
      <c r="E910" s="12"/>
      <c r="F910" s="12"/>
      <c r="G910" s="12"/>
      <c r="H910" s="12"/>
      <c r="I910" s="12"/>
      <c r="J910" s="12"/>
      <c r="K910" s="12"/>
      <c r="L910" s="12"/>
      <c r="M910" s="12"/>
      <c r="N910" s="12"/>
      <c r="O910" s="12"/>
      <c r="P910" s="12"/>
      <c r="Q910" s="12"/>
      <c r="R910" s="12"/>
      <c r="S910" s="12"/>
      <c r="T910" s="12"/>
      <c r="U910" s="12"/>
      <c r="W910" s="12"/>
      <c r="X910" s="12"/>
      <c r="Y910" s="12"/>
      <c r="Z910" s="12"/>
      <c r="AA910" s="12"/>
    </row>
    <row r="911" spans="1:27" ht="15.75" customHeight="1">
      <c r="A911" s="12"/>
      <c r="B911" s="12"/>
      <c r="C911" s="12"/>
      <c r="D911" s="12"/>
      <c r="E911" s="12"/>
      <c r="F911" s="12"/>
      <c r="G911" s="12"/>
      <c r="H911" s="12"/>
      <c r="I911" s="12"/>
      <c r="J911" s="12"/>
      <c r="K911" s="12"/>
      <c r="L911" s="12"/>
      <c r="M911" s="12"/>
      <c r="N911" s="12"/>
      <c r="O911" s="12"/>
      <c r="P911" s="12"/>
      <c r="Q911" s="12"/>
      <c r="R911" s="12"/>
      <c r="S911" s="12"/>
      <c r="T911" s="12"/>
      <c r="U911" s="12"/>
      <c r="W911" s="12"/>
      <c r="X911" s="12"/>
      <c r="Y911" s="12"/>
      <c r="Z911" s="12"/>
      <c r="AA911" s="12"/>
    </row>
    <row r="912" spans="1:27" ht="15.75" customHeight="1">
      <c r="A912" s="12"/>
      <c r="B912" s="12"/>
      <c r="C912" s="12"/>
      <c r="D912" s="12"/>
      <c r="E912" s="12"/>
      <c r="F912" s="12"/>
      <c r="G912" s="12"/>
      <c r="H912" s="12"/>
      <c r="I912" s="12"/>
      <c r="J912" s="12"/>
      <c r="K912" s="12"/>
      <c r="L912" s="12"/>
      <c r="M912" s="12"/>
      <c r="N912" s="12"/>
      <c r="O912" s="12"/>
      <c r="P912" s="12"/>
      <c r="Q912" s="12"/>
      <c r="R912" s="12"/>
      <c r="S912" s="12"/>
      <c r="T912" s="12"/>
      <c r="U912" s="12"/>
      <c r="W912" s="12"/>
      <c r="X912" s="12"/>
      <c r="Y912" s="12"/>
      <c r="Z912" s="12"/>
      <c r="AA912" s="12"/>
    </row>
    <row r="913" spans="1:27" ht="15.75" customHeight="1">
      <c r="A913" s="12"/>
      <c r="B913" s="12"/>
      <c r="C913" s="12"/>
      <c r="D913" s="12"/>
      <c r="E913" s="12"/>
      <c r="F913" s="12"/>
      <c r="G913" s="12"/>
      <c r="H913" s="12"/>
      <c r="I913" s="12"/>
      <c r="J913" s="12"/>
      <c r="K913" s="12"/>
      <c r="L913" s="12"/>
      <c r="M913" s="12"/>
      <c r="N913" s="12"/>
      <c r="O913" s="12"/>
      <c r="P913" s="12"/>
      <c r="Q913" s="12"/>
      <c r="R913" s="12"/>
      <c r="S913" s="12"/>
      <c r="T913" s="12"/>
      <c r="U913" s="12"/>
      <c r="W913" s="12"/>
      <c r="X913" s="12"/>
      <c r="Y913" s="12"/>
      <c r="Z913" s="12"/>
      <c r="AA913" s="12"/>
    </row>
    <row r="914" spans="1:27" ht="15.75" customHeight="1">
      <c r="A914" s="12"/>
      <c r="B914" s="12"/>
      <c r="C914" s="12"/>
      <c r="D914" s="12"/>
      <c r="E914" s="12"/>
      <c r="F914" s="12"/>
      <c r="G914" s="12"/>
      <c r="H914" s="12"/>
      <c r="I914" s="12"/>
      <c r="J914" s="12"/>
      <c r="K914" s="12"/>
      <c r="L914" s="12"/>
      <c r="M914" s="12"/>
      <c r="N914" s="12"/>
      <c r="O914" s="12"/>
      <c r="P914" s="12"/>
      <c r="Q914" s="12"/>
      <c r="R914" s="12"/>
      <c r="S914" s="12"/>
      <c r="T914" s="12"/>
      <c r="U914" s="12"/>
      <c r="W914" s="12"/>
      <c r="X914" s="12"/>
      <c r="Y914" s="12"/>
      <c r="Z914" s="12"/>
      <c r="AA914" s="12"/>
    </row>
    <row r="915" spans="1:27" ht="15.75" customHeight="1">
      <c r="A915" s="12"/>
      <c r="B915" s="12"/>
      <c r="C915" s="12"/>
      <c r="D915" s="12"/>
      <c r="E915" s="12"/>
      <c r="F915" s="12"/>
      <c r="G915" s="12"/>
      <c r="H915" s="12"/>
      <c r="I915" s="12"/>
      <c r="J915" s="12"/>
      <c r="K915" s="12"/>
      <c r="L915" s="12"/>
      <c r="M915" s="12"/>
      <c r="N915" s="12"/>
      <c r="O915" s="12"/>
      <c r="P915" s="12"/>
      <c r="Q915" s="12"/>
      <c r="R915" s="12"/>
      <c r="S915" s="12"/>
      <c r="T915" s="12"/>
      <c r="U915" s="12"/>
      <c r="W915" s="12"/>
      <c r="X915" s="12"/>
      <c r="Y915" s="12"/>
      <c r="Z915" s="12"/>
      <c r="AA915" s="12"/>
    </row>
    <row r="916" spans="1:27" ht="15.75" customHeight="1">
      <c r="A916" s="12"/>
      <c r="B916" s="12"/>
      <c r="C916" s="12"/>
      <c r="D916" s="12"/>
      <c r="E916" s="12"/>
      <c r="F916" s="12"/>
      <c r="G916" s="12"/>
      <c r="H916" s="12"/>
      <c r="I916" s="12"/>
      <c r="J916" s="12"/>
      <c r="K916" s="12"/>
      <c r="L916" s="12"/>
      <c r="M916" s="12"/>
      <c r="N916" s="12"/>
      <c r="O916" s="12"/>
      <c r="P916" s="12"/>
      <c r="Q916" s="12"/>
      <c r="R916" s="12"/>
      <c r="S916" s="12"/>
      <c r="T916" s="12"/>
      <c r="U916" s="12"/>
      <c r="W916" s="12"/>
      <c r="X916" s="12"/>
      <c r="Y916" s="12"/>
      <c r="Z916" s="12"/>
      <c r="AA916" s="12"/>
    </row>
    <row r="917" spans="1:27" ht="15.75" customHeight="1">
      <c r="A917" s="12"/>
      <c r="B917" s="12"/>
      <c r="C917" s="12"/>
      <c r="D917" s="12"/>
      <c r="E917" s="12"/>
      <c r="F917" s="12"/>
      <c r="G917" s="12"/>
      <c r="H917" s="12"/>
      <c r="I917" s="12"/>
      <c r="J917" s="12"/>
      <c r="K917" s="12"/>
      <c r="L917" s="12"/>
      <c r="M917" s="12"/>
      <c r="N917" s="12"/>
      <c r="O917" s="12"/>
      <c r="P917" s="12"/>
      <c r="Q917" s="12"/>
      <c r="R917" s="12"/>
      <c r="S917" s="12"/>
      <c r="T917" s="12"/>
      <c r="U917" s="12"/>
      <c r="W917" s="12"/>
      <c r="X917" s="12"/>
      <c r="Y917" s="12"/>
      <c r="Z917" s="12"/>
      <c r="AA917" s="12"/>
    </row>
    <row r="918" spans="1:27" ht="15.75" customHeight="1">
      <c r="A918" s="12"/>
      <c r="B918" s="12"/>
      <c r="C918" s="12"/>
      <c r="D918" s="12"/>
      <c r="E918" s="12"/>
      <c r="F918" s="12"/>
      <c r="G918" s="12"/>
      <c r="H918" s="12"/>
      <c r="I918" s="12"/>
      <c r="J918" s="12"/>
      <c r="K918" s="12"/>
      <c r="L918" s="12"/>
      <c r="M918" s="12"/>
      <c r="N918" s="12"/>
      <c r="O918" s="12"/>
      <c r="P918" s="12"/>
      <c r="Q918" s="12"/>
      <c r="R918" s="12"/>
      <c r="S918" s="12"/>
      <c r="T918" s="12"/>
      <c r="U918" s="12"/>
      <c r="W918" s="12"/>
      <c r="X918" s="12"/>
      <c r="Y918" s="12"/>
      <c r="Z918" s="12"/>
      <c r="AA918" s="12"/>
    </row>
    <row r="919" spans="1:27" ht="15.75" customHeight="1">
      <c r="A919" s="12"/>
      <c r="B919" s="12"/>
      <c r="C919" s="12"/>
      <c r="D919" s="12"/>
      <c r="E919" s="12"/>
      <c r="F919" s="12"/>
      <c r="G919" s="12"/>
      <c r="H919" s="12"/>
      <c r="I919" s="12"/>
      <c r="J919" s="12"/>
      <c r="K919" s="12"/>
      <c r="L919" s="12"/>
      <c r="M919" s="12"/>
      <c r="N919" s="12"/>
      <c r="O919" s="12"/>
      <c r="P919" s="12"/>
      <c r="Q919" s="12"/>
      <c r="R919" s="12"/>
      <c r="S919" s="12"/>
      <c r="T919" s="12"/>
      <c r="U919" s="12"/>
      <c r="W919" s="12"/>
      <c r="X919" s="12"/>
      <c r="Y919" s="12"/>
      <c r="Z919" s="12"/>
      <c r="AA919" s="12"/>
    </row>
    <row r="920" spans="1:27" ht="15.75" customHeight="1">
      <c r="A920" s="12"/>
      <c r="B920" s="12"/>
      <c r="C920" s="12"/>
      <c r="D920" s="12"/>
      <c r="E920" s="12"/>
      <c r="F920" s="12"/>
      <c r="G920" s="12"/>
      <c r="H920" s="12"/>
      <c r="I920" s="12"/>
      <c r="J920" s="12"/>
      <c r="K920" s="12"/>
      <c r="L920" s="12"/>
      <c r="M920" s="12"/>
      <c r="N920" s="12"/>
      <c r="O920" s="12"/>
      <c r="P920" s="12"/>
      <c r="Q920" s="12"/>
      <c r="R920" s="12"/>
      <c r="S920" s="12"/>
      <c r="T920" s="12"/>
      <c r="U920" s="12"/>
      <c r="W920" s="12"/>
      <c r="X920" s="12"/>
      <c r="Y920" s="12"/>
      <c r="Z920" s="12"/>
      <c r="AA920" s="12"/>
    </row>
    <row r="921" spans="1:27" ht="15.75" customHeight="1">
      <c r="A921" s="12"/>
      <c r="B921" s="12"/>
      <c r="C921" s="12"/>
      <c r="D921" s="12"/>
      <c r="E921" s="12"/>
      <c r="F921" s="12"/>
      <c r="G921" s="12"/>
      <c r="H921" s="12"/>
      <c r="I921" s="12"/>
      <c r="J921" s="12"/>
      <c r="K921" s="12"/>
      <c r="L921" s="12"/>
      <c r="M921" s="12"/>
      <c r="N921" s="12"/>
      <c r="O921" s="12"/>
      <c r="P921" s="12"/>
      <c r="Q921" s="12"/>
      <c r="R921" s="12"/>
      <c r="S921" s="12"/>
      <c r="T921" s="12"/>
      <c r="U921" s="12"/>
      <c r="W921" s="12"/>
      <c r="X921" s="12"/>
      <c r="Y921" s="12"/>
      <c r="Z921" s="12"/>
      <c r="AA921" s="12"/>
    </row>
    <row r="922" spans="1:27" ht="15.75" customHeight="1">
      <c r="A922" s="12"/>
      <c r="B922" s="12"/>
      <c r="C922" s="12"/>
      <c r="D922" s="12"/>
      <c r="E922" s="12"/>
      <c r="F922" s="12"/>
      <c r="G922" s="12"/>
      <c r="H922" s="12"/>
      <c r="I922" s="12"/>
      <c r="J922" s="12"/>
      <c r="K922" s="12"/>
      <c r="L922" s="12"/>
      <c r="M922" s="12"/>
      <c r="N922" s="12"/>
      <c r="O922" s="12"/>
      <c r="P922" s="12"/>
      <c r="Q922" s="12"/>
      <c r="R922" s="12"/>
      <c r="S922" s="12"/>
      <c r="T922" s="12"/>
      <c r="U922" s="12"/>
      <c r="W922" s="12"/>
      <c r="X922" s="12"/>
      <c r="Y922" s="12"/>
      <c r="Z922" s="12"/>
      <c r="AA922" s="12"/>
    </row>
    <row r="923" spans="1:27" ht="15.75" customHeight="1">
      <c r="A923" s="12"/>
      <c r="B923" s="12"/>
      <c r="C923" s="12"/>
      <c r="D923" s="12"/>
      <c r="E923" s="12"/>
      <c r="F923" s="12"/>
      <c r="G923" s="12"/>
      <c r="H923" s="12"/>
      <c r="I923" s="12"/>
      <c r="J923" s="12"/>
      <c r="K923" s="12"/>
      <c r="L923" s="12"/>
      <c r="M923" s="12"/>
      <c r="N923" s="12"/>
      <c r="O923" s="12"/>
      <c r="P923" s="12"/>
      <c r="Q923" s="12"/>
      <c r="R923" s="12"/>
      <c r="S923" s="12"/>
      <c r="T923" s="12"/>
      <c r="U923" s="12"/>
      <c r="W923" s="12"/>
      <c r="X923" s="12"/>
      <c r="Y923" s="12"/>
      <c r="Z923" s="12"/>
      <c r="AA923" s="12"/>
    </row>
    <row r="924" spans="1:27" ht="15.75" customHeight="1">
      <c r="A924" s="12"/>
      <c r="B924" s="12"/>
      <c r="C924" s="12"/>
      <c r="D924" s="12"/>
      <c r="E924" s="12"/>
      <c r="F924" s="12"/>
      <c r="G924" s="12"/>
      <c r="H924" s="12"/>
      <c r="I924" s="12"/>
      <c r="J924" s="12"/>
      <c r="K924" s="12"/>
      <c r="L924" s="12"/>
      <c r="M924" s="12"/>
      <c r="N924" s="12"/>
      <c r="O924" s="12"/>
      <c r="P924" s="12"/>
      <c r="Q924" s="12"/>
      <c r="R924" s="12"/>
      <c r="S924" s="12"/>
      <c r="T924" s="12"/>
      <c r="U924" s="12"/>
      <c r="W924" s="12"/>
      <c r="X924" s="12"/>
      <c r="Y924" s="12"/>
      <c r="Z924" s="12"/>
      <c r="AA924" s="12"/>
    </row>
    <row r="925" spans="1:27" ht="15.75" customHeight="1">
      <c r="A925" s="12"/>
      <c r="B925" s="12"/>
      <c r="C925" s="12"/>
      <c r="D925" s="12"/>
      <c r="E925" s="12"/>
      <c r="F925" s="12"/>
      <c r="G925" s="12"/>
      <c r="H925" s="12"/>
      <c r="I925" s="12"/>
      <c r="J925" s="12"/>
      <c r="K925" s="12"/>
      <c r="L925" s="12"/>
      <c r="M925" s="12"/>
      <c r="N925" s="12"/>
      <c r="O925" s="12"/>
      <c r="P925" s="12"/>
      <c r="Q925" s="12"/>
      <c r="R925" s="12"/>
      <c r="S925" s="12"/>
      <c r="T925" s="12"/>
      <c r="U925" s="12"/>
      <c r="W925" s="12"/>
      <c r="X925" s="12"/>
      <c r="Y925" s="12"/>
      <c r="Z925" s="12"/>
      <c r="AA925" s="12"/>
    </row>
    <row r="926" spans="1:27" ht="15.75" customHeight="1">
      <c r="A926" s="12"/>
      <c r="B926" s="12"/>
      <c r="C926" s="12"/>
      <c r="D926" s="12"/>
      <c r="E926" s="12"/>
      <c r="F926" s="12"/>
      <c r="G926" s="12"/>
      <c r="H926" s="12"/>
      <c r="I926" s="12"/>
      <c r="J926" s="12"/>
      <c r="K926" s="12"/>
      <c r="L926" s="12"/>
      <c r="M926" s="12"/>
      <c r="N926" s="12"/>
      <c r="O926" s="12"/>
      <c r="P926" s="12"/>
      <c r="Q926" s="12"/>
      <c r="R926" s="12"/>
      <c r="S926" s="12"/>
      <c r="T926" s="12"/>
      <c r="U926" s="12"/>
      <c r="W926" s="12"/>
      <c r="X926" s="12"/>
      <c r="Y926" s="12"/>
      <c r="Z926" s="12"/>
      <c r="AA926" s="12"/>
    </row>
    <row r="927" spans="1:27" ht="15.75" customHeight="1">
      <c r="A927" s="12"/>
      <c r="B927" s="12"/>
      <c r="C927" s="12"/>
      <c r="D927" s="12"/>
      <c r="E927" s="12"/>
      <c r="F927" s="12"/>
      <c r="G927" s="12"/>
      <c r="H927" s="12"/>
      <c r="I927" s="12"/>
      <c r="J927" s="12"/>
      <c r="K927" s="12"/>
      <c r="L927" s="12"/>
      <c r="M927" s="12"/>
      <c r="N927" s="12"/>
      <c r="O927" s="12"/>
      <c r="P927" s="12"/>
      <c r="Q927" s="12"/>
      <c r="R927" s="12"/>
      <c r="S927" s="12"/>
      <c r="T927" s="12"/>
      <c r="U927" s="12"/>
      <c r="W927" s="12"/>
      <c r="X927" s="12"/>
      <c r="Y927" s="12"/>
      <c r="Z927" s="12"/>
      <c r="AA927" s="12"/>
    </row>
    <row r="928" spans="1:27" ht="15.75" customHeight="1">
      <c r="A928" s="12"/>
      <c r="B928" s="12"/>
      <c r="C928" s="12"/>
      <c r="D928" s="12"/>
      <c r="E928" s="12"/>
      <c r="F928" s="12"/>
      <c r="G928" s="12"/>
      <c r="H928" s="12"/>
      <c r="I928" s="12"/>
      <c r="J928" s="12"/>
      <c r="K928" s="12"/>
      <c r="L928" s="12"/>
      <c r="M928" s="12"/>
      <c r="N928" s="12"/>
      <c r="O928" s="12"/>
      <c r="P928" s="12"/>
      <c r="Q928" s="12"/>
      <c r="R928" s="12"/>
      <c r="S928" s="12"/>
      <c r="T928" s="12"/>
      <c r="U928" s="12"/>
      <c r="W928" s="12"/>
      <c r="X928" s="12"/>
      <c r="Y928" s="12"/>
      <c r="Z928" s="12"/>
      <c r="AA928" s="12"/>
    </row>
    <row r="929" spans="1:27" ht="15.75" customHeight="1">
      <c r="A929" s="12"/>
      <c r="B929" s="12"/>
      <c r="C929" s="12"/>
      <c r="D929" s="12"/>
      <c r="E929" s="12"/>
      <c r="F929" s="12"/>
      <c r="G929" s="12"/>
      <c r="H929" s="12"/>
      <c r="I929" s="12"/>
      <c r="J929" s="12"/>
      <c r="K929" s="12"/>
      <c r="L929" s="12"/>
      <c r="M929" s="12"/>
      <c r="N929" s="12"/>
      <c r="O929" s="12"/>
      <c r="P929" s="12"/>
      <c r="Q929" s="12"/>
      <c r="R929" s="12"/>
      <c r="S929" s="12"/>
      <c r="T929" s="12"/>
      <c r="U929" s="12"/>
      <c r="W929" s="12"/>
      <c r="X929" s="12"/>
      <c r="Y929" s="12"/>
      <c r="Z929" s="12"/>
      <c r="AA929" s="12"/>
    </row>
    <row r="930" spans="1:27" ht="15.75" customHeight="1">
      <c r="A930" s="12"/>
      <c r="B930" s="12"/>
      <c r="C930" s="12"/>
      <c r="D930" s="12"/>
      <c r="E930" s="12"/>
      <c r="F930" s="12"/>
      <c r="G930" s="12"/>
      <c r="H930" s="12"/>
      <c r="I930" s="12"/>
      <c r="J930" s="12"/>
      <c r="K930" s="12"/>
      <c r="L930" s="12"/>
      <c r="M930" s="12"/>
      <c r="N930" s="12"/>
      <c r="O930" s="12"/>
      <c r="P930" s="12"/>
      <c r="Q930" s="12"/>
      <c r="R930" s="12"/>
      <c r="S930" s="12"/>
      <c r="T930" s="12"/>
      <c r="U930" s="12"/>
      <c r="W930" s="12"/>
      <c r="X930" s="12"/>
      <c r="Y930" s="12"/>
      <c r="Z930" s="12"/>
      <c r="AA930" s="12"/>
    </row>
    <row r="931" spans="1:27" ht="15.75" customHeight="1">
      <c r="A931" s="12"/>
      <c r="B931" s="12"/>
      <c r="C931" s="12"/>
      <c r="D931" s="12"/>
      <c r="E931" s="12"/>
      <c r="F931" s="12"/>
      <c r="G931" s="12"/>
      <c r="H931" s="12"/>
      <c r="I931" s="12"/>
      <c r="J931" s="12"/>
      <c r="K931" s="12"/>
      <c r="L931" s="12"/>
      <c r="M931" s="12"/>
      <c r="N931" s="12"/>
      <c r="O931" s="12"/>
      <c r="P931" s="12"/>
      <c r="Q931" s="12"/>
      <c r="R931" s="12"/>
      <c r="S931" s="12"/>
      <c r="T931" s="12"/>
      <c r="U931" s="12"/>
      <c r="W931" s="12"/>
      <c r="X931" s="12"/>
      <c r="Y931" s="12"/>
      <c r="Z931" s="12"/>
      <c r="AA931" s="12"/>
    </row>
    <row r="932" spans="1:27" ht="15.75" customHeight="1">
      <c r="A932" s="12"/>
      <c r="B932" s="12"/>
      <c r="C932" s="12"/>
      <c r="D932" s="12"/>
      <c r="E932" s="12"/>
      <c r="F932" s="12"/>
      <c r="G932" s="12"/>
      <c r="H932" s="12"/>
      <c r="I932" s="12"/>
      <c r="J932" s="12"/>
      <c r="K932" s="12"/>
      <c r="L932" s="12"/>
      <c r="M932" s="12"/>
      <c r="N932" s="12"/>
      <c r="O932" s="12"/>
      <c r="P932" s="12"/>
      <c r="Q932" s="12"/>
      <c r="R932" s="12"/>
      <c r="S932" s="12"/>
      <c r="T932" s="12"/>
      <c r="U932" s="12"/>
      <c r="W932" s="12"/>
      <c r="X932" s="12"/>
      <c r="Y932" s="12"/>
      <c r="Z932" s="12"/>
      <c r="AA932" s="12"/>
    </row>
    <row r="933" spans="1:27" ht="15.75" customHeight="1">
      <c r="A933" s="12"/>
      <c r="B933" s="12"/>
      <c r="C933" s="12"/>
      <c r="D933" s="12"/>
      <c r="E933" s="12"/>
      <c r="F933" s="12"/>
      <c r="G933" s="12"/>
      <c r="H933" s="12"/>
      <c r="I933" s="12"/>
      <c r="J933" s="12"/>
      <c r="K933" s="12"/>
      <c r="L933" s="12"/>
      <c r="M933" s="12"/>
      <c r="N933" s="12"/>
      <c r="O933" s="12"/>
      <c r="P933" s="12"/>
      <c r="Q933" s="12"/>
      <c r="R933" s="12"/>
      <c r="S933" s="12"/>
      <c r="T933" s="12"/>
      <c r="U933" s="12"/>
      <c r="W933" s="12"/>
      <c r="X933" s="12"/>
      <c r="Y933" s="12"/>
      <c r="Z933" s="12"/>
      <c r="AA933" s="12"/>
    </row>
    <row r="934" spans="1:27" ht="15.75" customHeight="1">
      <c r="A934" s="12"/>
      <c r="B934" s="12"/>
      <c r="C934" s="12"/>
      <c r="D934" s="12"/>
      <c r="E934" s="12"/>
      <c r="F934" s="12"/>
      <c r="G934" s="12"/>
      <c r="H934" s="12"/>
      <c r="I934" s="12"/>
      <c r="J934" s="12"/>
      <c r="K934" s="12"/>
      <c r="L934" s="12"/>
      <c r="M934" s="12"/>
      <c r="N934" s="12"/>
      <c r="O934" s="12"/>
      <c r="P934" s="12"/>
      <c r="Q934" s="12"/>
      <c r="R934" s="12"/>
      <c r="S934" s="12"/>
      <c r="T934" s="12"/>
      <c r="U934" s="12"/>
      <c r="W934" s="12"/>
      <c r="X934" s="12"/>
      <c r="Y934" s="12"/>
      <c r="Z934" s="12"/>
      <c r="AA934" s="12"/>
    </row>
    <row r="935" spans="1:27" ht="15.75" customHeight="1">
      <c r="A935" s="12"/>
      <c r="B935" s="12"/>
      <c r="C935" s="12"/>
      <c r="D935" s="12"/>
      <c r="E935" s="12"/>
      <c r="F935" s="12"/>
      <c r="G935" s="12"/>
      <c r="H935" s="12"/>
      <c r="I935" s="12"/>
      <c r="J935" s="12"/>
      <c r="K935" s="12"/>
      <c r="L935" s="12"/>
      <c r="M935" s="12"/>
      <c r="N935" s="12"/>
      <c r="O935" s="12"/>
      <c r="P935" s="12"/>
      <c r="Q935" s="12"/>
      <c r="R935" s="12"/>
      <c r="S935" s="12"/>
      <c r="T935" s="12"/>
      <c r="U935" s="12"/>
      <c r="W935" s="12"/>
      <c r="X935" s="12"/>
      <c r="Y935" s="12"/>
      <c r="Z935" s="12"/>
      <c r="AA935" s="12"/>
    </row>
    <row r="936" spans="1:27" ht="15.75" customHeight="1">
      <c r="A936" s="12"/>
      <c r="B936" s="12"/>
      <c r="C936" s="12"/>
      <c r="D936" s="12"/>
      <c r="E936" s="12"/>
      <c r="F936" s="12"/>
      <c r="G936" s="12"/>
      <c r="H936" s="12"/>
      <c r="I936" s="12"/>
      <c r="J936" s="12"/>
      <c r="K936" s="12"/>
      <c r="L936" s="12"/>
      <c r="M936" s="12"/>
      <c r="N936" s="12"/>
      <c r="O936" s="12"/>
      <c r="P936" s="12"/>
      <c r="Q936" s="12"/>
      <c r="R936" s="12"/>
      <c r="S936" s="12"/>
      <c r="T936" s="12"/>
      <c r="U936" s="12"/>
      <c r="W936" s="12"/>
      <c r="X936" s="12"/>
      <c r="Y936" s="12"/>
      <c r="Z936" s="12"/>
      <c r="AA936" s="12"/>
    </row>
    <row r="937" spans="1:27" ht="15.75" customHeight="1">
      <c r="A937" s="12"/>
      <c r="B937" s="12"/>
      <c r="C937" s="12"/>
      <c r="D937" s="12"/>
      <c r="E937" s="12"/>
      <c r="F937" s="12"/>
      <c r="G937" s="12"/>
      <c r="H937" s="12"/>
      <c r="I937" s="12"/>
      <c r="J937" s="12"/>
      <c r="K937" s="12"/>
      <c r="L937" s="12"/>
      <c r="M937" s="12"/>
      <c r="N937" s="12"/>
      <c r="O937" s="12"/>
      <c r="P937" s="12"/>
      <c r="Q937" s="12"/>
      <c r="R937" s="12"/>
      <c r="S937" s="12"/>
      <c r="T937" s="12"/>
      <c r="U937" s="12"/>
      <c r="W937" s="12"/>
      <c r="X937" s="12"/>
      <c r="Y937" s="12"/>
      <c r="Z937" s="12"/>
      <c r="AA937" s="12"/>
    </row>
    <row r="938" spans="1:27" ht="15.75" customHeight="1">
      <c r="A938" s="12"/>
      <c r="B938" s="12"/>
      <c r="C938" s="12"/>
      <c r="D938" s="12"/>
      <c r="E938" s="12"/>
      <c r="F938" s="12"/>
      <c r="G938" s="12"/>
      <c r="H938" s="12"/>
      <c r="I938" s="12"/>
      <c r="J938" s="12"/>
      <c r="K938" s="12"/>
      <c r="L938" s="12"/>
      <c r="M938" s="12"/>
      <c r="N938" s="12"/>
      <c r="O938" s="12"/>
      <c r="P938" s="12"/>
      <c r="Q938" s="12"/>
      <c r="R938" s="12"/>
      <c r="S938" s="12"/>
      <c r="T938" s="12"/>
      <c r="U938" s="12"/>
      <c r="W938" s="12"/>
      <c r="X938" s="12"/>
      <c r="Y938" s="12"/>
      <c r="Z938" s="12"/>
      <c r="AA938" s="12"/>
    </row>
    <row r="939" spans="1:27" ht="15.75" customHeight="1">
      <c r="A939" s="12"/>
      <c r="B939" s="12"/>
      <c r="C939" s="12"/>
      <c r="D939" s="12"/>
      <c r="E939" s="12"/>
      <c r="F939" s="12"/>
      <c r="G939" s="12"/>
      <c r="H939" s="12"/>
      <c r="I939" s="12"/>
      <c r="J939" s="12"/>
      <c r="K939" s="12"/>
      <c r="L939" s="12"/>
      <c r="M939" s="12"/>
      <c r="N939" s="12"/>
      <c r="O939" s="12"/>
      <c r="P939" s="12"/>
      <c r="Q939" s="12"/>
      <c r="R939" s="12"/>
      <c r="S939" s="12"/>
      <c r="T939" s="12"/>
      <c r="U939" s="12"/>
      <c r="W939" s="12"/>
      <c r="X939" s="12"/>
      <c r="Y939" s="12"/>
      <c r="Z939" s="12"/>
      <c r="AA939" s="12"/>
    </row>
    <row r="940" spans="1:27" ht="15.75" customHeight="1">
      <c r="A940" s="12"/>
      <c r="B940" s="12"/>
      <c r="C940" s="12"/>
      <c r="D940" s="12"/>
      <c r="E940" s="12"/>
      <c r="F940" s="12"/>
      <c r="G940" s="12"/>
      <c r="H940" s="12"/>
      <c r="I940" s="12"/>
      <c r="J940" s="12"/>
      <c r="K940" s="12"/>
      <c r="L940" s="12"/>
      <c r="M940" s="12"/>
      <c r="N940" s="12"/>
      <c r="O940" s="12"/>
      <c r="P940" s="12"/>
      <c r="Q940" s="12"/>
      <c r="R940" s="12"/>
      <c r="S940" s="12"/>
      <c r="T940" s="12"/>
      <c r="U940" s="12"/>
      <c r="W940" s="12"/>
      <c r="X940" s="12"/>
      <c r="Y940" s="12"/>
      <c r="Z940" s="12"/>
      <c r="AA940" s="12"/>
    </row>
    <row r="941" spans="1:27" ht="15.75" customHeight="1">
      <c r="A941" s="12"/>
      <c r="B941" s="12"/>
      <c r="C941" s="12"/>
      <c r="D941" s="12"/>
      <c r="E941" s="12"/>
      <c r="F941" s="12"/>
      <c r="G941" s="12"/>
      <c r="H941" s="12"/>
      <c r="I941" s="12"/>
      <c r="J941" s="12"/>
      <c r="K941" s="12"/>
      <c r="L941" s="12"/>
      <c r="M941" s="12"/>
      <c r="N941" s="12"/>
      <c r="O941" s="12"/>
      <c r="P941" s="12"/>
      <c r="Q941" s="12"/>
      <c r="R941" s="12"/>
      <c r="S941" s="12"/>
      <c r="T941" s="12"/>
      <c r="U941" s="12"/>
      <c r="W941" s="12"/>
      <c r="X941" s="12"/>
      <c r="Y941" s="12"/>
      <c r="Z941" s="12"/>
      <c r="AA941" s="12"/>
    </row>
    <row r="942" spans="1:27" ht="15.75" customHeight="1">
      <c r="A942" s="12"/>
      <c r="B942" s="12"/>
      <c r="C942" s="12"/>
      <c r="D942" s="12"/>
      <c r="E942" s="12"/>
      <c r="F942" s="12"/>
      <c r="G942" s="12"/>
      <c r="H942" s="12"/>
      <c r="I942" s="12"/>
      <c r="J942" s="12"/>
      <c r="K942" s="12"/>
      <c r="L942" s="12"/>
      <c r="M942" s="12"/>
      <c r="N942" s="12"/>
      <c r="O942" s="12"/>
      <c r="P942" s="12"/>
      <c r="Q942" s="12"/>
      <c r="R942" s="12"/>
      <c r="S942" s="12"/>
      <c r="T942" s="12"/>
      <c r="U942" s="12"/>
      <c r="W942" s="12"/>
      <c r="X942" s="12"/>
      <c r="Y942" s="12"/>
      <c r="Z942" s="12"/>
      <c r="AA942" s="12"/>
    </row>
    <row r="943" spans="1:27" ht="15.75" customHeight="1">
      <c r="A943" s="12"/>
      <c r="B943" s="12"/>
      <c r="C943" s="12"/>
      <c r="D943" s="12"/>
      <c r="E943" s="12"/>
      <c r="F943" s="12"/>
      <c r="G943" s="12"/>
      <c r="H943" s="12"/>
      <c r="I943" s="12"/>
      <c r="J943" s="12"/>
      <c r="K943" s="12"/>
      <c r="L943" s="12"/>
      <c r="M943" s="12"/>
      <c r="N943" s="12"/>
      <c r="O943" s="12"/>
      <c r="P943" s="12"/>
      <c r="Q943" s="12"/>
      <c r="R943" s="12"/>
      <c r="S943" s="12"/>
      <c r="T943" s="12"/>
      <c r="U943" s="12"/>
      <c r="W943" s="12"/>
      <c r="X943" s="12"/>
      <c r="Y943" s="12"/>
      <c r="Z943" s="12"/>
      <c r="AA943" s="12"/>
    </row>
    <row r="944" spans="1:27" ht="15.75" customHeight="1">
      <c r="A944" s="12"/>
      <c r="B944" s="12"/>
      <c r="C944" s="12"/>
      <c r="D944" s="12"/>
      <c r="E944" s="12"/>
      <c r="F944" s="12"/>
      <c r="G944" s="12"/>
      <c r="H944" s="12"/>
      <c r="I944" s="12"/>
      <c r="J944" s="12"/>
      <c r="K944" s="12"/>
      <c r="L944" s="12"/>
      <c r="M944" s="12"/>
      <c r="N944" s="12"/>
      <c r="O944" s="12"/>
      <c r="P944" s="12"/>
      <c r="Q944" s="12"/>
      <c r="R944" s="12"/>
      <c r="S944" s="12"/>
      <c r="T944" s="12"/>
      <c r="U944" s="12"/>
      <c r="W944" s="12"/>
      <c r="X944" s="12"/>
      <c r="Y944" s="12"/>
      <c r="Z944" s="12"/>
      <c r="AA944" s="12"/>
    </row>
    <row r="945" spans="1:27" ht="15.75" customHeight="1">
      <c r="A945" s="12"/>
      <c r="B945" s="12"/>
      <c r="C945" s="12"/>
      <c r="D945" s="12"/>
      <c r="E945" s="12"/>
      <c r="F945" s="12"/>
      <c r="G945" s="12"/>
      <c r="H945" s="12"/>
      <c r="I945" s="12"/>
      <c r="J945" s="12"/>
      <c r="K945" s="12"/>
      <c r="L945" s="12"/>
      <c r="M945" s="12"/>
      <c r="N945" s="12"/>
      <c r="O945" s="12"/>
      <c r="P945" s="12"/>
      <c r="Q945" s="12"/>
      <c r="R945" s="12"/>
      <c r="S945" s="12"/>
      <c r="T945" s="12"/>
      <c r="U945" s="12"/>
      <c r="W945" s="12"/>
      <c r="X945" s="12"/>
      <c r="Y945" s="12"/>
      <c r="Z945" s="12"/>
      <c r="AA945" s="12"/>
    </row>
    <row r="946" spans="1:27" ht="15.75" customHeight="1">
      <c r="A946" s="12"/>
      <c r="B946" s="12"/>
      <c r="C946" s="12"/>
      <c r="D946" s="12"/>
      <c r="E946" s="12"/>
      <c r="F946" s="12"/>
      <c r="G946" s="12"/>
      <c r="H946" s="12"/>
      <c r="I946" s="12"/>
      <c r="J946" s="12"/>
      <c r="K946" s="12"/>
      <c r="L946" s="12"/>
      <c r="M946" s="12"/>
      <c r="N946" s="12"/>
      <c r="O946" s="12"/>
      <c r="P946" s="12"/>
      <c r="Q946" s="12"/>
      <c r="R946" s="12"/>
      <c r="S946" s="12"/>
      <c r="T946" s="12"/>
      <c r="U946" s="12"/>
      <c r="W946" s="12"/>
      <c r="X946" s="12"/>
      <c r="Y946" s="12"/>
      <c r="Z946" s="12"/>
      <c r="AA946" s="12"/>
    </row>
    <row r="947" spans="1:27" ht="15.75" customHeight="1">
      <c r="A947" s="12"/>
      <c r="B947" s="12"/>
      <c r="C947" s="12"/>
      <c r="D947" s="12"/>
      <c r="E947" s="12"/>
      <c r="F947" s="12"/>
      <c r="G947" s="12"/>
      <c r="H947" s="12"/>
      <c r="I947" s="12"/>
      <c r="J947" s="12"/>
      <c r="K947" s="12"/>
      <c r="L947" s="12"/>
      <c r="M947" s="12"/>
      <c r="N947" s="12"/>
      <c r="O947" s="12"/>
      <c r="P947" s="12"/>
      <c r="Q947" s="12"/>
      <c r="R947" s="12"/>
      <c r="S947" s="12"/>
      <c r="T947" s="12"/>
      <c r="U947" s="12"/>
      <c r="W947" s="12"/>
      <c r="X947" s="12"/>
      <c r="Y947" s="12"/>
      <c r="Z947" s="12"/>
      <c r="AA947" s="12"/>
    </row>
    <row r="948" spans="1:27" ht="15.75" customHeight="1">
      <c r="A948" s="12"/>
      <c r="B948" s="12"/>
      <c r="C948" s="12"/>
      <c r="D948" s="12"/>
      <c r="E948" s="12"/>
      <c r="F948" s="12"/>
      <c r="G948" s="12"/>
      <c r="H948" s="12"/>
      <c r="I948" s="12"/>
      <c r="J948" s="12"/>
      <c r="K948" s="12"/>
      <c r="L948" s="12"/>
      <c r="M948" s="12"/>
      <c r="N948" s="12"/>
      <c r="O948" s="12"/>
      <c r="P948" s="12"/>
      <c r="Q948" s="12"/>
      <c r="R948" s="12"/>
      <c r="S948" s="12"/>
      <c r="T948" s="12"/>
      <c r="U948" s="12"/>
      <c r="W948" s="12"/>
      <c r="X948" s="12"/>
      <c r="Y948" s="12"/>
      <c r="Z948" s="12"/>
      <c r="AA948" s="12"/>
    </row>
    <row r="949" spans="1:27" ht="15.75" customHeight="1">
      <c r="A949" s="12"/>
      <c r="B949" s="12"/>
      <c r="C949" s="12"/>
      <c r="D949" s="12"/>
      <c r="E949" s="12"/>
      <c r="F949" s="12"/>
      <c r="G949" s="12"/>
      <c r="H949" s="12"/>
      <c r="I949" s="12"/>
      <c r="J949" s="12"/>
      <c r="K949" s="12"/>
      <c r="L949" s="12"/>
      <c r="M949" s="12"/>
      <c r="N949" s="12"/>
      <c r="O949" s="12"/>
      <c r="P949" s="12"/>
      <c r="Q949" s="12"/>
      <c r="R949" s="12"/>
      <c r="S949" s="12"/>
      <c r="T949" s="12"/>
      <c r="U949" s="12"/>
      <c r="W949" s="12"/>
      <c r="X949" s="12"/>
      <c r="Y949" s="12"/>
      <c r="Z949" s="12"/>
      <c r="AA949" s="12"/>
    </row>
    <row r="950" spans="1:27" ht="15.75" customHeight="1">
      <c r="A950" s="12"/>
      <c r="B950" s="12"/>
      <c r="C950" s="12"/>
      <c r="D950" s="12"/>
      <c r="E950" s="12"/>
      <c r="F950" s="12"/>
      <c r="G950" s="12"/>
      <c r="H950" s="12"/>
      <c r="I950" s="12"/>
      <c r="J950" s="12"/>
      <c r="K950" s="12"/>
      <c r="L950" s="12"/>
      <c r="M950" s="12"/>
      <c r="N950" s="12"/>
      <c r="O950" s="12"/>
      <c r="P950" s="12"/>
      <c r="Q950" s="12"/>
      <c r="R950" s="12"/>
      <c r="S950" s="12"/>
      <c r="T950" s="12"/>
      <c r="U950" s="12"/>
      <c r="W950" s="12"/>
      <c r="X950" s="12"/>
      <c r="Y950" s="12"/>
      <c r="Z950" s="12"/>
      <c r="AA950" s="12"/>
    </row>
    <row r="951" spans="1:27" ht="15.75" customHeight="1">
      <c r="A951" s="12"/>
      <c r="B951" s="12"/>
      <c r="C951" s="12"/>
      <c r="D951" s="12"/>
      <c r="E951" s="12"/>
      <c r="F951" s="12"/>
      <c r="G951" s="12"/>
      <c r="H951" s="12"/>
      <c r="I951" s="12"/>
      <c r="J951" s="12"/>
      <c r="K951" s="12"/>
      <c r="L951" s="12"/>
      <c r="M951" s="12"/>
      <c r="N951" s="12"/>
      <c r="O951" s="12"/>
      <c r="P951" s="12"/>
      <c r="Q951" s="12"/>
      <c r="R951" s="12"/>
      <c r="S951" s="12"/>
      <c r="T951" s="12"/>
      <c r="U951" s="12"/>
      <c r="W951" s="12"/>
      <c r="X951" s="12"/>
      <c r="Y951" s="12"/>
      <c r="Z951" s="12"/>
      <c r="AA951" s="12"/>
    </row>
    <row r="952" spans="1:27" ht="15.75" customHeight="1">
      <c r="A952" s="12"/>
      <c r="B952" s="12"/>
      <c r="C952" s="12"/>
      <c r="D952" s="12"/>
      <c r="E952" s="12"/>
      <c r="F952" s="12"/>
      <c r="G952" s="12"/>
      <c r="H952" s="12"/>
      <c r="I952" s="12"/>
      <c r="J952" s="12"/>
      <c r="K952" s="12"/>
      <c r="L952" s="12"/>
      <c r="M952" s="12"/>
      <c r="N952" s="12"/>
      <c r="O952" s="12"/>
      <c r="P952" s="12"/>
      <c r="Q952" s="12"/>
      <c r="R952" s="12"/>
      <c r="S952" s="12"/>
      <c r="T952" s="12"/>
      <c r="U952" s="12"/>
      <c r="W952" s="12"/>
      <c r="X952" s="12"/>
      <c r="Y952" s="12"/>
      <c r="Z952" s="12"/>
      <c r="AA952" s="12"/>
    </row>
    <row r="953" spans="1:27" ht="15.75" customHeight="1">
      <c r="A953" s="12"/>
      <c r="B953" s="12"/>
      <c r="C953" s="12"/>
      <c r="D953" s="12"/>
      <c r="E953" s="12"/>
      <c r="F953" s="12"/>
      <c r="G953" s="12"/>
      <c r="H953" s="12"/>
      <c r="I953" s="12"/>
      <c r="J953" s="12"/>
      <c r="K953" s="12"/>
      <c r="L953" s="12"/>
      <c r="M953" s="12"/>
      <c r="N953" s="12"/>
      <c r="O953" s="12"/>
      <c r="P953" s="12"/>
      <c r="Q953" s="12"/>
      <c r="R953" s="12"/>
      <c r="S953" s="12"/>
      <c r="T953" s="12"/>
      <c r="U953" s="12"/>
      <c r="W953" s="12"/>
      <c r="X953" s="12"/>
      <c r="Y953" s="12"/>
      <c r="Z953" s="12"/>
      <c r="AA953" s="12"/>
    </row>
    <row r="954" spans="1:27" ht="15.75" customHeight="1">
      <c r="A954" s="12"/>
      <c r="B954" s="12"/>
      <c r="C954" s="12"/>
      <c r="D954" s="12"/>
      <c r="E954" s="12"/>
      <c r="F954" s="12"/>
      <c r="G954" s="12"/>
      <c r="H954" s="12"/>
      <c r="I954" s="12"/>
      <c r="J954" s="12"/>
      <c r="K954" s="12"/>
      <c r="L954" s="12"/>
      <c r="M954" s="12"/>
      <c r="N954" s="12"/>
      <c r="O954" s="12"/>
      <c r="P954" s="12"/>
      <c r="Q954" s="12"/>
      <c r="R954" s="12"/>
      <c r="S954" s="12"/>
      <c r="T954" s="12"/>
      <c r="U954" s="12"/>
      <c r="W954" s="12"/>
      <c r="X954" s="12"/>
      <c r="Y954" s="12"/>
      <c r="Z954" s="12"/>
      <c r="AA954" s="12"/>
    </row>
    <row r="955" spans="1:27" ht="15.75" customHeight="1">
      <c r="A955" s="12"/>
      <c r="B955" s="12"/>
      <c r="C955" s="12"/>
      <c r="D955" s="12"/>
      <c r="E955" s="12"/>
      <c r="F955" s="12"/>
      <c r="G955" s="12"/>
      <c r="H955" s="12"/>
      <c r="I955" s="12"/>
      <c r="J955" s="12"/>
      <c r="K955" s="12"/>
      <c r="L955" s="12"/>
      <c r="M955" s="12"/>
      <c r="N955" s="12"/>
      <c r="O955" s="12"/>
      <c r="P955" s="12"/>
      <c r="Q955" s="12"/>
      <c r="R955" s="12"/>
      <c r="S955" s="12"/>
      <c r="T955" s="12"/>
      <c r="U955" s="12"/>
      <c r="W955" s="12"/>
      <c r="X955" s="12"/>
      <c r="Y955" s="12"/>
      <c r="Z955" s="12"/>
      <c r="AA955" s="12"/>
    </row>
    <row r="956" spans="1:27" ht="15.75" customHeight="1">
      <c r="A956" s="12"/>
      <c r="B956" s="12"/>
      <c r="C956" s="12"/>
      <c r="D956" s="12"/>
      <c r="E956" s="12"/>
      <c r="F956" s="12"/>
      <c r="G956" s="12"/>
      <c r="H956" s="12"/>
      <c r="I956" s="12"/>
      <c r="J956" s="12"/>
      <c r="K956" s="12"/>
      <c r="L956" s="12"/>
      <c r="M956" s="12"/>
      <c r="N956" s="12"/>
      <c r="O956" s="12"/>
      <c r="P956" s="12"/>
      <c r="Q956" s="12"/>
      <c r="R956" s="12"/>
      <c r="S956" s="12"/>
      <c r="T956" s="12"/>
      <c r="U956" s="12"/>
      <c r="W956" s="12"/>
      <c r="X956" s="12"/>
      <c r="Y956" s="12"/>
      <c r="Z956" s="12"/>
      <c r="AA956" s="12"/>
    </row>
    <row r="957" spans="1:27" ht="15.75" customHeight="1">
      <c r="A957" s="12"/>
      <c r="B957" s="12"/>
      <c r="C957" s="12"/>
      <c r="D957" s="12"/>
      <c r="E957" s="12"/>
      <c r="F957" s="12"/>
      <c r="G957" s="12"/>
      <c r="H957" s="12"/>
      <c r="I957" s="12"/>
      <c r="J957" s="12"/>
      <c r="K957" s="12"/>
      <c r="L957" s="12"/>
      <c r="M957" s="12"/>
      <c r="N957" s="12"/>
      <c r="O957" s="12"/>
      <c r="P957" s="12"/>
      <c r="Q957" s="12"/>
      <c r="R957" s="12"/>
      <c r="S957" s="12"/>
      <c r="T957" s="12"/>
      <c r="U957" s="12"/>
      <c r="W957" s="12"/>
      <c r="X957" s="12"/>
      <c r="Y957" s="12"/>
      <c r="Z957" s="12"/>
      <c r="AA957" s="12"/>
    </row>
    <row r="958" spans="1:27" ht="15.75" customHeight="1">
      <c r="A958" s="12"/>
      <c r="B958" s="12"/>
      <c r="C958" s="12"/>
      <c r="D958" s="12"/>
      <c r="E958" s="12"/>
      <c r="F958" s="12"/>
      <c r="G958" s="12"/>
      <c r="H958" s="12"/>
      <c r="I958" s="12"/>
      <c r="J958" s="12"/>
      <c r="K958" s="12"/>
      <c r="L958" s="12"/>
      <c r="M958" s="12"/>
      <c r="N958" s="12"/>
      <c r="O958" s="12"/>
      <c r="P958" s="12"/>
      <c r="Q958" s="12"/>
      <c r="R958" s="12"/>
      <c r="S958" s="12"/>
      <c r="T958" s="12"/>
      <c r="U958" s="12"/>
      <c r="W958" s="12"/>
      <c r="X958" s="12"/>
      <c r="Y958" s="12"/>
      <c r="Z958" s="12"/>
      <c r="AA958" s="12"/>
    </row>
    <row r="959" spans="1:27" ht="15.75" customHeight="1">
      <c r="A959" s="12"/>
      <c r="B959" s="12"/>
      <c r="C959" s="12"/>
      <c r="D959" s="12"/>
      <c r="E959" s="12"/>
      <c r="F959" s="12"/>
      <c r="G959" s="12"/>
      <c r="H959" s="12"/>
      <c r="I959" s="12"/>
      <c r="J959" s="12"/>
      <c r="K959" s="12"/>
      <c r="L959" s="12"/>
      <c r="M959" s="12"/>
      <c r="N959" s="12"/>
      <c r="O959" s="12"/>
      <c r="P959" s="12"/>
      <c r="Q959" s="12"/>
      <c r="R959" s="12"/>
      <c r="S959" s="12"/>
      <c r="T959" s="12"/>
      <c r="U959" s="12"/>
      <c r="W959" s="12"/>
      <c r="X959" s="12"/>
      <c r="Y959" s="12"/>
      <c r="Z959" s="12"/>
      <c r="AA959" s="12"/>
    </row>
    <row r="960" spans="1:27" ht="15.75" customHeight="1">
      <c r="A960" s="12"/>
      <c r="B960" s="12"/>
      <c r="C960" s="12"/>
      <c r="D960" s="12"/>
      <c r="E960" s="12"/>
      <c r="F960" s="12"/>
      <c r="G960" s="12"/>
      <c r="H960" s="12"/>
      <c r="I960" s="12"/>
      <c r="J960" s="12"/>
      <c r="K960" s="12"/>
      <c r="L960" s="12"/>
      <c r="M960" s="12"/>
      <c r="N960" s="12"/>
      <c r="O960" s="12"/>
      <c r="P960" s="12"/>
      <c r="Q960" s="12"/>
      <c r="R960" s="12"/>
      <c r="S960" s="12"/>
      <c r="T960" s="12"/>
      <c r="U960" s="12"/>
      <c r="W960" s="12"/>
      <c r="X960" s="12"/>
      <c r="Y960" s="12"/>
      <c r="Z960" s="12"/>
      <c r="AA960" s="12"/>
    </row>
    <row r="961" spans="1:27" ht="15.75" customHeight="1">
      <c r="A961" s="12"/>
      <c r="B961" s="12"/>
      <c r="C961" s="12"/>
      <c r="D961" s="12"/>
      <c r="E961" s="12"/>
      <c r="F961" s="12"/>
      <c r="G961" s="12"/>
      <c r="H961" s="12"/>
      <c r="I961" s="12"/>
      <c r="J961" s="12"/>
      <c r="K961" s="12"/>
      <c r="L961" s="12"/>
      <c r="M961" s="12"/>
      <c r="N961" s="12"/>
      <c r="O961" s="12"/>
      <c r="P961" s="12"/>
      <c r="Q961" s="12"/>
      <c r="R961" s="12"/>
      <c r="S961" s="12"/>
      <c r="T961" s="12"/>
      <c r="U961" s="12"/>
      <c r="W961" s="12"/>
      <c r="X961" s="12"/>
      <c r="Y961" s="12"/>
      <c r="Z961" s="12"/>
      <c r="AA961" s="12"/>
    </row>
    <row r="962" spans="1:27" ht="15.75" customHeight="1">
      <c r="A962" s="12"/>
      <c r="B962" s="12"/>
      <c r="C962" s="12"/>
      <c r="D962" s="12"/>
      <c r="E962" s="12"/>
      <c r="F962" s="12"/>
      <c r="G962" s="12"/>
      <c r="H962" s="12"/>
      <c r="I962" s="12"/>
      <c r="J962" s="12"/>
      <c r="K962" s="12"/>
      <c r="L962" s="12"/>
      <c r="M962" s="12"/>
      <c r="N962" s="12"/>
      <c r="O962" s="12"/>
      <c r="P962" s="12"/>
      <c r="Q962" s="12"/>
      <c r="R962" s="12"/>
      <c r="S962" s="12"/>
      <c r="T962" s="12"/>
      <c r="U962" s="12"/>
      <c r="W962" s="12"/>
      <c r="X962" s="12"/>
      <c r="Y962" s="12"/>
      <c r="Z962" s="12"/>
      <c r="AA962" s="12"/>
    </row>
    <row r="963" spans="1:27" ht="15.75" customHeight="1">
      <c r="A963" s="12"/>
      <c r="B963" s="12"/>
      <c r="C963" s="12"/>
      <c r="D963" s="12"/>
      <c r="E963" s="12"/>
      <c r="F963" s="12"/>
      <c r="G963" s="12"/>
      <c r="H963" s="12"/>
      <c r="I963" s="12"/>
      <c r="J963" s="12"/>
      <c r="K963" s="12"/>
      <c r="L963" s="12"/>
      <c r="M963" s="12"/>
      <c r="N963" s="12"/>
      <c r="O963" s="12"/>
      <c r="P963" s="12"/>
      <c r="Q963" s="12"/>
      <c r="R963" s="12"/>
      <c r="S963" s="12"/>
      <c r="T963" s="12"/>
      <c r="U963" s="12"/>
      <c r="W963" s="12"/>
      <c r="X963" s="12"/>
      <c r="Y963" s="12"/>
      <c r="Z963" s="12"/>
      <c r="AA963" s="12"/>
    </row>
    <row r="964" spans="1:27" ht="15.75" customHeight="1">
      <c r="A964" s="12"/>
      <c r="B964" s="12"/>
      <c r="C964" s="12"/>
      <c r="D964" s="12"/>
      <c r="E964" s="12"/>
      <c r="F964" s="12"/>
      <c r="G964" s="12"/>
      <c r="H964" s="12"/>
      <c r="I964" s="12"/>
      <c r="J964" s="12"/>
      <c r="K964" s="12"/>
      <c r="L964" s="12"/>
      <c r="M964" s="12"/>
      <c r="N964" s="12"/>
      <c r="O964" s="12"/>
      <c r="P964" s="12"/>
      <c r="Q964" s="12"/>
      <c r="R964" s="12"/>
      <c r="S964" s="12"/>
      <c r="T964" s="12"/>
      <c r="U964" s="12"/>
      <c r="W964" s="12"/>
      <c r="X964" s="12"/>
      <c r="Y964" s="12"/>
      <c r="Z964" s="12"/>
      <c r="AA964" s="12"/>
    </row>
    <row r="965" spans="1:27" ht="15.75" customHeight="1">
      <c r="A965" s="12"/>
      <c r="B965" s="12"/>
      <c r="C965" s="12"/>
      <c r="D965" s="12"/>
      <c r="E965" s="12"/>
      <c r="F965" s="12"/>
      <c r="G965" s="12"/>
      <c r="H965" s="12"/>
      <c r="I965" s="12"/>
      <c r="J965" s="12"/>
      <c r="K965" s="12"/>
      <c r="L965" s="12"/>
      <c r="M965" s="12"/>
      <c r="N965" s="12"/>
      <c r="O965" s="12"/>
      <c r="P965" s="12"/>
      <c r="Q965" s="12"/>
      <c r="R965" s="12"/>
      <c r="S965" s="12"/>
      <c r="T965" s="12"/>
      <c r="U965" s="12"/>
      <c r="W965" s="12"/>
      <c r="X965" s="12"/>
      <c r="Y965" s="12"/>
      <c r="Z965" s="12"/>
      <c r="AA965" s="12"/>
    </row>
    <row r="966" spans="1:27" ht="15.75" customHeight="1">
      <c r="A966" s="12"/>
      <c r="B966" s="12"/>
      <c r="C966" s="12"/>
      <c r="D966" s="12"/>
      <c r="E966" s="12"/>
      <c r="F966" s="12"/>
      <c r="G966" s="12"/>
      <c r="H966" s="12"/>
      <c r="I966" s="12"/>
      <c r="J966" s="12"/>
      <c r="K966" s="12"/>
      <c r="L966" s="12"/>
      <c r="M966" s="12"/>
      <c r="N966" s="12"/>
      <c r="O966" s="12"/>
      <c r="P966" s="12"/>
      <c r="Q966" s="12"/>
      <c r="R966" s="12"/>
      <c r="S966" s="12"/>
      <c r="T966" s="12"/>
      <c r="U966" s="12"/>
      <c r="W966" s="12"/>
      <c r="X966" s="12"/>
      <c r="Y966" s="12"/>
      <c r="Z966" s="12"/>
      <c r="AA966" s="12"/>
    </row>
    <row r="967" spans="1:27" ht="15.75" customHeight="1">
      <c r="A967" s="12"/>
      <c r="B967" s="12"/>
      <c r="C967" s="12"/>
      <c r="D967" s="12"/>
      <c r="E967" s="12"/>
      <c r="F967" s="12"/>
      <c r="G967" s="12"/>
      <c r="H967" s="12"/>
      <c r="I967" s="12"/>
      <c r="J967" s="12"/>
      <c r="K967" s="12"/>
      <c r="L967" s="12"/>
      <c r="M967" s="12"/>
      <c r="N967" s="12"/>
      <c r="O967" s="12"/>
      <c r="P967" s="12"/>
      <c r="Q967" s="12"/>
      <c r="R967" s="12"/>
      <c r="S967" s="12"/>
      <c r="T967" s="12"/>
      <c r="U967" s="12"/>
      <c r="W967" s="12"/>
      <c r="X967" s="12"/>
      <c r="Y967" s="12"/>
      <c r="Z967" s="12"/>
      <c r="AA967" s="12"/>
    </row>
    <row r="968" spans="1:27" ht="15.75" customHeight="1">
      <c r="A968" s="12"/>
      <c r="B968" s="12"/>
      <c r="C968" s="12"/>
      <c r="D968" s="12"/>
      <c r="E968" s="12"/>
      <c r="F968" s="12"/>
      <c r="G968" s="12"/>
      <c r="H968" s="12"/>
      <c r="I968" s="12"/>
      <c r="J968" s="12"/>
      <c r="K968" s="12"/>
      <c r="L968" s="12"/>
      <c r="M968" s="12"/>
      <c r="N968" s="12"/>
      <c r="O968" s="12"/>
      <c r="P968" s="12"/>
      <c r="Q968" s="12"/>
      <c r="R968" s="12"/>
      <c r="S968" s="12"/>
      <c r="T968" s="12"/>
      <c r="U968" s="12"/>
      <c r="W968" s="12"/>
      <c r="X968" s="12"/>
      <c r="Y968" s="12"/>
      <c r="Z968" s="12"/>
      <c r="AA968" s="12"/>
    </row>
    <row r="969" spans="1:27" ht="15.75" customHeight="1">
      <c r="A969" s="12"/>
      <c r="B969" s="12"/>
      <c r="C969" s="12"/>
      <c r="D969" s="12"/>
      <c r="E969" s="12"/>
      <c r="F969" s="12"/>
      <c r="G969" s="12"/>
      <c r="H969" s="12"/>
      <c r="I969" s="12"/>
      <c r="J969" s="12"/>
      <c r="K969" s="12"/>
      <c r="L969" s="12"/>
      <c r="M969" s="12"/>
      <c r="N969" s="12"/>
      <c r="O969" s="12"/>
      <c r="P969" s="12"/>
      <c r="Q969" s="12"/>
      <c r="R969" s="12"/>
      <c r="S969" s="12"/>
      <c r="T969" s="12"/>
      <c r="U969" s="12"/>
      <c r="W969" s="12"/>
      <c r="X969" s="12"/>
      <c r="Y969" s="12"/>
      <c r="Z969" s="12"/>
      <c r="AA969" s="12"/>
    </row>
    <row r="970" spans="1:27" ht="15.75" customHeight="1">
      <c r="A970" s="12"/>
      <c r="B970" s="12"/>
      <c r="C970" s="12"/>
      <c r="D970" s="12"/>
      <c r="E970" s="12"/>
      <c r="F970" s="12"/>
      <c r="G970" s="12"/>
      <c r="H970" s="12"/>
      <c r="I970" s="12"/>
      <c r="J970" s="12"/>
      <c r="K970" s="12"/>
      <c r="L970" s="12"/>
      <c r="M970" s="12"/>
      <c r="N970" s="12"/>
      <c r="O970" s="12"/>
      <c r="P970" s="12"/>
      <c r="Q970" s="12"/>
      <c r="R970" s="12"/>
      <c r="S970" s="12"/>
      <c r="T970" s="12"/>
      <c r="U970" s="12"/>
      <c r="W970" s="12"/>
      <c r="X970" s="12"/>
      <c r="Y970" s="12"/>
      <c r="Z970" s="12"/>
      <c r="AA970" s="12"/>
    </row>
    <row r="971" spans="1:27" ht="15.75" customHeight="1">
      <c r="A971" s="12"/>
      <c r="B971" s="12"/>
      <c r="C971" s="12"/>
      <c r="D971" s="12"/>
      <c r="E971" s="12"/>
      <c r="F971" s="12"/>
      <c r="G971" s="12"/>
      <c r="H971" s="12"/>
      <c r="I971" s="12"/>
      <c r="J971" s="12"/>
      <c r="K971" s="12"/>
      <c r="L971" s="12"/>
      <c r="M971" s="12"/>
      <c r="N971" s="12"/>
      <c r="O971" s="12"/>
      <c r="P971" s="12"/>
      <c r="Q971" s="12"/>
      <c r="R971" s="12"/>
      <c r="S971" s="12"/>
      <c r="T971" s="12"/>
      <c r="U971" s="12"/>
      <c r="W971" s="12"/>
      <c r="X971" s="12"/>
      <c r="Y971" s="12"/>
      <c r="Z971" s="12"/>
      <c r="AA971" s="12"/>
    </row>
    <row r="972" spans="1:27" ht="15.75" customHeight="1">
      <c r="A972" s="12"/>
      <c r="B972" s="12"/>
      <c r="C972" s="12"/>
      <c r="D972" s="12"/>
      <c r="E972" s="12"/>
      <c r="F972" s="12"/>
      <c r="G972" s="12"/>
      <c r="H972" s="12"/>
      <c r="I972" s="12"/>
      <c r="J972" s="12"/>
      <c r="K972" s="12"/>
      <c r="L972" s="12"/>
      <c r="M972" s="12"/>
      <c r="N972" s="12"/>
      <c r="O972" s="12"/>
      <c r="P972" s="12"/>
      <c r="Q972" s="12"/>
      <c r="R972" s="12"/>
      <c r="S972" s="12"/>
      <c r="T972" s="12"/>
      <c r="U972" s="12"/>
      <c r="W972" s="12"/>
      <c r="X972" s="12"/>
      <c r="Y972" s="12"/>
      <c r="Z972" s="12"/>
      <c r="AA972" s="12"/>
    </row>
    <row r="973" spans="1:27" ht="15.75" customHeight="1">
      <c r="A973" s="12"/>
      <c r="B973" s="12"/>
      <c r="C973" s="12"/>
      <c r="D973" s="12"/>
      <c r="E973" s="12"/>
      <c r="F973" s="12"/>
      <c r="G973" s="12"/>
      <c r="H973" s="12"/>
      <c r="I973" s="12"/>
      <c r="J973" s="12"/>
      <c r="K973" s="12"/>
      <c r="L973" s="12"/>
      <c r="M973" s="12"/>
      <c r="N973" s="12"/>
      <c r="O973" s="12"/>
      <c r="P973" s="12"/>
      <c r="Q973" s="12"/>
      <c r="R973" s="12"/>
      <c r="S973" s="12"/>
      <c r="T973" s="12"/>
      <c r="U973" s="12"/>
      <c r="W973" s="12"/>
      <c r="X973" s="12"/>
      <c r="Y973" s="12"/>
      <c r="Z973" s="12"/>
      <c r="AA973" s="12"/>
    </row>
    <row r="974" spans="1:27" ht="15.75" customHeight="1">
      <c r="A974" s="12"/>
      <c r="B974" s="12"/>
      <c r="C974" s="12"/>
      <c r="D974" s="12"/>
      <c r="E974" s="12"/>
      <c r="F974" s="12"/>
      <c r="G974" s="12"/>
      <c r="H974" s="12"/>
      <c r="I974" s="12"/>
      <c r="J974" s="12"/>
      <c r="K974" s="12"/>
      <c r="L974" s="12"/>
      <c r="M974" s="12"/>
      <c r="N974" s="12"/>
      <c r="O974" s="12"/>
      <c r="P974" s="12"/>
      <c r="Q974" s="12"/>
      <c r="R974" s="12"/>
      <c r="S974" s="12"/>
      <c r="T974" s="12"/>
      <c r="U974" s="12"/>
      <c r="W974" s="12"/>
      <c r="X974" s="12"/>
      <c r="Y974" s="12"/>
      <c r="Z974" s="12"/>
      <c r="AA974" s="12"/>
    </row>
    <row r="975" spans="1:27" ht="15.75" customHeight="1">
      <c r="A975" s="12"/>
      <c r="B975" s="12"/>
      <c r="C975" s="12"/>
      <c r="D975" s="12"/>
      <c r="E975" s="12"/>
      <c r="F975" s="12"/>
      <c r="G975" s="12"/>
      <c r="H975" s="12"/>
      <c r="I975" s="12"/>
      <c r="J975" s="12"/>
      <c r="K975" s="12"/>
      <c r="L975" s="12"/>
      <c r="M975" s="12"/>
      <c r="N975" s="12"/>
      <c r="O975" s="12"/>
      <c r="P975" s="12"/>
      <c r="Q975" s="12"/>
      <c r="R975" s="12"/>
      <c r="S975" s="12"/>
      <c r="T975" s="12"/>
      <c r="U975" s="12"/>
      <c r="W975" s="12"/>
      <c r="X975" s="12"/>
      <c r="Y975" s="12"/>
      <c r="Z975" s="12"/>
      <c r="AA975" s="12"/>
    </row>
    <row r="976" spans="1:27" ht="15.75" customHeight="1">
      <c r="A976" s="12"/>
      <c r="B976" s="12"/>
      <c r="C976" s="12"/>
      <c r="D976" s="12"/>
      <c r="E976" s="12"/>
      <c r="F976" s="12"/>
      <c r="G976" s="12"/>
      <c r="H976" s="12"/>
      <c r="I976" s="12"/>
      <c r="J976" s="12"/>
      <c r="K976" s="12"/>
      <c r="L976" s="12"/>
      <c r="M976" s="12"/>
      <c r="N976" s="12"/>
      <c r="O976" s="12"/>
      <c r="P976" s="12"/>
      <c r="Q976" s="12"/>
      <c r="R976" s="12"/>
      <c r="S976" s="12"/>
      <c r="T976" s="12"/>
      <c r="U976" s="12"/>
      <c r="W976" s="12"/>
      <c r="X976" s="12"/>
      <c r="Y976" s="12"/>
      <c r="Z976" s="12"/>
      <c r="AA976" s="12"/>
    </row>
    <row r="977" spans="1:27" ht="15.75" customHeight="1">
      <c r="A977" s="12"/>
      <c r="B977" s="12"/>
      <c r="C977" s="12"/>
      <c r="D977" s="12"/>
      <c r="E977" s="12"/>
      <c r="F977" s="12"/>
      <c r="G977" s="12"/>
      <c r="H977" s="12"/>
      <c r="I977" s="12"/>
      <c r="J977" s="12"/>
      <c r="K977" s="12"/>
      <c r="L977" s="12"/>
      <c r="M977" s="12"/>
      <c r="N977" s="12"/>
      <c r="O977" s="12"/>
      <c r="P977" s="12"/>
      <c r="Q977" s="12"/>
      <c r="R977" s="12"/>
      <c r="S977" s="12"/>
      <c r="T977" s="12"/>
      <c r="U977" s="12"/>
      <c r="W977" s="12"/>
      <c r="X977" s="12"/>
      <c r="Y977" s="12"/>
      <c r="Z977" s="12"/>
      <c r="AA977" s="12"/>
    </row>
    <row r="978" spans="1:27" ht="15.75" customHeight="1">
      <c r="A978" s="12"/>
      <c r="B978" s="12"/>
      <c r="C978" s="12"/>
      <c r="D978" s="12"/>
      <c r="E978" s="12"/>
      <c r="F978" s="12"/>
      <c r="G978" s="12"/>
      <c r="H978" s="12"/>
      <c r="I978" s="12"/>
      <c r="J978" s="12"/>
      <c r="K978" s="12"/>
      <c r="L978" s="12"/>
      <c r="M978" s="12"/>
      <c r="N978" s="12"/>
      <c r="O978" s="12"/>
      <c r="P978" s="12"/>
      <c r="Q978" s="12"/>
      <c r="R978" s="12"/>
      <c r="S978" s="12"/>
      <c r="T978" s="12"/>
      <c r="U978" s="12"/>
      <c r="W978" s="12"/>
      <c r="X978" s="12"/>
      <c r="Y978" s="12"/>
      <c r="Z978" s="12"/>
      <c r="AA978" s="12"/>
    </row>
    <row r="979" spans="1:27" ht="15.75" customHeight="1">
      <c r="A979" s="12"/>
      <c r="B979" s="12"/>
      <c r="C979" s="12"/>
      <c r="D979" s="12"/>
      <c r="E979" s="12"/>
      <c r="F979" s="12"/>
      <c r="G979" s="12"/>
      <c r="H979" s="12"/>
      <c r="I979" s="12"/>
      <c r="J979" s="12"/>
      <c r="K979" s="12"/>
      <c r="L979" s="12"/>
      <c r="M979" s="12"/>
      <c r="N979" s="12"/>
      <c r="O979" s="12"/>
      <c r="P979" s="12"/>
      <c r="Q979" s="12"/>
      <c r="R979" s="12"/>
      <c r="S979" s="12"/>
      <c r="T979" s="12"/>
      <c r="U979" s="12"/>
      <c r="W979" s="12"/>
      <c r="X979" s="12"/>
      <c r="Y979" s="12"/>
      <c r="Z979" s="12"/>
      <c r="AA979" s="12"/>
    </row>
    <row r="980" spans="1:27" ht="15.75" customHeight="1">
      <c r="A980" s="12"/>
      <c r="B980" s="12"/>
      <c r="C980" s="12"/>
      <c r="D980" s="12"/>
      <c r="E980" s="12"/>
      <c r="F980" s="12"/>
      <c r="G980" s="12"/>
      <c r="H980" s="12"/>
      <c r="I980" s="12"/>
      <c r="J980" s="12"/>
      <c r="K980" s="12"/>
      <c r="L980" s="12"/>
      <c r="M980" s="12"/>
      <c r="N980" s="12"/>
      <c r="O980" s="12"/>
      <c r="P980" s="12"/>
      <c r="Q980" s="12"/>
      <c r="R980" s="12"/>
      <c r="S980" s="12"/>
      <c r="T980" s="12"/>
      <c r="U980" s="12"/>
      <c r="W980" s="12"/>
      <c r="X980" s="12"/>
      <c r="Y980" s="12"/>
      <c r="Z980" s="12"/>
      <c r="AA980" s="12"/>
    </row>
    <row r="981" spans="1:27" ht="15.75" customHeight="1">
      <c r="A981" s="12"/>
      <c r="B981" s="12"/>
      <c r="C981" s="12"/>
      <c r="D981" s="12"/>
      <c r="E981" s="12"/>
      <c r="F981" s="12"/>
      <c r="G981" s="12"/>
      <c r="H981" s="12"/>
      <c r="I981" s="12"/>
      <c r="J981" s="12"/>
      <c r="K981" s="12"/>
      <c r="L981" s="12"/>
      <c r="M981" s="12"/>
      <c r="N981" s="12"/>
      <c r="O981" s="12"/>
      <c r="P981" s="12"/>
      <c r="Q981" s="12"/>
      <c r="R981" s="12"/>
      <c r="S981" s="12"/>
      <c r="T981" s="12"/>
      <c r="U981" s="12"/>
      <c r="W981" s="12"/>
      <c r="X981" s="12"/>
      <c r="Y981" s="12"/>
      <c r="Z981" s="12"/>
      <c r="AA981" s="12"/>
    </row>
    <row r="982" spans="1:27" ht="15.75" customHeight="1">
      <c r="A982" s="12"/>
      <c r="B982" s="12"/>
      <c r="C982" s="12"/>
      <c r="D982" s="12"/>
      <c r="E982" s="12"/>
      <c r="F982" s="12"/>
      <c r="G982" s="12"/>
      <c r="H982" s="12"/>
      <c r="I982" s="12"/>
      <c r="J982" s="12"/>
      <c r="K982" s="12"/>
      <c r="L982" s="12"/>
      <c r="M982" s="12"/>
      <c r="N982" s="12"/>
      <c r="O982" s="12"/>
      <c r="P982" s="12"/>
      <c r="Q982" s="12"/>
      <c r="R982" s="12"/>
      <c r="S982" s="12"/>
      <c r="T982" s="12"/>
      <c r="U982" s="12"/>
      <c r="W982" s="12"/>
      <c r="X982" s="12"/>
      <c r="Y982" s="12"/>
      <c r="Z982" s="12"/>
      <c r="AA982" s="12"/>
    </row>
    <row r="983" spans="1:27" ht="15.75" customHeight="1">
      <c r="A983" s="12"/>
      <c r="B983" s="12"/>
      <c r="C983" s="12"/>
      <c r="D983" s="12"/>
      <c r="E983" s="12"/>
      <c r="F983" s="12"/>
      <c r="G983" s="12"/>
      <c r="H983" s="12"/>
      <c r="I983" s="12"/>
      <c r="J983" s="12"/>
      <c r="K983" s="12"/>
      <c r="L983" s="12"/>
      <c r="M983" s="12"/>
      <c r="N983" s="12"/>
      <c r="O983" s="12"/>
      <c r="P983" s="12"/>
      <c r="Q983" s="12"/>
      <c r="R983" s="12"/>
      <c r="S983" s="12"/>
      <c r="T983" s="12"/>
      <c r="U983" s="12"/>
      <c r="W983" s="12"/>
      <c r="X983" s="12"/>
      <c r="Y983" s="12"/>
      <c r="Z983" s="12"/>
      <c r="AA983" s="12"/>
    </row>
    <row r="984" spans="1:27" ht="15.75" customHeight="1">
      <c r="A984" s="12"/>
      <c r="B984" s="12"/>
      <c r="C984" s="12"/>
      <c r="D984" s="12"/>
      <c r="E984" s="12"/>
      <c r="F984" s="12"/>
      <c r="G984" s="12"/>
      <c r="H984" s="12"/>
      <c r="I984" s="12"/>
      <c r="J984" s="12"/>
      <c r="K984" s="12"/>
      <c r="L984" s="12"/>
      <c r="M984" s="12"/>
      <c r="N984" s="12"/>
      <c r="O984" s="12"/>
      <c r="P984" s="12"/>
      <c r="Q984" s="12"/>
      <c r="R984" s="12"/>
      <c r="S984" s="12"/>
      <c r="T984" s="12"/>
      <c r="U984" s="12"/>
      <c r="W984" s="12"/>
      <c r="X984" s="12"/>
      <c r="Y984" s="12"/>
      <c r="Z984" s="12"/>
      <c r="AA984" s="12"/>
    </row>
    <row r="985" spans="1:27" ht="15.75" customHeight="1">
      <c r="A985" s="12"/>
      <c r="B985" s="12"/>
      <c r="C985" s="12"/>
      <c r="D985" s="12"/>
      <c r="E985" s="12"/>
      <c r="F985" s="12"/>
      <c r="G985" s="12"/>
      <c r="H985" s="12"/>
      <c r="I985" s="12"/>
      <c r="J985" s="12"/>
      <c r="K985" s="12"/>
      <c r="L985" s="12"/>
      <c r="M985" s="12"/>
      <c r="N985" s="12"/>
      <c r="O985" s="12"/>
      <c r="P985" s="12"/>
      <c r="Q985" s="12"/>
      <c r="R985" s="12"/>
      <c r="S985" s="12"/>
      <c r="T985" s="12"/>
      <c r="U985" s="12"/>
      <c r="W985" s="12"/>
      <c r="X985" s="12"/>
      <c r="Y985" s="12"/>
      <c r="Z985" s="12"/>
      <c r="AA985" s="12"/>
    </row>
    <row r="986" spans="1:27" ht="15.75" customHeight="1">
      <c r="A986" s="12"/>
      <c r="B986" s="12"/>
      <c r="C986" s="12"/>
      <c r="D986" s="12"/>
      <c r="E986" s="12"/>
      <c r="F986" s="12"/>
      <c r="G986" s="12"/>
      <c r="H986" s="12"/>
      <c r="I986" s="12"/>
      <c r="J986" s="12"/>
      <c r="K986" s="12"/>
      <c r="L986" s="12"/>
      <c r="M986" s="12"/>
      <c r="N986" s="12"/>
      <c r="O986" s="12"/>
      <c r="P986" s="12"/>
      <c r="Q986" s="12"/>
      <c r="R986" s="12"/>
      <c r="S986" s="12"/>
      <c r="T986" s="12"/>
      <c r="U986" s="12"/>
      <c r="W986" s="12"/>
      <c r="X986" s="12"/>
      <c r="Y986" s="12"/>
      <c r="Z986" s="12"/>
      <c r="AA986" s="12"/>
    </row>
    <row r="987" spans="1:27" ht="15.75" customHeight="1">
      <c r="A987" s="12"/>
      <c r="B987" s="12"/>
      <c r="C987" s="12"/>
      <c r="D987" s="12"/>
      <c r="E987" s="12"/>
      <c r="F987" s="12"/>
      <c r="G987" s="12"/>
      <c r="H987" s="12"/>
      <c r="I987" s="12"/>
      <c r="J987" s="12"/>
      <c r="K987" s="12"/>
      <c r="L987" s="12"/>
      <c r="M987" s="12"/>
      <c r="N987" s="12"/>
      <c r="O987" s="12"/>
      <c r="P987" s="12"/>
      <c r="Q987" s="12"/>
      <c r="R987" s="12"/>
      <c r="S987" s="12"/>
      <c r="T987" s="12"/>
      <c r="U987" s="12"/>
      <c r="W987" s="12"/>
      <c r="X987" s="12"/>
      <c r="Y987" s="12"/>
      <c r="Z987" s="12"/>
      <c r="AA987" s="12"/>
    </row>
    <row r="988" spans="1:27" ht="15.75" customHeight="1">
      <c r="A988" s="12"/>
      <c r="B988" s="12"/>
      <c r="C988" s="12"/>
      <c r="D988" s="12"/>
      <c r="E988" s="12"/>
      <c r="F988" s="12"/>
      <c r="G988" s="12"/>
      <c r="H988" s="12"/>
      <c r="I988" s="12"/>
      <c r="J988" s="12"/>
      <c r="K988" s="12"/>
      <c r="L988" s="12"/>
      <c r="M988" s="12"/>
      <c r="N988" s="12"/>
      <c r="O988" s="12"/>
      <c r="P988" s="12"/>
      <c r="Q988" s="12"/>
      <c r="R988" s="12"/>
      <c r="S988" s="12"/>
      <c r="T988" s="12"/>
      <c r="U988" s="12"/>
      <c r="W988" s="12"/>
      <c r="X988" s="12"/>
      <c r="Y988" s="12"/>
      <c r="Z988" s="12"/>
      <c r="AA988" s="12"/>
    </row>
    <row r="989" spans="1:27" ht="15.75" customHeight="1">
      <c r="A989" s="12"/>
      <c r="B989" s="12"/>
      <c r="C989" s="12"/>
      <c r="D989" s="12"/>
      <c r="E989" s="12"/>
      <c r="F989" s="12"/>
      <c r="G989" s="12"/>
      <c r="H989" s="12"/>
      <c r="I989" s="12"/>
      <c r="J989" s="12"/>
      <c r="K989" s="12"/>
      <c r="L989" s="12"/>
      <c r="M989" s="12"/>
      <c r="N989" s="12"/>
      <c r="O989" s="12"/>
      <c r="P989" s="12"/>
      <c r="Q989" s="12"/>
      <c r="R989" s="12"/>
      <c r="S989" s="12"/>
      <c r="T989" s="12"/>
      <c r="U989" s="12"/>
      <c r="W989" s="12"/>
      <c r="X989" s="12"/>
      <c r="Y989" s="12"/>
      <c r="Z989" s="12"/>
      <c r="AA989" s="12"/>
    </row>
    <row r="990" spans="1:27" ht="15.75" customHeight="1">
      <c r="A990" s="12"/>
      <c r="B990" s="12"/>
      <c r="C990" s="12"/>
      <c r="D990" s="12"/>
      <c r="E990" s="12"/>
      <c r="F990" s="12"/>
      <c r="G990" s="12"/>
      <c r="H990" s="12"/>
      <c r="I990" s="12"/>
      <c r="J990" s="12"/>
      <c r="K990" s="12"/>
      <c r="L990" s="12"/>
      <c r="M990" s="12"/>
      <c r="N990" s="12"/>
      <c r="O990" s="12"/>
      <c r="P990" s="12"/>
      <c r="Q990" s="12"/>
      <c r="R990" s="12"/>
      <c r="S990" s="12"/>
      <c r="T990" s="12"/>
      <c r="U990" s="12"/>
      <c r="W990" s="12"/>
      <c r="X990" s="12"/>
      <c r="Y990" s="12"/>
      <c r="Z990" s="12"/>
      <c r="AA990" s="12"/>
    </row>
    <row r="991" spans="1:27" ht="15.75" customHeight="1">
      <c r="A991" s="12"/>
      <c r="B991" s="12"/>
      <c r="C991" s="12"/>
      <c r="D991" s="12"/>
      <c r="E991" s="12"/>
      <c r="F991" s="12"/>
      <c r="G991" s="12"/>
      <c r="H991" s="12"/>
      <c r="I991" s="12"/>
      <c r="J991" s="12"/>
      <c r="K991" s="12"/>
      <c r="L991" s="12"/>
      <c r="M991" s="12"/>
      <c r="N991" s="12"/>
      <c r="O991" s="12"/>
      <c r="P991" s="12"/>
      <c r="Q991" s="12"/>
      <c r="R991" s="12"/>
      <c r="S991" s="12"/>
      <c r="T991" s="12"/>
      <c r="U991" s="12"/>
      <c r="W991" s="12"/>
      <c r="X991" s="12"/>
      <c r="Y991" s="12"/>
      <c r="Z991" s="12"/>
      <c r="AA991" s="12"/>
    </row>
    <row r="992" spans="1:27" ht="15.75" customHeight="1">
      <c r="A992" s="12"/>
      <c r="B992" s="12"/>
      <c r="C992" s="12"/>
      <c r="D992" s="12"/>
      <c r="E992" s="12"/>
      <c r="F992" s="12"/>
      <c r="G992" s="12"/>
      <c r="H992" s="12"/>
      <c r="I992" s="12"/>
      <c r="J992" s="12"/>
      <c r="K992" s="12"/>
      <c r="L992" s="12"/>
      <c r="M992" s="12"/>
      <c r="N992" s="12"/>
      <c r="O992" s="12"/>
      <c r="P992" s="12"/>
      <c r="Q992" s="12"/>
      <c r="R992" s="12"/>
      <c r="S992" s="12"/>
      <c r="T992" s="12"/>
      <c r="U992" s="12"/>
      <c r="W992" s="12"/>
      <c r="X992" s="12"/>
      <c r="Y992" s="12"/>
      <c r="Z992" s="12"/>
      <c r="AA992" s="12"/>
    </row>
    <row r="993" spans="1:27" ht="15.75" customHeight="1">
      <c r="A993" s="12"/>
      <c r="B993" s="12"/>
      <c r="C993" s="12"/>
      <c r="D993" s="12"/>
      <c r="E993" s="12"/>
      <c r="F993" s="12"/>
      <c r="G993" s="12"/>
      <c r="H993" s="12"/>
      <c r="I993" s="12"/>
      <c r="J993" s="12"/>
      <c r="K993" s="12"/>
      <c r="L993" s="12"/>
      <c r="M993" s="12"/>
      <c r="N993" s="12"/>
      <c r="O993" s="12"/>
      <c r="P993" s="12"/>
      <c r="Q993" s="12"/>
      <c r="R993" s="12"/>
      <c r="S993" s="12"/>
      <c r="T993" s="12"/>
      <c r="U993" s="12"/>
      <c r="W993" s="12"/>
      <c r="X993" s="12"/>
      <c r="Y993" s="12"/>
      <c r="Z993" s="12"/>
      <c r="AA993" s="12"/>
    </row>
    <row r="994" spans="1:27" ht="15.75" customHeight="1">
      <c r="A994" s="12"/>
      <c r="B994" s="12"/>
      <c r="C994" s="12"/>
      <c r="D994" s="12"/>
      <c r="E994" s="12"/>
      <c r="F994" s="12"/>
      <c r="G994" s="12"/>
      <c r="H994" s="12"/>
      <c r="I994" s="12"/>
      <c r="J994" s="12"/>
      <c r="K994" s="12"/>
      <c r="L994" s="12"/>
      <c r="M994" s="12"/>
      <c r="N994" s="12"/>
      <c r="O994" s="12"/>
      <c r="P994" s="12"/>
      <c r="Q994" s="12"/>
      <c r="R994" s="12"/>
      <c r="S994" s="12"/>
      <c r="T994" s="12"/>
      <c r="U994" s="12"/>
      <c r="W994" s="12"/>
      <c r="X994" s="12"/>
      <c r="Y994" s="12"/>
      <c r="Z994" s="12"/>
      <c r="AA994" s="12"/>
    </row>
    <row r="995" spans="1:27" ht="15.75" customHeight="1">
      <c r="A995" s="12"/>
      <c r="B995" s="12"/>
      <c r="C995" s="12"/>
      <c r="D995" s="12"/>
      <c r="E995" s="12"/>
      <c r="F995" s="12"/>
      <c r="G995" s="12"/>
      <c r="H995" s="12"/>
      <c r="I995" s="12"/>
      <c r="J995" s="12"/>
      <c r="K995" s="12"/>
      <c r="L995" s="12"/>
      <c r="M995" s="12"/>
      <c r="N995" s="12"/>
      <c r="O995" s="12"/>
      <c r="P995" s="12"/>
      <c r="Q995" s="12"/>
      <c r="R995" s="12"/>
      <c r="S995" s="12"/>
      <c r="T995" s="12"/>
      <c r="U995" s="12"/>
      <c r="W995" s="12"/>
      <c r="X995" s="12"/>
      <c r="Y995" s="12"/>
      <c r="Z995" s="12"/>
      <c r="AA995" s="12"/>
    </row>
    <row r="996" spans="1:27" ht="15.75" customHeight="1">
      <c r="A996" s="12"/>
      <c r="B996" s="12"/>
      <c r="C996" s="12"/>
      <c r="D996" s="12"/>
      <c r="E996" s="12"/>
      <c r="F996" s="12"/>
      <c r="G996" s="12"/>
      <c r="H996" s="12"/>
      <c r="I996" s="12"/>
      <c r="J996" s="12"/>
      <c r="K996" s="12"/>
      <c r="L996" s="12"/>
      <c r="M996" s="12"/>
      <c r="N996" s="12"/>
      <c r="O996" s="12"/>
      <c r="P996" s="12"/>
      <c r="Q996" s="12"/>
      <c r="R996" s="12"/>
      <c r="S996" s="12"/>
      <c r="T996" s="12"/>
      <c r="U996" s="12"/>
      <c r="W996" s="12"/>
      <c r="X996" s="12"/>
      <c r="Y996" s="12"/>
      <c r="Z996" s="12"/>
      <c r="AA996" s="12"/>
    </row>
    <row r="997" spans="1:27" ht="15.75" customHeight="1">
      <c r="A997" s="12"/>
      <c r="B997" s="12"/>
      <c r="C997" s="12"/>
      <c r="D997" s="12"/>
      <c r="E997" s="12"/>
      <c r="F997" s="12"/>
      <c r="G997" s="12"/>
      <c r="H997" s="12"/>
      <c r="I997" s="12"/>
      <c r="J997" s="12"/>
      <c r="K997" s="12"/>
      <c r="L997" s="12"/>
      <c r="M997" s="12"/>
      <c r="N997" s="12"/>
      <c r="O997" s="12"/>
      <c r="P997" s="12"/>
      <c r="Q997" s="12"/>
      <c r="R997" s="12"/>
      <c r="S997" s="12"/>
      <c r="T997" s="12"/>
      <c r="U997" s="12"/>
      <c r="W997" s="12"/>
      <c r="X997" s="12"/>
      <c r="Y997" s="12"/>
      <c r="Z997" s="12"/>
      <c r="AA997" s="12"/>
    </row>
    <row r="998" spans="1:27" ht="15.75" customHeight="1">
      <c r="A998" s="12"/>
      <c r="B998" s="12"/>
      <c r="C998" s="12"/>
      <c r="D998" s="12"/>
      <c r="E998" s="12"/>
      <c r="F998" s="12"/>
      <c r="G998" s="12"/>
      <c r="H998" s="12"/>
      <c r="I998" s="12"/>
      <c r="J998" s="12"/>
      <c r="K998" s="12"/>
      <c r="L998" s="12"/>
      <c r="M998" s="12"/>
      <c r="N998" s="12"/>
      <c r="O998" s="12"/>
      <c r="P998" s="12"/>
      <c r="Q998" s="12"/>
      <c r="R998" s="12"/>
      <c r="S998" s="12"/>
      <c r="T998" s="12"/>
      <c r="U998" s="12"/>
      <c r="W998" s="12"/>
      <c r="X998" s="12"/>
      <c r="Y998" s="12"/>
      <c r="Z998" s="12"/>
      <c r="AA998" s="12"/>
    </row>
    <row r="999" spans="1:27" ht="15.75" customHeight="1">
      <c r="A999" s="12"/>
      <c r="B999" s="12"/>
      <c r="C999" s="12"/>
      <c r="D999" s="12"/>
      <c r="E999" s="12"/>
      <c r="F999" s="12"/>
      <c r="G999" s="12"/>
      <c r="H999" s="12"/>
      <c r="I999" s="12"/>
      <c r="J999" s="12"/>
      <c r="K999" s="12"/>
      <c r="L999" s="12"/>
      <c r="M999" s="12"/>
      <c r="N999" s="12"/>
      <c r="O999" s="12"/>
      <c r="P999" s="12"/>
      <c r="Q999" s="12"/>
      <c r="R999" s="12"/>
      <c r="S999" s="12"/>
      <c r="T999" s="12"/>
      <c r="U999" s="12"/>
      <c r="W999" s="12"/>
      <c r="X999" s="12"/>
      <c r="Y999" s="12"/>
      <c r="Z999" s="12"/>
      <c r="AA999" s="12"/>
    </row>
    <row r="1000" spans="1:27"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W1000" s="12"/>
      <c r="X1000" s="12"/>
      <c r="Y1000" s="12"/>
      <c r="Z1000" s="12"/>
      <c r="AA1000" s="12"/>
    </row>
  </sheetData>
  <mergeCells count="101">
    <mergeCell ref="B204:B206"/>
    <mergeCell ref="C204:C206"/>
    <mergeCell ref="B210:D210"/>
    <mergeCell ref="A211:D211"/>
    <mergeCell ref="A135:A158"/>
    <mergeCell ref="B135:B136"/>
    <mergeCell ref="B138:B144"/>
    <mergeCell ref="B145:B146"/>
    <mergeCell ref="B147:B149"/>
    <mergeCell ref="B158:D158"/>
    <mergeCell ref="A159:A210"/>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C40:C46"/>
    <mergeCell ref="A3:E3"/>
    <mergeCell ref="V4:V5"/>
    <mergeCell ref="G4:H4"/>
    <mergeCell ref="I4:I5"/>
    <mergeCell ref="J4:L4"/>
    <mergeCell ref="M4:M5"/>
    <mergeCell ref="N4:N5"/>
    <mergeCell ref="O4:O5"/>
    <mergeCell ref="P4:P5"/>
  </mergeCells>
  <pageMargins left="0.27" right="0.18" top="0.26" bottom="0.23" header="0.2" footer="0"/>
  <pageSetup scale="85" orientation="portrait" r:id="rId1"/>
</worksheet>
</file>

<file path=xl/worksheets/sheet9.xml><?xml version="1.0" encoding="utf-8"?>
<worksheet xmlns="http://schemas.openxmlformats.org/spreadsheetml/2006/main" xmlns:r="http://schemas.openxmlformats.org/officeDocument/2006/relationships">
  <dimension ref="A1:AA996"/>
  <sheetViews>
    <sheetView workbookViewId="0">
      <pane xSplit="4" ySplit="5" topLeftCell="E186" activePane="bottomRight" state="frozen"/>
      <selection pane="topRight" activeCell="E1" sqref="E1"/>
      <selection pane="bottomLeft" activeCell="A6" sqref="A6"/>
      <selection pane="bottomRight" activeCell="P187" sqref="P187:V187"/>
    </sheetView>
  </sheetViews>
  <sheetFormatPr defaultColWidth="14.42578125" defaultRowHeight="15" customHeight="1"/>
  <cols>
    <col min="1" max="1" width="6.7109375" style="731" customWidth="1"/>
    <col min="2" max="2" width="7.28515625" style="731" customWidth="1"/>
    <col min="3" max="3" width="11.28515625" style="731" customWidth="1"/>
    <col min="4" max="4" width="5.85546875" style="731" customWidth="1"/>
    <col min="5" max="5" width="14.140625" style="731" customWidth="1"/>
    <col min="6" max="6" width="8.140625" style="731" customWidth="1"/>
    <col min="7" max="7" width="5.140625" style="731" customWidth="1"/>
    <col min="8" max="8" width="8.28515625" style="731" customWidth="1"/>
    <col min="9" max="9" width="10.5703125" style="731" customWidth="1"/>
    <col min="10" max="10" width="6" style="731" customWidth="1"/>
    <col min="11" max="11" width="9.28515625" style="731" customWidth="1"/>
    <col min="12" max="12" width="5.42578125" style="731" customWidth="1"/>
    <col min="13" max="13" width="6.7109375" style="731" customWidth="1"/>
    <col min="14" max="14" width="9.7109375" style="731" customWidth="1"/>
    <col min="15" max="15" width="9.85546875" style="731" customWidth="1"/>
    <col min="16" max="16" width="12.140625" style="731" customWidth="1"/>
    <col min="17" max="17" width="8.28515625" style="731" customWidth="1"/>
    <col min="18" max="18" width="11.7109375" style="731" customWidth="1"/>
    <col min="19" max="19" width="8.5703125" style="731" customWidth="1"/>
    <col min="20" max="20" width="10.140625" style="731" customWidth="1"/>
    <col min="21" max="21" width="9.140625" style="731" customWidth="1"/>
    <col min="22" max="22" width="54.5703125" style="731" customWidth="1"/>
    <col min="23" max="23" width="68.140625" style="731" customWidth="1"/>
    <col min="24" max="27" width="14.42578125" style="731" customWidth="1"/>
    <col min="28" max="16384" width="14.42578125" style="731"/>
  </cols>
  <sheetData>
    <row r="1" spans="1:27" ht="20.25" customHeight="1">
      <c r="A1" s="522"/>
      <c r="B1" s="730"/>
      <c r="C1" s="730"/>
      <c r="D1" s="730"/>
      <c r="E1" s="523" t="s">
        <v>0</v>
      </c>
      <c r="J1" s="732"/>
      <c r="K1" s="732"/>
      <c r="L1" s="732"/>
      <c r="M1" s="732"/>
      <c r="N1" s="732"/>
      <c r="O1" s="732"/>
      <c r="P1" s="732"/>
      <c r="Q1" s="732"/>
      <c r="R1" s="732"/>
      <c r="S1" s="732"/>
      <c r="T1" s="732"/>
      <c r="U1" s="732"/>
      <c r="V1" s="733"/>
    </row>
    <row r="2" spans="1:27" ht="23.25" customHeight="1">
      <c r="A2" s="732"/>
      <c r="B2" s="732"/>
      <c r="C2" s="732"/>
      <c r="D2" s="732"/>
      <c r="E2" s="732"/>
      <c r="F2" s="732"/>
      <c r="G2" s="732"/>
      <c r="H2" s="732"/>
      <c r="I2" s="732"/>
      <c r="J2" s="732"/>
      <c r="K2" s="732"/>
      <c r="L2" s="732"/>
      <c r="M2" s="732"/>
      <c r="N2" s="732"/>
      <c r="O2" s="732"/>
      <c r="P2" s="732"/>
      <c r="Q2" s="732"/>
      <c r="R2" s="732"/>
      <c r="S2" s="732"/>
      <c r="T2" s="732"/>
      <c r="U2" s="732"/>
      <c r="V2" s="733"/>
    </row>
    <row r="3" spans="1:27" ht="22.5" customHeight="1">
      <c r="A3" s="734" t="s">
        <v>1688</v>
      </c>
      <c r="B3" s="734"/>
      <c r="C3" s="734"/>
      <c r="D3" s="734"/>
      <c r="E3" s="734"/>
      <c r="F3" s="519"/>
      <c r="G3" s="519"/>
      <c r="H3" s="519"/>
      <c r="I3" s="519"/>
      <c r="J3" s="519"/>
      <c r="K3" s="519"/>
      <c r="L3" s="519"/>
      <c r="M3" s="519"/>
      <c r="N3" s="519"/>
      <c r="O3" s="519"/>
      <c r="P3" s="519"/>
      <c r="Q3" s="519"/>
      <c r="R3" s="519"/>
      <c r="S3" s="519"/>
      <c r="T3" s="735"/>
      <c r="U3" s="519"/>
      <c r="V3" s="519" t="s">
        <v>2</v>
      </c>
    </row>
    <row r="4" spans="1:27" ht="37.5" customHeight="1">
      <c r="A4" s="699" t="s">
        <v>3</v>
      </c>
      <c r="B4" s="699" t="s">
        <v>4</v>
      </c>
      <c r="C4" s="699" t="s">
        <v>5</v>
      </c>
      <c r="D4" s="699" t="s">
        <v>6</v>
      </c>
      <c r="E4" s="699" t="s">
        <v>388</v>
      </c>
      <c r="F4" s="699" t="s">
        <v>8</v>
      </c>
      <c r="G4" s="699" t="s">
        <v>9</v>
      </c>
      <c r="H4" s="736"/>
      <c r="I4" s="699" t="s">
        <v>10</v>
      </c>
      <c r="J4" s="699" t="s">
        <v>11</v>
      </c>
      <c r="K4" s="736"/>
      <c r="L4" s="736"/>
      <c r="M4" s="699" t="s">
        <v>12</v>
      </c>
      <c r="N4" s="699" t="s">
        <v>13</v>
      </c>
      <c r="O4" s="699" t="s">
        <v>14</v>
      </c>
      <c r="P4" s="699" t="s">
        <v>445</v>
      </c>
      <c r="Q4" s="699" t="s">
        <v>16</v>
      </c>
      <c r="R4" s="699" t="s">
        <v>17</v>
      </c>
      <c r="S4" s="699" t="s">
        <v>18</v>
      </c>
      <c r="T4" s="644" t="s">
        <v>19</v>
      </c>
      <c r="U4" s="644" t="s">
        <v>19</v>
      </c>
      <c r="V4" s="699" t="s">
        <v>389</v>
      </c>
      <c r="W4" s="735"/>
      <c r="X4" s="732"/>
      <c r="Y4" s="732"/>
      <c r="Z4" s="732"/>
      <c r="AA4" s="732"/>
    </row>
    <row r="5" spans="1:27" ht="60.75" customHeight="1">
      <c r="A5" s="736"/>
      <c r="B5" s="736"/>
      <c r="C5" s="736"/>
      <c r="D5" s="736"/>
      <c r="E5" s="736"/>
      <c r="F5" s="736"/>
      <c r="G5" s="644" t="s">
        <v>21</v>
      </c>
      <c r="H5" s="644" t="s">
        <v>22</v>
      </c>
      <c r="I5" s="736"/>
      <c r="J5" s="644" t="s">
        <v>1692</v>
      </c>
      <c r="K5" s="644" t="s">
        <v>23</v>
      </c>
      <c r="L5" s="644" t="s">
        <v>24</v>
      </c>
      <c r="M5" s="736"/>
      <c r="N5" s="736"/>
      <c r="O5" s="736"/>
      <c r="P5" s="736"/>
      <c r="Q5" s="736"/>
      <c r="R5" s="736"/>
      <c r="S5" s="736"/>
      <c r="T5" s="644" t="s">
        <v>25</v>
      </c>
      <c r="U5" s="644" t="s">
        <v>26</v>
      </c>
      <c r="V5" s="736"/>
      <c r="W5" s="735"/>
      <c r="X5" s="732"/>
      <c r="Y5" s="732"/>
      <c r="Z5" s="732"/>
      <c r="AA5" s="732"/>
    </row>
    <row r="6" spans="1:27" ht="24.75" customHeight="1">
      <c r="A6" s="700" t="s">
        <v>27</v>
      </c>
      <c r="B6" s="699" t="s">
        <v>28</v>
      </c>
      <c r="C6" s="699" t="s">
        <v>29</v>
      </c>
      <c r="D6" s="644">
        <v>1</v>
      </c>
      <c r="E6" s="644" t="s">
        <v>30</v>
      </c>
      <c r="F6" s="644"/>
      <c r="G6" s="644"/>
      <c r="H6" s="644"/>
      <c r="I6" s="644"/>
      <c r="J6" s="644"/>
      <c r="K6" s="644"/>
      <c r="L6" s="644"/>
      <c r="M6" s="644"/>
      <c r="N6" s="644"/>
      <c r="O6" s="644"/>
      <c r="P6" s="644"/>
      <c r="Q6" s="644"/>
      <c r="R6" s="644"/>
      <c r="S6" s="644"/>
      <c r="T6" s="646">
        <f t="shared" ref="T6:T103" si="0">SUM(F6:S6)</f>
        <v>0</v>
      </c>
      <c r="U6" s="646"/>
      <c r="V6" s="729"/>
      <c r="W6" s="735"/>
      <c r="X6" s="732"/>
      <c r="Y6" s="732"/>
      <c r="Z6" s="732"/>
      <c r="AA6" s="732"/>
    </row>
    <row r="7" spans="1:27" ht="24.75" customHeight="1">
      <c r="A7" s="736"/>
      <c r="B7" s="736"/>
      <c r="C7" s="736"/>
      <c r="D7" s="644">
        <v>2</v>
      </c>
      <c r="E7" s="644" t="s">
        <v>31</v>
      </c>
      <c r="F7" s="644"/>
      <c r="G7" s="644"/>
      <c r="H7" s="644"/>
      <c r="I7" s="644"/>
      <c r="J7" s="644"/>
      <c r="K7" s="646"/>
      <c r="L7" s="644"/>
      <c r="M7" s="644"/>
      <c r="N7" s="644"/>
      <c r="O7" s="644"/>
      <c r="P7" s="654"/>
      <c r="Q7" s="644"/>
      <c r="R7" s="644"/>
      <c r="S7" s="644"/>
      <c r="T7" s="646">
        <f t="shared" si="0"/>
        <v>0</v>
      </c>
      <c r="U7" s="646">
        <f t="shared" ref="U7:U12" si="1">T7</f>
        <v>0</v>
      </c>
      <c r="V7" s="729"/>
      <c r="W7" s="735"/>
      <c r="X7" s="732"/>
      <c r="Y7" s="732"/>
      <c r="Z7" s="732"/>
      <c r="AA7" s="732"/>
    </row>
    <row r="8" spans="1:27" ht="105">
      <c r="A8" s="736"/>
      <c r="B8" s="736"/>
      <c r="C8" s="736"/>
      <c r="D8" s="644">
        <v>3</v>
      </c>
      <c r="E8" s="644" t="s">
        <v>32</v>
      </c>
      <c r="F8" s="654">
        <v>48.99</v>
      </c>
      <c r="G8" s="644"/>
      <c r="H8" s="644"/>
      <c r="I8" s="644"/>
      <c r="J8" s="644"/>
      <c r="K8" s="644"/>
      <c r="L8" s="644"/>
      <c r="M8" s="644"/>
      <c r="N8" s="644"/>
      <c r="O8" s="654">
        <v>39.97</v>
      </c>
      <c r="P8" s="644"/>
      <c r="Q8" s="644"/>
      <c r="R8" s="654">
        <v>1.96</v>
      </c>
      <c r="S8" s="644"/>
      <c r="T8" s="646">
        <f t="shared" si="0"/>
        <v>90.92</v>
      </c>
      <c r="U8" s="646">
        <f t="shared" si="1"/>
        <v>90.92</v>
      </c>
      <c r="V8" s="729" t="s">
        <v>797</v>
      </c>
      <c r="W8" s="735"/>
      <c r="X8" s="732"/>
      <c r="Y8" s="732"/>
      <c r="Z8" s="732"/>
      <c r="AA8" s="732"/>
    </row>
    <row r="9" spans="1:27" ht="180">
      <c r="A9" s="736"/>
      <c r="B9" s="736"/>
      <c r="C9" s="736"/>
      <c r="D9" s="644">
        <v>4</v>
      </c>
      <c r="E9" s="644" t="s">
        <v>34</v>
      </c>
      <c r="F9" s="644"/>
      <c r="G9" s="644"/>
      <c r="H9" s="644"/>
      <c r="I9" s="644"/>
      <c r="J9" s="644"/>
      <c r="K9" s="644">
        <v>63.18</v>
      </c>
      <c r="L9" s="644"/>
      <c r="M9" s="646">
        <v>14.43</v>
      </c>
      <c r="N9" s="644"/>
      <c r="O9" s="644">
        <v>0</v>
      </c>
      <c r="P9" s="654">
        <v>35.950000000000003</v>
      </c>
      <c r="Q9" s="644"/>
      <c r="R9" s="644"/>
      <c r="S9" s="644"/>
      <c r="T9" s="646">
        <f t="shared" si="0"/>
        <v>113.56</v>
      </c>
      <c r="U9" s="646">
        <f t="shared" si="1"/>
        <v>113.56</v>
      </c>
      <c r="V9" s="729" t="s">
        <v>798</v>
      </c>
      <c r="W9" s="735"/>
      <c r="X9" s="732"/>
      <c r="Y9" s="732"/>
      <c r="Z9" s="732"/>
      <c r="AA9" s="732"/>
    </row>
    <row r="10" spans="1:27" ht="40.5" customHeight="1">
      <c r="A10" s="736"/>
      <c r="B10" s="736"/>
      <c r="C10" s="736"/>
      <c r="D10" s="644">
        <v>5</v>
      </c>
      <c r="E10" s="644" t="s">
        <v>36</v>
      </c>
      <c r="F10" s="644"/>
      <c r="G10" s="644"/>
      <c r="H10" s="644"/>
      <c r="I10" s="644"/>
      <c r="J10" s="644"/>
      <c r="K10" s="644"/>
      <c r="L10" s="644"/>
      <c r="M10" s="644"/>
      <c r="N10" s="644"/>
      <c r="O10" s="644"/>
      <c r="P10" s="646">
        <v>36.075000000000003</v>
      </c>
      <c r="Q10" s="644"/>
      <c r="R10" s="644"/>
      <c r="S10" s="644"/>
      <c r="T10" s="646">
        <f t="shared" si="0"/>
        <v>36.075000000000003</v>
      </c>
      <c r="U10" s="646">
        <f t="shared" si="1"/>
        <v>36.075000000000003</v>
      </c>
      <c r="V10" s="729" t="s">
        <v>799</v>
      </c>
      <c r="W10" s="735"/>
      <c r="X10" s="732"/>
      <c r="Y10" s="732"/>
      <c r="Z10" s="732"/>
      <c r="AA10" s="732"/>
    </row>
    <row r="11" spans="1:27" ht="162.75" customHeight="1">
      <c r="A11" s="736"/>
      <c r="B11" s="736"/>
      <c r="C11" s="736"/>
      <c r="D11" s="644">
        <v>6</v>
      </c>
      <c r="E11" s="644" t="s">
        <v>38</v>
      </c>
      <c r="F11" s="644">
        <v>0.93</v>
      </c>
      <c r="G11" s="644"/>
      <c r="H11" s="644"/>
      <c r="I11" s="644"/>
      <c r="J11" s="644"/>
      <c r="K11" s="644"/>
      <c r="L11" s="644"/>
      <c r="M11" s="644"/>
      <c r="N11" s="654"/>
      <c r="O11" s="644">
        <v>2.85</v>
      </c>
      <c r="P11" s="654">
        <v>1.07</v>
      </c>
      <c r="Q11" s="644"/>
      <c r="R11" s="644"/>
      <c r="S11" s="644"/>
      <c r="T11" s="646">
        <f t="shared" si="0"/>
        <v>4.8500000000000005</v>
      </c>
      <c r="U11" s="646">
        <f t="shared" si="1"/>
        <v>4.8500000000000005</v>
      </c>
      <c r="V11" s="729" t="s">
        <v>800</v>
      </c>
      <c r="W11" s="735"/>
      <c r="X11" s="732"/>
      <c r="Y11" s="732"/>
      <c r="Z11" s="732"/>
      <c r="AA11" s="732"/>
    </row>
    <row r="12" spans="1:27" ht="105">
      <c r="A12" s="736"/>
      <c r="B12" s="736"/>
      <c r="C12" s="736"/>
      <c r="D12" s="644">
        <v>7</v>
      </c>
      <c r="E12" s="644" t="s">
        <v>40</v>
      </c>
      <c r="F12" s="644"/>
      <c r="G12" s="644"/>
      <c r="H12" s="644"/>
      <c r="I12" s="644"/>
      <c r="J12" s="644"/>
      <c r="K12" s="644"/>
      <c r="L12" s="644"/>
      <c r="M12" s="644"/>
      <c r="N12" s="644"/>
      <c r="O12" s="644"/>
      <c r="P12" s="654">
        <v>0</v>
      </c>
      <c r="Q12" s="654">
        <v>2.35</v>
      </c>
      <c r="R12" s="644">
        <v>0.1</v>
      </c>
      <c r="S12" s="644"/>
      <c r="T12" s="646">
        <f t="shared" si="0"/>
        <v>2.4500000000000002</v>
      </c>
      <c r="U12" s="646">
        <f t="shared" si="1"/>
        <v>2.4500000000000002</v>
      </c>
      <c r="V12" s="729" t="s">
        <v>801</v>
      </c>
      <c r="W12" s="735"/>
      <c r="X12" s="732"/>
      <c r="Y12" s="732"/>
      <c r="Z12" s="732"/>
      <c r="AA12" s="732"/>
    </row>
    <row r="13" spans="1:27" ht="24.75" customHeight="1">
      <c r="A13" s="736"/>
      <c r="B13" s="736"/>
      <c r="C13" s="736"/>
      <c r="D13" s="644">
        <v>8</v>
      </c>
      <c r="E13" s="644" t="s">
        <v>42</v>
      </c>
      <c r="F13" s="644"/>
      <c r="G13" s="644"/>
      <c r="H13" s="644"/>
      <c r="I13" s="644"/>
      <c r="J13" s="644"/>
      <c r="K13" s="644"/>
      <c r="L13" s="644"/>
      <c r="M13" s="644"/>
      <c r="N13" s="646"/>
      <c r="O13" s="644"/>
      <c r="P13" s="644"/>
      <c r="Q13" s="644"/>
      <c r="R13" s="644"/>
      <c r="S13" s="644"/>
      <c r="T13" s="646">
        <f t="shared" si="0"/>
        <v>0</v>
      </c>
      <c r="U13" s="646">
        <f>T13*1.05</f>
        <v>0</v>
      </c>
      <c r="V13" s="729"/>
      <c r="W13" s="735"/>
      <c r="X13" s="732"/>
      <c r="Y13" s="732"/>
      <c r="Z13" s="732"/>
      <c r="AA13" s="732"/>
    </row>
    <row r="14" spans="1:27" ht="72" customHeight="1">
      <c r="A14" s="736"/>
      <c r="B14" s="736"/>
      <c r="C14" s="736"/>
      <c r="D14" s="644">
        <v>9</v>
      </c>
      <c r="E14" s="644" t="s">
        <v>43</v>
      </c>
      <c r="F14" s="644"/>
      <c r="G14" s="644"/>
      <c r="H14" s="644"/>
      <c r="I14" s="644"/>
      <c r="J14" s="644"/>
      <c r="K14" s="644"/>
      <c r="L14" s="644"/>
      <c r="M14" s="644"/>
      <c r="N14" s="646"/>
      <c r="O14" s="644"/>
      <c r="P14" s="682">
        <v>0.15851999999999999</v>
      </c>
      <c r="Q14" s="683"/>
      <c r="R14" s="683">
        <v>0.24</v>
      </c>
      <c r="S14" s="683"/>
      <c r="T14" s="646">
        <f t="shared" si="0"/>
        <v>0.39851999999999999</v>
      </c>
      <c r="U14" s="646">
        <f>T14</f>
        <v>0.39851999999999999</v>
      </c>
      <c r="V14" s="729" t="s">
        <v>522</v>
      </c>
      <c r="W14" s="735"/>
      <c r="X14" s="732"/>
      <c r="Y14" s="732"/>
      <c r="Z14" s="732"/>
      <c r="AA14" s="732"/>
    </row>
    <row r="15" spans="1:27" ht="90">
      <c r="A15" s="736"/>
      <c r="B15" s="736"/>
      <c r="C15" s="736"/>
      <c r="D15" s="644">
        <v>10</v>
      </c>
      <c r="E15" s="644" t="s">
        <v>44</v>
      </c>
      <c r="F15" s="644"/>
      <c r="G15" s="644"/>
      <c r="H15" s="644"/>
      <c r="I15" s="646">
        <v>0.03</v>
      </c>
      <c r="J15" s="644"/>
      <c r="K15" s="644"/>
      <c r="L15" s="644"/>
      <c r="M15" s="644"/>
      <c r="N15" s="646">
        <v>0.82</v>
      </c>
      <c r="O15" s="644"/>
      <c r="P15" s="644"/>
      <c r="Q15" s="644"/>
      <c r="R15" s="644"/>
      <c r="S15" s="644"/>
      <c r="T15" s="646">
        <f t="shared" si="0"/>
        <v>0.85</v>
      </c>
      <c r="U15" s="646">
        <v>0.82</v>
      </c>
      <c r="V15" s="729" t="s">
        <v>1598</v>
      </c>
      <c r="W15" s="735"/>
      <c r="X15" s="732"/>
      <c r="Y15" s="732"/>
      <c r="Z15" s="732"/>
      <c r="AA15" s="732"/>
    </row>
    <row r="16" spans="1:27" ht="24.75" customHeight="1">
      <c r="A16" s="736"/>
      <c r="B16" s="736"/>
      <c r="C16" s="736"/>
      <c r="D16" s="644">
        <v>11</v>
      </c>
      <c r="E16" s="644" t="s">
        <v>45</v>
      </c>
      <c r="F16" s="644"/>
      <c r="G16" s="654"/>
      <c r="H16" s="654"/>
      <c r="I16" s="644"/>
      <c r="J16" s="644"/>
      <c r="K16" s="644"/>
      <c r="L16" s="644"/>
      <c r="M16" s="644"/>
      <c r="N16" s="644"/>
      <c r="O16" s="644"/>
      <c r="P16" s="644"/>
      <c r="Q16" s="644"/>
      <c r="R16" s="644"/>
      <c r="S16" s="644"/>
      <c r="T16" s="646">
        <f t="shared" si="0"/>
        <v>0</v>
      </c>
      <c r="U16" s="646"/>
      <c r="V16" s="729"/>
      <c r="W16" s="735"/>
      <c r="X16" s="732"/>
      <c r="Y16" s="732"/>
      <c r="Z16" s="732"/>
      <c r="AA16" s="732"/>
    </row>
    <row r="17" spans="1:27" ht="45">
      <c r="A17" s="736"/>
      <c r="B17" s="736"/>
      <c r="C17" s="736"/>
      <c r="D17" s="644">
        <v>12</v>
      </c>
      <c r="E17" s="644" t="s">
        <v>46</v>
      </c>
      <c r="F17" s="644"/>
      <c r="G17" s="644"/>
      <c r="H17" s="644"/>
      <c r="I17" s="644"/>
      <c r="J17" s="644"/>
      <c r="K17" s="644"/>
      <c r="L17" s="644"/>
      <c r="M17" s="644"/>
      <c r="N17" s="646">
        <v>2</v>
      </c>
      <c r="O17" s="644"/>
      <c r="P17" s="644"/>
      <c r="Q17" s="644"/>
      <c r="R17" s="644"/>
      <c r="S17" s="644"/>
      <c r="T17" s="646">
        <f t="shared" si="0"/>
        <v>2</v>
      </c>
      <c r="U17" s="646">
        <v>1</v>
      </c>
      <c r="V17" s="729" t="s">
        <v>802</v>
      </c>
      <c r="W17" s="735"/>
      <c r="X17" s="732"/>
      <c r="Y17" s="732"/>
      <c r="Z17" s="732"/>
      <c r="AA17" s="732"/>
    </row>
    <row r="18" spans="1:27" ht="24.75" customHeight="1">
      <c r="A18" s="736"/>
      <c r="B18" s="736"/>
      <c r="C18" s="736"/>
      <c r="D18" s="644">
        <v>13</v>
      </c>
      <c r="E18" s="644" t="s">
        <v>48</v>
      </c>
      <c r="F18" s="644"/>
      <c r="G18" s="644"/>
      <c r="H18" s="644"/>
      <c r="I18" s="644"/>
      <c r="J18" s="644"/>
      <c r="K18" s="644"/>
      <c r="L18" s="644"/>
      <c r="M18" s="644"/>
      <c r="N18" s="644"/>
      <c r="O18" s="644"/>
      <c r="P18" s="654"/>
      <c r="Q18" s="644"/>
      <c r="R18" s="644"/>
      <c r="S18" s="644"/>
      <c r="T18" s="646">
        <f t="shared" si="0"/>
        <v>0</v>
      </c>
      <c r="U18" s="646"/>
      <c r="V18" s="729"/>
      <c r="W18" s="735"/>
      <c r="X18" s="732"/>
      <c r="Y18" s="732"/>
      <c r="Z18" s="732"/>
      <c r="AA18" s="732"/>
    </row>
    <row r="19" spans="1:27" ht="24.75" customHeight="1">
      <c r="A19" s="736"/>
      <c r="B19" s="736"/>
      <c r="C19" s="736"/>
      <c r="D19" s="644">
        <v>14</v>
      </c>
      <c r="E19" s="644" t="s">
        <v>49</v>
      </c>
      <c r="F19" s="644"/>
      <c r="G19" s="644"/>
      <c r="H19" s="644"/>
      <c r="I19" s="644"/>
      <c r="J19" s="644"/>
      <c r="K19" s="644"/>
      <c r="L19" s="644"/>
      <c r="M19" s="644"/>
      <c r="N19" s="644"/>
      <c r="O19" s="644"/>
      <c r="P19" s="644"/>
      <c r="Q19" s="644"/>
      <c r="R19" s="644"/>
      <c r="S19" s="644"/>
      <c r="T19" s="646">
        <f t="shared" si="0"/>
        <v>0</v>
      </c>
      <c r="U19" s="646"/>
      <c r="V19" s="729"/>
      <c r="W19" s="735"/>
      <c r="X19" s="732"/>
      <c r="Y19" s="732"/>
      <c r="Z19" s="732"/>
      <c r="AA19" s="732"/>
    </row>
    <row r="20" spans="1:27" ht="330">
      <c r="A20" s="736"/>
      <c r="B20" s="736"/>
      <c r="C20" s="736"/>
      <c r="D20" s="644">
        <v>15</v>
      </c>
      <c r="E20" s="644" t="s">
        <v>50</v>
      </c>
      <c r="F20" s="644"/>
      <c r="G20" s="644"/>
      <c r="H20" s="644"/>
      <c r="I20" s="654">
        <v>1.1499999999999999</v>
      </c>
      <c r="J20" s="644"/>
      <c r="K20" s="644"/>
      <c r="L20" s="644"/>
      <c r="M20" s="644"/>
      <c r="N20" s="646">
        <v>0.75</v>
      </c>
      <c r="O20" s="644"/>
      <c r="P20" s="654">
        <v>3</v>
      </c>
      <c r="Q20" s="654"/>
      <c r="R20" s="644"/>
      <c r="S20" s="644"/>
      <c r="T20" s="646">
        <f t="shared" si="0"/>
        <v>4.9000000000000004</v>
      </c>
      <c r="U20" s="646">
        <f>1.26+1+1+2</f>
        <v>5.26</v>
      </c>
      <c r="V20" s="729" t="s">
        <v>803</v>
      </c>
      <c r="W20" s="735"/>
      <c r="X20" s="732"/>
      <c r="Y20" s="732"/>
      <c r="Z20" s="732"/>
      <c r="AA20" s="732"/>
    </row>
    <row r="21" spans="1:27" ht="24.75" customHeight="1">
      <c r="A21" s="736"/>
      <c r="B21" s="736"/>
      <c r="C21" s="736"/>
      <c r="D21" s="644">
        <v>16</v>
      </c>
      <c r="E21" s="644" t="s">
        <v>51</v>
      </c>
      <c r="F21" s="644"/>
      <c r="G21" s="644"/>
      <c r="H21" s="644"/>
      <c r="I21" s="644"/>
      <c r="J21" s="644"/>
      <c r="K21" s="644"/>
      <c r="L21" s="644"/>
      <c r="M21" s="644"/>
      <c r="N21" s="644"/>
      <c r="O21" s="644"/>
      <c r="P21" s="644"/>
      <c r="Q21" s="644"/>
      <c r="R21" s="644"/>
      <c r="S21" s="644"/>
      <c r="T21" s="646">
        <f t="shared" si="0"/>
        <v>0</v>
      </c>
      <c r="U21" s="646">
        <f>SUM(G21:T21)</f>
        <v>0</v>
      </c>
      <c r="V21" s="729"/>
      <c r="W21" s="735"/>
      <c r="X21" s="732"/>
      <c r="Y21" s="732"/>
      <c r="Z21" s="732"/>
      <c r="AA21" s="732"/>
    </row>
    <row r="22" spans="1:27" ht="75">
      <c r="A22" s="736"/>
      <c r="B22" s="736"/>
      <c r="C22" s="736"/>
      <c r="D22" s="644">
        <v>17</v>
      </c>
      <c r="E22" s="644" t="s">
        <v>52</v>
      </c>
      <c r="F22" s="644"/>
      <c r="G22" s="644"/>
      <c r="H22" s="644"/>
      <c r="I22" s="646"/>
      <c r="J22" s="644"/>
      <c r="K22" s="644"/>
      <c r="L22" s="644"/>
      <c r="M22" s="644"/>
      <c r="N22" s="646"/>
      <c r="O22" s="644"/>
      <c r="P22" s="654">
        <v>2.25</v>
      </c>
      <c r="Q22" s="646">
        <v>2.86</v>
      </c>
      <c r="R22" s="644"/>
      <c r="S22" s="654"/>
      <c r="T22" s="646">
        <f t="shared" si="0"/>
        <v>5.1099999999999994</v>
      </c>
      <c r="U22" s="658">
        <f>T22+0.5</f>
        <v>5.6099999999999994</v>
      </c>
      <c r="V22" s="729" t="s">
        <v>804</v>
      </c>
      <c r="W22" s="735"/>
      <c r="X22" s="732"/>
      <c r="Y22" s="732"/>
      <c r="Z22" s="732"/>
      <c r="AA22" s="732"/>
    </row>
    <row r="23" spans="1:27" ht="60">
      <c r="A23" s="736"/>
      <c r="B23" s="736"/>
      <c r="C23" s="736"/>
      <c r="D23" s="644">
        <v>18</v>
      </c>
      <c r="E23" s="644" t="s">
        <v>53</v>
      </c>
      <c r="F23" s="644"/>
      <c r="G23" s="644"/>
      <c r="H23" s="644"/>
      <c r="I23" s="644"/>
      <c r="J23" s="644"/>
      <c r="K23" s="644"/>
      <c r="L23" s="644"/>
      <c r="M23" s="644"/>
      <c r="N23" s="644"/>
      <c r="O23" s="644"/>
      <c r="P23" s="654">
        <v>2.2200000000000002</v>
      </c>
      <c r="Q23" s="654"/>
      <c r="R23" s="644"/>
      <c r="S23" s="654"/>
      <c r="T23" s="646">
        <f t="shared" si="0"/>
        <v>2.2200000000000002</v>
      </c>
      <c r="U23" s="646">
        <f>2.22</f>
        <v>2.2200000000000002</v>
      </c>
      <c r="V23" s="729" t="s">
        <v>1845</v>
      </c>
      <c r="W23" s="735"/>
      <c r="X23" s="732"/>
      <c r="Y23" s="732"/>
      <c r="Z23" s="732"/>
      <c r="AA23" s="732"/>
    </row>
    <row r="24" spans="1:27" ht="24.75" customHeight="1">
      <c r="A24" s="736"/>
      <c r="B24" s="699" t="s">
        <v>54</v>
      </c>
      <c r="C24" s="699" t="s">
        <v>55</v>
      </c>
      <c r="D24" s="644">
        <v>19</v>
      </c>
      <c r="E24" s="644" t="s">
        <v>55</v>
      </c>
      <c r="F24" s="644"/>
      <c r="G24" s="644"/>
      <c r="H24" s="644"/>
      <c r="I24" s="644"/>
      <c r="J24" s="644"/>
      <c r="K24" s="644"/>
      <c r="L24" s="644"/>
      <c r="M24" s="644"/>
      <c r="N24" s="644"/>
      <c r="O24" s="644"/>
      <c r="P24" s="644"/>
      <c r="Q24" s="644"/>
      <c r="R24" s="644"/>
      <c r="S24" s="644"/>
      <c r="T24" s="646">
        <f t="shared" si="0"/>
        <v>0</v>
      </c>
      <c r="U24" s="646"/>
      <c r="V24" s="729"/>
      <c r="W24" s="735"/>
      <c r="X24" s="732"/>
      <c r="Y24" s="732"/>
      <c r="Z24" s="732"/>
      <c r="AA24" s="732"/>
    </row>
    <row r="25" spans="1:27" ht="120">
      <c r="A25" s="736"/>
      <c r="B25" s="736"/>
      <c r="C25" s="736"/>
      <c r="D25" s="644">
        <v>20</v>
      </c>
      <c r="E25" s="644" t="s">
        <v>56</v>
      </c>
      <c r="F25" s="644"/>
      <c r="G25" s="644"/>
      <c r="H25" s="644"/>
      <c r="I25" s="644"/>
      <c r="J25" s="644"/>
      <c r="K25" s="644"/>
      <c r="L25" s="644"/>
      <c r="M25" s="644"/>
      <c r="N25" s="644"/>
      <c r="O25" s="644"/>
      <c r="P25" s="644">
        <v>0</v>
      </c>
      <c r="Q25" s="646">
        <v>0.35</v>
      </c>
      <c r="R25" s="644"/>
      <c r="S25" s="644"/>
      <c r="T25" s="646">
        <f t="shared" si="0"/>
        <v>0.35</v>
      </c>
      <c r="U25" s="646"/>
      <c r="V25" s="738" t="s">
        <v>805</v>
      </c>
      <c r="W25" s="735"/>
      <c r="X25" s="732"/>
      <c r="Y25" s="732"/>
      <c r="Z25" s="732"/>
      <c r="AA25" s="732"/>
    </row>
    <row r="26" spans="1:27" ht="210">
      <c r="A26" s="736"/>
      <c r="B26" s="699" t="s">
        <v>58</v>
      </c>
      <c r="C26" s="699" t="s">
        <v>59</v>
      </c>
      <c r="D26" s="644">
        <v>21</v>
      </c>
      <c r="E26" s="644" t="s">
        <v>60</v>
      </c>
      <c r="F26" s="795"/>
      <c r="G26" s="795"/>
      <c r="H26" s="796"/>
      <c r="I26" s="797">
        <v>2.2799999999999998</v>
      </c>
      <c r="J26" s="795"/>
      <c r="K26" s="797"/>
      <c r="L26" s="795"/>
      <c r="M26" s="795"/>
      <c r="N26" s="797">
        <f>1.5+0.42+0.35</f>
        <v>2.27</v>
      </c>
      <c r="O26" s="795"/>
      <c r="P26" s="796">
        <f>25.2+4.248</f>
        <v>29.448</v>
      </c>
      <c r="Q26" s="796">
        <v>0.28499999999999998</v>
      </c>
      <c r="R26" s="797">
        <v>0.5</v>
      </c>
      <c r="S26" s="795"/>
      <c r="T26" s="646">
        <f t="shared" si="0"/>
        <v>34.782999999999994</v>
      </c>
      <c r="U26" s="658">
        <f>I26+N26+P26+Q26+R26</f>
        <v>34.782999999999994</v>
      </c>
      <c r="V26" s="744" t="s">
        <v>806</v>
      </c>
      <c r="W26" s="735"/>
      <c r="X26" s="732"/>
      <c r="Y26" s="732"/>
      <c r="Z26" s="732"/>
      <c r="AA26" s="732"/>
    </row>
    <row r="27" spans="1:27" ht="210">
      <c r="A27" s="736"/>
      <c r="B27" s="736"/>
      <c r="C27" s="736"/>
      <c r="D27" s="644">
        <v>22</v>
      </c>
      <c r="E27" s="644" t="s">
        <v>62</v>
      </c>
      <c r="F27" s="796"/>
      <c r="G27" s="795"/>
      <c r="H27" s="796"/>
      <c r="I27" s="739">
        <f>681993/100000</f>
        <v>6.8199300000000003</v>
      </c>
      <c r="J27" s="795"/>
      <c r="K27" s="795"/>
      <c r="L27" s="795"/>
      <c r="M27" s="796">
        <v>1</v>
      </c>
      <c r="N27" s="795"/>
      <c r="O27" s="795"/>
      <c r="P27" s="796">
        <f>143.934+2.4</f>
        <v>146.334</v>
      </c>
      <c r="Q27" s="796">
        <v>1</v>
      </c>
      <c r="R27" s="797"/>
      <c r="S27" s="795"/>
      <c r="T27" s="646">
        <f t="shared" si="0"/>
        <v>155.15393</v>
      </c>
      <c r="U27" s="658">
        <f>M27+P27+Q27</f>
        <v>148.334</v>
      </c>
      <c r="V27" s="738" t="s">
        <v>807</v>
      </c>
      <c r="W27" s="735"/>
      <c r="X27" s="732"/>
      <c r="Y27" s="732"/>
      <c r="Z27" s="732"/>
      <c r="AA27" s="732"/>
    </row>
    <row r="28" spans="1:27" ht="165">
      <c r="A28" s="736"/>
      <c r="B28" s="736"/>
      <c r="C28" s="736"/>
      <c r="D28" s="644">
        <v>23</v>
      </c>
      <c r="E28" s="644" t="s">
        <v>64</v>
      </c>
      <c r="F28" s="795"/>
      <c r="G28" s="795"/>
      <c r="H28" s="795"/>
      <c r="I28" s="795"/>
      <c r="J28" s="795"/>
      <c r="K28" s="797"/>
      <c r="L28" s="795"/>
      <c r="M28" s="795"/>
      <c r="N28" s="795">
        <v>0.11</v>
      </c>
      <c r="O28" s="796">
        <v>70.05</v>
      </c>
      <c r="P28" s="795"/>
      <c r="Q28" s="796"/>
      <c r="R28" s="795"/>
      <c r="S28" s="795"/>
      <c r="T28" s="646">
        <f t="shared" si="0"/>
        <v>70.16</v>
      </c>
      <c r="U28" s="658">
        <f>T28</f>
        <v>70.16</v>
      </c>
      <c r="V28" s="740" t="s">
        <v>808</v>
      </c>
      <c r="W28" s="735"/>
      <c r="X28" s="732"/>
      <c r="Y28" s="732"/>
      <c r="Z28" s="732"/>
      <c r="AA28" s="732"/>
    </row>
    <row r="29" spans="1:27" ht="270">
      <c r="A29" s="736"/>
      <c r="B29" s="736"/>
      <c r="C29" s="736"/>
      <c r="D29" s="644">
        <v>24</v>
      </c>
      <c r="E29" s="644" t="s">
        <v>66</v>
      </c>
      <c r="F29" s="795"/>
      <c r="G29" s="795"/>
      <c r="H29" s="796"/>
      <c r="I29" s="795"/>
      <c r="J29" s="795"/>
      <c r="K29" s="795"/>
      <c r="L29" s="795"/>
      <c r="M29" s="795"/>
      <c r="N29" s="684">
        <f>1+0.688+0.688+0.5+4</f>
        <v>6.8759999999999994</v>
      </c>
      <c r="O29" s="796"/>
      <c r="P29" s="795">
        <v>12.2</v>
      </c>
      <c r="Q29" s="797">
        <v>2</v>
      </c>
      <c r="R29" s="795"/>
      <c r="S29" s="795"/>
      <c r="T29" s="646">
        <f t="shared" si="0"/>
        <v>21.076000000000001</v>
      </c>
      <c r="U29" s="652">
        <v>23.076000000000001</v>
      </c>
      <c r="V29" s="744" t="s">
        <v>809</v>
      </c>
      <c r="W29" s="735"/>
      <c r="X29" s="732"/>
      <c r="Y29" s="732"/>
      <c r="Z29" s="732"/>
      <c r="AA29" s="732"/>
    </row>
    <row r="30" spans="1:27" ht="225">
      <c r="A30" s="736"/>
      <c r="B30" s="736"/>
      <c r="C30" s="736"/>
      <c r="D30" s="644">
        <v>25</v>
      </c>
      <c r="E30" s="644" t="s">
        <v>68</v>
      </c>
      <c r="F30" s="795"/>
      <c r="G30" s="795"/>
      <c r="H30" s="795"/>
      <c r="I30" s="795"/>
      <c r="J30" s="795"/>
      <c r="K30" s="795"/>
      <c r="L30" s="795"/>
      <c r="M30" s="795"/>
      <c r="N30" s="797">
        <v>0.5</v>
      </c>
      <c r="O30" s="799">
        <v>6.4500000000000002E-2</v>
      </c>
      <c r="P30" s="795">
        <v>0.89600000000000002</v>
      </c>
      <c r="Q30" s="743"/>
      <c r="R30" s="795"/>
      <c r="S30" s="795"/>
      <c r="T30" s="646">
        <f t="shared" si="0"/>
        <v>1.4605000000000001</v>
      </c>
      <c r="U30" s="658">
        <f>T30</f>
        <v>1.4605000000000001</v>
      </c>
      <c r="V30" s="744" t="s">
        <v>399</v>
      </c>
      <c r="W30" s="735"/>
      <c r="X30" s="732"/>
      <c r="Y30" s="732"/>
      <c r="Z30" s="732"/>
      <c r="AA30" s="732"/>
    </row>
    <row r="31" spans="1:27" ht="225">
      <c r="A31" s="736"/>
      <c r="B31" s="736"/>
      <c r="C31" s="736"/>
      <c r="D31" s="644">
        <v>26</v>
      </c>
      <c r="E31" s="644" t="s">
        <v>70</v>
      </c>
      <c r="F31" s="795"/>
      <c r="G31" s="795"/>
      <c r="H31" s="795"/>
      <c r="I31" s="797"/>
      <c r="J31" s="795"/>
      <c r="K31" s="795"/>
      <c r="L31" s="795"/>
      <c r="M31" s="795"/>
      <c r="N31" s="797">
        <v>3.9</v>
      </c>
      <c r="O31" s="795"/>
      <c r="P31" s="795"/>
      <c r="Q31" s="684">
        <v>3.2</v>
      </c>
      <c r="R31" s="685">
        <v>0.2</v>
      </c>
      <c r="S31" s="795"/>
      <c r="T31" s="646">
        <f t="shared" si="0"/>
        <v>7.3</v>
      </c>
      <c r="U31" s="658">
        <f>T31-0.2</f>
        <v>7.1</v>
      </c>
      <c r="V31" s="744" t="s">
        <v>751</v>
      </c>
      <c r="W31" s="735"/>
      <c r="X31" s="732"/>
      <c r="Y31" s="732"/>
      <c r="Z31" s="732"/>
      <c r="AA31" s="732"/>
    </row>
    <row r="32" spans="1:27" ht="150">
      <c r="A32" s="736"/>
      <c r="B32" s="736"/>
      <c r="C32" s="736"/>
      <c r="D32" s="644">
        <v>27</v>
      </c>
      <c r="E32" s="644" t="s">
        <v>72</v>
      </c>
      <c r="F32" s="795"/>
      <c r="G32" s="795"/>
      <c r="H32" s="796"/>
      <c r="I32" s="797"/>
      <c r="J32" s="795"/>
      <c r="K32" s="795"/>
      <c r="L32" s="795"/>
      <c r="M32" s="795"/>
      <c r="N32" s="797">
        <v>1</v>
      </c>
      <c r="O32" s="796"/>
      <c r="P32" s="796">
        <v>6</v>
      </c>
      <c r="Q32" s="795"/>
      <c r="R32" s="795"/>
      <c r="S32" s="795"/>
      <c r="T32" s="646">
        <f t="shared" si="0"/>
        <v>7</v>
      </c>
      <c r="U32" s="646">
        <f>T32</f>
        <v>7</v>
      </c>
      <c r="V32" s="740" t="s">
        <v>810</v>
      </c>
      <c r="W32" s="735"/>
      <c r="X32" s="732"/>
      <c r="Y32" s="732"/>
      <c r="Z32" s="732"/>
      <c r="AA32" s="732"/>
    </row>
    <row r="33" spans="1:27" ht="90">
      <c r="A33" s="736"/>
      <c r="B33" s="736"/>
      <c r="C33" s="736"/>
      <c r="D33" s="644">
        <v>28</v>
      </c>
      <c r="E33" s="644" t="s">
        <v>34</v>
      </c>
      <c r="F33" s="795"/>
      <c r="G33" s="795"/>
      <c r="H33" s="795"/>
      <c r="I33" s="795"/>
      <c r="J33" s="795"/>
      <c r="K33" s="797">
        <v>2.1640000000000001</v>
      </c>
      <c r="L33" s="795"/>
      <c r="M33" s="797">
        <v>2.1640000000000001</v>
      </c>
      <c r="N33" s="795"/>
      <c r="O33" s="795"/>
      <c r="P33" s="795"/>
      <c r="Q33" s="795"/>
      <c r="R33" s="795"/>
      <c r="S33" s="795"/>
      <c r="T33" s="646">
        <f t="shared" si="0"/>
        <v>4.3280000000000003</v>
      </c>
      <c r="U33" s="646">
        <f>4.33</f>
        <v>4.33</v>
      </c>
      <c r="V33" s="729" t="s">
        <v>1846</v>
      </c>
      <c r="W33" s="735"/>
      <c r="X33" s="732"/>
      <c r="Y33" s="732"/>
      <c r="Z33" s="732"/>
      <c r="AA33" s="732"/>
    </row>
    <row r="34" spans="1:27" ht="24.75" customHeight="1">
      <c r="A34" s="736"/>
      <c r="B34" s="736"/>
      <c r="C34" s="736"/>
      <c r="D34" s="644">
        <v>29</v>
      </c>
      <c r="E34" s="644" t="s">
        <v>36</v>
      </c>
      <c r="F34" s="795"/>
      <c r="G34" s="795"/>
      <c r="H34" s="795"/>
      <c r="I34" s="795"/>
      <c r="J34" s="795"/>
      <c r="K34" s="795"/>
      <c r="L34" s="795"/>
      <c r="M34" s="795"/>
      <c r="N34" s="795"/>
      <c r="O34" s="795"/>
      <c r="P34" s="797">
        <v>5.41</v>
      </c>
      <c r="Q34" s="795"/>
      <c r="R34" s="795"/>
      <c r="S34" s="795"/>
      <c r="T34" s="646">
        <f t="shared" si="0"/>
        <v>5.41</v>
      </c>
      <c r="U34" s="646">
        <f t="shared" ref="U34:U35" si="2">T34</f>
        <v>5.41</v>
      </c>
      <c r="V34" s="729" t="s">
        <v>1847</v>
      </c>
      <c r="W34" s="735"/>
      <c r="X34" s="732"/>
      <c r="Y34" s="732"/>
      <c r="Z34" s="732"/>
      <c r="AA34" s="732"/>
    </row>
    <row r="35" spans="1:27" ht="75">
      <c r="A35" s="736"/>
      <c r="B35" s="736"/>
      <c r="C35" s="736"/>
      <c r="D35" s="644">
        <v>30</v>
      </c>
      <c r="E35" s="644" t="s">
        <v>74</v>
      </c>
      <c r="F35" s="795"/>
      <c r="G35" s="795"/>
      <c r="H35" s="795"/>
      <c r="I35" s="797"/>
      <c r="J35" s="795"/>
      <c r="K35" s="795"/>
      <c r="L35" s="795"/>
      <c r="M35" s="795"/>
      <c r="N35" s="795"/>
      <c r="O35" s="795"/>
      <c r="P35" s="795"/>
      <c r="Q35" s="797">
        <v>2.7</v>
      </c>
      <c r="R35" s="685">
        <v>1.75</v>
      </c>
      <c r="S35" s="795"/>
      <c r="T35" s="646">
        <f t="shared" si="0"/>
        <v>4.45</v>
      </c>
      <c r="U35" s="646">
        <f t="shared" si="2"/>
        <v>4.45</v>
      </c>
      <c r="V35" s="746" t="s">
        <v>811</v>
      </c>
      <c r="W35" s="735"/>
      <c r="X35" s="732"/>
      <c r="Y35" s="732"/>
      <c r="Z35" s="732"/>
      <c r="AA35" s="732"/>
    </row>
    <row r="36" spans="1:27" ht="24.75" customHeight="1">
      <c r="A36" s="736"/>
      <c r="B36" s="736"/>
      <c r="C36" s="736"/>
      <c r="D36" s="644">
        <v>31</v>
      </c>
      <c r="E36" s="644" t="s">
        <v>53</v>
      </c>
      <c r="F36" s="795"/>
      <c r="G36" s="795"/>
      <c r="H36" s="795"/>
      <c r="I36" s="795"/>
      <c r="J36" s="795"/>
      <c r="K36" s="795"/>
      <c r="L36" s="795"/>
      <c r="M36" s="795"/>
      <c r="N36" s="795"/>
      <c r="O36" s="795"/>
      <c r="P36" s="795"/>
      <c r="Q36" s="795"/>
      <c r="R36" s="795"/>
      <c r="S36" s="795"/>
      <c r="T36" s="646">
        <f t="shared" si="0"/>
        <v>0</v>
      </c>
      <c r="U36" s="646"/>
      <c r="V36" s="729"/>
      <c r="W36" s="735"/>
      <c r="X36" s="732"/>
      <c r="Y36" s="732"/>
      <c r="Z36" s="732"/>
      <c r="AA36" s="732"/>
    </row>
    <row r="37" spans="1:27" ht="120">
      <c r="A37" s="736"/>
      <c r="B37" s="699" t="s">
        <v>76</v>
      </c>
      <c r="C37" s="699" t="s">
        <v>77</v>
      </c>
      <c r="D37" s="644">
        <v>32</v>
      </c>
      <c r="E37" s="644" t="s">
        <v>78</v>
      </c>
      <c r="F37" s="644"/>
      <c r="G37" s="644"/>
      <c r="H37" s="644"/>
      <c r="I37" s="646"/>
      <c r="J37" s="644"/>
      <c r="K37" s="644"/>
      <c r="L37" s="644"/>
      <c r="M37" s="646"/>
      <c r="N37" s="646">
        <v>7.3339999999999996</v>
      </c>
      <c r="O37" s="654">
        <v>90.931449999999998</v>
      </c>
      <c r="P37" s="654">
        <v>16.744599999999998</v>
      </c>
      <c r="Q37" s="646">
        <v>1.5</v>
      </c>
      <c r="R37" s="654">
        <v>4.7450000000000001</v>
      </c>
      <c r="S37" s="644">
        <v>4.3899999999999997</v>
      </c>
      <c r="T37" s="646">
        <f t="shared" si="0"/>
        <v>125.64505000000001</v>
      </c>
      <c r="U37" s="646">
        <f>T37-0.8385</f>
        <v>124.80655000000002</v>
      </c>
      <c r="V37" s="746" t="s">
        <v>812</v>
      </c>
      <c r="W37" s="735"/>
      <c r="X37" s="732"/>
      <c r="Y37" s="732"/>
      <c r="Z37" s="732"/>
      <c r="AA37" s="732"/>
    </row>
    <row r="38" spans="1:27" ht="24.75" customHeight="1">
      <c r="A38" s="736"/>
      <c r="B38" s="736"/>
      <c r="C38" s="736"/>
      <c r="D38" s="644">
        <v>33</v>
      </c>
      <c r="E38" s="644" t="s">
        <v>80</v>
      </c>
      <c r="F38" s="644"/>
      <c r="G38" s="644"/>
      <c r="H38" s="644"/>
      <c r="I38" s="644"/>
      <c r="J38" s="644"/>
      <c r="K38" s="644"/>
      <c r="L38" s="644"/>
      <c r="M38" s="644"/>
      <c r="N38" s="644"/>
      <c r="O38" s="644"/>
      <c r="P38" s="644"/>
      <c r="Q38" s="644"/>
      <c r="R38" s="644"/>
      <c r="S38" s="644"/>
      <c r="T38" s="646">
        <f t="shared" si="0"/>
        <v>0</v>
      </c>
      <c r="U38" s="646">
        <v>0</v>
      </c>
      <c r="V38" s="729"/>
      <c r="W38" s="735"/>
      <c r="X38" s="732"/>
      <c r="Y38" s="732"/>
      <c r="Z38" s="732"/>
      <c r="AA38" s="732"/>
    </row>
    <row r="39" spans="1:27" ht="24.75" customHeight="1">
      <c r="A39" s="736"/>
      <c r="B39" s="736"/>
      <c r="C39" s="736"/>
      <c r="D39" s="644">
        <v>34</v>
      </c>
      <c r="E39" s="644" t="s">
        <v>81</v>
      </c>
      <c r="F39" s="644"/>
      <c r="G39" s="644"/>
      <c r="H39" s="644"/>
      <c r="I39" s="644"/>
      <c r="J39" s="644"/>
      <c r="K39" s="644"/>
      <c r="L39" s="644"/>
      <c r="M39" s="644"/>
      <c r="N39" s="646"/>
      <c r="O39" s="644"/>
      <c r="P39" s="654"/>
      <c r="Q39" s="644"/>
      <c r="R39" s="644"/>
      <c r="S39" s="644"/>
      <c r="T39" s="646">
        <f t="shared" si="0"/>
        <v>0</v>
      </c>
      <c r="U39" s="646"/>
      <c r="V39" s="729"/>
      <c r="W39" s="735"/>
      <c r="X39" s="732"/>
      <c r="Y39" s="732"/>
      <c r="Z39" s="732"/>
      <c r="AA39" s="732"/>
    </row>
    <row r="40" spans="1:27" ht="285">
      <c r="A40" s="736"/>
      <c r="B40" s="699" t="s">
        <v>82</v>
      </c>
      <c r="C40" s="699" t="s">
        <v>83</v>
      </c>
      <c r="D40" s="644">
        <v>35</v>
      </c>
      <c r="E40" s="644" t="s">
        <v>84</v>
      </c>
      <c r="F40" s="645"/>
      <c r="G40" s="645"/>
      <c r="H40" s="645"/>
      <c r="I40" s="647"/>
      <c r="J40" s="645"/>
      <c r="K40" s="645"/>
      <c r="L40" s="645"/>
      <c r="M40" s="645"/>
      <c r="N40" s="647">
        <v>1.2</v>
      </c>
      <c r="O40" s="645"/>
      <c r="P40" s="648">
        <f>1.8+5.76+0.42+0.1</f>
        <v>8.08</v>
      </c>
      <c r="Q40" s="648">
        <v>0.25</v>
      </c>
      <c r="R40" s="645"/>
      <c r="S40" s="645"/>
      <c r="T40" s="646">
        <f t="shared" si="0"/>
        <v>9.5299999999999994</v>
      </c>
      <c r="U40" s="646">
        <v>9.5299999999999994</v>
      </c>
      <c r="V40" s="746" t="s">
        <v>1848</v>
      </c>
      <c r="W40" s="735"/>
      <c r="X40" s="732"/>
      <c r="Y40" s="732"/>
      <c r="Z40" s="732"/>
      <c r="AA40" s="732"/>
    </row>
    <row r="41" spans="1:27" ht="60">
      <c r="A41" s="736"/>
      <c r="B41" s="736"/>
      <c r="C41" s="736"/>
      <c r="D41" s="644">
        <v>36</v>
      </c>
      <c r="E41" s="644" t="s">
        <v>85</v>
      </c>
      <c r="F41" s="645"/>
      <c r="G41" s="645"/>
      <c r="H41" s="645"/>
      <c r="I41" s="645"/>
      <c r="J41" s="645"/>
      <c r="K41" s="647"/>
      <c r="L41" s="645"/>
      <c r="M41" s="645"/>
      <c r="N41" s="647">
        <v>0.7</v>
      </c>
      <c r="O41" s="645"/>
      <c r="P41" s="645"/>
      <c r="Q41" s="645"/>
      <c r="R41" s="645"/>
      <c r="S41" s="645"/>
      <c r="T41" s="646">
        <f t="shared" si="0"/>
        <v>0.7</v>
      </c>
      <c r="U41" s="646">
        <v>0.7</v>
      </c>
      <c r="V41" s="746" t="s">
        <v>813</v>
      </c>
      <c r="W41" s="735"/>
      <c r="X41" s="732"/>
      <c r="Y41" s="732"/>
      <c r="Z41" s="732"/>
      <c r="AA41" s="732"/>
    </row>
    <row r="42" spans="1:27" ht="24.75" customHeight="1">
      <c r="A42" s="736"/>
      <c r="B42" s="736"/>
      <c r="C42" s="736"/>
      <c r="D42" s="644">
        <v>37</v>
      </c>
      <c r="E42" s="644" t="s">
        <v>86</v>
      </c>
      <c r="F42" s="645"/>
      <c r="G42" s="645"/>
      <c r="H42" s="645"/>
      <c r="I42" s="645"/>
      <c r="J42" s="645"/>
      <c r="K42" s="647"/>
      <c r="L42" s="645"/>
      <c r="M42" s="645"/>
      <c r="N42" s="645"/>
      <c r="O42" s="645"/>
      <c r="P42" s="645"/>
      <c r="Q42" s="645"/>
      <c r="R42" s="645"/>
      <c r="S42" s="645"/>
      <c r="T42" s="646">
        <f t="shared" si="0"/>
        <v>0</v>
      </c>
      <c r="U42" s="646">
        <f>T42*1.05</f>
        <v>0</v>
      </c>
      <c r="V42" s="746"/>
      <c r="W42" s="735"/>
      <c r="X42" s="732"/>
      <c r="Y42" s="732"/>
      <c r="Z42" s="732"/>
      <c r="AA42" s="732"/>
    </row>
    <row r="43" spans="1:27" ht="255">
      <c r="A43" s="736"/>
      <c r="B43" s="736"/>
      <c r="C43" s="736"/>
      <c r="D43" s="644">
        <v>38</v>
      </c>
      <c r="E43" s="644" t="s">
        <v>87</v>
      </c>
      <c r="F43" s="645"/>
      <c r="G43" s="645"/>
      <c r="H43" s="645"/>
      <c r="I43" s="645"/>
      <c r="J43" s="645"/>
      <c r="K43" s="645"/>
      <c r="L43" s="645"/>
      <c r="M43" s="645"/>
      <c r="N43" s="769">
        <v>17.5</v>
      </c>
      <c r="O43" s="648">
        <v>0.48</v>
      </c>
      <c r="P43" s="648">
        <v>18</v>
      </c>
      <c r="Q43" s="648">
        <v>3.5</v>
      </c>
      <c r="R43" s="645"/>
      <c r="S43" s="645"/>
      <c r="T43" s="646">
        <f t="shared" si="0"/>
        <v>39.480000000000004</v>
      </c>
      <c r="U43" s="646">
        <v>39.479999999999997</v>
      </c>
      <c r="V43" s="746" t="s">
        <v>1849</v>
      </c>
      <c r="W43" s="735"/>
      <c r="X43" s="732"/>
      <c r="Y43" s="732"/>
      <c r="Z43" s="732"/>
      <c r="AA43" s="732"/>
    </row>
    <row r="44" spans="1:27" ht="90">
      <c r="A44" s="736"/>
      <c r="B44" s="736"/>
      <c r="C44" s="736"/>
      <c r="D44" s="644">
        <v>39</v>
      </c>
      <c r="E44" s="644" t="s">
        <v>88</v>
      </c>
      <c r="F44" s="645"/>
      <c r="G44" s="645"/>
      <c r="H44" s="645"/>
      <c r="I44" s="645"/>
      <c r="J44" s="645"/>
      <c r="K44" s="645"/>
      <c r="L44" s="645"/>
      <c r="M44" s="645"/>
      <c r="N44" s="645">
        <v>1</v>
      </c>
      <c r="O44" s="645"/>
      <c r="P44" s="648">
        <v>0.4</v>
      </c>
      <c r="Q44" s="648"/>
      <c r="R44" s="645"/>
      <c r="S44" s="645"/>
      <c r="T44" s="646">
        <f t="shared" si="0"/>
        <v>1.4</v>
      </c>
      <c r="U44" s="646">
        <v>1.4</v>
      </c>
      <c r="V44" s="746" t="s">
        <v>401</v>
      </c>
      <c r="W44" s="735"/>
      <c r="X44" s="732"/>
      <c r="Y44" s="732"/>
      <c r="Z44" s="732"/>
      <c r="AA44" s="732"/>
    </row>
    <row r="45" spans="1:27" ht="165">
      <c r="A45" s="736"/>
      <c r="B45" s="736"/>
      <c r="C45" s="736"/>
      <c r="D45" s="644">
        <v>40</v>
      </c>
      <c r="E45" s="644" t="s">
        <v>89</v>
      </c>
      <c r="F45" s="645"/>
      <c r="G45" s="645"/>
      <c r="H45" s="645"/>
      <c r="I45" s="645"/>
      <c r="J45" s="645"/>
      <c r="K45" s="645"/>
      <c r="L45" s="645"/>
      <c r="M45" s="645"/>
      <c r="N45" s="658">
        <v>0.10920000000000001</v>
      </c>
      <c r="O45" s="645"/>
      <c r="P45" s="648"/>
      <c r="Q45" s="647">
        <f>0.62+1.7</f>
        <v>2.3199999999999998</v>
      </c>
      <c r="R45" s="648"/>
      <c r="S45" s="645"/>
      <c r="T45" s="646">
        <f t="shared" si="0"/>
        <v>2.4291999999999998</v>
      </c>
      <c r="U45" s="646">
        <v>2.4300000000000002</v>
      </c>
      <c r="V45" s="746" t="s">
        <v>1850</v>
      </c>
      <c r="W45" s="735"/>
      <c r="X45" s="732"/>
      <c r="Y45" s="732"/>
      <c r="Z45" s="732"/>
      <c r="AA45" s="732"/>
    </row>
    <row r="46" spans="1:27" ht="24.75" customHeight="1">
      <c r="A46" s="736"/>
      <c r="B46" s="736"/>
      <c r="C46" s="736"/>
      <c r="D46" s="644">
        <v>41</v>
      </c>
      <c r="E46" s="644" t="s">
        <v>53</v>
      </c>
      <c r="F46" s="645"/>
      <c r="G46" s="645"/>
      <c r="H46" s="645"/>
      <c r="I46" s="645"/>
      <c r="J46" s="645"/>
      <c r="K46" s="645"/>
      <c r="L46" s="645"/>
      <c r="M46" s="645"/>
      <c r="N46" s="645"/>
      <c r="O46" s="645"/>
      <c r="P46" s="645"/>
      <c r="Q46" s="645"/>
      <c r="R46" s="645"/>
      <c r="S46" s="645"/>
      <c r="T46" s="646">
        <f t="shared" si="0"/>
        <v>0</v>
      </c>
      <c r="U46" s="646">
        <f>T46*1.05</f>
        <v>0</v>
      </c>
      <c r="V46" s="746"/>
      <c r="W46" s="735"/>
      <c r="X46" s="732"/>
      <c r="Y46" s="732"/>
      <c r="Z46" s="732"/>
      <c r="AA46" s="732"/>
    </row>
    <row r="47" spans="1:27" ht="75">
      <c r="A47" s="736"/>
      <c r="B47" s="699" t="s">
        <v>90</v>
      </c>
      <c r="C47" s="699" t="s">
        <v>91</v>
      </c>
      <c r="D47" s="644">
        <v>42</v>
      </c>
      <c r="E47" s="644" t="s">
        <v>92</v>
      </c>
      <c r="F47" s="654">
        <v>9.6170000000000009</v>
      </c>
      <c r="G47" s="644"/>
      <c r="H47" s="644"/>
      <c r="I47" s="646"/>
      <c r="J47" s="644"/>
      <c r="K47" s="644"/>
      <c r="L47" s="644"/>
      <c r="M47" s="644"/>
      <c r="N47" s="686">
        <v>1.1000000000000001</v>
      </c>
      <c r="O47" s="644"/>
      <c r="P47" s="654"/>
      <c r="Q47" s="644"/>
      <c r="R47" s="644"/>
      <c r="S47" s="644"/>
      <c r="T47" s="646">
        <f t="shared" si="0"/>
        <v>10.717000000000001</v>
      </c>
      <c r="U47" s="646">
        <f t="shared" ref="U47:U50" si="3">T47</f>
        <v>10.717000000000001</v>
      </c>
      <c r="V47" s="729" t="s">
        <v>1851</v>
      </c>
      <c r="W47" s="735"/>
      <c r="X47" s="732"/>
      <c r="Y47" s="732"/>
      <c r="Z47" s="732"/>
      <c r="AA47" s="732"/>
    </row>
    <row r="48" spans="1:27" ht="60">
      <c r="A48" s="736"/>
      <c r="B48" s="736"/>
      <c r="C48" s="736"/>
      <c r="D48" s="644">
        <v>43</v>
      </c>
      <c r="E48" s="644" t="s">
        <v>93</v>
      </c>
      <c r="F48" s="654">
        <v>0.2145</v>
      </c>
      <c r="G48" s="644"/>
      <c r="H48" s="644"/>
      <c r="I48" s="646"/>
      <c r="J48" s="644"/>
      <c r="K48" s="644"/>
      <c r="L48" s="644"/>
      <c r="M48" s="644"/>
      <c r="N48" s="686">
        <v>0.34499999999999997</v>
      </c>
      <c r="O48" s="644"/>
      <c r="P48" s="644"/>
      <c r="Q48" s="644"/>
      <c r="R48" s="644"/>
      <c r="S48" s="644"/>
      <c r="T48" s="646">
        <f t="shared" si="0"/>
        <v>0.5595</v>
      </c>
      <c r="U48" s="646">
        <f t="shared" si="3"/>
        <v>0.5595</v>
      </c>
      <c r="V48" s="729" t="s">
        <v>814</v>
      </c>
      <c r="W48" s="735"/>
      <c r="X48" s="732"/>
      <c r="Y48" s="732"/>
      <c r="Z48" s="732"/>
      <c r="AA48" s="732"/>
    </row>
    <row r="49" spans="1:27" ht="180">
      <c r="A49" s="736"/>
      <c r="B49" s="736"/>
      <c r="C49" s="736"/>
      <c r="D49" s="644">
        <v>44</v>
      </c>
      <c r="E49" s="644" t="s">
        <v>95</v>
      </c>
      <c r="F49" s="654">
        <v>0.67</v>
      </c>
      <c r="G49" s="644"/>
      <c r="H49" s="644"/>
      <c r="I49" s="646"/>
      <c r="J49" s="644"/>
      <c r="K49" s="644"/>
      <c r="L49" s="644"/>
      <c r="M49" s="644"/>
      <c r="N49" s="748">
        <v>1.125</v>
      </c>
      <c r="O49" s="654">
        <v>0.123</v>
      </c>
      <c r="P49" s="654"/>
      <c r="Q49" s="644"/>
      <c r="R49" s="644"/>
      <c r="S49" s="644"/>
      <c r="T49" s="646">
        <f t="shared" si="0"/>
        <v>1.9179999999999999</v>
      </c>
      <c r="U49" s="646">
        <f t="shared" si="3"/>
        <v>1.9179999999999999</v>
      </c>
      <c r="V49" s="729" t="s">
        <v>1852</v>
      </c>
      <c r="W49" s="735"/>
      <c r="X49" s="732"/>
      <c r="Y49" s="732"/>
      <c r="Z49" s="732"/>
      <c r="AA49" s="732"/>
    </row>
    <row r="50" spans="1:27" ht="30">
      <c r="A50" s="736"/>
      <c r="B50" s="736"/>
      <c r="C50" s="736"/>
      <c r="D50" s="644">
        <v>45</v>
      </c>
      <c r="E50" s="644" t="s">
        <v>96</v>
      </c>
      <c r="F50" s="654">
        <v>0.17899999999999999</v>
      </c>
      <c r="G50" s="644"/>
      <c r="H50" s="644"/>
      <c r="I50" s="644"/>
      <c r="J50" s="644"/>
      <c r="K50" s="644"/>
      <c r="L50" s="644"/>
      <c r="M50" s="644"/>
      <c r="N50" s="646"/>
      <c r="O50" s="654">
        <v>0.17899999999999999</v>
      </c>
      <c r="P50" s="644"/>
      <c r="Q50" s="644"/>
      <c r="R50" s="644"/>
      <c r="S50" s="644"/>
      <c r="T50" s="646">
        <f t="shared" si="0"/>
        <v>0.35799999999999998</v>
      </c>
      <c r="U50" s="646">
        <f t="shared" si="3"/>
        <v>0.35799999999999998</v>
      </c>
      <c r="V50" s="729" t="s">
        <v>815</v>
      </c>
      <c r="W50" s="735"/>
      <c r="X50" s="732"/>
      <c r="Y50" s="732"/>
      <c r="Z50" s="732"/>
      <c r="AA50" s="732"/>
    </row>
    <row r="51" spans="1:27" ht="24.75" customHeight="1">
      <c r="A51" s="736"/>
      <c r="B51" s="736"/>
      <c r="C51" s="736"/>
      <c r="D51" s="644">
        <v>46</v>
      </c>
      <c r="E51" s="644" t="s">
        <v>98</v>
      </c>
      <c r="F51" s="644"/>
      <c r="G51" s="644"/>
      <c r="H51" s="644"/>
      <c r="I51" s="644"/>
      <c r="J51" s="644"/>
      <c r="K51" s="644"/>
      <c r="L51" s="644"/>
      <c r="M51" s="644"/>
      <c r="N51" s="644"/>
      <c r="O51" s="644"/>
      <c r="P51" s="644"/>
      <c r="Q51" s="644"/>
      <c r="R51" s="644"/>
      <c r="S51" s="644"/>
      <c r="T51" s="646">
        <f t="shared" si="0"/>
        <v>0</v>
      </c>
      <c r="U51" s="646"/>
      <c r="V51" s="729"/>
      <c r="W51" s="735"/>
      <c r="X51" s="732"/>
      <c r="Y51" s="732"/>
      <c r="Z51" s="732"/>
      <c r="AA51" s="732"/>
    </row>
    <row r="52" spans="1:27" ht="60">
      <c r="A52" s="736"/>
      <c r="B52" s="736"/>
      <c r="C52" s="736"/>
      <c r="D52" s="644">
        <v>47</v>
      </c>
      <c r="E52" s="644" t="s">
        <v>99</v>
      </c>
      <c r="F52" s="654">
        <v>3.3</v>
      </c>
      <c r="G52" s="644"/>
      <c r="H52" s="644">
        <v>0</v>
      </c>
      <c r="I52" s="644"/>
      <c r="J52" s="644"/>
      <c r="K52" s="644"/>
      <c r="L52" s="644"/>
      <c r="M52" s="644"/>
      <c r="N52" s="644"/>
      <c r="O52" s="644"/>
      <c r="P52" s="644"/>
      <c r="Q52" s="644"/>
      <c r="R52" s="644"/>
      <c r="S52" s="644"/>
      <c r="T52" s="646">
        <f t="shared" si="0"/>
        <v>3.3</v>
      </c>
      <c r="U52" s="646">
        <f t="shared" ref="U52:U55" si="4">T52</f>
        <v>3.3</v>
      </c>
      <c r="V52" s="729" t="s">
        <v>816</v>
      </c>
      <c r="W52" s="735"/>
      <c r="X52" s="732"/>
      <c r="Y52" s="732"/>
      <c r="Z52" s="732"/>
      <c r="AA52" s="732"/>
    </row>
    <row r="53" spans="1:27" ht="30">
      <c r="A53" s="736"/>
      <c r="B53" s="736"/>
      <c r="C53" s="736"/>
      <c r="D53" s="644">
        <v>48</v>
      </c>
      <c r="E53" s="644" t="s">
        <v>101</v>
      </c>
      <c r="F53" s="644"/>
      <c r="G53" s="644"/>
      <c r="H53" s="644"/>
      <c r="I53" s="781"/>
      <c r="J53" s="644"/>
      <c r="K53" s="644"/>
      <c r="L53" s="644"/>
      <c r="M53" s="644"/>
      <c r="N53" s="646">
        <v>0.28899999999999998</v>
      </c>
      <c r="O53" s="644"/>
      <c r="P53" s="654"/>
      <c r="Q53" s="644"/>
      <c r="R53" s="644"/>
      <c r="S53" s="644"/>
      <c r="T53" s="646">
        <f t="shared" si="0"/>
        <v>0.28899999999999998</v>
      </c>
      <c r="U53" s="646">
        <f t="shared" si="4"/>
        <v>0.28899999999999998</v>
      </c>
      <c r="V53" s="729" t="s">
        <v>102</v>
      </c>
      <c r="W53" s="735"/>
      <c r="X53" s="732"/>
      <c r="Y53" s="732"/>
      <c r="Z53" s="732"/>
      <c r="AA53" s="732"/>
    </row>
    <row r="54" spans="1:27" ht="75">
      <c r="A54" s="736"/>
      <c r="B54" s="736"/>
      <c r="C54" s="736"/>
      <c r="D54" s="644">
        <v>49</v>
      </c>
      <c r="E54" s="644" t="s">
        <v>103</v>
      </c>
      <c r="F54" s="644"/>
      <c r="G54" s="644"/>
      <c r="H54" s="644"/>
      <c r="I54" s="644"/>
      <c r="J54" s="644"/>
      <c r="K54" s="644"/>
      <c r="L54" s="644"/>
      <c r="M54" s="644"/>
      <c r="N54" s="644"/>
      <c r="O54" s="644"/>
      <c r="P54" s="644"/>
      <c r="Q54" s="646">
        <v>2</v>
      </c>
      <c r="R54" s="654">
        <v>1</v>
      </c>
      <c r="S54" s="644"/>
      <c r="T54" s="646">
        <f t="shared" si="0"/>
        <v>3</v>
      </c>
      <c r="U54" s="646">
        <f t="shared" si="4"/>
        <v>3</v>
      </c>
      <c r="V54" s="744" t="s">
        <v>598</v>
      </c>
      <c r="W54" s="735"/>
      <c r="X54" s="732"/>
      <c r="Y54" s="732"/>
      <c r="Z54" s="732"/>
      <c r="AA54" s="732"/>
    </row>
    <row r="55" spans="1:27" ht="90">
      <c r="A55" s="736"/>
      <c r="B55" s="736"/>
      <c r="C55" s="736"/>
      <c r="D55" s="644">
        <v>50</v>
      </c>
      <c r="E55" s="644" t="s">
        <v>105</v>
      </c>
      <c r="F55" s="644"/>
      <c r="G55" s="644"/>
      <c r="H55" s="644"/>
      <c r="I55" s="646"/>
      <c r="J55" s="644"/>
      <c r="K55" s="644">
        <v>0.38</v>
      </c>
      <c r="L55" s="644"/>
      <c r="M55" s="644"/>
      <c r="N55" s="646"/>
      <c r="O55" s="644"/>
      <c r="P55" s="654"/>
      <c r="Q55" s="646">
        <v>1.5</v>
      </c>
      <c r="R55" s="654">
        <v>0.04</v>
      </c>
      <c r="S55" s="644"/>
      <c r="T55" s="646">
        <f t="shared" si="0"/>
        <v>1.92</v>
      </c>
      <c r="U55" s="646">
        <f t="shared" si="4"/>
        <v>1.92</v>
      </c>
      <c r="V55" s="738" t="s">
        <v>817</v>
      </c>
      <c r="W55" s="735"/>
      <c r="X55" s="732"/>
      <c r="Y55" s="732"/>
      <c r="Z55" s="732"/>
      <c r="AA55" s="732"/>
    </row>
    <row r="56" spans="1:27" ht="24.75" customHeight="1">
      <c r="A56" s="736"/>
      <c r="B56" s="736"/>
      <c r="C56" s="736"/>
      <c r="D56" s="644">
        <v>51</v>
      </c>
      <c r="E56" s="644" t="s">
        <v>53</v>
      </c>
      <c r="F56" s="644"/>
      <c r="G56" s="644"/>
      <c r="H56" s="644"/>
      <c r="I56" s="644"/>
      <c r="J56" s="644"/>
      <c r="K56" s="644"/>
      <c r="L56" s="644"/>
      <c r="M56" s="644"/>
      <c r="N56" s="654"/>
      <c r="O56" s="644"/>
      <c r="P56" s="644"/>
      <c r="Q56" s="644"/>
      <c r="R56" s="644"/>
      <c r="S56" s="644"/>
      <c r="T56" s="646">
        <f t="shared" si="0"/>
        <v>0</v>
      </c>
      <c r="U56" s="646"/>
      <c r="V56" s="729"/>
      <c r="W56" s="735"/>
      <c r="X56" s="732"/>
      <c r="Y56" s="732"/>
      <c r="Z56" s="732"/>
      <c r="AA56" s="732"/>
    </row>
    <row r="57" spans="1:27" ht="195">
      <c r="A57" s="736"/>
      <c r="B57" s="699" t="s">
        <v>107</v>
      </c>
      <c r="C57" s="699" t="s">
        <v>108</v>
      </c>
      <c r="D57" s="644">
        <v>52</v>
      </c>
      <c r="E57" s="644" t="s">
        <v>109</v>
      </c>
      <c r="F57" s="795"/>
      <c r="G57" s="795"/>
      <c r="H57" s="795"/>
      <c r="I57" s="797"/>
      <c r="J57" s="795"/>
      <c r="K57" s="797"/>
      <c r="L57" s="795"/>
      <c r="M57" s="795"/>
      <c r="N57" s="797">
        <v>2</v>
      </c>
      <c r="O57" s="796">
        <v>42.03</v>
      </c>
      <c r="P57" s="795"/>
      <c r="Q57" s="795"/>
      <c r="R57" s="795"/>
      <c r="S57" s="795"/>
      <c r="T57" s="646">
        <f t="shared" si="0"/>
        <v>44.03</v>
      </c>
      <c r="U57" s="658">
        <f>N57+O57</f>
        <v>44.03</v>
      </c>
      <c r="V57" s="746" t="s">
        <v>818</v>
      </c>
      <c r="W57" s="735"/>
      <c r="X57" s="732"/>
      <c r="Y57" s="732"/>
      <c r="Z57" s="732"/>
      <c r="AA57" s="732"/>
    </row>
    <row r="58" spans="1:27" ht="150">
      <c r="A58" s="736"/>
      <c r="B58" s="736"/>
      <c r="C58" s="736"/>
      <c r="D58" s="644">
        <v>53</v>
      </c>
      <c r="E58" s="644" t="s">
        <v>111</v>
      </c>
      <c r="F58" s="795"/>
      <c r="G58" s="795"/>
      <c r="H58" s="795"/>
      <c r="I58" s="795"/>
      <c r="J58" s="795"/>
      <c r="K58" s="797"/>
      <c r="L58" s="795"/>
      <c r="M58" s="795"/>
      <c r="N58" s="797">
        <v>7</v>
      </c>
      <c r="O58" s="796">
        <v>4.67</v>
      </c>
      <c r="P58" s="795"/>
      <c r="Q58" s="796">
        <v>3</v>
      </c>
      <c r="R58" s="795"/>
      <c r="S58" s="795"/>
      <c r="T58" s="646">
        <f t="shared" si="0"/>
        <v>14.67</v>
      </c>
      <c r="U58" s="658">
        <f t="shared" ref="U58:U59" si="5">T58</f>
        <v>14.67</v>
      </c>
      <c r="V58" s="740" t="s">
        <v>819</v>
      </c>
      <c r="W58" s="735"/>
      <c r="X58" s="732"/>
      <c r="Y58" s="732"/>
      <c r="Z58" s="732"/>
      <c r="AA58" s="732"/>
    </row>
    <row r="59" spans="1:27" ht="165">
      <c r="A59" s="736"/>
      <c r="B59" s="736"/>
      <c r="C59" s="736"/>
      <c r="D59" s="644">
        <v>54</v>
      </c>
      <c r="E59" s="644" t="s">
        <v>113</v>
      </c>
      <c r="F59" s="795"/>
      <c r="G59" s="795"/>
      <c r="H59" s="796"/>
      <c r="I59" s="795"/>
      <c r="J59" s="795"/>
      <c r="K59" s="795"/>
      <c r="L59" s="795"/>
      <c r="M59" s="795"/>
      <c r="N59" s="795"/>
      <c r="O59" s="796">
        <v>0.22500000000000001</v>
      </c>
      <c r="P59" s="796">
        <v>4.5</v>
      </c>
      <c r="Q59" s="795"/>
      <c r="R59" s="795"/>
      <c r="S59" s="795"/>
      <c r="T59" s="646">
        <f t="shared" si="0"/>
        <v>4.7249999999999996</v>
      </c>
      <c r="U59" s="646">
        <f t="shared" si="5"/>
        <v>4.7249999999999996</v>
      </c>
      <c r="V59" s="740" t="s">
        <v>820</v>
      </c>
      <c r="W59" s="735"/>
      <c r="X59" s="732"/>
      <c r="Y59" s="732"/>
      <c r="Z59" s="732"/>
      <c r="AA59" s="732"/>
    </row>
    <row r="60" spans="1:27" ht="24.75" customHeight="1">
      <c r="A60" s="736"/>
      <c r="B60" s="736"/>
      <c r="C60" s="736"/>
      <c r="D60" s="644">
        <v>55</v>
      </c>
      <c r="E60" s="644" t="s">
        <v>114</v>
      </c>
      <c r="F60" s="795"/>
      <c r="G60" s="795"/>
      <c r="H60" s="795"/>
      <c r="I60" s="795"/>
      <c r="J60" s="795"/>
      <c r="K60" s="797"/>
      <c r="L60" s="795"/>
      <c r="M60" s="795"/>
      <c r="N60" s="795"/>
      <c r="O60" s="795"/>
      <c r="P60" s="795"/>
      <c r="Q60" s="795"/>
      <c r="R60" s="795"/>
      <c r="S60" s="795"/>
      <c r="T60" s="646">
        <f t="shared" si="0"/>
        <v>0</v>
      </c>
      <c r="U60" s="646"/>
      <c r="V60" s="744"/>
      <c r="W60" s="735"/>
      <c r="X60" s="732"/>
      <c r="Y60" s="732"/>
      <c r="Z60" s="732"/>
      <c r="AA60" s="732"/>
    </row>
    <row r="61" spans="1:27" ht="60">
      <c r="A61" s="736"/>
      <c r="B61" s="736"/>
      <c r="C61" s="736"/>
      <c r="D61" s="644">
        <v>56</v>
      </c>
      <c r="E61" s="644" t="s">
        <v>115</v>
      </c>
      <c r="F61" s="795"/>
      <c r="G61" s="795"/>
      <c r="H61" s="795"/>
      <c r="I61" s="795"/>
      <c r="J61" s="795"/>
      <c r="K61" s="795"/>
      <c r="L61" s="795"/>
      <c r="M61" s="795"/>
      <c r="N61" s="795"/>
      <c r="O61" s="796">
        <v>9.34</v>
      </c>
      <c r="P61" s="795"/>
      <c r="Q61" s="795">
        <v>0.5</v>
      </c>
      <c r="R61" s="795"/>
      <c r="S61" s="795"/>
      <c r="T61" s="646">
        <f t="shared" si="0"/>
        <v>9.84</v>
      </c>
      <c r="U61" s="646">
        <f>T61</f>
        <v>9.84</v>
      </c>
      <c r="V61" s="744" t="s">
        <v>821</v>
      </c>
      <c r="W61" s="735"/>
      <c r="X61" s="732"/>
      <c r="Y61" s="732"/>
      <c r="Z61" s="732"/>
      <c r="AA61" s="732"/>
    </row>
    <row r="62" spans="1:27" ht="60">
      <c r="A62" s="736"/>
      <c r="B62" s="736"/>
      <c r="C62" s="736"/>
      <c r="D62" s="644">
        <v>57</v>
      </c>
      <c r="E62" s="644" t="s">
        <v>116</v>
      </c>
      <c r="F62" s="795"/>
      <c r="G62" s="795"/>
      <c r="H62" s="796"/>
      <c r="I62" s="795"/>
      <c r="J62" s="795"/>
      <c r="K62" s="795"/>
      <c r="L62" s="795"/>
      <c r="M62" s="797">
        <v>2.1</v>
      </c>
      <c r="N62" s="795"/>
      <c r="O62" s="795"/>
      <c r="P62" s="795"/>
      <c r="Q62" s="795"/>
      <c r="R62" s="795"/>
      <c r="S62" s="795"/>
      <c r="T62" s="646">
        <f t="shared" si="0"/>
        <v>2.1</v>
      </c>
      <c r="U62" s="646">
        <f>M62</f>
        <v>2.1</v>
      </c>
      <c r="V62" s="740" t="s">
        <v>822</v>
      </c>
      <c r="W62" s="735"/>
      <c r="X62" s="732"/>
      <c r="Y62" s="732"/>
      <c r="Z62" s="732"/>
      <c r="AA62" s="732"/>
    </row>
    <row r="63" spans="1:27" ht="75">
      <c r="A63" s="736"/>
      <c r="B63" s="736"/>
      <c r="C63" s="736"/>
      <c r="D63" s="644">
        <v>58</v>
      </c>
      <c r="E63" s="644" t="s">
        <v>117</v>
      </c>
      <c r="F63" s="795"/>
      <c r="G63" s="795"/>
      <c r="H63" s="795"/>
      <c r="I63" s="795"/>
      <c r="J63" s="795"/>
      <c r="K63" s="797"/>
      <c r="L63" s="795"/>
      <c r="M63" s="795"/>
      <c r="N63" s="795"/>
      <c r="O63" s="800">
        <v>2.335</v>
      </c>
      <c r="P63" s="795"/>
      <c r="Q63" s="796">
        <v>0.75</v>
      </c>
      <c r="R63" s="795"/>
      <c r="S63" s="795"/>
      <c r="T63" s="646">
        <f t="shared" si="0"/>
        <v>3.085</v>
      </c>
      <c r="U63" s="646">
        <f>T63</f>
        <v>3.085</v>
      </c>
      <c r="V63" s="740" t="s">
        <v>823</v>
      </c>
      <c r="W63" s="735"/>
      <c r="X63" s="732"/>
      <c r="Y63" s="732"/>
      <c r="Z63" s="732"/>
      <c r="AA63" s="732"/>
    </row>
    <row r="64" spans="1:27" ht="24.75" customHeight="1">
      <c r="A64" s="736"/>
      <c r="B64" s="736"/>
      <c r="C64" s="736"/>
      <c r="D64" s="644">
        <v>59</v>
      </c>
      <c r="E64" s="644" t="s">
        <v>119</v>
      </c>
      <c r="F64" s="795"/>
      <c r="G64" s="795"/>
      <c r="H64" s="795"/>
      <c r="I64" s="795"/>
      <c r="J64" s="795"/>
      <c r="K64" s="795"/>
      <c r="L64" s="795"/>
      <c r="M64" s="795"/>
      <c r="N64" s="795"/>
      <c r="O64" s="795"/>
      <c r="P64" s="795"/>
      <c r="Q64" s="795"/>
      <c r="R64" s="795"/>
      <c r="S64" s="795"/>
      <c r="T64" s="646">
        <f t="shared" si="0"/>
        <v>0</v>
      </c>
      <c r="U64" s="646"/>
      <c r="V64" s="729"/>
      <c r="W64" s="735"/>
      <c r="X64" s="732"/>
      <c r="Y64" s="732"/>
      <c r="Z64" s="732"/>
      <c r="AA64" s="732"/>
    </row>
    <row r="65" spans="1:27" ht="24.75" customHeight="1">
      <c r="A65" s="736"/>
      <c r="B65" s="736"/>
      <c r="C65" s="736"/>
      <c r="D65" s="644">
        <v>60</v>
      </c>
      <c r="E65" s="644" t="s">
        <v>120</v>
      </c>
      <c r="F65" s="795"/>
      <c r="G65" s="795"/>
      <c r="H65" s="795"/>
      <c r="I65" s="795"/>
      <c r="J65" s="795"/>
      <c r="K65" s="795"/>
      <c r="L65" s="795"/>
      <c r="M65" s="795"/>
      <c r="N65" s="795"/>
      <c r="O65" s="795"/>
      <c r="P65" s="795"/>
      <c r="Q65" s="795"/>
      <c r="R65" s="795"/>
      <c r="S65" s="795"/>
      <c r="T65" s="646">
        <f t="shared" si="0"/>
        <v>0</v>
      </c>
      <c r="U65" s="646"/>
      <c r="V65" s="729"/>
      <c r="W65" s="735"/>
      <c r="X65" s="732"/>
      <c r="Y65" s="732"/>
      <c r="Z65" s="732"/>
      <c r="AA65" s="732"/>
    </row>
    <row r="66" spans="1:27" ht="24.75" customHeight="1">
      <c r="A66" s="736"/>
      <c r="B66" s="736"/>
      <c r="C66" s="736"/>
      <c r="D66" s="644">
        <v>61</v>
      </c>
      <c r="E66" s="644" t="s">
        <v>53</v>
      </c>
      <c r="F66" s="795"/>
      <c r="G66" s="795"/>
      <c r="H66" s="795"/>
      <c r="I66" s="795"/>
      <c r="J66" s="795"/>
      <c r="K66" s="795"/>
      <c r="L66" s="795"/>
      <c r="M66" s="795"/>
      <c r="N66" s="795"/>
      <c r="O66" s="795"/>
      <c r="P66" s="795"/>
      <c r="Q66" s="795"/>
      <c r="R66" s="795"/>
      <c r="S66" s="795"/>
      <c r="T66" s="646">
        <f t="shared" si="0"/>
        <v>0</v>
      </c>
      <c r="U66" s="646"/>
      <c r="V66" s="729"/>
      <c r="W66" s="735"/>
      <c r="X66" s="732"/>
      <c r="Y66" s="732"/>
      <c r="Z66" s="732"/>
      <c r="AA66" s="732"/>
    </row>
    <row r="67" spans="1:27" ht="74.25" customHeight="1">
      <c r="A67" s="736"/>
      <c r="B67" s="644" t="s">
        <v>121</v>
      </c>
      <c r="C67" s="644" t="s">
        <v>122</v>
      </c>
      <c r="D67" s="644">
        <v>62</v>
      </c>
      <c r="E67" s="644" t="s">
        <v>123</v>
      </c>
      <c r="F67" s="644"/>
      <c r="G67" s="644"/>
      <c r="H67" s="644"/>
      <c r="I67" s="644"/>
      <c r="J67" s="644"/>
      <c r="K67" s="644"/>
      <c r="L67" s="644"/>
      <c r="M67" s="646"/>
      <c r="N67" s="644"/>
      <c r="O67" s="654"/>
      <c r="P67" s="654"/>
      <c r="Q67" s="646"/>
      <c r="R67" s="644"/>
      <c r="S67" s="654"/>
      <c r="T67" s="646">
        <f t="shared" si="0"/>
        <v>0</v>
      </c>
      <c r="U67" s="646"/>
      <c r="V67" s="749"/>
      <c r="W67" s="735"/>
      <c r="X67" s="732"/>
      <c r="Y67" s="732"/>
      <c r="Z67" s="732"/>
      <c r="AA67" s="732"/>
    </row>
    <row r="68" spans="1:27" ht="24.75" customHeight="1">
      <c r="A68" s="736"/>
      <c r="B68" s="701" t="s">
        <v>125</v>
      </c>
      <c r="C68" s="736"/>
      <c r="D68" s="736"/>
      <c r="E68" s="660"/>
      <c r="F68" s="660">
        <f t="shared" ref="F68:S68" si="6">SUM(F6:F67)</f>
        <v>63.900500000000008</v>
      </c>
      <c r="G68" s="660">
        <f t="shared" si="6"/>
        <v>0</v>
      </c>
      <c r="H68" s="660">
        <f t="shared" si="6"/>
        <v>0</v>
      </c>
      <c r="I68" s="660">
        <f t="shared" si="6"/>
        <v>10.27993</v>
      </c>
      <c r="J68" s="660">
        <f t="shared" si="6"/>
        <v>0</v>
      </c>
      <c r="K68" s="660">
        <f t="shared" si="6"/>
        <v>65.72399999999999</v>
      </c>
      <c r="L68" s="660">
        <f t="shared" si="6"/>
        <v>0</v>
      </c>
      <c r="M68" s="660">
        <f t="shared" si="6"/>
        <v>19.694000000000003</v>
      </c>
      <c r="N68" s="660">
        <f t="shared" si="6"/>
        <v>57.928199999999997</v>
      </c>
      <c r="O68" s="660">
        <f t="shared" si="6"/>
        <v>263.24794999999995</v>
      </c>
      <c r="P68" s="660">
        <f t="shared" si="6"/>
        <v>328.73611999999997</v>
      </c>
      <c r="Q68" s="660">
        <f t="shared" si="6"/>
        <v>30.064999999999998</v>
      </c>
      <c r="R68" s="660">
        <f t="shared" si="6"/>
        <v>10.535</v>
      </c>
      <c r="S68" s="660">
        <f t="shared" si="6"/>
        <v>4.3899999999999997</v>
      </c>
      <c r="T68" s="660">
        <f t="shared" si="0"/>
        <v>854.50069999999982</v>
      </c>
      <c r="U68" s="660">
        <f t="shared" ref="U68" si="7">SUM(U6:U67)</f>
        <v>848.12506999999994</v>
      </c>
      <c r="V68" s="660"/>
      <c r="W68" s="750"/>
      <c r="X68" s="732"/>
      <c r="Y68" s="732"/>
      <c r="Z68" s="732"/>
      <c r="AA68" s="732"/>
    </row>
    <row r="69" spans="1:27" ht="90">
      <c r="A69" s="700" t="s">
        <v>126</v>
      </c>
      <c r="B69" s="644" t="s">
        <v>127</v>
      </c>
      <c r="C69" s="644" t="s">
        <v>128</v>
      </c>
      <c r="D69" s="644">
        <v>63</v>
      </c>
      <c r="E69" s="644" t="s">
        <v>129</v>
      </c>
      <c r="F69" s="644"/>
      <c r="G69" s="644"/>
      <c r="H69" s="644"/>
      <c r="I69" s="644"/>
      <c r="J69" s="644"/>
      <c r="K69" s="644"/>
      <c r="L69" s="644"/>
      <c r="M69" s="654"/>
      <c r="N69" s="646">
        <v>6.8</v>
      </c>
      <c r="O69" s="644"/>
      <c r="P69" s="646"/>
      <c r="Q69" s="644"/>
      <c r="R69" s="654">
        <v>3.75</v>
      </c>
      <c r="S69" s="654">
        <v>1</v>
      </c>
      <c r="T69" s="646">
        <f t="shared" si="0"/>
        <v>11.55</v>
      </c>
      <c r="U69" s="646">
        <f t="shared" ref="U69:U74" si="8">T69</f>
        <v>11.55</v>
      </c>
      <c r="V69" s="749" t="s">
        <v>824</v>
      </c>
      <c r="W69" s="750" t="s">
        <v>824</v>
      </c>
      <c r="X69" s="732"/>
      <c r="Y69" s="732"/>
      <c r="Z69" s="732"/>
      <c r="AA69" s="732"/>
    </row>
    <row r="70" spans="1:27" ht="75">
      <c r="A70" s="736"/>
      <c r="B70" s="699" t="s">
        <v>131</v>
      </c>
      <c r="C70" s="699" t="s">
        <v>132</v>
      </c>
      <c r="D70" s="644">
        <v>64</v>
      </c>
      <c r="E70" s="644" t="s">
        <v>133</v>
      </c>
      <c r="F70" s="521"/>
      <c r="G70" s="779"/>
      <c r="H70" s="521"/>
      <c r="I70" s="661">
        <v>0.84</v>
      </c>
      <c r="J70" s="521"/>
      <c r="K70" s="666"/>
      <c r="L70" s="812"/>
      <c r="M70" s="482"/>
      <c r="N70" s="666">
        <v>1.5</v>
      </c>
      <c r="O70" s="673"/>
      <c r="P70" s="666">
        <v>2.48</v>
      </c>
      <c r="Q70" s="661">
        <v>1.3</v>
      </c>
      <c r="R70" s="662">
        <v>3</v>
      </c>
      <c r="S70" s="662"/>
      <c r="T70" s="646">
        <f t="shared" si="0"/>
        <v>9.120000000000001</v>
      </c>
      <c r="U70" s="646">
        <f t="shared" si="8"/>
        <v>9.120000000000001</v>
      </c>
      <c r="V70" s="749" t="s">
        <v>825</v>
      </c>
      <c r="W70" s="750" t="s">
        <v>825</v>
      </c>
      <c r="X70" s="732"/>
      <c r="Y70" s="732"/>
      <c r="Z70" s="732"/>
      <c r="AA70" s="732"/>
    </row>
    <row r="71" spans="1:27" ht="30">
      <c r="A71" s="736"/>
      <c r="B71" s="736"/>
      <c r="C71" s="736"/>
      <c r="D71" s="644">
        <v>65</v>
      </c>
      <c r="E71" s="644" t="s">
        <v>135</v>
      </c>
      <c r="F71" s="521"/>
      <c r="G71" s="521"/>
      <c r="H71" s="521"/>
      <c r="I71" s="521"/>
      <c r="J71" s="521"/>
      <c r="K71" s="521"/>
      <c r="L71" s="521"/>
      <c r="M71" s="521"/>
      <c r="N71" s="661"/>
      <c r="O71" s="521"/>
      <c r="P71" s="662">
        <v>0.45</v>
      </c>
      <c r="Q71" s="521"/>
      <c r="R71" s="521"/>
      <c r="S71" s="662"/>
      <c r="T71" s="646">
        <f t="shared" si="0"/>
        <v>0.45</v>
      </c>
      <c r="U71" s="646">
        <f t="shared" si="8"/>
        <v>0.45</v>
      </c>
      <c r="V71" s="729" t="s">
        <v>136</v>
      </c>
      <c r="W71" s="750" t="s">
        <v>136</v>
      </c>
      <c r="X71" s="732"/>
      <c r="Y71" s="732"/>
      <c r="Z71" s="732"/>
      <c r="AA71" s="732"/>
    </row>
    <row r="72" spans="1:27" ht="60">
      <c r="A72" s="736"/>
      <c r="B72" s="736"/>
      <c r="C72" s="736"/>
      <c r="D72" s="644">
        <v>66</v>
      </c>
      <c r="E72" s="644" t="s">
        <v>137</v>
      </c>
      <c r="F72" s="521"/>
      <c r="G72" s="521"/>
      <c r="H72" s="521"/>
      <c r="I72" s="521"/>
      <c r="J72" s="521"/>
      <c r="K72" s="661"/>
      <c r="L72" s="521"/>
      <c r="M72" s="482"/>
      <c r="N72" s="666">
        <v>0.2</v>
      </c>
      <c r="O72" s="812"/>
      <c r="P72" s="673">
        <v>0.09</v>
      </c>
      <c r="Q72" s="661">
        <v>0.05</v>
      </c>
      <c r="R72" s="804">
        <v>0.15</v>
      </c>
      <c r="S72" s="521"/>
      <c r="T72" s="646">
        <f t="shared" si="0"/>
        <v>0.49</v>
      </c>
      <c r="U72" s="646">
        <f t="shared" si="8"/>
        <v>0.49</v>
      </c>
      <c r="V72" s="729" t="s">
        <v>138</v>
      </c>
      <c r="W72" s="750" t="s">
        <v>138</v>
      </c>
      <c r="X72" s="732"/>
      <c r="Y72" s="732"/>
      <c r="Z72" s="732"/>
      <c r="AA72" s="732"/>
    </row>
    <row r="73" spans="1:27" ht="90">
      <c r="A73" s="736"/>
      <c r="B73" s="736"/>
      <c r="C73" s="736"/>
      <c r="D73" s="644">
        <v>67</v>
      </c>
      <c r="E73" s="644" t="s">
        <v>139</v>
      </c>
      <c r="F73" s="521"/>
      <c r="G73" s="521"/>
      <c r="H73" s="521"/>
      <c r="I73" s="672"/>
      <c r="J73" s="812"/>
      <c r="K73" s="666"/>
      <c r="L73" s="812"/>
      <c r="M73" s="672"/>
      <c r="N73" s="666">
        <v>0.4</v>
      </c>
      <c r="O73" s="672">
        <v>1.25</v>
      </c>
      <c r="P73" s="673">
        <v>37.340000000000003</v>
      </c>
      <c r="Q73" s="666">
        <v>1</v>
      </c>
      <c r="R73" s="673">
        <v>3.5</v>
      </c>
      <c r="S73" s="673">
        <v>2</v>
      </c>
      <c r="T73" s="646">
        <f t="shared" si="0"/>
        <v>45.49</v>
      </c>
      <c r="U73" s="646">
        <f t="shared" si="8"/>
        <v>45.49</v>
      </c>
      <c r="V73" s="729" t="s">
        <v>826</v>
      </c>
      <c r="W73" s="750" t="s">
        <v>826</v>
      </c>
      <c r="X73" s="732"/>
      <c r="Y73" s="732"/>
      <c r="Z73" s="732"/>
      <c r="AA73" s="732"/>
    </row>
    <row r="74" spans="1:27" ht="75">
      <c r="A74" s="736"/>
      <c r="B74" s="736"/>
      <c r="C74" s="736"/>
      <c r="D74" s="644">
        <v>68</v>
      </c>
      <c r="E74" s="644" t="s">
        <v>141</v>
      </c>
      <c r="F74" s="662"/>
      <c r="G74" s="521"/>
      <c r="H74" s="521"/>
      <c r="I74" s="1224"/>
      <c r="J74" s="812"/>
      <c r="K74" s="1181"/>
      <c r="L74" s="812"/>
      <c r="M74" s="812"/>
      <c r="N74" s="666">
        <v>2.4</v>
      </c>
      <c r="O74" s="1225"/>
      <c r="P74" s="673">
        <v>6.26</v>
      </c>
      <c r="Q74" s="666">
        <v>4</v>
      </c>
      <c r="R74" s="673">
        <v>4</v>
      </c>
      <c r="S74" s="673">
        <v>19.25</v>
      </c>
      <c r="T74" s="646">
        <f t="shared" si="0"/>
        <v>35.909999999999997</v>
      </c>
      <c r="U74" s="646">
        <f t="shared" si="8"/>
        <v>35.909999999999997</v>
      </c>
      <c r="V74" s="729" t="s">
        <v>827</v>
      </c>
      <c r="W74" s="750" t="s">
        <v>827</v>
      </c>
      <c r="X74" s="732"/>
      <c r="Y74" s="732"/>
      <c r="Z74" s="732"/>
      <c r="AA74" s="732"/>
    </row>
    <row r="75" spans="1:27" ht="345">
      <c r="A75" s="736"/>
      <c r="B75" s="699" t="s">
        <v>143</v>
      </c>
      <c r="C75" s="699" t="s">
        <v>144</v>
      </c>
      <c r="D75" s="644">
        <v>69</v>
      </c>
      <c r="E75" s="644" t="s">
        <v>145</v>
      </c>
      <c r="F75" s="763"/>
      <c r="G75" s="763"/>
      <c r="H75" s="763"/>
      <c r="I75" s="763"/>
      <c r="J75" s="763"/>
      <c r="K75" s="763"/>
      <c r="L75" s="763"/>
      <c r="M75" s="682">
        <v>0.68</v>
      </c>
      <c r="N75" s="763"/>
      <c r="O75" s="682">
        <v>77.12</v>
      </c>
      <c r="P75" s="682">
        <v>1.4</v>
      </c>
      <c r="Q75" s="763"/>
      <c r="R75" s="763"/>
      <c r="S75" s="763"/>
      <c r="T75" s="646">
        <f t="shared" si="0"/>
        <v>79.200000000000017</v>
      </c>
      <c r="U75" s="658">
        <v>79.200000000000017</v>
      </c>
      <c r="V75" s="749" t="s">
        <v>828</v>
      </c>
      <c r="W75" s="531" t="s">
        <v>828</v>
      </c>
      <c r="X75" s="732"/>
      <c r="Y75" s="732"/>
      <c r="Z75" s="732"/>
      <c r="AA75" s="732"/>
    </row>
    <row r="76" spans="1:27" ht="135">
      <c r="A76" s="736"/>
      <c r="B76" s="736"/>
      <c r="C76" s="736"/>
      <c r="D76" s="644">
        <v>70</v>
      </c>
      <c r="E76" s="644" t="s">
        <v>147</v>
      </c>
      <c r="F76" s="763"/>
      <c r="G76" s="763"/>
      <c r="H76" s="763"/>
      <c r="I76" s="682">
        <v>0.57999999999999996</v>
      </c>
      <c r="J76" s="763"/>
      <c r="K76" s="763"/>
      <c r="L76" s="763"/>
      <c r="M76" s="763"/>
      <c r="N76" s="763"/>
      <c r="O76" s="763"/>
      <c r="P76" s="682">
        <v>1.1000000000000001</v>
      </c>
      <c r="Q76" s="763"/>
      <c r="R76" s="763"/>
      <c r="S76" s="763"/>
      <c r="T76" s="646">
        <f t="shared" si="0"/>
        <v>1.6800000000000002</v>
      </c>
      <c r="U76" s="658">
        <v>1.6800000000000002</v>
      </c>
      <c r="V76" s="749" t="s">
        <v>829</v>
      </c>
      <c r="W76" s="531" t="s">
        <v>829</v>
      </c>
      <c r="X76" s="732"/>
      <c r="Y76" s="732"/>
      <c r="Z76" s="732"/>
      <c r="AA76" s="732"/>
    </row>
    <row r="77" spans="1:27" ht="39.75" customHeight="1">
      <c r="A77" s="736"/>
      <c r="B77" s="736"/>
      <c r="C77" s="736"/>
      <c r="D77" s="644">
        <v>71</v>
      </c>
      <c r="E77" s="644" t="s">
        <v>149</v>
      </c>
      <c r="F77" s="763"/>
      <c r="G77" s="763"/>
      <c r="H77" s="763"/>
      <c r="I77" s="763"/>
      <c r="J77" s="763"/>
      <c r="K77" s="763"/>
      <c r="L77" s="763"/>
      <c r="M77" s="763"/>
      <c r="N77" s="763"/>
      <c r="O77" s="763"/>
      <c r="P77" s="763"/>
      <c r="Q77" s="763"/>
      <c r="R77" s="763"/>
      <c r="S77" s="763"/>
      <c r="T77" s="646">
        <f t="shared" si="0"/>
        <v>0</v>
      </c>
      <c r="U77" s="658">
        <v>0</v>
      </c>
      <c r="V77" s="482"/>
      <c r="W77" s="531"/>
      <c r="X77" s="732"/>
      <c r="Y77" s="732"/>
      <c r="Z77" s="732"/>
      <c r="AA77" s="732"/>
    </row>
    <row r="78" spans="1:27" ht="360">
      <c r="A78" s="736"/>
      <c r="B78" s="736"/>
      <c r="C78" s="736"/>
      <c r="D78" s="644">
        <v>72</v>
      </c>
      <c r="E78" s="644" t="s">
        <v>150</v>
      </c>
      <c r="F78" s="763"/>
      <c r="G78" s="763"/>
      <c r="H78" s="763"/>
      <c r="I78" s="763"/>
      <c r="J78" s="763"/>
      <c r="K78" s="763"/>
      <c r="L78" s="763"/>
      <c r="M78" s="763"/>
      <c r="N78" s="682">
        <v>4.8280000000000003</v>
      </c>
      <c r="O78" s="763"/>
      <c r="P78" s="763"/>
      <c r="Q78" s="682">
        <v>2.8883999999999999</v>
      </c>
      <c r="R78" s="682">
        <v>3.5057999999999998</v>
      </c>
      <c r="S78" s="763"/>
      <c r="T78" s="646">
        <f t="shared" si="0"/>
        <v>11.222200000000001</v>
      </c>
      <c r="U78" s="658">
        <v>11.222200000000001</v>
      </c>
      <c r="V78" s="749" t="s">
        <v>830</v>
      </c>
      <c r="W78" s="531" t="s">
        <v>831</v>
      </c>
      <c r="X78" s="732"/>
      <c r="Y78" s="732"/>
      <c r="Z78" s="732"/>
      <c r="AA78" s="732"/>
    </row>
    <row r="79" spans="1:27" ht="409.5">
      <c r="A79" s="736"/>
      <c r="B79" s="699" t="s">
        <v>152</v>
      </c>
      <c r="C79" s="699" t="s">
        <v>153</v>
      </c>
      <c r="D79" s="644">
        <v>73</v>
      </c>
      <c r="E79" s="644" t="s">
        <v>154</v>
      </c>
      <c r="F79" s="1226">
        <v>2.39</v>
      </c>
      <c r="G79" s="1226">
        <v>2.5</v>
      </c>
      <c r="H79" s="1226">
        <v>2.5</v>
      </c>
      <c r="I79" s="1226">
        <v>8.4</v>
      </c>
      <c r="J79" s="768"/>
      <c r="K79" s="1226"/>
      <c r="L79" s="768">
        <v>4</v>
      </c>
      <c r="M79" s="1226">
        <v>10</v>
      </c>
      <c r="N79" s="1226">
        <v>4.5</v>
      </c>
      <c r="O79" s="1226"/>
      <c r="P79" s="1226">
        <v>3</v>
      </c>
      <c r="Q79" s="768"/>
      <c r="R79" s="1226">
        <v>13.3</v>
      </c>
      <c r="S79" s="1226">
        <v>0.5</v>
      </c>
      <c r="T79" s="646">
        <f t="shared" si="0"/>
        <v>51.09</v>
      </c>
      <c r="U79" s="646">
        <v>55.8</v>
      </c>
      <c r="V79" s="744" t="s">
        <v>832</v>
      </c>
      <c r="W79" s="735"/>
      <c r="X79" s="732"/>
      <c r="Y79" s="732"/>
      <c r="Z79" s="732"/>
      <c r="AA79" s="732"/>
    </row>
    <row r="80" spans="1:27" ht="105">
      <c r="A80" s="736"/>
      <c r="B80" s="736"/>
      <c r="C80" s="736"/>
      <c r="D80" s="644">
        <v>74</v>
      </c>
      <c r="E80" s="644" t="s">
        <v>155</v>
      </c>
      <c r="F80" s="1226">
        <v>55</v>
      </c>
      <c r="G80" s="1226"/>
      <c r="H80" s="768"/>
      <c r="I80" s="768"/>
      <c r="J80" s="768"/>
      <c r="K80" s="768"/>
      <c r="L80" s="768"/>
      <c r="M80" s="768"/>
      <c r="N80" s="768"/>
      <c r="O80" s="768"/>
      <c r="P80" s="768"/>
      <c r="Q80" s="768"/>
      <c r="R80" s="768"/>
      <c r="S80" s="768"/>
      <c r="T80" s="646">
        <f t="shared" si="0"/>
        <v>55</v>
      </c>
      <c r="U80" s="646">
        <v>50.9</v>
      </c>
      <c r="V80" s="744" t="s">
        <v>776</v>
      </c>
      <c r="W80" s="735"/>
      <c r="X80" s="732"/>
      <c r="Y80" s="732"/>
      <c r="Z80" s="732"/>
      <c r="AA80" s="732"/>
    </row>
    <row r="81" spans="1:27" ht="165">
      <c r="A81" s="736"/>
      <c r="B81" s="736"/>
      <c r="C81" s="736"/>
      <c r="D81" s="644">
        <v>75</v>
      </c>
      <c r="E81" s="644" t="s">
        <v>157</v>
      </c>
      <c r="F81" s="1226">
        <v>1.47</v>
      </c>
      <c r="G81" s="1226"/>
      <c r="H81" s="768"/>
      <c r="I81" s="768"/>
      <c r="J81" s="768"/>
      <c r="K81" s="768"/>
      <c r="L81" s="768"/>
      <c r="M81" s="768"/>
      <c r="N81" s="768"/>
      <c r="O81" s="768"/>
      <c r="P81" s="1226">
        <v>1.1000000000000001</v>
      </c>
      <c r="Q81" s="768"/>
      <c r="R81" s="768"/>
      <c r="S81" s="768"/>
      <c r="T81" s="646">
        <f t="shared" si="0"/>
        <v>2.5700000000000003</v>
      </c>
      <c r="U81" s="646">
        <v>5.3</v>
      </c>
      <c r="V81" s="744" t="s">
        <v>833</v>
      </c>
      <c r="W81" s="735"/>
      <c r="X81" s="732"/>
      <c r="Y81" s="732"/>
      <c r="Z81" s="732"/>
      <c r="AA81" s="732"/>
    </row>
    <row r="82" spans="1:27" ht="90">
      <c r="A82" s="736"/>
      <c r="B82" s="736"/>
      <c r="C82" s="736"/>
      <c r="D82" s="644">
        <v>76</v>
      </c>
      <c r="E82" s="644" t="s">
        <v>159</v>
      </c>
      <c r="F82" s="768"/>
      <c r="G82" s="768"/>
      <c r="H82" s="768"/>
      <c r="I82" s="768"/>
      <c r="J82" s="768"/>
      <c r="K82" s="1226"/>
      <c r="L82" s="768"/>
      <c r="M82" s="1226">
        <v>1</v>
      </c>
      <c r="N82" s="768"/>
      <c r="O82" s="768"/>
      <c r="P82" s="768"/>
      <c r="Q82" s="768"/>
      <c r="R82" s="768"/>
      <c r="S82" s="768"/>
      <c r="T82" s="646">
        <f t="shared" si="0"/>
        <v>1</v>
      </c>
      <c r="U82" s="646">
        <v>2.9</v>
      </c>
      <c r="V82" s="744" t="s">
        <v>834</v>
      </c>
      <c r="W82" s="735"/>
      <c r="X82" s="732"/>
      <c r="Y82" s="732"/>
      <c r="Z82" s="732"/>
      <c r="AA82" s="732"/>
    </row>
    <row r="83" spans="1:27" ht="405">
      <c r="A83" s="736"/>
      <c r="B83" s="736"/>
      <c r="C83" s="736"/>
      <c r="D83" s="644">
        <v>77</v>
      </c>
      <c r="E83" s="644" t="s">
        <v>161</v>
      </c>
      <c r="F83" s="1226">
        <v>1.85</v>
      </c>
      <c r="G83" s="1226">
        <v>1</v>
      </c>
      <c r="H83" s="1226"/>
      <c r="I83" s="1226">
        <v>2</v>
      </c>
      <c r="J83" s="768"/>
      <c r="K83" s="1226"/>
      <c r="L83" s="768">
        <v>1</v>
      </c>
      <c r="M83" s="1226"/>
      <c r="N83" s="1226">
        <v>0.4</v>
      </c>
      <c r="O83" s="768"/>
      <c r="P83" s="768"/>
      <c r="Q83" s="768"/>
      <c r="R83" s="768"/>
      <c r="S83" s="1226">
        <v>0.3</v>
      </c>
      <c r="T83" s="646">
        <f t="shared" si="0"/>
        <v>6.55</v>
      </c>
      <c r="U83" s="646">
        <v>11.2</v>
      </c>
      <c r="V83" s="744" t="s">
        <v>835</v>
      </c>
      <c r="W83" s="735"/>
      <c r="X83" s="732"/>
      <c r="Y83" s="732"/>
      <c r="Z83" s="732"/>
      <c r="AA83" s="732"/>
    </row>
    <row r="84" spans="1:27" ht="135">
      <c r="A84" s="736"/>
      <c r="B84" s="736"/>
      <c r="C84" s="736"/>
      <c r="D84" s="644">
        <v>78</v>
      </c>
      <c r="E84" s="644" t="s">
        <v>163</v>
      </c>
      <c r="F84" s="768"/>
      <c r="G84" s="768"/>
      <c r="H84" s="768"/>
      <c r="I84" s="768"/>
      <c r="J84" s="768"/>
      <c r="K84" s="768"/>
      <c r="L84" s="768"/>
      <c r="M84" s="768"/>
      <c r="N84" s="768"/>
      <c r="O84" s="768"/>
      <c r="P84" s="768"/>
      <c r="Q84" s="1226">
        <v>10.5</v>
      </c>
      <c r="R84" s="768"/>
      <c r="S84" s="768"/>
      <c r="T84" s="646">
        <f t="shared" si="0"/>
        <v>10.5</v>
      </c>
      <c r="U84" s="646">
        <v>10.5</v>
      </c>
      <c r="V84" s="744" t="s">
        <v>558</v>
      </c>
      <c r="W84" s="735"/>
      <c r="X84" s="732"/>
      <c r="Y84" s="732"/>
      <c r="Z84" s="732"/>
      <c r="AA84" s="732"/>
    </row>
    <row r="85" spans="1:27" ht="18" customHeight="1">
      <c r="A85" s="736"/>
      <c r="B85" s="736"/>
      <c r="C85" s="736"/>
      <c r="D85" s="644">
        <v>79</v>
      </c>
      <c r="E85" s="644" t="s">
        <v>53</v>
      </c>
      <c r="F85" s="768"/>
      <c r="G85" s="768"/>
      <c r="H85" s="768"/>
      <c r="I85" s="768"/>
      <c r="J85" s="768"/>
      <c r="K85" s="768"/>
      <c r="L85" s="768"/>
      <c r="M85" s="768"/>
      <c r="N85" s="768"/>
      <c r="O85" s="768"/>
      <c r="P85" s="768"/>
      <c r="Q85" s="768"/>
      <c r="R85" s="768"/>
      <c r="S85" s="768"/>
      <c r="T85" s="646">
        <f t="shared" si="0"/>
        <v>0</v>
      </c>
      <c r="U85" s="646"/>
      <c r="V85" s="768"/>
      <c r="W85" s="735"/>
      <c r="X85" s="732"/>
      <c r="Y85" s="732"/>
      <c r="Z85" s="732"/>
      <c r="AA85" s="732"/>
    </row>
    <row r="86" spans="1:27" ht="75">
      <c r="A86" s="736"/>
      <c r="B86" s="699" t="s">
        <v>165</v>
      </c>
      <c r="C86" s="699" t="s">
        <v>166</v>
      </c>
      <c r="D86" s="644">
        <v>80</v>
      </c>
      <c r="E86" s="644" t="s">
        <v>167</v>
      </c>
      <c r="F86" s="768"/>
      <c r="G86" s="768"/>
      <c r="H86" s="768"/>
      <c r="I86" s="768"/>
      <c r="J86" s="768"/>
      <c r="K86" s="1227"/>
      <c r="L86" s="768"/>
      <c r="M86" s="1228"/>
      <c r="N86" s="768"/>
      <c r="O86" s="768"/>
      <c r="P86" s="654">
        <v>2.4</v>
      </c>
      <c r="Q86" s="646">
        <v>1</v>
      </c>
      <c r="R86" s="654"/>
      <c r="S86" s="644"/>
      <c r="T86" s="646">
        <f t="shared" si="0"/>
        <v>3.4</v>
      </c>
      <c r="U86" s="646">
        <v>3.4</v>
      </c>
      <c r="V86" s="770" t="s">
        <v>1853</v>
      </c>
      <c r="W86" s="735"/>
      <c r="X86" s="732"/>
      <c r="Y86" s="732"/>
      <c r="Z86" s="732"/>
      <c r="AA86" s="732"/>
    </row>
    <row r="87" spans="1:27" ht="60">
      <c r="A87" s="736"/>
      <c r="B87" s="736"/>
      <c r="C87" s="736"/>
      <c r="D87" s="644">
        <v>81</v>
      </c>
      <c r="E87" s="644" t="s">
        <v>168</v>
      </c>
      <c r="F87" s="768"/>
      <c r="G87" s="768"/>
      <c r="H87" s="768"/>
      <c r="I87" s="768"/>
      <c r="J87" s="768"/>
      <c r="K87" s="768"/>
      <c r="L87" s="768"/>
      <c r="M87" s="646"/>
      <c r="N87" s="646"/>
      <c r="O87" s="768"/>
      <c r="P87" s="1229">
        <v>0.1</v>
      </c>
      <c r="Q87" s="1229"/>
      <c r="R87" s="768"/>
      <c r="S87" s="768"/>
      <c r="T87" s="646">
        <f t="shared" si="0"/>
        <v>0.1</v>
      </c>
      <c r="U87" s="646">
        <v>0.1</v>
      </c>
      <c r="V87" s="770" t="s">
        <v>169</v>
      </c>
      <c r="W87" s="735"/>
      <c r="X87" s="732"/>
      <c r="Y87" s="732"/>
      <c r="Z87" s="732"/>
      <c r="AA87" s="732"/>
    </row>
    <row r="88" spans="1:27" ht="39.75" customHeight="1">
      <c r="A88" s="736"/>
      <c r="B88" s="736"/>
      <c r="C88" s="736"/>
      <c r="D88" s="644">
        <v>82</v>
      </c>
      <c r="E88" s="644" t="s">
        <v>170</v>
      </c>
      <c r="F88" s="768"/>
      <c r="G88" s="768"/>
      <c r="H88" s="768"/>
      <c r="I88" s="768"/>
      <c r="J88" s="768"/>
      <c r="K88" s="768"/>
      <c r="L88" s="768"/>
      <c r="M88" s="768"/>
      <c r="N88" s="768"/>
      <c r="O88" s="768"/>
      <c r="P88" s="654"/>
      <c r="Q88" s="768"/>
      <c r="R88" s="768"/>
      <c r="S88" s="768"/>
      <c r="T88" s="646">
        <f t="shared" si="0"/>
        <v>0</v>
      </c>
      <c r="U88" s="646">
        <v>0</v>
      </c>
      <c r="V88" s="1230"/>
      <c r="W88" s="735"/>
      <c r="X88" s="732"/>
      <c r="Y88" s="732"/>
      <c r="Z88" s="732"/>
      <c r="AA88" s="732"/>
    </row>
    <row r="89" spans="1:27" ht="150">
      <c r="A89" s="736"/>
      <c r="B89" s="736"/>
      <c r="C89" s="736"/>
      <c r="D89" s="644">
        <v>83</v>
      </c>
      <c r="E89" s="644" t="s">
        <v>172</v>
      </c>
      <c r="F89" s="768"/>
      <c r="G89" s="768"/>
      <c r="H89" s="768"/>
      <c r="I89" s="768"/>
      <c r="J89" s="768"/>
      <c r="K89" s="646">
        <v>0.5</v>
      </c>
      <c r="L89" s="646"/>
      <c r="M89" s="654"/>
      <c r="N89" s="1228"/>
      <c r="O89" s="768"/>
      <c r="P89" s="654">
        <v>1</v>
      </c>
      <c r="Q89" s="646"/>
      <c r="R89" s="654"/>
      <c r="S89" s="644"/>
      <c r="T89" s="646">
        <f t="shared" si="0"/>
        <v>1.5</v>
      </c>
      <c r="U89" s="646">
        <v>1.5</v>
      </c>
      <c r="V89" s="770" t="s">
        <v>1854</v>
      </c>
      <c r="W89" s="735"/>
      <c r="X89" s="732"/>
      <c r="Y89" s="732"/>
      <c r="Z89" s="732"/>
      <c r="AA89" s="732"/>
    </row>
    <row r="90" spans="1:27" ht="89.25" customHeight="1">
      <c r="A90" s="736"/>
      <c r="B90" s="644" t="s">
        <v>173</v>
      </c>
      <c r="C90" s="644" t="s">
        <v>174</v>
      </c>
      <c r="D90" s="644">
        <v>84</v>
      </c>
      <c r="E90" s="644" t="s">
        <v>175</v>
      </c>
      <c r="F90" s="779"/>
      <c r="G90" s="779"/>
      <c r="H90" s="1226"/>
      <c r="I90" s="1231"/>
      <c r="J90" s="779"/>
      <c r="K90" s="1231"/>
      <c r="L90" s="779"/>
      <c r="M90" s="779"/>
      <c r="N90" s="646">
        <v>1</v>
      </c>
      <c r="O90" s="779"/>
      <c r="P90" s="779"/>
      <c r="Q90" s="646">
        <v>1.5</v>
      </c>
      <c r="R90" s="654">
        <v>0.5</v>
      </c>
      <c r="S90" s="654"/>
      <c r="T90" s="646">
        <f t="shared" si="0"/>
        <v>3</v>
      </c>
      <c r="U90" s="646">
        <v>3</v>
      </c>
      <c r="V90" s="729" t="s">
        <v>1795</v>
      </c>
      <c r="W90" s="735"/>
      <c r="X90" s="732"/>
      <c r="Y90" s="732"/>
      <c r="Z90" s="732"/>
      <c r="AA90" s="732"/>
    </row>
    <row r="91" spans="1:27" ht="39.75" customHeight="1">
      <c r="A91" s="736"/>
      <c r="B91" s="644" t="s">
        <v>176</v>
      </c>
      <c r="C91" s="644" t="s">
        <v>177</v>
      </c>
      <c r="D91" s="644">
        <v>85</v>
      </c>
      <c r="E91" s="644" t="s">
        <v>178</v>
      </c>
      <c r="F91" s="779"/>
      <c r="G91" s="779"/>
      <c r="H91" s="779"/>
      <c r="I91" s="779"/>
      <c r="J91" s="779"/>
      <c r="K91" s="1231"/>
      <c r="L91" s="779"/>
      <c r="M91" s="1226"/>
      <c r="N91" s="646">
        <v>0.5</v>
      </c>
      <c r="O91" s="779"/>
      <c r="P91" s="779"/>
      <c r="Q91" s="646">
        <v>1</v>
      </c>
      <c r="R91" s="654"/>
      <c r="S91" s="654"/>
      <c r="T91" s="646">
        <f t="shared" si="0"/>
        <v>1.5</v>
      </c>
      <c r="U91" s="646">
        <v>1.5</v>
      </c>
      <c r="V91" s="729" t="s">
        <v>424</v>
      </c>
      <c r="W91" s="735"/>
      <c r="X91" s="732"/>
      <c r="Y91" s="732"/>
      <c r="Z91" s="732"/>
      <c r="AA91" s="732"/>
    </row>
    <row r="92" spans="1:27" ht="39.75" customHeight="1">
      <c r="A92" s="736"/>
      <c r="B92" s="644" t="s">
        <v>180</v>
      </c>
      <c r="C92" s="644" t="s">
        <v>53</v>
      </c>
      <c r="D92" s="644">
        <v>86</v>
      </c>
      <c r="E92" s="644" t="s">
        <v>181</v>
      </c>
      <c r="F92" s="779"/>
      <c r="G92" s="779"/>
      <c r="H92" s="779"/>
      <c r="I92" s="779"/>
      <c r="J92" s="779"/>
      <c r="K92" s="779"/>
      <c r="L92" s="779"/>
      <c r="M92" s="779"/>
      <c r="N92" s="779"/>
      <c r="O92" s="779"/>
      <c r="P92" s="779"/>
      <c r="Q92" s="779"/>
      <c r="R92" s="779"/>
      <c r="S92" s="779"/>
      <c r="T92" s="646">
        <f t="shared" si="0"/>
        <v>0</v>
      </c>
      <c r="U92" s="646"/>
      <c r="V92" s="729"/>
      <c r="W92" s="735"/>
      <c r="X92" s="732"/>
      <c r="Y92" s="732"/>
      <c r="Z92" s="732"/>
      <c r="AA92" s="732"/>
    </row>
    <row r="93" spans="1:27" ht="39.75" customHeight="1">
      <c r="A93" s="736"/>
      <c r="B93" s="701" t="s">
        <v>182</v>
      </c>
      <c r="C93" s="736"/>
      <c r="D93" s="736"/>
      <c r="E93" s="660"/>
      <c r="F93" s="660">
        <f t="shared" ref="F93:S93" si="9">SUM(F69:F92)</f>
        <v>60.71</v>
      </c>
      <c r="G93" s="660">
        <f t="shared" si="9"/>
        <v>3.5</v>
      </c>
      <c r="H93" s="660">
        <f t="shared" si="9"/>
        <v>2.5</v>
      </c>
      <c r="I93" s="660">
        <f t="shared" si="9"/>
        <v>11.82</v>
      </c>
      <c r="J93" s="660">
        <f t="shared" si="9"/>
        <v>0</v>
      </c>
      <c r="K93" s="660">
        <f t="shared" si="9"/>
        <v>0.5</v>
      </c>
      <c r="L93" s="660">
        <f t="shared" si="9"/>
        <v>5</v>
      </c>
      <c r="M93" s="667">
        <f t="shared" si="9"/>
        <v>11.68</v>
      </c>
      <c r="N93" s="668">
        <f t="shared" si="9"/>
        <v>22.527999999999999</v>
      </c>
      <c r="O93" s="660">
        <f t="shared" si="9"/>
        <v>78.37</v>
      </c>
      <c r="P93" s="668">
        <f t="shared" si="9"/>
        <v>56.720000000000006</v>
      </c>
      <c r="Q93" s="1232">
        <f t="shared" si="9"/>
        <v>23.238399999999999</v>
      </c>
      <c r="R93" s="667">
        <f t="shared" si="9"/>
        <v>31.7058</v>
      </c>
      <c r="S93" s="667">
        <f t="shared" si="9"/>
        <v>23.05</v>
      </c>
      <c r="T93" s="660">
        <f t="shared" si="0"/>
        <v>331.32220000000001</v>
      </c>
      <c r="U93" s="668">
        <f t="shared" ref="U93" si="10">SUM(U69:U92)</f>
        <v>341.2122</v>
      </c>
      <c r="V93" s="660"/>
      <c r="W93" s="735"/>
      <c r="X93" s="732"/>
      <c r="Y93" s="732"/>
      <c r="Z93" s="732"/>
      <c r="AA93" s="732"/>
    </row>
    <row r="94" spans="1:27" ht="60">
      <c r="A94" s="700" t="s">
        <v>183</v>
      </c>
      <c r="B94" s="699" t="s">
        <v>184</v>
      </c>
      <c r="C94" s="699" t="s">
        <v>185</v>
      </c>
      <c r="D94" s="644">
        <v>87</v>
      </c>
      <c r="E94" s="644" t="s">
        <v>186</v>
      </c>
      <c r="F94" s="663"/>
      <c r="G94" s="663"/>
      <c r="H94" s="663"/>
      <c r="I94" s="663"/>
      <c r="J94" s="663"/>
      <c r="K94" s="669">
        <v>7</v>
      </c>
      <c r="L94" s="663"/>
      <c r="M94" s="663"/>
      <c r="N94" s="663"/>
      <c r="O94" s="663"/>
      <c r="P94" s="663"/>
      <c r="Q94" s="663"/>
      <c r="R94" s="663"/>
      <c r="S94" s="663"/>
      <c r="T94" s="646">
        <f t="shared" si="0"/>
        <v>7</v>
      </c>
      <c r="U94" s="669">
        <v>0</v>
      </c>
      <c r="V94" s="738" t="s">
        <v>836</v>
      </c>
      <c r="W94" s="532"/>
      <c r="X94" s="732"/>
      <c r="Y94" s="732"/>
      <c r="Z94" s="732"/>
      <c r="AA94" s="732"/>
    </row>
    <row r="95" spans="1:27" ht="39.75" customHeight="1">
      <c r="A95" s="736"/>
      <c r="B95" s="736"/>
      <c r="C95" s="736"/>
      <c r="D95" s="644">
        <v>88</v>
      </c>
      <c r="E95" s="644" t="s">
        <v>188</v>
      </c>
      <c r="F95" s="663"/>
      <c r="G95" s="663"/>
      <c r="H95" s="663"/>
      <c r="I95" s="663"/>
      <c r="J95" s="663"/>
      <c r="K95" s="663"/>
      <c r="L95" s="663"/>
      <c r="M95" s="663"/>
      <c r="N95" s="663"/>
      <c r="O95" s="663"/>
      <c r="P95" s="670">
        <v>40</v>
      </c>
      <c r="Q95" s="663"/>
      <c r="R95" s="663"/>
      <c r="S95" s="663"/>
      <c r="T95" s="646">
        <f t="shared" si="0"/>
        <v>40</v>
      </c>
      <c r="U95" s="669">
        <v>40</v>
      </c>
      <c r="V95" s="483" t="s">
        <v>837</v>
      </c>
      <c r="W95" s="533" t="s">
        <v>837</v>
      </c>
      <c r="X95" s="732"/>
      <c r="Y95" s="732"/>
      <c r="Z95" s="732"/>
      <c r="AA95" s="732"/>
    </row>
    <row r="96" spans="1:27" ht="39.75" customHeight="1">
      <c r="A96" s="736"/>
      <c r="B96" s="736"/>
      <c r="C96" s="736"/>
      <c r="D96" s="644">
        <v>89</v>
      </c>
      <c r="E96" s="644" t="s">
        <v>190</v>
      </c>
      <c r="F96" s="663"/>
      <c r="G96" s="663"/>
      <c r="H96" s="663"/>
      <c r="I96" s="663"/>
      <c r="J96" s="663"/>
      <c r="K96" s="663"/>
      <c r="L96" s="663"/>
      <c r="M96" s="663"/>
      <c r="N96" s="663"/>
      <c r="O96" s="663"/>
      <c r="P96" s="663"/>
      <c r="Q96" s="663"/>
      <c r="R96" s="663"/>
      <c r="S96" s="663"/>
      <c r="T96" s="646">
        <f t="shared" si="0"/>
        <v>0</v>
      </c>
      <c r="U96" s="669">
        <v>0</v>
      </c>
      <c r="V96" s="483"/>
      <c r="W96" s="533"/>
      <c r="X96" s="732"/>
      <c r="Y96" s="732"/>
      <c r="Z96" s="732"/>
      <c r="AA96" s="732"/>
    </row>
    <row r="97" spans="1:27" ht="39.75" customHeight="1">
      <c r="A97" s="736"/>
      <c r="B97" s="736"/>
      <c r="C97" s="736"/>
      <c r="D97" s="644">
        <v>90</v>
      </c>
      <c r="E97" s="644" t="s">
        <v>191</v>
      </c>
      <c r="F97" s="663"/>
      <c r="G97" s="663"/>
      <c r="H97" s="663"/>
      <c r="I97" s="663"/>
      <c r="J97" s="663"/>
      <c r="K97" s="663"/>
      <c r="L97" s="663"/>
      <c r="M97" s="663"/>
      <c r="N97" s="663"/>
      <c r="O97" s="663"/>
      <c r="P97" s="671"/>
      <c r="Q97" s="663"/>
      <c r="R97" s="663"/>
      <c r="S97" s="663"/>
      <c r="T97" s="646">
        <f t="shared" si="0"/>
        <v>0</v>
      </c>
      <c r="U97" s="669">
        <v>0</v>
      </c>
      <c r="V97" s="483"/>
      <c r="W97" s="533"/>
      <c r="X97" s="732"/>
      <c r="Y97" s="732"/>
      <c r="Z97" s="732"/>
      <c r="AA97" s="732"/>
    </row>
    <row r="98" spans="1:27" ht="39.75" customHeight="1">
      <c r="A98" s="736"/>
      <c r="B98" s="736"/>
      <c r="C98" s="736"/>
      <c r="D98" s="644">
        <v>91</v>
      </c>
      <c r="E98" s="644" t="s">
        <v>192</v>
      </c>
      <c r="F98" s="663"/>
      <c r="G98" s="663"/>
      <c r="H98" s="663"/>
      <c r="I98" s="663"/>
      <c r="J98" s="663"/>
      <c r="K98" s="669">
        <v>0</v>
      </c>
      <c r="L98" s="663"/>
      <c r="M98" s="663"/>
      <c r="N98" s="663"/>
      <c r="O98" s="663"/>
      <c r="P98" s="670">
        <v>0</v>
      </c>
      <c r="Q98" s="663"/>
      <c r="R98" s="663"/>
      <c r="S98" s="663"/>
      <c r="T98" s="646">
        <f t="shared" si="0"/>
        <v>0</v>
      </c>
      <c r="U98" s="669">
        <v>0</v>
      </c>
      <c r="V98" s="484"/>
      <c r="W98" s="534"/>
      <c r="X98" s="732"/>
      <c r="Y98" s="732"/>
      <c r="Z98" s="732"/>
      <c r="AA98" s="732"/>
    </row>
    <row r="99" spans="1:27" ht="39.75" customHeight="1">
      <c r="A99" s="736"/>
      <c r="B99" s="736"/>
      <c r="C99" s="736"/>
      <c r="D99" s="644">
        <v>92</v>
      </c>
      <c r="E99" s="644" t="s">
        <v>193</v>
      </c>
      <c r="F99" s="663"/>
      <c r="G99" s="663"/>
      <c r="H99" s="663"/>
      <c r="I99" s="663"/>
      <c r="J99" s="663"/>
      <c r="K99" s="663"/>
      <c r="L99" s="663"/>
      <c r="M99" s="663"/>
      <c r="N99" s="663"/>
      <c r="O99" s="663"/>
      <c r="P99" s="670">
        <v>0.5</v>
      </c>
      <c r="Q99" s="663"/>
      <c r="R99" s="663"/>
      <c r="S99" s="663"/>
      <c r="T99" s="646">
        <f t="shared" si="0"/>
        <v>0.5</v>
      </c>
      <c r="U99" s="669">
        <v>0.5</v>
      </c>
      <c r="V99" s="484" t="s">
        <v>838</v>
      </c>
      <c r="W99" s="534" t="s">
        <v>838</v>
      </c>
      <c r="X99" s="732"/>
      <c r="Y99" s="732"/>
      <c r="Z99" s="732"/>
      <c r="AA99" s="732"/>
    </row>
    <row r="100" spans="1:27" ht="39.75" customHeight="1">
      <c r="A100" s="736"/>
      <c r="B100" s="736"/>
      <c r="C100" s="736"/>
      <c r="D100" s="644">
        <v>93</v>
      </c>
      <c r="E100" s="644" t="s">
        <v>195</v>
      </c>
      <c r="F100" s="663"/>
      <c r="G100" s="663"/>
      <c r="H100" s="663"/>
      <c r="I100" s="671"/>
      <c r="J100" s="663"/>
      <c r="K100" s="663"/>
      <c r="L100" s="663"/>
      <c r="M100" s="663"/>
      <c r="N100" s="663"/>
      <c r="O100" s="663"/>
      <c r="P100" s="663"/>
      <c r="Q100" s="663"/>
      <c r="R100" s="663"/>
      <c r="S100" s="663"/>
      <c r="T100" s="646">
        <f t="shared" si="0"/>
        <v>0</v>
      </c>
      <c r="U100" s="669">
        <v>0</v>
      </c>
      <c r="V100" s="484"/>
      <c r="W100" s="534"/>
      <c r="X100" s="732"/>
      <c r="Y100" s="732"/>
      <c r="Z100" s="732"/>
      <c r="AA100" s="732"/>
    </row>
    <row r="101" spans="1:27" ht="39.75" customHeight="1">
      <c r="A101" s="736"/>
      <c r="B101" s="736"/>
      <c r="C101" s="736"/>
      <c r="D101" s="644">
        <v>94</v>
      </c>
      <c r="E101" s="644" t="s">
        <v>196</v>
      </c>
      <c r="F101" s="663"/>
      <c r="G101" s="663"/>
      <c r="H101" s="663"/>
      <c r="I101" s="671"/>
      <c r="J101" s="663"/>
      <c r="K101" s="663"/>
      <c r="L101" s="663"/>
      <c r="M101" s="663"/>
      <c r="N101" s="663"/>
      <c r="O101" s="663"/>
      <c r="P101" s="663"/>
      <c r="Q101" s="663"/>
      <c r="R101" s="663"/>
      <c r="S101" s="663"/>
      <c r="T101" s="646">
        <f t="shared" si="0"/>
        <v>0</v>
      </c>
      <c r="U101" s="669">
        <v>0</v>
      </c>
      <c r="V101" s="484"/>
      <c r="W101" s="534"/>
      <c r="X101" s="732"/>
      <c r="Y101" s="732"/>
      <c r="Z101" s="732"/>
      <c r="AA101" s="732"/>
    </row>
    <row r="102" spans="1:27" ht="90">
      <c r="A102" s="736"/>
      <c r="B102" s="736"/>
      <c r="C102" s="736"/>
      <c r="D102" s="644">
        <v>95</v>
      </c>
      <c r="E102" s="644" t="s">
        <v>197</v>
      </c>
      <c r="F102" s="663"/>
      <c r="G102" s="663"/>
      <c r="H102" s="671"/>
      <c r="I102" s="669">
        <v>9</v>
      </c>
      <c r="J102" s="663"/>
      <c r="K102" s="663"/>
      <c r="L102" s="663"/>
      <c r="M102" s="663"/>
      <c r="N102" s="663"/>
      <c r="O102" s="663"/>
      <c r="P102" s="663"/>
      <c r="Q102" s="663"/>
      <c r="R102" s="663"/>
      <c r="S102" s="663"/>
      <c r="T102" s="646">
        <f t="shared" si="0"/>
        <v>9</v>
      </c>
      <c r="U102" s="669">
        <v>0</v>
      </c>
      <c r="V102" s="738" t="s">
        <v>839</v>
      </c>
      <c r="W102" s="533"/>
      <c r="X102" s="732"/>
      <c r="Y102" s="732"/>
      <c r="Z102" s="732"/>
      <c r="AA102" s="732"/>
    </row>
    <row r="103" spans="1:27" ht="165">
      <c r="A103" s="736"/>
      <c r="B103" s="736"/>
      <c r="C103" s="736"/>
      <c r="D103" s="644">
        <v>96</v>
      </c>
      <c r="E103" s="644" t="s">
        <v>199</v>
      </c>
      <c r="F103" s="663"/>
      <c r="G103" s="663"/>
      <c r="H103" s="663"/>
      <c r="I103" s="663"/>
      <c r="J103" s="663"/>
      <c r="K103" s="663"/>
      <c r="L103" s="663"/>
      <c r="M103" s="663"/>
      <c r="N103" s="669">
        <v>0</v>
      </c>
      <c r="O103" s="663"/>
      <c r="P103" s="664">
        <v>2</v>
      </c>
      <c r="Q103" s="669">
        <v>1</v>
      </c>
      <c r="R103" s="670">
        <v>1</v>
      </c>
      <c r="S103" s="663"/>
      <c r="T103" s="646">
        <f t="shared" si="0"/>
        <v>4</v>
      </c>
      <c r="U103" s="669">
        <v>4</v>
      </c>
      <c r="V103" s="738" t="s">
        <v>200</v>
      </c>
      <c r="W103" s="533" t="s">
        <v>200</v>
      </c>
      <c r="X103" s="732"/>
      <c r="Y103" s="732"/>
      <c r="Z103" s="732"/>
      <c r="AA103" s="732"/>
    </row>
    <row r="104" spans="1:27" ht="180">
      <c r="A104" s="736"/>
      <c r="B104" s="699" t="s">
        <v>201</v>
      </c>
      <c r="C104" s="699" t="s">
        <v>202</v>
      </c>
      <c r="D104" s="644">
        <v>97</v>
      </c>
      <c r="E104" s="644" t="s">
        <v>203</v>
      </c>
      <c r="F104" s="672"/>
      <c r="G104" s="672"/>
      <c r="H104" s="672"/>
      <c r="I104" s="666">
        <v>1</v>
      </c>
      <c r="J104" s="672"/>
      <c r="K104" s="666">
        <v>0</v>
      </c>
      <c r="L104" s="672"/>
      <c r="M104" s="666"/>
      <c r="N104" s="666">
        <v>3.75</v>
      </c>
      <c r="O104" s="672">
        <v>4</v>
      </c>
      <c r="P104" s="673">
        <v>14.45</v>
      </c>
      <c r="Q104" s="666">
        <v>2.5</v>
      </c>
      <c r="R104" s="673">
        <v>12</v>
      </c>
      <c r="S104" s="672"/>
      <c r="T104" s="674">
        <v>37.700000000000003</v>
      </c>
      <c r="U104" s="674">
        <v>37.700000000000003</v>
      </c>
      <c r="V104" s="749" t="s">
        <v>204</v>
      </c>
      <c r="W104" s="771"/>
      <c r="X104" s="732"/>
      <c r="Y104" s="732"/>
      <c r="Z104" s="732"/>
      <c r="AA104" s="732"/>
    </row>
    <row r="105" spans="1:27" ht="39.75" customHeight="1">
      <c r="A105" s="736"/>
      <c r="B105" s="736"/>
      <c r="C105" s="736"/>
      <c r="D105" s="644">
        <v>98</v>
      </c>
      <c r="E105" s="644" t="s">
        <v>53</v>
      </c>
      <c r="F105" s="749"/>
      <c r="G105" s="749"/>
      <c r="H105" s="749"/>
      <c r="I105" s="749"/>
      <c r="J105" s="749"/>
      <c r="K105" s="749"/>
      <c r="L105" s="749"/>
      <c r="M105" s="749"/>
      <c r="N105" s="749"/>
      <c r="O105" s="749"/>
      <c r="P105" s="749"/>
      <c r="Q105" s="749"/>
      <c r="R105" s="749"/>
      <c r="S105" s="749"/>
      <c r="T105" s="674">
        <v>0</v>
      </c>
      <c r="U105" s="674"/>
      <c r="V105" s="744"/>
      <c r="W105" s="772"/>
      <c r="X105" s="732"/>
      <c r="Y105" s="732"/>
      <c r="Z105" s="732"/>
      <c r="AA105" s="732"/>
    </row>
    <row r="106" spans="1:27" ht="60">
      <c r="A106" s="736"/>
      <c r="B106" s="699" t="s">
        <v>205</v>
      </c>
      <c r="C106" s="699" t="s">
        <v>206</v>
      </c>
      <c r="D106" s="644">
        <v>99</v>
      </c>
      <c r="E106" s="644" t="s">
        <v>207</v>
      </c>
      <c r="F106" s="675"/>
      <c r="G106" s="675"/>
      <c r="H106" s="676"/>
      <c r="I106" s="674">
        <v>2</v>
      </c>
      <c r="J106" s="675"/>
      <c r="K106" s="674"/>
      <c r="L106" s="675"/>
      <c r="M106" s="675"/>
      <c r="N106" s="674">
        <v>1</v>
      </c>
      <c r="O106" s="675"/>
      <c r="P106" s="675"/>
      <c r="Q106" s="674">
        <v>1</v>
      </c>
      <c r="R106" s="675"/>
      <c r="S106" s="675"/>
      <c r="T106" s="674">
        <v>4</v>
      </c>
      <c r="U106" s="674">
        <v>3</v>
      </c>
      <c r="V106" s="749" t="s">
        <v>625</v>
      </c>
      <c r="W106" s="773" t="s">
        <v>429</v>
      </c>
      <c r="X106" s="732"/>
      <c r="Y106" s="732"/>
      <c r="Z106" s="732"/>
      <c r="AA106" s="732"/>
    </row>
    <row r="107" spans="1:27" ht="39.75" customHeight="1">
      <c r="A107" s="736"/>
      <c r="B107" s="736"/>
      <c r="C107" s="736"/>
      <c r="D107" s="644">
        <v>100</v>
      </c>
      <c r="E107" s="644" t="s">
        <v>209</v>
      </c>
      <c r="F107" s="749"/>
      <c r="G107" s="749"/>
      <c r="H107" s="749"/>
      <c r="I107" s="674"/>
      <c r="J107" s="749"/>
      <c r="K107" s="777"/>
      <c r="L107" s="749"/>
      <c r="M107" s="749"/>
      <c r="N107" s="749"/>
      <c r="O107" s="749"/>
      <c r="P107" s="749"/>
      <c r="Q107" s="749"/>
      <c r="R107" s="749"/>
      <c r="S107" s="749"/>
      <c r="T107" s="674">
        <v>0</v>
      </c>
      <c r="U107" s="674">
        <v>0</v>
      </c>
      <c r="V107" s="749"/>
      <c r="W107" s="772"/>
      <c r="X107" s="732"/>
      <c r="Y107" s="732"/>
      <c r="Z107" s="732"/>
      <c r="AA107" s="732"/>
    </row>
    <row r="108" spans="1:27" ht="39.75" customHeight="1">
      <c r="A108" s="736"/>
      <c r="B108" s="736"/>
      <c r="C108" s="736"/>
      <c r="D108" s="644">
        <v>101</v>
      </c>
      <c r="E108" s="644" t="s">
        <v>210</v>
      </c>
      <c r="F108" s="749"/>
      <c r="G108" s="749"/>
      <c r="H108" s="749"/>
      <c r="I108" s="749"/>
      <c r="J108" s="749"/>
      <c r="K108" s="749"/>
      <c r="L108" s="749"/>
      <c r="M108" s="749"/>
      <c r="N108" s="749"/>
      <c r="O108" s="749"/>
      <c r="P108" s="749"/>
      <c r="Q108" s="749"/>
      <c r="R108" s="749"/>
      <c r="S108" s="749"/>
      <c r="T108" s="674">
        <v>0</v>
      </c>
      <c r="U108" s="674"/>
      <c r="V108" s="744"/>
      <c r="W108" s="772"/>
      <c r="X108" s="732"/>
      <c r="Y108" s="732"/>
      <c r="Z108" s="732"/>
      <c r="AA108" s="732"/>
    </row>
    <row r="109" spans="1:27" ht="39.75" customHeight="1">
      <c r="A109" s="736"/>
      <c r="B109" s="736"/>
      <c r="C109" s="736"/>
      <c r="D109" s="644">
        <v>102</v>
      </c>
      <c r="E109" s="644" t="s">
        <v>211</v>
      </c>
      <c r="F109" s="749"/>
      <c r="G109" s="749"/>
      <c r="H109" s="749"/>
      <c r="I109" s="749"/>
      <c r="J109" s="749"/>
      <c r="K109" s="749"/>
      <c r="L109" s="749"/>
      <c r="M109" s="749"/>
      <c r="N109" s="749"/>
      <c r="O109" s="749"/>
      <c r="P109" s="749"/>
      <c r="Q109" s="777"/>
      <c r="R109" s="749"/>
      <c r="S109" s="749"/>
      <c r="T109" s="674">
        <v>0</v>
      </c>
      <c r="U109" s="674"/>
      <c r="V109" s="744"/>
      <c r="W109" s="772"/>
      <c r="X109" s="732"/>
      <c r="Y109" s="732"/>
      <c r="Z109" s="732"/>
      <c r="AA109" s="732"/>
    </row>
    <row r="110" spans="1:27" ht="45">
      <c r="A110" s="736"/>
      <c r="B110" s="736"/>
      <c r="C110" s="736"/>
      <c r="D110" s="644">
        <v>103</v>
      </c>
      <c r="E110" s="644" t="s">
        <v>53</v>
      </c>
      <c r="F110" s="749"/>
      <c r="G110" s="749"/>
      <c r="H110" s="749"/>
      <c r="I110" s="749"/>
      <c r="J110" s="749"/>
      <c r="K110" s="749"/>
      <c r="L110" s="749"/>
      <c r="M110" s="749"/>
      <c r="N110" s="749"/>
      <c r="O110" s="749"/>
      <c r="P110" s="676">
        <v>3.2</v>
      </c>
      <c r="Q110" s="749"/>
      <c r="R110" s="774">
        <v>0</v>
      </c>
      <c r="S110" s="774"/>
      <c r="T110" s="674">
        <v>3.2</v>
      </c>
      <c r="U110" s="674">
        <v>3.2</v>
      </c>
      <c r="V110" s="749" t="s">
        <v>212</v>
      </c>
      <c r="W110" s="772"/>
      <c r="X110" s="732"/>
      <c r="Y110" s="732"/>
      <c r="Z110" s="732"/>
      <c r="AA110" s="732"/>
    </row>
    <row r="111" spans="1:27" ht="285">
      <c r="A111" s="736"/>
      <c r="B111" s="699" t="s">
        <v>213</v>
      </c>
      <c r="C111" s="699" t="s">
        <v>214</v>
      </c>
      <c r="D111" s="644">
        <v>104</v>
      </c>
      <c r="E111" s="644" t="s">
        <v>215</v>
      </c>
      <c r="F111" s="749"/>
      <c r="G111" s="749"/>
      <c r="H111" s="749"/>
      <c r="I111" s="749"/>
      <c r="J111" s="749"/>
      <c r="K111" s="749"/>
      <c r="L111" s="749"/>
      <c r="M111" s="749"/>
      <c r="N111" s="673">
        <v>0.8</v>
      </c>
      <c r="O111" s="749"/>
      <c r="P111" s="673"/>
      <c r="Q111" s="673">
        <v>1.5</v>
      </c>
      <c r="R111" s="774">
        <v>1.5</v>
      </c>
      <c r="S111" s="774"/>
      <c r="T111" s="674">
        <v>3.8</v>
      </c>
      <c r="U111" s="674">
        <v>3.8</v>
      </c>
      <c r="V111" s="749" t="s">
        <v>1639</v>
      </c>
      <c r="W111" s="772"/>
      <c r="X111" s="732"/>
      <c r="Y111" s="732"/>
      <c r="Z111" s="732"/>
      <c r="AA111" s="732"/>
    </row>
    <row r="112" spans="1:27" ht="75">
      <c r="A112" s="736"/>
      <c r="B112" s="736"/>
      <c r="C112" s="736"/>
      <c r="D112" s="644">
        <v>105</v>
      </c>
      <c r="E112" s="644" t="s">
        <v>216</v>
      </c>
      <c r="F112" s="749"/>
      <c r="G112" s="749"/>
      <c r="H112" s="749"/>
      <c r="I112" s="749"/>
      <c r="J112" s="749"/>
      <c r="K112" s="749"/>
      <c r="L112" s="749"/>
      <c r="M112" s="749"/>
      <c r="N112" s="749"/>
      <c r="O112" s="749"/>
      <c r="P112" s="776">
        <v>2</v>
      </c>
      <c r="Q112" s="749"/>
      <c r="R112" s="749"/>
      <c r="S112" s="749"/>
      <c r="T112" s="674">
        <v>2</v>
      </c>
      <c r="U112" s="674">
        <v>2</v>
      </c>
      <c r="V112" s="744" t="s">
        <v>217</v>
      </c>
      <c r="W112" s="772"/>
      <c r="X112" s="732"/>
      <c r="Y112" s="732"/>
      <c r="Z112" s="732"/>
      <c r="AA112" s="732"/>
    </row>
    <row r="113" spans="1:27" ht="45">
      <c r="A113" s="736"/>
      <c r="B113" s="736"/>
      <c r="C113" s="736"/>
      <c r="D113" s="644">
        <v>106</v>
      </c>
      <c r="E113" s="644" t="s">
        <v>218</v>
      </c>
      <c r="F113" s="749"/>
      <c r="G113" s="749"/>
      <c r="H113" s="749"/>
      <c r="I113" s="666"/>
      <c r="J113" s="749"/>
      <c r="K113" s="777"/>
      <c r="L113" s="749"/>
      <c r="M113" s="749"/>
      <c r="N113" s="778">
        <v>0.2</v>
      </c>
      <c r="O113" s="749"/>
      <c r="P113" s="774"/>
      <c r="Q113" s="777"/>
      <c r="R113" s="774"/>
      <c r="S113" s="774"/>
      <c r="T113" s="674">
        <v>0.2</v>
      </c>
      <c r="U113" s="674">
        <v>0.2</v>
      </c>
      <c r="V113" s="749" t="s">
        <v>219</v>
      </c>
      <c r="W113" s="772"/>
      <c r="X113" s="732"/>
      <c r="Y113" s="732"/>
      <c r="Z113" s="732"/>
      <c r="AA113" s="732"/>
    </row>
    <row r="114" spans="1:27" ht="75">
      <c r="A114" s="736"/>
      <c r="B114" s="699" t="s">
        <v>220</v>
      </c>
      <c r="C114" s="699" t="s">
        <v>221</v>
      </c>
      <c r="D114" s="644">
        <v>107</v>
      </c>
      <c r="E114" s="644" t="s">
        <v>222</v>
      </c>
      <c r="F114" s="749"/>
      <c r="G114" s="749"/>
      <c r="H114" s="749"/>
      <c r="I114" s="777"/>
      <c r="J114" s="749"/>
      <c r="K114" s="777"/>
      <c r="L114" s="749"/>
      <c r="M114" s="749"/>
      <c r="N114" s="777"/>
      <c r="O114" s="749"/>
      <c r="P114" s="673">
        <v>2.5</v>
      </c>
      <c r="Q114" s="672"/>
      <c r="R114" s="673">
        <v>1</v>
      </c>
      <c r="S114" s="749"/>
      <c r="T114" s="674">
        <v>3.5</v>
      </c>
      <c r="U114" s="674">
        <v>3.5</v>
      </c>
      <c r="V114" s="749" t="s">
        <v>223</v>
      </c>
      <c r="W114" s="772"/>
      <c r="X114" s="732"/>
      <c r="Y114" s="732"/>
      <c r="Z114" s="732"/>
      <c r="AA114" s="732"/>
    </row>
    <row r="115" spans="1:27" ht="39.75" customHeight="1">
      <c r="A115" s="736"/>
      <c r="B115" s="736"/>
      <c r="C115" s="736"/>
      <c r="D115" s="644">
        <v>108</v>
      </c>
      <c r="E115" s="644" t="s">
        <v>224</v>
      </c>
      <c r="F115" s="749"/>
      <c r="G115" s="749"/>
      <c r="H115" s="749"/>
      <c r="I115" s="777"/>
      <c r="J115" s="749"/>
      <c r="K115" s="777"/>
      <c r="L115" s="749"/>
      <c r="M115" s="749"/>
      <c r="N115" s="749"/>
      <c r="O115" s="749"/>
      <c r="P115" s="676">
        <v>4.75</v>
      </c>
      <c r="Q115" s="749"/>
      <c r="R115" s="749"/>
      <c r="S115" s="749"/>
      <c r="T115" s="674">
        <v>4.75</v>
      </c>
      <c r="U115" s="674">
        <v>4.75</v>
      </c>
      <c r="V115" s="749" t="s">
        <v>225</v>
      </c>
      <c r="W115" s="772"/>
      <c r="X115" s="732"/>
      <c r="Y115" s="732"/>
      <c r="Z115" s="732"/>
      <c r="AA115" s="732"/>
    </row>
    <row r="116" spans="1:27" ht="39.75" customHeight="1">
      <c r="A116" s="736"/>
      <c r="B116" s="736"/>
      <c r="C116" s="736"/>
      <c r="D116" s="644">
        <v>109</v>
      </c>
      <c r="E116" s="644" t="s">
        <v>226</v>
      </c>
      <c r="F116" s="749"/>
      <c r="G116" s="749"/>
      <c r="H116" s="774"/>
      <c r="I116" s="777"/>
      <c r="J116" s="749"/>
      <c r="K116" s="777"/>
      <c r="L116" s="749"/>
      <c r="M116" s="749"/>
      <c r="N116" s="749"/>
      <c r="O116" s="749"/>
      <c r="P116" s="749"/>
      <c r="Q116" s="749"/>
      <c r="R116" s="749"/>
      <c r="S116" s="749"/>
      <c r="T116" s="674">
        <v>0</v>
      </c>
      <c r="U116" s="674"/>
      <c r="V116" s="744"/>
      <c r="W116" s="772"/>
      <c r="X116" s="732"/>
      <c r="Y116" s="732"/>
      <c r="Z116" s="732"/>
      <c r="AA116" s="732"/>
    </row>
    <row r="117" spans="1:27" ht="150">
      <c r="A117" s="736"/>
      <c r="B117" s="736"/>
      <c r="C117" s="736"/>
      <c r="D117" s="644">
        <v>110</v>
      </c>
      <c r="E117" s="644" t="s">
        <v>227</v>
      </c>
      <c r="F117" s="749"/>
      <c r="G117" s="749"/>
      <c r="H117" s="749"/>
      <c r="I117" s="777"/>
      <c r="J117" s="749"/>
      <c r="K117" s="777"/>
      <c r="L117" s="749"/>
      <c r="M117" s="774"/>
      <c r="N117" s="674">
        <v>3</v>
      </c>
      <c r="O117" s="676">
        <v>58.28</v>
      </c>
      <c r="P117" s="777"/>
      <c r="Q117" s="676">
        <v>5.9</v>
      </c>
      <c r="R117" s="676">
        <v>3</v>
      </c>
      <c r="S117" s="749"/>
      <c r="T117" s="646">
        <f>SUM(F117:S117)</f>
        <v>70.180000000000007</v>
      </c>
      <c r="U117" s="674">
        <f>T117</f>
        <v>70.180000000000007</v>
      </c>
      <c r="V117" s="744" t="s">
        <v>840</v>
      </c>
      <c r="W117" s="772"/>
      <c r="X117" s="732"/>
      <c r="Y117" s="732"/>
      <c r="Z117" s="732"/>
      <c r="AA117" s="732"/>
    </row>
    <row r="118" spans="1:27" ht="39.75" customHeight="1">
      <c r="A118" s="736"/>
      <c r="B118" s="736"/>
      <c r="C118" s="736"/>
      <c r="D118" s="644">
        <v>111</v>
      </c>
      <c r="E118" s="644" t="s">
        <v>53</v>
      </c>
      <c r="F118" s="749"/>
      <c r="G118" s="749"/>
      <c r="H118" s="749"/>
      <c r="I118" s="774"/>
      <c r="J118" s="749"/>
      <c r="K118" s="774"/>
      <c r="L118" s="749"/>
      <c r="M118" s="749"/>
      <c r="N118" s="749"/>
      <c r="O118" s="749"/>
      <c r="P118" s="774"/>
      <c r="Q118" s="777"/>
      <c r="R118" s="749"/>
      <c r="S118" s="774"/>
      <c r="T118" s="674">
        <v>0</v>
      </c>
      <c r="U118" s="674"/>
      <c r="V118" s="749"/>
      <c r="W118" s="772"/>
      <c r="X118" s="732"/>
      <c r="Y118" s="732"/>
      <c r="Z118" s="732"/>
      <c r="AA118" s="732"/>
    </row>
    <row r="119" spans="1:27" ht="39.75" customHeight="1">
      <c r="A119" s="736"/>
      <c r="B119" s="699" t="s">
        <v>229</v>
      </c>
      <c r="C119" s="699" t="s">
        <v>230</v>
      </c>
      <c r="D119" s="644">
        <v>112</v>
      </c>
      <c r="E119" s="644" t="s">
        <v>231</v>
      </c>
      <c r="F119" s="749"/>
      <c r="G119" s="749"/>
      <c r="H119" s="749"/>
      <c r="I119" s="674"/>
      <c r="J119" s="749"/>
      <c r="K119" s="777"/>
      <c r="L119" s="749"/>
      <c r="M119" s="749"/>
      <c r="N119" s="749"/>
      <c r="O119" s="749"/>
      <c r="P119" s="749"/>
      <c r="Q119" s="777"/>
      <c r="R119" s="749"/>
      <c r="S119" s="749"/>
      <c r="T119" s="674">
        <v>0</v>
      </c>
      <c r="U119" s="674"/>
      <c r="V119" s="744"/>
      <c r="W119" s="772"/>
      <c r="X119" s="732"/>
      <c r="Y119" s="732"/>
      <c r="Z119" s="732"/>
      <c r="AA119" s="732"/>
    </row>
    <row r="120" spans="1:27" ht="39.75" customHeight="1">
      <c r="A120" s="736"/>
      <c r="B120" s="736"/>
      <c r="C120" s="736"/>
      <c r="D120" s="644">
        <v>113</v>
      </c>
      <c r="E120" s="644" t="s">
        <v>232</v>
      </c>
      <c r="F120" s="672"/>
      <c r="G120" s="672"/>
      <c r="H120" s="672"/>
      <c r="I120" s="666"/>
      <c r="J120" s="672"/>
      <c r="K120" s="666"/>
      <c r="L120" s="672"/>
      <c r="M120" s="666"/>
      <c r="N120" s="666">
        <v>0.5</v>
      </c>
      <c r="O120" s="672"/>
      <c r="P120" s="672"/>
      <c r="Q120" s="666">
        <v>0.3</v>
      </c>
      <c r="R120" s="672"/>
      <c r="S120" s="672"/>
      <c r="T120" s="674">
        <v>0.8</v>
      </c>
      <c r="U120" s="674">
        <v>0.8</v>
      </c>
      <c r="V120" s="749" t="s">
        <v>676</v>
      </c>
      <c r="W120" s="772"/>
      <c r="X120" s="732"/>
      <c r="Y120" s="732"/>
      <c r="Z120" s="732"/>
      <c r="AA120" s="732"/>
    </row>
    <row r="121" spans="1:27" ht="105">
      <c r="A121" s="736"/>
      <c r="B121" s="644" t="s">
        <v>234</v>
      </c>
      <c r="C121" s="644" t="s">
        <v>235</v>
      </c>
      <c r="D121" s="644">
        <v>114</v>
      </c>
      <c r="E121" s="644" t="s">
        <v>236</v>
      </c>
      <c r="F121" s="749"/>
      <c r="G121" s="749"/>
      <c r="H121" s="774"/>
      <c r="I121" s="776">
        <v>0.21</v>
      </c>
      <c r="J121" s="749"/>
      <c r="K121" s="749"/>
      <c r="L121" s="749"/>
      <c r="M121" s="749"/>
      <c r="N121" s="676">
        <v>0.5</v>
      </c>
      <c r="O121" s="749"/>
      <c r="P121" s="676">
        <v>14.9</v>
      </c>
      <c r="Q121" s="674">
        <v>0.5</v>
      </c>
      <c r="R121" s="676">
        <v>0.5</v>
      </c>
      <c r="S121" s="676">
        <v>0</v>
      </c>
      <c r="T121" s="674">
        <v>16.54</v>
      </c>
      <c r="U121" s="674">
        <v>16.54</v>
      </c>
      <c r="V121" s="749" t="s">
        <v>725</v>
      </c>
      <c r="W121" s="772"/>
      <c r="X121" s="732"/>
      <c r="Y121" s="732"/>
      <c r="Z121" s="732"/>
      <c r="AA121" s="732"/>
    </row>
    <row r="122" spans="1:27" ht="75">
      <c r="A122" s="736"/>
      <c r="B122" s="699" t="s">
        <v>238</v>
      </c>
      <c r="C122" s="699" t="s">
        <v>239</v>
      </c>
      <c r="D122" s="644">
        <v>115</v>
      </c>
      <c r="E122" s="644" t="s">
        <v>240</v>
      </c>
      <c r="F122" s="749"/>
      <c r="G122" s="749"/>
      <c r="H122" s="749"/>
      <c r="I122" s="749"/>
      <c r="J122" s="749"/>
      <c r="K122" s="749"/>
      <c r="L122" s="749"/>
      <c r="M122" s="778">
        <v>2</v>
      </c>
      <c r="N122" s="749"/>
      <c r="O122" s="749"/>
      <c r="P122" s="749"/>
      <c r="Q122" s="776">
        <v>6.9</v>
      </c>
      <c r="R122" s="749"/>
      <c r="S122" s="749"/>
      <c r="T122" s="674">
        <v>8.9</v>
      </c>
      <c r="U122" s="674">
        <v>8.9</v>
      </c>
      <c r="V122" s="749" t="s">
        <v>498</v>
      </c>
      <c r="W122" s="772"/>
      <c r="X122" s="732"/>
      <c r="Y122" s="732"/>
      <c r="Z122" s="732"/>
      <c r="AA122" s="732"/>
    </row>
    <row r="123" spans="1:27" ht="30">
      <c r="A123" s="736"/>
      <c r="B123" s="736"/>
      <c r="C123" s="736"/>
      <c r="D123" s="644">
        <v>116</v>
      </c>
      <c r="E123" s="644" t="s">
        <v>242</v>
      </c>
      <c r="F123" s="749"/>
      <c r="G123" s="749"/>
      <c r="H123" s="749"/>
      <c r="I123" s="749"/>
      <c r="J123" s="749"/>
      <c r="K123" s="749"/>
      <c r="L123" s="749"/>
      <c r="M123" s="674">
        <v>6.3</v>
      </c>
      <c r="N123" s="749"/>
      <c r="O123" s="749"/>
      <c r="P123" s="749"/>
      <c r="Q123" s="777"/>
      <c r="R123" s="749"/>
      <c r="S123" s="749"/>
      <c r="T123" s="674">
        <v>6.3</v>
      </c>
      <c r="U123" s="674">
        <v>6.3</v>
      </c>
      <c r="V123" s="749" t="s">
        <v>243</v>
      </c>
      <c r="W123" s="772"/>
      <c r="X123" s="732"/>
      <c r="Y123" s="732"/>
      <c r="Z123" s="732"/>
      <c r="AA123" s="732"/>
    </row>
    <row r="124" spans="1:27" ht="39.75" customHeight="1">
      <c r="A124" s="736"/>
      <c r="B124" s="736"/>
      <c r="C124" s="736"/>
      <c r="D124" s="644">
        <v>117</v>
      </c>
      <c r="E124" s="644" t="s">
        <v>244</v>
      </c>
      <c r="F124" s="749"/>
      <c r="G124" s="749"/>
      <c r="H124" s="749"/>
      <c r="I124" s="749"/>
      <c r="J124" s="749"/>
      <c r="K124" s="749"/>
      <c r="L124" s="749"/>
      <c r="M124" s="749"/>
      <c r="N124" s="749"/>
      <c r="O124" s="749"/>
      <c r="P124" s="749"/>
      <c r="Q124" s="749"/>
      <c r="R124" s="749"/>
      <c r="S124" s="749"/>
      <c r="T124" s="674">
        <v>0</v>
      </c>
      <c r="U124" s="674"/>
      <c r="V124" s="744"/>
      <c r="W124" s="772"/>
      <c r="X124" s="732"/>
      <c r="Y124" s="732"/>
      <c r="Z124" s="732"/>
      <c r="AA124" s="732"/>
    </row>
    <row r="125" spans="1:27" ht="39.75" customHeight="1">
      <c r="A125" s="736"/>
      <c r="B125" s="736"/>
      <c r="C125" s="736"/>
      <c r="D125" s="644">
        <v>118</v>
      </c>
      <c r="E125" s="644" t="s">
        <v>53</v>
      </c>
      <c r="F125" s="749"/>
      <c r="G125" s="749"/>
      <c r="H125" s="749"/>
      <c r="I125" s="749"/>
      <c r="J125" s="749"/>
      <c r="K125" s="749"/>
      <c r="L125" s="749"/>
      <c r="M125" s="749"/>
      <c r="N125" s="749"/>
      <c r="O125" s="749"/>
      <c r="P125" s="749"/>
      <c r="Q125" s="777"/>
      <c r="R125" s="749"/>
      <c r="S125" s="749"/>
      <c r="T125" s="674">
        <v>0</v>
      </c>
      <c r="U125" s="674"/>
      <c r="V125" s="744"/>
      <c r="W125" s="772"/>
      <c r="X125" s="732"/>
      <c r="Y125" s="732"/>
      <c r="Z125" s="732"/>
      <c r="AA125" s="732"/>
    </row>
    <row r="126" spans="1:27" ht="90">
      <c r="A126" s="736"/>
      <c r="B126" s="644" t="s">
        <v>245</v>
      </c>
      <c r="C126" s="644" t="s">
        <v>246</v>
      </c>
      <c r="D126" s="644">
        <v>119</v>
      </c>
      <c r="E126" s="644" t="s">
        <v>247</v>
      </c>
      <c r="F126" s="672"/>
      <c r="G126" s="672"/>
      <c r="H126" s="673"/>
      <c r="I126" s="666"/>
      <c r="J126" s="672"/>
      <c r="K126" s="672"/>
      <c r="L126" s="672"/>
      <c r="M126" s="672"/>
      <c r="N126" s="666">
        <v>2</v>
      </c>
      <c r="O126" s="672"/>
      <c r="P126" s="673">
        <v>8</v>
      </c>
      <c r="Q126" s="666"/>
      <c r="R126" s="672"/>
      <c r="S126" s="672">
        <v>0</v>
      </c>
      <c r="T126" s="674">
        <v>10</v>
      </c>
      <c r="U126" s="674">
        <v>10</v>
      </c>
      <c r="V126" s="749" t="s">
        <v>248</v>
      </c>
      <c r="W126" s="772"/>
      <c r="X126" s="732"/>
      <c r="Y126" s="732"/>
      <c r="Z126" s="732"/>
      <c r="AA126" s="732"/>
    </row>
    <row r="127" spans="1:27" ht="105">
      <c r="A127" s="736"/>
      <c r="B127" s="644" t="s">
        <v>249</v>
      </c>
      <c r="C127" s="644" t="s">
        <v>250</v>
      </c>
      <c r="D127" s="644">
        <v>120</v>
      </c>
      <c r="E127" s="644" t="s">
        <v>251</v>
      </c>
      <c r="F127" s="749"/>
      <c r="G127" s="749"/>
      <c r="H127" s="749"/>
      <c r="I127" s="749"/>
      <c r="J127" s="749"/>
      <c r="K127" s="774">
        <v>1</v>
      </c>
      <c r="L127" s="675"/>
      <c r="M127" s="676">
        <v>1.68</v>
      </c>
      <c r="N127" s="777"/>
      <c r="O127" s="675"/>
      <c r="P127" s="774"/>
      <c r="Q127" s="674">
        <v>1.5</v>
      </c>
      <c r="R127" s="676">
        <v>1.6</v>
      </c>
      <c r="S127" s="749"/>
      <c r="T127" s="674">
        <v>5.78</v>
      </c>
      <c r="U127" s="674">
        <v>5.78</v>
      </c>
      <c r="V127" s="749" t="s">
        <v>841</v>
      </c>
      <c r="W127" s="772"/>
      <c r="X127" s="732"/>
      <c r="Y127" s="732"/>
      <c r="Z127" s="732"/>
      <c r="AA127" s="732"/>
    </row>
    <row r="128" spans="1:27" ht="195">
      <c r="A128" s="736"/>
      <c r="B128" s="699" t="s">
        <v>252</v>
      </c>
      <c r="C128" s="699" t="s">
        <v>253</v>
      </c>
      <c r="D128" s="644">
        <v>121</v>
      </c>
      <c r="E128" s="644" t="s">
        <v>254</v>
      </c>
      <c r="F128" s="664">
        <v>0</v>
      </c>
      <c r="G128" s="664">
        <v>0</v>
      </c>
      <c r="H128" s="664">
        <v>0</v>
      </c>
      <c r="I128" s="669">
        <v>0</v>
      </c>
      <c r="J128" s="664">
        <v>0</v>
      </c>
      <c r="K128" s="664">
        <v>0</v>
      </c>
      <c r="L128" s="664">
        <v>0</v>
      </c>
      <c r="M128" s="664">
        <v>0</v>
      </c>
      <c r="N128" s="664">
        <v>0.48</v>
      </c>
      <c r="O128" s="664">
        <v>0</v>
      </c>
      <c r="P128" s="664">
        <v>0</v>
      </c>
      <c r="Q128" s="664">
        <v>0</v>
      </c>
      <c r="R128" s="664">
        <v>0</v>
      </c>
      <c r="S128" s="664">
        <v>0</v>
      </c>
      <c r="T128" s="646">
        <f t="shared" ref="T128:T205" si="11">SUM(F128:S128)</f>
        <v>0.48</v>
      </c>
      <c r="U128" s="669">
        <v>0.96</v>
      </c>
      <c r="V128" s="749" t="s">
        <v>1686</v>
      </c>
      <c r="W128" s="1233"/>
      <c r="X128" s="732"/>
      <c r="Y128" s="732"/>
      <c r="Z128" s="732"/>
      <c r="AA128" s="732"/>
    </row>
    <row r="129" spans="1:27" ht="39.75" customHeight="1">
      <c r="A129" s="736"/>
      <c r="B129" s="736"/>
      <c r="C129" s="736"/>
      <c r="D129" s="644">
        <v>122</v>
      </c>
      <c r="E129" s="644" t="s">
        <v>256</v>
      </c>
      <c r="F129" s="664">
        <v>0</v>
      </c>
      <c r="G129" s="664">
        <v>0</v>
      </c>
      <c r="H129" s="664">
        <v>0</v>
      </c>
      <c r="I129" s="664">
        <v>0</v>
      </c>
      <c r="J129" s="664">
        <v>0</v>
      </c>
      <c r="K129" s="664">
        <v>0</v>
      </c>
      <c r="L129" s="664">
        <v>0</v>
      </c>
      <c r="M129" s="664">
        <v>0</v>
      </c>
      <c r="N129" s="664">
        <v>0</v>
      </c>
      <c r="O129" s="664">
        <v>0</v>
      </c>
      <c r="P129" s="664">
        <v>0</v>
      </c>
      <c r="Q129" s="664">
        <v>0</v>
      </c>
      <c r="R129" s="664">
        <v>0</v>
      </c>
      <c r="S129" s="664">
        <v>0</v>
      </c>
      <c r="T129" s="646">
        <f t="shared" si="11"/>
        <v>0</v>
      </c>
      <c r="U129" s="669">
        <v>0</v>
      </c>
      <c r="V129" s="482"/>
      <c r="W129" s="535"/>
      <c r="X129" s="732"/>
      <c r="Y129" s="732"/>
      <c r="Z129" s="732"/>
      <c r="AA129" s="732"/>
    </row>
    <row r="130" spans="1:27" ht="75">
      <c r="A130" s="736"/>
      <c r="B130" s="736"/>
      <c r="C130" s="736"/>
      <c r="D130" s="644">
        <v>123</v>
      </c>
      <c r="E130" s="644" t="s">
        <v>257</v>
      </c>
      <c r="F130" s="664">
        <v>0</v>
      </c>
      <c r="G130" s="664">
        <v>0</v>
      </c>
      <c r="H130" s="664">
        <v>0</v>
      </c>
      <c r="I130" s="664">
        <v>0</v>
      </c>
      <c r="J130" s="664">
        <v>0</v>
      </c>
      <c r="K130" s="664">
        <v>0</v>
      </c>
      <c r="L130" s="664">
        <v>0</v>
      </c>
      <c r="M130" s="664">
        <v>0</v>
      </c>
      <c r="N130" s="664">
        <v>0</v>
      </c>
      <c r="O130" s="664">
        <v>0</v>
      </c>
      <c r="P130" s="677">
        <v>0</v>
      </c>
      <c r="Q130" s="669">
        <v>1.5</v>
      </c>
      <c r="R130" s="664">
        <v>0</v>
      </c>
      <c r="S130" s="664">
        <v>0</v>
      </c>
      <c r="T130" s="646">
        <f t="shared" si="11"/>
        <v>1.5</v>
      </c>
      <c r="U130" s="669">
        <v>1.5</v>
      </c>
      <c r="V130" s="749" t="s">
        <v>258</v>
      </c>
      <c r="W130" s="535" t="s">
        <v>258</v>
      </c>
      <c r="X130" s="732"/>
      <c r="Y130" s="732"/>
      <c r="Z130" s="732"/>
      <c r="AA130" s="732"/>
    </row>
    <row r="131" spans="1:27" ht="39.75" customHeight="1">
      <c r="A131" s="736"/>
      <c r="B131" s="699" t="s">
        <v>259</v>
      </c>
      <c r="C131" s="699" t="s">
        <v>260</v>
      </c>
      <c r="D131" s="644">
        <v>124</v>
      </c>
      <c r="E131" s="644" t="s">
        <v>261</v>
      </c>
      <c r="F131" s="682"/>
      <c r="G131" s="682"/>
      <c r="H131" s="683"/>
      <c r="I131" s="682"/>
      <c r="J131" s="682"/>
      <c r="K131" s="682"/>
      <c r="L131" s="682"/>
      <c r="M131" s="682"/>
      <c r="N131" s="682">
        <v>1</v>
      </c>
      <c r="O131" s="682"/>
      <c r="P131" s="682"/>
      <c r="Q131" s="683">
        <v>0.5</v>
      </c>
      <c r="R131" s="682"/>
      <c r="S131" s="682"/>
      <c r="T131" s="646">
        <f t="shared" si="11"/>
        <v>1.5</v>
      </c>
      <c r="U131" s="669">
        <f t="shared" ref="U131:U132" si="12">T131</f>
        <v>1.5</v>
      </c>
      <c r="V131" s="749" t="s">
        <v>628</v>
      </c>
      <c r="W131" s="735"/>
      <c r="X131" s="732"/>
      <c r="Y131" s="732"/>
      <c r="Z131" s="732"/>
      <c r="AA131" s="732"/>
    </row>
    <row r="132" spans="1:27" ht="39.75" customHeight="1">
      <c r="A132" s="736"/>
      <c r="B132" s="736"/>
      <c r="C132" s="736"/>
      <c r="D132" s="644">
        <v>125</v>
      </c>
      <c r="E132" s="644" t="s">
        <v>263</v>
      </c>
      <c r="F132" s="664"/>
      <c r="G132" s="664"/>
      <c r="H132" s="677"/>
      <c r="I132" s="664"/>
      <c r="J132" s="664"/>
      <c r="K132" s="664"/>
      <c r="L132" s="664"/>
      <c r="M132" s="664"/>
      <c r="N132" s="664">
        <v>1</v>
      </c>
      <c r="O132" s="664"/>
      <c r="P132" s="664"/>
      <c r="Q132" s="677">
        <v>0.5</v>
      </c>
      <c r="R132" s="664"/>
      <c r="S132" s="664"/>
      <c r="T132" s="646">
        <f t="shared" si="11"/>
        <v>1.5</v>
      </c>
      <c r="U132" s="669">
        <f t="shared" si="12"/>
        <v>1.5</v>
      </c>
      <c r="V132" s="781" t="s">
        <v>628</v>
      </c>
      <c r="W132" s="1064"/>
      <c r="X132" s="732"/>
      <c r="Y132" s="732"/>
      <c r="Z132" s="732"/>
      <c r="AA132" s="732"/>
    </row>
    <row r="133" spans="1:27" ht="39.75" customHeight="1">
      <c r="A133" s="736"/>
      <c r="B133" s="644" t="s">
        <v>264</v>
      </c>
      <c r="C133" s="644" t="s">
        <v>265</v>
      </c>
      <c r="D133" s="644">
        <v>126</v>
      </c>
      <c r="E133" s="644" t="s">
        <v>181</v>
      </c>
      <c r="F133" s="664"/>
      <c r="G133" s="664"/>
      <c r="H133" s="664"/>
      <c r="I133" s="664"/>
      <c r="J133" s="664"/>
      <c r="K133" s="664"/>
      <c r="L133" s="664"/>
      <c r="M133" s="664"/>
      <c r="N133" s="664"/>
      <c r="O133" s="664"/>
      <c r="P133" s="664"/>
      <c r="Q133" s="664"/>
      <c r="R133" s="664"/>
      <c r="S133" s="664"/>
      <c r="T133" s="646">
        <f t="shared" si="11"/>
        <v>0</v>
      </c>
      <c r="U133" s="669">
        <v>0</v>
      </c>
      <c r="V133" s="781"/>
      <c r="W133" s="1066"/>
      <c r="X133" s="732"/>
      <c r="Y133" s="732"/>
      <c r="Z133" s="732"/>
      <c r="AA133" s="732"/>
    </row>
    <row r="134" spans="1:27" ht="39.75" customHeight="1">
      <c r="A134" s="736"/>
      <c r="B134" s="701" t="s">
        <v>266</v>
      </c>
      <c r="C134" s="736"/>
      <c r="D134" s="736"/>
      <c r="E134" s="660"/>
      <c r="F134" s="660">
        <f t="shared" ref="F134:S134" si="13">SUM(F94:F133)</f>
        <v>0</v>
      </c>
      <c r="G134" s="660">
        <f t="shared" si="13"/>
        <v>0</v>
      </c>
      <c r="H134" s="660">
        <f t="shared" si="13"/>
        <v>0</v>
      </c>
      <c r="I134" s="660">
        <f t="shared" si="13"/>
        <v>12.21</v>
      </c>
      <c r="J134" s="660">
        <f t="shared" si="13"/>
        <v>0</v>
      </c>
      <c r="K134" s="668">
        <f t="shared" si="13"/>
        <v>8</v>
      </c>
      <c r="L134" s="660">
        <f t="shared" si="13"/>
        <v>0</v>
      </c>
      <c r="M134" s="660">
        <f t="shared" si="13"/>
        <v>9.98</v>
      </c>
      <c r="N134" s="660">
        <f t="shared" si="13"/>
        <v>14.23</v>
      </c>
      <c r="O134" s="660">
        <f t="shared" si="13"/>
        <v>62.28</v>
      </c>
      <c r="P134" s="660">
        <f t="shared" si="13"/>
        <v>92.300000000000011</v>
      </c>
      <c r="Q134" s="1234">
        <f t="shared" si="13"/>
        <v>23.6</v>
      </c>
      <c r="R134" s="660">
        <f t="shared" si="13"/>
        <v>20.6</v>
      </c>
      <c r="S134" s="660">
        <f t="shared" si="13"/>
        <v>0</v>
      </c>
      <c r="T134" s="660">
        <f t="shared" si="11"/>
        <v>243.2</v>
      </c>
      <c r="U134" s="668">
        <f t="shared" ref="U134:V134" si="14">SUM(U94:U133)</f>
        <v>226.61000000000004</v>
      </c>
      <c r="V134" s="660">
        <f t="shared" si="14"/>
        <v>0</v>
      </c>
      <c r="W134" s="735"/>
      <c r="X134" s="732"/>
      <c r="Y134" s="732"/>
      <c r="Z134" s="732"/>
      <c r="AA134" s="732"/>
    </row>
    <row r="135" spans="1:27" ht="39.75" customHeight="1">
      <c r="A135" s="700" t="s">
        <v>267</v>
      </c>
      <c r="B135" s="699" t="s">
        <v>268</v>
      </c>
      <c r="C135" s="699" t="s">
        <v>269</v>
      </c>
      <c r="D135" s="644">
        <v>127</v>
      </c>
      <c r="E135" s="644" t="s">
        <v>270</v>
      </c>
      <c r="F135" s="644"/>
      <c r="G135" s="644"/>
      <c r="H135" s="644"/>
      <c r="I135" s="644"/>
      <c r="J135" s="644"/>
      <c r="K135" s="644"/>
      <c r="L135" s="644"/>
      <c r="M135" s="644"/>
      <c r="N135" s="644"/>
      <c r="O135" s="644"/>
      <c r="P135" s="644"/>
      <c r="Q135" s="644"/>
      <c r="R135" s="644"/>
      <c r="S135" s="644"/>
      <c r="T135" s="646">
        <f t="shared" si="11"/>
        <v>0</v>
      </c>
      <c r="U135" s="646"/>
      <c r="V135" s="520"/>
      <c r="W135" s="735"/>
      <c r="X135" s="732"/>
      <c r="Y135" s="732"/>
      <c r="Z135" s="732"/>
      <c r="AA135" s="732"/>
    </row>
    <row r="136" spans="1:27" ht="39.75" customHeight="1">
      <c r="A136" s="736"/>
      <c r="B136" s="736"/>
      <c r="C136" s="736"/>
      <c r="D136" s="644">
        <v>128</v>
      </c>
      <c r="E136" s="644" t="s">
        <v>271</v>
      </c>
      <c r="F136" s="644"/>
      <c r="G136" s="644"/>
      <c r="H136" s="644"/>
      <c r="I136" s="644"/>
      <c r="J136" s="644"/>
      <c r="K136" s="646"/>
      <c r="L136" s="644"/>
      <c r="M136" s="644"/>
      <c r="N136" s="646"/>
      <c r="O136" s="644"/>
      <c r="P136" s="646"/>
      <c r="Q136" s="686">
        <f>(0.75*5)</f>
        <v>3.75</v>
      </c>
      <c r="R136" s="682"/>
      <c r="S136" s="682"/>
      <c r="T136" s="646">
        <f t="shared" si="11"/>
        <v>3.75</v>
      </c>
      <c r="U136" s="686">
        <f>T136</f>
        <v>3.75</v>
      </c>
      <c r="V136" s="779" t="s">
        <v>272</v>
      </c>
      <c r="W136" s="735"/>
      <c r="X136" s="732"/>
      <c r="Y136" s="732"/>
      <c r="Z136" s="732"/>
      <c r="AA136" s="732"/>
    </row>
    <row r="137" spans="1:27" ht="39.75" customHeight="1">
      <c r="A137" s="736"/>
      <c r="B137" s="644"/>
      <c r="C137" s="644"/>
      <c r="D137" s="644">
        <v>129</v>
      </c>
      <c r="E137" s="644" t="s">
        <v>273</v>
      </c>
      <c r="F137" s="644"/>
      <c r="G137" s="644"/>
      <c r="H137" s="644"/>
      <c r="I137" s="644"/>
      <c r="J137" s="644"/>
      <c r="K137" s="644"/>
      <c r="L137" s="644"/>
      <c r="M137" s="644"/>
      <c r="N137" s="644"/>
      <c r="O137" s="644"/>
      <c r="P137" s="644"/>
      <c r="Q137" s="644"/>
      <c r="R137" s="644"/>
      <c r="S137" s="644"/>
      <c r="T137" s="646">
        <f t="shared" si="11"/>
        <v>0</v>
      </c>
      <c r="U137" s="646"/>
      <c r="V137" s="520"/>
      <c r="W137" s="735"/>
      <c r="X137" s="732"/>
      <c r="Y137" s="732"/>
      <c r="Z137" s="732"/>
      <c r="AA137" s="732"/>
    </row>
    <row r="138" spans="1:27" ht="39.75" customHeight="1">
      <c r="A138" s="736"/>
      <c r="B138" s="699" t="s">
        <v>274</v>
      </c>
      <c r="C138" s="699" t="s">
        <v>275</v>
      </c>
      <c r="D138" s="644">
        <v>130</v>
      </c>
      <c r="E138" s="644" t="s">
        <v>276</v>
      </c>
      <c r="F138" s="644"/>
      <c r="G138" s="644"/>
      <c r="H138" s="644"/>
      <c r="I138" s="644"/>
      <c r="J138" s="644"/>
      <c r="K138" s="644"/>
      <c r="L138" s="644"/>
      <c r="M138" s="644"/>
      <c r="N138" s="644"/>
      <c r="O138" s="644"/>
      <c r="P138" s="644"/>
      <c r="Q138" s="644"/>
      <c r="R138" s="644"/>
      <c r="S138" s="644"/>
      <c r="T138" s="646">
        <f t="shared" si="11"/>
        <v>0</v>
      </c>
      <c r="U138" s="646"/>
      <c r="V138" s="520"/>
      <c r="W138" s="735"/>
      <c r="X138" s="732"/>
      <c r="Y138" s="732"/>
      <c r="Z138" s="732"/>
      <c r="AA138" s="732"/>
    </row>
    <row r="139" spans="1:27" ht="39.75" customHeight="1">
      <c r="A139" s="736"/>
      <c r="B139" s="736"/>
      <c r="C139" s="736"/>
      <c r="D139" s="644">
        <v>131</v>
      </c>
      <c r="E139" s="644" t="s">
        <v>277</v>
      </c>
      <c r="F139" s="644"/>
      <c r="G139" s="644"/>
      <c r="H139" s="644"/>
      <c r="I139" s="644"/>
      <c r="J139" s="644"/>
      <c r="K139" s="644"/>
      <c r="L139" s="644"/>
      <c r="M139" s="644"/>
      <c r="N139" s="646">
        <v>0.7</v>
      </c>
      <c r="O139" s="644"/>
      <c r="P139" s="644"/>
      <c r="Q139" s="644"/>
      <c r="R139" s="644"/>
      <c r="S139" s="644"/>
      <c r="T139" s="646">
        <f t="shared" si="11"/>
        <v>0.7</v>
      </c>
      <c r="U139" s="646">
        <v>0.75</v>
      </c>
      <c r="V139" s="521" t="s">
        <v>629</v>
      </c>
      <c r="W139" s="735"/>
      <c r="X139" s="732"/>
      <c r="Y139" s="732"/>
      <c r="Z139" s="732"/>
      <c r="AA139" s="732"/>
    </row>
    <row r="140" spans="1:27" ht="39.75" customHeight="1">
      <c r="A140" s="736"/>
      <c r="B140" s="736"/>
      <c r="C140" s="736"/>
      <c r="D140" s="644">
        <v>132</v>
      </c>
      <c r="E140" s="644" t="s">
        <v>279</v>
      </c>
      <c r="F140" s="644"/>
      <c r="G140" s="644"/>
      <c r="H140" s="644"/>
      <c r="I140" s="644"/>
      <c r="J140" s="644"/>
      <c r="K140" s="644"/>
      <c r="L140" s="644"/>
      <c r="M140" s="644"/>
      <c r="N140" s="644"/>
      <c r="O140" s="644"/>
      <c r="P140" s="644"/>
      <c r="Q140" s="644"/>
      <c r="R140" s="644"/>
      <c r="S140" s="644"/>
      <c r="T140" s="646">
        <f t="shared" si="11"/>
        <v>0</v>
      </c>
      <c r="U140" s="646"/>
      <c r="V140" s="520"/>
      <c r="W140" s="735"/>
      <c r="X140" s="732"/>
      <c r="Y140" s="732"/>
      <c r="Z140" s="732"/>
      <c r="AA140" s="732"/>
    </row>
    <row r="141" spans="1:27" ht="39.75" customHeight="1">
      <c r="A141" s="736"/>
      <c r="B141" s="736"/>
      <c r="C141" s="736"/>
      <c r="D141" s="644">
        <v>133</v>
      </c>
      <c r="E141" s="644" t="s">
        <v>280</v>
      </c>
      <c r="F141" s="644"/>
      <c r="G141" s="644"/>
      <c r="H141" s="644"/>
      <c r="I141" s="644"/>
      <c r="J141" s="644"/>
      <c r="K141" s="644"/>
      <c r="L141" s="644"/>
      <c r="M141" s="644"/>
      <c r="N141" s="644"/>
      <c r="O141" s="644"/>
      <c r="P141" s="644"/>
      <c r="Q141" s="644"/>
      <c r="R141" s="644"/>
      <c r="S141" s="644"/>
      <c r="T141" s="646">
        <f t="shared" si="11"/>
        <v>0</v>
      </c>
      <c r="U141" s="646"/>
      <c r="V141" s="520"/>
      <c r="W141" s="735"/>
      <c r="X141" s="732"/>
      <c r="Y141" s="732"/>
      <c r="Z141" s="732"/>
      <c r="AA141" s="732"/>
    </row>
    <row r="142" spans="1:27" ht="39.75" customHeight="1">
      <c r="A142" s="736"/>
      <c r="B142" s="736"/>
      <c r="C142" s="736"/>
      <c r="D142" s="644">
        <v>134</v>
      </c>
      <c r="E142" s="644" t="s">
        <v>281</v>
      </c>
      <c r="F142" s="644"/>
      <c r="G142" s="644"/>
      <c r="H142" s="644"/>
      <c r="I142" s="644"/>
      <c r="J142" s="644"/>
      <c r="K142" s="644"/>
      <c r="L142" s="644"/>
      <c r="M142" s="644"/>
      <c r="N142" s="644"/>
      <c r="O142" s="644"/>
      <c r="P142" s="782">
        <f>(25*0.005*12)+(25*0.0025*12)</f>
        <v>2.25</v>
      </c>
      <c r="Q142" s="644"/>
      <c r="R142" s="644"/>
      <c r="S142" s="644"/>
      <c r="T142" s="646">
        <f t="shared" si="11"/>
        <v>2.25</v>
      </c>
      <c r="U142" s="646">
        <f>T142</f>
        <v>2.25</v>
      </c>
      <c r="V142" s="729" t="s">
        <v>842</v>
      </c>
      <c r="W142" s="735"/>
      <c r="X142" s="732"/>
      <c r="Y142" s="732"/>
      <c r="Z142" s="732"/>
      <c r="AA142" s="732"/>
    </row>
    <row r="143" spans="1:27" ht="39.75" customHeight="1">
      <c r="A143" s="736"/>
      <c r="B143" s="736"/>
      <c r="C143" s="736"/>
      <c r="D143" s="644">
        <v>135</v>
      </c>
      <c r="E143" s="644" t="s">
        <v>283</v>
      </c>
      <c r="F143" s="644"/>
      <c r="G143" s="644"/>
      <c r="H143" s="644"/>
      <c r="I143" s="644"/>
      <c r="J143" s="644"/>
      <c r="K143" s="644"/>
      <c r="L143" s="644"/>
      <c r="M143" s="644"/>
      <c r="N143" s="644"/>
      <c r="O143" s="644"/>
      <c r="P143" s="644"/>
      <c r="Q143" s="644"/>
      <c r="R143" s="644"/>
      <c r="S143" s="644"/>
      <c r="T143" s="646">
        <f t="shared" si="11"/>
        <v>0</v>
      </c>
      <c r="U143" s="646"/>
      <c r="V143" s="520"/>
      <c r="W143" s="735"/>
      <c r="X143" s="732"/>
      <c r="Y143" s="732"/>
      <c r="Z143" s="732"/>
      <c r="AA143" s="732"/>
    </row>
    <row r="144" spans="1:27" ht="39.75" customHeight="1">
      <c r="A144" s="736"/>
      <c r="B144" s="736"/>
      <c r="C144" s="736"/>
      <c r="D144" s="644">
        <v>136</v>
      </c>
      <c r="E144" s="644" t="s">
        <v>284</v>
      </c>
      <c r="F144" s="644"/>
      <c r="G144" s="644"/>
      <c r="H144" s="644"/>
      <c r="I144" s="644"/>
      <c r="J144" s="644"/>
      <c r="K144" s="644"/>
      <c r="L144" s="644"/>
      <c r="M144" s="644"/>
      <c r="N144" s="644"/>
      <c r="O144" s="644"/>
      <c r="P144" s="646"/>
      <c r="Q144" s="644"/>
      <c r="R144" s="644"/>
      <c r="S144" s="644"/>
      <c r="T144" s="646">
        <f t="shared" si="11"/>
        <v>0</v>
      </c>
      <c r="U144" s="646"/>
      <c r="V144" s="779"/>
      <c r="W144" s="735"/>
      <c r="X144" s="732"/>
      <c r="Y144" s="732"/>
      <c r="Z144" s="732"/>
      <c r="AA144" s="732"/>
    </row>
    <row r="145" spans="1:27" ht="39.75" customHeight="1">
      <c r="A145" s="736"/>
      <c r="B145" s="699" t="s">
        <v>285</v>
      </c>
      <c r="C145" s="699" t="s">
        <v>286</v>
      </c>
      <c r="D145" s="644">
        <v>137</v>
      </c>
      <c r="E145" s="644" t="s">
        <v>287</v>
      </c>
      <c r="F145" s="644"/>
      <c r="G145" s="644"/>
      <c r="H145" s="644"/>
      <c r="I145" s="644"/>
      <c r="J145" s="644"/>
      <c r="K145" s="644"/>
      <c r="L145" s="644"/>
      <c r="M145" s="646"/>
      <c r="N145" s="644"/>
      <c r="O145" s="644"/>
      <c r="P145" s="686"/>
      <c r="Q145" s="644"/>
      <c r="R145" s="644"/>
      <c r="S145" s="644"/>
      <c r="T145" s="646">
        <f t="shared" si="11"/>
        <v>0</v>
      </c>
      <c r="U145" s="646"/>
      <c r="V145" s="779"/>
      <c r="W145" s="735"/>
      <c r="X145" s="732"/>
      <c r="Y145" s="732"/>
      <c r="Z145" s="732"/>
      <c r="AA145" s="732"/>
    </row>
    <row r="146" spans="1:27" ht="39.75" customHeight="1">
      <c r="A146" s="736"/>
      <c r="B146" s="736"/>
      <c r="C146" s="736"/>
      <c r="D146" s="644">
        <v>138</v>
      </c>
      <c r="E146" s="644" t="s">
        <v>288</v>
      </c>
      <c r="F146" s="644"/>
      <c r="G146" s="644"/>
      <c r="H146" s="646"/>
      <c r="I146" s="646"/>
      <c r="J146" s="644"/>
      <c r="K146" s="646"/>
      <c r="L146" s="644"/>
      <c r="M146" s="646"/>
      <c r="N146" s="644"/>
      <c r="O146" s="644"/>
      <c r="P146" s="644"/>
      <c r="Q146" s="644"/>
      <c r="R146" s="644"/>
      <c r="S146" s="644"/>
      <c r="T146" s="646">
        <f t="shared" si="11"/>
        <v>0</v>
      </c>
      <c r="U146" s="646"/>
      <c r="V146" s="779"/>
      <c r="W146" s="735"/>
      <c r="X146" s="732"/>
      <c r="Y146" s="732"/>
      <c r="Z146" s="732"/>
      <c r="AA146" s="732"/>
    </row>
    <row r="147" spans="1:27" ht="39.75" customHeight="1">
      <c r="A147" s="736"/>
      <c r="B147" s="699" t="s">
        <v>289</v>
      </c>
      <c r="C147" s="699" t="s">
        <v>290</v>
      </c>
      <c r="D147" s="644">
        <v>139</v>
      </c>
      <c r="E147" s="644" t="s">
        <v>291</v>
      </c>
      <c r="F147" s="644"/>
      <c r="G147" s="644"/>
      <c r="H147" s="644"/>
      <c r="I147" s="644"/>
      <c r="J147" s="644"/>
      <c r="K147" s="644"/>
      <c r="L147" s="644"/>
      <c r="M147" s="644"/>
      <c r="N147" s="646"/>
      <c r="O147" s="644"/>
      <c r="P147" s="646">
        <v>5</v>
      </c>
      <c r="Q147" s="644"/>
      <c r="R147" s="646"/>
      <c r="S147" s="644"/>
      <c r="T147" s="646">
        <f t="shared" si="11"/>
        <v>5</v>
      </c>
      <c r="U147" s="646">
        <v>5</v>
      </c>
      <c r="V147" s="779" t="s">
        <v>786</v>
      </c>
      <c r="W147" s="735"/>
      <c r="X147" s="732"/>
      <c r="Y147" s="732"/>
      <c r="Z147" s="732"/>
      <c r="AA147" s="732"/>
    </row>
    <row r="148" spans="1:27" ht="60">
      <c r="A148" s="736"/>
      <c r="B148" s="736"/>
      <c r="C148" s="736"/>
      <c r="D148" s="644">
        <v>140</v>
      </c>
      <c r="E148" s="644" t="s">
        <v>293</v>
      </c>
      <c r="F148" s="644"/>
      <c r="G148" s="644"/>
      <c r="H148" s="644"/>
      <c r="I148" s="644"/>
      <c r="J148" s="644"/>
      <c r="K148" s="644"/>
      <c r="L148" s="644"/>
      <c r="M148" s="644"/>
      <c r="N148" s="644"/>
      <c r="O148" s="644"/>
      <c r="P148" s="686">
        <f>5+( 5* 0.235)</f>
        <v>6.1749999999999998</v>
      </c>
      <c r="Q148" s="682"/>
      <c r="R148" s="682"/>
      <c r="S148" s="682"/>
      <c r="T148" s="646">
        <f t="shared" si="11"/>
        <v>6.1749999999999998</v>
      </c>
      <c r="U148" s="658">
        <f>T148</f>
        <v>6.1749999999999998</v>
      </c>
      <c r="V148" s="779" t="s">
        <v>294</v>
      </c>
      <c r="W148" s="735"/>
      <c r="X148" s="732"/>
      <c r="Y148" s="732"/>
      <c r="Z148" s="732"/>
      <c r="AA148" s="732"/>
    </row>
    <row r="149" spans="1:27" ht="39.75" customHeight="1">
      <c r="A149" s="736"/>
      <c r="B149" s="736"/>
      <c r="C149" s="736"/>
      <c r="D149" s="644">
        <v>141</v>
      </c>
      <c r="E149" s="644" t="s">
        <v>295</v>
      </c>
      <c r="F149" s="644"/>
      <c r="G149" s="644"/>
      <c r="H149" s="644"/>
      <c r="I149" s="644"/>
      <c r="J149" s="644"/>
      <c r="K149" s="644"/>
      <c r="L149" s="644"/>
      <c r="M149" s="644"/>
      <c r="N149" s="644"/>
      <c r="O149" s="644"/>
      <c r="P149" s="644"/>
      <c r="Q149" s="644"/>
      <c r="R149" s="644"/>
      <c r="S149" s="644"/>
      <c r="T149" s="646">
        <f t="shared" si="11"/>
        <v>0</v>
      </c>
      <c r="U149" s="646"/>
      <c r="V149" s="520"/>
      <c r="W149" s="735"/>
      <c r="X149" s="732"/>
      <c r="Y149" s="732"/>
      <c r="Z149" s="732"/>
      <c r="AA149" s="732"/>
    </row>
    <row r="150" spans="1:27" ht="39.75" customHeight="1">
      <c r="A150" s="736"/>
      <c r="B150" s="699" t="s">
        <v>296</v>
      </c>
      <c r="C150" s="699" t="s">
        <v>297</v>
      </c>
      <c r="D150" s="644">
        <v>142</v>
      </c>
      <c r="E150" s="644" t="s">
        <v>298</v>
      </c>
      <c r="F150" s="644"/>
      <c r="G150" s="644"/>
      <c r="H150" s="644"/>
      <c r="I150" s="644"/>
      <c r="J150" s="644"/>
      <c r="K150" s="644"/>
      <c r="L150" s="644"/>
      <c r="M150" s="644"/>
      <c r="N150" s="644"/>
      <c r="O150" s="644"/>
      <c r="P150" s="783">
        <v>846.51103499999988</v>
      </c>
      <c r="Q150" s="644"/>
      <c r="R150" s="644"/>
      <c r="S150" s="644"/>
      <c r="T150" s="646">
        <f t="shared" si="11"/>
        <v>846.51103499999988</v>
      </c>
      <c r="U150" s="887">
        <v>901.28029896449982</v>
      </c>
      <c r="V150" s="1206" t="s">
        <v>1732</v>
      </c>
      <c r="W150" s="735"/>
      <c r="X150" s="732"/>
      <c r="Y150" s="732"/>
      <c r="Z150" s="732"/>
      <c r="AA150" s="732"/>
    </row>
    <row r="151" spans="1:27" ht="39.75" customHeight="1">
      <c r="A151" s="736"/>
      <c r="B151" s="736"/>
      <c r="C151" s="736"/>
      <c r="D151" s="644">
        <v>143</v>
      </c>
      <c r="E151" s="644" t="s">
        <v>299</v>
      </c>
      <c r="F151" s="644"/>
      <c r="G151" s="644"/>
      <c r="H151" s="644"/>
      <c r="I151" s="644"/>
      <c r="J151" s="644"/>
      <c r="K151" s="644"/>
      <c r="L151" s="644"/>
      <c r="M151" s="644"/>
      <c r="N151" s="644"/>
      <c r="O151" s="644"/>
      <c r="P151" s="644"/>
      <c r="Q151" s="644"/>
      <c r="R151" s="644"/>
      <c r="S151" s="644"/>
      <c r="T151" s="646">
        <f t="shared" si="11"/>
        <v>0</v>
      </c>
      <c r="U151" s="646"/>
      <c r="V151" s="520"/>
      <c r="W151" s="735"/>
      <c r="X151" s="732"/>
      <c r="Y151" s="732"/>
      <c r="Z151" s="732"/>
      <c r="AA151" s="732"/>
    </row>
    <row r="152" spans="1:27" ht="39.75" customHeight="1">
      <c r="A152" s="736"/>
      <c r="B152" s="736"/>
      <c r="C152" s="736"/>
      <c r="D152" s="644">
        <v>144</v>
      </c>
      <c r="E152" s="644" t="s">
        <v>300</v>
      </c>
      <c r="F152" s="644"/>
      <c r="G152" s="644"/>
      <c r="H152" s="644"/>
      <c r="I152" s="644"/>
      <c r="J152" s="644"/>
      <c r="K152" s="644"/>
      <c r="L152" s="644"/>
      <c r="M152" s="644"/>
      <c r="N152" s="644"/>
      <c r="O152" s="644"/>
      <c r="P152" s="644"/>
      <c r="Q152" s="644"/>
      <c r="R152" s="644"/>
      <c r="S152" s="644"/>
      <c r="T152" s="646">
        <f t="shared" si="11"/>
        <v>0</v>
      </c>
      <c r="U152" s="646"/>
      <c r="V152" s="520"/>
      <c r="W152" s="735"/>
      <c r="X152" s="732"/>
      <c r="Y152" s="732"/>
      <c r="Z152" s="732"/>
      <c r="AA152" s="732"/>
    </row>
    <row r="153" spans="1:27" ht="39.75" customHeight="1">
      <c r="A153" s="736"/>
      <c r="B153" s="736"/>
      <c r="C153" s="736"/>
      <c r="D153" s="644">
        <v>145</v>
      </c>
      <c r="E153" s="644" t="s">
        <v>301</v>
      </c>
      <c r="F153" s="644"/>
      <c r="G153" s="644"/>
      <c r="H153" s="644"/>
      <c r="I153" s="644"/>
      <c r="J153" s="644"/>
      <c r="K153" s="644"/>
      <c r="L153" s="644"/>
      <c r="M153" s="644"/>
      <c r="N153" s="644"/>
      <c r="O153" s="644"/>
      <c r="P153" s="644"/>
      <c r="Q153" s="644"/>
      <c r="R153" s="644"/>
      <c r="S153" s="644"/>
      <c r="T153" s="646">
        <f t="shared" si="11"/>
        <v>0</v>
      </c>
      <c r="U153" s="646"/>
      <c r="V153" s="520"/>
      <c r="W153" s="735"/>
      <c r="X153" s="732"/>
      <c r="Y153" s="732"/>
      <c r="Z153" s="732"/>
      <c r="AA153" s="732"/>
    </row>
    <row r="154" spans="1:27" ht="74.45" customHeight="1">
      <c r="A154" s="736"/>
      <c r="B154" s="644" t="s">
        <v>302</v>
      </c>
      <c r="C154" s="644" t="s">
        <v>303</v>
      </c>
      <c r="D154" s="644">
        <v>146</v>
      </c>
      <c r="E154" s="644" t="s">
        <v>304</v>
      </c>
      <c r="F154" s="644"/>
      <c r="G154" s="644"/>
      <c r="H154" s="644"/>
      <c r="I154" s="644"/>
      <c r="J154" s="644"/>
      <c r="K154" s="644"/>
      <c r="L154" s="644"/>
      <c r="M154" s="644"/>
      <c r="N154" s="644"/>
      <c r="O154" s="644"/>
      <c r="P154" s="644"/>
      <c r="Q154" s="644"/>
      <c r="R154" s="686">
        <f>(0.4*12)+(12*0.1)</f>
        <v>6.0000000000000009</v>
      </c>
      <c r="S154" s="682"/>
      <c r="T154" s="646">
        <f t="shared" si="11"/>
        <v>6.0000000000000009</v>
      </c>
      <c r="U154" s="686">
        <f>T154</f>
        <v>6.0000000000000009</v>
      </c>
      <c r="V154" s="779" t="s">
        <v>571</v>
      </c>
      <c r="W154" s="735"/>
      <c r="X154" s="732"/>
      <c r="Y154" s="732"/>
      <c r="Z154" s="732"/>
      <c r="AA154" s="732"/>
    </row>
    <row r="155" spans="1:27" ht="30">
      <c r="A155" s="736"/>
      <c r="B155" s="644" t="s">
        <v>306</v>
      </c>
      <c r="C155" s="644" t="s">
        <v>307</v>
      </c>
      <c r="D155" s="644">
        <v>147</v>
      </c>
      <c r="E155" s="644" t="s">
        <v>157</v>
      </c>
      <c r="F155" s="644"/>
      <c r="G155" s="644"/>
      <c r="H155" s="644"/>
      <c r="I155" s="644"/>
      <c r="J155" s="644"/>
      <c r="K155" s="644"/>
      <c r="L155" s="644"/>
      <c r="M155" s="644"/>
      <c r="N155" s="644"/>
      <c r="O155" s="644"/>
      <c r="P155" s="644"/>
      <c r="Q155" s="644"/>
      <c r="R155" s="644"/>
      <c r="S155" s="644"/>
      <c r="T155" s="646">
        <f t="shared" si="11"/>
        <v>0</v>
      </c>
      <c r="U155" s="646"/>
      <c r="V155" s="520"/>
      <c r="W155" s="735"/>
      <c r="X155" s="732"/>
      <c r="Y155" s="732"/>
      <c r="Z155" s="732"/>
      <c r="AA155" s="732"/>
    </row>
    <row r="156" spans="1:27" ht="39.75" customHeight="1">
      <c r="A156" s="736"/>
      <c r="B156" s="644" t="s">
        <v>308</v>
      </c>
      <c r="C156" s="644" t="s">
        <v>309</v>
      </c>
      <c r="D156" s="644">
        <v>148</v>
      </c>
      <c r="E156" s="644" t="s">
        <v>310</v>
      </c>
      <c r="F156" s="644"/>
      <c r="G156" s="644"/>
      <c r="H156" s="644"/>
      <c r="I156" s="644"/>
      <c r="J156" s="644"/>
      <c r="K156" s="644"/>
      <c r="L156" s="644"/>
      <c r="M156" s="644"/>
      <c r="N156" s="646"/>
      <c r="O156" s="644"/>
      <c r="P156" s="646"/>
      <c r="Q156" s="644"/>
      <c r="R156" s="644"/>
      <c r="S156" s="644"/>
      <c r="T156" s="646">
        <f t="shared" si="11"/>
        <v>0</v>
      </c>
      <c r="U156" s="646"/>
      <c r="V156" s="779"/>
      <c r="W156" s="735"/>
      <c r="X156" s="732"/>
      <c r="Y156" s="732"/>
      <c r="Z156" s="732"/>
      <c r="AA156" s="732"/>
    </row>
    <row r="157" spans="1:27" ht="45">
      <c r="A157" s="736"/>
      <c r="B157" s="644" t="s">
        <v>311</v>
      </c>
      <c r="C157" s="644" t="s">
        <v>312</v>
      </c>
      <c r="D157" s="644">
        <v>149</v>
      </c>
      <c r="E157" s="644" t="s">
        <v>313</v>
      </c>
      <c r="F157" s="768"/>
      <c r="G157" s="768"/>
      <c r="H157" s="768"/>
      <c r="I157" s="768"/>
      <c r="J157" s="768"/>
      <c r="K157" s="768"/>
      <c r="L157" s="768"/>
      <c r="M157" s="768"/>
      <c r="N157" s="768"/>
      <c r="O157" s="768"/>
      <c r="P157" s="646">
        <f>(5*1.75)+(0.05*70)</f>
        <v>12.25</v>
      </c>
      <c r="Q157" s="768"/>
      <c r="R157" s="768"/>
      <c r="S157" s="768"/>
      <c r="T157" s="646">
        <f t="shared" si="11"/>
        <v>12.25</v>
      </c>
      <c r="U157" s="646">
        <f>(5*1.75)+(0.05*75)</f>
        <v>12.5</v>
      </c>
      <c r="V157" s="779" t="s">
        <v>1660</v>
      </c>
      <c r="W157" s="735"/>
      <c r="X157" s="732"/>
      <c r="Y157" s="732"/>
      <c r="Z157" s="732"/>
      <c r="AA157" s="732"/>
    </row>
    <row r="158" spans="1:27" ht="39.75" customHeight="1">
      <c r="A158" s="736"/>
      <c r="B158" s="701" t="s">
        <v>315</v>
      </c>
      <c r="C158" s="736"/>
      <c r="D158" s="736"/>
      <c r="E158" s="660"/>
      <c r="F158" s="660">
        <f t="shared" ref="F158:S158" si="15">SUM(F135:F157)</f>
        <v>0</v>
      </c>
      <c r="G158" s="660">
        <f t="shared" si="15"/>
        <v>0</v>
      </c>
      <c r="H158" s="660">
        <f t="shared" si="15"/>
        <v>0</v>
      </c>
      <c r="I158" s="660">
        <f t="shared" si="15"/>
        <v>0</v>
      </c>
      <c r="J158" s="660">
        <f t="shared" si="15"/>
        <v>0</v>
      </c>
      <c r="K158" s="660">
        <f t="shared" si="15"/>
        <v>0</v>
      </c>
      <c r="L158" s="660">
        <f t="shared" si="15"/>
        <v>0</v>
      </c>
      <c r="M158" s="660">
        <f t="shared" si="15"/>
        <v>0</v>
      </c>
      <c r="N158" s="660">
        <f t="shared" si="15"/>
        <v>0.7</v>
      </c>
      <c r="O158" s="660">
        <f t="shared" si="15"/>
        <v>0</v>
      </c>
      <c r="P158" s="660">
        <f t="shared" si="15"/>
        <v>872.18603499999983</v>
      </c>
      <c r="Q158" s="660">
        <f t="shared" si="15"/>
        <v>3.75</v>
      </c>
      <c r="R158" s="660">
        <f t="shared" si="15"/>
        <v>6.0000000000000009</v>
      </c>
      <c r="S158" s="660">
        <f t="shared" si="15"/>
        <v>0</v>
      </c>
      <c r="T158" s="660">
        <f t="shared" si="11"/>
        <v>882.63603499999988</v>
      </c>
      <c r="U158" s="668">
        <f>SUM(U135:U157)</f>
        <v>937.70529896449978</v>
      </c>
      <c r="V158" s="729"/>
      <c r="W158" s="519"/>
      <c r="X158" s="622"/>
      <c r="Y158" s="622"/>
      <c r="Z158" s="622"/>
      <c r="AA158" s="622"/>
    </row>
    <row r="159" spans="1:27" ht="165">
      <c r="A159" s="700" t="s">
        <v>316</v>
      </c>
      <c r="B159" s="699" t="s">
        <v>317</v>
      </c>
      <c r="C159" s="699" t="s">
        <v>269</v>
      </c>
      <c r="D159" s="644">
        <v>150</v>
      </c>
      <c r="E159" s="644" t="s">
        <v>318</v>
      </c>
      <c r="F159" s="682"/>
      <c r="G159" s="683"/>
      <c r="H159" s="683"/>
      <c r="I159" s="682"/>
      <c r="J159" s="682"/>
      <c r="K159" s="682"/>
      <c r="L159" s="682"/>
      <c r="M159" s="682"/>
      <c r="N159" s="686">
        <v>16.2</v>
      </c>
      <c r="O159" s="682">
        <v>280.2</v>
      </c>
      <c r="P159" s="683"/>
      <c r="Q159" s="682">
        <v>1</v>
      </c>
      <c r="R159" s="682"/>
      <c r="S159" s="682"/>
      <c r="T159" s="646">
        <f t="shared" si="11"/>
        <v>297.39999999999998</v>
      </c>
      <c r="U159" s="646">
        <f t="shared" ref="U159:U160" si="16">T159</f>
        <v>297.39999999999998</v>
      </c>
      <c r="V159" s="786" t="s">
        <v>1855</v>
      </c>
      <c r="W159" s="735"/>
      <c r="X159" s="732"/>
      <c r="Y159" s="732"/>
      <c r="Z159" s="732"/>
      <c r="AA159" s="732"/>
    </row>
    <row r="160" spans="1:27" ht="150">
      <c r="A160" s="736"/>
      <c r="B160" s="736"/>
      <c r="C160" s="736"/>
      <c r="D160" s="644">
        <v>151</v>
      </c>
      <c r="E160" s="644" t="s">
        <v>319</v>
      </c>
      <c r="F160" s="682"/>
      <c r="G160" s="683"/>
      <c r="H160" s="683"/>
      <c r="I160" s="686"/>
      <c r="J160" s="682"/>
      <c r="K160" s="682"/>
      <c r="L160" s="682"/>
      <c r="M160" s="682"/>
      <c r="N160" s="686"/>
      <c r="O160" s="683"/>
      <c r="P160" s="683">
        <v>17.399999999999999</v>
      </c>
      <c r="Q160" s="686"/>
      <c r="R160" s="683">
        <v>2.75</v>
      </c>
      <c r="S160" s="682"/>
      <c r="T160" s="646">
        <f t="shared" si="11"/>
        <v>20.149999999999999</v>
      </c>
      <c r="U160" s="646">
        <f t="shared" si="16"/>
        <v>20.149999999999999</v>
      </c>
      <c r="V160" s="729" t="s">
        <v>843</v>
      </c>
      <c r="W160" s="735"/>
      <c r="X160" s="732"/>
      <c r="Y160" s="732"/>
      <c r="Z160" s="732"/>
      <c r="AA160" s="732"/>
    </row>
    <row r="161" spans="1:27" ht="39.75" customHeight="1">
      <c r="A161" s="736"/>
      <c r="B161" s="736"/>
      <c r="C161" s="736"/>
      <c r="D161" s="644">
        <v>152</v>
      </c>
      <c r="E161" s="644" t="s">
        <v>321</v>
      </c>
      <c r="F161" s="682"/>
      <c r="G161" s="682"/>
      <c r="H161" s="682"/>
      <c r="I161" s="682"/>
      <c r="J161" s="682"/>
      <c r="K161" s="682"/>
      <c r="L161" s="682"/>
      <c r="M161" s="682"/>
      <c r="N161" s="682"/>
      <c r="O161" s="682"/>
      <c r="P161" s="683"/>
      <c r="Q161" s="682"/>
      <c r="R161" s="682"/>
      <c r="S161" s="682"/>
      <c r="T161" s="646">
        <f t="shared" si="11"/>
        <v>0</v>
      </c>
      <c r="U161" s="646"/>
      <c r="V161" s="729"/>
      <c r="W161" s="735"/>
      <c r="X161" s="732"/>
      <c r="Y161" s="732"/>
      <c r="Z161" s="732"/>
      <c r="AA161" s="732"/>
    </row>
    <row r="162" spans="1:27" ht="39.75" customHeight="1">
      <c r="A162" s="736"/>
      <c r="B162" s="736"/>
      <c r="C162" s="736"/>
      <c r="D162" s="644">
        <v>153</v>
      </c>
      <c r="E162" s="644" t="s">
        <v>322</v>
      </c>
      <c r="F162" s="787"/>
      <c r="G162" s="787"/>
      <c r="H162" s="787"/>
      <c r="I162" s="787"/>
      <c r="J162" s="787"/>
      <c r="K162" s="787"/>
      <c r="L162" s="787"/>
      <c r="M162" s="787"/>
      <c r="N162" s="686"/>
      <c r="O162" s="787"/>
      <c r="P162" s="787"/>
      <c r="Q162" s="787"/>
      <c r="R162" s="787"/>
      <c r="S162" s="787"/>
      <c r="T162" s="646">
        <f t="shared" si="11"/>
        <v>0</v>
      </c>
      <c r="U162" s="646"/>
      <c r="V162" s="729"/>
      <c r="W162" s="735"/>
      <c r="X162" s="732"/>
      <c r="Y162" s="732"/>
      <c r="Z162" s="732"/>
      <c r="AA162" s="732"/>
    </row>
    <row r="163" spans="1:27" ht="39.75" customHeight="1">
      <c r="A163" s="736"/>
      <c r="B163" s="699" t="s">
        <v>324</v>
      </c>
      <c r="C163" s="699" t="s">
        <v>325</v>
      </c>
      <c r="D163" s="644">
        <v>154</v>
      </c>
      <c r="E163" s="644" t="s">
        <v>326</v>
      </c>
      <c r="F163" s="644"/>
      <c r="G163" s="644"/>
      <c r="H163" s="644"/>
      <c r="I163" s="644"/>
      <c r="J163" s="644"/>
      <c r="K163" s="646"/>
      <c r="L163" s="644"/>
      <c r="M163" s="646"/>
      <c r="N163" s="644"/>
      <c r="O163" s="644"/>
      <c r="P163" s="644"/>
      <c r="Q163" s="654">
        <v>0.125</v>
      </c>
      <c r="R163" s="644"/>
      <c r="S163" s="644"/>
      <c r="T163" s="646">
        <f t="shared" si="11"/>
        <v>0.125</v>
      </c>
      <c r="U163" s="646">
        <f t="shared" ref="U163:U165" si="17">T163</f>
        <v>0.125</v>
      </c>
      <c r="V163" s="729" t="s">
        <v>844</v>
      </c>
      <c r="W163" s="735"/>
      <c r="X163" s="732"/>
      <c r="Y163" s="732"/>
      <c r="Z163" s="732"/>
      <c r="AA163" s="732"/>
    </row>
    <row r="164" spans="1:27" ht="53.25" customHeight="1">
      <c r="A164" s="736"/>
      <c r="B164" s="736"/>
      <c r="C164" s="736"/>
      <c r="D164" s="644">
        <v>155</v>
      </c>
      <c r="E164" s="644" t="s">
        <v>328</v>
      </c>
      <c r="F164" s="644"/>
      <c r="G164" s="644"/>
      <c r="H164" s="644"/>
      <c r="I164" s="644"/>
      <c r="J164" s="644"/>
      <c r="K164" s="644"/>
      <c r="L164" s="644"/>
      <c r="M164" s="644"/>
      <c r="N164" s="644">
        <v>0.2175</v>
      </c>
      <c r="O164" s="644"/>
      <c r="P164" s="654"/>
      <c r="Q164" s="781"/>
      <c r="R164" s="644"/>
      <c r="S164" s="644"/>
      <c r="T164" s="646">
        <f t="shared" si="11"/>
        <v>0.2175</v>
      </c>
      <c r="U164" s="646">
        <f t="shared" si="17"/>
        <v>0.2175</v>
      </c>
      <c r="V164" s="729" t="s">
        <v>845</v>
      </c>
      <c r="W164" s="735"/>
      <c r="X164" s="732"/>
      <c r="Y164" s="732"/>
      <c r="Z164" s="732"/>
      <c r="AA164" s="732"/>
    </row>
    <row r="165" spans="1:27" ht="39.75" customHeight="1">
      <c r="A165" s="736"/>
      <c r="B165" s="736"/>
      <c r="C165" s="736"/>
      <c r="D165" s="644">
        <v>156</v>
      </c>
      <c r="E165" s="644" t="s">
        <v>329</v>
      </c>
      <c r="F165" s="644"/>
      <c r="G165" s="644"/>
      <c r="H165" s="654"/>
      <c r="I165" s="646"/>
      <c r="J165" s="644"/>
      <c r="K165" s="644"/>
      <c r="L165" s="644"/>
      <c r="M165" s="644"/>
      <c r="N165" s="644"/>
      <c r="O165" s="644"/>
      <c r="P165" s="654">
        <v>1</v>
      </c>
      <c r="Q165" s="644"/>
      <c r="R165" s="644"/>
      <c r="S165" s="644"/>
      <c r="T165" s="646">
        <f t="shared" si="11"/>
        <v>1</v>
      </c>
      <c r="U165" s="646">
        <f t="shared" si="17"/>
        <v>1</v>
      </c>
      <c r="V165" s="729" t="s">
        <v>846</v>
      </c>
      <c r="W165" s="735"/>
      <c r="X165" s="732"/>
      <c r="Y165" s="732"/>
      <c r="Z165" s="732"/>
      <c r="AA165" s="732"/>
    </row>
    <row r="166" spans="1:27" ht="39.75" customHeight="1">
      <c r="A166" s="736"/>
      <c r="B166" s="736"/>
      <c r="C166" s="736"/>
      <c r="D166" s="644">
        <v>157</v>
      </c>
      <c r="E166" s="644" t="s">
        <v>331</v>
      </c>
      <c r="F166" s="644"/>
      <c r="G166" s="644"/>
      <c r="H166" s="644"/>
      <c r="I166" s="644"/>
      <c r="J166" s="644"/>
      <c r="K166" s="644"/>
      <c r="L166" s="644"/>
      <c r="M166" s="644"/>
      <c r="N166" s="644"/>
      <c r="O166" s="644"/>
      <c r="P166" s="644"/>
      <c r="Q166" s="644"/>
      <c r="R166" s="644"/>
      <c r="S166" s="644"/>
      <c r="T166" s="646">
        <f t="shared" si="11"/>
        <v>0</v>
      </c>
      <c r="U166" s="646"/>
      <c r="V166" s="729"/>
      <c r="W166" s="735"/>
      <c r="X166" s="732"/>
      <c r="Y166" s="732"/>
      <c r="Z166" s="732"/>
      <c r="AA166" s="732"/>
    </row>
    <row r="167" spans="1:27" ht="39.75" customHeight="1">
      <c r="A167" s="736"/>
      <c r="B167" s="736"/>
      <c r="C167" s="736"/>
      <c r="D167" s="644">
        <v>158</v>
      </c>
      <c r="E167" s="644" t="s">
        <v>332</v>
      </c>
      <c r="F167" s="644"/>
      <c r="G167" s="644"/>
      <c r="H167" s="644"/>
      <c r="I167" s="644"/>
      <c r="J167" s="644"/>
      <c r="K167" s="644"/>
      <c r="L167" s="644"/>
      <c r="M167" s="644"/>
      <c r="N167" s="644"/>
      <c r="O167" s="644"/>
      <c r="P167" s="644"/>
      <c r="Q167" s="646"/>
      <c r="R167" s="644"/>
      <c r="S167" s="644"/>
      <c r="T167" s="646">
        <f t="shared" si="11"/>
        <v>0</v>
      </c>
      <c r="U167" s="646"/>
      <c r="V167" s="729"/>
      <c r="W167" s="735"/>
      <c r="X167" s="732"/>
      <c r="Y167" s="732"/>
      <c r="Z167" s="732"/>
      <c r="AA167" s="732"/>
    </row>
    <row r="168" spans="1:27" ht="375">
      <c r="A168" s="736"/>
      <c r="B168" s="699" t="s">
        <v>333</v>
      </c>
      <c r="C168" s="699" t="s">
        <v>275</v>
      </c>
      <c r="D168" s="644">
        <v>159</v>
      </c>
      <c r="E168" s="644" t="s">
        <v>276</v>
      </c>
      <c r="F168" s="644"/>
      <c r="G168" s="644"/>
      <c r="H168" s="644"/>
      <c r="I168" s="644"/>
      <c r="J168" s="644"/>
      <c r="K168" s="646"/>
      <c r="L168" s="644"/>
      <c r="M168" s="644"/>
      <c r="N168" s="654">
        <v>40.4</v>
      </c>
      <c r="O168" s="654">
        <v>603.79999999999995</v>
      </c>
      <c r="P168" s="654">
        <v>56.88</v>
      </c>
      <c r="Q168" s="644">
        <v>5.335</v>
      </c>
      <c r="R168" s="644"/>
      <c r="S168" s="644"/>
      <c r="T168" s="646">
        <f t="shared" si="11"/>
        <v>706.41499999999996</v>
      </c>
      <c r="U168" s="658">
        <f>T168+2</f>
        <v>708.41499999999996</v>
      </c>
      <c r="V168" s="744" t="s">
        <v>847</v>
      </c>
      <c r="W168" s="735"/>
      <c r="X168" s="732"/>
      <c r="Y168" s="732"/>
      <c r="Z168" s="732"/>
      <c r="AA168" s="732"/>
    </row>
    <row r="169" spans="1:27" ht="39.75" customHeight="1">
      <c r="A169" s="736"/>
      <c r="B169" s="736"/>
      <c r="C169" s="736"/>
      <c r="D169" s="644">
        <v>160</v>
      </c>
      <c r="E169" s="644" t="s">
        <v>334</v>
      </c>
      <c r="F169" s="644"/>
      <c r="G169" s="644"/>
      <c r="H169" s="644"/>
      <c r="I169" s="644"/>
      <c r="J169" s="644"/>
      <c r="K169" s="644"/>
      <c r="L169" s="644"/>
      <c r="M169" s="644"/>
      <c r="N169" s="644"/>
      <c r="O169" s="644"/>
      <c r="P169" s="644"/>
      <c r="Q169" s="644"/>
      <c r="R169" s="644"/>
      <c r="S169" s="644"/>
      <c r="T169" s="646">
        <f t="shared" si="11"/>
        <v>0</v>
      </c>
      <c r="U169" s="646"/>
      <c r="V169" s="729"/>
      <c r="W169" s="735"/>
      <c r="X169" s="732"/>
      <c r="Y169" s="732"/>
      <c r="Z169" s="732"/>
      <c r="AA169" s="732"/>
    </row>
    <row r="170" spans="1:27" ht="39.75" customHeight="1">
      <c r="A170" s="736"/>
      <c r="B170" s="736"/>
      <c r="C170" s="736"/>
      <c r="D170" s="644">
        <v>161</v>
      </c>
      <c r="E170" s="644" t="s">
        <v>279</v>
      </c>
      <c r="F170" s="644"/>
      <c r="G170" s="644"/>
      <c r="H170" s="644"/>
      <c r="I170" s="644"/>
      <c r="J170" s="644"/>
      <c r="K170" s="644"/>
      <c r="L170" s="644"/>
      <c r="M170" s="644"/>
      <c r="N170" s="644"/>
      <c r="O170" s="644"/>
      <c r="P170" s="644"/>
      <c r="Q170" s="644"/>
      <c r="R170" s="644"/>
      <c r="S170" s="644"/>
      <c r="T170" s="646">
        <f t="shared" si="11"/>
        <v>0</v>
      </c>
      <c r="U170" s="646"/>
      <c r="V170" s="729"/>
      <c r="W170" s="735"/>
      <c r="X170" s="732"/>
      <c r="Y170" s="732"/>
      <c r="Z170" s="732"/>
      <c r="AA170" s="732"/>
    </row>
    <row r="171" spans="1:27" ht="39.75" customHeight="1">
      <c r="A171" s="736"/>
      <c r="B171" s="736"/>
      <c r="C171" s="736"/>
      <c r="D171" s="644">
        <v>162</v>
      </c>
      <c r="E171" s="644" t="s">
        <v>280</v>
      </c>
      <c r="F171" s="644"/>
      <c r="G171" s="644"/>
      <c r="H171" s="644"/>
      <c r="I171" s="644"/>
      <c r="J171" s="644"/>
      <c r="K171" s="644"/>
      <c r="L171" s="644"/>
      <c r="M171" s="644"/>
      <c r="N171" s="644"/>
      <c r="O171" s="644"/>
      <c r="P171" s="644"/>
      <c r="Q171" s="644"/>
      <c r="R171" s="644"/>
      <c r="S171" s="644"/>
      <c r="T171" s="646">
        <f t="shared" si="11"/>
        <v>0</v>
      </c>
      <c r="U171" s="646"/>
      <c r="V171" s="729"/>
      <c r="W171" s="735"/>
      <c r="X171" s="732"/>
      <c r="Y171" s="732"/>
      <c r="Z171" s="732"/>
      <c r="AA171" s="732"/>
    </row>
    <row r="172" spans="1:27" ht="75">
      <c r="A172" s="736"/>
      <c r="B172" s="736"/>
      <c r="C172" s="736"/>
      <c r="D172" s="644">
        <v>163</v>
      </c>
      <c r="E172" s="644" t="s">
        <v>335</v>
      </c>
      <c r="F172" s="644"/>
      <c r="G172" s="644"/>
      <c r="H172" s="644"/>
      <c r="I172" s="644"/>
      <c r="J172" s="644"/>
      <c r="K172" s="644"/>
      <c r="L172" s="644"/>
      <c r="M172" s="644"/>
      <c r="N172" s="644"/>
      <c r="O172" s="654">
        <v>11.675000000000001</v>
      </c>
      <c r="P172" s="654"/>
      <c r="Q172" s="646">
        <v>1</v>
      </c>
      <c r="R172" s="644"/>
      <c r="S172" s="644"/>
      <c r="T172" s="646">
        <f t="shared" si="11"/>
        <v>12.675000000000001</v>
      </c>
      <c r="U172" s="646">
        <f>T172</f>
        <v>12.675000000000001</v>
      </c>
      <c r="V172" s="729" t="s">
        <v>848</v>
      </c>
      <c r="W172" s="735"/>
      <c r="X172" s="732"/>
      <c r="Y172" s="732"/>
      <c r="Z172" s="732"/>
      <c r="AA172" s="732"/>
    </row>
    <row r="173" spans="1:27" ht="39.75" customHeight="1">
      <c r="A173" s="736"/>
      <c r="B173" s="699" t="s">
        <v>336</v>
      </c>
      <c r="C173" s="699" t="s">
        <v>337</v>
      </c>
      <c r="D173" s="644">
        <v>164</v>
      </c>
      <c r="E173" s="644" t="s">
        <v>338</v>
      </c>
      <c r="F173" s="644"/>
      <c r="G173" s="654"/>
      <c r="H173" s="654"/>
      <c r="I173" s="644"/>
      <c r="J173" s="644"/>
      <c r="K173" s="644"/>
      <c r="L173" s="644"/>
      <c r="M173" s="644"/>
      <c r="N173" s="644"/>
      <c r="O173" s="644"/>
      <c r="P173" s="644"/>
      <c r="Q173" s="644"/>
      <c r="R173" s="644"/>
      <c r="S173" s="644"/>
      <c r="T173" s="646">
        <f t="shared" si="11"/>
        <v>0</v>
      </c>
      <c r="U173" s="646"/>
      <c r="V173" s="729"/>
      <c r="W173" s="735"/>
      <c r="X173" s="732"/>
      <c r="Y173" s="732"/>
      <c r="Z173" s="732"/>
      <c r="AA173" s="732"/>
    </row>
    <row r="174" spans="1:27" ht="39.75" customHeight="1">
      <c r="A174" s="736"/>
      <c r="B174" s="736"/>
      <c r="C174" s="736"/>
      <c r="D174" s="644">
        <v>165</v>
      </c>
      <c r="E174" s="644" t="s">
        <v>339</v>
      </c>
      <c r="F174" s="644"/>
      <c r="G174" s="654"/>
      <c r="H174" s="654"/>
      <c r="I174" s="644"/>
      <c r="J174" s="644"/>
      <c r="K174" s="644"/>
      <c r="L174" s="644"/>
      <c r="M174" s="644"/>
      <c r="N174" s="644"/>
      <c r="O174" s="644"/>
      <c r="P174" s="644"/>
      <c r="Q174" s="644"/>
      <c r="R174" s="644"/>
      <c r="S174" s="644"/>
      <c r="T174" s="646">
        <f t="shared" si="11"/>
        <v>0</v>
      </c>
      <c r="U174" s="646"/>
      <c r="V174" s="729"/>
      <c r="W174" s="735"/>
      <c r="X174" s="732"/>
      <c r="Y174" s="732"/>
      <c r="Z174" s="732"/>
      <c r="AA174" s="732"/>
    </row>
    <row r="175" spans="1:27" ht="39.75" customHeight="1">
      <c r="A175" s="736"/>
      <c r="B175" s="736"/>
      <c r="C175" s="736"/>
      <c r="D175" s="644">
        <v>166</v>
      </c>
      <c r="E175" s="644" t="s">
        <v>340</v>
      </c>
      <c r="F175" s="644"/>
      <c r="G175" s="654"/>
      <c r="H175" s="654"/>
      <c r="I175" s="644"/>
      <c r="J175" s="644"/>
      <c r="K175" s="644"/>
      <c r="L175" s="644"/>
      <c r="M175" s="644"/>
      <c r="N175" s="644"/>
      <c r="O175" s="644"/>
      <c r="P175" s="644"/>
      <c r="Q175" s="644"/>
      <c r="R175" s="644"/>
      <c r="S175" s="644"/>
      <c r="T175" s="646">
        <f t="shared" si="11"/>
        <v>0</v>
      </c>
      <c r="U175" s="646"/>
      <c r="V175" s="729"/>
      <c r="W175" s="735"/>
      <c r="X175" s="732"/>
      <c r="Y175" s="732"/>
      <c r="Z175" s="732"/>
      <c r="AA175" s="732"/>
    </row>
    <row r="176" spans="1:27" ht="39.75" customHeight="1">
      <c r="A176" s="736"/>
      <c r="B176" s="736"/>
      <c r="C176" s="736"/>
      <c r="D176" s="644">
        <v>167</v>
      </c>
      <c r="E176" s="644" t="s">
        <v>341</v>
      </c>
      <c r="F176" s="644"/>
      <c r="G176" s="654"/>
      <c r="H176" s="654"/>
      <c r="I176" s="644"/>
      <c r="J176" s="644"/>
      <c r="K176" s="644"/>
      <c r="L176" s="644"/>
      <c r="M176" s="644"/>
      <c r="N176" s="644"/>
      <c r="O176" s="644"/>
      <c r="P176" s="644"/>
      <c r="Q176" s="644"/>
      <c r="R176" s="644"/>
      <c r="S176" s="644"/>
      <c r="T176" s="646">
        <f t="shared" si="11"/>
        <v>0</v>
      </c>
      <c r="U176" s="646"/>
      <c r="V176" s="729"/>
      <c r="W176" s="735"/>
      <c r="X176" s="732"/>
      <c r="Y176" s="732"/>
      <c r="Z176" s="732"/>
      <c r="AA176" s="732"/>
    </row>
    <row r="177" spans="1:27" ht="39.75" customHeight="1">
      <c r="A177" s="736"/>
      <c r="B177" s="736"/>
      <c r="C177" s="736"/>
      <c r="D177" s="644">
        <v>168</v>
      </c>
      <c r="E177" s="644" t="s">
        <v>342</v>
      </c>
      <c r="F177" s="644"/>
      <c r="G177" s="654"/>
      <c r="H177" s="654"/>
      <c r="I177" s="644"/>
      <c r="J177" s="644"/>
      <c r="K177" s="644"/>
      <c r="L177" s="644"/>
      <c r="M177" s="644"/>
      <c r="N177" s="644"/>
      <c r="O177" s="644"/>
      <c r="P177" s="644"/>
      <c r="Q177" s="644"/>
      <c r="R177" s="644"/>
      <c r="S177" s="644"/>
      <c r="T177" s="646">
        <f t="shared" si="11"/>
        <v>0</v>
      </c>
      <c r="U177" s="646"/>
      <c r="V177" s="729"/>
      <c r="W177" s="735"/>
      <c r="X177" s="732"/>
      <c r="Y177" s="732"/>
      <c r="Z177" s="732"/>
      <c r="AA177" s="732"/>
    </row>
    <row r="178" spans="1:27" ht="39.75" customHeight="1">
      <c r="A178" s="736"/>
      <c r="B178" s="736"/>
      <c r="C178" s="736"/>
      <c r="D178" s="644">
        <v>169</v>
      </c>
      <c r="E178" s="644" t="s">
        <v>343</v>
      </c>
      <c r="F178" s="644"/>
      <c r="G178" s="654"/>
      <c r="H178" s="654"/>
      <c r="I178" s="646"/>
      <c r="J178" s="644"/>
      <c r="K178" s="644"/>
      <c r="L178" s="644"/>
      <c r="M178" s="644"/>
      <c r="N178" s="644"/>
      <c r="O178" s="644"/>
      <c r="P178" s="644"/>
      <c r="Q178" s="644"/>
      <c r="R178" s="644"/>
      <c r="S178" s="644"/>
      <c r="T178" s="646">
        <f t="shared" si="11"/>
        <v>0</v>
      </c>
      <c r="U178" s="646"/>
      <c r="V178" s="729"/>
      <c r="W178" s="735"/>
      <c r="X178" s="732"/>
      <c r="Y178" s="732"/>
      <c r="Z178" s="732"/>
      <c r="AA178" s="732"/>
    </row>
    <row r="179" spans="1:27" ht="39.75" customHeight="1">
      <c r="A179" s="736"/>
      <c r="B179" s="736"/>
      <c r="C179" s="736"/>
      <c r="D179" s="644">
        <v>170</v>
      </c>
      <c r="E179" s="644" t="s">
        <v>344</v>
      </c>
      <c r="F179" s="644"/>
      <c r="G179" s="644"/>
      <c r="H179" s="644"/>
      <c r="I179" s="644"/>
      <c r="J179" s="644"/>
      <c r="K179" s="644"/>
      <c r="L179" s="644"/>
      <c r="M179" s="644"/>
      <c r="N179" s="644"/>
      <c r="O179" s="644"/>
      <c r="P179" s="644"/>
      <c r="Q179" s="644"/>
      <c r="R179" s="644"/>
      <c r="S179" s="644"/>
      <c r="T179" s="646">
        <f t="shared" si="11"/>
        <v>0</v>
      </c>
      <c r="U179" s="646"/>
      <c r="V179" s="729"/>
      <c r="W179" s="735"/>
      <c r="X179" s="732"/>
      <c r="Y179" s="732"/>
      <c r="Z179" s="732"/>
      <c r="AA179" s="732"/>
    </row>
    <row r="180" spans="1:27" ht="39.75" customHeight="1">
      <c r="A180" s="736"/>
      <c r="B180" s="699" t="s">
        <v>345</v>
      </c>
      <c r="C180" s="699" t="s">
        <v>346</v>
      </c>
      <c r="D180" s="644">
        <v>171</v>
      </c>
      <c r="E180" s="644" t="s">
        <v>347</v>
      </c>
      <c r="F180" s="644"/>
      <c r="G180" s="644"/>
      <c r="H180" s="644"/>
      <c r="I180" s="644"/>
      <c r="J180" s="644"/>
      <c r="K180" s="644"/>
      <c r="L180" s="644"/>
      <c r="M180" s="644"/>
      <c r="N180" s="644"/>
      <c r="O180" s="644"/>
      <c r="P180" s="644"/>
      <c r="Q180" s="644"/>
      <c r="R180" s="644"/>
      <c r="S180" s="644"/>
      <c r="T180" s="646">
        <f t="shared" si="11"/>
        <v>0</v>
      </c>
      <c r="U180" s="646"/>
      <c r="V180" s="729"/>
      <c r="W180" s="735"/>
      <c r="X180" s="732"/>
      <c r="Y180" s="732"/>
      <c r="Z180" s="732"/>
      <c r="AA180" s="732"/>
    </row>
    <row r="181" spans="1:27" ht="39.75" customHeight="1">
      <c r="A181" s="736"/>
      <c r="B181" s="736"/>
      <c r="C181" s="736"/>
      <c r="D181" s="644">
        <v>172</v>
      </c>
      <c r="E181" s="644" t="s">
        <v>348</v>
      </c>
      <c r="F181" s="644"/>
      <c r="G181" s="644"/>
      <c r="H181" s="644"/>
      <c r="I181" s="644"/>
      <c r="J181" s="644"/>
      <c r="K181" s="644"/>
      <c r="L181" s="644"/>
      <c r="M181" s="644"/>
      <c r="N181" s="644"/>
      <c r="O181" s="644"/>
      <c r="P181" s="646"/>
      <c r="Q181" s="644"/>
      <c r="R181" s="644"/>
      <c r="S181" s="644"/>
      <c r="T181" s="646">
        <f t="shared" si="11"/>
        <v>0</v>
      </c>
      <c r="U181" s="646"/>
      <c r="V181" s="729"/>
      <c r="W181" s="735"/>
      <c r="X181" s="732"/>
      <c r="Y181" s="732"/>
      <c r="Z181" s="732"/>
      <c r="AA181" s="732"/>
    </row>
    <row r="182" spans="1:27" ht="39.75" customHeight="1">
      <c r="A182" s="736"/>
      <c r="B182" s="736"/>
      <c r="C182" s="736"/>
      <c r="D182" s="644">
        <v>173</v>
      </c>
      <c r="E182" s="644" t="s">
        <v>349</v>
      </c>
      <c r="F182" s="644"/>
      <c r="G182" s="644"/>
      <c r="H182" s="644"/>
      <c r="I182" s="644"/>
      <c r="J182" s="644"/>
      <c r="K182" s="644"/>
      <c r="L182" s="644"/>
      <c r="M182" s="644"/>
      <c r="N182" s="644"/>
      <c r="O182" s="644"/>
      <c r="P182" s="644"/>
      <c r="Q182" s="644"/>
      <c r="R182" s="644"/>
      <c r="S182" s="644"/>
      <c r="T182" s="646">
        <f t="shared" si="11"/>
        <v>0</v>
      </c>
      <c r="U182" s="646"/>
      <c r="V182" s="729"/>
      <c r="W182" s="735"/>
      <c r="X182" s="732"/>
      <c r="Y182" s="732"/>
      <c r="Z182" s="732"/>
      <c r="AA182" s="732"/>
    </row>
    <row r="183" spans="1:27" ht="39.75" customHeight="1">
      <c r="A183" s="736"/>
      <c r="B183" s="736"/>
      <c r="C183" s="736"/>
      <c r="D183" s="644">
        <v>174</v>
      </c>
      <c r="E183" s="644" t="s">
        <v>350</v>
      </c>
      <c r="F183" s="644"/>
      <c r="G183" s="644"/>
      <c r="H183" s="644"/>
      <c r="I183" s="644"/>
      <c r="J183" s="644"/>
      <c r="K183" s="644"/>
      <c r="L183" s="644"/>
      <c r="M183" s="644"/>
      <c r="N183" s="644"/>
      <c r="O183" s="644"/>
      <c r="P183" s="646"/>
      <c r="Q183" s="644"/>
      <c r="R183" s="644"/>
      <c r="S183" s="644"/>
      <c r="T183" s="646">
        <f t="shared" si="11"/>
        <v>0</v>
      </c>
      <c r="U183" s="646"/>
      <c r="V183" s="729"/>
      <c r="W183" s="735"/>
      <c r="X183" s="732"/>
      <c r="Y183" s="732"/>
      <c r="Z183" s="732"/>
      <c r="AA183" s="732"/>
    </row>
    <row r="184" spans="1:27" ht="409.5">
      <c r="A184" s="736"/>
      <c r="B184" s="699" t="s">
        <v>351</v>
      </c>
      <c r="C184" s="699" t="s">
        <v>290</v>
      </c>
      <c r="D184" s="644">
        <v>175</v>
      </c>
      <c r="E184" s="644" t="s">
        <v>291</v>
      </c>
      <c r="F184" s="795"/>
      <c r="G184" s="795"/>
      <c r="H184" s="795"/>
      <c r="I184" s="648">
        <v>11.1</v>
      </c>
      <c r="J184" s="645"/>
      <c r="K184" s="645"/>
      <c r="L184" s="645"/>
      <c r="M184" s="645"/>
      <c r="N184" s="647">
        <v>13.43</v>
      </c>
      <c r="O184" s="645"/>
      <c r="P184" s="678">
        <f>5+27.08</f>
        <v>32.08</v>
      </c>
      <c r="Q184" s="647">
        <v>1</v>
      </c>
      <c r="R184" s="648">
        <v>0.79</v>
      </c>
      <c r="S184" s="648"/>
      <c r="T184" s="646">
        <f t="shared" si="11"/>
        <v>58.4</v>
      </c>
      <c r="U184" s="1235">
        <f t="shared" ref="U184:U186" si="18">T184</f>
        <v>58.4</v>
      </c>
      <c r="V184" s="788" t="s">
        <v>849</v>
      </c>
      <c r="W184" s="1236"/>
      <c r="X184" s="732"/>
      <c r="Y184" s="732"/>
      <c r="Z184" s="732"/>
      <c r="AA184" s="732"/>
    </row>
    <row r="185" spans="1:27" ht="409.5">
      <c r="A185" s="736"/>
      <c r="B185" s="736"/>
      <c r="C185" s="736"/>
      <c r="D185" s="644">
        <v>176</v>
      </c>
      <c r="E185" s="644" t="s">
        <v>293</v>
      </c>
      <c r="F185" s="795"/>
      <c r="G185" s="795"/>
      <c r="H185" s="795"/>
      <c r="I185" s="645"/>
      <c r="J185" s="645"/>
      <c r="K185" s="645"/>
      <c r="L185" s="645"/>
      <c r="M185" s="648">
        <v>23.2</v>
      </c>
      <c r="N185" s="645"/>
      <c r="O185" s="645"/>
      <c r="P185" s="648">
        <v>68.95</v>
      </c>
      <c r="Q185" s="648">
        <v>8.65</v>
      </c>
      <c r="R185" s="645"/>
      <c r="S185" s="645"/>
      <c r="T185" s="646">
        <f t="shared" si="11"/>
        <v>100.80000000000001</v>
      </c>
      <c r="U185" s="1235">
        <f t="shared" si="18"/>
        <v>100.80000000000001</v>
      </c>
      <c r="V185" s="788" t="s">
        <v>850</v>
      </c>
      <c r="W185" s="1237"/>
      <c r="X185" s="732"/>
      <c r="Y185" s="732"/>
      <c r="Z185" s="732"/>
      <c r="AA185" s="732"/>
    </row>
    <row r="186" spans="1:27" ht="60">
      <c r="A186" s="736"/>
      <c r="B186" s="736"/>
      <c r="C186" s="736"/>
      <c r="D186" s="644">
        <v>177</v>
      </c>
      <c r="E186" s="644" t="s">
        <v>295</v>
      </c>
      <c r="F186" s="795"/>
      <c r="G186" s="795"/>
      <c r="H186" s="795"/>
      <c r="I186" s="645"/>
      <c r="J186" s="645"/>
      <c r="K186" s="645"/>
      <c r="L186" s="645"/>
      <c r="M186" s="645"/>
      <c r="N186" s="647">
        <v>1</v>
      </c>
      <c r="O186" s="645"/>
      <c r="P186" s="645"/>
      <c r="Q186" s="645"/>
      <c r="R186" s="645"/>
      <c r="S186" s="645"/>
      <c r="T186" s="646">
        <f t="shared" si="11"/>
        <v>1</v>
      </c>
      <c r="U186" s="1235">
        <f t="shared" si="18"/>
        <v>1</v>
      </c>
      <c r="V186" s="738" t="s">
        <v>352</v>
      </c>
      <c r="W186" s="1237"/>
      <c r="X186" s="732"/>
      <c r="Y186" s="732"/>
      <c r="Z186" s="732"/>
      <c r="AA186" s="732"/>
    </row>
    <row r="187" spans="1:27" ht="39.75" customHeight="1">
      <c r="A187" s="736"/>
      <c r="B187" s="699" t="s">
        <v>353</v>
      </c>
      <c r="C187" s="699" t="s">
        <v>354</v>
      </c>
      <c r="D187" s="644">
        <v>178</v>
      </c>
      <c r="E187" s="644" t="s">
        <v>355</v>
      </c>
      <c r="F187" s="644"/>
      <c r="G187" s="644"/>
      <c r="H187" s="644"/>
      <c r="I187" s="644"/>
      <c r="J187" s="644"/>
      <c r="K187" s="644"/>
      <c r="L187" s="644"/>
      <c r="M187" s="644"/>
      <c r="N187" s="644"/>
      <c r="O187" s="644"/>
      <c r="P187" s="847">
        <v>1.5</v>
      </c>
      <c r="Q187" s="829"/>
      <c r="R187" s="829"/>
      <c r="S187" s="829"/>
      <c r="T187" s="847">
        <f t="shared" ref="T187" si="19">SUM(F187:S187)</f>
        <v>1.5</v>
      </c>
      <c r="U187" s="847">
        <f>T187</f>
        <v>1.5</v>
      </c>
      <c r="V187" s="744" t="s">
        <v>1857</v>
      </c>
      <c r="W187" s="735"/>
      <c r="X187" s="732"/>
      <c r="Y187" s="732"/>
      <c r="Z187" s="732"/>
      <c r="AA187" s="732"/>
    </row>
    <row r="188" spans="1:27" ht="39.75" customHeight="1">
      <c r="A188" s="736"/>
      <c r="B188" s="736"/>
      <c r="C188" s="736"/>
      <c r="D188" s="644">
        <v>179</v>
      </c>
      <c r="E188" s="644" t="s">
        <v>157</v>
      </c>
      <c r="F188" s="644"/>
      <c r="G188" s="644"/>
      <c r="H188" s="644"/>
      <c r="I188" s="644"/>
      <c r="J188" s="644"/>
      <c r="K188" s="644"/>
      <c r="L188" s="644"/>
      <c r="M188" s="644"/>
      <c r="N188" s="644"/>
      <c r="O188" s="644"/>
      <c r="P188" s="644"/>
      <c r="Q188" s="644"/>
      <c r="R188" s="644"/>
      <c r="S188" s="644"/>
      <c r="T188" s="646">
        <f t="shared" si="11"/>
        <v>0</v>
      </c>
      <c r="U188" s="646"/>
      <c r="V188" s="729"/>
      <c r="W188" s="735"/>
      <c r="X188" s="732"/>
      <c r="Y188" s="732"/>
      <c r="Z188" s="732"/>
      <c r="AA188" s="732"/>
    </row>
    <row r="189" spans="1:27" ht="39.75" customHeight="1">
      <c r="A189" s="736"/>
      <c r="B189" s="736"/>
      <c r="C189" s="736"/>
      <c r="D189" s="644">
        <v>180</v>
      </c>
      <c r="E189" s="644" t="s">
        <v>356</v>
      </c>
      <c r="F189" s="644"/>
      <c r="G189" s="644"/>
      <c r="H189" s="644"/>
      <c r="I189" s="644"/>
      <c r="J189" s="644"/>
      <c r="K189" s="646"/>
      <c r="L189" s="644"/>
      <c r="M189" s="644"/>
      <c r="N189" s="644"/>
      <c r="O189" s="644"/>
      <c r="P189" s="654"/>
      <c r="Q189" s="644"/>
      <c r="R189" s="644"/>
      <c r="S189" s="644"/>
      <c r="T189" s="646">
        <f t="shared" si="11"/>
        <v>0</v>
      </c>
      <c r="U189" s="646"/>
      <c r="V189" s="729"/>
      <c r="W189" s="735"/>
      <c r="X189" s="732"/>
      <c r="Y189" s="732"/>
      <c r="Z189" s="732"/>
      <c r="AA189" s="732"/>
    </row>
    <row r="190" spans="1:27" ht="39.75" customHeight="1">
      <c r="A190" s="736"/>
      <c r="B190" s="736"/>
      <c r="C190" s="736"/>
      <c r="D190" s="644">
        <v>181</v>
      </c>
      <c r="E190" s="644" t="s">
        <v>357</v>
      </c>
      <c r="F190" s="644"/>
      <c r="G190" s="644"/>
      <c r="H190" s="644"/>
      <c r="I190" s="644"/>
      <c r="J190" s="644"/>
      <c r="K190" s="644"/>
      <c r="L190" s="644"/>
      <c r="M190" s="644"/>
      <c r="N190" s="644"/>
      <c r="O190" s="644"/>
      <c r="P190" s="644"/>
      <c r="Q190" s="644"/>
      <c r="R190" s="644"/>
      <c r="S190" s="644"/>
      <c r="T190" s="646">
        <f t="shared" si="11"/>
        <v>0</v>
      </c>
      <c r="U190" s="646"/>
      <c r="V190" s="729"/>
      <c r="W190" s="735"/>
      <c r="X190" s="732"/>
      <c r="Y190" s="732"/>
      <c r="Z190" s="732"/>
      <c r="AA190" s="732"/>
    </row>
    <row r="191" spans="1:27" ht="65.25" customHeight="1">
      <c r="A191" s="736"/>
      <c r="B191" s="736"/>
      <c r="C191" s="736"/>
      <c r="D191" s="644">
        <v>182</v>
      </c>
      <c r="E191" s="644" t="s">
        <v>358</v>
      </c>
      <c r="F191" s="644"/>
      <c r="G191" s="644"/>
      <c r="H191" s="644"/>
      <c r="I191" s="644"/>
      <c r="J191" s="644"/>
      <c r="K191" s="644"/>
      <c r="L191" s="644"/>
      <c r="M191" s="644"/>
      <c r="N191" s="644"/>
      <c r="O191" s="644"/>
      <c r="P191" s="646">
        <v>88.8</v>
      </c>
      <c r="Q191" s="644"/>
      <c r="R191" s="644"/>
      <c r="S191" s="644"/>
      <c r="T191" s="646">
        <f t="shared" si="11"/>
        <v>88.8</v>
      </c>
      <c r="U191" s="658">
        <f>T191*1.05</f>
        <v>93.24</v>
      </c>
      <c r="V191" s="729" t="s">
        <v>851</v>
      </c>
      <c r="W191" s="735"/>
      <c r="X191" s="732"/>
      <c r="Y191" s="732"/>
      <c r="Z191" s="732"/>
      <c r="AA191" s="732"/>
    </row>
    <row r="192" spans="1:27" ht="39.75" customHeight="1">
      <c r="A192" s="736"/>
      <c r="B192" s="736"/>
      <c r="C192" s="736"/>
      <c r="D192" s="644">
        <v>183</v>
      </c>
      <c r="E192" s="644" t="s">
        <v>360</v>
      </c>
      <c r="F192" s="644"/>
      <c r="G192" s="644"/>
      <c r="H192" s="644"/>
      <c r="I192" s="644"/>
      <c r="J192" s="644"/>
      <c r="K192" s="644"/>
      <c r="L192" s="644"/>
      <c r="M192" s="644"/>
      <c r="N192" s="644"/>
      <c r="O192" s="644"/>
      <c r="P192" s="654"/>
      <c r="Q192" s="644"/>
      <c r="R192" s="644"/>
      <c r="S192" s="644"/>
      <c r="T192" s="646">
        <f t="shared" si="11"/>
        <v>0</v>
      </c>
      <c r="U192" s="646">
        <f>SUM(G192:T192)</f>
        <v>0</v>
      </c>
      <c r="V192" s="729"/>
      <c r="W192" s="735"/>
      <c r="X192" s="732"/>
      <c r="Y192" s="732"/>
      <c r="Z192" s="732"/>
      <c r="AA192" s="732"/>
    </row>
    <row r="193" spans="1:27" ht="39.75" customHeight="1">
      <c r="A193" s="736"/>
      <c r="B193" s="644" t="s">
        <v>361</v>
      </c>
      <c r="C193" s="644" t="s">
        <v>362</v>
      </c>
      <c r="D193" s="644">
        <v>184</v>
      </c>
      <c r="E193" s="644" t="s">
        <v>363</v>
      </c>
      <c r="F193" s="644"/>
      <c r="G193" s="644"/>
      <c r="H193" s="644"/>
      <c r="I193" s="644"/>
      <c r="J193" s="644"/>
      <c r="K193" s="644"/>
      <c r="L193" s="644"/>
      <c r="M193" s="644"/>
      <c r="N193" s="644"/>
      <c r="O193" s="644"/>
      <c r="P193" s="646"/>
      <c r="Q193" s="644"/>
      <c r="R193" s="644"/>
      <c r="S193" s="644"/>
      <c r="T193" s="646">
        <f t="shared" si="11"/>
        <v>0</v>
      </c>
      <c r="U193" s="646"/>
      <c r="V193" s="729"/>
      <c r="W193" s="735"/>
      <c r="X193" s="732"/>
      <c r="Y193" s="732"/>
      <c r="Z193" s="732"/>
      <c r="AA193" s="732"/>
    </row>
    <row r="194" spans="1:27" ht="39.75" customHeight="1">
      <c r="A194" s="736"/>
      <c r="B194" s="699" t="s">
        <v>364</v>
      </c>
      <c r="C194" s="699" t="s">
        <v>297</v>
      </c>
      <c r="D194" s="644">
        <v>185</v>
      </c>
      <c r="E194" s="644" t="s">
        <v>298</v>
      </c>
      <c r="F194" s="644"/>
      <c r="G194" s="644"/>
      <c r="H194" s="644"/>
      <c r="I194" s="644"/>
      <c r="J194" s="644"/>
      <c r="K194" s="644"/>
      <c r="L194" s="644"/>
      <c r="M194" s="644"/>
      <c r="N194" s="644"/>
      <c r="O194" s="644"/>
      <c r="P194" s="783">
        <v>2716.7034999999992</v>
      </c>
      <c r="Q194" s="644"/>
      <c r="R194" s="644"/>
      <c r="S194" s="644"/>
      <c r="T194" s="646">
        <f t="shared" si="11"/>
        <v>2716.7034999999992</v>
      </c>
      <c r="U194" s="887">
        <v>2923.8362404000004</v>
      </c>
      <c r="V194" s="1206" t="s">
        <v>1732</v>
      </c>
      <c r="W194" s="735"/>
      <c r="X194" s="732"/>
      <c r="Y194" s="732"/>
      <c r="Z194" s="732"/>
      <c r="AA194" s="732"/>
    </row>
    <row r="195" spans="1:27" ht="135">
      <c r="A195" s="736"/>
      <c r="B195" s="736"/>
      <c r="C195" s="736"/>
      <c r="D195" s="644">
        <v>186</v>
      </c>
      <c r="E195" s="644" t="s">
        <v>299</v>
      </c>
      <c r="F195" s="644"/>
      <c r="G195" s="644"/>
      <c r="H195" s="644"/>
      <c r="I195" s="644"/>
      <c r="J195" s="644"/>
      <c r="K195" s="644"/>
      <c r="L195" s="644"/>
      <c r="M195" s="644"/>
      <c r="N195" s="644"/>
      <c r="O195" s="644"/>
      <c r="P195" s="654">
        <f>10.123+4.02</f>
        <v>14.142999999999999</v>
      </c>
      <c r="Q195" s="646"/>
      <c r="R195" s="644"/>
      <c r="S195" s="644"/>
      <c r="T195" s="646">
        <f t="shared" si="11"/>
        <v>14.142999999999999</v>
      </c>
      <c r="U195" s="646">
        <f>T195</f>
        <v>14.142999999999999</v>
      </c>
      <c r="V195" s="729" t="s">
        <v>852</v>
      </c>
      <c r="W195" s="735"/>
      <c r="X195" s="732"/>
      <c r="Y195" s="732"/>
      <c r="Z195" s="732"/>
      <c r="AA195" s="732"/>
    </row>
    <row r="196" spans="1:27" ht="39.75" customHeight="1">
      <c r="A196" s="736"/>
      <c r="B196" s="736"/>
      <c r="C196" s="736"/>
      <c r="D196" s="644">
        <v>187</v>
      </c>
      <c r="E196" s="644" t="s">
        <v>367</v>
      </c>
      <c r="F196" s="644"/>
      <c r="G196" s="644"/>
      <c r="H196" s="644"/>
      <c r="I196" s="644"/>
      <c r="J196" s="644"/>
      <c r="K196" s="644"/>
      <c r="L196" s="644"/>
      <c r="M196" s="644"/>
      <c r="N196" s="644"/>
      <c r="O196" s="644"/>
      <c r="P196" s="783">
        <v>1384.5283199999999</v>
      </c>
      <c r="Q196" s="644"/>
      <c r="R196" s="644"/>
      <c r="S196" s="644"/>
      <c r="T196" s="646">
        <f t="shared" si="11"/>
        <v>1384.5283199999999</v>
      </c>
      <c r="U196" s="887">
        <v>1499.9979818880001</v>
      </c>
      <c r="V196" s="1206" t="s">
        <v>1732</v>
      </c>
      <c r="W196" s="735"/>
      <c r="X196" s="732"/>
      <c r="Y196" s="732"/>
      <c r="Z196" s="732"/>
      <c r="AA196" s="732"/>
    </row>
    <row r="197" spans="1:27" ht="39.75" customHeight="1">
      <c r="A197" s="736"/>
      <c r="B197" s="736"/>
      <c r="C197" s="736"/>
      <c r="D197" s="644">
        <v>188</v>
      </c>
      <c r="E197" s="644" t="s">
        <v>300</v>
      </c>
      <c r="F197" s="644"/>
      <c r="G197" s="644"/>
      <c r="H197" s="644"/>
      <c r="I197" s="644"/>
      <c r="J197" s="644"/>
      <c r="K197" s="644"/>
      <c r="L197" s="644"/>
      <c r="M197" s="644"/>
      <c r="N197" s="644"/>
      <c r="O197" s="644"/>
      <c r="P197" s="644"/>
      <c r="Q197" s="644"/>
      <c r="R197" s="644"/>
      <c r="S197" s="644"/>
      <c r="T197" s="646">
        <f t="shared" si="11"/>
        <v>0</v>
      </c>
      <c r="U197" s="646"/>
      <c r="V197" s="729"/>
      <c r="W197" s="735"/>
      <c r="X197" s="732"/>
      <c r="Y197" s="732"/>
      <c r="Z197" s="732"/>
      <c r="AA197" s="732"/>
    </row>
    <row r="198" spans="1:27" ht="39.75" customHeight="1">
      <c r="A198" s="736"/>
      <c r="B198" s="736"/>
      <c r="C198" s="736"/>
      <c r="D198" s="644">
        <v>189</v>
      </c>
      <c r="E198" s="644" t="s">
        <v>301</v>
      </c>
      <c r="F198" s="644"/>
      <c r="G198" s="644"/>
      <c r="H198" s="644"/>
      <c r="I198" s="644"/>
      <c r="J198" s="644"/>
      <c r="K198" s="644"/>
      <c r="L198" s="644"/>
      <c r="M198" s="644"/>
      <c r="N198" s="644"/>
      <c r="O198" s="644"/>
      <c r="P198" s="644"/>
      <c r="Q198" s="644"/>
      <c r="R198" s="644"/>
      <c r="S198" s="644"/>
      <c r="T198" s="646">
        <f t="shared" si="11"/>
        <v>0</v>
      </c>
      <c r="U198" s="646"/>
      <c r="V198" s="729"/>
      <c r="W198" s="735"/>
      <c r="X198" s="732"/>
      <c r="Y198" s="732"/>
      <c r="Z198" s="732"/>
      <c r="AA198" s="732"/>
    </row>
    <row r="199" spans="1:27" ht="39.75" customHeight="1">
      <c r="A199" s="736"/>
      <c r="B199" s="736"/>
      <c r="C199" s="736"/>
      <c r="D199" s="644">
        <v>190</v>
      </c>
      <c r="E199" s="644" t="s">
        <v>368</v>
      </c>
      <c r="F199" s="644"/>
      <c r="G199" s="644"/>
      <c r="H199" s="644"/>
      <c r="I199" s="644"/>
      <c r="J199" s="644"/>
      <c r="K199" s="644"/>
      <c r="L199" s="644"/>
      <c r="M199" s="644"/>
      <c r="N199" s="644"/>
      <c r="O199" s="644"/>
      <c r="P199" s="654"/>
      <c r="Q199" s="644"/>
      <c r="R199" s="644"/>
      <c r="S199" s="644"/>
      <c r="T199" s="646">
        <f t="shared" si="11"/>
        <v>0</v>
      </c>
      <c r="U199" s="646"/>
      <c r="V199" s="729" t="s">
        <v>369</v>
      </c>
      <c r="W199" s="735"/>
      <c r="X199" s="732"/>
      <c r="Y199" s="732"/>
      <c r="Z199" s="732"/>
      <c r="AA199" s="732"/>
    </row>
    <row r="200" spans="1:27" ht="165">
      <c r="A200" s="736"/>
      <c r="B200" s="699" t="s">
        <v>370</v>
      </c>
      <c r="C200" s="699" t="s">
        <v>371</v>
      </c>
      <c r="D200" s="644">
        <v>191</v>
      </c>
      <c r="E200" s="644" t="s">
        <v>372</v>
      </c>
      <c r="F200" s="644"/>
      <c r="G200" s="644"/>
      <c r="H200" s="644"/>
      <c r="I200" s="644"/>
      <c r="J200" s="644"/>
      <c r="K200" s="644"/>
      <c r="L200" s="644"/>
      <c r="M200" s="644"/>
      <c r="N200" s="646">
        <v>15</v>
      </c>
      <c r="O200" s="644"/>
      <c r="P200" s="644"/>
      <c r="Q200" s="644"/>
      <c r="R200" s="644"/>
      <c r="S200" s="644"/>
      <c r="T200" s="646">
        <f t="shared" si="11"/>
        <v>15</v>
      </c>
      <c r="U200" s="646">
        <v>15</v>
      </c>
      <c r="V200" s="786" t="s">
        <v>853</v>
      </c>
      <c r="W200" s="1238"/>
      <c r="X200" s="732"/>
      <c r="Y200" s="732"/>
      <c r="Z200" s="732"/>
      <c r="AA200" s="732"/>
    </row>
    <row r="201" spans="1:27" ht="133.5" customHeight="1">
      <c r="A201" s="736"/>
      <c r="B201" s="736"/>
      <c r="C201" s="736"/>
      <c r="D201" s="644">
        <v>192</v>
      </c>
      <c r="E201" s="644" t="s">
        <v>373</v>
      </c>
      <c r="F201" s="644"/>
      <c r="G201" s="644"/>
      <c r="H201" s="654"/>
      <c r="I201" s="644"/>
      <c r="J201" s="644"/>
      <c r="K201" s="644"/>
      <c r="L201" s="644"/>
      <c r="M201" s="644"/>
      <c r="N201" s="646">
        <v>3</v>
      </c>
      <c r="O201" s="644"/>
      <c r="P201" s="646"/>
      <c r="Q201" s="654"/>
      <c r="R201" s="644"/>
      <c r="S201" s="644"/>
      <c r="T201" s="646">
        <f t="shared" si="11"/>
        <v>3</v>
      </c>
      <c r="U201" s="646">
        <v>12</v>
      </c>
      <c r="V201" s="779" t="s">
        <v>854</v>
      </c>
      <c r="W201" s="735"/>
      <c r="X201" s="732"/>
      <c r="Y201" s="732"/>
      <c r="Z201" s="732"/>
      <c r="AA201" s="732"/>
    </row>
    <row r="202" spans="1:27" ht="39.75" customHeight="1">
      <c r="A202" s="736"/>
      <c r="B202" s="699" t="s">
        <v>374</v>
      </c>
      <c r="C202" s="699" t="s">
        <v>303</v>
      </c>
      <c r="D202" s="644">
        <v>193</v>
      </c>
      <c r="E202" s="644" t="s">
        <v>375</v>
      </c>
      <c r="F202" s="644"/>
      <c r="G202" s="644"/>
      <c r="H202" s="644"/>
      <c r="I202" s="644"/>
      <c r="J202" s="644"/>
      <c r="K202" s="644"/>
      <c r="L202" s="644"/>
      <c r="M202" s="644"/>
      <c r="N202" s="644"/>
      <c r="O202" s="644"/>
      <c r="P202" s="646"/>
      <c r="Q202" s="644"/>
      <c r="R202" s="644"/>
      <c r="S202" s="654"/>
      <c r="T202" s="646">
        <f t="shared" si="11"/>
        <v>0</v>
      </c>
      <c r="U202" s="646"/>
      <c r="V202" s="729"/>
      <c r="W202" s="735"/>
      <c r="X202" s="732"/>
      <c r="Y202" s="732"/>
      <c r="Z202" s="732"/>
      <c r="AA202" s="732"/>
    </row>
    <row r="203" spans="1:27" ht="240">
      <c r="A203" s="736"/>
      <c r="B203" s="736"/>
      <c r="C203" s="736"/>
      <c r="D203" s="644">
        <v>194</v>
      </c>
      <c r="E203" s="644" t="s">
        <v>304</v>
      </c>
      <c r="F203" s="644"/>
      <c r="G203" s="644"/>
      <c r="H203" s="644"/>
      <c r="I203" s="644"/>
      <c r="J203" s="644"/>
      <c r="K203" s="644"/>
      <c r="L203" s="644"/>
      <c r="M203" s="644"/>
      <c r="N203" s="646">
        <v>1.2</v>
      </c>
      <c r="O203" s="644"/>
      <c r="P203" s="644"/>
      <c r="Q203" s="646"/>
      <c r="R203" s="646">
        <v>40.5</v>
      </c>
      <c r="S203" s="644"/>
      <c r="T203" s="646">
        <f t="shared" si="11"/>
        <v>41.7</v>
      </c>
      <c r="U203" s="658">
        <f>R203*1.05+N203</f>
        <v>43.725000000000001</v>
      </c>
      <c r="V203" s="729" t="s">
        <v>1604</v>
      </c>
      <c r="W203" s="735"/>
      <c r="X203" s="732"/>
      <c r="Y203" s="732"/>
      <c r="Z203" s="732"/>
      <c r="AA203" s="732"/>
    </row>
    <row r="204" spans="1:27" ht="105">
      <c r="A204" s="736"/>
      <c r="B204" s="699" t="s">
        <v>376</v>
      </c>
      <c r="C204" s="699" t="s">
        <v>377</v>
      </c>
      <c r="D204" s="644">
        <v>195</v>
      </c>
      <c r="E204" s="644" t="s">
        <v>378</v>
      </c>
      <c r="F204" s="644"/>
      <c r="G204" s="644"/>
      <c r="H204" s="644"/>
      <c r="I204" s="644"/>
      <c r="J204" s="644"/>
      <c r="K204" s="644"/>
      <c r="L204" s="644"/>
      <c r="M204" s="644"/>
      <c r="N204" s="644"/>
      <c r="O204" s="644"/>
      <c r="P204" s="646"/>
      <c r="Q204" s="654">
        <v>2.06</v>
      </c>
      <c r="R204" s="646">
        <v>2.4</v>
      </c>
      <c r="S204" s="644">
        <v>1.75</v>
      </c>
      <c r="T204" s="646">
        <f t="shared" si="11"/>
        <v>6.21</v>
      </c>
      <c r="U204" s="646">
        <f>T204</f>
        <v>6.21</v>
      </c>
      <c r="V204" s="749" t="s">
        <v>855</v>
      </c>
      <c r="W204" s="735"/>
      <c r="X204" s="732"/>
      <c r="Y204" s="732"/>
      <c r="Z204" s="732"/>
      <c r="AA204" s="732"/>
    </row>
    <row r="205" spans="1:27" ht="39.75" customHeight="1">
      <c r="A205" s="736"/>
      <c r="B205" s="736"/>
      <c r="C205" s="736"/>
      <c r="D205" s="644">
        <v>196</v>
      </c>
      <c r="E205" s="644" t="s">
        <v>379</v>
      </c>
      <c r="F205" s="644"/>
      <c r="G205" s="644"/>
      <c r="H205" s="644"/>
      <c r="I205" s="644"/>
      <c r="J205" s="644"/>
      <c r="K205" s="644"/>
      <c r="L205" s="644"/>
      <c r="M205" s="644"/>
      <c r="N205" s="644"/>
      <c r="O205" s="644"/>
      <c r="P205" s="644"/>
      <c r="Q205" s="644"/>
      <c r="R205" s="644"/>
      <c r="S205" s="644"/>
      <c r="T205" s="646">
        <f t="shared" si="11"/>
        <v>0</v>
      </c>
      <c r="U205" s="646"/>
      <c r="V205" s="729"/>
      <c r="W205" s="735"/>
      <c r="X205" s="732"/>
      <c r="Y205" s="732"/>
      <c r="Z205" s="732"/>
      <c r="AA205" s="732"/>
    </row>
    <row r="206" spans="1:27" ht="375">
      <c r="A206" s="736"/>
      <c r="B206" s="736"/>
      <c r="C206" s="736"/>
      <c r="D206" s="644">
        <v>197</v>
      </c>
      <c r="E206" s="644" t="s">
        <v>380</v>
      </c>
      <c r="F206" s="781"/>
      <c r="G206" s="781"/>
      <c r="H206" s="781"/>
      <c r="I206" s="781"/>
      <c r="J206" s="781"/>
      <c r="K206" s="781"/>
      <c r="L206" s="781"/>
      <c r="M206" s="781"/>
      <c r="N206" s="767">
        <v>0.25</v>
      </c>
      <c r="O206" s="781"/>
      <c r="P206" s="789">
        <v>41.06</v>
      </c>
      <c r="Q206" s="767"/>
      <c r="R206" s="767">
        <v>0.05</v>
      </c>
      <c r="S206" s="767"/>
      <c r="T206" s="651">
        <f>SUM(N206:R206)</f>
        <v>41.36</v>
      </c>
      <c r="U206" s="789">
        <v>41.11</v>
      </c>
      <c r="V206" s="744" t="s">
        <v>1689</v>
      </c>
      <c r="W206" s="1063"/>
      <c r="X206" s="732"/>
      <c r="Y206" s="732"/>
      <c r="Z206" s="732"/>
      <c r="AA206" s="732"/>
    </row>
    <row r="207" spans="1:27" ht="39.75" customHeight="1">
      <c r="A207" s="736"/>
      <c r="B207" s="644" t="s">
        <v>381</v>
      </c>
      <c r="C207" s="644" t="s">
        <v>309</v>
      </c>
      <c r="D207" s="644">
        <v>198</v>
      </c>
      <c r="E207" s="644" t="s">
        <v>310</v>
      </c>
      <c r="F207" s="644"/>
      <c r="G207" s="644"/>
      <c r="H207" s="644"/>
      <c r="I207" s="644"/>
      <c r="J207" s="644"/>
      <c r="K207" s="644"/>
      <c r="L207" s="644"/>
      <c r="M207" s="644"/>
      <c r="N207" s="644"/>
      <c r="O207" s="644"/>
      <c r="P207" s="644"/>
      <c r="Q207" s="644"/>
      <c r="R207" s="644"/>
      <c r="S207" s="644"/>
      <c r="T207" s="646">
        <f t="shared" ref="T207:T211" si="20">SUM(F207:S207)</f>
        <v>0</v>
      </c>
      <c r="U207" s="646"/>
      <c r="V207" s="729"/>
      <c r="W207" s="735"/>
      <c r="X207" s="732"/>
      <c r="Y207" s="732"/>
      <c r="Z207" s="732"/>
      <c r="AA207" s="732"/>
    </row>
    <row r="208" spans="1:27" ht="101.25" customHeight="1">
      <c r="A208" s="736"/>
      <c r="B208" s="644" t="s">
        <v>382</v>
      </c>
      <c r="C208" s="644" t="s">
        <v>312</v>
      </c>
      <c r="D208" s="644">
        <v>199</v>
      </c>
      <c r="E208" s="644" t="s">
        <v>313</v>
      </c>
      <c r="F208" s="768"/>
      <c r="G208" s="768"/>
      <c r="H208" s="768"/>
      <c r="I208" s="768"/>
      <c r="J208" s="768"/>
      <c r="K208" s="768"/>
      <c r="L208" s="768"/>
      <c r="M208" s="768"/>
      <c r="N208" s="768"/>
      <c r="O208" s="768"/>
      <c r="Q208" s="768"/>
      <c r="R208" s="768">
        <v>284.14999999999998</v>
      </c>
      <c r="S208" s="768"/>
      <c r="T208" s="646">
        <f t="shared" si="20"/>
        <v>284.14999999999998</v>
      </c>
      <c r="U208" s="646">
        <f>T208</f>
        <v>284.14999999999998</v>
      </c>
      <c r="V208" s="729" t="s">
        <v>1856</v>
      </c>
      <c r="W208" s="735"/>
      <c r="X208" s="732"/>
      <c r="Y208" s="732"/>
      <c r="Z208" s="732"/>
      <c r="AA208" s="732"/>
    </row>
    <row r="209" spans="1:27" ht="60">
      <c r="A209" s="736"/>
      <c r="B209" s="644" t="s">
        <v>383</v>
      </c>
      <c r="C209" s="644"/>
      <c r="D209" s="644">
        <v>200</v>
      </c>
      <c r="E209" s="644" t="s">
        <v>384</v>
      </c>
      <c r="F209" s="768"/>
      <c r="G209" s="768"/>
      <c r="H209" s="768"/>
      <c r="I209" s="768"/>
      <c r="J209" s="768"/>
      <c r="K209" s="768"/>
      <c r="L209" s="768"/>
      <c r="M209" s="768"/>
      <c r="N209" s="790">
        <v>0.1956</v>
      </c>
      <c r="O209" s="790"/>
      <c r="P209" s="790"/>
      <c r="Q209" s="790"/>
      <c r="R209" s="790">
        <v>1</v>
      </c>
      <c r="S209" s="790"/>
      <c r="T209" s="646">
        <f t="shared" si="20"/>
        <v>1.1956</v>
      </c>
      <c r="U209" s="658">
        <v>1.1956</v>
      </c>
      <c r="V209" s="749" t="s">
        <v>385</v>
      </c>
      <c r="W209" s="531" t="s">
        <v>385</v>
      </c>
      <c r="X209" s="732"/>
      <c r="Y209" s="732"/>
      <c r="Z209" s="732"/>
      <c r="AA209" s="732"/>
    </row>
    <row r="210" spans="1:27" ht="39.75" customHeight="1">
      <c r="A210" s="736"/>
      <c r="B210" s="701" t="s">
        <v>386</v>
      </c>
      <c r="C210" s="736"/>
      <c r="D210" s="736"/>
      <c r="E210" s="660"/>
      <c r="F210" s="660">
        <f t="shared" ref="F210:S210" si="21">SUM(F159:F209)</f>
        <v>0</v>
      </c>
      <c r="G210" s="667">
        <f t="shared" si="21"/>
        <v>0</v>
      </c>
      <c r="H210" s="667">
        <f t="shared" si="21"/>
        <v>0</v>
      </c>
      <c r="I210" s="660">
        <f t="shared" si="21"/>
        <v>11.1</v>
      </c>
      <c r="J210" s="660">
        <f t="shared" si="21"/>
        <v>0</v>
      </c>
      <c r="K210" s="660">
        <f t="shared" si="21"/>
        <v>0</v>
      </c>
      <c r="L210" s="660">
        <f t="shared" si="21"/>
        <v>0</v>
      </c>
      <c r="M210" s="660">
        <f t="shared" si="21"/>
        <v>23.2</v>
      </c>
      <c r="N210" s="668">
        <f t="shared" si="21"/>
        <v>90.893100000000004</v>
      </c>
      <c r="O210" s="660">
        <f t="shared" si="21"/>
        <v>895.67499999999995</v>
      </c>
      <c r="P210" s="667">
        <f t="shared" si="21"/>
        <v>4423.0448200000001</v>
      </c>
      <c r="Q210" s="1234">
        <f t="shared" si="21"/>
        <v>19.169999999999998</v>
      </c>
      <c r="R210" s="660">
        <f t="shared" si="21"/>
        <v>331.64</v>
      </c>
      <c r="S210" s="660">
        <f t="shared" si="21"/>
        <v>1.75</v>
      </c>
      <c r="T210" s="660">
        <f t="shared" si="20"/>
        <v>5796.4729200000002</v>
      </c>
      <c r="U210" s="668">
        <f t="shared" ref="U210:V210" si="22">SUM(U159:U209)</f>
        <v>6136.2903222880004</v>
      </c>
      <c r="V210" s="660">
        <f t="shared" si="22"/>
        <v>0</v>
      </c>
      <c r="W210" s="735"/>
      <c r="X210" s="732"/>
      <c r="Y210" s="732"/>
      <c r="Z210" s="732"/>
      <c r="AA210" s="732"/>
    </row>
    <row r="211" spans="1:27" ht="39.75" customHeight="1">
      <c r="A211" s="702" t="s">
        <v>387</v>
      </c>
      <c r="B211" s="736"/>
      <c r="C211" s="736"/>
      <c r="D211" s="736"/>
      <c r="E211" s="791"/>
      <c r="F211" s="679">
        <f t="shared" ref="F211:S211" si="23">F210+F158+F134+F93+F68</f>
        <v>124.6105</v>
      </c>
      <c r="G211" s="680">
        <f t="shared" si="23"/>
        <v>3.5</v>
      </c>
      <c r="H211" s="680">
        <f t="shared" si="23"/>
        <v>2.5</v>
      </c>
      <c r="I211" s="679">
        <f t="shared" si="23"/>
        <v>45.409930000000003</v>
      </c>
      <c r="J211" s="679">
        <f t="shared" si="23"/>
        <v>0</v>
      </c>
      <c r="K211" s="681">
        <f t="shared" si="23"/>
        <v>74.22399999999999</v>
      </c>
      <c r="L211" s="679">
        <f t="shared" si="23"/>
        <v>5</v>
      </c>
      <c r="M211" s="680">
        <f t="shared" si="23"/>
        <v>64.554000000000002</v>
      </c>
      <c r="N211" s="681">
        <f t="shared" si="23"/>
        <v>186.27930000000001</v>
      </c>
      <c r="O211" s="679">
        <f t="shared" si="23"/>
        <v>1299.5729499999998</v>
      </c>
      <c r="P211" s="680">
        <f t="shared" si="23"/>
        <v>5772.9869749999998</v>
      </c>
      <c r="Q211" s="825">
        <f t="shared" si="23"/>
        <v>99.823399999999992</v>
      </c>
      <c r="R211" s="680">
        <f t="shared" si="23"/>
        <v>400.48080000000004</v>
      </c>
      <c r="S211" s="680">
        <f t="shared" si="23"/>
        <v>29.19</v>
      </c>
      <c r="T211" s="680">
        <f t="shared" si="20"/>
        <v>8108.1318549999996</v>
      </c>
      <c r="U211" s="681">
        <f t="shared" ref="U211:V211" si="24">U210+U158+U134+U93+U68</f>
        <v>8489.9428912525</v>
      </c>
      <c r="V211" s="679">
        <f t="shared" si="24"/>
        <v>0</v>
      </c>
      <c r="W211" s="735"/>
      <c r="X211" s="732"/>
      <c r="Y211" s="732"/>
      <c r="Z211" s="732"/>
      <c r="AA211" s="732"/>
    </row>
    <row r="212" spans="1:27" ht="24.75" customHeight="1">
      <c r="A212" s="732"/>
      <c r="B212" s="732"/>
      <c r="C212" s="732"/>
      <c r="D212" s="732"/>
      <c r="E212" s="732"/>
      <c r="F212" s="732"/>
      <c r="G212" s="732"/>
      <c r="H212" s="732"/>
      <c r="I212" s="732"/>
      <c r="J212" s="732"/>
      <c r="K212" s="732"/>
      <c r="L212" s="732"/>
      <c r="M212" s="732"/>
      <c r="N212" s="732"/>
      <c r="O212" s="732"/>
      <c r="P212" s="732"/>
      <c r="Q212" s="732"/>
      <c r="R212" s="732"/>
      <c r="S212" s="732"/>
      <c r="T212" s="732"/>
      <c r="U212" s="732"/>
      <c r="V212" s="733"/>
      <c r="W212" s="732"/>
      <c r="X212" s="732"/>
      <c r="Y212" s="732"/>
      <c r="Z212" s="732"/>
      <c r="AA212" s="732"/>
    </row>
    <row r="213" spans="1:27" ht="24.75" customHeight="1">
      <c r="A213" s="732"/>
      <c r="B213" s="732"/>
      <c r="C213" s="732"/>
      <c r="D213" s="732"/>
      <c r="E213" s="732"/>
      <c r="F213" s="732"/>
      <c r="G213" s="732"/>
      <c r="H213" s="732"/>
      <c r="I213" s="732"/>
      <c r="J213" s="732"/>
      <c r="K213" s="732"/>
      <c r="L213" s="732"/>
      <c r="M213" s="732"/>
      <c r="N213" s="732"/>
      <c r="O213" s="732"/>
      <c r="P213" s="732"/>
      <c r="Q213" s="732"/>
      <c r="R213" s="732"/>
      <c r="S213" s="732"/>
      <c r="T213" s="732"/>
      <c r="U213" s="732"/>
      <c r="V213" s="733"/>
      <c r="W213" s="732"/>
      <c r="X213" s="732"/>
      <c r="Y213" s="732"/>
      <c r="Z213" s="732"/>
      <c r="AA213" s="732"/>
    </row>
    <row r="214" spans="1:27" ht="24.75" customHeight="1">
      <c r="A214" s="732"/>
      <c r="B214" s="732"/>
      <c r="C214" s="732"/>
      <c r="D214" s="732"/>
      <c r="E214" s="732"/>
      <c r="F214" s="732"/>
      <c r="G214" s="732"/>
      <c r="H214" s="732"/>
      <c r="I214" s="732"/>
      <c r="J214" s="732"/>
      <c r="K214" s="732"/>
      <c r="L214" s="732"/>
      <c r="M214" s="732"/>
      <c r="N214" s="732"/>
      <c r="O214" s="732"/>
      <c r="P214" s="732"/>
      <c r="Q214" s="732"/>
      <c r="R214" s="732"/>
      <c r="S214" s="732"/>
      <c r="T214" s="732"/>
      <c r="U214" s="732"/>
      <c r="V214" s="733"/>
      <c r="W214" s="732"/>
      <c r="X214" s="732"/>
      <c r="Y214" s="732"/>
      <c r="Z214" s="732"/>
      <c r="AA214" s="732"/>
    </row>
    <row r="215" spans="1:27" ht="24.75" customHeight="1">
      <c r="A215" s="732"/>
      <c r="B215" s="732"/>
      <c r="C215" s="732"/>
      <c r="D215" s="732"/>
      <c r="E215" s="732"/>
      <c r="F215" s="732"/>
      <c r="G215" s="732"/>
      <c r="H215" s="732"/>
      <c r="I215" s="732"/>
      <c r="J215" s="732"/>
      <c r="K215" s="732"/>
      <c r="L215" s="732"/>
      <c r="M215" s="732"/>
      <c r="N215" s="732"/>
      <c r="O215" s="732"/>
      <c r="P215" s="732"/>
      <c r="Q215" s="732"/>
      <c r="R215" s="732"/>
      <c r="S215" s="732"/>
      <c r="T215" s="732"/>
      <c r="U215" s="732"/>
      <c r="V215" s="733"/>
      <c r="W215" s="732"/>
      <c r="X215" s="732"/>
      <c r="Y215" s="732"/>
      <c r="Z215" s="732"/>
      <c r="AA215" s="732"/>
    </row>
    <row r="216" spans="1:27" ht="24.75" customHeight="1">
      <c r="A216" s="732"/>
      <c r="B216" s="732"/>
      <c r="C216" s="732"/>
      <c r="D216" s="732"/>
      <c r="E216" s="732"/>
      <c r="F216" s="732"/>
      <c r="G216" s="732"/>
      <c r="H216" s="732"/>
      <c r="I216" s="732"/>
      <c r="J216" s="732"/>
      <c r="K216" s="732"/>
      <c r="L216" s="732"/>
      <c r="M216" s="732"/>
      <c r="N216" s="732"/>
      <c r="O216" s="732"/>
      <c r="P216" s="732"/>
      <c r="Q216" s="732"/>
      <c r="R216" s="732"/>
      <c r="S216" s="732"/>
      <c r="T216" s="732"/>
      <c r="U216" s="732"/>
      <c r="V216" s="733"/>
      <c r="W216" s="732"/>
      <c r="X216" s="732"/>
      <c r="Y216" s="732"/>
      <c r="Z216" s="732"/>
      <c r="AA216" s="732"/>
    </row>
    <row r="217" spans="1:27" ht="24.75" customHeight="1">
      <c r="A217" s="732"/>
      <c r="B217" s="732"/>
      <c r="C217" s="732"/>
      <c r="D217" s="732"/>
      <c r="E217" s="732"/>
      <c r="F217" s="732"/>
      <c r="G217" s="732"/>
      <c r="H217" s="732"/>
      <c r="I217" s="732"/>
      <c r="J217" s="732"/>
      <c r="K217" s="732"/>
      <c r="L217" s="732"/>
      <c r="M217" s="732"/>
      <c r="N217" s="732"/>
      <c r="O217" s="732"/>
      <c r="P217" s="732"/>
      <c r="Q217" s="732"/>
      <c r="R217" s="732"/>
      <c r="S217" s="732"/>
      <c r="T217" s="732"/>
      <c r="U217" s="732"/>
      <c r="V217" s="733"/>
      <c r="W217" s="732"/>
      <c r="X217" s="732"/>
      <c r="Y217" s="732"/>
      <c r="Z217" s="732"/>
      <c r="AA217" s="732"/>
    </row>
    <row r="218" spans="1:27" ht="24.75" customHeight="1">
      <c r="A218" s="732"/>
      <c r="B218" s="732"/>
      <c r="C218" s="732"/>
      <c r="D218" s="732"/>
      <c r="E218" s="732"/>
      <c r="F218" s="732"/>
      <c r="G218" s="732"/>
      <c r="H218" s="732"/>
      <c r="I218" s="732"/>
      <c r="J218" s="732"/>
      <c r="K218" s="732"/>
      <c r="L218" s="732"/>
      <c r="M218" s="732"/>
      <c r="N218" s="732"/>
      <c r="O218" s="732"/>
      <c r="P218" s="732"/>
      <c r="Q218" s="732"/>
      <c r="R218" s="732"/>
      <c r="S218" s="732"/>
      <c r="T218" s="732"/>
      <c r="U218" s="732"/>
      <c r="V218" s="733"/>
      <c r="W218" s="732"/>
      <c r="X218" s="732"/>
      <c r="Y218" s="732"/>
      <c r="Z218" s="732"/>
      <c r="AA218" s="732"/>
    </row>
    <row r="219" spans="1:27" ht="24.75" customHeight="1">
      <c r="A219" s="732"/>
      <c r="B219" s="732"/>
      <c r="C219" s="732"/>
      <c r="D219" s="732"/>
      <c r="E219" s="732"/>
      <c r="F219" s="732"/>
      <c r="G219" s="732"/>
      <c r="H219" s="732"/>
      <c r="I219" s="732"/>
      <c r="J219" s="732"/>
      <c r="K219" s="732"/>
      <c r="L219" s="732"/>
      <c r="M219" s="732"/>
      <c r="N219" s="732"/>
      <c r="O219" s="732"/>
      <c r="P219" s="732"/>
      <c r="Q219" s="732"/>
      <c r="R219" s="732"/>
      <c r="S219" s="732"/>
      <c r="T219" s="732"/>
      <c r="U219" s="732"/>
      <c r="V219" s="733"/>
      <c r="W219" s="732"/>
      <c r="X219" s="732"/>
      <c r="Y219" s="732"/>
      <c r="Z219" s="732"/>
      <c r="AA219" s="732"/>
    </row>
    <row r="220" spans="1:27" ht="24.75" customHeight="1">
      <c r="A220" s="732"/>
      <c r="B220" s="732"/>
      <c r="C220" s="732"/>
      <c r="D220" s="732"/>
      <c r="E220" s="732"/>
      <c r="F220" s="732"/>
      <c r="G220" s="732"/>
      <c r="H220" s="732"/>
      <c r="I220" s="732"/>
      <c r="J220" s="732"/>
      <c r="K220" s="732"/>
      <c r="L220" s="732"/>
      <c r="M220" s="732"/>
      <c r="N220" s="732"/>
      <c r="O220" s="732"/>
      <c r="P220" s="732"/>
      <c r="Q220" s="732"/>
      <c r="R220" s="732"/>
      <c r="S220" s="732"/>
      <c r="T220" s="732"/>
      <c r="U220" s="732"/>
      <c r="V220" s="733"/>
      <c r="W220" s="732"/>
      <c r="X220" s="732"/>
      <c r="Y220" s="732"/>
      <c r="Z220" s="732"/>
      <c r="AA220" s="732"/>
    </row>
    <row r="221" spans="1:27" ht="24.75" customHeight="1">
      <c r="A221" s="732"/>
      <c r="B221" s="732"/>
      <c r="C221" s="732"/>
      <c r="D221" s="732"/>
      <c r="E221" s="732"/>
      <c r="F221" s="732"/>
      <c r="G221" s="732"/>
      <c r="H221" s="732"/>
      <c r="I221" s="732"/>
      <c r="J221" s="732"/>
      <c r="K221" s="732"/>
      <c r="L221" s="732"/>
      <c r="M221" s="732"/>
      <c r="N221" s="732"/>
      <c r="O221" s="732"/>
      <c r="P221" s="732"/>
      <c r="Q221" s="732"/>
      <c r="R221" s="732"/>
      <c r="S221" s="732"/>
      <c r="T221" s="732"/>
      <c r="U221" s="732"/>
      <c r="V221" s="733"/>
      <c r="W221" s="732"/>
      <c r="X221" s="732"/>
      <c r="Y221" s="732"/>
      <c r="Z221" s="732"/>
      <c r="AA221" s="732"/>
    </row>
    <row r="222" spans="1:27" ht="24.75" customHeight="1">
      <c r="A222" s="732"/>
      <c r="B222" s="732"/>
      <c r="C222" s="732"/>
      <c r="D222" s="732"/>
      <c r="E222" s="732"/>
      <c r="F222" s="732"/>
      <c r="G222" s="732"/>
      <c r="H222" s="732"/>
      <c r="I222" s="732"/>
      <c r="J222" s="732"/>
      <c r="K222" s="732"/>
      <c r="L222" s="732"/>
      <c r="M222" s="732"/>
      <c r="N222" s="732"/>
      <c r="O222" s="732"/>
      <c r="P222" s="732"/>
      <c r="Q222" s="732"/>
      <c r="R222" s="732"/>
      <c r="S222" s="732"/>
      <c r="T222" s="732"/>
      <c r="U222" s="732"/>
      <c r="V222" s="733"/>
      <c r="W222" s="732"/>
      <c r="X222" s="732"/>
      <c r="Y222" s="732"/>
      <c r="Z222" s="732"/>
      <c r="AA222" s="732"/>
    </row>
    <row r="223" spans="1:27" ht="24.75" customHeight="1">
      <c r="A223" s="732"/>
      <c r="B223" s="732"/>
      <c r="C223" s="732"/>
      <c r="D223" s="732"/>
      <c r="E223" s="732"/>
      <c r="F223" s="732"/>
      <c r="G223" s="732"/>
      <c r="H223" s="732"/>
      <c r="I223" s="732"/>
      <c r="J223" s="732"/>
      <c r="K223" s="732"/>
      <c r="L223" s="732"/>
      <c r="M223" s="732"/>
      <c r="N223" s="732"/>
      <c r="O223" s="732"/>
      <c r="P223" s="732"/>
      <c r="Q223" s="732"/>
      <c r="R223" s="732"/>
      <c r="S223" s="732"/>
      <c r="T223" s="732"/>
      <c r="U223" s="732"/>
      <c r="V223" s="733"/>
      <c r="W223" s="732"/>
      <c r="X223" s="732"/>
      <c r="Y223" s="732"/>
      <c r="Z223" s="732"/>
      <c r="AA223" s="732"/>
    </row>
    <row r="224" spans="1:27" ht="24.75" customHeight="1">
      <c r="A224" s="732"/>
      <c r="B224" s="732"/>
      <c r="C224" s="732"/>
      <c r="D224" s="732"/>
      <c r="E224" s="732"/>
      <c r="F224" s="732"/>
      <c r="G224" s="732"/>
      <c r="H224" s="732"/>
      <c r="I224" s="732"/>
      <c r="J224" s="732"/>
      <c r="K224" s="732"/>
      <c r="L224" s="732"/>
      <c r="M224" s="732"/>
      <c r="N224" s="732"/>
      <c r="O224" s="732"/>
      <c r="P224" s="732"/>
      <c r="Q224" s="732"/>
      <c r="R224" s="732"/>
      <c r="S224" s="732"/>
      <c r="T224" s="732"/>
      <c r="U224" s="732"/>
      <c r="V224" s="733"/>
      <c r="W224" s="732"/>
      <c r="X224" s="732"/>
      <c r="Y224" s="732"/>
      <c r="Z224" s="732"/>
      <c r="AA224" s="732"/>
    </row>
    <row r="225" spans="1:27" ht="24.75" customHeight="1">
      <c r="A225" s="732"/>
      <c r="B225" s="732"/>
      <c r="C225" s="732"/>
      <c r="D225" s="732"/>
      <c r="E225" s="732"/>
      <c r="F225" s="732"/>
      <c r="G225" s="732"/>
      <c r="H225" s="732"/>
      <c r="I225" s="732"/>
      <c r="J225" s="732"/>
      <c r="K225" s="732"/>
      <c r="L225" s="732"/>
      <c r="M225" s="732"/>
      <c r="N225" s="732"/>
      <c r="O225" s="732"/>
      <c r="P225" s="732"/>
      <c r="Q225" s="732"/>
      <c r="R225" s="732"/>
      <c r="S225" s="732"/>
      <c r="T225" s="732"/>
      <c r="U225" s="732"/>
      <c r="V225" s="733"/>
      <c r="W225" s="732"/>
      <c r="X225" s="732"/>
      <c r="Y225" s="732"/>
      <c r="Z225" s="732"/>
      <c r="AA225" s="732"/>
    </row>
    <row r="226" spans="1:27" ht="24.75" customHeight="1">
      <c r="A226" s="732"/>
      <c r="B226" s="732"/>
      <c r="C226" s="732"/>
      <c r="D226" s="732"/>
      <c r="E226" s="732"/>
      <c r="F226" s="732"/>
      <c r="G226" s="732"/>
      <c r="H226" s="732"/>
      <c r="I226" s="732"/>
      <c r="J226" s="732"/>
      <c r="K226" s="732"/>
      <c r="L226" s="732"/>
      <c r="M226" s="732"/>
      <c r="N226" s="732"/>
      <c r="O226" s="732"/>
      <c r="P226" s="732"/>
      <c r="Q226" s="732"/>
      <c r="R226" s="732"/>
      <c r="S226" s="732"/>
      <c r="T226" s="732"/>
      <c r="U226" s="732"/>
      <c r="V226" s="733"/>
      <c r="W226" s="732"/>
      <c r="X226" s="732"/>
      <c r="Y226" s="732"/>
      <c r="Z226" s="732"/>
      <c r="AA226" s="732"/>
    </row>
    <row r="227" spans="1:27" ht="24.75" customHeight="1">
      <c r="A227" s="732"/>
      <c r="B227" s="732"/>
      <c r="C227" s="732"/>
      <c r="D227" s="732"/>
      <c r="E227" s="732"/>
      <c r="F227" s="732"/>
      <c r="G227" s="732"/>
      <c r="H227" s="732"/>
      <c r="I227" s="732"/>
      <c r="J227" s="732"/>
      <c r="K227" s="732"/>
      <c r="L227" s="732"/>
      <c r="M227" s="732"/>
      <c r="N227" s="732"/>
      <c r="O227" s="732"/>
      <c r="P227" s="732"/>
      <c r="Q227" s="732"/>
      <c r="R227" s="732"/>
      <c r="S227" s="732"/>
      <c r="T227" s="732"/>
      <c r="U227" s="732"/>
      <c r="V227" s="733"/>
      <c r="W227" s="732"/>
      <c r="X227" s="732"/>
      <c r="Y227" s="732"/>
      <c r="Z227" s="732"/>
      <c r="AA227" s="732"/>
    </row>
    <row r="228" spans="1:27" ht="24.75" customHeight="1">
      <c r="A228" s="732"/>
      <c r="B228" s="732"/>
      <c r="C228" s="732"/>
      <c r="D228" s="732"/>
      <c r="E228" s="732"/>
      <c r="F228" s="732"/>
      <c r="G228" s="732"/>
      <c r="H228" s="732"/>
      <c r="I228" s="732"/>
      <c r="J228" s="732"/>
      <c r="K228" s="732"/>
      <c r="L228" s="732"/>
      <c r="M228" s="732"/>
      <c r="N228" s="732"/>
      <c r="O228" s="732"/>
      <c r="P228" s="732"/>
      <c r="Q228" s="732"/>
      <c r="R228" s="732"/>
      <c r="S228" s="732"/>
      <c r="T228" s="732"/>
      <c r="U228" s="732"/>
      <c r="V228" s="733"/>
      <c r="W228" s="732"/>
      <c r="X228" s="732"/>
      <c r="Y228" s="732"/>
      <c r="Z228" s="732"/>
      <c r="AA228" s="732"/>
    </row>
    <row r="229" spans="1:27" ht="24.75" customHeight="1">
      <c r="A229" s="732"/>
      <c r="B229" s="732"/>
      <c r="C229" s="732"/>
      <c r="D229" s="732"/>
      <c r="E229" s="732"/>
      <c r="F229" s="732"/>
      <c r="G229" s="732"/>
      <c r="H229" s="732"/>
      <c r="I229" s="732"/>
      <c r="J229" s="732"/>
      <c r="K229" s="732"/>
      <c r="L229" s="732"/>
      <c r="M229" s="732"/>
      <c r="N229" s="732"/>
      <c r="O229" s="732"/>
      <c r="P229" s="732"/>
      <c r="Q229" s="732"/>
      <c r="R229" s="732"/>
      <c r="S229" s="732"/>
      <c r="T229" s="732"/>
      <c r="U229" s="732"/>
      <c r="V229" s="733"/>
      <c r="W229" s="732"/>
      <c r="X229" s="732"/>
      <c r="Y229" s="732"/>
      <c r="Z229" s="732"/>
      <c r="AA229" s="732"/>
    </row>
    <row r="230" spans="1:27" ht="24.75" customHeight="1">
      <c r="A230" s="732"/>
      <c r="B230" s="732"/>
      <c r="C230" s="732"/>
      <c r="D230" s="732"/>
      <c r="E230" s="732"/>
      <c r="F230" s="732"/>
      <c r="G230" s="732"/>
      <c r="H230" s="732"/>
      <c r="I230" s="732"/>
      <c r="J230" s="732"/>
      <c r="K230" s="732"/>
      <c r="L230" s="732"/>
      <c r="M230" s="732"/>
      <c r="N230" s="732"/>
      <c r="O230" s="732"/>
      <c r="P230" s="732"/>
      <c r="Q230" s="732"/>
      <c r="R230" s="732"/>
      <c r="S230" s="732"/>
      <c r="T230" s="732"/>
      <c r="U230" s="732"/>
      <c r="V230" s="733"/>
      <c r="W230" s="732"/>
      <c r="X230" s="732"/>
      <c r="Y230" s="732"/>
      <c r="Z230" s="732"/>
      <c r="AA230" s="732"/>
    </row>
    <row r="231" spans="1:27" ht="24.75" customHeight="1">
      <c r="A231" s="732"/>
      <c r="B231" s="732"/>
      <c r="C231" s="732"/>
      <c r="D231" s="732"/>
      <c r="E231" s="732"/>
      <c r="F231" s="732"/>
      <c r="G231" s="732"/>
      <c r="H231" s="732"/>
      <c r="I231" s="732"/>
      <c r="J231" s="732"/>
      <c r="K231" s="732"/>
      <c r="L231" s="732"/>
      <c r="M231" s="732"/>
      <c r="N231" s="732"/>
      <c r="O231" s="732"/>
      <c r="P231" s="732"/>
      <c r="Q231" s="732"/>
      <c r="R231" s="732"/>
      <c r="S231" s="732"/>
      <c r="T231" s="732"/>
      <c r="U231" s="732"/>
      <c r="V231" s="733"/>
      <c r="W231" s="732"/>
      <c r="X231" s="732"/>
      <c r="Y231" s="732"/>
      <c r="Z231" s="732"/>
      <c r="AA231" s="732"/>
    </row>
    <row r="232" spans="1:27" ht="24.75" customHeight="1">
      <c r="A232" s="732"/>
      <c r="B232" s="732"/>
      <c r="C232" s="732"/>
      <c r="D232" s="732"/>
      <c r="E232" s="732"/>
      <c r="F232" s="732"/>
      <c r="G232" s="732"/>
      <c r="H232" s="732"/>
      <c r="I232" s="732"/>
      <c r="J232" s="732"/>
      <c r="K232" s="732"/>
      <c r="L232" s="732"/>
      <c r="M232" s="732"/>
      <c r="N232" s="732"/>
      <c r="O232" s="732"/>
      <c r="P232" s="732"/>
      <c r="Q232" s="732"/>
      <c r="R232" s="732"/>
      <c r="S232" s="732"/>
      <c r="T232" s="732"/>
      <c r="U232" s="732"/>
      <c r="V232" s="733"/>
      <c r="W232" s="732"/>
      <c r="X232" s="732"/>
      <c r="Y232" s="732"/>
      <c r="Z232" s="732"/>
      <c r="AA232" s="732"/>
    </row>
    <row r="233" spans="1:27" ht="24.75" customHeight="1">
      <c r="A233" s="732"/>
      <c r="B233" s="732"/>
      <c r="C233" s="732"/>
      <c r="D233" s="732"/>
      <c r="E233" s="732"/>
      <c r="F233" s="732"/>
      <c r="G233" s="732"/>
      <c r="H233" s="732"/>
      <c r="I233" s="732"/>
      <c r="J233" s="732"/>
      <c r="K233" s="732"/>
      <c r="L233" s="732"/>
      <c r="M233" s="732"/>
      <c r="N233" s="732"/>
      <c r="O233" s="732"/>
      <c r="P233" s="732"/>
      <c r="Q233" s="732"/>
      <c r="R233" s="732"/>
      <c r="S233" s="732"/>
      <c r="T233" s="732"/>
      <c r="U233" s="732"/>
      <c r="V233" s="733"/>
      <c r="W233" s="732"/>
      <c r="X233" s="732"/>
      <c r="Y233" s="732"/>
      <c r="Z233" s="732"/>
      <c r="AA233" s="732"/>
    </row>
    <row r="234" spans="1:27" ht="24.75" customHeight="1">
      <c r="A234" s="732"/>
      <c r="B234" s="732"/>
      <c r="C234" s="732"/>
      <c r="D234" s="732"/>
      <c r="E234" s="732"/>
      <c r="F234" s="732"/>
      <c r="G234" s="732"/>
      <c r="H234" s="732"/>
      <c r="I234" s="732"/>
      <c r="J234" s="732"/>
      <c r="K234" s="732"/>
      <c r="L234" s="732"/>
      <c r="M234" s="732"/>
      <c r="N234" s="732"/>
      <c r="O234" s="732"/>
      <c r="P234" s="732"/>
      <c r="Q234" s="732"/>
      <c r="R234" s="732"/>
      <c r="S234" s="732"/>
      <c r="T234" s="732"/>
      <c r="U234" s="732"/>
      <c r="V234" s="733"/>
      <c r="W234" s="732"/>
      <c r="X234" s="732"/>
      <c r="Y234" s="732"/>
      <c r="Z234" s="732"/>
      <c r="AA234" s="732"/>
    </row>
    <row r="235" spans="1:27" ht="24.75" customHeight="1">
      <c r="A235" s="732"/>
      <c r="B235" s="732"/>
      <c r="C235" s="732"/>
      <c r="D235" s="732"/>
      <c r="E235" s="732"/>
      <c r="F235" s="732"/>
      <c r="G235" s="732"/>
      <c r="H235" s="732"/>
      <c r="I235" s="732"/>
      <c r="J235" s="732"/>
      <c r="K235" s="732"/>
      <c r="L235" s="732"/>
      <c r="M235" s="732"/>
      <c r="N235" s="732"/>
      <c r="O235" s="732"/>
      <c r="P235" s="732"/>
      <c r="Q235" s="732"/>
      <c r="R235" s="732"/>
      <c r="S235" s="732"/>
      <c r="T235" s="732"/>
      <c r="U235" s="732"/>
      <c r="V235" s="733"/>
      <c r="W235" s="732"/>
      <c r="X235" s="732"/>
      <c r="Y235" s="732"/>
      <c r="Z235" s="732"/>
      <c r="AA235" s="732"/>
    </row>
    <row r="236" spans="1:27" ht="24.75" customHeight="1">
      <c r="A236" s="732"/>
      <c r="B236" s="732"/>
      <c r="C236" s="732"/>
      <c r="D236" s="732"/>
      <c r="E236" s="732"/>
      <c r="F236" s="732"/>
      <c r="G236" s="732"/>
      <c r="H236" s="732"/>
      <c r="I236" s="732"/>
      <c r="J236" s="732"/>
      <c r="K236" s="732"/>
      <c r="L236" s="732"/>
      <c r="M236" s="732"/>
      <c r="N236" s="732"/>
      <c r="O236" s="732"/>
      <c r="P236" s="732"/>
      <c r="Q236" s="732"/>
      <c r="R236" s="732"/>
      <c r="S236" s="732"/>
      <c r="T236" s="732"/>
      <c r="U236" s="732"/>
      <c r="V236" s="733"/>
      <c r="W236" s="732"/>
      <c r="X236" s="732"/>
      <c r="Y236" s="732"/>
      <c r="Z236" s="732"/>
      <c r="AA236" s="732"/>
    </row>
    <row r="237" spans="1:27" ht="24.75" customHeight="1">
      <c r="A237" s="732"/>
      <c r="B237" s="732"/>
      <c r="C237" s="732"/>
      <c r="D237" s="732"/>
      <c r="E237" s="732"/>
      <c r="F237" s="732"/>
      <c r="G237" s="732"/>
      <c r="H237" s="732"/>
      <c r="I237" s="732"/>
      <c r="J237" s="732"/>
      <c r="K237" s="732"/>
      <c r="L237" s="732"/>
      <c r="M237" s="732"/>
      <c r="N237" s="732"/>
      <c r="O237" s="732"/>
      <c r="P237" s="732"/>
      <c r="Q237" s="732"/>
      <c r="R237" s="732"/>
      <c r="S237" s="732"/>
      <c r="T237" s="732"/>
      <c r="U237" s="732"/>
      <c r="V237" s="733"/>
      <c r="W237" s="732"/>
      <c r="X237" s="732"/>
      <c r="Y237" s="732"/>
      <c r="Z237" s="732"/>
      <c r="AA237" s="732"/>
    </row>
    <row r="238" spans="1:27" ht="24.75" customHeight="1">
      <c r="A238" s="732"/>
      <c r="B238" s="732"/>
      <c r="C238" s="732"/>
      <c r="D238" s="732"/>
      <c r="E238" s="732"/>
      <c r="F238" s="732"/>
      <c r="G238" s="732"/>
      <c r="H238" s="732"/>
      <c r="I238" s="732"/>
      <c r="J238" s="732"/>
      <c r="K238" s="732"/>
      <c r="L238" s="732"/>
      <c r="M238" s="732"/>
      <c r="N238" s="732"/>
      <c r="O238" s="732"/>
      <c r="P238" s="732"/>
      <c r="Q238" s="732"/>
      <c r="R238" s="732"/>
      <c r="S238" s="732"/>
      <c r="T238" s="732"/>
      <c r="U238" s="732"/>
      <c r="V238" s="733"/>
      <c r="W238" s="732"/>
      <c r="X238" s="732"/>
      <c r="Y238" s="732"/>
      <c r="Z238" s="732"/>
      <c r="AA238" s="732"/>
    </row>
    <row r="239" spans="1:27" ht="24.75" customHeight="1">
      <c r="A239" s="732"/>
      <c r="B239" s="732"/>
      <c r="C239" s="732"/>
      <c r="D239" s="732"/>
      <c r="E239" s="732"/>
      <c r="F239" s="732"/>
      <c r="G239" s="732"/>
      <c r="H239" s="732"/>
      <c r="I239" s="732"/>
      <c r="J239" s="732"/>
      <c r="K239" s="732"/>
      <c r="L239" s="732"/>
      <c r="M239" s="732"/>
      <c r="N239" s="732"/>
      <c r="O239" s="732"/>
      <c r="P239" s="732"/>
      <c r="Q239" s="732"/>
      <c r="R239" s="732"/>
      <c r="S239" s="732"/>
      <c r="T239" s="732"/>
      <c r="U239" s="732"/>
      <c r="V239" s="733"/>
      <c r="W239" s="732"/>
      <c r="X239" s="732"/>
      <c r="Y239" s="732"/>
      <c r="Z239" s="732"/>
      <c r="AA239" s="732"/>
    </row>
    <row r="240" spans="1:27" ht="24.75" customHeight="1">
      <c r="A240" s="732"/>
      <c r="B240" s="732"/>
      <c r="C240" s="732"/>
      <c r="D240" s="732"/>
      <c r="E240" s="732"/>
      <c r="F240" s="732"/>
      <c r="G240" s="732"/>
      <c r="H240" s="732"/>
      <c r="I240" s="732"/>
      <c r="J240" s="732"/>
      <c r="K240" s="732"/>
      <c r="L240" s="732"/>
      <c r="M240" s="732"/>
      <c r="N240" s="732"/>
      <c r="O240" s="732"/>
      <c r="P240" s="732"/>
      <c r="Q240" s="732"/>
      <c r="R240" s="732"/>
      <c r="S240" s="732"/>
      <c r="T240" s="732"/>
      <c r="U240" s="732"/>
      <c r="V240" s="733"/>
      <c r="W240" s="732"/>
      <c r="X240" s="732"/>
      <c r="Y240" s="732"/>
      <c r="Z240" s="732"/>
      <c r="AA240" s="732"/>
    </row>
    <row r="241" spans="1:27" ht="24.75" customHeight="1">
      <c r="A241" s="732"/>
      <c r="B241" s="732"/>
      <c r="C241" s="732"/>
      <c r="D241" s="732"/>
      <c r="E241" s="732"/>
      <c r="F241" s="732"/>
      <c r="G241" s="732"/>
      <c r="H241" s="732"/>
      <c r="I241" s="732"/>
      <c r="J241" s="732"/>
      <c r="K241" s="732"/>
      <c r="L241" s="732"/>
      <c r="M241" s="732"/>
      <c r="N241" s="732"/>
      <c r="O241" s="732"/>
      <c r="P241" s="732"/>
      <c r="Q241" s="732"/>
      <c r="R241" s="732"/>
      <c r="S241" s="732"/>
      <c r="T241" s="732"/>
      <c r="U241" s="732"/>
      <c r="V241" s="733"/>
      <c r="W241" s="732"/>
      <c r="X241" s="732"/>
      <c r="Y241" s="732"/>
      <c r="Z241" s="732"/>
      <c r="AA241" s="732"/>
    </row>
    <row r="242" spans="1:27" ht="24.75" customHeight="1">
      <c r="A242" s="732"/>
      <c r="B242" s="732"/>
      <c r="C242" s="732"/>
      <c r="D242" s="732"/>
      <c r="E242" s="732"/>
      <c r="F242" s="732"/>
      <c r="G242" s="732"/>
      <c r="H242" s="732"/>
      <c r="I242" s="732"/>
      <c r="J242" s="732"/>
      <c r="K242" s="732"/>
      <c r="L242" s="732"/>
      <c r="M242" s="732"/>
      <c r="N242" s="732"/>
      <c r="O242" s="732"/>
      <c r="P242" s="732"/>
      <c r="Q242" s="732"/>
      <c r="R242" s="732"/>
      <c r="S242" s="732"/>
      <c r="T242" s="732"/>
      <c r="U242" s="732"/>
      <c r="V242" s="733"/>
      <c r="W242" s="732"/>
      <c r="X242" s="732"/>
      <c r="Y242" s="732"/>
      <c r="Z242" s="732"/>
      <c r="AA242" s="732"/>
    </row>
    <row r="243" spans="1:27" ht="24.75" customHeight="1">
      <c r="A243" s="732"/>
      <c r="B243" s="732"/>
      <c r="C243" s="732"/>
      <c r="D243" s="732"/>
      <c r="E243" s="732"/>
      <c r="F243" s="732"/>
      <c r="G243" s="732"/>
      <c r="H243" s="732"/>
      <c r="I243" s="732"/>
      <c r="J243" s="732"/>
      <c r="K243" s="732"/>
      <c r="L243" s="732"/>
      <c r="M243" s="732"/>
      <c r="N243" s="732"/>
      <c r="O243" s="732"/>
      <c r="P243" s="732"/>
      <c r="Q243" s="732"/>
      <c r="R243" s="732"/>
      <c r="S243" s="732"/>
      <c r="T243" s="732"/>
      <c r="U243" s="732"/>
      <c r="V243" s="733"/>
      <c r="W243" s="732"/>
      <c r="X243" s="732"/>
      <c r="Y243" s="732"/>
      <c r="Z243" s="732"/>
      <c r="AA243" s="732"/>
    </row>
    <row r="244" spans="1:27" ht="24.75" customHeight="1">
      <c r="A244" s="732"/>
      <c r="B244" s="732"/>
      <c r="C244" s="732"/>
      <c r="D244" s="732"/>
      <c r="E244" s="732"/>
      <c r="F244" s="732"/>
      <c r="G244" s="732"/>
      <c r="H244" s="732"/>
      <c r="I244" s="732"/>
      <c r="J244" s="732"/>
      <c r="K244" s="732"/>
      <c r="L244" s="732"/>
      <c r="M244" s="732"/>
      <c r="N244" s="732"/>
      <c r="O244" s="732"/>
      <c r="P244" s="732"/>
      <c r="Q244" s="732"/>
      <c r="R244" s="732"/>
      <c r="S244" s="732"/>
      <c r="T244" s="732"/>
      <c r="U244" s="732"/>
      <c r="V244" s="733"/>
      <c r="W244" s="732"/>
      <c r="X244" s="732"/>
      <c r="Y244" s="732"/>
      <c r="Z244" s="732"/>
      <c r="AA244" s="732"/>
    </row>
    <row r="245" spans="1:27" ht="24.75" customHeight="1">
      <c r="A245" s="732"/>
      <c r="B245" s="732"/>
      <c r="C245" s="732"/>
      <c r="D245" s="732"/>
      <c r="E245" s="732"/>
      <c r="F245" s="732"/>
      <c r="G245" s="732"/>
      <c r="H245" s="732"/>
      <c r="I245" s="732"/>
      <c r="J245" s="732"/>
      <c r="K245" s="732"/>
      <c r="L245" s="732"/>
      <c r="M245" s="732"/>
      <c r="N245" s="732"/>
      <c r="O245" s="732"/>
      <c r="P245" s="732"/>
      <c r="Q245" s="732"/>
      <c r="R245" s="732"/>
      <c r="S245" s="732"/>
      <c r="T245" s="732"/>
      <c r="U245" s="732"/>
      <c r="V245" s="733"/>
      <c r="W245" s="732"/>
      <c r="X245" s="732"/>
      <c r="Y245" s="732"/>
      <c r="Z245" s="732"/>
      <c r="AA245" s="732"/>
    </row>
    <row r="246" spans="1:27" ht="24.75" customHeight="1">
      <c r="A246" s="732"/>
      <c r="B246" s="732"/>
      <c r="C246" s="732"/>
      <c r="D246" s="732"/>
      <c r="E246" s="732"/>
      <c r="F246" s="732"/>
      <c r="G246" s="732"/>
      <c r="H246" s="732"/>
      <c r="I246" s="732"/>
      <c r="J246" s="732"/>
      <c r="K246" s="732"/>
      <c r="L246" s="732"/>
      <c r="M246" s="732"/>
      <c r="N246" s="732"/>
      <c r="O246" s="732"/>
      <c r="P246" s="732"/>
      <c r="Q246" s="732"/>
      <c r="R246" s="732"/>
      <c r="S246" s="732"/>
      <c r="T246" s="732"/>
      <c r="U246" s="732"/>
      <c r="V246" s="733"/>
      <c r="W246" s="732"/>
      <c r="X246" s="732"/>
      <c r="Y246" s="732"/>
      <c r="Z246" s="732"/>
      <c r="AA246" s="732"/>
    </row>
    <row r="247" spans="1:27" ht="24.75" customHeight="1">
      <c r="A247" s="732"/>
      <c r="B247" s="732"/>
      <c r="C247" s="732"/>
      <c r="D247" s="732"/>
      <c r="E247" s="732"/>
      <c r="F247" s="732"/>
      <c r="G247" s="732"/>
      <c r="H247" s="732"/>
      <c r="I247" s="732"/>
      <c r="J247" s="732"/>
      <c r="K247" s="732"/>
      <c r="L247" s="732"/>
      <c r="M247" s="732"/>
      <c r="N247" s="732"/>
      <c r="O247" s="732"/>
      <c r="P247" s="732"/>
      <c r="Q247" s="732"/>
      <c r="R247" s="732"/>
      <c r="S247" s="732"/>
      <c r="T247" s="732"/>
      <c r="U247" s="732"/>
      <c r="V247" s="733"/>
      <c r="W247" s="732"/>
      <c r="X247" s="732"/>
      <c r="Y247" s="732"/>
      <c r="Z247" s="732"/>
      <c r="AA247" s="732"/>
    </row>
    <row r="248" spans="1:27" ht="24.75" customHeight="1">
      <c r="A248" s="732"/>
      <c r="B248" s="732"/>
      <c r="C248" s="732"/>
      <c r="D248" s="732"/>
      <c r="E248" s="732"/>
      <c r="F248" s="732"/>
      <c r="G248" s="732"/>
      <c r="H248" s="732"/>
      <c r="I248" s="732"/>
      <c r="J248" s="732"/>
      <c r="K248" s="732"/>
      <c r="L248" s="732"/>
      <c r="M248" s="732"/>
      <c r="N248" s="732"/>
      <c r="O248" s="732"/>
      <c r="P248" s="732"/>
      <c r="Q248" s="732"/>
      <c r="R248" s="732"/>
      <c r="S248" s="732"/>
      <c r="T248" s="732"/>
      <c r="U248" s="732"/>
      <c r="V248" s="733"/>
      <c r="W248" s="732"/>
      <c r="X248" s="732"/>
      <c r="Y248" s="732"/>
      <c r="Z248" s="732"/>
      <c r="AA248" s="732"/>
    </row>
    <row r="249" spans="1:27" ht="24.75" customHeight="1">
      <c r="A249" s="732"/>
      <c r="B249" s="732"/>
      <c r="C249" s="732"/>
      <c r="D249" s="732"/>
      <c r="E249" s="732"/>
      <c r="F249" s="732"/>
      <c r="G249" s="732"/>
      <c r="H249" s="732"/>
      <c r="I249" s="732"/>
      <c r="J249" s="732"/>
      <c r="K249" s="732"/>
      <c r="L249" s="732"/>
      <c r="M249" s="732"/>
      <c r="N249" s="732"/>
      <c r="O249" s="732"/>
      <c r="P249" s="732"/>
      <c r="Q249" s="732"/>
      <c r="R249" s="732"/>
      <c r="S249" s="732"/>
      <c r="T249" s="732"/>
      <c r="U249" s="732"/>
      <c r="V249" s="733"/>
      <c r="W249" s="732"/>
      <c r="X249" s="732"/>
      <c r="Y249" s="732"/>
      <c r="Z249" s="732"/>
      <c r="AA249" s="732"/>
    </row>
    <row r="250" spans="1:27" ht="24.75" customHeight="1">
      <c r="A250" s="732"/>
      <c r="B250" s="732"/>
      <c r="C250" s="732"/>
      <c r="D250" s="732"/>
      <c r="E250" s="732"/>
      <c r="F250" s="732"/>
      <c r="G250" s="732"/>
      <c r="H250" s="732"/>
      <c r="I250" s="732"/>
      <c r="J250" s="732"/>
      <c r="K250" s="732"/>
      <c r="L250" s="732"/>
      <c r="M250" s="732"/>
      <c r="N250" s="732"/>
      <c r="O250" s="732"/>
      <c r="P250" s="732"/>
      <c r="Q250" s="732"/>
      <c r="R250" s="732"/>
      <c r="S250" s="732"/>
      <c r="T250" s="732"/>
      <c r="U250" s="732"/>
      <c r="V250" s="733"/>
      <c r="W250" s="732"/>
      <c r="X250" s="732"/>
      <c r="Y250" s="732"/>
      <c r="Z250" s="732"/>
      <c r="AA250" s="732"/>
    </row>
    <row r="251" spans="1:27" ht="24.75" customHeight="1">
      <c r="A251" s="732"/>
      <c r="B251" s="732"/>
      <c r="C251" s="732"/>
      <c r="D251" s="732"/>
      <c r="E251" s="732"/>
      <c r="F251" s="732"/>
      <c r="G251" s="732"/>
      <c r="H251" s="732"/>
      <c r="I251" s="732"/>
      <c r="J251" s="732"/>
      <c r="K251" s="732"/>
      <c r="L251" s="732"/>
      <c r="M251" s="732"/>
      <c r="N251" s="732"/>
      <c r="O251" s="732"/>
      <c r="P251" s="732"/>
      <c r="Q251" s="732"/>
      <c r="R251" s="732"/>
      <c r="S251" s="732"/>
      <c r="T251" s="732"/>
      <c r="U251" s="732"/>
      <c r="V251" s="733"/>
      <c r="W251" s="732"/>
      <c r="X251" s="732"/>
      <c r="Y251" s="732"/>
      <c r="Z251" s="732"/>
      <c r="AA251" s="732"/>
    </row>
    <row r="252" spans="1:27" ht="24.75" customHeight="1">
      <c r="A252" s="732"/>
      <c r="B252" s="732"/>
      <c r="C252" s="732"/>
      <c r="D252" s="732"/>
      <c r="E252" s="732"/>
      <c r="F252" s="732"/>
      <c r="G252" s="732"/>
      <c r="H252" s="732"/>
      <c r="I252" s="732"/>
      <c r="J252" s="732"/>
      <c r="K252" s="732"/>
      <c r="L252" s="732"/>
      <c r="M252" s="732"/>
      <c r="N252" s="732"/>
      <c r="O252" s="732"/>
      <c r="P252" s="732"/>
      <c r="Q252" s="732"/>
      <c r="R252" s="732"/>
      <c r="S252" s="732"/>
      <c r="T252" s="732"/>
      <c r="U252" s="732"/>
      <c r="V252" s="733"/>
      <c r="W252" s="732"/>
      <c r="X252" s="732"/>
      <c r="Y252" s="732"/>
      <c r="Z252" s="732"/>
      <c r="AA252" s="732"/>
    </row>
    <row r="253" spans="1:27" ht="24.75" customHeight="1">
      <c r="A253" s="732"/>
      <c r="B253" s="732"/>
      <c r="C253" s="732"/>
      <c r="D253" s="732"/>
      <c r="E253" s="732"/>
      <c r="F253" s="732"/>
      <c r="G253" s="732"/>
      <c r="H253" s="732"/>
      <c r="I253" s="732"/>
      <c r="J253" s="732"/>
      <c r="K253" s="732"/>
      <c r="L253" s="732"/>
      <c r="M253" s="732"/>
      <c r="N253" s="732"/>
      <c r="O253" s="732"/>
      <c r="P253" s="732"/>
      <c r="Q253" s="732"/>
      <c r="R253" s="732"/>
      <c r="S253" s="732"/>
      <c r="T253" s="732"/>
      <c r="U253" s="732"/>
      <c r="V253" s="733"/>
      <c r="W253" s="732"/>
      <c r="X253" s="732"/>
      <c r="Y253" s="732"/>
      <c r="Z253" s="732"/>
      <c r="AA253" s="732"/>
    </row>
    <row r="254" spans="1:27" ht="24.75" customHeight="1">
      <c r="A254" s="732"/>
      <c r="B254" s="732"/>
      <c r="C254" s="732"/>
      <c r="D254" s="732"/>
      <c r="E254" s="732"/>
      <c r="F254" s="732"/>
      <c r="G254" s="732"/>
      <c r="H254" s="732"/>
      <c r="I254" s="732"/>
      <c r="J254" s="732"/>
      <c r="K254" s="732"/>
      <c r="L254" s="732"/>
      <c r="M254" s="732"/>
      <c r="N254" s="732"/>
      <c r="O254" s="732"/>
      <c r="P254" s="732"/>
      <c r="Q254" s="732"/>
      <c r="R254" s="732"/>
      <c r="S254" s="732"/>
      <c r="T254" s="732"/>
      <c r="U254" s="732"/>
      <c r="V254" s="733"/>
      <c r="W254" s="732"/>
      <c r="X254" s="732"/>
      <c r="Y254" s="732"/>
      <c r="Z254" s="732"/>
      <c r="AA254" s="732"/>
    </row>
    <row r="255" spans="1:27" ht="24.75" customHeight="1">
      <c r="A255" s="732"/>
      <c r="B255" s="732"/>
      <c r="C255" s="732"/>
      <c r="D255" s="732"/>
      <c r="E255" s="732"/>
      <c r="F255" s="732"/>
      <c r="G255" s="732"/>
      <c r="H255" s="732"/>
      <c r="I255" s="732"/>
      <c r="J255" s="732"/>
      <c r="K255" s="732"/>
      <c r="L255" s="732"/>
      <c r="M255" s="732"/>
      <c r="N255" s="732"/>
      <c r="O255" s="732"/>
      <c r="P255" s="732"/>
      <c r="Q255" s="732"/>
      <c r="R255" s="732"/>
      <c r="S255" s="732"/>
      <c r="T255" s="732"/>
      <c r="U255" s="732"/>
      <c r="V255" s="733"/>
      <c r="W255" s="732"/>
      <c r="X255" s="732"/>
      <c r="Y255" s="732"/>
      <c r="Z255" s="732"/>
      <c r="AA255" s="732"/>
    </row>
    <row r="256" spans="1:27" ht="24.75" customHeight="1">
      <c r="A256" s="732"/>
      <c r="B256" s="732"/>
      <c r="C256" s="732"/>
      <c r="D256" s="732"/>
      <c r="E256" s="732"/>
      <c r="F256" s="732"/>
      <c r="G256" s="732"/>
      <c r="H256" s="732"/>
      <c r="I256" s="732"/>
      <c r="J256" s="732"/>
      <c r="K256" s="732"/>
      <c r="L256" s="732"/>
      <c r="M256" s="732"/>
      <c r="N256" s="732"/>
      <c r="O256" s="732"/>
      <c r="P256" s="732"/>
      <c r="Q256" s="732"/>
      <c r="R256" s="732"/>
      <c r="S256" s="732"/>
      <c r="T256" s="732"/>
      <c r="U256" s="732"/>
      <c r="V256" s="733"/>
      <c r="W256" s="732"/>
      <c r="X256" s="732"/>
      <c r="Y256" s="732"/>
      <c r="Z256" s="732"/>
      <c r="AA256" s="732"/>
    </row>
    <row r="257" spans="1:27" ht="24.75" customHeight="1">
      <c r="A257" s="732"/>
      <c r="B257" s="732"/>
      <c r="C257" s="732"/>
      <c r="D257" s="732"/>
      <c r="E257" s="732"/>
      <c r="F257" s="732"/>
      <c r="G257" s="732"/>
      <c r="H257" s="732"/>
      <c r="I257" s="732"/>
      <c r="J257" s="732"/>
      <c r="K257" s="732"/>
      <c r="L257" s="732"/>
      <c r="M257" s="732"/>
      <c r="N257" s="732"/>
      <c r="O257" s="732"/>
      <c r="P257" s="732"/>
      <c r="Q257" s="732"/>
      <c r="R257" s="732"/>
      <c r="S257" s="732"/>
      <c r="T257" s="732"/>
      <c r="U257" s="732"/>
      <c r="V257" s="733"/>
      <c r="W257" s="732"/>
      <c r="X257" s="732"/>
      <c r="Y257" s="732"/>
      <c r="Z257" s="732"/>
      <c r="AA257" s="732"/>
    </row>
    <row r="258" spans="1:27" ht="24.75" customHeight="1">
      <c r="A258" s="732"/>
      <c r="B258" s="732"/>
      <c r="C258" s="732"/>
      <c r="D258" s="732"/>
      <c r="E258" s="732"/>
      <c r="F258" s="732"/>
      <c r="G258" s="732"/>
      <c r="H258" s="732"/>
      <c r="I258" s="732"/>
      <c r="J258" s="732"/>
      <c r="K258" s="732"/>
      <c r="L258" s="732"/>
      <c r="M258" s="732"/>
      <c r="N258" s="732"/>
      <c r="O258" s="732"/>
      <c r="P258" s="732"/>
      <c r="Q258" s="732"/>
      <c r="R258" s="732"/>
      <c r="S258" s="732"/>
      <c r="T258" s="732"/>
      <c r="U258" s="732"/>
      <c r="V258" s="733"/>
      <c r="W258" s="732"/>
      <c r="X258" s="732"/>
      <c r="Y258" s="732"/>
      <c r="Z258" s="732"/>
      <c r="AA258" s="732"/>
    </row>
    <row r="259" spans="1:27" ht="24.75" customHeight="1">
      <c r="A259" s="732"/>
      <c r="B259" s="732"/>
      <c r="C259" s="732"/>
      <c r="D259" s="732"/>
      <c r="E259" s="732"/>
      <c r="F259" s="732"/>
      <c r="G259" s="732"/>
      <c r="H259" s="732"/>
      <c r="I259" s="732"/>
      <c r="J259" s="732"/>
      <c r="K259" s="732"/>
      <c r="L259" s="732"/>
      <c r="M259" s="732"/>
      <c r="N259" s="732"/>
      <c r="O259" s="732"/>
      <c r="P259" s="732"/>
      <c r="Q259" s="732"/>
      <c r="R259" s="732"/>
      <c r="S259" s="732"/>
      <c r="T259" s="732"/>
      <c r="U259" s="732"/>
      <c r="V259" s="733"/>
      <c r="W259" s="732"/>
      <c r="X259" s="732"/>
      <c r="Y259" s="732"/>
      <c r="Z259" s="732"/>
      <c r="AA259" s="732"/>
    </row>
    <row r="260" spans="1:27" ht="24.75" customHeight="1">
      <c r="A260" s="732"/>
      <c r="B260" s="732"/>
      <c r="C260" s="732"/>
      <c r="D260" s="732"/>
      <c r="E260" s="732"/>
      <c r="F260" s="732"/>
      <c r="G260" s="732"/>
      <c r="H260" s="732"/>
      <c r="I260" s="732"/>
      <c r="J260" s="732"/>
      <c r="K260" s="732"/>
      <c r="L260" s="732"/>
      <c r="M260" s="732"/>
      <c r="N260" s="732"/>
      <c r="O260" s="732"/>
      <c r="P260" s="732"/>
      <c r="Q260" s="732"/>
      <c r="R260" s="732"/>
      <c r="S260" s="732"/>
      <c r="T260" s="732"/>
      <c r="U260" s="732"/>
      <c r="V260" s="733"/>
      <c r="W260" s="732"/>
      <c r="X260" s="732"/>
      <c r="Y260" s="732"/>
      <c r="Z260" s="732"/>
      <c r="AA260" s="732"/>
    </row>
    <row r="261" spans="1:27" ht="24.75" customHeight="1">
      <c r="A261" s="732"/>
      <c r="B261" s="732"/>
      <c r="C261" s="732"/>
      <c r="D261" s="732"/>
      <c r="E261" s="732"/>
      <c r="F261" s="732"/>
      <c r="G261" s="732"/>
      <c r="H261" s="732"/>
      <c r="I261" s="732"/>
      <c r="J261" s="732"/>
      <c r="K261" s="732"/>
      <c r="L261" s="732"/>
      <c r="M261" s="732"/>
      <c r="N261" s="732"/>
      <c r="O261" s="732"/>
      <c r="P261" s="732"/>
      <c r="Q261" s="732"/>
      <c r="R261" s="732"/>
      <c r="S261" s="732"/>
      <c r="T261" s="732"/>
      <c r="U261" s="732"/>
      <c r="V261" s="733"/>
      <c r="W261" s="732"/>
      <c r="X261" s="732"/>
      <c r="Y261" s="732"/>
      <c r="Z261" s="732"/>
      <c r="AA261" s="732"/>
    </row>
    <row r="262" spans="1:27" ht="24.75" customHeight="1">
      <c r="A262" s="732"/>
      <c r="B262" s="732"/>
      <c r="C262" s="732"/>
      <c r="D262" s="732"/>
      <c r="E262" s="732"/>
      <c r="F262" s="732"/>
      <c r="G262" s="732"/>
      <c r="H262" s="732"/>
      <c r="I262" s="732"/>
      <c r="J262" s="732"/>
      <c r="K262" s="732"/>
      <c r="L262" s="732"/>
      <c r="M262" s="732"/>
      <c r="N262" s="732"/>
      <c r="O262" s="732"/>
      <c r="P262" s="732"/>
      <c r="Q262" s="732"/>
      <c r="R262" s="732"/>
      <c r="S262" s="732"/>
      <c r="T262" s="732"/>
      <c r="U262" s="732"/>
      <c r="V262" s="733"/>
      <c r="W262" s="732"/>
      <c r="X262" s="732"/>
      <c r="Y262" s="732"/>
      <c r="Z262" s="732"/>
      <c r="AA262" s="732"/>
    </row>
    <row r="263" spans="1:27" ht="24.75" customHeight="1">
      <c r="A263" s="732"/>
      <c r="B263" s="732"/>
      <c r="C263" s="732"/>
      <c r="D263" s="732"/>
      <c r="E263" s="732"/>
      <c r="F263" s="732"/>
      <c r="G263" s="732"/>
      <c r="H263" s="732"/>
      <c r="I263" s="732"/>
      <c r="J263" s="732"/>
      <c r="K263" s="732"/>
      <c r="L263" s="732"/>
      <c r="M263" s="732"/>
      <c r="N263" s="732"/>
      <c r="O263" s="732"/>
      <c r="P263" s="732"/>
      <c r="Q263" s="732"/>
      <c r="R263" s="732"/>
      <c r="S263" s="732"/>
      <c r="T263" s="732"/>
      <c r="U263" s="732"/>
      <c r="V263" s="733"/>
      <c r="W263" s="732"/>
      <c r="X263" s="732"/>
      <c r="Y263" s="732"/>
      <c r="Z263" s="732"/>
      <c r="AA263" s="732"/>
    </row>
    <row r="264" spans="1:27" ht="24.75" customHeight="1">
      <c r="A264" s="732"/>
      <c r="B264" s="732"/>
      <c r="C264" s="732"/>
      <c r="D264" s="732"/>
      <c r="E264" s="732"/>
      <c r="F264" s="732"/>
      <c r="G264" s="732"/>
      <c r="H264" s="732"/>
      <c r="I264" s="732"/>
      <c r="J264" s="732"/>
      <c r="K264" s="732"/>
      <c r="L264" s="732"/>
      <c r="M264" s="732"/>
      <c r="N264" s="732"/>
      <c r="O264" s="732"/>
      <c r="P264" s="732"/>
      <c r="Q264" s="732"/>
      <c r="R264" s="732"/>
      <c r="S264" s="732"/>
      <c r="T264" s="732"/>
      <c r="U264" s="732"/>
      <c r="V264" s="733"/>
      <c r="W264" s="732"/>
      <c r="X264" s="732"/>
      <c r="Y264" s="732"/>
      <c r="Z264" s="732"/>
      <c r="AA264" s="732"/>
    </row>
    <row r="265" spans="1:27" ht="24.75" customHeight="1">
      <c r="A265" s="732"/>
      <c r="B265" s="732"/>
      <c r="C265" s="732"/>
      <c r="D265" s="732"/>
      <c r="E265" s="732"/>
      <c r="F265" s="732"/>
      <c r="G265" s="732"/>
      <c r="H265" s="732"/>
      <c r="I265" s="732"/>
      <c r="J265" s="732"/>
      <c r="K265" s="732"/>
      <c r="L265" s="732"/>
      <c r="M265" s="732"/>
      <c r="N265" s="732"/>
      <c r="O265" s="732"/>
      <c r="P265" s="732"/>
      <c r="Q265" s="732"/>
      <c r="R265" s="732"/>
      <c r="S265" s="732"/>
      <c r="T265" s="732"/>
      <c r="U265" s="732"/>
      <c r="V265" s="733"/>
      <c r="W265" s="732"/>
      <c r="X265" s="732"/>
      <c r="Y265" s="732"/>
      <c r="Z265" s="732"/>
      <c r="AA265" s="732"/>
    </row>
    <row r="266" spans="1:27" ht="24.75" customHeight="1">
      <c r="A266" s="732"/>
      <c r="B266" s="732"/>
      <c r="C266" s="732"/>
      <c r="D266" s="732"/>
      <c r="E266" s="732"/>
      <c r="F266" s="732"/>
      <c r="G266" s="732"/>
      <c r="H266" s="732"/>
      <c r="I266" s="732"/>
      <c r="J266" s="732"/>
      <c r="K266" s="732"/>
      <c r="L266" s="732"/>
      <c r="M266" s="732"/>
      <c r="N266" s="732"/>
      <c r="O266" s="732"/>
      <c r="P266" s="732"/>
      <c r="Q266" s="732"/>
      <c r="R266" s="732"/>
      <c r="S266" s="732"/>
      <c r="T266" s="732"/>
      <c r="U266" s="732"/>
      <c r="V266" s="733"/>
      <c r="W266" s="732"/>
      <c r="X266" s="732"/>
      <c r="Y266" s="732"/>
      <c r="Z266" s="732"/>
      <c r="AA266" s="732"/>
    </row>
    <row r="267" spans="1:27" ht="24.75" customHeight="1">
      <c r="A267" s="732"/>
      <c r="B267" s="732"/>
      <c r="C267" s="732"/>
      <c r="D267" s="732"/>
      <c r="E267" s="732"/>
      <c r="F267" s="732"/>
      <c r="G267" s="732"/>
      <c r="H267" s="732"/>
      <c r="I267" s="732"/>
      <c r="J267" s="732"/>
      <c r="K267" s="732"/>
      <c r="L267" s="732"/>
      <c r="M267" s="732"/>
      <c r="N267" s="732"/>
      <c r="O267" s="732"/>
      <c r="P267" s="732"/>
      <c r="Q267" s="732"/>
      <c r="R267" s="732"/>
      <c r="S267" s="732"/>
      <c r="T267" s="732"/>
      <c r="U267" s="732"/>
      <c r="V267" s="733"/>
      <c r="W267" s="732"/>
      <c r="X267" s="732"/>
      <c r="Y267" s="732"/>
      <c r="Z267" s="732"/>
      <c r="AA267" s="732"/>
    </row>
    <row r="268" spans="1:27" ht="24.75" customHeight="1">
      <c r="A268" s="732"/>
      <c r="B268" s="732"/>
      <c r="C268" s="732"/>
      <c r="D268" s="732"/>
      <c r="E268" s="732"/>
      <c r="F268" s="732"/>
      <c r="G268" s="732"/>
      <c r="H268" s="732"/>
      <c r="I268" s="732"/>
      <c r="J268" s="732"/>
      <c r="K268" s="732"/>
      <c r="L268" s="732"/>
      <c r="M268" s="732"/>
      <c r="N268" s="732"/>
      <c r="O268" s="732"/>
      <c r="P268" s="732"/>
      <c r="Q268" s="732"/>
      <c r="R268" s="732"/>
      <c r="S268" s="732"/>
      <c r="T268" s="732"/>
      <c r="U268" s="732"/>
      <c r="V268" s="733"/>
      <c r="W268" s="732"/>
      <c r="X268" s="732"/>
      <c r="Y268" s="732"/>
      <c r="Z268" s="732"/>
      <c r="AA268" s="732"/>
    </row>
    <row r="269" spans="1:27" ht="24.75" customHeight="1">
      <c r="A269" s="732"/>
      <c r="B269" s="732"/>
      <c r="C269" s="732"/>
      <c r="D269" s="732"/>
      <c r="E269" s="732"/>
      <c r="F269" s="732"/>
      <c r="G269" s="732"/>
      <c r="H269" s="732"/>
      <c r="I269" s="732"/>
      <c r="J269" s="732"/>
      <c r="K269" s="732"/>
      <c r="L269" s="732"/>
      <c r="M269" s="732"/>
      <c r="N269" s="732"/>
      <c r="O269" s="732"/>
      <c r="P269" s="732"/>
      <c r="Q269" s="732"/>
      <c r="R269" s="732"/>
      <c r="S269" s="732"/>
      <c r="T269" s="732"/>
      <c r="U269" s="732"/>
      <c r="V269" s="733"/>
      <c r="W269" s="732"/>
      <c r="X269" s="732"/>
      <c r="Y269" s="732"/>
      <c r="Z269" s="732"/>
      <c r="AA269" s="732"/>
    </row>
    <row r="270" spans="1:27" ht="24.75" customHeight="1">
      <c r="A270" s="732"/>
      <c r="B270" s="732"/>
      <c r="C270" s="732"/>
      <c r="D270" s="732"/>
      <c r="E270" s="732"/>
      <c r="F270" s="732"/>
      <c r="G270" s="732"/>
      <c r="H270" s="732"/>
      <c r="I270" s="732"/>
      <c r="J270" s="732"/>
      <c r="K270" s="732"/>
      <c r="L270" s="732"/>
      <c r="M270" s="732"/>
      <c r="N270" s="732"/>
      <c r="O270" s="732"/>
      <c r="P270" s="732"/>
      <c r="Q270" s="732"/>
      <c r="R270" s="732"/>
      <c r="S270" s="732"/>
      <c r="T270" s="732"/>
      <c r="U270" s="732"/>
      <c r="V270" s="733"/>
      <c r="W270" s="732"/>
      <c r="X270" s="732"/>
      <c r="Y270" s="732"/>
      <c r="Z270" s="732"/>
      <c r="AA270" s="732"/>
    </row>
    <row r="271" spans="1:27" ht="24.75" customHeight="1">
      <c r="A271" s="732"/>
      <c r="B271" s="732"/>
      <c r="C271" s="732"/>
      <c r="D271" s="732"/>
      <c r="E271" s="732"/>
      <c r="F271" s="732"/>
      <c r="G271" s="732"/>
      <c r="H271" s="732"/>
      <c r="I271" s="732"/>
      <c r="J271" s="732"/>
      <c r="K271" s="732"/>
      <c r="L271" s="732"/>
      <c r="M271" s="732"/>
      <c r="N271" s="732"/>
      <c r="O271" s="732"/>
      <c r="P271" s="732"/>
      <c r="Q271" s="732"/>
      <c r="R271" s="732"/>
      <c r="S271" s="732"/>
      <c r="T271" s="732"/>
      <c r="U271" s="732"/>
      <c r="V271" s="733"/>
      <c r="W271" s="732"/>
      <c r="X271" s="732"/>
      <c r="Y271" s="732"/>
      <c r="Z271" s="732"/>
      <c r="AA271" s="732"/>
    </row>
    <row r="272" spans="1:27" ht="24.75" customHeight="1">
      <c r="A272" s="732"/>
      <c r="B272" s="732"/>
      <c r="C272" s="732"/>
      <c r="D272" s="732"/>
      <c r="E272" s="732"/>
      <c r="F272" s="732"/>
      <c r="G272" s="732"/>
      <c r="H272" s="732"/>
      <c r="I272" s="732"/>
      <c r="J272" s="732"/>
      <c r="K272" s="732"/>
      <c r="L272" s="732"/>
      <c r="M272" s="732"/>
      <c r="N272" s="732"/>
      <c r="O272" s="732"/>
      <c r="P272" s="732"/>
      <c r="Q272" s="732"/>
      <c r="R272" s="732"/>
      <c r="S272" s="732"/>
      <c r="T272" s="732"/>
      <c r="U272" s="732"/>
      <c r="V272" s="733"/>
      <c r="W272" s="732"/>
      <c r="X272" s="732"/>
      <c r="Y272" s="732"/>
      <c r="Z272" s="732"/>
      <c r="AA272" s="732"/>
    </row>
    <row r="273" spans="1:27" ht="24.75" customHeight="1">
      <c r="A273" s="732"/>
      <c r="B273" s="732"/>
      <c r="C273" s="732"/>
      <c r="D273" s="732"/>
      <c r="E273" s="732"/>
      <c r="F273" s="732"/>
      <c r="G273" s="732"/>
      <c r="H273" s="732"/>
      <c r="I273" s="732"/>
      <c r="J273" s="732"/>
      <c r="K273" s="732"/>
      <c r="L273" s="732"/>
      <c r="M273" s="732"/>
      <c r="N273" s="732"/>
      <c r="O273" s="732"/>
      <c r="P273" s="732"/>
      <c r="Q273" s="732"/>
      <c r="R273" s="732"/>
      <c r="S273" s="732"/>
      <c r="T273" s="732"/>
      <c r="U273" s="732"/>
      <c r="V273" s="733"/>
      <c r="W273" s="732"/>
      <c r="X273" s="732"/>
      <c r="Y273" s="732"/>
      <c r="Z273" s="732"/>
      <c r="AA273" s="732"/>
    </row>
    <row r="274" spans="1:27" ht="24.75" customHeight="1">
      <c r="A274" s="732"/>
      <c r="B274" s="732"/>
      <c r="C274" s="732"/>
      <c r="D274" s="732"/>
      <c r="E274" s="732"/>
      <c r="F274" s="732"/>
      <c r="G274" s="732"/>
      <c r="H274" s="732"/>
      <c r="I274" s="732"/>
      <c r="J274" s="732"/>
      <c r="K274" s="732"/>
      <c r="L274" s="732"/>
      <c r="M274" s="732"/>
      <c r="N274" s="732"/>
      <c r="O274" s="732"/>
      <c r="P274" s="732"/>
      <c r="Q274" s="732"/>
      <c r="R274" s="732"/>
      <c r="S274" s="732"/>
      <c r="T274" s="732"/>
      <c r="U274" s="732"/>
      <c r="V274" s="733"/>
      <c r="W274" s="732"/>
      <c r="X274" s="732"/>
      <c r="Y274" s="732"/>
      <c r="Z274" s="732"/>
      <c r="AA274" s="732"/>
    </row>
    <row r="275" spans="1:27" ht="24.75" customHeight="1">
      <c r="A275" s="732"/>
      <c r="B275" s="732"/>
      <c r="C275" s="732"/>
      <c r="D275" s="732"/>
      <c r="E275" s="732"/>
      <c r="F275" s="732"/>
      <c r="G275" s="732"/>
      <c r="H275" s="732"/>
      <c r="I275" s="732"/>
      <c r="J275" s="732"/>
      <c r="K275" s="732"/>
      <c r="L275" s="732"/>
      <c r="M275" s="732"/>
      <c r="N275" s="732"/>
      <c r="O275" s="732"/>
      <c r="P275" s="732"/>
      <c r="Q275" s="732"/>
      <c r="R275" s="732"/>
      <c r="S275" s="732"/>
      <c r="T275" s="732"/>
      <c r="U275" s="732"/>
      <c r="V275" s="733"/>
      <c r="W275" s="732"/>
      <c r="X275" s="732"/>
      <c r="Y275" s="732"/>
      <c r="Z275" s="732"/>
      <c r="AA275" s="732"/>
    </row>
    <row r="276" spans="1:27" ht="24.75" customHeight="1">
      <c r="A276" s="732"/>
      <c r="B276" s="732"/>
      <c r="C276" s="732"/>
      <c r="D276" s="732"/>
      <c r="E276" s="732"/>
      <c r="F276" s="732"/>
      <c r="G276" s="732"/>
      <c r="H276" s="732"/>
      <c r="I276" s="732"/>
      <c r="J276" s="732"/>
      <c r="K276" s="732"/>
      <c r="L276" s="732"/>
      <c r="M276" s="732"/>
      <c r="N276" s="732"/>
      <c r="O276" s="732"/>
      <c r="P276" s="732"/>
      <c r="Q276" s="732"/>
      <c r="R276" s="732"/>
      <c r="S276" s="732"/>
      <c r="T276" s="732"/>
      <c r="U276" s="732"/>
      <c r="V276" s="733"/>
      <c r="W276" s="732"/>
      <c r="X276" s="732"/>
      <c r="Y276" s="732"/>
      <c r="Z276" s="732"/>
      <c r="AA276" s="732"/>
    </row>
    <row r="277" spans="1:27" ht="24.75" customHeight="1">
      <c r="A277" s="732"/>
      <c r="B277" s="732"/>
      <c r="C277" s="732"/>
      <c r="D277" s="732"/>
      <c r="E277" s="732"/>
      <c r="F277" s="732"/>
      <c r="G277" s="732"/>
      <c r="H277" s="732"/>
      <c r="I277" s="732"/>
      <c r="J277" s="732"/>
      <c r="K277" s="732"/>
      <c r="L277" s="732"/>
      <c r="M277" s="732"/>
      <c r="N277" s="732"/>
      <c r="O277" s="732"/>
      <c r="P277" s="732"/>
      <c r="Q277" s="732"/>
      <c r="R277" s="732"/>
      <c r="S277" s="732"/>
      <c r="T277" s="732"/>
      <c r="U277" s="732"/>
      <c r="V277" s="733"/>
      <c r="W277" s="732"/>
      <c r="X277" s="732"/>
      <c r="Y277" s="732"/>
      <c r="Z277" s="732"/>
      <c r="AA277" s="732"/>
    </row>
    <row r="278" spans="1:27" ht="24.75" customHeight="1">
      <c r="A278" s="732"/>
      <c r="B278" s="732"/>
      <c r="C278" s="732"/>
      <c r="D278" s="732"/>
      <c r="E278" s="732"/>
      <c r="F278" s="732"/>
      <c r="G278" s="732"/>
      <c r="H278" s="732"/>
      <c r="I278" s="732"/>
      <c r="J278" s="732"/>
      <c r="K278" s="732"/>
      <c r="L278" s="732"/>
      <c r="M278" s="732"/>
      <c r="N278" s="732"/>
      <c r="O278" s="732"/>
      <c r="P278" s="732"/>
      <c r="Q278" s="732"/>
      <c r="R278" s="732"/>
      <c r="S278" s="732"/>
      <c r="T278" s="732"/>
      <c r="U278" s="732"/>
      <c r="V278" s="733"/>
      <c r="W278" s="732"/>
      <c r="X278" s="732"/>
      <c r="Y278" s="732"/>
      <c r="Z278" s="732"/>
      <c r="AA278" s="732"/>
    </row>
    <row r="279" spans="1:27" ht="24.75" customHeight="1">
      <c r="A279" s="732"/>
      <c r="B279" s="732"/>
      <c r="C279" s="732"/>
      <c r="D279" s="732"/>
      <c r="E279" s="732"/>
      <c r="F279" s="732"/>
      <c r="G279" s="732"/>
      <c r="H279" s="732"/>
      <c r="I279" s="732"/>
      <c r="J279" s="732"/>
      <c r="K279" s="732"/>
      <c r="L279" s="732"/>
      <c r="M279" s="732"/>
      <c r="N279" s="732"/>
      <c r="O279" s="732"/>
      <c r="P279" s="732"/>
      <c r="Q279" s="732"/>
      <c r="R279" s="732"/>
      <c r="S279" s="732"/>
      <c r="T279" s="732"/>
      <c r="U279" s="732"/>
      <c r="V279" s="733"/>
      <c r="W279" s="732"/>
      <c r="X279" s="732"/>
      <c r="Y279" s="732"/>
      <c r="Z279" s="732"/>
      <c r="AA279" s="732"/>
    </row>
    <row r="280" spans="1:27" ht="24.75" customHeight="1">
      <c r="A280" s="732"/>
      <c r="B280" s="732"/>
      <c r="C280" s="732"/>
      <c r="D280" s="732"/>
      <c r="E280" s="732"/>
      <c r="F280" s="732"/>
      <c r="G280" s="732"/>
      <c r="H280" s="732"/>
      <c r="I280" s="732"/>
      <c r="J280" s="732"/>
      <c r="K280" s="732"/>
      <c r="L280" s="732"/>
      <c r="M280" s="732"/>
      <c r="N280" s="732"/>
      <c r="O280" s="732"/>
      <c r="P280" s="732"/>
      <c r="Q280" s="732"/>
      <c r="R280" s="732"/>
      <c r="S280" s="732"/>
      <c r="T280" s="732"/>
      <c r="U280" s="732"/>
      <c r="V280" s="733"/>
      <c r="W280" s="732"/>
      <c r="X280" s="732"/>
      <c r="Y280" s="732"/>
      <c r="Z280" s="732"/>
      <c r="AA280" s="732"/>
    </row>
    <row r="281" spans="1:27" ht="24.75" customHeight="1">
      <c r="A281" s="732"/>
      <c r="B281" s="732"/>
      <c r="C281" s="732"/>
      <c r="D281" s="732"/>
      <c r="E281" s="732"/>
      <c r="F281" s="732"/>
      <c r="G281" s="732"/>
      <c r="H281" s="732"/>
      <c r="I281" s="732"/>
      <c r="J281" s="732"/>
      <c r="K281" s="732"/>
      <c r="L281" s="732"/>
      <c r="M281" s="732"/>
      <c r="N281" s="732"/>
      <c r="O281" s="732"/>
      <c r="P281" s="732"/>
      <c r="Q281" s="732"/>
      <c r="R281" s="732"/>
      <c r="S281" s="732"/>
      <c r="T281" s="732"/>
      <c r="U281" s="732"/>
      <c r="V281" s="733"/>
      <c r="W281" s="732"/>
      <c r="X281" s="732"/>
      <c r="Y281" s="732"/>
      <c r="Z281" s="732"/>
      <c r="AA281" s="732"/>
    </row>
    <row r="282" spans="1:27" ht="24.75" customHeight="1">
      <c r="A282" s="732"/>
      <c r="B282" s="732"/>
      <c r="C282" s="732"/>
      <c r="D282" s="732"/>
      <c r="E282" s="732"/>
      <c r="F282" s="732"/>
      <c r="G282" s="732"/>
      <c r="H282" s="732"/>
      <c r="I282" s="732"/>
      <c r="J282" s="732"/>
      <c r="K282" s="732"/>
      <c r="L282" s="732"/>
      <c r="M282" s="732"/>
      <c r="N282" s="732"/>
      <c r="O282" s="732"/>
      <c r="P282" s="732"/>
      <c r="Q282" s="732"/>
      <c r="R282" s="732"/>
      <c r="S282" s="732"/>
      <c r="T282" s="732"/>
      <c r="U282" s="732"/>
      <c r="V282" s="733"/>
      <c r="W282" s="732"/>
      <c r="X282" s="732"/>
      <c r="Y282" s="732"/>
      <c r="Z282" s="732"/>
      <c r="AA282" s="732"/>
    </row>
    <row r="283" spans="1:27" ht="24.75" customHeight="1">
      <c r="A283" s="732"/>
      <c r="B283" s="732"/>
      <c r="C283" s="732"/>
      <c r="D283" s="732"/>
      <c r="E283" s="732"/>
      <c r="F283" s="732"/>
      <c r="G283" s="732"/>
      <c r="H283" s="732"/>
      <c r="I283" s="732"/>
      <c r="J283" s="732"/>
      <c r="K283" s="732"/>
      <c r="L283" s="732"/>
      <c r="M283" s="732"/>
      <c r="N283" s="732"/>
      <c r="O283" s="732"/>
      <c r="P283" s="732"/>
      <c r="Q283" s="732"/>
      <c r="R283" s="732"/>
      <c r="S283" s="732"/>
      <c r="T283" s="732"/>
      <c r="U283" s="732"/>
      <c r="V283" s="733"/>
      <c r="W283" s="732"/>
      <c r="X283" s="732"/>
      <c r="Y283" s="732"/>
      <c r="Z283" s="732"/>
      <c r="AA283" s="732"/>
    </row>
    <row r="284" spans="1:27" ht="24.75" customHeight="1">
      <c r="A284" s="732"/>
      <c r="B284" s="732"/>
      <c r="C284" s="732"/>
      <c r="D284" s="732"/>
      <c r="E284" s="732"/>
      <c r="F284" s="732"/>
      <c r="G284" s="732"/>
      <c r="H284" s="732"/>
      <c r="I284" s="732"/>
      <c r="J284" s="732"/>
      <c r="K284" s="732"/>
      <c r="L284" s="732"/>
      <c r="M284" s="732"/>
      <c r="N284" s="732"/>
      <c r="O284" s="732"/>
      <c r="P284" s="732"/>
      <c r="Q284" s="732"/>
      <c r="R284" s="732"/>
      <c r="S284" s="732"/>
      <c r="T284" s="732"/>
      <c r="U284" s="732"/>
      <c r="V284" s="733"/>
      <c r="W284" s="732"/>
      <c r="X284" s="732"/>
      <c r="Y284" s="732"/>
      <c r="Z284" s="732"/>
      <c r="AA284" s="732"/>
    </row>
    <row r="285" spans="1:27" ht="24.75" customHeight="1">
      <c r="A285" s="732"/>
      <c r="B285" s="732"/>
      <c r="C285" s="732"/>
      <c r="D285" s="732"/>
      <c r="E285" s="732"/>
      <c r="F285" s="732"/>
      <c r="G285" s="732"/>
      <c r="H285" s="732"/>
      <c r="I285" s="732"/>
      <c r="J285" s="732"/>
      <c r="K285" s="732"/>
      <c r="L285" s="732"/>
      <c r="M285" s="732"/>
      <c r="N285" s="732"/>
      <c r="O285" s="732"/>
      <c r="P285" s="732"/>
      <c r="Q285" s="732"/>
      <c r="R285" s="732"/>
      <c r="S285" s="732"/>
      <c r="T285" s="732"/>
      <c r="U285" s="732"/>
      <c r="V285" s="733"/>
      <c r="W285" s="732"/>
      <c r="X285" s="732"/>
      <c r="Y285" s="732"/>
      <c r="Z285" s="732"/>
      <c r="AA285" s="732"/>
    </row>
    <row r="286" spans="1:27" ht="24.75" customHeight="1">
      <c r="A286" s="732"/>
      <c r="B286" s="732"/>
      <c r="C286" s="732"/>
      <c r="D286" s="732"/>
      <c r="E286" s="732"/>
      <c r="F286" s="732"/>
      <c r="G286" s="732"/>
      <c r="H286" s="732"/>
      <c r="I286" s="732"/>
      <c r="J286" s="732"/>
      <c r="K286" s="732"/>
      <c r="L286" s="732"/>
      <c r="M286" s="732"/>
      <c r="N286" s="732"/>
      <c r="O286" s="732"/>
      <c r="P286" s="732"/>
      <c r="Q286" s="732"/>
      <c r="R286" s="732"/>
      <c r="S286" s="732"/>
      <c r="T286" s="732"/>
      <c r="U286" s="732"/>
      <c r="V286" s="733"/>
      <c r="W286" s="732"/>
      <c r="X286" s="732"/>
      <c r="Y286" s="732"/>
      <c r="Z286" s="732"/>
      <c r="AA286" s="732"/>
    </row>
    <row r="287" spans="1:27" ht="24.75" customHeight="1">
      <c r="A287" s="732"/>
      <c r="B287" s="732"/>
      <c r="C287" s="732"/>
      <c r="D287" s="732"/>
      <c r="E287" s="732"/>
      <c r="F287" s="732"/>
      <c r="G287" s="732"/>
      <c r="H287" s="732"/>
      <c r="I287" s="732"/>
      <c r="J287" s="732"/>
      <c r="K287" s="732"/>
      <c r="L287" s="732"/>
      <c r="M287" s="732"/>
      <c r="N287" s="732"/>
      <c r="O287" s="732"/>
      <c r="P287" s="732"/>
      <c r="Q287" s="732"/>
      <c r="R287" s="732"/>
      <c r="S287" s="732"/>
      <c r="T287" s="732"/>
      <c r="U287" s="732"/>
      <c r="V287" s="733"/>
      <c r="W287" s="732"/>
      <c r="X287" s="732"/>
      <c r="Y287" s="732"/>
      <c r="Z287" s="732"/>
      <c r="AA287" s="732"/>
    </row>
    <row r="288" spans="1:27" ht="24.75" customHeight="1">
      <c r="A288" s="732"/>
      <c r="B288" s="732"/>
      <c r="C288" s="732"/>
      <c r="D288" s="732"/>
      <c r="E288" s="732"/>
      <c r="F288" s="732"/>
      <c r="G288" s="732"/>
      <c r="H288" s="732"/>
      <c r="I288" s="732"/>
      <c r="J288" s="732"/>
      <c r="K288" s="732"/>
      <c r="L288" s="732"/>
      <c r="M288" s="732"/>
      <c r="N288" s="732"/>
      <c r="O288" s="732"/>
      <c r="P288" s="732"/>
      <c r="Q288" s="732"/>
      <c r="R288" s="732"/>
      <c r="S288" s="732"/>
      <c r="T288" s="732"/>
      <c r="U288" s="732"/>
      <c r="V288" s="733"/>
      <c r="W288" s="732"/>
      <c r="X288" s="732"/>
      <c r="Y288" s="732"/>
      <c r="Z288" s="732"/>
      <c r="AA288" s="732"/>
    </row>
    <row r="289" spans="1:27" ht="24.75" customHeight="1">
      <c r="A289" s="732"/>
      <c r="B289" s="732"/>
      <c r="C289" s="732"/>
      <c r="D289" s="732"/>
      <c r="E289" s="732"/>
      <c r="F289" s="732"/>
      <c r="G289" s="732"/>
      <c r="H289" s="732"/>
      <c r="I289" s="732"/>
      <c r="J289" s="732"/>
      <c r="K289" s="732"/>
      <c r="L289" s="732"/>
      <c r="M289" s="732"/>
      <c r="N289" s="732"/>
      <c r="O289" s="732"/>
      <c r="P289" s="732"/>
      <c r="Q289" s="732"/>
      <c r="R289" s="732"/>
      <c r="S289" s="732"/>
      <c r="T289" s="732"/>
      <c r="U289" s="732"/>
      <c r="V289" s="733"/>
      <c r="W289" s="732"/>
      <c r="X289" s="732"/>
      <c r="Y289" s="732"/>
      <c r="Z289" s="732"/>
      <c r="AA289" s="732"/>
    </row>
    <row r="290" spans="1:27" ht="24.75" customHeight="1">
      <c r="A290" s="732"/>
      <c r="B290" s="732"/>
      <c r="C290" s="732"/>
      <c r="D290" s="732"/>
      <c r="E290" s="732"/>
      <c r="F290" s="732"/>
      <c r="G290" s="732"/>
      <c r="H290" s="732"/>
      <c r="I290" s="732"/>
      <c r="J290" s="732"/>
      <c r="K290" s="732"/>
      <c r="L290" s="732"/>
      <c r="M290" s="732"/>
      <c r="N290" s="732"/>
      <c r="O290" s="732"/>
      <c r="P290" s="732"/>
      <c r="Q290" s="732"/>
      <c r="R290" s="732"/>
      <c r="S290" s="732"/>
      <c r="T290" s="732"/>
      <c r="U290" s="732"/>
      <c r="V290" s="733"/>
      <c r="W290" s="732"/>
      <c r="X290" s="732"/>
      <c r="Y290" s="732"/>
      <c r="Z290" s="732"/>
      <c r="AA290" s="732"/>
    </row>
    <row r="291" spans="1:27" ht="24.75" customHeight="1">
      <c r="A291" s="732"/>
      <c r="B291" s="732"/>
      <c r="C291" s="732"/>
      <c r="D291" s="732"/>
      <c r="E291" s="732"/>
      <c r="F291" s="732"/>
      <c r="G291" s="732"/>
      <c r="H291" s="732"/>
      <c r="I291" s="732"/>
      <c r="J291" s="732"/>
      <c r="K291" s="732"/>
      <c r="L291" s="732"/>
      <c r="M291" s="732"/>
      <c r="N291" s="732"/>
      <c r="O291" s="732"/>
      <c r="P291" s="732"/>
      <c r="Q291" s="732"/>
      <c r="R291" s="732"/>
      <c r="S291" s="732"/>
      <c r="T291" s="732"/>
      <c r="U291" s="732"/>
      <c r="V291" s="733"/>
      <c r="W291" s="732"/>
      <c r="X291" s="732"/>
      <c r="Y291" s="732"/>
      <c r="Z291" s="732"/>
      <c r="AA291" s="732"/>
    </row>
    <row r="292" spans="1:27" ht="24.75" customHeight="1">
      <c r="A292" s="732"/>
      <c r="B292" s="732"/>
      <c r="C292" s="732"/>
      <c r="D292" s="732"/>
      <c r="E292" s="732"/>
      <c r="F292" s="732"/>
      <c r="G292" s="732"/>
      <c r="H292" s="732"/>
      <c r="I292" s="732"/>
      <c r="J292" s="732"/>
      <c r="K292" s="732"/>
      <c r="L292" s="732"/>
      <c r="M292" s="732"/>
      <c r="N292" s="732"/>
      <c r="O292" s="732"/>
      <c r="P292" s="732"/>
      <c r="Q292" s="732"/>
      <c r="R292" s="732"/>
      <c r="S292" s="732"/>
      <c r="T292" s="732"/>
      <c r="U292" s="732"/>
      <c r="V292" s="733"/>
      <c r="W292" s="732"/>
      <c r="X292" s="732"/>
      <c r="Y292" s="732"/>
      <c r="Z292" s="732"/>
      <c r="AA292" s="732"/>
    </row>
    <row r="293" spans="1:27" ht="24.75" customHeight="1">
      <c r="A293" s="732"/>
      <c r="B293" s="732"/>
      <c r="C293" s="732"/>
      <c r="D293" s="732"/>
      <c r="E293" s="732"/>
      <c r="F293" s="732"/>
      <c r="G293" s="732"/>
      <c r="H293" s="732"/>
      <c r="I293" s="732"/>
      <c r="J293" s="732"/>
      <c r="K293" s="732"/>
      <c r="L293" s="732"/>
      <c r="M293" s="732"/>
      <c r="N293" s="732"/>
      <c r="O293" s="732"/>
      <c r="P293" s="732"/>
      <c r="Q293" s="732"/>
      <c r="R293" s="732"/>
      <c r="S293" s="732"/>
      <c r="T293" s="732"/>
      <c r="U293" s="732"/>
      <c r="V293" s="733"/>
      <c r="W293" s="732"/>
      <c r="X293" s="732"/>
      <c r="Y293" s="732"/>
      <c r="Z293" s="732"/>
      <c r="AA293" s="732"/>
    </row>
    <row r="294" spans="1:27" ht="24.75" customHeight="1">
      <c r="A294" s="732"/>
      <c r="B294" s="732"/>
      <c r="C294" s="732"/>
      <c r="D294" s="732"/>
      <c r="E294" s="732"/>
      <c r="F294" s="732"/>
      <c r="G294" s="732"/>
      <c r="H294" s="732"/>
      <c r="I294" s="732"/>
      <c r="J294" s="732"/>
      <c r="K294" s="732"/>
      <c r="L294" s="732"/>
      <c r="M294" s="732"/>
      <c r="N294" s="732"/>
      <c r="O294" s="732"/>
      <c r="P294" s="732"/>
      <c r="Q294" s="732"/>
      <c r="R294" s="732"/>
      <c r="S294" s="732"/>
      <c r="T294" s="732"/>
      <c r="U294" s="732"/>
      <c r="V294" s="733"/>
      <c r="W294" s="732"/>
      <c r="X294" s="732"/>
      <c r="Y294" s="732"/>
      <c r="Z294" s="732"/>
      <c r="AA294" s="732"/>
    </row>
    <row r="295" spans="1:27" ht="24.75" customHeight="1">
      <c r="A295" s="732"/>
      <c r="B295" s="732"/>
      <c r="C295" s="732"/>
      <c r="D295" s="732"/>
      <c r="E295" s="732"/>
      <c r="F295" s="732"/>
      <c r="G295" s="732"/>
      <c r="H295" s="732"/>
      <c r="I295" s="732"/>
      <c r="J295" s="732"/>
      <c r="K295" s="732"/>
      <c r="L295" s="732"/>
      <c r="M295" s="732"/>
      <c r="N295" s="732"/>
      <c r="O295" s="732"/>
      <c r="P295" s="732"/>
      <c r="Q295" s="732"/>
      <c r="R295" s="732"/>
      <c r="S295" s="732"/>
      <c r="T295" s="732"/>
      <c r="U295" s="732"/>
      <c r="V295" s="733"/>
      <c r="W295" s="732"/>
      <c r="X295" s="732"/>
      <c r="Y295" s="732"/>
      <c r="Z295" s="732"/>
      <c r="AA295" s="732"/>
    </row>
    <row r="296" spans="1:27" ht="24.75" customHeight="1">
      <c r="A296" s="732"/>
      <c r="B296" s="732"/>
      <c r="C296" s="732"/>
      <c r="D296" s="732"/>
      <c r="E296" s="732"/>
      <c r="F296" s="732"/>
      <c r="G296" s="732"/>
      <c r="H296" s="732"/>
      <c r="I296" s="732"/>
      <c r="J296" s="732"/>
      <c r="K296" s="732"/>
      <c r="L296" s="732"/>
      <c r="M296" s="732"/>
      <c r="N296" s="732"/>
      <c r="O296" s="732"/>
      <c r="P296" s="732"/>
      <c r="Q296" s="732"/>
      <c r="R296" s="732"/>
      <c r="S296" s="732"/>
      <c r="T296" s="732"/>
      <c r="U296" s="732"/>
      <c r="V296" s="733"/>
      <c r="W296" s="732"/>
      <c r="X296" s="732"/>
      <c r="Y296" s="732"/>
      <c r="Z296" s="732"/>
      <c r="AA296" s="732"/>
    </row>
    <row r="297" spans="1:27" ht="24.75" customHeight="1">
      <c r="A297" s="732"/>
      <c r="B297" s="732"/>
      <c r="C297" s="732"/>
      <c r="D297" s="732"/>
      <c r="E297" s="732"/>
      <c r="F297" s="732"/>
      <c r="G297" s="732"/>
      <c r="H297" s="732"/>
      <c r="I297" s="732"/>
      <c r="J297" s="732"/>
      <c r="K297" s="732"/>
      <c r="L297" s="732"/>
      <c r="M297" s="732"/>
      <c r="N297" s="732"/>
      <c r="O297" s="732"/>
      <c r="P297" s="732"/>
      <c r="Q297" s="732"/>
      <c r="R297" s="732"/>
      <c r="S297" s="732"/>
      <c r="T297" s="732"/>
      <c r="U297" s="732"/>
      <c r="V297" s="733"/>
      <c r="W297" s="732"/>
      <c r="X297" s="732"/>
      <c r="Y297" s="732"/>
      <c r="Z297" s="732"/>
      <c r="AA297" s="732"/>
    </row>
    <row r="298" spans="1:27" ht="24.75" customHeight="1">
      <c r="A298" s="732"/>
      <c r="B298" s="732"/>
      <c r="C298" s="732"/>
      <c r="D298" s="732"/>
      <c r="E298" s="732"/>
      <c r="F298" s="732"/>
      <c r="G298" s="732"/>
      <c r="H298" s="732"/>
      <c r="I298" s="732"/>
      <c r="J298" s="732"/>
      <c r="K298" s="732"/>
      <c r="L298" s="732"/>
      <c r="M298" s="732"/>
      <c r="N298" s="732"/>
      <c r="O298" s="732"/>
      <c r="P298" s="732"/>
      <c r="Q298" s="732"/>
      <c r="R298" s="732"/>
      <c r="S298" s="732"/>
      <c r="T298" s="732"/>
      <c r="U298" s="732"/>
      <c r="V298" s="733"/>
      <c r="W298" s="732"/>
      <c r="X298" s="732"/>
      <c r="Y298" s="732"/>
      <c r="Z298" s="732"/>
      <c r="AA298" s="732"/>
    </row>
    <row r="299" spans="1:27" ht="24.75" customHeight="1">
      <c r="A299" s="732"/>
      <c r="B299" s="732"/>
      <c r="C299" s="732"/>
      <c r="D299" s="732"/>
      <c r="E299" s="732"/>
      <c r="F299" s="732"/>
      <c r="G299" s="732"/>
      <c r="H299" s="732"/>
      <c r="I299" s="732"/>
      <c r="J299" s="732"/>
      <c r="K299" s="732"/>
      <c r="L299" s="732"/>
      <c r="M299" s="732"/>
      <c r="N299" s="732"/>
      <c r="O299" s="732"/>
      <c r="P299" s="732"/>
      <c r="Q299" s="732"/>
      <c r="R299" s="732"/>
      <c r="S299" s="732"/>
      <c r="T299" s="732"/>
      <c r="U299" s="732"/>
      <c r="V299" s="733"/>
      <c r="W299" s="732"/>
      <c r="X299" s="732"/>
      <c r="Y299" s="732"/>
      <c r="Z299" s="732"/>
      <c r="AA299" s="732"/>
    </row>
    <row r="300" spans="1:27" ht="24.75" customHeight="1">
      <c r="A300" s="732"/>
      <c r="B300" s="732"/>
      <c r="C300" s="732"/>
      <c r="D300" s="732"/>
      <c r="E300" s="732"/>
      <c r="F300" s="732"/>
      <c r="G300" s="732"/>
      <c r="H300" s="732"/>
      <c r="I300" s="732"/>
      <c r="J300" s="732"/>
      <c r="K300" s="732"/>
      <c r="L300" s="732"/>
      <c r="M300" s="732"/>
      <c r="N300" s="732"/>
      <c r="O300" s="732"/>
      <c r="P300" s="732"/>
      <c r="Q300" s="732"/>
      <c r="R300" s="732"/>
      <c r="S300" s="732"/>
      <c r="T300" s="732"/>
      <c r="U300" s="732"/>
      <c r="V300" s="733"/>
      <c r="W300" s="732"/>
      <c r="X300" s="732"/>
      <c r="Y300" s="732"/>
      <c r="Z300" s="732"/>
      <c r="AA300" s="732"/>
    </row>
    <row r="301" spans="1:27" ht="24.75" customHeight="1">
      <c r="A301" s="732"/>
      <c r="B301" s="732"/>
      <c r="C301" s="732"/>
      <c r="D301" s="732"/>
      <c r="E301" s="732"/>
      <c r="F301" s="732"/>
      <c r="G301" s="732"/>
      <c r="H301" s="732"/>
      <c r="I301" s="732"/>
      <c r="J301" s="732"/>
      <c r="K301" s="732"/>
      <c r="L301" s="732"/>
      <c r="M301" s="732"/>
      <c r="N301" s="732"/>
      <c r="O301" s="732"/>
      <c r="P301" s="732"/>
      <c r="Q301" s="732"/>
      <c r="R301" s="732"/>
      <c r="S301" s="732"/>
      <c r="T301" s="732"/>
      <c r="U301" s="732"/>
      <c r="V301" s="733"/>
      <c r="W301" s="732"/>
      <c r="X301" s="732"/>
      <c r="Y301" s="732"/>
      <c r="Z301" s="732"/>
      <c r="AA301" s="732"/>
    </row>
    <row r="302" spans="1:27" ht="24.75" customHeight="1">
      <c r="A302" s="732"/>
      <c r="B302" s="732"/>
      <c r="C302" s="732"/>
      <c r="D302" s="732"/>
      <c r="E302" s="732"/>
      <c r="F302" s="732"/>
      <c r="G302" s="732"/>
      <c r="H302" s="732"/>
      <c r="I302" s="732"/>
      <c r="J302" s="732"/>
      <c r="K302" s="732"/>
      <c r="L302" s="732"/>
      <c r="M302" s="732"/>
      <c r="N302" s="732"/>
      <c r="O302" s="732"/>
      <c r="P302" s="732"/>
      <c r="Q302" s="732"/>
      <c r="R302" s="732"/>
      <c r="S302" s="732"/>
      <c r="T302" s="732"/>
      <c r="U302" s="732"/>
      <c r="V302" s="733"/>
      <c r="W302" s="732"/>
      <c r="X302" s="732"/>
      <c r="Y302" s="732"/>
      <c r="Z302" s="732"/>
      <c r="AA302" s="732"/>
    </row>
    <row r="303" spans="1:27" ht="24.75" customHeight="1">
      <c r="A303" s="732"/>
      <c r="B303" s="732"/>
      <c r="C303" s="732"/>
      <c r="D303" s="732"/>
      <c r="E303" s="732"/>
      <c r="F303" s="732"/>
      <c r="G303" s="732"/>
      <c r="H303" s="732"/>
      <c r="I303" s="732"/>
      <c r="J303" s="732"/>
      <c r="K303" s="732"/>
      <c r="L303" s="732"/>
      <c r="M303" s="732"/>
      <c r="N303" s="732"/>
      <c r="O303" s="732"/>
      <c r="P303" s="732"/>
      <c r="Q303" s="732"/>
      <c r="R303" s="732"/>
      <c r="S303" s="732"/>
      <c r="T303" s="732"/>
      <c r="U303" s="732"/>
      <c r="V303" s="733"/>
      <c r="W303" s="732"/>
      <c r="X303" s="732"/>
      <c r="Y303" s="732"/>
      <c r="Z303" s="732"/>
      <c r="AA303" s="732"/>
    </row>
    <row r="304" spans="1:27" ht="24.75" customHeight="1">
      <c r="A304" s="732"/>
      <c r="B304" s="732"/>
      <c r="C304" s="732"/>
      <c r="D304" s="732"/>
      <c r="E304" s="732"/>
      <c r="F304" s="732"/>
      <c r="G304" s="732"/>
      <c r="H304" s="732"/>
      <c r="I304" s="732"/>
      <c r="J304" s="732"/>
      <c r="K304" s="732"/>
      <c r="L304" s="732"/>
      <c r="M304" s="732"/>
      <c r="N304" s="732"/>
      <c r="O304" s="732"/>
      <c r="P304" s="732"/>
      <c r="Q304" s="732"/>
      <c r="R304" s="732"/>
      <c r="S304" s="732"/>
      <c r="T304" s="732"/>
      <c r="U304" s="732"/>
      <c r="V304" s="733"/>
      <c r="W304" s="732"/>
      <c r="X304" s="732"/>
      <c r="Y304" s="732"/>
      <c r="Z304" s="732"/>
      <c r="AA304" s="732"/>
    </row>
    <row r="305" spans="1:27" ht="24.75" customHeight="1">
      <c r="A305" s="732"/>
      <c r="B305" s="732"/>
      <c r="C305" s="732"/>
      <c r="D305" s="732"/>
      <c r="E305" s="732"/>
      <c r="F305" s="732"/>
      <c r="G305" s="732"/>
      <c r="H305" s="732"/>
      <c r="I305" s="732"/>
      <c r="J305" s="732"/>
      <c r="K305" s="732"/>
      <c r="L305" s="732"/>
      <c r="M305" s="732"/>
      <c r="N305" s="732"/>
      <c r="O305" s="732"/>
      <c r="P305" s="732"/>
      <c r="Q305" s="732"/>
      <c r="R305" s="732"/>
      <c r="S305" s="732"/>
      <c r="T305" s="732"/>
      <c r="U305" s="732"/>
      <c r="V305" s="733"/>
      <c r="W305" s="732"/>
      <c r="X305" s="732"/>
      <c r="Y305" s="732"/>
      <c r="Z305" s="732"/>
      <c r="AA305" s="732"/>
    </row>
    <row r="306" spans="1:27" ht="24.75" customHeight="1">
      <c r="A306" s="732"/>
      <c r="B306" s="732"/>
      <c r="C306" s="732"/>
      <c r="D306" s="732"/>
      <c r="E306" s="732"/>
      <c r="F306" s="732"/>
      <c r="G306" s="732"/>
      <c r="H306" s="732"/>
      <c r="I306" s="732"/>
      <c r="J306" s="732"/>
      <c r="K306" s="732"/>
      <c r="L306" s="732"/>
      <c r="M306" s="732"/>
      <c r="N306" s="732"/>
      <c r="O306" s="732"/>
      <c r="P306" s="732"/>
      <c r="Q306" s="732"/>
      <c r="R306" s="732"/>
      <c r="S306" s="732"/>
      <c r="T306" s="732"/>
      <c r="U306" s="732"/>
      <c r="V306" s="733"/>
      <c r="W306" s="732"/>
      <c r="X306" s="732"/>
      <c r="Y306" s="732"/>
      <c r="Z306" s="732"/>
      <c r="AA306" s="732"/>
    </row>
    <row r="307" spans="1:27" ht="24.75" customHeight="1">
      <c r="A307" s="732"/>
      <c r="B307" s="732"/>
      <c r="C307" s="732"/>
      <c r="D307" s="732"/>
      <c r="E307" s="732"/>
      <c r="F307" s="732"/>
      <c r="G307" s="732"/>
      <c r="H307" s="732"/>
      <c r="I307" s="732"/>
      <c r="J307" s="732"/>
      <c r="K307" s="732"/>
      <c r="L307" s="732"/>
      <c r="M307" s="732"/>
      <c r="N307" s="732"/>
      <c r="O307" s="732"/>
      <c r="P307" s="732"/>
      <c r="Q307" s="732"/>
      <c r="R307" s="732"/>
      <c r="S307" s="732"/>
      <c r="T307" s="732"/>
      <c r="U307" s="732"/>
      <c r="V307" s="733"/>
      <c r="W307" s="732"/>
      <c r="X307" s="732"/>
      <c r="Y307" s="732"/>
      <c r="Z307" s="732"/>
      <c r="AA307" s="732"/>
    </row>
    <row r="308" spans="1:27" ht="24.75" customHeight="1">
      <c r="A308" s="732"/>
      <c r="B308" s="732"/>
      <c r="C308" s="732"/>
      <c r="D308" s="732"/>
      <c r="E308" s="732"/>
      <c r="F308" s="732"/>
      <c r="G308" s="732"/>
      <c r="H308" s="732"/>
      <c r="I308" s="732"/>
      <c r="J308" s="732"/>
      <c r="K308" s="732"/>
      <c r="L308" s="732"/>
      <c r="M308" s="732"/>
      <c r="N308" s="732"/>
      <c r="O308" s="732"/>
      <c r="P308" s="732"/>
      <c r="Q308" s="732"/>
      <c r="R308" s="732"/>
      <c r="S308" s="732"/>
      <c r="T308" s="732"/>
      <c r="U308" s="732"/>
      <c r="V308" s="733"/>
      <c r="W308" s="732"/>
      <c r="X308" s="732"/>
      <c r="Y308" s="732"/>
      <c r="Z308" s="732"/>
      <c r="AA308" s="732"/>
    </row>
    <row r="309" spans="1:27" ht="24.75" customHeight="1">
      <c r="A309" s="732"/>
      <c r="B309" s="732"/>
      <c r="C309" s="732"/>
      <c r="D309" s="732"/>
      <c r="E309" s="732"/>
      <c r="F309" s="732"/>
      <c r="G309" s="732"/>
      <c r="H309" s="732"/>
      <c r="I309" s="732"/>
      <c r="J309" s="732"/>
      <c r="K309" s="732"/>
      <c r="L309" s="732"/>
      <c r="M309" s="732"/>
      <c r="N309" s="732"/>
      <c r="O309" s="732"/>
      <c r="P309" s="732"/>
      <c r="Q309" s="732"/>
      <c r="R309" s="732"/>
      <c r="S309" s="732"/>
      <c r="T309" s="732"/>
      <c r="U309" s="732"/>
      <c r="V309" s="733"/>
      <c r="W309" s="732"/>
      <c r="X309" s="732"/>
      <c r="Y309" s="732"/>
      <c r="Z309" s="732"/>
      <c r="AA309" s="732"/>
    </row>
    <row r="310" spans="1:27" ht="24.75" customHeight="1">
      <c r="A310" s="732"/>
      <c r="B310" s="732"/>
      <c r="C310" s="732"/>
      <c r="D310" s="732"/>
      <c r="E310" s="732"/>
      <c r="F310" s="732"/>
      <c r="G310" s="732"/>
      <c r="H310" s="732"/>
      <c r="I310" s="732"/>
      <c r="J310" s="732"/>
      <c r="K310" s="732"/>
      <c r="L310" s="732"/>
      <c r="M310" s="732"/>
      <c r="N310" s="732"/>
      <c r="O310" s="732"/>
      <c r="P310" s="732"/>
      <c r="Q310" s="732"/>
      <c r="R310" s="732"/>
      <c r="S310" s="732"/>
      <c r="T310" s="732"/>
      <c r="U310" s="732"/>
      <c r="V310" s="733"/>
      <c r="W310" s="732"/>
      <c r="X310" s="732"/>
      <c r="Y310" s="732"/>
      <c r="Z310" s="732"/>
      <c r="AA310" s="732"/>
    </row>
    <row r="311" spans="1:27" ht="24.75" customHeight="1">
      <c r="A311" s="732"/>
      <c r="B311" s="732"/>
      <c r="C311" s="732"/>
      <c r="D311" s="732"/>
      <c r="E311" s="732"/>
      <c r="F311" s="732"/>
      <c r="G311" s="732"/>
      <c r="H311" s="732"/>
      <c r="I311" s="732"/>
      <c r="J311" s="732"/>
      <c r="K311" s="732"/>
      <c r="L311" s="732"/>
      <c r="M311" s="732"/>
      <c r="N311" s="732"/>
      <c r="O311" s="732"/>
      <c r="P311" s="732"/>
      <c r="Q311" s="732"/>
      <c r="R311" s="732"/>
      <c r="S311" s="732"/>
      <c r="T311" s="732"/>
      <c r="U311" s="732"/>
      <c r="V311" s="733"/>
      <c r="W311" s="732"/>
      <c r="X311" s="732"/>
      <c r="Y311" s="732"/>
      <c r="Z311" s="732"/>
      <c r="AA311" s="732"/>
    </row>
    <row r="312" spans="1:27" ht="24.75" customHeight="1">
      <c r="A312" s="732"/>
      <c r="B312" s="732"/>
      <c r="C312" s="732"/>
      <c r="D312" s="732"/>
      <c r="E312" s="732"/>
      <c r="F312" s="732"/>
      <c r="G312" s="732"/>
      <c r="H312" s="732"/>
      <c r="I312" s="732"/>
      <c r="J312" s="732"/>
      <c r="K312" s="732"/>
      <c r="L312" s="732"/>
      <c r="M312" s="732"/>
      <c r="N312" s="732"/>
      <c r="O312" s="732"/>
      <c r="P312" s="732"/>
      <c r="Q312" s="732"/>
      <c r="R312" s="732"/>
      <c r="S312" s="732"/>
      <c r="T312" s="732"/>
      <c r="U312" s="732"/>
      <c r="V312" s="733"/>
      <c r="W312" s="732"/>
      <c r="X312" s="732"/>
      <c r="Y312" s="732"/>
      <c r="Z312" s="732"/>
      <c r="AA312" s="732"/>
    </row>
    <row r="313" spans="1:27" ht="24.75" customHeight="1">
      <c r="A313" s="732"/>
      <c r="B313" s="732"/>
      <c r="C313" s="732"/>
      <c r="D313" s="732"/>
      <c r="E313" s="732"/>
      <c r="F313" s="732"/>
      <c r="G313" s="732"/>
      <c r="H313" s="732"/>
      <c r="I313" s="732"/>
      <c r="J313" s="732"/>
      <c r="K313" s="732"/>
      <c r="L313" s="732"/>
      <c r="M313" s="732"/>
      <c r="N313" s="732"/>
      <c r="O313" s="732"/>
      <c r="P313" s="732"/>
      <c r="Q313" s="732"/>
      <c r="R313" s="732"/>
      <c r="S313" s="732"/>
      <c r="T313" s="732"/>
      <c r="U313" s="732"/>
      <c r="V313" s="733"/>
      <c r="W313" s="732"/>
      <c r="X313" s="732"/>
      <c r="Y313" s="732"/>
      <c r="Z313" s="732"/>
      <c r="AA313" s="732"/>
    </row>
    <row r="314" spans="1:27" ht="24.75" customHeight="1">
      <c r="A314" s="732"/>
      <c r="B314" s="732"/>
      <c r="C314" s="732"/>
      <c r="D314" s="732"/>
      <c r="E314" s="732"/>
      <c r="F314" s="732"/>
      <c r="G314" s="732"/>
      <c r="H314" s="732"/>
      <c r="I314" s="732"/>
      <c r="J314" s="732"/>
      <c r="K314" s="732"/>
      <c r="L314" s="732"/>
      <c r="M314" s="732"/>
      <c r="N314" s="732"/>
      <c r="O314" s="732"/>
      <c r="P314" s="732"/>
      <c r="Q314" s="732"/>
      <c r="R314" s="732"/>
      <c r="S314" s="732"/>
      <c r="T314" s="732"/>
      <c r="U314" s="732"/>
      <c r="V314" s="733"/>
      <c r="W314" s="732"/>
      <c r="X314" s="732"/>
      <c r="Y314" s="732"/>
      <c r="Z314" s="732"/>
      <c r="AA314" s="732"/>
    </row>
    <row r="315" spans="1:27" ht="24.75" customHeight="1">
      <c r="A315" s="732"/>
      <c r="B315" s="732"/>
      <c r="C315" s="732"/>
      <c r="D315" s="732"/>
      <c r="E315" s="732"/>
      <c r="F315" s="732"/>
      <c r="G315" s="732"/>
      <c r="H315" s="732"/>
      <c r="I315" s="732"/>
      <c r="J315" s="732"/>
      <c r="K315" s="732"/>
      <c r="L315" s="732"/>
      <c r="M315" s="732"/>
      <c r="N315" s="732"/>
      <c r="O315" s="732"/>
      <c r="P315" s="732"/>
      <c r="Q315" s="732"/>
      <c r="R315" s="732"/>
      <c r="S315" s="732"/>
      <c r="T315" s="732"/>
      <c r="U315" s="732"/>
      <c r="V315" s="733"/>
      <c r="W315" s="732"/>
      <c r="X315" s="732"/>
      <c r="Y315" s="732"/>
      <c r="Z315" s="732"/>
      <c r="AA315" s="732"/>
    </row>
    <row r="316" spans="1:27" ht="24.75" customHeight="1">
      <c r="A316" s="732"/>
      <c r="B316" s="732"/>
      <c r="C316" s="732"/>
      <c r="D316" s="732"/>
      <c r="E316" s="732"/>
      <c r="F316" s="732"/>
      <c r="G316" s="732"/>
      <c r="H316" s="732"/>
      <c r="I316" s="732"/>
      <c r="J316" s="732"/>
      <c r="K316" s="732"/>
      <c r="L316" s="732"/>
      <c r="M316" s="732"/>
      <c r="N316" s="732"/>
      <c r="O316" s="732"/>
      <c r="P316" s="732"/>
      <c r="Q316" s="732"/>
      <c r="R316" s="732"/>
      <c r="S316" s="732"/>
      <c r="T316" s="732"/>
      <c r="U316" s="732"/>
      <c r="V316" s="733"/>
      <c r="W316" s="732"/>
      <c r="X316" s="732"/>
      <c r="Y316" s="732"/>
      <c r="Z316" s="732"/>
      <c r="AA316" s="732"/>
    </row>
    <row r="317" spans="1:27" ht="24.75" customHeight="1">
      <c r="A317" s="732"/>
      <c r="B317" s="732"/>
      <c r="C317" s="732"/>
      <c r="D317" s="732"/>
      <c r="E317" s="732"/>
      <c r="F317" s="732"/>
      <c r="G317" s="732"/>
      <c r="H317" s="732"/>
      <c r="I317" s="732"/>
      <c r="J317" s="732"/>
      <c r="K317" s="732"/>
      <c r="L317" s="732"/>
      <c r="M317" s="732"/>
      <c r="N317" s="732"/>
      <c r="O317" s="732"/>
      <c r="P317" s="732"/>
      <c r="Q317" s="732"/>
      <c r="R317" s="732"/>
      <c r="S317" s="732"/>
      <c r="T317" s="732"/>
      <c r="U317" s="732"/>
      <c r="V317" s="733"/>
      <c r="W317" s="732"/>
      <c r="X317" s="732"/>
      <c r="Y317" s="732"/>
      <c r="Z317" s="732"/>
      <c r="AA317" s="732"/>
    </row>
    <row r="318" spans="1:27" ht="24.75" customHeight="1">
      <c r="A318" s="732"/>
      <c r="B318" s="732"/>
      <c r="C318" s="732"/>
      <c r="D318" s="732"/>
      <c r="E318" s="732"/>
      <c r="F318" s="732"/>
      <c r="G318" s="732"/>
      <c r="H318" s="732"/>
      <c r="I318" s="732"/>
      <c r="J318" s="732"/>
      <c r="K318" s="732"/>
      <c r="L318" s="732"/>
      <c r="M318" s="732"/>
      <c r="N318" s="732"/>
      <c r="O318" s="732"/>
      <c r="P318" s="732"/>
      <c r="Q318" s="732"/>
      <c r="R318" s="732"/>
      <c r="S318" s="732"/>
      <c r="T318" s="732"/>
      <c r="U318" s="732"/>
      <c r="V318" s="733"/>
      <c r="W318" s="732"/>
      <c r="X318" s="732"/>
      <c r="Y318" s="732"/>
      <c r="Z318" s="732"/>
      <c r="AA318" s="732"/>
    </row>
    <row r="319" spans="1:27" ht="24.75" customHeight="1">
      <c r="A319" s="732"/>
      <c r="B319" s="732"/>
      <c r="C319" s="732"/>
      <c r="D319" s="732"/>
      <c r="E319" s="732"/>
      <c r="F319" s="732"/>
      <c r="G319" s="732"/>
      <c r="H319" s="732"/>
      <c r="I319" s="732"/>
      <c r="J319" s="732"/>
      <c r="K319" s="732"/>
      <c r="L319" s="732"/>
      <c r="M319" s="732"/>
      <c r="N319" s="732"/>
      <c r="O319" s="732"/>
      <c r="P319" s="732"/>
      <c r="Q319" s="732"/>
      <c r="R319" s="732"/>
      <c r="S319" s="732"/>
      <c r="T319" s="732"/>
      <c r="U319" s="732"/>
      <c r="V319" s="733"/>
      <c r="W319" s="732"/>
      <c r="X319" s="732"/>
      <c r="Y319" s="732"/>
      <c r="Z319" s="732"/>
      <c r="AA319" s="732"/>
    </row>
    <row r="320" spans="1:27" ht="24.75" customHeight="1">
      <c r="A320" s="732"/>
      <c r="B320" s="732"/>
      <c r="C320" s="732"/>
      <c r="D320" s="732"/>
      <c r="E320" s="732"/>
      <c r="F320" s="732"/>
      <c r="G320" s="732"/>
      <c r="H320" s="732"/>
      <c r="I320" s="732"/>
      <c r="J320" s="732"/>
      <c r="K320" s="732"/>
      <c r="L320" s="732"/>
      <c r="M320" s="732"/>
      <c r="N320" s="732"/>
      <c r="O320" s="732"/>
      <c r="P320" s="732"/>
      <c r="Q320" s="732"/>
      <c r="R320" s="732"/>
      <c r="S320" s="732"/>
      <c r="T320" s="732"/>
      <c r="U320" s="732"/>
      <c r="V320" s="733"/>
      <c r="W320" s="732"/>
      <c r="X320" s="732"/>
      <c r="Y320" s="732"/>
      <c r="Z320" s="732"/>
      <c r="AA320" s="732"/>
    </row>
    <row r="321" spans="1:27" ht="24.75" customHeight="1">
      <c r="A321" s="732"/>
      <c r="B321" s="732"/>
      <c r="C321" s="732"/>
      <c r="D321" s="732"/>
      <c r="E321" s="732"/>
      <c r="F321" s="732"/>
      <c r="G321" s="732"/>
      <c r="H321" s="732"/>
      <c r="I321" s="732"/>
      <c r="J321" s="732"/>
      <c r="K321" s="732"/>
      <c r="L321" s="732"/>
      <c r="M321" s="732"/>
      <c r="N321" s="732"/>
      <c r="O321" s="732"/>
      <c r="P321" s="732"/>
      <c r="Q321" s="732"/>
      <c r="R321" s="732"/>
      <c r="S321" s="732"/>
      <c r="T321" s="732"/>
      <c r="U321" s="732"/>
      <c r="V321" s="733"/>
      <c r="W321" s="732"/>
      <c r="X321" s="732"/>
      <c r="Y321" s="732"/>
      <c r="Z321" s="732"/>
      <c r="AA321" s="732"/>
    </row>
    <row r="322" spans="1:27" ht="24.75" customHeight="1">
      <c r="A322" s="732"/>
      <c r="B322" s="732"/>
      <c r="C322" s="732"/>
      <c r="D322" s="732"/>
      <c r="E322" s="732"/>
      <c r="F322" s="732"/>
      <c r="G322" s="732"/>
      <c r="H322" s="732"/>
      <c r="I322" s="732"/>
      <c r="J322" s="732"/>
      <c r="K322" s="732"/>
      <c r="L322" s="732"/>
      <c r="M322" s="732"/>
      <c r="N322" s="732"/>
      <c r="O322" s="732"/>
      <c r="P322" s="732"/>
      <c r="Q322" s="732"/>
      <c r="R322" s="732"/>
      <c r="S322" s="732"/>
      <c r="T322" s="732"/>
      <c r="U322" s="732"/>
      <c r="V322" s="733"/>
      <c r="W322" s="732"/>
      <c r="X322" s="732"/>
      <c r="Y322" s="732"/>
      <c r="Z322" s="732"/>
      <c r="AA322" s="732"/>
    </row>
    <row r="323" spans="1:27" ht="24.75" customHeight="1">
      <c r="A323" s="732"/>
      <c r="B323" s="732"/>
      <c r="C323" s="732"/>
      <c r="D323" s="732"/>
      <c r="E323" s="732"/>
      <c r="F323" s="732"/>
      <c r="G323" s="732"/>
      <c r="H323" s="732"/>
      <c r="I323" s="732"/>
      <c r="J323" s="732"/>
      <c r="K323" s="732"/>
      <c r="L323" s="732"/>
      <c r="M323" s="732"/>
      <c r="N323" s="732"/>
      <c r="O323" s="732"/>
      <c r="P323" s="732"/>
      <c r="Q323" s="732"/>
      <c r="R323" s="732"/>
      <c r="S323" s="732"/>
      <c r="T323" s="732"/>
      <c r="U323" s="732"/>
      <c r="V323" s="733"/>
      <c r="W323" s="732"/>
      <c r="X323" s="732"/>
      <c r="Y323" s="732"/>
      <c r="Z323" s="732"/>
      <c r="AA323" s="732"/>
    </row>
    <row r="324" spans="1:27" ht="24.75" customHeight="1">
      <c r="A324" s="732"/>
      <c r="B324" s="732"/>
      <c r="C324" s="732"/>
      <c r="D324" s="732"/>
      <c r="E324" s="732"/>
      <c r="F324" s="732"/>
      <c r="G324" s="732"/>
      <c r="H324" s="732"/>
      <c r="I324" s="732"/>
      <c r="J324" s="732"/>
      <c r="K324" s="732"/>
      <c r="L324" s="732"/>
      <c r="M324" s="732"/>
      <c r="N324" s="732"/>
      <c r="O324" s="732"/>
      <c r="P324" s="732"/>
      <c r="Q324" s="732"/>
      <c r="R324" s="732"/>
      <c r="S324" s="732"/>
      <c r="T324" s="732"/>
      <c r="U324" s="732"/>
      <c r="V324" s="733"/>
      <c r="W324" s="732"/>
      <c r="X324" s="732"/>
      <c r="Y324" s="732"/>
      <c r="Z324" s="732"/>
      <c r="AA324" s="732"/>
    </row>
    <row r="325" spans="1:27" ht="24.75" customHeight="1">
      <c r="A325" s="732"/>
      <c r="B325" s="732"/>
      <c r="C325" s="732"/>
      <c r="D325" s="732"/>
      <c r="E325" s="732"/>
      <c r="F325" s="732"/>
      <c r="G325" s="732"/>
      <c r="H325" s="732"/>
      <c r="I325" s="732"/>
      <c r="J325" s="732"/>
      <c r="K325" s="732"/>
      <c r="L325" s="732"/>
      <c r="M325" s="732"/>
      <c r="N325" s="732"/>
      <c r="O325" s="732"/>
      <c r="P325" s="732"/>
      <c r="Q325" s="732"/>
      <c r="R325" s="732"/>
      <c r="S325" s="732"/>
      <c r="T325" s="732"/>
      <c r="U325" s="732"/>
      <c r="V325" s="733"/>
      <c r="W325" s="732"/>
      <c r="X325" s="732"/>
      <c r="Y325" s="732"/>
      <c r="Z325" s="732"/>
      <c r="AA325" s="732"/>
    </row>
    <row r="326" spans="1:27" ht="24.75" customHeight="1">
      <c r="A326" s="732"/>
      <c r="B326" s="732"/>
      <c r="C326" s="732"/>
      <c r="D326" s="732"/>
      <c r="E326" s="732"/>
      <c r="F326" s="732"/>
      <c r="G326" s="732"/>
      <c r="H326" s="732"/>
      <c r="I326" s="732"/>
      <c r="J326" s="732"/>
      <c r="K326" s="732"/>
      <c r="L326" s="732"/>
      <c r="M326" s="732"/>
      <c r="N326" s="732"/>
      <c r="O326" s="732"/>
      <c r="P326" s="732"/>
      <c r="Q326" s="732"/>
      <c r="R326" s="732"/>
      <c r="S326" s="732"/>
      <c r="T326" s="732"/>
      <c r="U326" s="732"/>
      <c r="V326" s="733"/>
      <c r="W326" s="732"/>
      <c r="X326" s="732"/>
      <c r="Y326" s="732"/>
      <c r="Z326" s="732"/>
      <c r="AA326" s="732"/>
    </row>
    <row r="327" spans="1:27" ht="24.75" customHeight="1">
      <c r="A327" s="732"/>
      <c r="B327" s="732"/>
      <c r="C327" s="732"/>
      <c r="D327" s="732"/>
      <c r="E327" s="732"/>
      <c r="F327" s="732"/>
      <c r="G327" s="732"/>
      <c r="H327" s="732"/>
      <c r="I327" s="732"/>
      <c r="J327" s="732"/>
      <c r="K327" s="732"/>
      <c r="L327" s="732"/>
      <c r="M327" s="732"/>
      <c r="N327" s="732"/>
      <c r="O327" s="732"/>
      <c r="P327" s="732"/>
      <c r="Q327" s="732"/>
      <c r="R327" s="732"/>
      <c r="S327" s="732"/>
      <c r="T327" s="732"/>
      <c r="U327" s="732"/>
      <c r="V327" s="733"/>
      <c r="W327" s="732"/>
      <c r="X327" s="732"/>
      <c r="Y327" s="732"/>
      <c r="Z327" s="732"/>
      <c r="AA327" s="732"/>
    </row>
    <row r="328" spans="1:27" ht="24.75" customHeight="1">
      <c r="A328" s="732"/>
      <c r="B328" s="732"/>
      <c r="C328" s="732"/>
      <c r="D328" s="732"/>
      <c r="E328" s="732"/>
      <c r="F328" s="732"/>
      <c r="G328" s="732"/>
      <c r="H328" s="732"/>
      <c r="I328" s="732"/>
      <c r="J328" s="732"/>
      <c r="K328" s="732"/>
      <c r="L328" s="732"/>
      <c r="M328" s="732"/>
      <c r="N328" s="732"/>
      <c r="O328" s="732"/>
      <c r="P328" s="732"/>
      <c r="Q328" s="732"/>
      <c r="R328" s="732"/>
      <c r="S328" s="732"/>
      <c r="T328" s="732"/>
      <c r="U328" s="732"/>
      <c r="V328" s="733"/>
      <c r="W328" s="732"/>
      <c r="X328" s="732"/>
      <c r="Y328" s="732"/>
      <c r="Z328" s="732"/>
      <c r="AA328" s="732"/>
    </row>
    <row r="329" spans="1:27" ht="24.75" customHeight="1">
      <c r="A329" s="732"/>
      <c r="B329" s="732"/>
      <c r="C329" s="732"/>
      <c r="D329" s="732"/>
      <c r="E329" s="732"/>
      <c r="F329" s="732"/>
      <c r="G329" s="732"/>
      <c r="H329" s="732"/>
      <c r="I329" s="732"/>
      <c r="J329" s="732"/>
      <c r="K329" s="732"/>
      <c r="L329" s="732"/>
      <c r="M329" s="732"/>
      <c r="N329" s="732"/>
      <c r="O329" s="732"/>
      <c r="P329" s="732"/>
      <c r="Q329" s="732"/>
      <c r="R329" s="732"/>
      <c r="S329" s="732"/>
      <c r="T329" s="732"/>
      <c r="U329" s="732"/>
      <c r="V329" s="733"/>
      <c r="W329" s="732"/>
      <c r="X329" s="732"/>
      <c r="Y329" s="732"/>
      <c r="Z329" s="732"/>
      <c r="AA329" s="732"/>
    </row>
    <row r="330" spans="1:27" ht="24.75" customHeight="1">
      <c r="A330" s="732"/>
      <c r="B330" s="732"/>
      <c r="C330" s="732"/>
      <c r="D330" s="732"/>
      <c r="E330" s="732"/>
      <c r="F330" s="732"/>
      <c r="G330" s="732"/>
      <c r="H330" s="732"/>
      <c r="I330" s="732"/>
      <c r="J330" s="732"/>
      <c r="K330" s="732"/>
      <c r="L330" s="732"/>
      <c r="M330" s="732"/>
      <c r="N330" s="732"/>
      <c r="O330" s="732"/>
      <c r="P330" s="732"/>
      <c r="Q330" s="732"/>
      <c r="R330" s="732"/>
      <c r="S330" s="732"/>
      <c r="T330" s="732"/>
      <c r="U330" s="732"/>
      <c r="V330" s="733"/>
      <c r="W330" s="732"/>
      <c r="X330" s="732"/>
      <c r="Y330" s="732"/>
      <c r="Z330" s="732"/>
      <c r="AA330" s="732"/>
    </row>
    <row r="331" spans="1:27" ht="24.75" customHeight="1">
      <c r="A331" s="732"/>
      <c r="B331" s="732"/>
      <c r="C331" s="732"/>
      <c r="D331" s="732"/>
      <c r="E331" s="732"/>
      <c r="F331" s="732"/>
      <c r="G331" s="732"/>
      <c r="H331" s="732"/>
      <c r="I331" s="732"/>
      <c r="J331" s="732"/>
      <c r="K331" s="732"/>
      <c r="L331" s="732"/>
      <c r="M331" s="732"/>
      <c r="N331" s="732"/>
      <c r="O331" s="732"/>
      <c r="P331" s="732"/>
      <c r="Q331" s="732"/>
      <c r="R331" s="732"/>
      <c r="S331" s="732"/>
      <c r="T331" s="732"/>
      <c r="U331" s="732"/>
      <c r="V331" s="733"/>
      <c r="W331" s="732"/>
      <c r="X331" s="732"/>
      <c r="Y331" s="732"/>
      <c r="Z331" s="732"/>
      <c r="AA331" s="732"/>
    </row>
    <row r="332" spans="1:27" ht="24.75" customHeight="1">
      <c r="A332" s="732"/>
      <c r="B332" s="732"/>
      <c r="C332" s="732"/>
      <c r="D332" s="732"/>
      <c r="E332" s="732"/>
      <c r="F332" s="732"/>
      <c r="G332" s="732"/>
      <c r="H332" s="732"/>
      <c r="I332" s="732"/>
      <c r="J332" s="732"/>
      <c r="K332" s="732"/>
      <c r="L332" s="732"/>
      <c r="M332" s="732"/>
      <c r="N332" s="732"/>
      <c r="O332" s="732"/>
      <c r="P332" s="732"/>
      <c r="Q332" s="732"/>
      <c r="R332" s="732"/>
      <c r="S332" s="732"/>
      <c r="T332" s="732"/>
      <c r="U332" s="732"/>
      <c r="V332" s="733"/>
      <c r="W332" s="732"/>
      <c r="X332" s="732"/>
      <c r="Y332" s="732"/>
      <c r="Z332" s="732"/>
      <c r="AA332" s="732"/>
    </row>
    <row r="333" spans="1:27" ht="24.75" customHeight="1">
      <c r="A333" s="732"/>
      <c r="B333" s="732"/>
      <c r="C333" s="732"/>
      <c r="D333" s="732"/>
      <c r="E333" s="732"/>
      <c r="F333" s="732"/>
      <c r="G333" s="732"/>
      <c r="H333" s="732"/>
      <c r="I333" s="732"/>
      <c r="J333" s="732"/>
      <c r="K333" s="732"/>
      <c r="L333" s="732"/>
      <c r="M333" s="732"/>
      <c r="N333" s="732"/>
      <c r="O333" s="732"/>
      <c r="P333" s="732"/>
      <c r="Q333" s="732"/>
      <c r="R333" s="732"/>
      <c r="S333" s="732"/>
      <c r="T333" s="732"/>
      <c r="U333" s="732"/>
      <c r="V333" s="733"/>
      <c r="W333" s="732"/>
      <c r="X333" s="732"/>
      <c r="Y333" s="732"/>
      <c r="Z333" s="732"/>
      <c r="AA333" s="732"/>
    </row>
    <row r="334" spans="1:27" ht="24.75" customHeight="1">
      <c r="A334" s="732"/>
      <c r="B334" s="732"/>
      <c r="C334" s="732"/>
      <c r="D334" s="732"/>
      <c r="E334" s="732"/>
      <c r="F334" s="732"/>
      <c r="G334" s="732"/>
      <c r="H334" s="732"/>
      <c r="I334" s="732"/>
      <c r="J334" s="732"/>
      <c r="K334" s="732"/>
      <c r="L334" s="732"/>
      <c r="M334" s="732"/>
      <c r="N334" s="732"/>
      <c r="O334" s="732"/>
      <c r="P334" s="732"/>
      <c r="Q334" s="732"/>
      <c r="R334" s="732"/>
      <c r="S334" s="732"/>
      <c r="T334" s="732"/>
      <c r="U334" s="732"/>
      <c r="V334" s="733"/>
      <c r="W334" s="732"/>
      <c r="X334" s="732"/>
      <c r="Y334" s="732"/>
      <c r="Z334" s="732"/>
      <c r="AA334" s="732"/>
    </row>
    <row r="335" spans="1:27" ht="24.75" customHeight="1">
      <c r="A335" s="732"/>
      <c r="B335" s="732"/>
      <c r="C335" s="732"/>
      <c r="D335" s="732"/>
      <c r="E335" s="732"/>
      <c r="F335" s="732"/>
      <c r="G335" s="732"/>
      <c r="H335" s="732"/>
      <c r="I335" s="732"/>
      <c r="J335" s="732"/>
      <c r="K335" s="732"/>
      <c r="L335" s="732"/>
      <c r="M335" s="732"/>
      <c r="N335" s="732"/>
      <c r="O335" s="732"/>
      <c r="P335" s="732"/>
      <c r="Q335" s="732"/>
      <c r="R335" s="732"/>
      <c r="S335" s="732"/>
      <c r="T335" s="732"/>
      <c r="U335" s="732"/>
      <c r="V335" s="733"/>
      <c r="W335" s="732"/>
      <c r="X335" s="732"/>
      <c r="Y335" s="732"/>
      <c r="Z335" s="732"/>
      <c r="AA335" s="732"/>
    </row>
    <row r="336" spans="1:27" ht="24.75" customHeight="1">
      <c r="A336" s="732"/>
      <c r="B336" s="732"/>
      <c r="C336" s="732"/>
      <c r="D336" s="732"/>
      <c r="E336" s="732"/>
      <c r="F336" s="732"/>
      <c r="G336" s="732"/>
      <c r="H336" s="732"/>
      <c r="I336" s="732"/>
      <c r="J336" s="732"/>
      <c r="K336" s="732"/>
      <c r="L336" s="732"/>
      <c r="M336" s="732"/>
      <c r="N336" s="732"/>
      <c r="O336" s="732"/>
      <c r="P336" s="732"/>
      <c r="Q336" s="732"/>
      <c r="R336" s="732"/>
      <c r="S336" s="732"/>
      <c r="T336" s="732"/>
      <c r="U336" s="732"/>
      <c r="V336" s="733"/>
      <c r="W336" s="732"/>
      <c r="X336" s="732"/>
      <c r="Y336" s="732"/>
      <c r="Z336" s="732"/>
      <c r="AA336" s="732"/>
    </row>
    <row r="337" spans="1:27" ht="24.75" customHeight="1">
      <c r="A337" s="732"/>
      <c r="B337" s="732"/>
      <c r="C337" s="732"/>
      <c r="D337" s="732"/>
      <c r="E337" s="732"/>
      <c r="F337" s="732"/>
      <c r="G337" s="732"/>
      <c r="H337" s="732"/>
      <c r="I337" s="732"/>
      <c r="J337" s="732"/>
      <c r="K337" s="732"/>
      <c r="L337" s="732"/>
      <c r="M337" s="732"/>
      <c r="N337" s="732"/>
      <c r="O337" s="732"/>
      <c r="P337" s="732"/>
      <c r="Q337" s="732"/>
      <c r="R337" s="732"/>
      <c r="S337" s="732"/>
      <c r="T337" s="732"/>
      <c r="U337" s="732"/>
      <c r="V337" s="733"/>
      <c r="W337" s="732"/>
      <c r="X337" s="732"/>
      <c r="Y337" s="732"/>
      <c r="Z337" s="732"/>
      <c r="AA337" s="732"/>
    </row>
    <row r="338" spans="1:27" ht="24.75" customHeight="1">
      <c r="A338" s="732"/>
      <c r="B338" s="732"/>
      <c r="C338" s="732"/>
      <c r="D338" s="732"/>
      <c r="E338" s="732"/>
      <c r="F338" s="732"/>
      <c r="G338" s="732"/>
      <c r="H338" s="732"/>
      <c r="I338" s="732"/>
      <c r="J338" s="732"/>
      <c r="K338" s="732"/>
      <c r="L338" s="732"/>
      <c r="M338" s="732"/>
      <c r="N338" s="732"/>
      <c r="O338" s="732"/>
      <c r="P338" s="732"/>
      <c r="Q338" s="732"/>
      <c r="R338" s="732"/>
      <c r="S338" s="732"/>
      <c r="T338" s="732"/>
      <c r="U338" s="732"/>
      <c r="V338" s="733"/>
      <c r="W338" s="732"/>
      <c r="X338" s="732"/>
      <c r="Y338" s="732"/>
      <c r="Z338" s="732"/>
      <c r="AA338" s="732"/>
    </row>
    <row r="339" spans="1:27" ht="24.75" customHeight="1">
      <c r="A339" s="732"/>
      <c r="B339" s="732"/>
      <c r="C339" s="732"/>
      <c r="D339" s="732"/>
      <c r="E339" s="732"/>
      <c r="F339" s="732"/>
      <c r="G339" s="732"/>
      <c r="H339" s="732"/>
      <c r="I339" s="732"/>
      <c r="J339" s="732"/>
      <c r="K339" s="732"/>
      <c r="L339" s="732"/>
      <c r="M339" s="732"/>
      <c r="N339" s="732"/>
      <c r="O339" s="732"/>
      <c r="P339" s="732"/>
      <c r="Q339" s="732"/>
      <c r="R339" s="732"/>
      <c r="S339" s="732"/>
      <c r="T339" s="732"/>
      <c r="U339" s="732"/>
      <c r="V339" s="733"/>
      <c r="W339" s="732"/>
      <c r="X339" s="732"/>
      <c r="Y339" s="732"/>
      <c r="Z339" s="732"/>
      <c r="AA339" s="732"/>
    </row>
    <row r="340" spans="1:27" ht="24.75" customHeight="1">
      <c r="A340" s="732"/>
      <c r="B340" s="732"/>
      <c r="C340" s="732"/>
      <c r="D340" s="732"/>
      <c r="E340" s="732"/>
      <c r="F340" s="732"/>
      <c r="G340" s="732"/>
      <c r="H340" s="732"/>
      <c r="I340" s="732"/>
      <c r="J340" s="732"/>
      <c r="K340" s="732"/>
      <c r="L340" s="732"/>
      <c r="M340" s="732"/>
      <c r="N340" s="732"/>
      <c r="O340" s="732"/>
      <c r="P340" s="732"/>
      <c r="Q340" s="732"/>
      <c r="R340" s="732"/>
      <c r="S340" s="732"/>
      <c r="T340" s="732"/>
      <c r="U340" s="732"/>
      <c r="V340" s="733"/>
      <c r="W340" s="732"/>
      <c r="X340" s="732"/>
      <c r="Y340" s="732"/>
      <c r="Z340" s="732"/>
      <c r="AA340" s="732"/>
    </row>
    <row r="341" spans="1:27" ht="24.75" customHeight="1">
      <c r="A341" s="732"/>
      <c r="B341" s="732"/>
      <c r="C341" s="732"/>
      <c r="D341" s="732"/>
      <c r="E341" s="732"/>
      <c r="F341" s="732"/>
      <c r="G341" s="732"/>
      <c r="H341" s="732"/>
      <c r="I341" s="732"/>
      <c r="J341" s="732"/>
      <c r="K341" s="732"/>
      <c r="L341" s="732"/>
      <c r="M341" s="732"/>
      <c r="N341" s="732"/>
      <c r="O341" s="732"/>
      <c r="P341" s="732"/>
      <c r="Q341" s="732"/>
      <c r="R341" s="732"/>
      <c r="S341" s="732"/>
      <c r="T341" s="732"/>
      <c r="U341" s="732"/>
      <c r="V341" s="733"/>
      <c r="W341" s="732"/>
      <c r="X341" s="732"/>
      <c r="Y341" s="732"/>
      <c r="Z341" s="732"/>
      <c r="AA341" s="732"/>
    </row>
    <row r="342" spans="1:27" ht="24.75" customHeight="1">
      <c r="A342" s="732"/>
      <c r="B342" s="732"/>
      <c r="C342" s="732"/>
      <c r="D342" s="732"/>
      <c r="E342" s="732"/>
      <c r="F342" s="732"/>
      <c r="G342" s="732"/>
      <c r="H342" s="732"/>
      <c r="I342" s="732"/>
      <c r="J342" s="732"/>
      <c r="K342" s="732"/>
      <c r="L342" s="732"/>
      <c r="M342" s="732"/>
      <c r="N342" s="732"/>
      <c r="O342" s="732"/>
      <c r="P342" s="732"/>
      <c r="Q342" s="732"/>
      <c r="R342" s="732"/>
      <c r="S342" s="732"/>
      <c r="T342" s="732"/>
      <c r="U342" s="732"/>
      <c r="V342" s="733"/>
      <c r="W342" s="732"/>
      <c r="X342" s="732"/>
      <c r="Y342" s="732"/>
      <c r="Z342" s="732"/>
      <c r="AA342" s="732"/>
    </row>
    <row r="343" spans="1:27" ht="24.75" customHeight="1">
      <c r="A343" s="732"/>
      <c r="B343" s="732"/>
      <c r="C343" s="732"/>
      <c r="D343" s="732"/>
      <c r="E343" s="732"/>
      <c r="F343" s="732"/>
      <c r="G343" s="732"/>
      <c r="H343" s="732"/>
      <c r="I343" s="732"/>
      <c r="J343" s="732"/>
      <c r="K343" s="732"/>
      <c r="L343" s="732"/>
      <c r="M343" s="732"/>
      <c r="N343" s="732"/>
      <c r="O343" s="732"/>
      <c r="P343" s="732"/>
      <c r="Q343" s="732"/>
      <c r="R343" s="732"/>
      <c r="S343" s="732"/>
      <c r="T343" s="732"/>
      <c r="U343" s="732"/>
      <c r="V343" s="733"/>
      <c r="W343" s="732"/>
      <c r="X343" s="732"/>
      <c r="Y343" s="732"/>
      <c r="Z343" s="732"/>
      <c r="AA343" s="732"/>
    </row>
    <row r="344" spans="1:27" ht="24.75" customHeight="1">
      <c r="A344" s="732"/>
      <c r="B344" s="732"/>
      <c r="C344" s="732"/>
      <c r="D344" s="732"/>
      <c r="E344" s="732"/>
      <c r="F344" s="732"/>
      <c r="G344" s="732"/>
      <c r="H344" s="732"/>
      <c r="I344" s="732"/>
      <c r="J344" s="732"/>
      <c r="K344" s="732"/>
      <c r="L344" s="732"/>
      <c r="M344" s="732"/>
      <c r="N344" s="732"/>
      <c r="O344" s="732"/>
      <c r="P344" s="732"/>
      <c r="Q344" s="732"/>
      <c r="R344" s="732"/>
      <c r="S344" s="732"/>
      <c r="T344" s="732"/>
      <c r="U344" s="732"/>
      <c r="V344" s="733"/>
      <c r="W344" s="732"/>
      <c r="X344" s="732"/>
      <c r="Y344" s="732"/>
      <c r="Z344" s="732"/>
      <c r="AA344" s="732"/>
    </row>
    <row r="345" spans="1:27" ht="24.75" customHeight="1">
      <c r="A345" s="732"/>
      <c r="B345" s="732"/>
      <c r="C345" s="732"/>
      <c r="D345" s="732"/>
      <c r="E345" s="732"/>
      <c r="F345" s="732"/>
      <c r="G345" s="732"/>
      <c r="H345" s="732"/>
      <c r="I345" s="732"/>
      <c r="J345" s="732"/>
      <c r="K345" s="732"/>
      <c r="L345" s="732"/>
      <c r="M345" s="732"/>
      <c r="N345" s="732"/>
      <c r="O345" s="732"/>
      <c r="P345" s="732"/>
      <c r="Q345" s="732"/>
      <c r="R345" s="732"/>
      <c r="S345" s="732"/>
      <c r="T345" s="732"/>
      <c r="U345" s="732"/>
      <c r="V345" s="733"/>
      <c r="W345" s="732"/>
      <c r="X345" s="732"/>
      <c r="Y345" s="732"/>
      <c r="Z345" s="732"/>
      <c r="AA345" s="732"/>
    </row>
    <row r="346" spans="1:27" ht="24.75" customHeight="1">
      <c r="A346" s="732"/>
      <c r="B346" s="732"/>
      <c r="C346" s="732"/>
      <c r="D346" s="732"/>
      <c r="E346" s="732"/>
      <c r="F346" s="732"/>
      <c r="G346" s="732"/>
      <c r="H346" s="732"/>
      <c r="I346" s="732"/>
      <c r="J346" s="732"/>
      <c r="K346" s="732"/>
      <c r="L346" s="732"/>
      <c r="M346" s="732"/>
      <c r="N346" s="732"/>
      <c r="O346" s="732"/>
      <c r="P346" s="732"/>
      <c r="Q346" s="732"/>
      <c r="R346" s="732"/>
      <c r="S346" s="732"/>
      <c r="T346" s="732"/>
      <c r="U346" s="732"/>
      <c r="V346" s="733"/>
      <c r="W346" s="732"/>
      <c r="X346" s="732"/>
      <c r="Y346" s="732"/>
      <c r="Z346" s="732"/>
      <c r="AA346" s="732"/>
    </row>
    <row r="347" spans="1:27" ht="24.75" customHeight="1">
      <c r="A347" s="732"/>
      <c r="B347" s="732"/>
      <c r="C347" s="732"/>
      <c r="D347" s="732"/>
      <c r="E347" s="732"/>
      <c r="F347" s="732"/>
      <c r="G347" s="732"/>
      <c r="H347" s="732"/>
      <c r="I347" s="732"/>
      <c r="J347" s="732"/>
      <c r="K347" s="732"/>
      <c r="L347" s="732"/>
      <c r="M347" s="732"/>
      <c r="N347" s="732"/>
      <c r="O347" s="732"/>
      <c r="P347" s="732"/>
      <c r="Q347" s="732"/>
      <c r="R347" s="732"/>
      <c r="S347" s="732"/>
      <c r="T347" s="732"/>
      <c r="U347" s="732"/>
      <c r="V347" s="733"/>
      <c r="W347" s="732"/>
      <c r="X347" s="732"/>
      <c r="Y347" s="732"/>
      <c r="Z347" s="732"/>
      <c r="AA347" s="732"/>
    </row>
    <row r="348" spans="1:27" ht="24.75" customHeight="1">
      <c r="A348" s="732"/>
      <c r="B348" s="732"/>
      <c r="C348" s="732"/>
      <c r="D348" s="732"/>
      <c r="E348" s="732"/>
      <c r="F348" s="732"/>
      <c r="G348" s="732"/>
      <c r="H348" s="732"/>
      <c r="I348" s="732"/>
      <c r="J348" s="732"/>
      <c r="K348" s="732"/>
      <c r="L348" s="732"/>
      <c r="M348" s="732"/>
      <c r="N348" s="732"/>
      <c r="O348" s="732"/>
      <c r="P348" s="732"/>
      <c r="Q348" s="732"/>
      <c r="R348" s="732"/>
      <c r="S348" s="732"/>
      <c r="T348" s="732"/>
      <c r="U348" s="732"/>
      <c r="V348" s="733"/>
      <c r="W348" s="732"/>
      <c r="X348" s="732"/>
      <c r="Y348" s="732"/>
      <c r="Z348" s="732"/>
      <c r="AA348" s="732"/>
    </row>
    <row r="349" spans="1:27" ht="24.75" customHeight="1">
      <c r="A349" s="732"/>
      <c r="B349" s="732"/>
      <c r="C349" s="732"/>
      <c r="D349" s="732"/>
      <c r="E349" s="732"/>
      <c r="F349" s="732"/>
      <c r="G349" s="732"/>
      <c r="H349" s="732"/>
      <c r="I349" s="732"/>
      <c r="J349" s="732"/>
      <c r="K349" s="732"/>
      <c r="L349" s="732"/>
      <c r="M349" s="732"/>
      <c r="N349" s="732"/>
      <c r="O349" s="732"/>
      <c r="P349" s="732"/>
      <c r="Q349" s="732"/>
      <c r="R349" s="732"/>
      <c r="S349" s="732"/>
      <c r="T349" s="732"/>
      <c r="U349" s="732"/>
      <c r="V349" s="733"/>
      <c r="W349" s="732"/>
      <c r="X349" s="732"/>
      <c r="Y349" s="732"/>
      <c r="Z349" s="732"/>
      <c r="AA349" s="732"/>
    </row>
    <row r="350" spans="1:27" ht="24.75" customHeight="1">
      <c r="A350" s="732"/>
      <c r="B350" s="732"/>
      <c r="C350" s="732"/>
      <c r="D350" s="732"/>
      <c r="E350" s="732"/>
      <c r="F350" s="732"/>
      <c r="G350" s="732"/>
      <c r="H350" s="732"/>
      <c r="I350" s="732"/>
      <c r="J350" s="732"/>
      <c r="K350" s="732"/>
      <c r="L350" s="732"/>
      <c r="M350" s="732"/>
      <c r="N350" s="732"/>
      <c r="O350" s="732"/>
      <c r="P350" s="732"/>
      <c r="Q350" s="732"/>
      <c r="R350" s="732"/>
      <c r="S350" s="732"/>
      <c r="T350" s="732"/>
      <c r="U350" s="732"/>
      <c r="V350" s="733"/>
      <c r="W350" s="732"/>
      <c r="X350" s="732"/>
      <c r="Y350" s="732"/>
      <c r="Z350" s="732"/>
      <c r="AA350" s="732"/>
    </row>
    <row r="351" spans="1:27" ht="24.75" customHeight="1">
      <c r="A351" s="732"/>
      <c r="B351" s="732"/>
      <c r="C351" s="732"/>
      <c r="D351" s="732"/>
      <c r="E351" s="732"/>
      <c r="F351" s="732"/>
      <c r="G351" s="732"/>
      <c r="H351" s="732"/>
      <c r="I351" s="732"/>
      <c r="J351" s="732"/>
      <c r="K351" s="732"/>
      <c r="L351" s="732"/>
      <c r="M351" s="732"/>
      <c r="N351" s="732"/>
      <c r="O351" s="732"/>
      <c r="P351" s="732"/>
      <c r="Q351" s="732"/>
      <c r="R351" s="732"/>
      <c r="S351" s="732"/>
      <c r="T351" s="732"/>
      <c r="U351" s="732"/>
      <c r="V351" s="733"/>
      <c r="W351" s="732"/>
      <c r="X351" s="732"/>
      <c r="Y351" s="732"/>
      <c r="Z351" s="732"/>
      <c r="AA351" s="732"/>
    </row>
    <row r="352" spans="1:27" ht="24.75" customHeight="1">
      <c r="A352" s="732"/>
      <c r="B352" s="732"/>
      <c r="C352" s="732"/>
      <c r="D352" s="732"/>
      <c r="E352" s="732"/>
      <c r="F352" s="732"/>
      <c r="G352" s="732"/>
      <c r="H352" s="732"/>
      <c r="I352" s="732"/>
      <c r="J352" s="732"/>
      <c r="K352" s="732"/>
      <c r="L352" s="732"/>
      <c r="M352" s="732"/>
      <c r="N352" s="732"/>
      <c r="O352" s="732"/>
      <c r="P352" s="732"/>
      <c r="Q352" s="732"/>
      <c r="R352" s="732"/>
      <c r="S352" s="732"/>
      <c r="T352" s="732"/>
      <c r="U352" s="732"/>
      <c r="V352" s="733"/>
      <c r="W352" s="732"/>
      <c r="X352" s="732"/>
      <c r="Y352" s="732"/>
      <c r="Z352" s="732"/>
      <c r="AA352" s="732"/>
    </row>
    <row r="353" spans="1:27" ht="24.75" customHeight="1">
      <c r="A353" s="732"/>
      <c r="B353" s="732"/>
      <c r="C353" s="732"/>
      <c r="D353" s="732"/>
      <c r="E353" s="732"/>
      <c r="F353" s="732"/>
      <c r="G353" s="732"/>
      <c r="H353" s="732"/>
      <c r="I353" s="732"/>
      <c r="J353" s="732"/>
      <c r="K353" s="732"/>
      <c r="L353" s="732"/>
      <c r="M353" s="732"/>
      <c r="N353" s="732"/>
      <c r="O353" s="732"/>
      <c r="P353" s="732"/>
      <c r="Q353" s="732"/>
      <c r="R353" s="732"/>
      <c r="S353" s="732"/>
      <c r="T353" s="732"/>
      <c r="U353" s="732"/>
      <c r="V353" s="733"/>
      <c r="W353" s="732"/>
      <c r="X353" s="732"/>
      <c r="Y353" s="732"/>
      <c r="Z353" s="732"/>
      <c r="AA353" s="732"/>
    </row>
    <row r="354" spans="1:27" ht="24.75" customHeight="1">
      <c r="A354" s="732"/>
      <c r="B354" s="732"/>
      <c r="C354" s="732"/>
      <c r="D354" s="732"/>
      <c r="E354" s="732"/>
      <c r="F354" s="732"/>
      <c r="G354" s="732"/>
      <c r="H354" s="732"/>
      <c r="I354" s="732"/>
      <c r="J354" s="732"/>
      <c r="K354" s="732"/>
      <c r="L354" s="732"/>
      <c r="M354" s="732"/>
      <c r="N354" s="732"/>
      <c r="O354" s="732"/>
      <c r="P354" s="732"/>
      <c r="Q354" s="732"/>
      <c r="R354" s="732"/>
      <c r="S354" s="732"/>
      <c r="T354" s="732"/>
      <c r="U354" s="732"/>
      <c r="V354" s="733"/>
      <c r="W354" s="732"/>
      <c r="X354" s="732"/>
      <c r="Y354" s="732"/>
      <c r="Z354" s="732"/>
      <c r="AA354" s="732"/>
    </row>
    <row r="355" spans="1:27" ht="24.75" customHeight="1">
      <c r="A355" s="732"/>
      <c r="B355" s="732"/>
      <c r="C355" s="732"/>
      <c r="D355" s="732"/>
      <c r="E355" s="732"/>
      <c r="F355" s="732"/>
      <c r="G355" s="732"/>
      <c r="H355" s="732"/>
      <c r="I355" s="732"/>
      <c r="J355" s="732"/>
      <c r="K355" s="732"/>
      <c r="L355" s="732"/>
      <c r="M355" s="732"/>
      <c r="N355" s="732"/>
      <c r="O355" s="732"/>
      <c r="P355" s="732"/>
      <c r="Q355" s="732"/>
      <c r="R355" s="732"/>
      <c r="S355" s="732"/>
      <c r="T355" s="732"/>
      <c r="U355" s="732"/>
      <c r="V355" s="733"/>
      <c r="W355" s="732"/>
      <c r="X355" s="732"/>
      <c r="Y355" s="732"/>
      <c r="Z355" s="732"/>
      <c r="AA355" s="732"/>
    </row>
    <row r="356" spans="1:27" ht="24.75" customHeight="1">
      <c r="A356" s="732"/>
      <c r="B356" s="732"/>
      <c r="C356" s="732"/>
      <c r="D356" s="732"/>
      <c r="E356" s="732"/>
      <c r="F356" s="732"/>
      <c r="G356" s="732"/>
      <c r="H356" s="732"/>
      <c r="I356" s="732"/>
      <c r="J356" s="732"/>
      <c r="K356" s="732"/>
      <c r="L356" s="732"/>
      <c r="M356" s="732"/>
      <c r="N356" s="732"/>
      <c r="O356" s="732"/>
      <c r="P356" s="732"/>
      <c r="Q356" s="732"/>
      <c r="R356" s="732"/>
      <c r="S356" s="732"/>
      <c r="T356" s="732"/>
      <c r="U356" s="732"/>
      <c r="V356" s="733"/>
      <c r="W356" s="732"/>
      <c r="X356" s="732"/>
      <c r="Y356" s="732"/>
      <c r="Z356" s="732"/>
      <c r="AA356" s="732"/>
    </row>
    <row r="357" spans="1:27" ht="24.75" customHeight="1">
      <c r="A357" s="732"/>
      <c r="B357" s="732"/>
      <c r="C357" s="732"/>
      <c r="D357" s="732"/>
      <c r="E357" s="732"/>
      <c r="F357" s="732"/>
      <c r="G357" s="732"/>
      <c r="H357" s="732"/>
      <c r="I357" s="732"/>
      <c r="J357" s="732"/>
      <c r="K357" s="732"/>
      <c r="L357" s="732"/>
      <c r="M357" s="732"/>
      <c r="N357" s="732"/>
      <c r="O357" s="732"/>
      <c r="P357" s="732"/>
      <c r="Q357" s="732"/>
      <c r="R357" s="732"/>
      <c r="S357" s="732"/>
      <c r="T357" s="732"/>
      <c r="U357" s="732"/>
      <c r="V357" s="733"/>
      <c r="W357" s="732"/>
      <c r="X357" s="732"/>
      <c r="Y357" s="732"/>
      <c r="Z357" s="732"/>
      <c r="AA357" s="732"/>
    </row>
    <row r="358" spans="1:27" ht="24.75" customHeight="1">
      <c r="A358" s="732"/>
      <c r="B358" s="732"/>
      <c r="C358" s="732"/>
      <c r="D358" s="732"/>
      <c r="E358" s="732"/>
      <c r="F358" s="732"/>
      <c r="G358" s="732"/>
      <c r="H358" s="732"/>
      <c r="I358" s="732"/>
      <c r="J358" s="732"/>
      <c r="K358" s="732"/>
      <c r="L358" s="732"/>
      <c r="M358" s="732"/>
      <c r="N358" s="732"/>
      <c r="O358" s="732"/>
      <c r="P358" s="732"/>
      <c r="Q358" s="732"/>
      <c r="R358" s="732"/>
      <c r="S358" s="732"/>
      <c r="T358" s="732"/>
      <c r="U358" s="732"/>
      <c r="V358" s="733"/>
      <c r="W358" s="732"/>
      <c r="X358" s="732"/>
      <c r="Y358" s="732"/>
      <c r="Z358" s="732"/>
      <c r="AA358" s="732"/>
    </row>
    <row r="359" spans="1:27" ht="24.75" customHeight="1">
      <c r="A359" s="732"/>
      <c r="B359" s="732"/>
      <c r="C359" s="732"/>
      <c r="D359" s="732"/>
      <c r="E359" s="732"/>
      <c r="F359" s="732"/>
      <c r="G359" s="732"/>
      <c r="H359" s="732"/>
      <c r="I359" s="732"/>
      <c r="J359" s="732"/>
      <c r="K359" s="732"/>
      <c r="L359" s="732"/>
      <c r="M359" s="732"/>
      <c r="N359" s="732"/>
      <c r="O359" s="732"/>
      <c r="P359" s="732"/>
      <c r="Q359" s="732"/>
      <c r="R359" s="732"/>
      <c r="S359" s="732"/>
      <c r="T359" s="732"/>
      <c r="U359" s="732"/>
      <c r="V359" s="733"/>
      <c r="W359" s="732"/>
      <c r="X359" s="732"/>
      <c r="Y359" s="732"/>
      <c r="Z359" s="732"/>
      <c r="AA359" s="732"/>
    </row>
    <row r="360" spans="1:27" ht="24.75" customHeight="1">
      <c r="A360" s="732"/>
      <c r="B360" s="732"/>
      <c r="C360" s="732"/>
      <c r="D360" s="732"/>
      <c r="E360" s="732"/>
      <c r="F360" s="732"/>
      <c r="G360" s="732"/>
      <c r="H360" s="732"/>
      <c r="I360" s="732"/>
      <c r="J360" s="732"/>
      <c r="K360" s="732"/>
      <c r="L360" s="732"/>
      <c r="M360" s="732"/>
      <c r="N360" s="732"/>
      <c r="O360" s="732"/>
      <c r="P360" s="732"/>
      <c r="Q360" s="732"/>
      <c r="R360" s="732"/>
      <c r="S360" s="732"/>
      <c r="T360" s="732"/>
      <c r="U360" s="732"/>
      <c r="V360" s="733"/>
      <c r="W360" s="732"/>
      <c r="X360" s="732"/>
      <c r="Y360" s="732"/>
      <c r="Z360" s="732"/>
      <c r="AA360" s="732"/>
    </row>
    <row r="361" spans="1:27" ht="24.75" customHeight="1">
      <c r="A361" s="732"/>
      <c r="B361" s="732"/>
      <c r="C361" s="732"/>
      <c r="D361" s="732"/>
      <c r="E361" s="732"/>
      <c r="F361" s="732"/>
      <c r="G361" s="732"/>
      <c r="H361" s="732"/>
      <c r="I361" s="732"/>
      <c r="J361" s="732"/>
      <c r="K361" s="732"/>
      <c r="L361" s="732"/>
      <c r="M361" s="732"/>
      <c r="N361" s="732"/>
      <c r="O361" s="732"/>
      <c r="P361" s="732"/>
      <c r="Q361" s="732"/>
      <c r="R361" s="732"/>
      <c r="S361" s="732"/>
      <c r="T361" s="732"/>
      <c r="U361" s="732"/>
      <c r="V361" s="733"/>
      <c r="W361" s="732"/>
      <c r="X361" s="732"/>
      <c r="Y361" s="732"/>
      <c r="Z361" s="732"/>
      <c r="AA361" s="732"/>
    </row>
    <row r="362" spans="1:27" ht="24.75" customHeight="1">
      <c r="A362" s="732"/>
      <c r="B362" s="732"/>
      <c r="C362" s="732"/>
      <c r="D362" s="732"/>
      <c r="E362" s="732"/>
      <c r="F362" s="732"/>
      <c r="G362" s="732"/>
      <c r="H362" s="732"/>
      <c r="I362" s="732"/>
      <c r="J362" s="732"/>
      <c r="K362" s="732"/>
      <c r="L362" s="732"/>
      <c r="M362" s="732"/>
      <c r="N362" s="732"/>
      <c r="O362" s="732"/>
      <c r="P362" s="732"/>
      <c r="Q362" s="732"/>
      <c r="R362" s="732"/>
      <c r="S362" s="732"/>
      <c r="T362" s="732"/>
      <c r="U362" s="732"/>
      <c r="V362" s="733"/>
      <c r="W362" s="732"/>
      <c r="X362" s="732"/>
      <c r="Y362" s="732"/>
      <c r="Z362" s="732"/>
      <c r="AA362" s="732"/>
    </row>
    <row r="363" spans="1:27" ht="24.75" customHeight="1">
      <c r="A363" s="732"/>
      <c r="B363" s="732"/>
      <c r="C363" s="732"/>
      <c r="D363" s="732"/>
      <c r="E363" s="732"/>
      <c r="F363" s="732"/>
      <c r="G363" s="732"/>
      <c r="H363" s="732"/>
      <c r="I363" s="732"/>
      <c r="J363" s="732"/>
      <c r="K363" s="732"/>
      <c r="L363" s="732"/>
      <c r="M363" s="732"/>
      <c r="N363" s="732"/>
      <c r="O363" s="732"/>
      <c r="P363" s="732"/>
      <c r="Q363" s="732"/>
      <c r="R363" s="732"/>
      <c r="S363" s="732"/>
      <c r="T363" s="732"/>
      <c r="U363" s="732"/>
      <c r="V363" s="733"/>
      <c r="W363" s="732"/>
      <c r="X363" s="732"/>
      <c r="Y363" s="732"/>
      <c r="Z363" s="732"/>
      <c r="AA363" s="732"/>
    </row>
    <row r="364" spans="1:27" ht="24.75" customHeight="1">
      <c r="A364" s="732"/>
      <c r="B364" s="732"/>
      <c r="C364" s="732"/>
      <c r="D364" s="732"/>
      <c r="E364" s="732"/>
      <c r="F364" s="732"/>
      <c r="G364" s="732"/>
      <c r="H364" s="732"/>
      <c r="I364" s="732"/>
      <c r="J364" s="732"/>
      <c r="K364" s="732"/>
      <c r="L364" s="732"/>
      <c r="M364" s="732"/>
      <c r="N364" s="732"/>
      <c r="O364" s="732"/>
      <c r="P364" s="732"/>
      <c r="Q364" s="732"/>
      <c r="R364" s="732"/>
      <c r="S364" s="732"/>
      <c r="T364" s="732"/>
      <c r="U364" s="732"/>
      <c r="V364" s="733"/>
      <c r="W364" s="732"/>
      <c r="X364" s="732"/>
      <c r="Y364" s="732"/>
      <c r="Z364" s="732"/>
      <c r="AA364" s="732"/>
    </row>
    <row r="365" spans="1:27" ht="24.75" customHeight="1">
      <c r="A365" s="732"/>
      <c r="B365" s="732"/>
      <c r="C365" s="732"/>
      <c r="D365" s="732"/>
      <c r="E365" s="732"/>
      <c r="F365" s="732"/>
      <c r="G365" s="732"/>
      <c r="H365" s="732"/>
      <c r="I365" s="732"/>
      <c r="J365" s="732"/>
      <c r="K365" s="732"/>
      <c r="L365" s="732"/>
      <c r="M365" s="732"/>
      <c r="N365" s="732"/>
      <c r="O365" s="732"/>
      <c r="P365" s="732"/>
      <c r="Q365" s="732"/>
      <c r="R365" s="732"/>
      <c r="S365" s="732"/>
      <c r="T365" s="732"/>
      <c r="U365" s="732"/>
      <c r="V365" s="733"/>
      <c r="W365" s="732"/>
      <c r="X365" s="732"/>
      <c r="Y365" s="732"/>
      <c r="Z365" s="732"/>
      <c r="AA365" s="732"/>
    </row>
    <row r="366" spans="1:27" ht="24.75" customHeight="1">
      <c r="A366" s="732"/>
      <c r="B366" s="732"/>
      <c r="C366" s="732"/>
      <c r="D366" s="732"/>
      <c r="E366" s="732"/>
      <c r="F366" s="732"/>
      <c r="G366" s="732"/>
      <c r="H366" s="732"/>
      <c r="I366" s="732"/>
      <c r="J366" s="732"/>
      <c r="K366" s="732"/>
      <c r="L366" s="732"/>
      <c r="M366" s="732"/>
      <c r="N366" s="732"/>
      <c r="O366" s="732"/>
      <c r="P366" s="732"/>
      <c r="Q366" s="732"/>
      <c r="R366" s="732"/>
      <c r="S366" s="732"/>
      <c r="T366" s="732"/>
      <c r="U366" s="732"/>
      <c r="V366" s="733"/>
      <c r="W366" s="732"/>
      <c r="X366" s="732"/>
      <c r="Y366" s="732"/>
      <c r="Z366" s="732"/>
      <c r="AA366" s="732"/>
    </row>
    <row r="367" spans="1:27" ht="24.75" customHeight="1">
      <c r="A367" s="732"/>
      <c r="B367" s="732"/>
      <c r="C367" s="732"/>
      <c r="D367" s="732"/>
      <c r="E367" s="732"/>
      <c r="F367" s="732"/>
      <c r="G367" s="732"/>
      <c r="H367" s="732"/>
      <c r="I367" s="732"/>
      <c r="J367" s="732"/>
      <c r="K367" s="732"/>
      <c r="L367" s="732"/>
      <c r="M367" s="732"/>
      <c r="N367" s="732"/>
      <c r="O367" s="732"/>
      <c r="P367" s="732"/>
      <c r="Q367" s="732"/>
      <c r="R367" s="732"/>
      <c r="S367" s="732"/>
      <c r="T367" s="732"/>
      <c r="U367" s="732"/>
      <c r="V367" s="733"/>
      <c r="W367" s="732"/>
      <c r="X367" s="732"/>
      <c r="Y367" s="732"/>
      <c r="Z367" s="732"/>
      <c r="AA367" s="732"/>
    </row>
    <row r="368" spans="1:27" ht="24.75" customHeight="1">
      <c r="A368" s="732"/>
      <c r="B368" s="732"/>
      <c r="C368" s="732"/>
      <c r="D368" s="732"/>
      <c r="E368" s="732"/>
      <c r="F368" s="732"/>
      <c r="G368" s="732"/>
      <c r="H368" s="732"/>
      <c r="I368" s="732"/>
      <c r="J368" s="732"/>
      <c r="K368" s="732"/>
      <c r="L368" s="732"/>
      <c r="M368" s="732"/>
      <c r="N368" s="732"/>
      <c r="O368" s="732"/>
      <c r="P368" s="732"/>
      <c r="Q368" s="732"/>
      <c r="R368" s="732"/>
      <c r="S368" s="732"/>
      <c r="T368" s="732"/>
      <c r="U368" s="732"/>
      <c r="V368" s="733"/>
      <c r="W368" s="732"/>
      <c r="X368" s="732"/>
      <c r="Y368" s="732"/>
      <c r="Z368" s="732"/>
      <c r="AA368" s="732"/>
    </row>
    <row r="369" spans="1:27" ht="24.75" customHeight="1">
      <c r="A369" s="732"/>
      <c r="B369" s="732"/>
      <c r="C369" s="732"/>
      <c r="D369" s="732"/>
      <c r="E369" s="732"/>
      <c r="F369" s="732"/>
      <c r="G369" s="732"/>
      <c r="H369" s="732"/>
      <c r="I369" s="732"/>
      <c r="J369" s="732"/>
      <c r="K369" s="732"/>
      <c r="L369" s="732"/>
      <c r="M369" s="732"/>
      <c r="N369" s="732"/>
      <c r="O369" s="732"/>
      <c r="P369" s="732"/>
      <c r="Q369" s="732"/>
      <c r="R369" s="732"/>
      <c r="S369" s="732"/>
      <c r="T369" s="732"/>
      <c r="U369" s="732"/>
      <c r="V369" s="733"/>
      <c r="W369" s="732"/>
      <c r="X369" s="732"/>
      <c r="Y369" s="732"/>
      <c r="Z369" s="732"/>
      <c r="AA369" s="732"/>
    </row>
    <row r="370" spans="1:27" ht="24.75" customHeight="1">
      <c r="A370" s="732"/>
      <c r="B370" s="732"/>
      <c r="C370" s="732"/>
      <c r="D370" s="732"/>
      <c r="E370" s="732"/>
      <c r="F370" s="732"/>
      <c r="G370" s="732"/>
      <c r="H370" s="732"/>
      <c r="I370" s="732"/>
      <c r="J370" s="732"/>
      <c r="K370" s="732"/>
      <c r="L370" s="732"/>
      <c r="M370" s="732"/>
      <c r="N370" s="732"/>
      <c r="O370" s="732"/>
      <c r="P370" s="732"/>
      <c r="Q370" s="732"/>
      <c r="R370" s="732"/>
      <c r="S370" s="732"/>
      <c r="T370" s="732"/>
      <c r="U370" s="732"/>
      <c r="V370" s="733"/>
      <c r="W370" s="732"/>
      <c r="X370" s="732"/>
      <c r="Y370" s="732"/>
      <c r="Z370" s="732"/>
      <c r="AA370" s="732"/>
    </row>
    <row r="371" spans="1:27" ht="24.75" customHeight="1">
      <c r="A371" s="732"/>
      <c r="B371" s="732"/>
      <c r="C371" s="732"/>
      <c r="D371" s="732"/>
      <c r="E371" s="732"/>
      <c r="F371" s="732"/>
      <c r="G371" s="732"/>
      <c r="H371" s="732"/>
      <c r="I371" s="732"/>
      <c r="J371" s="732"/>
      <c r="K371" s="732"/>
      <c r="L371" s="732"/>
      <c r="M371" s="732"/>
      <c r="N371" s="732"/>
      <c r="O371" s="732"/>
      <c r="P371" s="732"/>
      <c r="Q371" s="732"/>
      <c r="R371" s="732"/>
      <c r="S371" s="732"/>
      <c r="T371" s="732"/>
      <c r="U371" s="732"/>
      <c r="V371" s="733"/>
      <c r="W371" s="732"/>
      <c r="X371" s="732"/>
      <c r="Y371" s="732"/>
      <c r="Z371" s="732"/>
      <c r="AA371" s="732"/>
    </row>
    <row r="372" spans="1:27" ht="24.75" customHeight="1">
      <c r="A372" s="732"/>
      <c r="B372" s="732"/>
      <c r="C372" s="732"/>
      <c r="D372" s="732"/>
      <c r="E372" s="732"/>
      <c r="F372" s="732"/>
      <c r="G372" s="732"/>
      <c r="H372" s="732"/>
      <c r="I372" s="732"/>
      <c r="J372" s="732"/>
      <c r="K372" s="732"/>
      <c r="L372" s="732"/>
      <c r="M372" s="732"/>
      <c r="N372" s="732"/>
      <c r="O372" s="732"/>
      <c r="P372" s="732"/>
      <c r="Q372" s="732"/>
      <c r="R372" s="732"/>
      <c r="S372" s="732"/>
      <c r="T372" s="732"/>
      <c r="U372" s="732"/>
      <c r="V372" s="733"/>
      <c r="W372" s="732"/>
      <c r="X372" s="732"/>
      <c r="Y372" s="732"/>
      <c r="Z372" s="732"/>
      <c r="AA372" s="732"/>
    </row>
    <row r="373" spans="1:27" ht="24.75" customHeight="1">
      <c r="A373" s="732"/>
      <c r="B373" s="732"/>
      <c r="C373" s="732"/>
      <c r="D373" s="732"/>
      <c r="E373" s="732"/>
      <c r="F373" s="732"/>
      <c r="G373" s="732"/>
      <c r="H373" s="732"/>
      <c r="I373" s="732"/>
      <c r="J373" s="732"/>
      <c r="K373" s="732"/>
      <c r="L373" s="732"/>
      <c r="M373" s="732"/>
      <c r="N373" s="732"/>
      <c r="O373" s="732"/>
      <c r="P373" s="732"/>
      <c r="Q373" s="732"/>
      <c r="R373" s="732"/>
      <c r="S373" s="732"/>
      <c r="T373" s="732"/>
      <c r="U373" s="732"/>
      <c r="V373" s="733"/>
      <c r="W373" s="732"/>
      <c r="X373" s="732"/>
      <c r="Y373" s="732"/>
      <c r="Z373" s="732"/>
      <c r="AA373" s="732"/>
    </row>
    <row r="374" spans="1:27" ht="24.75" customHeight="1">
      <c r="A374" s="732"/>
      <c r="B374" s="732"/>
      <c r="C374" s="732"/>
      <c r="D374" s="732"/>
      <c r="E374" s="732"/>
      <c r="F374" s="732"/>
      <c r="G374" s="732"/>
      <c r="H374" s="732"/>
      <c r="I374" s="732"/>
      <c r="J374" s="732"/>
      <c r="K374" s="732"/>
      <c r="L374" s="732"/>
      <c r="M374" s="732"/>
      <c r="N374" s="732"/>
      <c r="O374" s="732"/>
      <c r="P374" s="732"/>
      <c r="Q374" s="732"/>
      <c r="R374" s="732"/>
      <c r="S374" s="732"/>
      <c r="T374" s="732"/>
      <c r="U374" s="732"/>
      <c r="V374" s="733"/>
      <c r="W374" s="732"/>
      <c r="X374" s="732"/>
      <c r="Y374" s="732"/>
      <c r="Z374" s="732"/>
      <c r="AA374" s="732"/>
    </row>
    <row r="375" spans="1:27" ht="24.75" customHeight="1">
      <c r="A375" s="732"/>
      <c r="B375" s="732"/>
      <c r="C375" s="732"/>
      <c r="D375" s="732"/>
      <c r="E375" s="732"/>
      <c r="F375" s="732"/>
      <c r="G375" s="732"/>
      <c r="H375" s="732"/>
      <c r="I375" s="732"/>
      <c r="J375" s="732"/>
      <c r="K375" s="732"/>
      <c r="L375" s="732"/>
      <c r="M375" s="732"/>
      <c r="N375" s="732"/>
      <c r="O375" s="732"/>
      <c r="P375" s="732"/>
      <c r="Q375" s="732"/>
      <c r="R375" s="732"/>
      <c r="S375" s="732"/>
      <c r="T375" s="732"/>
      <c r="U375" s="732"/>
      <c r="V375" s="733"/>
      <c r="W375" s="732"/>
      <c r="X375" s="732"/>
      <c r="Y375" s="732"/>
      <c r="Z375" s="732"/>
      <c r="AA375" s="732"/>
    </row>
    <row r="376" spans="1:27" ht="24.75" customHeight="1">
      <c r="A376" s="732"/>
      <c r="B376" s="732"/>
      <c r="C376" s="732"/>
      <c r="D376" s="732"/>
      <c r="E376" s="732"/>
      <c r="F376" s="732"/>
      <c r="G376" s="732"/>
      <c r="H376" s="732"/>
      <c r="I376" s="732"/>
      <c r="J376" s="732"/>
      <c r="K376" s="732"/>
      <c r="L376" s="732"/>
      <c r="M376" s="732"/>
      <c r="N376" s="732"/>
      <c r="O376" s="732"/>
      <c r="P376" s="732"/>
      <c r="Q376" s="732"/>
      <c r="R376" s="732"/>
      <c r="S376" s="732"/>
      <c r="T376" s="732"/>
      <c r="U376" s="732"/>
      <c r="V376" s="733"/>
      <c r="W376" s="732"/>
      <c r="X376" s="732"/>
      <c r="Y376" s="732"/>
      <c r="Z376" s="732"/>
      <c r="AA376" s="732"/>
    </row>
    <row r="377" spans="1:27" ht="24.75" customHeight="1">
      <c r="A377" s="732"/>
      <c r="B377" s="732"/>
      <c r="C377" s="732"/>
      <c r="D377" s="732"/>
      <c r="E377" s="732"/>
      <c r="F377" s="732"/>
      <c r="G377" s="732"/>
      <c r="H377" s="732"/>
      <c r="I377" s="732"/>
      <c r="J377" s="732"/>
      <c r="K377" s="732"/>
      <c r="L377" s="732"/>
      <c r="M377" s="732"/>
      <c r="N377" s="732"/>
      <c r="O377" s="732"/>
      <c r="P377" s="732"/>
      <c r="Q377" s="732"/>
      <c r="R377" s="732"/>
      <c r="S377" s="732"/>
      <c r="T377" s="732"/>
      <c r="U377" s="732"/>
      <c r="V377" s="733"/>
      <c r="W377" s="732"/>
      <c r="X377" s="732"/>
      <c r="Y377" s="732"/>
      <c r="Z377" s="732"/>
      <c r="AA377" s="732"/>
    </row>
    <row r="378" spans="1:27" ht="24.75" customHeight="1">
      <c r="A378" s="732"/>
      <c r="B378" s="732"/>
      <c r="C378" s="732"/>
      <c r="D378" s="732"/>
      <c r="E378" s="732"/>
      <c r="F378" s="732"/>
      <c r="G378" s="732"/>
      <c r="H378" s="732"/>
      <c r="I378" s="732"/>
      <c r="J378" s="732"/>
      <c r="K378" s="732"/>
      <c r="L378" s="732"/>
      <c r="M378" s="732"/>
      <c r="N378" s="732"/>
      <c r="O378" s="732"/>
      <c r="P378" s="732"/>
      <c r="Q378" s="732"/>
      <c r="R378" s="732"/>
      <c r="S378" s="732"/>
      <c r="T378" s="732"/>
      <c r="U378" s="732"/>
      <c r="V378" s="733"/>
      <c r="W378" s="732"/>
      <c r="X378" s="732"/>
      <c r="Y378" s="732"/>
      <c r="Z378" s="732"/>
      <c r="AA378" s="732"/>
    </row>
    <row r="379" spans="1:27" ht="24.75" customHeight="1">
      <c r="A379" s="732"/>
      <c r="B379" s="732"/>
      <c r="C379" s="732"/>
      <c r="D379" s="732"/>
      <c r="E379" s="732"/>
      <c r="F379" s="732"/>
      <c r="G379" s="732"/>
      <c r="H379" s="732"/>
      <c r="I379" s="732"/>
      <c r="J379" s="732"/>
      <c r="K379" s="732"/>
      <c r="L379" s="732"/>
      <c r="M379" s="732"/>
      <c r="N379" s="732"/>
      <c r="O379" s="732"/>
      <c r="P379" s="732"/>
      <c r="Q379" s="732"/>
      <c r="R379" s="732"/>
      <c r="S379" s="732"/>
      <c r="T379" s="732"/>
      <c r="U379" s="732"/>
      <c r="V379" s="733"/>
      <c r="W379" s="732"/>
      <c r="X379" s="732"/>
      <c r="Y379" s="732"/>
      <c r="Z379" s="732"/>
      <c r="AA379" s="732"/>
    </row>
    <row r="380" spans="1:27" ht="24.75" customHeight="1">
      <c r="A380" s="732"/>
      <c r="B380" s="732"/>
      <c r="C380" s="732"/>
      <c r="D380" s="732"/>
      <c r="E380" s="732"/>
      <c r="F380" s="732"/>
      <c r="G380" s="732"/>
      <c r="H380" s="732"/>
      <c r="I380" s="732"/>
      <c r="J380" s="732"/>
      <c r="K380" s="732"/>
      <c r="L380" s="732"/>
      <c r="M380" s="732"/>
      <c r="N380" s="732"/>
      <c r="O380" s="732"/>
      <c r="P380" s="732"/>
      <c r="Q380" s="732"/>
      <c r="R380" s="732"/>
      <c r="S380" s="732"/>
      <c r="T380" s="732"/>
      <c r="U380" s="732"/>
      <c r="V380" s="733"/>
      <c r="W380" s="732"/>
      <c r="X380" s="732"/>
      <c r="Y380" s="732"/>
      <c r="Z380" s="732"/>
      <c r="AA380" s="732"/>
    </row>
    <row r="381" spans="1:27" ht="24.75" customHeight="1">
      <c r="A381" s="732"/>
      <c r="B381" s="732"/>
      <c r="C381" s="732"/>
      <c r="D381" s="732"/>
      <c r="E381" s="732"/>
      <c r="F381" s="732"/>
      <c r="G381" s="732"/>
      <c r="H381" s="732"/>
      <c r="I381" s="732"/>
      <c r="J381" s="732"/>
      <c r="K381" s="732"/>
      <c r="L381" s="732"/>
      <c r="M381" s="732"/>
      <c r="N381" s="732"/>
      <c r="O381" s="732"/>
      <c r="P381" s="732"/>
      <c r="Q381" s="732"/>
      <c r="R381" s="732"/>
      <c r="S381" s="732"/>
      <c r="T381" s="732"/>
      <c r="U381" s="732"/>
      <c r="V381" s="733"/>
      <c r="W381" s="732"/>
      <c r="X381" s="732"/>
      <c r="Y381" s="732"/>
      <c r="Z381" s="732"/>
      <c r="AA381" s="732"/>
    </row>
    <row r="382" spans="1:27" ht="24.75" customHeight="1">
      <c r="A382" s="732"/>
      <c r="B382" s="732"/>
      <c r="C382" s="732"/>
      <c r="D382" s="732"/>
      <c r="E382" s="732"/>
      <c r="F382" s="732"/>
      <c r="G382" s="732"/>
      <c r="H382" s="732"/>
      <c r="I382" s="732"/>
      <c r="J382" s="732"/>
      <c r="K382" s="732"/>
      <c r="L382" s="732"/>
      <c r="M382" s="732"/>
      <c r="N382" s="732"/>
      <c r="O382" s="732"/>
      <c r="P382" s="732"/>
      <c r="Q382" s="732"/>
      <c r="R382" s="732"/>
      <c r="S382" s="732"/>
      <c r="T382" s="732"/>
      <c r="U382" s="732"/>
      <c r="V382" s="733"/>
      <c r="W382" s="732"/>
      <c r="X382" s="732"/>
      <c r="Y382" s="732"/>
      <c r="Z382" s="732"/>
      <c r="AA382" s="732"/>
    </row>
    <row r="383" spans="1:27" ht="24.75" customHeight="1">
      <c r="A383" s="732"/>
      <c r="B383" s="732"/>
      <c r="C383" s="732"/>
      <c r="D383" s="732"/>
      <c r="E383" s="732"/>
      <c r="F383" s="732"/>
      <c r="G383" s="732"/>
      <c r="H383" s="732"/>
      <c r="I383" s="732"/>
      <c r="J383" s="732"/>
      <c r="K383" s="732"/>
      <c r="L383" s="732"/>
      <c r="M383" s="732"/>
      <c r="N383" s="732"/>
      <c r="O383" s="732"/>
      <c r="P383" s="732"/>
      <c r="Q383" s="732"/>
      <c r="R383" s="732"/>
      <c r="S383" s="732"/>
      <c r="T383" s="732"/>
      <c r="U383" s="732"/>
      <c r="V383" s="733"/>
      <c r="W383" s="732"/>
      <c r="X383" s="732"/>
      <c r="Y383" s="732"/>
      <c r="Z383" s="732"/>
      <c r="AA383" s="732"/>
    </row>
    <row r="384" spans="1:27" ht="24.75" customHeight="1">
      <c r="A384" s="732"/>
      <c r="B384" s="732"/>
      <c r="C384" s="732"/>
      <c r="D384" s="732"/>
      <c r="E384" s="732"/>
      <c r="F384" s="732"/>
      <c r="G384" s="732"/>
      <c r="H384" s="732"/>
      <c r="I384" s="732"/>
      <c r="J384" s="732"/>
      <c r="K384" s="732"/>
      <c r="L384" s="732"/>
      <c r="M384" s="732"/>
      <c r="N384" s="732"/>
      <c r="O384" s="732"/>
      <c r="P384" s="732"/>
      <c r="Q384" s="732"/>
      <c r="R384" s="732"/>
      <c r="S384" s="732"/>
      <c r="T384" s="732"/>
      <c r="U384" s="732"/>
      <c r="V384" s="733"/>
      <c r="W384" s="732"/>
      <c r="X384" s="732"/>
      <c r="Y384" s="732"/>
      <c r="Z384" s="732"/>
      <c r="AA384" s="732"/>
    </row>
    <row r="385" spans="1:27" ht="24.75" customHeight="1">
      <c r="A385" s="732"/>
      <c r="B385" s="732"/>
      <c r="C385" s="732"/>
      <c r="D385" s="732"/>
      <c r="E385" s="732"/>
      <c r="F385" s="732"/>
      <c r="G385" s="732"/>
      <c r="H385" s="732"/>
      <c r="I385" s="732"/>
      <c r="J385" s="732"/>
      <c r="K385" s="732"/>
      <c r="L385" s="732"/>
      <c r="M385" s="732"/>
      <c r="N385" s="732"/>
      <c r="O385" s="732"/>
      <c r="P385" s="732"/>
      <c r="Q385" s="732"/>
      <c r="R385" s="732"/>
      <c r="S385" s="732"/>
      <c r="T385" s="732"/>
      <c r="U385" s="732"/>
      <c r="V385" s="733"/>
      <c r="W385" s="732"/>
      <c r="X385" s="732"/>
      <c r="Y385" s="732"/>
      <c r="Z385" s="732"/>
      <c r="AA385" s="732"/>
    </row>
    <row r="386" spans="1:27" ht="24.75" customHeight="1">
      <c r="A386" s="732"/>
      <c r="B386" s="732"/>
      <c r="C386" s="732"/>
      <c r="D386" s="732"/>
      <c r="E386" s="732"/>
      <c r="F386" s="732"/>
      <c r="G386" s="732"/>
      <c r="H386" s="732"/>
      <c r="I386" s="732"/>
      <c r="J386" s="732"/>
      <c r="K386" s="732"/>
      <c r="L386" s="732"/>
      <c r="M386" s="732"/>
      <c r="N386" s="732"/>
      <c r="O386" s="732"/>
      <c r="P386" s="732"/>
      <c r="Q386" s="732"/>
      <c r="R386" s="732"/>
      <c r="S386" s="732"/>
      <c r="T386" s="732"/>
      <c r="U386" s="732"/>
      <c r="V386" s="733"/>
      <c r="W386" s="732"/>
      <c r="X386" s="732"/>
      <c r="Y386" s="732"/>
      <c r="Z386" s="732"/>
      <c r="AA386" s="732"/>
    </row>
    <row r="387" spans="1:27" ht="24.75" customHeight="1">
      <c r="A387" s="732"/>
      <c r="B387" s="732"/>
      <c r="C387" s="732"/>
      <c r="D387" s="732"/>
      <c r="E387" s="732"/>
      <c r="F387" s="732"/>
      <c r="G387" s="732"/>
      <c r="H387" s="732"/>
      <c r="I387" s="732"/>
      <c r="J387" s="732"/>
      <c r="K387" s="732"/>
      <c r="L387" s="732"/>
      <c r="M387" s="732"/>
      <c r="N387" s="732"/>
      <c r="O387" s="732"/>
      <c r="P387" s="732"/>
      <c r="Q387" s="732"/>
      <c r="R387" s="732"/>
      <c r="S387" s="732"/>
      <c r="T387" s="732"/>
      <c r="U387" s="732"/>
      <c r="V387" s="733"/>
      <c r="W387" s="732"/>
      <c r="X387" s="732"/>
      <c r="Y387" s="732"/>
      <c r="Z387" s="732"/>
      <c r="AA387" s="732"/>
    </row>
    <row r="388" spans="1:27" ht="24.75" customHeight="1">
      <c r="A388" s="732"/>
      <c r="B388" s="732"/>
      <c r="C388" s="732"/>
      <c r="D388" s="732"/>
      <c r="E388" s="732"/>
      <c r="F388" s="732"/>
      <c r="G388" s="732"/>
      <c r="H388" s="732"/>
      <c r="I388" s="732"/>
      <c r="J388" s="732"/>
      <c r="K388" s="732"/>
      <c r="L388" s="732"/>
      <c r="M388" s="732"/>
      <c r="N388" s="732"/>
      <c r="O388" s="732"/>
      <c r="P388" s="732"/>
      <c r="Q388" s="732"/>
      <c r="R388" s="732"/>
      <c r="S388" s="732"/>
      <c r="T388" s="732"/>
      <c r="U388" s="732"/>
      <c r="V388" s="733"/>
      <c r="W388" s="732"/>
      <c r="X388" s="732"/>
      <c r="Y388" s="732"/>
      <c r="Z388" s="732"/>
      <c r="AA388" s="732"/>
    </row>
    <row r="389" spans="1:27" ht="24.75" customHeight="1">
      <c r="A389" s="732"/>
      <c r="B389" s="732"/>
      <c r="C389" s="732"/>
      <c r="D389" s="732"/>
      <c r="E389" s="732"/>
      <c r="F389" s="732"/>
      <c r="G389" s="732"/>
      <c r="H389" s="732"/>
      <c r="I389" s="732"/>
      <c r="J389" s="732"/>
      <c r="K389" s="732"/>
      <c r="L389" s="732"/>
      <c r="M389" s="732"/>
      <c r="N389" s="732"/>
      <c r="O389" s="732"/>
      <c r="P389" s="732"/>
      <c r="Q389" s="732"/>
      <c r="R389" s="732"/>
      <c r="S389" s="732"/>
      <c r="T389" s="732"/>
      <c r="U389" s="732"/>
      <c r="V389" s="733"/>
      <c r="W389" s="732"/>
      <c r="X389" s="732"/>
      <c r="Y389" s="732"/>
      <c r="Z389" s="732"/>
      <c r="AA389" s="732"/>
    </row>
    <row r="390" spans="1:27" ht="24.75" customHeight="1">
      <c r="A390" s="732"/>
      <c r="B390" s="732"/>
      <c r="C390" s="732"/>
      <c r="D390" s="732"/>
      <c r="E390" s="732"/>
      <c r="F390" s="732"/>
      <c r="G390" s="732"/>
      <c r="H390" s="732"/>
      <c r="I390" s="732"/>
      <c r="J390" s="732"/>
      <c r="K390" s="732"/>
      <c r="L390" s="732"/>
      <c r="M390" s="732"/>
      <c r="N390" s="732"/>
      <c r="O390" s="732"/>
      <c r="P390" s="732"/>
      <c r="Q390" s="732"/>
      <c r="R390" s="732"/>
      <c r="S390" s="732"/>
      <c r="T390" s="732"/>
      <c r="U390" s="732"/>
      <c r="V390" s="733"/>
      <c r="W390" s="732"/>
      <c r="X390" s="732"/>
      <c r="Y390" s="732"/>
      <c r="Z390" s="732"/>
      <c r="AA390" s="732"/>
    </row>
    <row r="391" spans="1:27" ht="24.75" customHeight="1">
      <c r="A391" s="732"/>
      <c r="B391" s="732"/>
      <c r="C391" s="732"/>
      <c r="D391" s="732"/>
      <c r="E391" s="732"/>
      <c r="F391" s="732"/>
      <c r="G391" s="732"/>
      <c r="H391" s="732"/>
      <c r="I391" s="732"/>
      <c r="J391" s="732"/>
      <c r="K391" s="732"/>
      <c r="L391" s="732"/>
      <c r="M391" s="732"/>
      <c r="N391" s="732"/>
      <c r="O391" s="732"/>
      <c r="P391" s="732"/>
      <c r="Q391" s="732"/>
      <c r="R391" s="732"/>
      <c r="S391" s="732"/>
      <c r="T391" s="732"/>
      <c r="U391" s="732"/>
      <c r="V391" s="733"/>
      <c r="W391" s="732"/>
      <c r="X391" s="732"/>
      <c r="Y391" s="732"/>
      <c r="Z391" s="732"/>
      <c r="AA391" s="732"/>
    </row>
    <row r="392" spans="1:27" ht="24.75" customHeight="1">
      <c r="A392" s="732"/>
      <c r="B392" s="732"/>
      <c r="C392" s="732"/>
      <c r="D392" s="732"/>
      <c r="E392" s="732"/>
      <c r="F392" s="732"/>
      <c r="G392" s="732"/>
      <c r="H392" s="732"/>
      <c r="I392" s="732"/>
      <c r="J392" s="732"/>
      <c r="K392" s="732"/>
      <c r="L392" s="732"/>
      <c r="M392" s="732"/>
      <c r="N392" s="732"/>
      <c r="O392" s="732"/>
      <c r="P392" s="732"/>
      <c r="Q392" s="732"/>
      <c r="R392" s="732"/>
      <c r="S392" s="732"/>
      <c r="T392" s="732"/>
      <c r="U392" s="732"/>
      <c r="V392" s="733"/>
      <c r="W392" s="732"/>
      <c r="X392" s="732"/>
      <c r="Y392" s="732"/>
      <c r="Z392" s="732"/>
      <c r="AA392" s="732"/>
    </row>
    <row r="393" spans="1:27" ht="24.75" customHeight="1">
      <c r="A393" s="732"/>
      <c r="B393" s="732"/>
      <c r="C393" s="732"/>
      <c r="D393" s="732"/>
      <c r="E393" s="732"/>
      <c r="F393" s="732"/>
      <c r="G393" s="732"/>
      <c r="H393" s="732"/>
      <c r="I393" s="732"/>
      <c r="J393" s="732"/>
      <c r="K393" s="732"/>
      <c r="L393" s="732"/>
      <c r="M393" s="732"/>
      <c r="N393" s="732"/>
      <c r="O393" s="732"/>
      <c r="P393" s="732"/>
      <c r="Q393" s="732"/>
      <c r="R393" s="732"/>
      <c r="S393" s="732"/>
      <c r="T393" s="732"/>
      <c r="U393" s="732"/>
      <c r="V393" s="733"/>
      <c r="W393" s="732"/>
      <c r="X393" s="732"/>
      <c r="Y393" s="732"/>
      <c r="Z393" s="732"/>
      <c r="AA393" s="732"/>
    </row>
    <row r="394" spans="1:27" ht="24.75" customHeight="1">
      <c r="A394" s="732"/>
      <c r="B394" s="732"/>
      <c r="C394" s="732"/>
      <c r="D394" s="732"/>
      <c r="E394" s="732"/>
      <c r="F394" s="732"/>
      <c r="G394" s="732"/>
      <c r="H394" s="732"/>
      <c r="I394" s="732"/>
      <c r="J394" s="732"/>
      <c r="K394" s="732"/>
      <c r="L394" s="732"/>
      <c r="M394" s="732"/>
      <c r="N394" s="732"/>
      <c r="O394" s="732"/>
      <c r="P394" s="732"/>
      <c r="Q394" s="732"/>
      <c r="R394" s="732"/>
      <c r="S394" s="732"/>
      <c r="T394" s="732"/>
      <c r="U394" s="732"/>
      <c r="V394" s="733"/>
      <c r="W394" s="732"/>
      <c r="X394" s="732"/>
      <c r="Y394" s="732"/>
      <c r="Z394" s="732"/>
      <c r="AA394" s="732"/>
    </row>
    <row r="395" spans="1:27" ht="24.75" customHeight="1">
      <c r="A395" s="732"/>
      <c r="B395" s="732"/>
      <c r="C395" s="732"/>
      <c r="D395" s="732"/>
      <c r="E395" s="732"/>
      <c r="F395" s="732"/>
      <c r="G395" s="732"/>
      <c r="H395" s="732"/>
      <c r="I395" s="732"/>
      <c r="J395" s="732"/>
      <c r="K395" s="732"/>
      <c r="L395" s="732"/>
      <c r="M395" s="732"/>
      <c r="N395" s="732"/>
      <c r="O395" s="732"/>
      <c r="P395" s="732"/>
      <c r="Q395" s="732"/>
      <c r="R395" s="732"/>
      <c r="S395" s="732"/>
      <c r="T395" s="732"/>
      <c r="U395" s="732"/>
      <c r="V395" s="733"/>
      <c r="W395" s="732"/>
      <c r="X395" s="732"/>
      <c r="Y395" s="732"/>
      <c r="Z395" s="732"/>
      <c r="AA395" s="732"/>
    </row>
    <row r="396" spans="1:27" ht="24.75" customHeight="1">
      <c r="A396" s="732"/>
      <c r="B396" s="732"/>
      <c r="C396" s="732"/>
      <c r="D396" s="732"/>
      <c r="E396" s="732"/>
      <c r="F396" s="732"/>
      <c r="G396" s="732"/>
      <c r="H396" s="732"/>
      <c r="I396" s="732"/>
      <c r="J396" s="732"/>
      <c r="K396" s="732"/>
      <c r="L396" s="732"/>
      <c r="M396" s="732"/>
      <c r="N396" s="732"/>
      <c r="O396" s="732"/>
      <c r="P396" s="732"/>
      <c r="Q396" s="732"/>
      <c r="R396" s="732"/>
      <c r="S396" s="732"/>
      <c r="T396" s="732"/>
      <c r="U396" s="732"/>
      <c r="V396" s="733"/>
      <c r="W396" s="732"/>
      <c r="X396" s="732"/>
      <c r="Y396" s="732"/>
      <c r="Z396" s="732"/>
      <c r="AA396" s="732"/>
    </row>
    <row r="397" spans="1:27" ht="24.75" customHeight="1">
      <c r="A397" s="732"/>
      <c r="B397" s="732"/>
      <c r="C397" s="732"/>
      <c r="D397" s="732"/>
      <c r="E397" s="732"/>
      <c r="F397" s="732"/>
      <c r="G397" s="732"/>
      <c r="H397" s="732"/>
      <c r="I397" s="732"/>
      <c r="J397" s="732"/>
      <c r="K397" s="732"/>
      <c r="L397" s="732"/>
      <c r="M397" s="732"/>
      <c r="N397" s="732"/>
      <c r="O397" s="732"/>
      <c r="P397" s="732"/>
      <c r="Q397" s="732"/>
      <c r="R397" s="732"/>
      <c r="S397" s="732"/>
      <c r="T397" s="732"/>
      <c r="U397" s="732"/>
      <c r="V397" s="733"/>
      <c r="W397" s="732"/>
      <c r="X397" s="732"/>
      <c r="Y397" s="732"/>
      <c r="Z397" s="732"/>
      <c r="AA397" s="732"/>
    </row>
    <row r="398" spans="1:27" ht="24.75" customHeight="1">
      <c r="A398" s="732"/>
      <c r="B398" s="732"/>
      <c r="C398" s="732"/>
      <c r="D398" s="732"/>
      <c r="E398" s="732"/>
      <c r="F398" s="732"/>
      <c r="G398" s="732"/>
      <c r="H398" s="732"/>
      <c r="I398" s="732"/>
      <c r="J398" s="732"/>
      <c r="K398" s="732"/>
      <c r="L398" s="732"/>
      <c r="M398" s="732"/>
      <c r="N398" s="732"/>
      <c r="O398" s="732"/>
      <c r="P398" s="732"/>
      <c r="Q398" s="732"/>
      <c r="R398" s="732"/>
      <c r="S398" s="732"/>
      <c r="T398" s="732"/>
      <c r="U398" s="732"/>
      <c r="V398" s="733"/>
      <c r="W398" s="732"/>
      <c r="X398" s="732"/>
      <c r="Y398" s="732"/>
      <c r="Z398" s="732"/>
      <c r="AA398" s="732"/>
    </row>
    <row r="399" spans="1:27" ht="24.75" customHeight="1">
      <c r="A399" s="732"/>
      <c r="B399" s="732"/>
      <c r="C399" s="732"/>
      <c r="D399" s="732"/>
      <c r="E399" s="732"/>
      <c r="F399" s="732"/>
      <c r="G399" s="732"/>
      <c r="H399" s="732"/>
      <c r="I399" s="732"/>
      <c r="J399" s="732"/>
      <c r="K399" s="732"/>
      <c r="L399" s="732"/>
      <c r="M399" s="732"/>
      <c r="N399" s="732"/>
      <c r="O399" s="732"/>
      <c r="P399" s="732"/>
      <c r="Q399" s="732"/>
      <c r="R399" s="732"/>
      <c r="S399" s="732"/>
      <c r="T399" s="732"/>
      <c r="U399" s="732"/>
      <c r="V399" s="733"/>
      <c r="W399" s="732"/>
      <c r="X399" s="732"/>
      <c r="Y399" s="732"/>
      <c r="Z399" s="732"/>
      <c r="AA399" s="732"/>
    </row>
    <row r="400" spans="1:27" ht="24.75" customHeight="1">
      <c r="A400" s="732"/>
      <c r="B400" s="732"/>
      <c r="C400" s="732"/>
      <c r="D400" s="732"/>
      <c r="E400" s="732"/>
      <c r="F400" s="732"/>
      <c r="G400" s="732"/>
      <c r="H400" s="732"/>
      <c r="I400" s="732"/>
      <c r="J400" s="732"/>
      <c r="K400" s="732"/>
      <c r="L400" s="732"/>
      <c r="M400" s="732"/>
      <c r="N400" s="732"/>
      <c r="O400" s="732"/>
      <c r="P400" s="732"/>
      <c r="Q400" s="732"/>
      <c r="R400" s="732"/>
      <c r="S400" s="732"/>
      <c r="T400" s="732"/>
      <c r="U400" s="732"/>
      <c r="V400" s="733"/>
      <c r="W400" s="732"/>
      <c r="X400" s="732"/>
      <c r="Y400" s="732"/>
      <c r="Z400" s="732"/>
      <c r="AA400" s="732"/>
    </row>
    <row r="401" spans="1:27" ht="24.75" customHeight="1">
      <c r="A401" s="732"/>
      <c r="B401" s="732"/>
      <c r="C401" s="732"/>
      <c r="D401" s="732"/>
      <c r="E401" s="732"/>
      <c r="F401" s="732"/>
      <c r="G401" s="732"/>
      <c r="H401" s="732"/>
      <c r="I401" s="732"/>
      <c r="J401" s="732"/>
      <c r="K401" s="732"/>
      <c r="L401" s="732"/>
      <c r="M401" s="732"/>
      <c r="N401" s="732"/>
      <c r="O401" s="732"/>
      <c r="P401" s="732"/>
      <c r="Q401" s="732"/>
      <c r="R401" s="732"/>
      <c r="S401" s="732"/>
      <c r="T401" s="732"/>
      <c r="U401" s="732"/>
      <c r="V401" s="733"/>
      <c r="W401" s="732"/>
      <c r="X401" s="732"/>
      <c r="Y401" s="732"/>
      <c r="Z401" s="732"/>
      <c r="AA401" s="732"/>
    </row>
    <row r="402" spans="1:27" ht="24.75" customHeight="1">
      <c r="A402" s="732"/>
      <c r="B402" s="732"/>
      <c r="C402" s="732"/>
      <c r="D402" s="732"/>
      <c r="E402" s="732"/>
      <c r="F402" s="732"/>
      <c r="G402" s="732"/>
      <c r="H402" s="732"/>
      <c r="I402" s="732"/>
      <c r="J402" s="732"/>
      <c r="K402" s="732"/>
      <c r="L402" s="732"/>
      <c r="M402" s="732"/>
      <c r="N402" s="732"/>
      <c r="O402" s="732"/>
      <c r="P402" s="732"/>
      <c r="Q402" s="732"/>
      <c r="R402" s="732"/>
      <c r="S402" s="732"/>
      <c r="T402" s="732"/>
      <c r="U402" s="732"/>
      <c r="V402" s="733"/>
      <c r="W402" s="732"/>
      <c r="X402" s="732"/>
      <c r="Y402" s="732"/>
      <c r="Z402" s="732"/>
      <c r="AA402" s="732"/>
    </row>
    <row r="403" spans="1:27" ht="24.75" customHeight="1">
      <c r="A403" s="732"/>
      <c r="B403" s="732"/>
      <c r="C403" s="732"/>
      <c r="D403" s="732"/>
      <c r="E403" s="732"/>
      <c r="F403" s="732"/>
      <c r="G403" s="732"/>
      <c r="H403" s="732"/>
      <c r="I403" s="732"/>
      <c r="J403" s="732"/>
      <c r="K403" s="732"/>
      <c r="L403" s="732"/>
      <c r="M403" s="732"/>
      <c r="N403" s="732"/>
      <c r="O403" s="732"/>
      <c r="P403" s="732"/>
      <c r="Q403" s="732"/>
      <c r="R403" s="732"/>
      <c r="S403" s="732"/>
      <c r="T403" s="732"/>
      <c r="U403" s="732"/>
      <c r="V403" s="733"/>
      <c r="W403" s="732"/>
      <c r="X403" s="732"/>
      <c r="Y403" s="732"/>
      <c r="Z403" s="732"/>
      <c r="AA403" s="732"/>
    </row>
    <row r="404" spans="1:27" ht="24.75" customHeight="1">
      <c r="A404" s="732"/>
      <c r="B404" s="732"/>
      <c r="C404" s="732"/>
      <c r="D404" s="732"/>
      <c r="E404" s="732"/>
      <c r="F404" s="732"/>
      <c r="G404" s="732"/>
      <c r="H404" s="732"/>
      <c r="I404" s="732"/>
      <c r="J404" s="732"/>
      <c r="K404" s="732"/>
      <c r="L404" s="732"/>
      <c r="M404" s="732"/>
      <c r="N404" s="732"/>
      <c r="O404" s="732"/>
      <c r="P404" s="732"/>
      <c r="Q404" s="732"/>
      <c r="R404" s="732"/>
      <c r="S404" s="732"/>
      <c r="T404" s="732"/>
      <c r="U404" s="732"/>
      <c r="V404" s="733"/>
      <c r="W404" s="732"/>
      <c r="X404" s="732"/>
      <c r="Y404" s="732"/>
      <c r="Z404" s="732"/>
      <c r="AA404" s="732"/>
    </row>
    <row r="405" spans="1:27" ht="24.75" customHeight="1">
      <c r="A405" s="732"/>
      <c r="B405" s="732"/>
      <c r="C405" s="732"/>
      <c r="D405" s="732"/>
      <c r="E405" s="732"/>
      <c r="F405" s="732"/>
      <c r="G405" s="732"/>
      <c r="H405" s="732"/>
      <c r="I405" s="732"/>
      <c r="J405" s="732"/>
      <c r="K405" s="732"/>
      <c r="L405" s="732"/>
      <c r="M405" s="732"/>
      <c r="N405" s="732"/>
      <c r="O405" s="732"/>
      <c r="P405" s="732"/>
      <c r="Q405" s="732"/>
      <c r="R405" s="732"/>
      <c r="S405" s="732"/>
      <c r="T405" s="732"/>
      <c r="U405" s="732"/>
      <c r="V405" s="733"/>
      <c r="W405" s="732"/>
      <c r="X405" s="732"/>
      <c r="Y405" s="732"/>
      <c r="Z405" s="732"/>
      <c r="AA405" s="732"/>
    </row>
    <row r="406" spans="1:27" ht="24.75" customHeight="1">
      <c r="A406" s="732"/>
      <c r="B406" s="732"/>
      <c r="C406" s="732"/>
      <c r="D406" s="732"/>
      <c r="E406" s="732"/>
      <c r="F406" s="732"/>
      <c r="G406" s="732"/>
      <c r="H406" s="732"/>
      <c r="I406" s="732"/>
      <c r="J406" s="732"/>
      <c r="K406" s="732"/>
      <c r="L406" s="732"/>
      <c r="M406" s="732"/>
      <c r="N406" s="732"/>
      <c r="O406" s="732"/>
      <c r="P406" s="732"/>
      <c r="Q406" s="732"/>
      <c r="R406" s="732"/>
      <c r="S406" s="732"/>
      <c r="T406" s="732"/>
      <c r="U406" s="732"/>
      <c r="V406" s="733"/>
      <c r="W406" s="732"/>
      <c r="X406" s="732"/>
      <c r="Y406" s="732"/>
      <c r="Z406" s="732"/>
      <c r="AA406" s="732"/>
    </row>
    <row r="407" spans="1:27" ht="24.75" customHeight="1">
      <c r="A407" s="732"/>
      <c r="B407" s="732"/>
      <c r="C407" s="732"/>
      <c r="D407" s="732"/>
      <c r="E407" s="732"/>
      <c r="F407" s="732"/>
      <c r="G407" s="732"/>
      <c r="H407" s="732"/>
      <c r="I407" s="732"/>
      <c r="J407" s="732"/>
      <c r="K407" s="732"/>
      <c r="L407" s="732"/>
      <c r="M407" s="732"/>
      <c r="N407" s="732"/>
      <c r="O407" s="732"/>
      <c r="P407" s="732"/>
      <c r="Q407" s="732"/>
      <c r="R407" s="732"/>
      <c r="S407" s="732"/>
      <c r="T407" s="732"/>
      <c r="U407" s="732"/>
      <c r="V407" s="733"/>
      <c r="W407" s="732"/>
      <c r="X407" s="732"/>
      <c r="Y407" s="732"/>
      <c r="Z407" s="732"/>
      <c r="AA407" s="732"/>
    </row>
    <row r="408" spans="1:27" ht="15.75" customHeight="1">
      <c r="A408" s="792"/>
      <c r="B408" s="792"/>
      <c r="C408" s="792"/>
      <c r="D408" s="792"/>
      <c r="E408" s="792"/>
      <c r="F408" s="792"/>
      <c r="G408" s="792"/>
      <c r="H408" s="792"/>
      <c r="I408" s="792"/>
      <c r="J408" s="792"/>
      <c r="K408" s="792"/>
      <c r="L408" s="792"/>
      <c r="M408" s="792"/>
      <c r="N408" s="792"/>
      <c r="O408" s="792"/>
      <c r="P408" s="792"/>
      <c r="Q408" s="792"/>
      <c r="R408" s="792"/>
      <c r="S408" s="792"/>
      <c r="T408" s="792"/>
      <c r="U408" s="792"/>
      <c r="V408" s="793"/>
      <c r="W408" s="793"/>
      <c r="X408" s="792"/>
      <c r="Y408" s="792"/>
      <c r="Z408" s="792"/>
      <c r="AA408" s="792"/>
    </row>
    <row r="409" spans="1:27" ht="15.75" customHeight="1">
      <c r="A409" s="792"/>
      <c r="B409" s="792"/>
      <c r="C409" s="792"/>
      <c r="D409" s="792"/>
      <c r="E409" s="792"/>
      <c r="F409" s="792"/>
      <c r="G409" s="792"/>
      <c r="H409" s="792"/>
      <c r="I409" s="792"/>
      <c r="J409" s="792"/>
      <c r="K409" s="792"/>
      <c r="L409" s="792"/>
      <c r="M409" s="792"/>
      <c r="N409" s="792"/>
      <c r="O409" s="792"/>
      <c r="P409" s="792"/>
      <c r="Q409" s="792"/>
      <c r="R409" s="792"/>
      <c r="S409" s="792"/>
      <c r="T409" s="792"/>
      <c r="U409" s="792"/>
      <c r="V409" s="793"/>
      <c r="W409" s="793"/>
      <c r="X409" s="792"/>
      <c r="Y409" s="792"/>
      <c r="Z409" s="792"/>
      <c r="AA409" s="792"/>
    </row>
    <row r="410" spans="1:27" ht="15.75" customHeight="1">
      <c r="A410" s="792"/>
      <c r="B410" s="792"/>
      <c r="C410" s="792"/>
      <c r="D410" s="792"/>
      <c r="E410" s="792"/>
      <c r="F410" s="792"/>
      <c r="G410" s="792"/>
      <c r="H410" s="792"/>
      <c r="I410" s="792"/>
      <c r="J410" s="792"/>
      <c r="K410" s="792"/>
      <c r="L410" s="792"/>
      <c r="M410" s="792"/>
      <c r="N410" s="792"/>
      <c r="O410" s="792"/>
      <c r="P410" s="792"/>
      <c r="Q410" s="792"/>
      <c r="R410" s="792"/>
      <c r="S410" s="792"/>
      <c r="T410" s="792"/>
      <c r="U410" s="792"/>
      <c r="V410" s="793"/>
      <c r="W410" s="793"/>
      <c r="X410" s="792"/>
      <c r="Y410" s="792"/>
      <c r="Z410" s="792"/>
      <c r="AA410" s="792"/>
    </row>
    <row r="411" spans="1:27" ht="15.75" customHeight="1">
      <c r="A411" s="792"/>
      <c r="B411" s="792"/>
      <c r="C411" s="792"/>
      <c r="D411" s="792"/>
      <c r="E411" s="792"/>
      <c r="F411" s="792"/>
      <c r="G411" s="792"/>
      <c r="H411" s="792"/>
      <c r="I411" s="792"/>
      <c r="J411" s="792"/>
      <c r="K411" s="792"/>
      <c r="L411" s="792"/>
      <c r="M411" s="792"/>
      <c r="N411" s="792"/>
      <c r="O411" s="792"/>
      <c r="P411" s="792"/>
      <c r="Q411" s="792"/>
      <c r="R411" s="792"/>
      <c r="S411" s="792"/>
      <c r="T411" s="792"/>
      <c r="U411" s="792"/>
      <c r="V411" s="793"/>
      <c r="W411" s="793"/>
      <c r="X411" s="792"/>
      <c r="Y411" s="792"/>
      <c r="Z411" s="792"/>
      <c r="AA411" s="792"/>
    </row>
    <row r="412" spans="1:27" ht="15.75" customHeight="1">
      <c r="A412" s="792"/>
      <c r="B412" s="792"/>
      <c r="C412" s="792"/>
      <c r="D412" s="792"/>
      <c r="E412" s="792"/>
      <c r="F412" s="792"/>
      <c r="G412" s="792"/>
      <c r="H412" s="792"/>
      <c r="I412" s="792"/>
      <c r="J412" s="792"/>
      <c r="K412" s="792"/>
      <c r="L412" s="792"/>
      <c r="M412" s="792"/>
      <c r="N412" s="792"/>
      <c r="O412" s="792"/>
      <c r="P412" s="792"/>
      <c r="Q412" s="792"/>
      <c r="R412" s="792"/>
      <c r="S412" s="792"/>
      <c r="T412" s="792"/>
      <c r="U412" s="792"/>
      <c r="V412" s="793"/>
      <c r="W412" s="793"/>
      <c r="X412" s="792"/>
      <c r="Y412" s="792"/>
      <c r="Z412" s="792"/>
      <c r="AA412" s="792"/>
    </row>
    <row r="413" spans="1:27" ht="15.75" customHeight="1">
      <c r="A413" s="792"/>
      <c r="B413" s="792"/>
      <c r="C413" s="792"/>
      <c r="D413" s="792"/>
      <c r="E413" s="792"/>
      <c r="F413" s="792"/>
      <c r="G413" s="792"/>
      <c r="H413" s="792"/>
      <c r="I413" s="792"/>
      <c r="J413" s="792"/>
      <c r="K413" s="792"/>
      <c r="L413" s="792"/>
      <c r="M413" s="792"/>
      <c r="N413" s="792"/>
      <c r="O413" s="792"/>
      <c r="P413" s="792"/>
      <c r="Q413" s="792"/>
      <c r="R413" s="792"/>
      <c r="S413" s="792"/>
      <c r="T413" s="792"/>
      <c r="U413" s="792"/>
      <c r="V413" s="793"/>
      <c r="W413" s="793"/>
      <c r="X413" s="792"/>
      <c r="Y413" s="792"/>
      <c r="Z413" s="792"/>
      <c r="AA413" s="792"/>
    </row>
    <row r="414" spans="1:27" ht="15.75" customHeight="1">
      <c r="A414" s="792"/>
      <c r="B414" s="792"/>
      <c r="C414" s="792"/>
      <c r="D414" s="792"/>
      <c r="E414" s="792"/>
      <c r="F414" s="792"/>
      <c r="G414" s="792"/>
      <c r="H414" s="792"/>
      <c r="I414" s="792"/>
      <c r="J414" s="792"/>
      <c r="K414" s="792"/>
      <c r="L414" s="792"/>
      <c r="M414" s="792"/>
      <c r="N414" s="792"/>
      <c r="O414" s="792"/>
      <c r="P414" s="792"/>
      <c r="Q414" s="792"/>
      <c r="R414" s="792"/>
      <c r="S414" s="792"/>
      <c r="T414" s="792"/>
      <c r="U414" s="792"/>
      <c r="V414" s="793"/>
      <c r="W414" s="793"/>
      <c r="X414" s="792"/>
      <c r="Y414" s="792"/>
      <c r="Z414" s="792"/>
      <c r="AA414" s="792"/>
    </row>
    <row r="415" spans="1:27" ht="15.75" customHeight="1">
      <c r="A415" s="792"/>
      <c r="B415" s="792"/>
      <c r="C415" s="792"/>
      <c r="D415" s="792"/>
      <c r="E415" s="792"/>
      <c r="F415" s="792"/>
      <c r="G415" s="792"/>
      <c r="H415" s="792"/>
      <c r="I415" s="792"/>
      <c r="J415" s="792"/>
      <c r="K415" s="792"/>
      <c r="L415" s="792"/>
      <c r="M415" s="792"/>
      <c r="N415" s="792"/>
      <c r="O415" s="792"/>
      <c r="P415" s="792"/>
      <c r="Q415" s="792"/>
      <c r="R415" s="792"/>
      <c r="S415" s="792"/>
      <c r="T415" s="792"/>
      <c r="U415" s="792"/>
      <c r="V415" s="793"/>
      <c r="W415" s="793"/>
      <c r="X415" s="792"/>
      <c r="Y415" s="792"/>
      <c r="Z415" s="792"/>
      <c r="AA415" s="792"/>
    </row>
    <row r="416" spans="1:27" ht="15.75" customHeight="1">
      <c r="A416" s="792"/>
      <c r="B416" s="792"/>
      <c r="C416" s="792"/>
      <c r="D416" s="792"/>
      <c r="E416" s="792"/>
      <c r="F416" s="792"/>
      <c r="G416" s="792"/>
      <c r="H416" s="792"/>
      <c r="I416" s="792"/>
      <c r="J416" s="792"/>
      <c r="K416" s="792"/>
      <c r="L416" s="792"/>
      <c r="M416" s="792"/>
      <c r="N416" s="792"/>
      <c r="O416" s="792"/>
      <c r="P416" s="792"/>
      <c r="Q416" s="792"/>
      <c r="R416" s="792"/>
      <c r="S416" s="792"/>
      <c r="T416" s="792"/>
      <c r="U416" s="792"/>
      <c r="V416" s="793"/>
      <c r="W416" s="793"/>
      <c r="X416" s="792"/>
      <c r="Y416" s="792"/>
      <c r="Z416" s="792"/>
      <c r="AA416" s="792"/>
    </row>
    <row r="417" spans="1:27" ht="15.75" customHeight="1">
      <c r="A417" s="792"/>
      <c r="B417" s="792"/>
      <c r="C417" s="792"/>
      <c r="D417" s="792"/>
      <c r="E417" s="792"/>
      <c r="F417" s="792"/>
      <c r="G417" s="792"/>
      <c r="H417" s="792"/>
      <c r="I417" s="792"/>
      <c r="J417" s="792"/>
      <c r="K417" s="792"/>
      <c r="L417" s="792"/>
      <c r="M417" s="792"/>
      <c r="N417" s="792"/>
      <c r="O417" s="792"/>
      <c r="P417" s="792"/>
      <c r="Q417" s="792"/>
      <c r="R417" s="792"/>
      <c r="S417" s="792"/>
      <c r="T417" s="792"/>
      <c r="U417" s="792"/>
      <c r="V417" s="793"/>
      <c r="W417" s="793"/>
      <c r="X417" s="792"/>
      <c r="Y417" s="792"/>
      <c r="Z417" s="792"/>
      <c r="AA417" s="792"/>
    </row>
    <row r="418" spans="1:27" ht="15.75" customHeight="1">
      <c r="A418" s="792"/>
      <c r="B418" s="792"/>
      <c r="C418" s="792"/>
      <c r="D418" s="792"/>
      <c r="E418" s="792"/>
      <c r="F418" s="792"/>
      <c r="G418" s="792"/>
      <c r="H418" s="792"/>
      <c r="I418" s="792"/>
      <c r="J418" s="792"/>
      <c r="K418" s="792"/>
      <c r="L418" s="792"/>
      <c r="M418" s="792"/>
      <c r="N418" s="792"/>
      <c r="O418" s="792"/>
      <c r="P418" s="792"/>
      <c r="Q418" s="792"/>
      <c r="R418" s="792"/>
      <c r="S418" s="792"/>
      <c r="T418" s="792"/>
      <c r="U418" s="792"/>
      <c r="V418" s="793"/>
      <c r="W418" s="793"/>
      <c r="X418" s="792"/>
      <c r="Y418" s="792"/>
      <c r="Z418" s="792"/>
      <c r="AA418" s="792"/>
    </row>
    <row r="419" spans="1:27" ht="15.75" customHeight="1">
      <c r="A419" s="792"/>
      <c r="B419" s="792"/>
      <c r="C419" s="792"/>
      <c r="D419" s="792"/>
      <c r="E419" s="792"/>
      <c r="F419" s="792"/>
      <c r="G419" s="792"/>
      <c r="H419" s="792"/>
      <c r="I419" s="792"/>
      <c r="J419" s="792"/>
      <c r="K419" s="792"/>
      <c r="L419" s="792"/>
      <c r="M419" s="792"/>
      <c r="N419" s="792"/>
      <c r="O419" s="792"/>
      <c r="P419" s="792"/>
      <c r="Q419" s="792"/>
      <c r="R419" s="792"/>
      <c r="S419" s="792"/>
      <c r="T419" s="792"/>
      <c r="U419" s="792"/>
      <c r="V419" s="793"/>
      <c r="W419" s="793"/>
      <c r="X419" s="792"/>
      <c r="Y419" s="792"/>
      <c r="Z419" s="792"/>
      <c r="AA419" s="792"/>
    </row>
    <row r="420" spans="1:27" ht="15.75" customHeight="1">
      <c r="A420" s="792"/>
      <c r="B420" s="792"/>
      <c r="C420" s="792"/>
      <c r="D420" s="792"/>
      <c r="E420" s="792"/>
      <c r="F420" s="792"/>
      <c r="G420" s="792"/>
      <c r="H420" s="792"/>
      <c r="I420" s="792"/>
      <c r="J420" s="792"/>
      <c r="K420" s="792"/>
      <c r="L420" s="792"/>
      <c r="M420" s="792"/>
      <c r="N420" s="792"/>
      <c r="O420" s="792"/>
      <c r="P420" s="792"/>
      <c r="Q420" s="792"/>
      <c r="R420" s="792"/>
      <c r="S420" s="792"/>
      <c r="T420" s="792"/>
      <c r="U420" s="792"/>
      <c r="V420" s="793"/>
      <c r="W420" s="793"/>
      <c r="X420" s="792"/>
      <c r="Y420" s="792"/>
      <c r="Z420" s="792"/>
      <c r="AA420" s="792"/>
    </row>
    <row r="421" spans="1:27" ht="15.75" customHeight="1">
      <c r="A421" s="792"/>
      <c r="B421" s="792"/>
      <c r="C421" s="792"/>
      <c r="D421" s="792"/>
      <c r="E421" s="792"/>
      <c r="F421" s="792"/>
      <c r="G421" s="792"/>
      <c r="H421" s="792"/>
      <c r="I421" s="792"/>
      <c r="J421" s="792"/>
      <c r="K421" s="792"/>
      <c r="L421" s="792"/>
      <c r="M421" s="792"/>
      <c r="N421" s="792"/>
      <c r="O421" s="792"/>
      <c r="P421" s="792"/>
      <c r="Q421" s="792"/>
      <c r="R421" s="792"/>
      <c r="S421" s="792"/>
      <c r="T421" s="792"/>
      <c r="U421" s="792"/>
      <c r="V421" s="793"/>
      <c r="W421" s="793"/>
      <c r="X421" s="792"/>
      <c r="Y421" s="792"/>
      <c r="Z421" s="792"/>
      <c r="AA421" s="792"/>
    </row>
    <row r="422" spans="1:27" ht="15.75" customHeight="1">
      <c r="A422" s="792"/>
      <c r="B422" s="792"/>
      <c r="C422" s="792"/>
      <c r="D422" s="792"/>
      <c r="E422" s="792"/>
      <c r="F422" s="792"/>
      <c r="G422" s="792"/>
      <c r="H422" s="792"/>
      <c r="I422" s="792"/>
      <c r="J422" s="792"/>
      <c r="K422" s="792"/>
      <c r="L422" s="792"/>
      <c r="M422" s="792"/>
      <c r="N422" s="792"/>
      <c r="O422" s="792"/>
      <c r="P422" s="792"/>
      <c r="Q422" s="792"/>
      <c r="R422" s="792"/>
      <c r="S422" s="792"/>
      <c r="T422" s="792"/>
      <c r="U422" s="792"/>
      <c r="V422" s="793"/>
      <c r="W422" s="793"/>
      <c r="X422" s="792"/>
      <c r="Y422" s="792"/>
      <c r="Z422" s="792"/>
      <c r="AA422" s="792"/>
    </row>
    <row r="423" spans="1:27" ht="15.75" customHeight="1">
      <c r="A423" s="792"/>
      <c r="B423" s="792"/>
      <c r="C423" s="792"/>
      <c r="D423" s="792"/>
      <c r="E423" s="792"/>
      <c r="F423" s="792"/>
      <c r="G423" s="792"/>
      <c r="H423" s="792"/>
      <c r="I423" s="792"/>
      <c r="J423" s="792"/>
      <c r="K423" s="792"/>
      <c r="L423" s="792"/>
      <c r="M423" s="792"/>
      <c r="N423" s="792"/>
      <c r="O423" s="792"/>
      <c r="P423" s="792"/>
      <c r="Q423" s="792"/>
      <c r="R423" s="792"/>
      <c r="S423" s="792"/>
      <c r="T423" s="792"/>
      <c r="U423" s="792"/>
      <c r="V423" s="793"/>
      <c r="W423" s="793"/>
      <c r="X423" s="792"/>
      <c r="Y423" s="792"/>
      <c r="Z423" s="792"/>
      <c r="AA423" s="792"/>
    </row>
    <row r="424" spans="1:27" ht="15.75" customHeight="1">
      <c r="A424" s="792"/>
      <c r="B424" s="792"/>
      <c r="C424" s="792"/>
      <c r="D424" s="792"/>
      <c r="E424" s="792"/>
      <c r="F424" s="792"/>
      <c r="G424" s="792"/>
      <c r="H424" s="792"/>
      <c r="I424" s="792"/>
      <c r="J424" s="792"/>
      <c r="K424" s="792"/>
      <c r="L424" s="792"/>
      <c r="M424" s="792"/>
      <c r="N424" s="792"/>
      <c r="O424" s="792"/>
      <c r="P424" s="792"/>
      <c r="Q424" s="792"/>
      <c r="R424" s="792"/>
      <c r="S424" s="792"/>
      <c r="T424" s="792"/>
      <c r="U424" s="792"/>
      <c r="V424" s="793"/>
      <c r="W424" s="793"/>
      <c r="X424" s="792"/>
      <c r="Y424" s="792"/>
      <c r="Z424" s="792"/>
      <c r="AA424" s="792"/>
    </row>
    <row r="425" spans="1:27" ht="15.75" customHeight="1">
      <c r="A425" s="792"/>
      <c r="B425" s="792"/>
      <c r="C425" s="792"/>
      <c r="D425" s="792"/>
      <c r="E425" s="792"/>
      <c r="F425" s="792"/>
      <c r="G425" s="792"/>
      <c r="H425" s="792"/>
      <c r="I425" s="792"/>
      <c r="J425" s="792"/>
      <c r="K425" s="792"/>
      <c r="L425" s="792"/>
      <c r="M425" s="792"/>
      <c r="N425" s="792"/>
      <c r="O425" s="792"/>
      <c r="P425" s="792"/>
      <c r="Q425" s="792"/>
      <c r="R425" s="792"/>
      <c r="S425" s="792"/>
      <c r="T425" s="792"/>
      <c r="U425" s="792"/>
      <c r="V425" s="793"/>
      <c r="W425" s="793"/>
      <c r="X425" s="792"/>
      <c r="Y425" s="792"/>
      <c r="Z425" s="792"/>
      <c r="AA425" s="792"/>
    </row>
    <row r="426" spans="1:27" ht="15.75" customHeight="1">
      <c r="A426" s="792"/>
      <c r="B426" s="792"/>
      <c r="C426" s="792"/>
      <c r="D426" s="792"/>
      <c r="E426" s="792"/>
      <c r="F426" s="792"/>
      <c r="G426" s="792"/>
      <c r="H426" s="792"/>
      <c r="I426" s="792"/>
      <c r="J426" s="792"/>
      <c r="K426" s="792"/>
      <c r="L426" s="792"/>
      <c r="M426" s="792"/>
      <c r="N426" s="792"/>
      <c r="O426" s="792"/>
      <c r="P426" s="792"/>
      <c r="Q426" s="792"/>
      <c r="R426" s="792"/>
      <c r="S426" s="792"/>
      <c r="T426" s="792"/>
      <c r="U426" s="792"/>
      <c r="V426" s="793"/>
      <c r="W426" s="793"/>
      <c r="X426" s="792"/>
      <c r="Y426" s="792"/>
      <c r="Z426" s="792"/>
      <c r="AA426" s="792"/>
    </row>
    <row r="427" spans="1:27" ht="15.75" customHeight="1">
      <c r="A427" s="792"/>
      <c r="B427" s="792"/>
      <c r="C427" s="792"/>
      <c r="D427" s="792"/>
      <c r="E427" s="792"/>
      <c r="F427" s="792"/>
      <c r="G427" s="792"/>
      <c r="H427" s="792"/>
      <c r="I427" s="792"/>
      <c r="J427" s="792"/>
      <c r="K427" s="792"/>
      <c r="L427" s="792"/>
      <c r="M427" s="792"/>
      <c r="N427" s="792"/>
      <c r="O427" s="792"/>
      <c r="P427" s="792"/>
      <c r="Q427" s="792"/>
      <c r="R427" s="792"/>
      <c r="S427" s="792"/>
      <c r="T427" s="792"/>
      <c r="U427" s="792"/>
      <c r="V427" s="793"/>
      <c r="W427" s="793"/>
      <c r="X427" s="792"/>
      <c r="Y427" s="792"/>
      <c r="Z427" s="792"/>
      <c r="AA427" s="792"/>
    </row>
    <row r="428" spans="1:27" ht="15.75" customHeight="1">
      <c r="A428" s="792"/>
      <c r="B428" s="792"/>
      <c r="C428" s="792"/>
      <c r="D428" s="792"/>
      <c r="E428" s="792"/>
      <c r="F428" s="792"/>
      <c r="G428" s="792"/>
      <c r="H428" s="792"/>
      <c r="I428" s="792"/>
      <c r="J428" s="792"/>
      <c r="K428" s="792"/>
      <c r="L428" s="792"/>
      <c r="M428" s="792"/>
      <c r="N428" s="792"/>
      <c r="O428" s="792"/>
      <c r="P428" s="792"/>
      <c r="Q428" s="792"/>
      <c r="R428" s="792"/>
      <c r="S428" s="792"/>
      <c r="T428" s="792"/>
      <c r="U428" s="792"/>
      <c r="V428" s="793"/>
      <c r="W428" s="793"/>
      <c r="X428" s="792"/>
      <c r="Y428" s="792"/>
      <c r="Z428" s="792"/>
      <c r="AA428" s="792"/>
    </row>
    <row r="429" spans="1:27" ht="15.75" customHeight="1">
      <c r="A429" s="792"/>
      <c r="B429" s="792"/>
      <c r="C429" s="792"/>
      <c r="D429" s="792"/>
      <c r="E429" s="792"/>
      <c r="F429" s="792"/>
      <c r="G429" s="792"/>
      <c r="H429" s="792"/>
      <c r="I429" s="792"/>
      <c r="J429" s="792"/>
      <c r="K429" s="792"/>
      <c r="L429" s="792"/>
      <c r="M429" s="792"/>
      <c r="N429" s="792"/>
      <c r="O429" s="792"/>
      <c r="P429" s="792"/>
      <c r="Q429" s="792"/>
      <c r="R429" s="792"/>
      <c r="S429" s="792"/>
      <c r="T429" s="792"/>
      <c r="U429" s="792"/>
      <c r="V429" s="793"/>
      <c r="W429" s="793"/>
      <c r="X429" s="792"/>
      <c r="Y429" s="792"/>
      <c r="Z429" s="792"/>
      <c r="AA429" s="792"/>
    </row>
    <row r="430" spans="1:27" ht="15.75" customHeight="1">
      <c r="A430" s="792"/>
      <c r="B430" s="792"/>
      <c r="C430" s="792"/>
      <c r="D430" s="792"/>
      <c r="E430" s="792"/>
      <c r="F430" s="792"/>
      <c r="G430" s="792"/>
      <c r="H430" s="792"/>
      <c r="I430" s="792"/>
      <c r="J430" s="792"/>
      <c r="K430" s="792"/>
      <c r="L430" s="792"/>
      <c r="M430" s="792"/>
      <c r="N430" s="792"/>
      <c r="O430" s="792"/>
      <c r="P430" s="792"/>
      <c r="Q430" s="792"/>
      <c r="R430" s="792"/>
      <c r="S430" s="792"/>
      <c r="T430" s="792"/>
      <c r="U430" s="792"/>
      <c r="V430" s="793"/>
      <c r="W430" s="793"/>
      <c r="X430" s="792"/>
      <c r="Y430" s="792"/>
      <c r="Z430" s="792"/>
      <c r="AA430" s="792"/>
    </row>
    <row r="431" spans="1:27" ht="15.75" customHeight="1">
      <c r="A431" s="792"/>
      <c r="B431" s="792"/>
      <c r="C431" s="792"/>
      <c r="D431" s="792"/>
      <c r="E431" s="792"/>
      <c r="F431" s="792"/>
      <c r="G431" s="792"/>
      <c r="H431" s="792"/>
      <c r="I431" s="792"/>
      <c r="J431" s="792"/>
      <c r="K431" s="792"/>
      <c r="L431" s="792"/>
      <c r="M431" s="792"/>
      <c r="N431" s="792"/>
      <c r="O431" s="792"/>
      <c r="P431" s="792"/>
      <c r="Q431" s="792"/>
      <c r="R431" s="792"/>
      <c r="S431" s="792"/>
      <c r="T431" s="792"/>
      <c r="U431" s="792"/>
      <c r="V431" s="793"/>
      <c r="W431" s="793"/>
      <c r="X431" s="792"/>
      <c r="Y431" s="792"/>
      <c r="Z431" s="792"/>
      <c r="AA431" s="792"/>
    </row>
    <row r="432" spans="1:27" ht="15.75" customHeight="1">
      <c r="A432" s="792"/>
      <c r="B432" s="792"/>
      <c r="C432" s="792"/>
      <c r="D432" s="792"/>
      <c r="E432" s="792"/>
      <c r="F432" s="792"/>
      <c r="G432" s="792"/>
      <c r="H432" s="792"/>
      <c r="I432" s="792"/>
      <c r="J432" s="792"/>
      <c r="K432" s="792"/>
      <c r="L432" s="792"/>
      <c r="M432" s="792"/>
      <c r="N432" s="792"/>
      <c r="O432" s="792"/>
      <c r="P432" s="792"/>
      <c r="Q432" s="792"/>
      <c r="R432" s="792"/>
      <c r="S432" s="792"/>
      <c r="T432" s="792"/>
      <c r="U432" s="792"/>
      <c r="V432" s="793"/>
      <c r="W432" s="793"/>
      <c r="X432" s="792"/>
      <c r="Y432" s="792"/>
      <c r="Z432" s="792"/>
      <c r="AA432" s="792"/>
    </row>
    <row r="433" spans="1:27" ht="15.75" customHeight="1">
      <c r="A433" s="792"/>
      <c r="B433" s="792"/>
      <c r="C433" s="792"/>
      <c r="D433" s="792"/>
      <c r="E433" s="792"/>
      <c r="F433" s="792"/>
      <c r="G433" s="792"/>
      <c r="H433" s="792"/>
      <c r="I433" s="792"/>
      <c r="J433" s="792"/>
      <c r="K433" s="792"/>
      <c r="L433" s="792"/>
      <c r="M433" s="792"/>
      <c r="N433" s="792"/>
      <c r="O433" s="792"/>
      <c r="P433" s="792"/>
      <c r="Q433" s="792"/>
      <c r="R433" s="792"/>
      <c r="S433" s="792"/>
      <c r="T433" s="792"/>
      <c r="U433" s="792"/>
      <c r="V433" s="793"/>
      <c r="W433" s="793"/>
      <c r="X433" s="792"/>
      <c r="Y433" s="792"/>
      <c r="Z433" s="792"/>
      <c r="AA433" s="792"/>
    </row>
    <row r="434" spans="1:27" ht="15.75" customHeight="1">
      <c r="A434" s="792"/>
      <c r="B434" s="792"/>
      <c r="C434" s="792"/>
      <c r="D434" s="792"/>
      <c r="E434" s="792"/>
      <c r="F434" s="792"/>
      <c r="G434" s="792"/>
      <c r="H434" s="792"/>
      <c r="I434" s="792"/>
      <c r="J434" s="792"/>
      <c r="K434" s="792"/>
      <c r="L434" s="792"/>
      <c r="M434" s="792"/>
      <c r="N434" s="792"/>
      <c r="O434" s="792"/>
      <c r="P434" s="792"/>
      <c r="Q434" s="792"/>
      <c r="R434" s="792"/>
      <c r="S434" s="792"/>
      <c r="T434" s="792"/>
      <c r="U434" s="792"/>
      <c r="V434" s="793"/>
      <c r="W434" s="793"/>
      <c r="X434" s="792"/>
      <c r="Y434" s="792"/>
      <c r="Z434" s="792"/>
      <c r="AA434" s="792"/>
    </row>
    <row r="435" spans="1:27" ht="15.75" customHeight="1">
      <c r="A435" s="792"/>
      <c r="B435" s="792"/>
      <c r="C435" s="792"/>
      <c r="D435" s="792"/>
      <c r="E435" s="792"/>
      <c r="F435" s="792"/>
      <c r="G435" s="792"/>
      <c r="H435" s="792"/>
      <c r="I435" s="792"/>
      <c r="J435" s="792"/>
      <c r="K435" s="792"/>
      <c r="L435" s="792"/>
      <c r="M435" s="792"/>
      <c r="N435" s="792"/>
      <c r="O435" s="792"/>
      <c r="P435" s="792"/>
      <c r="Q435" s="792"/>
      <c r="R435" s="792"/>
      <c r="S435" s="792"/>
      <c r="T435" s="792"/>
      <c r="U435" s="792"/>
      <c r="V435" s="793"/>
      <c r="W435" s="793"/>
      <c r="X435" s="792"/>
      <c r="Y435" s="792"/>
      <c r="Z435" s="792"/>
      <c r="AA435" s="792"/>
    </row>
    <row r="436" spans="1:27" ht="15.75" customHeight="1">
      <c r="A436" s="792"/>
      <c r="B436" s="792"/>
      <c r="C436" s="792"/>
      <c r="D436" s="792"/>
      <c r="E436" s="792"/>
      <c r="F436" s="792"/>
      <c r="G436" s="792"/>
      <c r="H436" s="792"/>
      <c r="I436" s="792"/>
      <c r="J436" s="792"/>
      <c r="K436" s="792"/>
      <c r="L436" s="792"/>
      <c r="M436" s="792"/>
      <c r="N436" s="792"/>
      <c r="O436" s="792"/>
      <c r="P436" s="792"/>
      <c r="Q436" s="792"/>
      <c r="R436" s="792"/>
      <c r="S436" s="792"/>
      <c r="T436" s="792"/>
      <c r="U436" s="792"/>
      <c r="V436" s="793"/>
      <c r="W436" s="793"/>
      <c r="X436" s="792"/>
      <c r="Y436" s="792"/>
      <c r="Z436" s="792"/>
      <c r="AA436" s="792"/>
    </row>
    <row r="437" spans="1:27" ht="15.75" customHeight="1">
      <c r="A437" s="792"/>
      <c r="B437" s="792"/>
      <c r="C437" s="792"/>
      <c r="D437" s="792"/>
      <c r="E437" s="792"/>
      <c r="F437" s="792"/>
      <c r="G437" s="792"/>
      <c r="H437" s="792"/>
      <c r="I437" s="792"/>
      <c r="J437" s="792"/>
      <c r="K437" s="792"/>
      <c r="L437" s="792"/>
      <c r="M437" s="792"/>
      <c r="N437" s="792"/>
      <c r="O437" s="792"/>
      <c r="P437" s="792"/>
      <c r="Q437" s="792"/>
      <c r="R437" s="792"/>
      <c r="S437" s="792"/>
      <c r="T437" s="792"/>
      <c r="U437" s="792"/>
      <c r="V437" s="793"/>
      <c r="W437" s="793"/>
      <c r="X437" s="792"/>
      <c r="Y437" s="792"/>
      <c r="Z437" s="792"/>
      <c r="AA437" s="792"/>
    </row>
    <row r="438" spans="1:27" ht="15.75" customHeight="1">
      <c r="A438" s="792"/>
      <c r="B438" s="792"/>
      <c r="C438" s="792"/>
      <c r="D438" s="792"/>
      <c r="E438" s="792"/>
      <c r="F438" s="792"/>
      <c r="G438" s="792"/>
      <c r="H438" s="792"/>
      <c r="I438" s="792"/>
      <c r="J438" s="792"/>
      <c r="K438" s="792"/>
      <c r="L438" s="792"/>
      <c r="M438" s="792"/>
      <c r="N438" s="792"/>
      <c r="O438" s="792"/>
      <c r="P438" s="792"/>
      <c r="Q438" s="792"/>
      <c r="R438" s="792"/>
      <c r="S438" s="792"/>
      <c r="T438" s="792"/>
      <c r="U438" s="792"/>
      <c r="V438" s="793"/>
      <c r="W438" s="793"/>
      <c r="X438" s="792"/>
      <c r="Y438" s="792"/>
      <c r="Z438" s="792"/>
      <c r="AA438" s="792"/>
    </row>
    <row r="439" spans="1:27" ht="15.75" customHeight="1">
      <c r="A439" s="792"/>
      <c r="B439" s="792"/>
      <c r="C439" s="792"/>
      <c r="D439" s="792"/>
      <c r="E439" s="792"/>
      <c r="F439" s="792"/>
      <c r="G439" s="792"/>
      <c r="H439" s="792"/>
      <c r="I439" s="792"/>
      <c r="J439" s="792"/>
      <c r="K439" s="792"/>
      <c r="L439" s="792"/>
      <c r="M439" s="792"/>
      <c r="N439" s="792"/>
      <c r="O439" s="792"/>
      <c r="P439" s="792"/>
      <c r="Q439" s="792"/>
      <c r="R439" s="792"/>
      <c r="S439" s="792"/>
      <c r="T439" s="792"/>
      <c r="U439" s="792"/>
      <c r="V439" s="793"/>
      <c r="W439" s="793"/>
      <c r="X439" s="792"/>
      <c r="Y439" s="792"/>
      <c r="Z439" s="792"/>
      <c r="AA439" s="792"/>
    </row>
    <row r="440" spans="1:27" ht="15.75" customHeight="1">
      <c r="A440" s="792"/>
      <c r="B440" s="792"/>
      <c r="C440" s="792"/>
      <c r="D440" s="792"/>
      <c r="E440" s="792"/>
      <c r="F440" s="792"/>
      <c r="G440" s="792"/>
      <c r="H440" s="792"/>
      <c r="I440" s="792"/>
      <c r="J440" s="792"/>
      <c r="K440" s="792"/>
      <c r="L440" s="792"/>
      <c r="M440" s="792"/>
      <c r="N440" s="792"/>
      <c r="O440" s="792"/>
      <c r="P440" s="792"/>
      <c r="Q440" s="792"/>
      <c r="R440" s="792"/>
      <c r="S440" s="792"/>
      <c r="T440" s="792"/>
      <c r="U440" s="792"/>
      <c r="V440" s="793"/>
      <c r="W440" s="793"/>
      <c r="X440" s="792"/>
      <c r="Y440" s="792"/>
      <c r="Z440" s="792"/>
      <c r="AA440" s="792"/>
    </row>
    <row r="441" spans="1:27" ht="15.75" customHeight="1">
      <c r="A441" s="792"/>
      <c r="B441" s="792"/>
      <c r="C441" s="792"/>
      <c r="D441" s="792"/>
      <c r="E441" s="792"/>
      <c r="F441" s="792"/>
      <c r="G441" s="792"/>
      <c r="H441" s="792"/>
      <c r="I441" s="792"/>
      <c r="J441" s="792"/>
      <c r="K441" s="792"/>
      <c r="L441" s="792"/>
      <c r="M441" s="792"/>
      <c r="N441" s="792"/>
      <c r="O441" s="792"/>
      <c r="P441" s="792"/>
      <c r="Q441" s="792"/>
      <c r="R441" s="792"/>
      <c r="S441" s="792"/>
      <c r="T441" s="792"/>
      <c r="U441" s="792"/>
      <c r="V441" s="793"/>
      <c r="W441" s="793"/>
      <c r="X441" s="792"/>
      <c r="Y441" s="792"/>
      <c r="Z441" s="792"/>
      <c r="AA441" s="792"/>
    </row>
    <row r="442" spans="1:27" ht="15.75" customHeight="1">
      <c r="A442" s="792"/>
      <c r="B442" s="792"/>
      <c r="C442" s="792"/>
      <c r="D442" s="792"/>
      <c r="E442" s="792"/>
      <c r="F442" s="792"/>
      <c r="G442" s="792"/>
      <c r="H442" s="792"/>
      <c r="I442" s="792"/>
      <c r="J442" s="792"/>
      <c r="K442" s="792"/>
      <c r="L442" s="792"/>
      <c r="M442" s="792"/>
      <c r="N442" s="792"/>
      <c r="O442" s="792"/>
      <c r="P442" s="792"/>
      <c r="Q442" s="792"/>
      <c r="R442" s="792"/>
      <c r="S442" s="792"/>
      <c r="T442" s="792"/>
      <c r="U442" s="792"/>
      <c r="V442" s="793"/>
      <c r="W442" s="793"/>
      <c r="X442" s="792"/>
      <c r="Y442" s="792"/>
      <c r="Z442" s="792"/>
      <c r="AA442" s="792"/>
    </row>
    <row r="443" spans="1:27" ht="15.75" customHeight="1">
      <c r="A443" s="792"/>
      <c r="B443" s="792"/>
      <c r="C443" s="792"/>
      <c r="D443" s="792"/>
      <c r="E443" s="792"/>
      <c r="F443" s="792"/>
      <c r="G443" s="792"/>
      <c r="H443" s="792"/>
      <c r="I443" s="792"/>
      <c r="J443" s="792"/>
      <c r="K443" s="792"/>
      <c r="L443" s="792"/>
      <c r="M443" s="792"/>
      <c r="N443" s="792"/>
      <c r="O443" s="792"/>
      <c r="P443" s="792"/>
      <c r="Q443" s="792"/>
      <c r="R443" s="792"/>
      <c r="S443" s="792"/>
      <c r="T443" s="792"/>
      <c r="U443" s="792"/>
      <c r="V443" s="793"/>
      <c r="W443" s="793"/>
      <c r="X443" s="792"/>
      <c r="Y443" s="792"/>
      <c r="Z443" s="792"/>
      <c r="AA443" s="792"/>
    </row>
    <row r="444" spans="1:27" ht="15.75" customHeight="1">
      <c r="A444" s="792"/>
      <c r="B444" s="792"/>
      <c r="C444" s="792"/>
      <c r="D444" s="792"/>
      <c r="E444" s="792"/>
      <c r="F444" s="792"/>
      <c r="G444" s="792"/>
      <c r="H444" s="792"/>
      <c r="I444" s="792"/>
      <c r="J444" s="792"/>
      <c r="K444" s="792"/>
      <c r="L444" s="792"/>
      <c r="M444" s="792"/>
      <c r="N444" s="792"/>
      <c r="O444" s="792"/>
      <c r="P444" s="792"/>
      <c r="Q444" s="792"/>
      <c r="R444" s="792"/>
      <c r="S444" s="792"/>
      <c r="T444" s="792"/>
      <c r="U444" s="792"/>
      <c r="V444" s="793"/>
      <c r="W444" s="793"/>
      <c r="X444" s="792"/>
      <c r="Y444" s="792"/>
      <c r="Z444" s="792"/>
      <c r="AA444" s="792"/>
    </row>
    <row r="445" spans="1:27" ht="15.75" customHeight="1">
      <c r="A445" s="792"/>
      <c r="B445" s="792"/>
      <c r="C445" s="792"/>
      <c r="D445" s="792"/>
      <c r="E445" s="792"/>
      <c r="F445" s="792"/>
      <c r="G445" s="792"/>
      <c r="H445" s="792"/>
      <c r="I445" s="792"/>
      <c r="J445" s="792"/>
      <c r="K445" s="792"/>
      <c r="L445" s="792"/>
      <c r="M445" s="792"/>
      <c r="N445" s="792"/>
      <c r="O445" s="792"/>
      <c r="P445" s="792"/>
      <c r="Q445" s="792"/>
      <c r="R445" s="792"/>
      <c r="S445" s="792"/>
      <c r="T445" s="792"/>
      <c r="U445" s="792"/>
      <c r="V445" s="793"/>
      <c r="W445" s="793"/>
      <c r="X445" s="792"/>
      <c r="Y445" s="792"/>
      <c r="Z445" s="792"/>
      <c r="AA445" s="792"/>
    </row>
    <row r="446" spans="1:27" ht="15.75" customHeight="1">
      <c r="A446" s="792"/>
      <c r="B446" s="792"/>
      <c r="C446" s="792"/>
      <c r="D446" s="792"/>
      <c r="E446" s="792"/>
      <c r="F446" s="792"/>
      <c r="G446" s="792"/>
      <c r="H446" s="792"/>
      <c r="I446" s="792"/>
      <c r="J446" s="792"/>
      <c r="K446" s="792"/>
      <c r="L446" s="792"/>
      <c r="M446" s="792"/>
      <c r="N446" s="792"/>
      <c r="O446" s="792"/>
      <c r="P446" s="792"/>
      <c r="Q446" s="792"/>
      <c r="R446" s="792"/>
      <c r="S446" s="792"/>
      <c r="T446" s="792"/>
      <c r="U446" s="792"/>
      <c r="V446" s="793"/>
      <c r="W446" s="793"/>
      <c r="X446" s="792"/>
      <c r="Y446" s="792"/>
      <c r="Z446" s="792"/>
      <c r="AA446" s="792"/>
    </row>
    <row r="447" spans="1:27" ht="15.75" customHeight="1">
      <c r="A447" s="792"/>
      <c r="B447" s="792"/>
      <c r="C447" s="792"/>
      <c r="D447" s="792"/>
      <c r="E447" s="792"/>
      <c r="F447" s="792"/>
      <c r="G447" s="792"/>
      <c r="H447" s="792"/>
      <c r="I447" s="792"/>
      <c r="J447" s="792"/>
      <c r="K447" s="792"/>
      <c r="L447" s="792"/>
      <c r="M447" s="792"/>
      <c r="N447" s="792"/>
      <c r="O447" s="792"/>
      <c r="P447" s="792"/>
      <c r="Q447" s="792"/>
      <c r="R447" s="792"/>
      <c r="S447" s="792"/>
      <c r="T447" s="792"/>
      <c r="U447" s="792"/>
      <c r="V447" s="793"/>
      <c r="W447" s="793"/>
      <c r="X447" s="792"/>
      <c r="Y447" s="792"/>
      <c r="Z447" s="792"/>
      <c r="AA447" s="792"/>
    </row>
    <row r="448" spans="1:27" ht="15.75" customHeight="1">
      <c r="A448" s="792"/>
      <c r="B448" s="792"/>
      <c r="C448" s="792"/>
      <c r="D448" s="792"/>
      <c r="E448" s="792"/>
      <c r="F448" s="792"/>
      <c r="G448" s="792"/>
      <c r="H448" s="792"/>
      <c r="I448" s="792"/>
      <c r="J448" s="792"/>
      <c r="K448" s="792"/>
      <c r="L448" s="792"/>
      <c r="M448" s="792"/>
      <c r="N448" s="792"/>
      <c r="O448" s="792"/>
      <c r="P448" s="792"/>
      <c r="Q448" s="792"/>
      <c r="R448" s="792"/>
      <c r="S448" s="792"/>
      <c r="T448" s="792"/>
      <c r="U448" s="792"/>
      <c r="V448" s="793"/>
      <c r="W448" s="793"/>
      <c r="X448" s="792"/>
      <c r="Y448" s="792"/>
      <c r="Z448" s="792"/>
      <c r="AA448" s="792"/>
    </row>
    <row r="449" spans="1:27" ht="15.75" customHeight="1">
      <c r="A449" s="792"/>
      <c r="B449" s="792"/>
      <c r="C449" s="792"/>
      <c r="D449" s="792"/>
      <c r="E449" s="792"/>
      <c r="F449" s="792"/>
      <c r="G449" s="792"/>
      <c r="H449" s="792"/>
      <c r="I449" s="792"/>
      <c r="J449" s="792"/>
      <c r="K449" s="792"/>
      <c r="L449" s="792"/>
      <c r="M449" s="792"/>
      <c r="N449" s="792"/>
      <c r="O449" s="792"/>
      <c r="P449" s="792"/>
      <c r="Q449" s="792"/>
      <c r="R449" s="792"/>
      <c r="S449" s="792"/>
      <c r="T449" s="792"/>
      <c r="U449" s="792"/>
      <c r="V449" s="793"/>
      <c r="W449" s="793"/>
      <c r="X449" s="792"/>
      <c r="Y449" s="792"/>
      <c r="Z449" s="792"/>
      <c r="AA449" s="792"/>
    </row>
    <row r="450" spans="1:27" ht="15.75" customHeight="1">
      <c r="A450" s="792"/>
      <c r="B450" s="792"/>
      <c r="C450" s="792"/>
      <c r="D450" s="792"/>
      <c r="E450" s="792"/>
      <c r="F450" s="792"/>
      <c r="G450" s="792"/>
      <c r="H450" s="792"/>
      <c r="I450" s="792"/>
      <c r="J450" s="792"/>
      <c r="K450" s="792"/>
      <c r="L450" s="792"/>
      <c r="M450" s="792"/>
      <c r="N450" s="792"/>
      <c r="O450" s="792"/>
      <c r="P450" s="792"/>
      <c r="Q450" s="792"/>
      <c r="R450" s="792"/>
      <c r="S450" s="792"/>
      <c r="T450" s="792"/>
      <c r="U450" s="792"/>
      <c r="V450" s="793"/>
      <c r="W450" s="793"/>
      <c r="X450" s="792"/>
      <c r="Y450" s="792"/>
      <c r="Z450" s="792"/>
      <c r="AA450" s="792"/>
    </row>
    <row r="451" spans="1:27" ht="15.75" customHeight="1">
      <c r="A451" s="792"/>
      <c r="B451" s="792"/>
      <c r="C451" s="792"/>
      <c r="D451" s="792"/>
      <c r="E451" s="792"/>
      <c r="F451" s="792"/>
      <c r="G451" s="792"/>
      <c r="H451" s="792"/>
      <c r="I451" s="792"/>
      <c r="J451" s="792"/>
      <c r="K451" s="792"/>
      <c r="L451" s="792"/>
      <c r="M451" s="792"/>
      <c r="N451" s="792"/>
      <c r="O451" s="792"/>
      <c r="P451" s="792"/>
      <c r="Q451" s="792"/>
      <c r="R451" s="792"/>
      <c r="S451" s="792"/>
      <c r="T451" s="792"/>
      <c r="U451" s="792"/>
      <c r="V451" s="793"/>
      <c r="W451" s="793"/>
      <c r="X451" s="792"/>
      <c r="Y451" s="792"/>
      <c r="Z451" s="792"/>
      <c r="AA451" s="792"/>
    </row>
    <row r="452" spans="1:27" ht="15.75" customHeight="1">
      <c r="A452" s="792"/>
      <c r="B452" s="792"/>
      <c r="C452" s="792"/>
      <c r="D452" s="792"/>
      <c r="E452" s="792"/>
      <c r="F452" s="792"/>
      <c r="G452" s="792"/>
      <c r="H452" s="792"/>
      <c r="I452" s="792"/>
      <c r="J452" s="792"/>
      <c r="K452" s="792"/>
      <c r="L452" s="792"/>
      <c r="M452" s="792"/>
      <c r="N452" s="792"/>
      <c r="O452" s="792"/>
      <c r="P452" s="792"/>
      <c r="Q452" s="792"/>
      <c r="R452" s="792"/>
      <c r="S452" s="792"/>
      <c r="T452" s="792"/>
      <c r="U452" s="792"/>
      <c r="V452" s="793"/>
      <c r="W452" s="793"/>
      <c r="X452" s="792"/>
      <c r="Y452" s="792"/>
      <c r="Z452" s="792"/>
      <c r="AA452" s="792"/>
    </row>
    <row r="453" spans="1:27" ht="15.75" customHeight="1">
      <c r="A453" s="792"/>
      <c r="B453" s="792"/>
      <c r="C453" s="792"/>
      <c r="D453" s="792"/>
      <c r="E453" s="792"/>
      <c r="F453" s="792"/>
      <c r="G453" s="792"/>
      <c r="H453" s="792"/>
      <c r="I453" s="792"/>
      <c r="J453" s="792"/>
      <c r="K453" s="792"/>
      <c r="L453" s="792"/>
      <c r="M453" s="792"/>
      <c r="N453" s="792"/>
      <c r="O453" s="792"/>
      <c r="P453" s="792"/>
      <c r="Q453" s="792"/>
      <c r="R453" s="792"/>
      <c r="S453" s="792"/>
      <c r="T453" s="792"/>
      <c r="U453" s="792"/>
      <c r="V453" s="793"/>
      <c r="W453" s="793"/>
      <c r="X453" s="792"/>
      <c r="Y453" s="792"/>
      <c r="Z453" s="792"/>
      <c r="AA453" s="792"/>
    </row>
    <row r="454" spans="1:27" ht="15.75" customHeight="1">
      <c r="A454" s="792"/>
      <c r="B454" s="792"/>
      <c r="C454" s="792"/>
      <c r="D454" s="792"/>
      <c r="E454" s="792"/>
      <c r="F454" s="792"/>
      <c r="G454" s="792"/>
      <c r="H454" s="792"/>
      <c r="I454" s="792"/>
      <c r="J454" s="792"/>
      <c r="K454" s="792"/>
      <c r="L454" s="792"/>
      <c r="M454" s="792"/>
      <c r="N454" s="792"/>
      <c r="O454" s="792"/>
      <c r="P454" s="792"/>
      <c r="Q454" s="792"/>
      <c r="R454" s="792"/>
      <c r="S454" s="792"/>
      <c r="T454" s="792"/>
      <c r="U454" s="792"/>
      <c r="V454" s="793"/>
      <c r="W454" s="793"/>
      <c r="X454" s="792"/>
      <c r="Y454" s="792"/>
      <c r="Z454" s="792"/>
      <c r="AA454" s="792"/>
    </row>
    <row r="455" spans="1:27" ht="15.75" customHeight="1">
      <c r="A455" s="792"/>
      <c r="B455" s="792"/>
      <c r="C455" s="792"/>
      <c r="D455" s="792"/>
      <c r="E455" s="792"/>
      <c r="F455" s="792"/>
      <c r="G455" s="792"/>
      <c r="H455" s="792"/>
      <c r="I455" s="792"/>
      <c r="J455" s="792"/>
      <c r="K455" s="792"/>
      <c r="L455" s="792"/>
      <c r="M455" s="792"/>
      <c r="N455" s="792"/>
      <c r="O455" s="792"/>
      <c r="P455" s="792"/>
      <c r="Q455" s="792"/>
      <c r="R455" s="792"/>
      <c r="S455" s="792"/>
      <c r="T455" s="792"/>
      <c r="U455" s="792"/>
      <c r="V455" s="793"/>
      <c r="W455" s="793"/>
      <c r="X455" s="792"/>
      <c r="Y455" s="792"/>
      <c r="Z455" s="792"/>
      <c r="AA455" s="792"/>
    </row>
    <row r="456" spans="1:27" ht="15.75" customHeight="1">
      <c r="A456" s="792"/>
      <c r="B456" s="792"/>
      <c r="C456" s="792"/>
      <c r="D456" s="792"/>
      <c r="E456" s="792"/>
      <c r="F456" s="792"/>
      <c r="G456" s="792"/>
      <c r="H456" s="792"/>
      <c r="I456" s="792"/>
      <c r="J456" s="792"/>
      <c r="K456" s="792"/>
      <c r="L456" s="792"/>
      <c r="M456" s="792"/>
      <c r="N456" s="792"/>
      <c r="O456" s="792"/>
      <c r="P456" s="792"/>
      <c r="Q456" s="792"/>
      <c r="R456" s="792"/>
      <c r="S456" s="792"/>
      <c r="T456" s="792"/>
      <c r="U456" s="792"/>
      <c r="V456" s="793"/>
      <c r="W456" s="793"/>
      <c r="X456" s="792"/>
      <c r="Y456" s="792"/>
      <c r="Z456" s="792"/>
      <c r="AA456" s="792"/>
    </row>
    <row r="457" spans="1:27" ht="15.75" customHeight="1">
      <c r="A457" s="792"/>
      <c r="B457" s="792"/>
      <c r="C457" s="792"/>
      <c r="D457" s="792"/>
      <c r="E457" s="792"/>
      <c r="F457" s="792"/>
      <c r="G457" s="792"/>
      <c r="H457" s="792"/>
      <c r="I457" s="792"/>
      <c r="J457" s="792"/>
      <c r="K457" s="792"/>
      <c r="L457" s="792"/>
      <c r="M457" s="792"/>
      <c r="N457" s="792"/>
      <c r="O457" s="792"/>
      <c r="P457" s="792"/>
      <c r="Q457" s="792"/>
      <c r="R457" s="792"/>
      <c r="S457" s="792"/>
      <c r="T457" s="792"/>
      <c r="U457" s="792"/>
      <c r="V457" s="793"/>
      <c r="W457" s="793"/>
      <c r="X457" s="792"/>
      <c r="Y457" s="792"/>
      <c r="Z457" s="792"/>
      <c r="AA457" s="792"/>
    </row>
    <row r="458" spans="1:27" ht="15.75" customHeight="1">
      <c r="A458" s="792"/>
      <c r="B458" s="792"/>
      <c r="C458" s="792"/>
      <c r="D458" s="792"/>
      <c r="E458" s="792"/>
      <c r="F458" s="792"/>
      <c r="G458" s="792"/>
      <c r="H458" s="792"/>
      <c r="I458" s="792"/>
      <c r="J458" s="792"/>
      <c r="K458" s="792"/>
      <c r="L458" s="792"/>
      <c r="M458" s="792"/>
      <c r="N458" s="792"/>
      <c r="O458" s="792"/>
      <c r="P458" s="792"/>
      <c r="Q458" s="792"/>
      <c r="R458" s="792"/>
      <c r="S458" s="792"/>
      <c r="T458" s="792"/>
      <c r="U458" s="792"/>
      <c r="V458" s="793"/>
      <c r="W458" s="793"/>
      <c r="X458" s="792"/>
      <c r="Y458" s="792"/>
      <c r="Z458" s="792"/>
      <c r="AA458" s="792"/>
    </row>
    <row r="459" spans="1:27" ht="15.75" customHeigh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3"/>
      <c r="W459" s="793"/>
      <c r="X459" s="792"/>
      <c r="Y459" s="792"/>
      <c r="Z459" s="792"/>
      <c r="AA459" s="792"/>
    </row>
    <row r="460" spans="1:27" ht="15.75" customHeight="1">
      <c r="A460" s="792"/>
      <c r="B460" s="792"/>
      <c r="C460" s="792"/>
      <c r="D460" s="792"/>
      <c r="E460" s="792"/>
      <c r="F460" s="792"/>
      <c r="G460" s="792"/>
      <c r="H460" s="792"/>
      <c r="I460" s="792"/>
      <c r="J460" s="792"/>
      <c r="K460" s="792"/>
      <c r="L460" s="792"/>
      <c r="M460" s="792"/>
      <c r="N460" s="792"/>
      <c r="O460" s="792"/>
      <c r="P460" s="792"/>
      <c r="Q460" s="792"/>
      <c r="R460" s="792"/>
      <c r="S460" s="792"/>
      <c r="T460" s="792"/>
      <c r="U460" s="792"/>
      <c r="V460" s="793"/>
      <c r="W460" s="793"/>
      <c r="X460" s="792"/>
      <c r="Y460" s="792"/>
      <c r="Z460" s="792"/>
      <c r="AA460" s="792"/>
    </row>
    <row r="461" spans="1:27" ht="15.75" customHeight="1">
      <c r="A461" s="792"/>
      <c r="B461" s="792"/>
      <c r="C461" s="792"/>
      <c r="D461" s="792"/>
      <c r="E461" s="792"/>
      <c r="F461" s="792"/>
      <c r="G461" s="792"/>
      <c r="H461" s="792"/>
      <c r="I461" s="792"/>
      <c r="J461" s="792"/>
      <c r="K461" s="792"/>
      <c r="L461" s="792"/>
      <c r="M461" s="792"/>
      <c r="N461" s="792"/>
      <c r="O461" s="792"/>
      <c r="P461" s="792"/>
      <c r="Q461" s="792"/>
      <c r="R461" s="792"/>
      <c r="S461" s="792"/>
      <c r="T461" s="792"/>
      <c r="U461" s="792"/>
      <c r="V461" s="793"/>
      <c r="W461" s="793"/>
      <c r="X461" s="792"/>
      <c r="Y461" s="792"/>
      <c r="Z461" s="792"/>
      <c r="AA461" s="792"/>
    </row>
    <row r="462" spans="1:27" ht="15.75" customHeight="1">
      <c r="A462" s="792"/>
      <c r="B462" s="792"/>
      <c r="C462" s="792"/>
      <c r="D462" s="792"/>
      <c r="E462" s="792"/>
      <c r="F462" s="792"/>
      <c r="G462" s="792"/>
      <c r="H462" s="792"/>
      <c r="I462" s="792"/>
      <c r="J462" s="792"/>
      <c r="K462" s="792"/>
      <c r="L462" s="792"/>
      <c r="M462" s="792"/>
      <c r="N462" s="792"/>
      <c r="O462" s="792"/>
      <c r="P462" s="792"/>
      <c r="Q462" s="792"/>
      <c r="R462" s="792"/>
      <c r="S462" s="792"/>
      <c r="T462" s="792"/>
      <c r="U462" s="792"/>
      <c r="V462" s="793"/>
      <c r="W462" s="793"/>
      <c r="X462" s="792"/>
      <c r="Y462" s="792"/>
      <c r="Z462" s="792"/>
      <c r="AA462" s="792"/>
    </row>
    <row r="463" spans="1:27" ht="15.75" customHeight="1">
      <c r="A463" s="792"/>
      <c r="B463" s="792"/>
      <c r="C463" s="792"/>
      <c r="D463" s="792"/>
      <c r="E463" s="792"/>
      <c r="F463" s="792"/>
      <c r="G463" s="792"/>
      <c r="H463" s="792"/>
      <c r="I463" s="792"/>
      <c r="J463" s="792"/>
      <c r="K463" s="792"/>
      <c r="L463" s="792"/>
      <c r="M463" s="792"/>
      <c r="N463" s="792"/>
      <c r="O463" s="792"/>
      <c r="P463" s="792"/>
      <c r="Q463" s="792"/>
      <c r="R463" s="792"/>
      <c r="S463" s="792"/>
      <c r="T463" s="792"/>
      <c r="U463" s="792"/>
      <c r="V463" s="793"/>
      <c r="W463" s="793"/>
      <c r="X463" s="792"/>
      <c r="Y463" s="792"/>
      <c r="Z463" s="792"/>
      <c r="AA463" s="792"/>
    </row>
    <row r="464" spans="1:27" ht="15.75" customHeight="1">
      <c r="A464" s="792"/>
      <c r="B464" s="792"/>
      <c r="C464" s="792"/>
      <c r="D464" s="792"/>
      <c r="E464" s="792"/>
      <c r="F464" s="792"/>
      <c r="G464" s="792"/>
      <c r="H464" s="792"/>
      <c r="I464" s="792"/>
      <c r="J464" s="792"/>
      <c r="K464" s="792"/>
      <c r="L464" s="792"/>
      <c r="M464" s="792"/>
      <c r="N464" s="792"/>
      <c r="O464" s="792"/>
      <c r="P464" s="792"/>
      <c r="Q464" s="792"/>
      <c r="R464" s="792"/>
      <c r="S464" s="792"/>
      <c r="T464" s="792"/>
      <c r="U464" s="792"/>
      <c r="V464" s="793"/>
      <c r="W464" s="793"/>
      <c r="X464" s="792"/>
      <c r="Y464" s="792"/>
      <c r="Z464" s="792"/>
      <c r="AA464" s="792"/>
    </row>
    <row r="465" spans="1:27" ht="15.75" customHeight="1">
      <c r="A465" s="792"/>
      <c r="B465" s="792"/>
      <c r="C465" s="792"/>
      <c r="D465" s="792"/>
      <c r="E465" s="792"/>
      <c r="F465" s="792"/>
      <c r="G465" s="792"/>
      <c r="H465" s="792"/>
      <c r="I465" s="792"/>
      <c r="J465" s="792"/>
      <c r="K465" s="792"/>
      <c r="L465" s="792"/>
      <c r="M465" s="792"/>
      <c r="N465" s="792"/>
      <c r="O465" s="792"/>
      <c r="P465" s="792"/>
      <c r="Q465" s="792"/>
      <c r="R465" s="792"/>
      <c r="S465" s="792"/>
      <c r="T465" s="792"/>
      <c r="U465" s="792"/>
      <c r="V465" s="793"/>
      <c r="W465" s="793"/>
      <c r="X465" s="792"/>
      <c r="Y465" s="792"/>
      <c r="Z465" s="792"/>
      <c r="AA465" s="792"/>
    </row>
    <row r="466" spans="1:27" ht="15.75" customHeight="1">
      <c r="A466" s="792"/>
      <c r="B466" s="792"/>
      <c r="C466" s="792"/>
      <c r="D466" s="792"/>
      <c r="E466" s="792"/>
      <c r="F466" s="792"/>
      <c r="G466" s="792"/>
      <c r="H466" s="792"/>
      <c r="I466" s="792"/>
      <c r="J466" s="792"/>
      <c r="K466" s="792"/>
      <c r="L466" s="792"/>
      <c r="M466" s="792"/>
      <c r="N466" s="792"/>
      <c r="O466" s="792"/>
      <c r="P466" s="792"/>
      <c r="Q466" s="792"/>
      <c r="R466" s="792"/>
      <c r="S466" s="792"/>
      <c r="T466" s="792"/>
      <c r="U466" s="792"/>
      <c r="V466" s="793"/>
      <c r="W466" s="793"/>
      <c r="X466" s="792"/>
      <c r="Y466" s="792"/>
      <c r="Z466" s="792"/>
      <c r="AA466" s="792"/>
    </row>
    <row r="467" spans="1:27" ht="15.75" customHeight="1">
      <c r="A467" s="792"/>
      <c r="B467" s="792"/>
      <c r="C467" s="792"/>
      <c r="D467" s="792"/>
      <c r="E467" s="792"/>
      <c r="F467" s="792"/>
      <c r="G467" s="792"/>
      <c r="H467" s="792"/>
      <c r="I467" s="792"/>
      <c r="J467" s="792"/>
      <c r="K467" s="792"/>
      <c r="L467" s="792"/>
      <c r="M467" s="792"/>
      <c r="N467" s="792"/>
      <c r="O467" s="792"/>
      <c r="P467" s="792"/>
      <c r="Q467" s="792"/>
      <c r="R467" s="792"/>
      <c r="S467" s="792"/>
      <c r="T467" s="792"/>
      <c r="U467" s="792"/>
      <c r="V467" s="793"/>
      <c r="W467" s="793"/>
      <c r="X467" s="792"/>
      <c r="Y467" s="792"/>
      <c r="Z467" s="792"/>
      <c r="AA467" s="792"/>
    </row>
    <row r="468" spans="1:27" ht="15.75" customHeight="1">
      <c r="A468" s="792"/>
      <c r="B468" s="792"/>
      <c r="C468" s="792"/>
      <c r="D468" s="792"/>
      <c r="E468" s="792"/>
      <c r="F468" s="792"/>
      <c r="G468" s="792"/>
      <c r="H468" s="792"/>
      <c r="I468" s="792"/>
      <c r="J468" s="792"/>
      <c r="K468" s="792"/>
      <c r="L468" s="792"/>
      <c r="M468" s="792"/>
      <c r="N468" s="792"/>
      <c r="O468" s="792"/>
      <c r="P468" s="792"/>
      <c r="Q468" s="792"/>
      <c r="R468" s="792"/>
      <c r="S468" s="792"/>
      <c r="T468" s="792"/>
      <c r="U468" s="792"/>
      <c r="V468" s="793"/>
      <c r="W468" s="793"/>
      <c r="X468" s="792"/>
      <c r="Y468" s="792"/>
      <c r="Z468" s="792"/>
      <c r="AA468" s="792"/>
    </row>
    <row r="469" spans="1:27" ht="15.75" customHeight="1">
      <c r="A469" s="792"/>
      <c r="B469" s="792"/>
      <c r="C469" s="792"/>
      <c r="D469" s="792"/>
      <c r="E469" s="792"/>
      <c r="F469" s="792"/>
      <c r="G469" s="792"/>
      <c r="H469" s="792"/>
      <c r="I469" s="792"/>
      <c r="J469" s="792"/>
      <c r="K469" s="792"/>
      <c r="L469" s="792"/>
      <c r="M469" s="792"/>
      <c r="N469" s="792"/>
      <c r="O469" s="792"/>
      <c r="P469" s="792"/>
      <c r="Q469" s="792"/>
      <c r="R469" s="792"/>
      <c r="S469" s="792"/>
      <c r="T469" s="792"/>
      <c r="U469" s="792"/>
      <c r="V469" s="793"/>
      <c r="W469" s="793"/>
      <c r="X469" s="792"/>
      <c r="Y469" s="792"/>
      <c r="Z469" s="792"/>
      <c r="AA469" s="792"/>
    </row>
    <row r="470" spans="1:27" ht="15.75" customHeight="1">
      <c r="A470" s="792"/>
      <c r="B470" s="792"/>
      <c r="C470" s="792"/>
      <c r="D470" s="792"/>
      <c r="E470" s="792"/>
      <c r="F470" s="792"/>
      <c r="G470" s="792"/>
      <c r="H470" s="792"/>
      <c r="I470" s="792"/>
      <c r="J470" s="792"/>
      <c r="K470" s="792"/>
      <c r="L470" s="792"/>
      <c r="M470" s="792"/>
      <c r="N470" s="792"/>
      <c r="O470" s="792"/>
      <c r="P470" s="792"/>
      <c r="Q470" s="792"/>
      <c r="R470" s="792"/>
      <c r="S470" s="792"/>
      <c r="T470" s="792"/>
      <c r="U470" s="792"/>
      <c r="V470" s="793"/>
      <c r="W470" s="793"/>
      <c r="X470" s="792"/>
      <c r="Y470" s="792"/>
      <c r="Z470" s="792"/>
      <c r="AA470" s="792"/>
    </row>
    <row r="471" spans="1:27" ht="15.75" customHeight="1">
      <c r="A471" s="792"/>
      <c r="B471" s="792"/>
      <c r="C471" s="792"/>
      <c r="D471" s="792"/>
      <c r="E471" s="792"/>
      <c r="F471" s="792"/>
      <c r="G471" s="792"/>
      <c r="H471" s="792"/>
      <c r="I471" s="792"/>
      <c r="J471" s="792"/>
      <c r="K471" s="792"/>
      <c r="L471" s="792"/>
      <c r="M471" s="792"/>
      <c r="N471" s="792"/>
      <c r="O471" s="792"/>
      <c r="P471" s="792"/>
      <c r="Q471" s="792"/>
      <c r="R471" s="792"/>
      <c r="S471" s="792"/>
      <c r="T471" s="792"/>
      <c r="U471" s="792"/>
      <c r="V471" s="793"/>
      <c r="W471" s="793"/>
      <c r="X471" s="792"/>
      <c r="Y471" s="792"/>
      <c r="Z471" s="792"/>
      <c r="AA471" s="792"/>
    </row>
    <row r="472" spans="1:27" ht="15.75" customHeight="1">
      <c r="A472" s="792"/>
      <c r="B472" s="792"/>
      <c r="C472" s="792"/>
      <c r="D472" s="792"/>
      <c r="E472" s="792"/>
      <c r="F472" s="792"/>
      <c r="G472" s="792"/>
      <c r="H472" s="792"/>
      <c r="I472" s="792"/>
      <c r="J472" s="792"/>
      <c r="K472" s="792"/>
      <c r="L472" s="792"/>
      <c r="M472" s="792"/>
      <c r="N472" s="792"/>
      <c r="O472" s="792"/>
      <c r="P472" s="792"/>
      <c r="Q472" s="792"/>
      <c r="R472" s="792"/>
      <c r="S472" s="792"/>
      <c r="T472" s="792"/>
      <c r="U472" s="792"/>
      <c r="V472" s="793"/>
      <c r="W472" s="793"/>
      <c r="X472" s="792"/>
      <c r="Y472" s="792"/>
      <c r="Z472" s="792"/>
      <c r="AA472" s="792"/>
    </row>
    <row r="473" spans="1:27" ht="15.75" customHeight="1">
      <c r="A473" s="792"/>
      <c r="B473" s="792"/>
      <c r="C473" s="792"/>
      <c r="D473" s="792"/>
      <c r="E473" s="792"/>
      <c r="F473" s="792"/>
      <c r="G473" s="792"/>
      <c r="H473" s="792"/>
      <c r="I473" s="792"/>
      <c r="J473" s="792"/>
      <c r="K473" s="792"/>
      <c r="L473" s="792"/>
      <c r="M473" s="792"/>
      <c r="N473" s="792"/>
      <c r="O473" s="792"/>
      <c r="P473" s="792"/>
      <c r="Q473" s="792"/>
      <c r="R473" s="792"/>
      <c r="S473" s="792"/>
      <c r="T473" s="792"/>
      <c r="U473" s="792"/>
      <c r="V473" s="793"/>
      <c r="W473" s="793"/>
      <c r="X473" s="792"/>
      <c r="Y473" s="792"/>
      <c r="Z473" s="792"/>
      <c r="AA473" s="792"/>
    </row>
    <row r="474" spans="1:27" ht="15.75" customHeight="1">
      <c r="A474" s="792"/>
      <c r="B474" s="792"/>
      <c r="C474" s="792"/>
      <c r="D474" s="792"/>
      <c r="E474" s="792"/>
      <c r="F474" s="792"/>
      <c r="G474" s="792"/>
      <c r="H474" s="792"/>
      <c r="I474" s="792"/>
      <c r="J474" s="792"/>
      <c r="K474" s="792"/>
      <c r="L474" s="792"/>
      <c r="M474" s="792"/>
      <c r="N474" s="792"/>
      <c r="O474" s="792"/>
      <c r="P474" s="792"/>
      <c r="Q474" s="792"/>
      <c r="R474" s="792"/>
      <c r="S474" s="792"/>
      <c r="T474" s="792"/>
      <c r="U474" s="792"/>
      <c r="V474" s="793"/>
      <c r="W474" s="793"/>
      <c r="X474" s="792"/>
      <c r="Y474" s="792"/>
      <c r="Z474" s="792"/>
      <c r="AA474" s="792"/>
    </row>
    <row r="475" spans="1:27" ht="15.75" customHeight="1">
      <c r="A475" s="792"/>
      <c r="B475" s="792"/>
      <c r="C475" s="792"/>
      <c r="D475" s="792"/>
      <c r="E475" s="792"/>
      <c r="F475" s="792"/>
      <c r="G475" s="792"/>
      <c r="H475" s="792"/>
      <c r="I475" s="792"/>
      <c r="J475" s="792"/>
      <c r="K475" s="792"/>
      <c r="L475" s="792"/>
      <c r="M475" s="792"/>
      <c r="N475" s="792"/>
      <c r="O475" s="792"/>
      <c r="P475" s="792"/>
      <c r="Q475" s="792"/>
      <c r="R475" s="792"/>
      <c r="S475" s="792"/>
      <c r="T475" s="792"/>
      <c r="U475" s="792"/>
      <c r="V475" s="793"/>
      <c r="W475" s="793"/>
      <c r="X475" s="792"/>
      <c r="Y475" s="792"/>
      <c r="Z475" s="792"/>
      <c r="AA475" s="792"/>
    </row>
    <row r="476" spans="1:27" ht="15.75" customHeight="1">
      <c r="A476" s="792"/>
      <c r="B476" s="792"/>
      <c r="C476" s="792"/>
      <c r="D476" s="792"/>
      <c r="E476" s="792"/>
      <c r="F476" s="792"/>
      <c r="G476" s="792"/>
      <c r="H476" s="792"/>
      <c r="I476" s="792"/>
      <c r="J476" s="792"/>
      <c r="K476" s="792"/>
      <c r="L476" s="792"/>
      <c r="M476" s="792"/>
      <c r="N476" s="792"/>
      <c r="O476" s="792"/>
      <c r="P476" s="792"/>
      <c r="Q476" s="792"/>
      <c r="R476" s="792"/>
      <c r="S476" s="792"/>
      <c r="T476" s="792"/>
      <c r="U476" s="792"/>
      <c r="V476" s="793"/>
      <c r="W476" s="793"/>
      <c r="X476" s="792"/>
      <c r="Y476" s="792"/>
      <c r="Z476" s="792"/>
      <c r="AA476" s="792"/>
    </row>
    <row r="477" spans="1:27" ht="15.75" customHeight="1">
      <c r="A477" s="792"/>
      <c r="B477" s="792"/>
      <c r="C477" s="792"/>
      <c r="D477" s="792"/>
      <c r="E477" s="792"/>
      <c r="F477" s="792"/>
      <c r="G477" s="792"/>
      <c r="H477" s="792"/>
      <c r="I477" s="792"/>
      <c r="J477" s="792"/>
      <c r="K477" s="792"/>
      <c r="L477" s="792"/>
      <c r="M477" s="792"/>
      <c r="N477" s="792"/>
      <c r="O477" s="792"/>
      <c r="P477" s="792"/>
      <c r="Q477" s="792"/>
      <c r="R477" s="792"/>
      <c r="S477" s="792"/>
      <c r="T477" s="792"/>
      <c r="U477" s="792"/>
      <c r="V477" s="793"/>
      <c r="W477" s="793"/>
      <c r="X477" s="792"/>
      <c r="Y477" s="792"/>
      <c r="Z477" s="792"/>
      <c r="AA477" s="792"/>
    </row>
    <row r="478" spans="1:27" ht="15.75" customHeight="1">
      <c r="A478" s="792"/>
      <c r="B478" s="792"/>
      <c r="C478" s="792"/>
      <c r="D478" s="792"/>
      <c r="E478" s="792"/>
      <c r="F478" s="792"/>
      <c r="G478" s="792"/>
      <c r="H478" s="792"/>
      <c r="I478" s="792"/>
      <c r="J478" s="792"/>
      <c r="K478" s="792"/>
      <c r="L478" s="792"/>
      <c r="M478" s="792"/>
      <c r="N478" s="792"/>
      <c r="O478" s="792"/>
      <c r="P478" s="792"/>
      <c r="Q478" s="792"/>
      <c r="R478" s="792"/>
      <c r="S478" s="792"/>
      <c r="T478" s="792"/>
      <c r="U478" s="792"/>
      <c r="V478" s="793"/>
      <c r="W478" s="793"/>
      <c r="X478" s="792"/>
      <c r="Y478" s="792"/>
      <c r="Z478" s="792"/>
      <c r="AA478" s="792"/>
    </row>
    <row r="479" spans="1:27" ht="15.75" customHeight="1">
      <c r="A479" s="792"/>
      <c r="B479" s="792"/>
      <c r="C479" s="792"/>
      <c r="D479" s="792"/>
      <c r="E479" s="792"/>
      <c r="F479" s="792"/>
      <c r="G479" s="792"/>
      <c r="H479" s="792"/>
      <c r="I479" s="792"/>
      <c r="J479" s="792"/>
      <c r="K479" s="792"/>
      <c r="L479" s="792"/>
      <c r="M479" s="792"/>
      <c r="N479" s="792"/>
      <c r="O479" s="792"/>
      <c r="P479" s="792"/>
      <c r="Q479" s="792"/>
      <c r="R479" s="792"/>
      <c r="S479" s="792"/>
      <c r="T479" s="792"/>
      <c r="U479" s="792"/>
      <c r="V479" s="793"/>
      <c r="W479" s="793"/>
      <c r="X479" s="792"/>
      <c r="Y479" s="792"/>
      <c r="Z479" s="792"/>
      <c r="AA479" s="792"/>
    </row>
    <row r="480" spans="1:27" ht="15.75" customHeight="1">
      <c r="A480" s="792"/>
      <c r="B480" s="792"/>
      <c r="C480" s="792"/>
      <c r="D480" s="792"/>
      <c r="E480" s="792"/>
      <c r="F480" s="792"/>
      <c r="G480" s="792"/>
      <c r="H480" s="792"/>
      <c r="I480" s="792"/>
      <c r="J480" s="792"/>
      <c r="K480" s="792"/>
      <c r="L480" s="792"/>
      <c r="M480" s="792"/>
      <c r="N480" s="792"/>
      <c r="O480" s="792"/>
      <c r="P480" s="792"/>
      <c r="Q480" s="792"/>
      <c r="R480" s="792"/>
      <c r="S480" s="792"/>
      <c r="T480" s="792"/>
      <c r="U480" s="792"/>
      <c r="V480" s="793"/>
      <c r="W480" s="793"/>
      <c r="X480" s="792"/>
      <c r="Y480" s="792"/>
      <c r="Z480" s="792"/>
      <c r="AA480" s="792"/>
    </row>
    <row r="481" spans="1:27" ht="15.75" customHeight="1">
      <c r="A481" s="792"/>
      <c r="B481" s="792"/>
      <c r="C481" s="792"/>
      <c r="D481" s="792"/>
      <c r="E481" s="792"/>
      <c r="F481" s="792"/>
      <c r="G481" s="792"/>
      <c r="H481" s="792"/>
      <c r="I481" s="792"/>
      <c r="J481" s="792"/>
      <c r="K481" s="792"/>
      <c r="L481" s="792"/>
      <c r="M481" s="792"/>
      <c r="N481" s="792"/>
      <c r="O481" s="792"/>
      <c r="P481" s="792"/>
      <c r="Q481" s="792"/>
      <c r="R481" s="792"/>
      <c r="S481" s="792"/>
      <c r="T481" s="792"/>
      <c r="U481" s="792"/>
      <c r="V481" s="793"/>
      <c r="W481" s="793"/>
      <c r="X481" s="792"/>
      <c r="Y481" s="792"/>
      <c r="Z481" s="792"/>
      <c r="AA481" s="792"/>
    </row>
    <row r="482" spans="1:27" ht="15.75" customHeight="1">
      <c r="A482" s="792"/>
      <c r="B482" s="792"/>
      <c r="C482" s="792"/>
      <c r="D482" s="792"/>
      <c r="E482" s="792"/>
      <c r="F482" s="792"/>
      <c r="G482" s="792"/>
      <c r="H482" s="792"/>
      <c r="I482" s="792"/>
      <c r="J482" s="792"/>
      <c r="K482" s="792"/>
      <c r="L482" s="792"/>
      <c r="M482" s="792"/>
      <c r="N482" s="792"/>
      <c r="O482" s="792"/>
      <c r="P482" s="792"/>
      <c r="Q482" s="792"/>
      <c r="R482" s="792"/>
      <c r="S482" s="792"/>
      <c r="T482" s="792"/>
      <c r="U482" s="792"/>
      <c r="V482" s="793"/>
      <c r="W482" s="793"/>
      <c r="X482" s="792"/>
      <c r="Y482" s="792"/>
      <c r="Z482" s="792"/>
      <c r="AA482" s="792"/>
    </row>
    <row r="483" spans="1:27" ht="15.75" customHeight="1">
      <c r="A483" s="792"/>
      <c r="B483" s="792"/>
      <c r="C483" s="792"/>
      <c r="D483" s="792"/>
      <c r="E483" s="792"/>
      <c r="F483" s="792"/>
      <c r="G483" s="792"/>
      <c r="H483" s="792"/>
      <c r="I483" s="792"/>
      <c r="J483" s="792"/>
      <c r="K483" s="792"/>
      <c r="L483" s="792"/>
      <c r="M483" s="792"/>
      <c r="N483" s="792"/>
      <c r="O483" s="792"/>
      <c r="P483" s="792"/>
      <c r="Q483" s="792"/>
      <c r="R483" s="792"/>
      <c r="S483" s="792"/>
      <c r="T483" s="792"/>
      <c r="U483" s="792"/>
      <c r="V483" s="793"/>
      <c r="W483" s="793"/>
      <c r="X483" s="792"/>
      <c r="Y483" s="792"/>
      <c r="Z483" s="792"/>
      <c r="AA483" s="792"/>
    </row>
    <row r="484" spans="1:27" ht="15.75" customHeight="1">
      <c r="A484" s="792"/>
      <c r="B484" s="792"/>
      <c r="C484" s="792"/>
      <c r="D484" s="792"/>
      <c r="E484" s="792"/>
      <c r="F484" s="792"/>
      <c r="G484" s="792"/>
      <c r="H484" s="792"/>
      <c r="I484" s="792"/>
      <c r="J484" s="792"/>
      <c r="K484" s="792"/>
      <c r="L484" s="792"/>
      <c r="M484" s="792"/>
      <c r="N484" s="792"/>
      <c r="O484" s="792"/>
      <c r="P484" s="792"/>
      <c r="Q484" s="792"/>
      <c r="R484" s="792"/>
      <c r="S484" s="792"/>
      <c r="T484" s="792"/>
      <c r="U484" s="792"/>
      <c r="V484" s="793"/>
      <c r="W484" s="793"/>
      <c r="X484" s="792"/>
      <c r="Y484" s="792"/>
      <c r="Z484" s="792"/>
      <c r="AA484" s="792"/>
    </row>
    <row r="485" spans="1:27" ht="15.75" customHeight="1">
      <c r="A485" s="792"/>
      <c r="B485" s="792"/>
      <c r="C485" s="792"/>
      <c r="D485" s="792"/>
      <c r="E485" s="792"/>
      <c r="F485" s="792"/>
      <c r="G485" s="792"/>
      <c r="H485" s="792"/>
      <c r="I485" s="792"/>
      <c r="J485" s="792"/>
      <c r="K485" s="792"/>
      <c r="L485" s="792"/>
      <c r="M485" s="792"/>
      <c r="N485" s="792"/>
      <c r="O485" s="792"/>
      <c r="P485" s="792"/>
      <c r="Q485" s="792"/>
      <c r="R485" s="792"/>
      <c r="S485" s="792"/>
      <c r="T485" s="792"/>
      <c r="U485" s="792"/>
      <c r="V485" s="793"/>
      <c r="W485" s="793"/>
      <c r="X485" s="792"/>
      <c r="Y485" s="792"/>
      <c r="Z485" s="792"/>
      <c r="AA485" s="792"/>
    </row>
    <row r="486" spans="1:27" ht="15.75" customHeight="1">
      <c r="A486" s="792"/>
      <c r="B486" s="792"/>
      <c r="C486" s="792"/>
      <c r="D486" s="792"/>
      <c r="E486" s="792"/>
      <c r="F486" s="792"/>
      <c r="G486" s="792"/>
      <c r="H486" s="792"/>
      <c r="I486" s="792"/>
      <c r="J486" s="792"/>
      <c r="K486" s="792"/>
      <c r="L486" s="792"/>
      <c r="M486" s="792"/>
      <c r="N486" s="792"/>
      <c r="O486" s="792"/>
      <c r="P486" s="792"/>
      <c r="Q486" s="792"/>
      <c r="R486" s="792"/>
      <c r="S486" s="792"/>
      <c r="T486" s="792"/>
      <c r="U486" s="792"/>
      <c r="V486" s="793"/>
      <c r="W486" s="793"/>
      <c r="X486" s="792"/>
      <c r="Y486" s="792"/>
      <c r="Z486" s="792"/>
      <c r="AA486" s="792"/>
    </row>
    <row r="487" spans="1:27" ht="15.75" customHeight="1">
      <c r="A487" s="792"/>
      <c r="B487" s="792"/>
      <c r="C487" s="792"/>
      <c r="D487" s="792"/>
      <c r="E487" s="792"/>
      <c r="F487" s="792"/>
      <c r="G487" s="792"/>
      <c r="H487" s="792"/>
      <c r="I487" s="792"/>
      <c r="J487" s="792"/>
      <c r="K487" s="792"/>
      <c r="L487" s="792"/>
      <c r="M487" s="792"/>
      <c r="N487" s="792"/>
      <c r="O487" s="792"/>
      <c r="P487" s="792"/>
      <c r="Q487" s="792"/>
      <c r="R487" s="792"/>
      <c r="S487" s="792"/>
      <c r="T487" s="792"/>
      <c r="U487" s="792"/>
      <c r="V487" s="793"/>
      <c r="W487" s="793"/>
      <c r="X487" s="792"/>
      <c r="Y487" s="792"/>
      <c r="Z487" s="792"/>
      <c r="AA487" s="792"/>
    </row>
    <row r="488" spans="1:27" ht="15.75" customHeight="1">
      <c r="A488" s="792"/>
      <c r="B488" s="792"/>
      <c r="C488" s="792"/>
      <c r="D488" s="792"/>
      <c r="E488" s="792"/>
      <c r="F488" s="792"/>
      <c r="G488" s="792"/>
      <c r="H488" s="792"/>
      <c r="I488" s="792"/>
      <c r="J488" s="792"/>
      <c r="K488" s="792"/>
      <c r="L488" s="792"/>
      <c r="M488" s="792"/>
      <c r="N488" s="792"/>
      <c r="O488" s="792"/>
      <c r="P488" s="792"/>
      <c r="Q488" s="792"/>
      <c r="R488" s="792"/>
      <c r="S488" s="792"/>
      <c r="T488" s="792"/>
      <c r="U488" s="792"/>
      <c r="V488" s="793"/>
      <c r="W488" s="793"/>
      <c r="X488" s="792"/>
      <c r="Y488" s="792"/>
      <c r="Z488" s="792"/>
      <c r="AA488" s="792"/>
    </row>
    <row r="489" spans="1:27" ht="15.75" customHeight="1">
      <c r="A489" s="792"/>
      <c r="B489" s="792"/>
      <c r="C489" s="792"/>
      <c r="D489" s="792"/>
      <c r="E489" s="792"/>
      <c r="F489" s="792"/>
      <c r="G489" s="792"/>
      <c r="H489" s="792"/>
      <c r="I489" s="792"/>
      <c r="J489" s="792"/>
      <c r="K489" s="792"/>
      <c r="L489" s="792"/>
      <c r="M489" s="792"/>
      <c r="N489" s="792"/>
      <c r="O489" s="792"/>
      <c r="P489" s="792"/>
      <c r="Q489" s="792"/>
      <c r="R489" s="792"/>
      <c r="S489" s="792"/>
      <c r="T489" s="792"/>
      <c r="U489" s="792"/>
      <c r="V489" s="793"/>
      <c r="W489" s="793"/>
      <c r="X489" s="792"/>
      <c r="Y489" s="792"/>
      <c r="Z489" s="792"/>
      <c r="AA489" s="792"/>
    </row>
    <row r="490" spans="1:27" ht="15.75" customHeight="1">
      <c r="A490" s="792"/>
      <c r="B490" s="792"/>
      <c r="C490" s="792"/>
      <c r="D490" s="792"/>
      <c r="E490" s="792"/>
      <c r="F490" s="792"/>
      <c r="G490" s="792"/>
      <c r="H490" s="792"/>
      <c r="I490" s="792"/>
      <c r="J490" s="792"/>
      <c r="K490" s="792"/>
      <c r="L490" s="792"/>
      <c r="M490" s="792"/>
      <c r="N490" s="792"/>
      <c r="O490" s="792"/>
      <c r="P490" s="792"/>
      <c r="Q490" s="792"/>
      <c r="R490" s="792"/>
      <c r="S490" s="792"/>
      <c r="T490" s="792"/>
      <c r="U490" s="792"/>
      <c r="V490" s="793"/>
      <c r="W490" s="793"/>
      <c r="X490" s="792"/>
      <c r="Y490" s="792"/>
      <c r="Z490" s="792"/>
      <c r="AA490" s="792"/>
    </row>
    <row r="491" spans="1:27" ht="15.75" customHeight="1">
      <c r="A491" s="792"/>
      <c r="B491" s="792"/>
      <c r="C491" s="792"/>
      <c r="D491" s="792"/>
      <c r="E491" s="792"/>
      <c r="F491" s="792"/>
      <c r="G491" s="792"/>
      <c r="H491" s="792"/>
      <c r="I491" s="792"/>
      <c r="J491" s="792"/>
      <c r="K491" s="792"/>
      <c r="L491" s="792"/>
      <c r="M491" s="792"/>
      <c r="N491" s="792"/>
      <c r="O491" s="792"/>
      <c r="P491" s="792"/>
      <c r="Q491" s="792"/>
      <c r="R491" s="792"/>
      <c r="S491" s="792"/>
      <c r="T491" s="792"/>
      <c r="U491" s="792"/>
      <c r="V491" s="793"/>
      <c r="W491" s="793"/>
      <c r="X491" s="792"/>
      <c r="Y491" s="792"/>
      <c r="Z491" s="792"/>
      <c r="AA491" s="792"/>
    </row>
    <row r="492" spans="1:27" ht="15.75" customHeight="1">
      <c r="A492" s="792"/>
      <c r="B492" s="792"/>
      <c r="C492" s="792"/>
      <c r="D492" s="792"/>
      <c r="E492" s="792"/>
      <c r="F492" s="792"/>
      <c r="G492" s="792"/>
      <c r="H492" s="792"/>
      <c r="I492" s="792"/>
      <c r="J492" s="792"/>
      <c r="K492" s="792"/>
      <c r="L492" s="792"/>
      <c r="M492" s="792"/>
      <c r="N492" s="792"/>
      <c r="O492" s="792"/>
      <c r="P492" s="792"/>
      <c r="Q492" s="792"/>
      <c r="R492" s="792"/>
      <c r="S492" s="792"/>
      <c r="T492" s="792"/>
      <c r="U492" s="792"/>
      <c r="V492" s="793"/>
      <c r="W492" s="793"/>
      <c r="X492" s="792"/>
      <c r="Y492" s="792"/>
      <c r="Z492" s="792"/>
      <c r="AA492" s="792"/>
    </row>
    <row r="493" spans="1:27" ht="15.75" customHeight="1">
      <c r="A493" s="792"/>
      <c r="B493" s="792"/>
      <c r="C493" s="792"/>
      <c r="D493" s="792"/>
      <c r="E493" s="792"/>
      <c r="F493" s="792"/>
      <c r="G493" s="792"/>
      <c r="H493" s="792"/>
      <c r="I493" s="792"/>
      <c r="J493" s="792"/>
      <c r="K493" s="792"/>
      <c r="L493" s="792"/>
      <c r="M493" s="792"/>
      <c r="N493" s="792"/>
      <c r="O493" s="792"/>
      <c r="P493" s="792"/>
      <c r="Q493" s="792"/>
      <c r="R493" s="792"/>
      <c r="S493" s="792"/>
      <c r="T493" s="792"/>
      <c r="U493" s="792"/>
      <c r="V493" s="793"/>
      <c r="W493" s="793"/>
      <c r="X493" s="792"/>
      <c r="Y493" s="792"/>
      <c r="Z493" s="792"/>
      <c r="AA493" s="792"/>
    </row>
    <row r="494" spans="1:27" ht="15.75" customHeight="1">
      <c r="A494" s="792"/>
      <c r="B494" s="792"/>
      <c r="C494" s="792"/>
      <c r="D494" s="792"/>
      <c r="E494" s="792"/>
      <c r="F494" s="792"/>
      <c r="G494" s="792"/>
      <c r="H494" s="792"/>
      <c r="I494" s="792"/>
      <c r="J494" s="792"/>
      <c r="K494" s="792"/>
      <c r="L494" s="792"/>
      <c r="M494" s="792"/>
      <c r="N494" s="792"/>
      <c r="O494" s="792"/>
      <c r="P494" s="792"/>
      <c r="Q494" s="792"/>
      <c r="R494" s="792"/>
      <c r="S494" s="792"/>
      <c r="T494" s="792"/>
      <c r="U494" s="792"/>
      <c r="V494" s="793"/>
      <c r="W494" s="793"/>
      <c r="X494" s="792"/>
      <c r="Y494" s="792"/>
      <c r="Z494" s="792"/>
      <c r="AA494" s="792"/>
    </row>
    <row r="495" spans="1:27" ht="15.75" customHeight="1">
      <c r="A495" s="792"/>
      <c r="B495" s="792"/>
      <c r="C495" s="792"/>
      <c r="D495" s="792"/>
      <c r="E495" s="792"/>
      <c r="F495" s="792"/>
      <c r="G495" s="792"/>
      <c r="H495" s="792"/>
      <c r="I495" s="792"/>
      <c r="J495" s="792"/>
      <c r="K495" s="792"/>
      <c r="L495" s="792"/>
      <c r="M495" s="792"/>
      <c r="N495" s="792"/>
      <c r="O495" s="792"/>
      <c r="P495" s="792"/>
      <c r="Q495" s="792"/>
      <c r="R495" s="792"/>
      <c r="S495" s="792"/>
      <c r="T495" s="792"/>
      <c r="U495" s="792"/>
      <c r="V495" s="793"/>
      <c r="W495" s="793"/>
      <c r="X495" s="792"/>
      <c r="Y495" s="792"/>
      <c r="Z495" s="792"/>
      <c r="AA495" s="792"/>
    </row>
    <row r="496" spans="1:27" ht="15.75" customHeight="1">
      <c r="A496" s="792"/>
      <c r="B496" s="792"/>
      <c r="C496" s="792"/>
      <c r="D496" s="792"/>
      <c r="E496" s="792"/>
      <c r="F496" s="792"/>
      <c r="G496" s="792"/>
      <c r="H496" s="792"/>
      <c r="I496" s="792"/>
      <c r="J496" s="792"/>
      <c r="K496" s="792"/>
      <c r="L496" s="792"/>
      <c r="M496" s="792"/>
      <c r="N496" s="792"/>
      <c r="O496" s="792"/>
      <c r="P496" s="792"/>
      <c r="Q496" s="792"/>
      <c r="R496" s="792"/>
      <c r="S496" s="792"/>
      <c r="T496" s="792"/>
      <c r="U496" s="792"/>
      <c r="V496" s="793"/>
      <c r="W496" s="793"/>
      <c r="X496" s="792"/>
      <c r="Y496" s="792"/>
      <c r="Z496" s="792"/>
      <c r="AA496" s="792"/>
    </row>
    <row r="497" spans="1:27" ht="15.75" customHeight="1">
      <c r="A497" s="792"/>
      <c r="B497" s="792"/>
      <c r="C497" s="792"/>
      <c r="D497" s="792"/>
      <c r="E497" s="792"/>
      <c r="F497" s="792"/>
      <c r="G497" s="792"/>
      <c r="H497" s="792"/>
      <c r="I497" s="792"/>
      <c r="J497" s="792"/>
      <c r="K497" s="792"/>
      <c r="L497" s="792"/>
      <c r="M497" s="792"/>
      <c r="N497" s="792"/>
      <c r="O497" s="792"/>
      <c r="P497" s="792"/>
      <c r="Q497" s="792"/>
      <c r="R497" s="792"/>
      <c r="S497" s="792"/>
      <c r="T497" s="792"/>
      <c r="U497" s="792"/>
      <c r="V497" s="793"/>
      <c r="W497" s="793"/>
      <c r="X497" s="792"/>
      <c r="Y497" s="792"/>
      <c r="Z497" s="792"/>
      <c r="AA497" s="792"/>
    </row>
    <row r="498" spans="1:27" ht="15.75" customHeight="1">
      <c r="A498" s="792"/>
      <c r="B498" s="792"/>
      <c r="C498" s="792"/>
      <c r="D498" s="792"/>
      <c r="E498" s="792"/>
      <c r="F498" s="792"/>
      <c r="G498" s="792"/>
      <c r="H498" s="792"/>
      <c r="I498" s="792"/>
      <c r="J498" s="792"/>
      <c r="K498" s="792"/>
      <c r="L498" s="792"/>
      <c r="M498" s="792"/>
      <c r="N498" s="792"/>
      <c r="O498" s="792"/>
      <c r="P498" s="792"/>
      <c r="Q498" s="792"/>
      <c r="R498" s="792"/>
      <c r="S498" s="792"/>
      <c r="T498" s="792"/>
      <c r="U498" s="792"/>
      <c r="V498" s="793"/>
      <c r="W498" s="793"/>
      <c r="X498" s="792"/>
      <c r="Y498" s="792"/>
      <c r="Z498" s="792"/>
      <c r="AA498" s="792"/>
    </row>
    <row r="499" spans="1:27" ht="15.75" customHeight="1">
      <c r="A499" s="792"/>
      <c r="B499" s="792"/>
      <c r="C499" s="792"/>
      <c r="D499" s="792"/>
      <c r="E499" s="792"/>
      <c r="F499" s="792"/>
      <c r="G499" s="792"/>
      <c r="H499" s="792"/>
      <c r="I499" s="792"/>
      <c r="J499" s="792"/>
      <c r="K499" s="792"/>
      <c r="L499" s="792"/>
      <c r="M499" s="792"/>
      <c r="N499" s="792"/>
      <c r="O499" s="792"/>
      <c r="P499" s="792"/>
      <c r="Q499" s="792"/>
      <c r="R499" s="792"/>
      <c r="S499" s="792"/>
      <c r="T499" s="792"/>
      <c r="U499" s="792"/>
      <c r="V499" s="793"/>
      <c r="W499" s="793"/>
      <c r="X499" s="792"/>
      <c r="Y499" s="792"/>
      <c r="Z499" s="792"/>
      <c r="AA499" s="792"/>
    </row>
    <row r="500" spans="1:27" ht="15.75" customHeight="1">
      <c r="A500" s="792"/>
      <c r="B500" s="792"/>
      <c r="C500" s="792"/>
      <c r="D500" s="792"/>
      <c r="E500" s="792"/>
      <c r="F500" s="792"/>
      <c r="G500" s="792"/>
      <c r="H500" s="792"/>
      <c r="I500" s="792"/>
      <c r="J500" s="792"/>
      <c r="K500" s="792"/>
      <c r="L500" s="792"/>
      <c r="M500" s="792"/>
      <c r="N500" s="792"/>
      <c r="O500" s="792"/>
      <c r="P500" s="792"/>
      <c r="Q500" s="792"/>
      <c r="R500" s="792"/>
      <c r="S500" s="792"/>
      <c r="T500" s="792"/>
      <c r="U500" s="792"/>
      <c r="V500" s="793"/>
      <c r="W500" s="793"/>
      <c r="X500" s="792"/>
      <c r="Y500" s="792"/>
      <c r="Z500" s="792"/>
      <c r="AA500" s="792"/>
    </row>
    <row r="501" spans="1:27" ht="15.75" customHeight="1">
      <c r="A501" s="792"/>
      <c r="B501" s="792"/>
      <c r="C501" s="792"/>
      <c r="D501" s="792"/>
      <c r="E501" s="792"/>
      <c r="F501" s="792"/>
      <c r="G501" s="792"/>
      <c r="H501" s="792"/>
      <c r="I501" s="792"/>
      <c r="J501" s="792"/>
      <c r="K501" s="792"/>
      <c r="L501" s="792"/>
      <c r="M501" s="792"/>
      <c r="N501" s="792"/>
      <c r="O501" s="792"/>
      <c r="P501" s="792"/>
      <c r="Q501" s="792"/>
      <c r="R501" s="792"/>
      <c r="S501" s="792"/>
      <c r="T501" s="792"/>
      <c r="U501" s="792"/>
      <c r="V501" s="793"/>
      <c r="W501" s="793"/>
      <c r="X501" s="792"/>
      <c r="Y501" s="792"/>
      <c r="Z501" s="792"/>
      <c r="AA501" s="792"/>
    </row>
    <row r="502" spans="1:27" ht="15.75" customHeight="1">
      <c r="A502" s="792"/>
      <c r="B502" s="792"/>
      <c r="C502" s="792"/>
      <c r="D502" s="792"/>
      <c r="E502" s="792"/>
      <c r="F502" s="792"/>
      <c r="G502" s="792"/>
      <c r="H502" s="792"/>
      <c r="I502" s="792"/>
      <c r="J502" s="792"/>
      <c r="K502" s="792"/>
      <c r="L502" s="792"/>
      <c r="M502" s="792"/>
      <c r="N502" s="792"/>
      <c r="O502" s="792"/>
      <c r="P502" s="792"/>
      <c r="Q502" s="792"/>
      <c r="R502" s="792"/>
      <c r="S502" s="792"/>
      <c r="T502" s="792"/>
      <c r="U502" s="792"/>
      <c r="V502" s="793"/>
      <c r="W502" s="793"/>
      <c r="X502" s="792"/>
      <c r="Y502" s="792"/>
      <c r="Z502" s="792"/>
      <c r="AA502" s="792"/>
    </row>
    <row r="503" spans="1:27" ht="15.75" customHeight="1">
      <c r="A503" s="792"/>
      <c r="B503" s="792"/>
      <c r="C503" s="792"/>
      <c r="D503" s="792"/>
      <c r="E503" s="792"/>
      <c r="F503" s="792"/>
      <c r="G503" s="792"/>
      <c r="H503" s="792"/>
      <c r="I503" s="792"/>
      <c r="J503" s="792"/>
      <c r="K503" s="792"/>
      <c r="L503" s="792"/>
      <c r="M503" s="792"/>
      <c r="N503" s="792"/>
      <c r="O503" s="792"/>
      <c r="P503" s="792"/>
      <c r="Q503" s="792"/>
      <c r="R503" s="792"/>
      <c r="S503" s="792"/>
      <c r="T503" s="792"/>
      <c r="U503" s="792"/>
      <c r="V503" s="793"/>
      <c r="W503" s="793"/>
      <c r="X503" s="792"/>
      <c r="Y503" s="792"/>
      <c r="Z503" s="792"/>
      <c r="AA503" s="792"/>
    </row>
    <row r="504" spans="1:27" ht="15.75" customHeight="1">
      <c r="A504" s="792"/>
      <c r="B504" s="792"/>
      <c r="C504" s="792"/>
      <c r="D504" s="792"/>
      <c r="E504" s="792"/>
      <c r="F504" s="792"/>
      <c r="G504" s="792"/>
      <c r="H504" s="792"/>
      <c r="I504" s="792"/>
      <c r="J504" s="792"/>
      <c r="K504" s="792"/>
      <c r="L504" s="792"/>
      <c r="M504" s="792"/>
      <c r="N504" s="792"/>
      <c r="O504" s="792"/>
      <c r="P504" s="792"/>
      <c r="Q504" s="792"/>
      <c r="R504" s="792"/>
      <c r="S504" s="792"/>
      <c r="T504" s="792"/>
      <c r="U504" s="792"/>
      <c r="V504" s="793"/>
      <c r="W504" s="793"/>
      <c r="X504" s="792"/>
      <c r="Y504" s="792"/>
      <c r="Z504" s="792"/>
      <c r="AA504" s="792"/>
    </row>
    <row r="505" spans="1:27" ht="15.75" customHeight="1">
      <c r="A505" s="792"/>
      <c r="B505" s="792"/>
      <c r="C505" s="792"/>
      <c r="D505" s="792"/>
      <c r="E505" s="792"/>
      <c r="F505" s="792"/>
      <c r="G505" s="792"/>
      <c r="H505" s="792"/>
      <c r="I505" s="792"/>
      <c r="J505" s="792"/>
      <c r="K505" s="792"/>
      <c r="L505" s="792"/>
      <c r="M505" s="792"/>
      <c r="N505" s="792"/>
      <c r="O505" s="792"/>
      <c r="P505" s="792"/>
      <c r="Q505" s="792"/>
      <c r="R505" s="792"/>
      <c r="S505" s="792"/>
      <c r="T505" s="792"/>
      <c r="U505" s="792"/>
      <c r="V505" s="793"/>
      <c r="W505" s="793"/>
      <c r="X505" s="792"/>
      <c r="Y505" s="792"/>
      <c r="Z505" s="792"/>
      <c r="AA505" s="792"/>
    </row>
    <row r="506" spans="1:27" ht="15.75" customHeight="1">
      <c r="A506" s="792"/>
      <c r="B506" s="792"/>
      <c r="C506" s="792"/>
      <c r="D506" s="792"/>
      <c r="E506" s="792"/>
      <c r="F506" s="792"/>
      <c r="G506" s="792"/>
      <c r="H506" s="792"/>
      <c r="I506" s="792"/>
      <c r="J506" s="792"/>
      <c r="K506" s="792"/>
      <c r="L506" s="792"/>
      <c r="M506" s="792"/>
      <c r="N506" s="792"/>
      <c r="O506" s="792"/>
      <c r="P506" s="792"/>
      <c r="Q506" s="792"/>
      <c r="R506" s="792"/>
      <c r="S506" s="792"/>
      <c r="T506" s="792"/>
      <c r="U506" s="792"/>
      <c r="V506" s="793"/>
      <c r="W506" s="793"/>
      <c r="X506" s="792"/>
      <c r="Y506" s="792"/>
      <c r="Z506" s="792"/>
      <c r="AA506" s="792"/>
    </row>
    <row r="507" spans="1:27" ht="15.75" customHeight="1">
      <c r="A507" s="792"/>
      <c r="B507" s="792"/>
      <c r="C507" s="792"/>
      <c r="D507" s="792"/>
      <c r="E507" s="792"/>
      <c r="F507" s="792"/>
      <c r="G507" s="792"/>
      <c r="H507" s="792"/>
      <c r="I507" s="792"/>
      <c r="J507" s="792"/>
      <c r="K507" s="792"/>
      <c r="L507" s="792"/>
      <c r="M507" s="792"/>
      <c r="N507" s="792"/>
      <c r="O507" s="792"/>
      <c r="P507" s="792"/>
      <c r="Q507" s="792"/>
      <c r="R507" s="792"/>
      <c r="S507" s="792"/>
      <c r="T507" s="792"/>
      <c r="U507" s="792"/>
      <c r="V507" s="793"/>
      <c r="W507" s="793"/>
      <c r="X507" s="792"/>
      <c r="Y507" s="792"/>
      <c r="Z507" s="792"/>
      <c r="AA507" s="792"/>
    </row>
    <row r="508" spans="1:27" ht="15.75" customHeight="1">
      <c r="A508" s="792"/>
      <c r="B508" s="792"/>
      <c r="C508" s="792"/>
      <c r="D508" s="792"/>
      <c r="E508" s="792"/>
      <c r="F508" s="792"/>
      <c r="G508" s="792"/>
      <c r="H508" s="792"/>
      <c r="I508" s="792"/>
      <c r="J508" s="792"/>
      <c r="K508" s="792"/>
      <c r="L508" s="792"/>
      <c r="M508" s="792"/>
      <c r="N508" s="792"/>
      <c r="O508" s="792"/>
      <c r="P508" s="792"/>
      <c r="Q508" s="792"/>
      <c r="R508" s="792"/>
      <c r="S508" s="792"/>
      <c r="T508" s="792"/>
      <c r="U508" s="792"/>
      <c r="V508" s="793"/>
      <c r="W508" s="793"/>
      <c r="X508" s="792"/>
      <c r="Y508" s="792"/>
      <c r="Z508" s="792"/>
      <c r="AA508" s="792"/>
    </row>
    <row r="509" spans="1:27" ht="15.75" customHeight="1">
      <c r="A509" s="792"/>
      <c r="B509" s="792"/>
      <c r="C509" s="792"/>
      <c r="D509" s="792"/>
      <c r="E509" s="792"/>
      <c r="F509" s="792"/>
      <c r="G509" s="792"/>
      <c r="H509" s="792"/>
      <c r="I509" s="792"/>
      <c r="J509" s="792"/>
      <c r="K509" s="792"/>
      <c r="L509" s="792"/>
      <c r="M509" s="792"/>
      <c r="N509" s="792"/>
      <c r="O509" s="792"/>
      <c r="P509" s="792"/>
      <c r="Q509" s="792"/>
      <c r="R509" s="792"/>
      <c r="S509" s="792"/>
      <c r="T509" s="792"/>
      <c r="U509" s="792"/>
      <c r="V509" s="793"/>
      <c r="W509" s="793"/>
      <c r="X509" s="792"/>
      <c r="Y509" s="792"/>
      <c r="Z509" s="792"/>
      <c r="AA509" s="792"/>
    </row>
    <row r="510" spans="1:27" ht="15.75" customHeight="1">
      <c r="A510" s="792"/>
      <c r="B510" s="792"/>
      <c r="C510" s="792"/>
      <c r="D510" s="792"/>
      <c r="E510" s="792"/>
      <c r="F510" s="792"/>
      <c r="G510" s="792"/>
      <c r="H510" s="792"/>
      <c r="I510" s="792"/>
      <c r="J510" s="792"/>
      <c r="K510" s="792"/>
      <c r="L510" s="792"/>
      <c r="M510" s="792"/>
      <c r="N510" s="792"/>
      <c r="O510" s="792"/>
      <c r="P510" s="792"/>
      <c r="Q510" s="792"/>
      <c r="R510" s="792"/>
      <c r="S510" s="792"/>
      <c r="T510" s="792"/>
      <c r="U510" s="792"/>
      <c r="V510" s="793"/>
      <c r="W510" s="793"/>
      <c r="X510" s="792"/>
      <c r="Y510" s="792"/>
      <c r="Z510" s="792"/>
      <c r="AA510" s="792"/>
    </row>
    <row r="511" spans="1:27" ht="15.75" customHeight="1">
      <c r="A511" s="792"/>
      <c r="B511" s="792"/>
      <c r="C511" s="792"/>
      <c r="D511" s="792"/>
      <c r="E511" s="792"/>
      <c r="F511" s="792"/>
      <c r="G511" s="792"/>
      <c r="H511" s="792"/>
      <c r="I511" s="792"/>
      <c r="J511" s="792"/>
      <c r="K511" s="792"/>
      <c r="L511" s="792"/>
      <c r="M511" s="792"/>
      <c r="N511" s="792"/>
      <c r="O511" s="792"/>
      <c r="P511" s="792"/>
      <c r="Q511" s="792"/>
      <c r="R511" s="792"/>
      <c r="S511" s="792"/>
      <c r="T511" s="792"/>
      <c r="U511" s="792"/>
      <c r="V511" s="793"/>
      <c r="W511" s="793"/>
      <c r="X511" s="792"/>
      <c r="Y511" s="792"/>
      <c r="Z511" s="792"/>
      <c r="AA511" s="792"/>
    </row>
    <row r="512" spans="1:27" ht="15.75" customHeight="1">
      <c r="A512" s="792"/>
      <c r="B512" s="792"/>
      <c r="C512" s="792"/>
      <c r="D512" s="792"/>
      <c r="E512" s="792"/>
      <c r="F512" s="792"/>
      <c r="G512" s="792"/>
      <c r="H512" s="792"/>
      <c r="I512" s="792"/>
      <c r="J512" s="792"/>
      <c r="K512" s="792"/>
      <c r="L512" s="792"/>
      <c r="M512" s="792"/>
      <c r="N512" s="792"/>
      <c r="O512" s="792"/>
      <c r="P512" s="792"/>
      <c r="Q512" s="792"/>
      <c r="R512" s="792"/>
      <c r="S512" s="792"/>
      <c r="T512" s="792"/>
      <c r="U512" s="792"/>
      <c r="V512" s="793"/>
      <c r="W512" s="793"/>
      <c r="X512" s="792"/>
      <c r="Y512" s="792"/>
      <c r="Z512" s="792"/>
      <c r="AA512" s="792"/>
    </row>
    <row r="513" spans="1:27" ht="15.75" customHeight="1">
      <c r="A513" s="792"/>
      <c r="B513" s="792"/>
      <c r="C513" s="792"/>
      <c r="D513" s="792"/>
      <c r="E513" s="792"/>
      <c r="F513" s="792"/>
      <c r="G513" s="792"/>
      <c r="H513" s="792"/>
      <c r="I513" s="792"/>
      <c r="J513" s="792"/>
      <c r="K513" s="792"/>
      <c r="L513" s="792"/>
      <c r="M513" s="792"/>
      <c r="N513" s="792"/>
      <c r="O513" s="792"/>
      <c r="P513" s="792"/>
      <c r="Q513" s="792"/>
      <c r="R513" s="792"/>
      <c r="S513" s="792"/>
      <c r="T513" s="792"/>
      <c r="U513" s="792"/>
      <c r="V513" s="793"/>
      <c r="W513" s="793"/>
      <c r="X513" s="792"/>
      <c r="Y513" s="792"/>
      <c r="Z513" s="792"/>
      <c r="AA513" s="792"/>
    </row>
    <row r="514" spans="1:27" ht="15.75" customHeight="1">
      <c r="A514" s="792"/>
      <c r="B514" s="792"/>
      <c r="C514" s="792"/>
      <c r="D514" s="792"/>
      <c r="E514" s="792"/>
      <c r="F514" s="792"/>
      <c r="G514" s="792"/>
      <c r="H514" s="792"/>
      <c r="I514" s="792"/>
      <c r="J514" s="792"/>
      <c r="K514" s="792"/>
      <c r="L514" s="792"/>
      <c r="M514" s="792"/>
      <c r="N514" s="792"/>
      <c r="O514" s="792"/>
      <c r="P514" s="792"/>
      <c r="Q514" s="792"/>
      <c r="R514" s="792"/>
      <c r="S514" s="792"/>
      <c r="T514" s="792"/>
      <c r="U514" s="792"/>
      <c r="V514" s="793"/>
      <c r="W514" s="793"/>
      <c r="X514" s="792"/>
      <c r="Y514" s="792"/>
      <c r="Z514" s="792"/>
      <c r="AA514" s="792"/>
    </row>
    <row r="515" spans="1:27" ht="15.75" customHeight="1">
      <c r="A515" s="792"/>
      <c r="B515" s="792"/>
      <c r="C515" s="792"/>
      <c r="D515" s="792"/>
      <c r="E515" s="792"/>
      <c r="F515" s="792"/>
      <c r="G515" s="792"/>
      <c r="H515" s="792"/>
      <c r="I515" s="792"/>
      <c r="J515" s="792"/>
      <c r="K515" s="792"/>
      <c r="L515" s="792"/>
      <c r="M515" s="792"/>
      <c r="N515" s="792"/>
      <c r="O515" s="792"/>
      <c r="P515" s="792"/>
      <c r="Q515" s="792"/>
      <c r="R515" s="792"/>
      <c r="S515" s="792"/>
      <c r="T515" s="792"/>
      <c r="U515" s="792"/>
      <c r="V515" s="793"/>
      <c r="W515" s="793"/>
      <c r="X515" s="792"/>
      <c r="Y515" s="792"/>
      <c r="Z515" s="792"/>
      <c r="AA515" s="792"/>
    </row>
    <row r="516" spans="1:27" ht="15.75" customHeight="1">
      <c r="A516" s="792"/>
      <c r="B516" s="792"/>
      <c r="C516" s="792"/>
      <c r="D516" s="792"/>
      <c r="E516" s="792"/>
      <c r="F516" s="792"/>
      <c r="G516" s="792"/>
      <c r="H516" s="792"/>
      <c r="I516" s="792"/>
      <c r="J516" s="792"/>
      <c r="K516" s="792"/>
      <c r="L516" s="792"/>
      <c r="M516" s="792"/>
      <c r="N516" s="792"/>
      <c r="O516" s="792"/>
      <c r="P516" s="792"/>
      <c r="Q516" s="792"/>
      <c r="R516" s="792"/>
      <c r="S516" s="792"/>
      <c r="T516" s="792"/>
      <c r="U516" s="792"/>
      <c r="V516" s="793"/>
      <c r="W516" s="793"/>
      <c r="X516" s="792"/>
      <c r="Y516" s="792"/>
      <c r="Z516" s="792"/>
      <c r="AA516" s="792"/>
    </row>
    <row r="517" spans="1:27" ht="15.75" customHeight="1">
      <c r="A517" s="792"/>
      <c r="B517" s="792"/>
      <c r="C517" s="792"/>
      <c r="D517" s="792"/>
      <c r="E517" s="792"/>
      <c r="F517" s="792"/>
      <c r="G517" s="792"/>
      <c r="H517" s="792"/>
      <c r="I517" s="792"/>
      <c r="J517" s="792"/>
      <c r="K517" s="792"/>
      <c r="L517" s="792"/>
      <c r="M517" s="792"/>
      <c r="N517" s="792"/>
      <c r="O517" s="792"/>
      <c r="P517" s="792"/>
      <c r="Q517" s="792"/>
      <c r="R517" s="792"/>
      <c r="S517" s="792"/>
      <c r="T517" s="792"/>
      <c r="U517" s="792"/>
      <c r="V517" s="793"/>
      <c r="W517" s="793"/>
      <c r="X517" s="792"/>
      <c r="Y517" s="792"/>
      <c r="Z517" s="792"/>
      <c r="AA517" s="792"/>
    </row>
    <row r="518" spans="1:27" ht="15.75" customHeight="1">
      <c r="A518" s="792"/>
      <c r="B518" s="792"/>
      <c r="C518" s="792"/>
      <c r="D518" s="792"/>
      <c r="E518" s="792"/>
      <c r="F518" s="792"/>
      <c r="G518" s="792"/>
      <c r="H518" s="792"/>
      <c r="I518" s="792"/>
      <c r="J518" s="792"/>
      <c r="K518" s="792"/>
      <c r="L518" s="792"/>
      <c r="M518" s="792"/>
      <c r="N518" s="792"/>
      <c r="O518" s="792"/>
      <c r="P518" s="792"/>
      <c r="Q518" s="792"/>
      <c r="R518" s="792"/>
      <c r="S518" s="792"/>
      <c r="T518" s="792"/>
      <c r="U518" s="792"/>
      <c r="V518" s="793"/>
      <c r="W518" s="793"/>
      <c r="X518" s="792"/>
      <c r="Y518" s="792"/>
      <c r="Z518" s="792"/>
      <c r="AA518" s="792"/>
    </row>
    <row r="519" spans="1:27" ht="15.75" customHeight="1">
      <c r="A519" s="792"/>
      <c r="B519" s="792"/>
      <c r="C519" s="792"/>
      <c r="D519" s="792"/>
      <c r="E519" s="792"/>
      <c r="F519" s="792"/>
      <c r="G519" s="792"/>
      <c r="H519" s="792"/>
      <c r="I519" s="792"/>
      <c r="J519" s="792"/>
      <c r="K519" s="792"/>
      <c r="L519" s="792"/>
      <c r="M519" s="792"/>
      <c r="N519" s="792"/>
      <c r="O519" s="792"/>
      <c r="P519" s="792"/>
      <c r="Q519" s="792"/>
      <c r="R519" s="792"/>
      <c r="S519" s="792"/>
      <c r="T519" s="792"/>
      <c r="U519" s="792"/>
      <c r="V519" s="793"/>
      <c r="W519" s="793"/>
      <c r="X519" s="792"/>
      <c r="Y519" s="792"/>
      <c r="Z519" s="792"/>
      <c r="AA519" s="792"/>
    </row>
    <row r="520" spans="1:27" ht="15.75" customHeight="1">
      <c r="A520" s="792"/>
      <c r="B520" s="792"/>
      <c r="C520" s="792"/>
      <c r="D520" s="792"/>
      <c r="E520" s="792"/>
      <c r="F520" s="792"/>
      <c r="G520" s="792"/>
      <c r="H520" s="792"/>
      <c r="I520" s="792"/>
      <c r="J520" s="792"/>
      <c r="K520" s="792"/>
      <c r="L520" s="792"/>
      <c r="M520" s="792"/>
      <c r="N520" s="792"/>
      <c r="O520" s="792"/>
      <c r="P520" s="792"/>
      <c r="Q520" s="792"/>
      <c r="R520" s="792"/>
      <c r="S520" s="792"/>
      <c r="T520" s="792"/>
      <c r="U520" s="792"/>
      <c r="V520" s="793"/>
      <c r="W520" s="793"/>
      <c r="X520" s="792"/>
      <c r="Y520" s="792"/>
      <c r="Z520" s="792"/>
      <c r="AA520" s="792"/>
    </row>
    <row r="521" spans="1:27" ht="15.75" customHeight="1">
      <c r="A521" s="792"/>
      <c r="B521" s="792"/>
      <c r="C521" s="792"/>
      <c r="D521" s="792"/>
      <c r="E521" s="792"/>
      <c r="F521" s="792"/>
      <c r="G521" s="792"/>
      <c r="H521" s="792"/>
      <c r="I521" s="792"/>
      <c r="J521" s="792"/>
      <c r="K521" s="792"/>
      <c r="L521" s="792"/>
      <c r="M521" s="792"/>
      <c r="N521" s="792"/>
      <c r="O521" s="792"/>
      <c r="P521" s="792"/>
      <c r="Q521" s="792"/>
      <c r="R521" s="792"/>
      <c r="S521" s="792"/>
      <c r="T521" s="792"/>
      <c r="U521" s="792"/>
      <c r="V521" s="793"/>
      <c r="W521" s="793"/>
      <c r="X521" s="792"/>
      <c r="Y521" s="792"/>
      <c r="Z521" s="792"/>
      <c r="AA521" s="792"/>
    </row>
    <row r="522" spans="1:27" ht="15.75" customHeight="1">
      <c r="A522" s="792"/>
      <c r="B522" s="792"/>
      <c r="C522" s="792"/>
      <c r="D522" s="792"/>
      <c r="E522" s="792"/>
      <c r="F522" s="792"/>
      <c r="G522" s="792"/>
      <c r="H522" s="792"/>
      <c r="I522" s="792"/>
      <c r="J522" s="792"/>
      <c r="K522" s="792"/>
      <c r="L522" s="792"/>
      <c r="M522" s="792"/>
      <c r="N522" s="792"/>
      <c r="O522" s="792"/>
      <c r="P522" s="792"/>
      <c r="Q522" s="792"/>
      <c r="R522" s="792"/>
      <c r="S522" s="792"/>
      <c r="T522" s="792"/>
      <c r="U522" s="792"/>
      <c r="V522" s="793"/>
      <c r="W522" s="793"/>
      <c r="X522" s="792"/>
      <c r="Y522" s="792"/>
      <c r="Z522" s="792"/>
      <c r="AA522" s="792"/>
    </row>
    <row r="523" spans="1:27" ht="15.75" customHeight="1">
      <c r="A523" s="792"/>
      <c r="B523" s="792"/>
      <c r="C523" s="792"/>
      <c r="D523" s="792"/>
      <c r="E523" s="792"/>
      <c r="F523" s="792"/>
      <c r="G523" s="792"/>
      <c r="H523" s="792"/>
      <c r="I523" s="792"/>
      <c r="J523" s="792"/>
      <c r="K523" s="792"/>
      <c r="L523" s="792"/>
      <c r="M523" s="792"/>
      <c r="N523" s="792"/>
      <c r="O523" s="792"/>
      <c r="P523" s="792"/>
      <c r="Q523" s="792"/>
      <c r="R523" s="792"/>
      <c r="S523" s="792"/>
      <c r="T523" s="792"/>
      <c r="U523" s="792"/>
      <c r="V523" s="793"/>
      <c r="W523" s="793"/>
      <c r="X523" s="792"/>
      <c r="Y523" s="792"/>
      <c r="Z523" s="792"/>
      <c r="AA523" s="792"/>
    </row>
    <row r="524" spans="1:27" ht="15.75" customHeight="1">
      <c r="A524" s="792"/>
      <c r="B524" s="792"/>
      <c r="C524" s="792"/>
      <c r="D524" s="792"/>
      <c r="E524" s="792"/>
      <c r="F524" s="792"/>
      <c r="G524" s="792"/>
      <c r="H524" s="792"/>
      <c r="I524" s="792"/>
      <c r="J524" s="792"/>
      <c r="K524" s="792"/>
      <c r="L524" s="792"/>
      <c r="M524" s="792"/>
      <c r="N524" s="792"/>
      <c r="O524" s="792"/>
      <c r="P524" s="792"/>
      <c r="Q524" s="792"/>
      <c r="R524" s="792"/>
      <c r="S524" s="792"/>
      <c r="T524" s="792"/>
      <c r="U524" s="792"/>
      <c r="V524" s="793"/>
      <c r="W524" s="793"/>
      <c r="X524" s="792"/>
      <c r="Y524" s="792"/>
      <c r="Z524" s="792"/>
      <c r="AA524" s="792"/>
    </row>
    <row r="525" spans="1:27" ht="15.75" customHeight="1">
      <c r="A525" s="792"/>
      <c r="B525" s="792"/>
      <c r="C525" s="792"/>
      <c r="D525" s="792"/>
      <c r="E525" s="792"/>
      <c r="F525" s="792"/>
      <c r="G525" s="792"/>
      <c r="H525" s="792"/>
      <c r="I525" s="792"/>
      <c r="J525" s="792"/>
      <c r="K525" s="792"/>
      <c r="L525" s="792"/>
      <c r="M525" s="792"/>
      <c r="N525" s="792"/>
      <c r="O525" s="792"/>
      <c r="P525" s="792"/>
      <c r="Q525" s="792"/>
      <c r="R525" s="792"/>
      <c r="S525" s="792"/>
      <c r="T525" s="792"/>
      <c r="U525" s="792"/>
      <c r="V525" s="793"/>
      <c r="W525" s="793"/>
      <c r="X525" s="792"/>
      <c r="Y525" s="792"/>
      <c r="Z525" s="792"/>
      <c r="AA525" s="792"/>
    </row>
    <row r="526" spans="1:27" ht="15.75" customHeight="1">
      <c r="A526" s="792"/>
      <c r="B526" s="792"/>
      <c r="C526" s="792"/>
      <c r="D526" s="792"/>
      <c r="E526" s="792"/>
      <c r="F526" s="792"/>
      <c r="G526" s="792"/>
      <c r="H526" s="792"/>
      <c r="I526" s="792"/>
      <c r="J526" s="792"/>
      <c r="K526" s="792"/>
      <c r="L526" s="792"/>
      <c r="M526" s="792"/>
      <c r="N526" s="792"/>
      <c r="O526" s="792"/>
      <c r="P526" s="792"/>
      <c r="Q526" s="792"/>
      <c r="R526" s="792"/>
      <c r="S526" s="792"/>
      <c r="T526" s="792"/>
      <c r="U526" s="792"/>
      <c r="V526" s="793"/>
      <c r="W526" s="793"/>
      <c r="X526" s="792"/>
      <c r="Y526" s="792"/>
      <c r="Z526" s="792"/>
      <c r="AA526" s="792"/>
    </row>
    <row r="527" spans="1:27" ht="15.75" customHeight="1">
      <c r="A527" s="792"/>
      <c r="B527" s="792"/>
      <c r="C527" s="792"/>
      <c r="D527" s="792"/>
      <c r="E527" s="792"/>
      <c r="F527" s="792"/>
      <c r="G527" s="792"/>
      <c r="H527" s="792"/>
      <c r="I527" s="792"/>
      <c r="J527" s="792"/>
      <c r="K527" s="792"/>
      <c r="L527" s="792"/>
      <c r="M527" s="792"/>
      <c r="N527" s="792"/>
      <c r="O527" s="792"/>
      <c r="P527" s="792"/>
      <c r="Q527" s="792"/>
      <c r="R527" s="792"/>
      <c r="S527" s="792"/>
      <c r="T527" s="792"/>
      <c r="U527" s="792"/>
      <c r="V527" s="793"/>
      <c r="W527" s="793"/>
      <c r="X527" s="792"/>
      <c r="Y527" s="792"/>
      <c r="Z527" s="792"/>
      <c r="AA527" s="792"/>
    </row>
    <row r="528" spans="1:27" ht="15.75" customHeight="1">
      <c r="A528" s="792"/>
      <c r="B528" s="792"/>
      <c r="C528" s="792"/>
      <c r="D528" s="792"/>
      <c r="E528" s="792"/>
      <c r="F528" s="792"/>
      <c r="G528" s="792"/>
      <c r="H528" s="792"/>
      <c r="I528" s="792"/>
      <c r="J528" s="792"/>
      <c r="K528" s="792"/>
      <c r="L528" s="792"/>
      <c r="M528" s="792"/>
      <c r="N528" s="792"/>
      <c r="O528" s="792"/>
      <c r="P528" s="792"/>
      <c r="Q528" s="792"/>
      <c r="R528" s="792"/>
      <c r="S528" s="792"/>
      <c r="T528" s="792"/>
      <c r="U528" s="792"/>
      <c r="V528" s="793"/>
      <c r="W528" s="793"/>
      <c r="X528" s="792"/>
      <c r="Y528" s="792"/>
      <c r="Z528" s="792"/>
      <c r="AA528" s="792"/>
    </row>
    <row r="529" spans="1:27" ht="15.75" customHeight="1">
      <c r="A529" s="792"/>
      <c r="B529" s="792"/>
      <c r="C529" s="792"/>
      <c r="D529" s="792"/>
      <c r="E529" s="792"/>
      <c r="F529" s="792"/>
      <c r="G529" s="792"/>
      <c r="H529" s="792"/>
      <c r="I529" s="792"/>
      <c r="J529" s="792"/>
      <c r="K529" s="792"/>
      <c r="L529" s="792"/>
      <c r="M529" s="792"/>
      <c r="N529" s="792"/>
      <c r="O529" s="792"/>
      <c r="P529" s="792"/>
      <c r="Q529" s="792"/>
      <c r="R529" s="792"/>
      <c r="S529" s="792"/>
      <c r="T529" s="792"/>
      <c r="U529" s="792"/>
      <c r="V529" s="793"/>
      <c r="W529" s="793"/>
      <c r="X529" s="792"/>
      <c r="Y529" s="792"/>
      <c r="Z529" s="792"/>
      <c r="AA529" s="792"/>
    </row>
    <row r="530" spans="1:27" ht="15.75" customHeight="1">
      <c r="A530" s="792"/>
      <c r="B530" s="792"/>
      <c r="C530" s="792"/>
      <c r="D530" s="792"/>
      <c r="E530" s="792"/>
      <c r="F530" s="792"/>
      <c r="G530" s="792"/>
      <c r="H530" s="792"/>
      <c r="I530" s="792"/>
      <c r="J530" s="792"/>
      <c r="K530" s="792"/>
      <c r="L530" s="792"/>
      <c r="M530" s="792"/>
      <c r="N530" s="792"/>
      <c r="O530" s="792"/>
      <c r="P530" s="792"/>
      <c r="Q530" s="792"/>
      <c r="R530" s="792"/>
      <c r="S530" s="792"/>
      <c r="T530" s="792"/>
      <c r="U530" s="792"/>
      <c r="V530" s="793"/>
      <c r="W530" s="793"/>
      <c r="X530" s="792"/>
      <c r="Y530" s="792"/>
      <c r="Z530" s="792"/>
      <c r="AA530" s="792"/>
    </row>
    <row r="531" spans="1:27" ht="15.75" customHeight="1">
      <c r="A531" s="792"/>
      <c r="B531" s="792"/>
      <c r="C531" s="792"/>
      <c r="D531" s="792"/>
      <c r="E531" s="792"/>
      <c r="F531" s="792"/>
      <c r="G531" s="792"/>
      <c r="H531" s="792"/>
      <c r="I531" s="792"/>
      <c r="J531" s="792"/>
      <c r="K531" s="792"/>
      <c r="L531" s="792"/>
      <c r="M531" s="792"/>
      <c r="N531" s="792"/>
      <c r="O531" s="792"/>
      <c r="P531" s="792"/>
      <c r="Q531" s="792"/>
      <c r="R531" s="792"/>
      <c r="S531" s="792"/>
      <c r="T531" s="792"/>
      <c r="U531" s="792"/>
      <c r="V531" s="793"/>
      <c r="W531" s="793"/>
      <c r="X531" s="792"/>
      <c r="Y531" s="792"/>
      <c r="Z531" s="792"/>
      <c r="AA531" s="792"/>
    </row>
    <row r="532" spans="1:27" ht="15.75" customHeight="1">
      <c r="A532" s="792"/>
      <c r="B532" s="792"/>
      <c r="C532" s="792"/>
      <c r="D532" s="792"/>
      <c r="E532" s="792"/>
      <c r="F532" s="792"/>
      <c r="G532" s="792"/>
      <c r="H532" s="792"/>
      <c r="I532" s="792"/>
      <c r="J532" s="792"/>
      <c r="K532" s="792"/>
      <c r="L532" s="792"/>
      <c r="M532" s="792"/>
      <c r="N532" s="792"/>
      <c r="O532" s="792"/>
      <c r="P532" s="792"/>
      <c r="Q532" s="792"/>
      <c r="R532" s="792"/>
      <c r="S532" s="792"/>
      <c r="T532" s="792"/>
      <c r="U532" s="792"/>
      <c r="V532" s="793"/>
      <c r="W532" s="793"/>
      <c r="X532" s="792"/>
      <c r="Y532" s="792"/>
      <c r="Z532" s="792"/>
      <c r="AA532" s="792"/>
    </row>
    <row r="533" spans="1:27" ht="15.75" customHeight="1">
      <c r="A533" s="792"/>
      <c r="B533" s="792"/>
      <c r="C533" s="792"/>
      <c r="D533" s="792"/>
      <c r="E533" s="792"/>
      <c r="F533" s="792"/>
      <c r="G533" s="792"/>
      <c r="H533" s="792"/>
      <c r="I533" s="792"/>
      <c r="J533" s="792"/>
      <c r="K533" s="792"/>
      <c r="L533" s="792"/>
      <c r="M533" s="792"/>
      <c r="N533" s="792"/>
      <c r="O533" s="792"/>
      <c r="P533" s="792"/>
      <c r="Q533" s="792"/>
      <c r="R533" s="792"/>
      <c r="S533" s="792"/>
      <c r="T533" s="792"/>
      <c r="U533" s="792"/>
      <c r="V533" s="793"/>
      <c r="W533" s="793"/>
      <c r="X533" s="792"/>
      <c r="Y533" s="792"/>
      <c r="Z533" s="792"/>
      <c r="AA533" s="792"/>
    </row>
    <row r="534" spans="1:27" ht="15.75" customHeight="1">
      <c r="A534" s="792"/>
      <c r="B534" s="792"/>
      <c r="C534" s="792"/>
      <c r="D534" s="792"/>
      <c r="E534" s="792"/>
      <c r="F534" s="792"/>
      <c r="G534" s="792"/>
      <c r="H534" s="792"/>
      <c r="I534" s="792"/>
      <c r="J534" s="792"/>
      <c r="K534" s="792"/>
      <c r="L534" s="792"/>
      <c r="M534" s="792"/>
      <c r="N534" s="792"/>
      <c r="O534" s="792"/>
      <c r="P534" s="792"/>
      <c r="Q534" s="792"/>
      <c r="R534" s="792"/>
      <c r="S534" s="792"/>
      <c r="T534" s="792"/>
      <c r="U534" s="792"/>
      <c r="V534" s="793"/>
      <c r="W534" s="793"/>
      <c r="X534" s="792"/>
      <c r="Y534" s="792"/>
      <c r="Z534" s="792"/>
      <c r="AA534" s="792"/>
    </row>
    <row r="535" spans="1:27" ht="15.75" customHeight="1">
      <c r="A535" s="792"/>
      <c r="B535" s="792"/>
      <c r="C535" s="792"/>
      <c r="D535" s="792"/>
      <c r="E535" s="792"/>
      <c r="F535" s="792"/>
      <c r="G535" s="792"/>
      <c r="H535" s="792"/>
      <c r="I535" s="792"/>
      <c r="J535" s="792"/>
      <c r="K535" s="792"/>
      <c r="L535" s="792"/>
      <c r="M535" s="792"/>
      <c r="N535" s="792"/>
      <c r="O535" s="792"/>
      <c r="P535" s="792"/>
      <c r="Q535" s="792"/>
      <c r="R535" s="792"/>
      <c r="S535" s="792"/>
      <c r="T535" s="792"/>
      <c r="U535" s="792"/>
      <c r="V535" s="793"/>
      <c r="W535" s="793"/>
      <c r="X535" s="792"/>
      <c r="Y535" s="792"/>
      <c r="Z535" s="792"/>
      <c r="AA535" s="792"/>
    </row>
    <row r="536" spans="1:27" ht="15.75" customHeight="1">
      <c r="A536" s="792"/>
      <c r="B536" s="792"/>
      <c r="C536" s="792"/>
      <c r="D536" s="792"/>
      <c r="E536" s="792"/>
      <c r="F536" s="792"/>
      <c r="G536" s="792"/>
      <c r="H536" s="792"/>
      <c r="I536" s="792"/>
      <c r="J536" s="792"/>
      <c r="K536" s="792"/>
      <c r="L536" s="792"/>
      <c r="M536" s="792"/>
      <c r="N536" s="792"/>
      <c r="O536" s="792"/>
      <c r="P536" s="792"/>
      <c r="Q536" s="792"/>
      <c r="R536" s="792"/>
      <c r="S536" s="792"/>
      <c r="T536" s="792"/>
      <c r="U536" s="792"/>
      <c r="V536" s="793"/>
      <c r="W536" s="793"/>
      <c r="X536" s="792"/>
      <c r="Y536" s="792"/>
      <c r="Z536" s="792"/>
      <c r="AA536" s="792"/>
    </row>
    <row r="537" spans="1:27" ht="15.75" customHeight="1">
      <c r="A537" s="792"/>
      <c r="B537" s="792"/>
      <c r="C537" s="792"/>
      <c r="D537" s="792"/>
      <c r="E537" s="792"/>
      <c r="F537" s="792"/>
      <c r="G537" s="792"/>
      <c r="H537" s="792"/>
      <c r="I537" s="792"/>
      <c r="J537" s="792"/>
      <c r="K537" s="792"/>
      <c r="L537" s="792"/>
      <c r="M537" s="792"/>
      <c r="N537" s="792"/>
      <c r="O537" s="792"/>
      <c r="P537" s="792"/>
      <c r="Q537" s="792"/>
      <c r="R537" s="792"/>
      <c r="S537" s="792"/>
      <c r="T537" s="792"/>
      <c r="U537" s="792"/>
      <c r="V537" s="793"/>
      <c r="W537" s="793"/>
      <c r="X537" s="792"/>
      <c r="Y537" s="792"/>
      <c r="Z537" s="792"/>
      <c r="AA537" s="792"/>
    </row>
    <row r="538" spans="1:27" ht="15.75" customHeight="1">
      <c r="A538" s="792"/>
      <c r="B538" s="792"/>
      <c r="C538" s="792"/>
      <c r="D538" s="792"/>
      <c r="E538" s="792"/>
      <c r="F538" s="792"/>
      <c r="G538" s="792"/>
      <c r="H538" s="792"/>
      <c r="I538" s="792"/>
      <c r="J538" s="792"/>
      <c r="K538" s="792"/>
      <c r="L538" s="792"/>
      <c r="M538" s="792"/>
      <c r="N538" s="792"/>
      <c r="O538" s="792"/>
      <c r="P538" s="792"/>
      <c r="Q538" s="792"/>
      <c r="R538" s="792"/>
      <c r="S538" s="792"/>
      <c r="T538" s="792"/>
      <c r="U538" s="792"/>
      <c r="V538" s="793"/>
      <c r="W538" s="793"/>
      <c r="X538" s="792"/>
      <c r="Y538" s="792"/>
      <c r="Z538" s="792"/>
      <c r="AA538" s="792"/>
    </row>
    <row r="539" spans="1:27" ht="15.75" customHeight="1">
      <c r="A539" s="792"/>
      <c r="B539" s="792"/>
      <c r="C539" s="792"/>
      <c r="D539" s="792"/>
      <c r="E539" s="792"/>
      <c r="F539" s="792"/>
      <c r="G539" s="792"/>
      <c r="H539" s="792"/>
      <c r="I539" s="792"/>
      <c r="J539" s="792"/>
      <c r="K539" s="792"/>
      <c r="L539" s="792"/>
      <c r="M539" s="792"/>
      <c r="N539" s="792"/>
      <c r="O539" s="792"/>
      <c r="P539" s="792"/>
      <c r="Q539" s="792"/>
      <c r="R539" s="792"/>
      <c r="S539" s="792"/>
      <c r="T539" s="792"/>
      <c r="U539" s="792"/>
      <c r="V539" s="793"/>
      <c r="W539" s="793"/>
      <c r="X539" s="792"/>
      <c r="Y539" s="792"/>
      <c r="Z539" s="792"/>
      <c r="AA539" s="792"/>
    </row>
    <row r="540" spans="1:27" ht="15.75" customHeight="1">
      <c r="A540" s="792"/>
      <c r="B540" s="792"/>
      <c r="C540" s="792"/>
      <c r="D540" s="792"/>
      <c r="E540" s="792"/>
      <c r="F540" s="792"/>
      <c r="G540" s="792"/>
      <c r="H540" s="792"/>
      <c r="I540" s="792"/>
      <c r="J540" s="792"/>
      <c r="K540" s="792"/>
      <c r="L540" s="792"/>
      <c r="M540" s="792"/>
      <c r="N540" s="792"/>
      <c r="O540" s="792"/>
      <c r="P540" s="792"/>
      <c r="Q540" s="792"/>
      <c r="R540" s="792"/>
      <c r="S540" s="792"/>
      <c r="T540" s="792"/>
      <c r="U540" s="792"/>
      <c r="V540" s="793"/>
      <c r="W540" s="793"/>
      <c r="X540" s="792"/>
      <c r="Y540" s="792"/>
      <c r="Z540" s="792"/>
      <c r="AA540" s="792"/>
    </row>
    <row r="541" spans="1:27" ht="15.75" customHeight="1">
      <c r="A541" s="792"/>
      <c r="B541" s="792"/>
      <c r="C541" s="792"/>
      <c r="D541" s="792"/>
      <c r="E541" s="792"/>
      <c r="F541" s="792"/>
      <c r="G541" s="792"/>
      <c r="H541" s="792"/>
      <c r="I541" s="792"/>
      <c r="J541" s="792"/>
      <c r="K541" s="792"/>
      <c r="L541" s="792"/>
      <c r="M541" s="792"/>
      <c r="N541" s="792"/>
      <c r="O541" s="792"/>
      <c r="P541" s="792"/>
      <c r="Q541" s="792"/>
      <c r="R541" s="792"/>
      <c r="S541" s="792"/>
      <c r="T541" s="792"/>
      <c r="U541" s="792"/>
      <c r="V541" s="793"/>
      <c r="W541" s="793"/>
      <c r="X541" s="792"/>
      <c r="Y541" s="792"/>
      <c r="Z541" s="792"/>
      <c r="AA541" s="792"/>
    </row>
    <row r="542" spans="1:27" ht="15.75" customHeight="1">
      <c r="A542" s="792"/>
      <c r="B542" s="792"/>
      <c r="C542" s="792"/>
      <c r="D542" s="792"/>
      <c r="E542" s="792"/>
      <c r="F542" s="792"/>
      <c r="G542" s="792"/>
      <c r="H542" s="792"/>
      <c r="I542" s="792"/>
      <c r="J542" s="792"/>
      <c r="K542" s="792"/>
      <c r="L542" s="792"/>
      <c r="M542" s="792"/>
      <c r="N542" s="792"/>
      <c r="O542" s="792"/>
      <c r="P542" s="792"/>
      <c r="Q542" s="792"/>
      <c r="R542" s="792"/>
      <c r="S542" s="792"/>
      <c r="T542" s="792"/>
      <c r="U542" s="792"/>
      <c r="V542" s="793"/>
      <c r="W542" s="793"/>
      <c r="X542" s="792"/>
      <c r="Y542" s="792"/>
      <c r="Z542" s="792"/>
      <c r="AA542" s="792"/>
    </row>
    <row r="543" spans="1:27" ht="15.75" customHeight="1">
      <c r="A543" s="792"/>
      <c r="B543" s="792"/>
      <c r="C543" s="792"/>
      <c r="D543" s="792"/>
      <c r="E543" s="792"/>
      <c r="F543" s="792"/>
      <c r="G543" s="792"/>
      <c r="H543" s="792"/>
      <c r="I543" s="792"/>
      <c r="J543" s="792"/>
      <c r="K543" s="792"/>
      <c r="L543" s="792"/>
      <c r="M543" s="792"/>
      <c r="N543" s="792"/>
      <c r="O543" s="792"/>
      <c r="P543" s="792"/>
      <c r="Q543" s="792"/>
      <c r="R543" s="792"/>
      <c r="S543" s="792"/>
      <c r="T543" s="792"/>
      <c r="U543" s="792"/>
      <c r="V543" s="793"/>
      <c r="W543" s="793"/>
      <c r="X543" s="792"/>
      <c r="Y543" s="792"/>
      <c r="Z543" s="792"/>
      <c r="AA543" s="792"/>
    </row>
    <row r="544" spans="1:27" ht="15.75" customHeight="1">
      <c r="A544" s="792"/>
      <c r="B544" s="792"/>
      <c r="C544" s="792"/>
      <c r="D544" s="792"/>
      <c r="E544" s="792"/>
      <c r="F544" s="792"/>
      <c r="G544" s="792"/>
      <c r="H544" s="792"/>
      <c r="I544" s="792"/>
      <c r="J544" s="792"/>
      <c r="K544" s="792"/>
      <c r="L544" s="792"/>
      <c r="M544" s="792"/>
      <c r="N544" s="792"/>
      <c r="O544" s="792"/>
      <c r="P544" s="792"/>
      <c r="Q544" s="792"/>
      <c r="R544" s="792"/>
      <c r="S544" s="792"/>
      <c r="T544" s="792"/>
      <c r="U544" s="792"/>
      <c r="V544" s="793"/>
      <c r="W544" s="793"/>
      <c r="X544" s="792"/>
      <c r="Y544" s="792"/>
      <c r="Z544" s="792"/>
      <c r="AA544" s="792"/>
    </row>
    <row r="545" spans="1:27" ht="15.75" customHeight="1">
      <c r="A545" s="792"/>
      <c r="B545" s="792"/>
      <c r="C545" s="792"/>
      <c r="D545" s="792"/>
      <c r="E545" s="792"/>
      <c r="F545" s="792"/>
      <c r="G545" s="792"/>
      <c r="H545" s="792"/>
      <c r="I545" s="792"/>
      <c r="J545" s="792"/>
      <c r="K545" s="792"/>
      <c r="L545" s="792"/>
      <c r="M545" s="792"/>
      <c r="N545" s="792"/>
      <c r="O545" s="792"/>
      <c r="P545" s="792"/>
      <c r="Q545" s="792"/>
      <c r="R545" s="792"/>
      <c r="S545" s="792"/>
      <c r="T545" s="792"/>
      <c r="U545" s="792"/>
      <c r="V545" s="793"/>
      <c r="W545" s="793"/>
      <c r="X545" s="792"/>
      <c r="Y545" s="792"/>
      <c r="Z545" s="792"/>
      <c r="AA545" s="792"/>
    </row>
    <row r="546" spans="1:27" ht="15.75" customHeight="1">
      <c r="A546" s="792"/>
      <c r="B546" s="792"/>
      <c r="C546" s="792"/>
      <c r="D546" s="792"/>
      <c r="E546" s="792"/>
      <c r="F546" s="792"/>
      <c r="G546" s="792"/>
      <c r="H546" s="792"/>
      <c r="I546" s="792"/>
      <c r="J546" s="792"/>
      <c r="K546" s="792"/>
      <c r="L546" s="792"/>
      <c r="M546" s="792"/>
      <c r="N546" s="792"/>
      <c r="O546" s="792"/>
      <c r="P546" s="792"/>
      <c r="Q546" s="792"/>
      <c r="R546" s="792"/>
      <c r="S546" s="792"/>
      <c r="T546" s="792"/>
      <c r="U546" s="792"/>
      <c r="V546" s="793"/>
      <c r="W546" s="793"/>
      <c r="X546" s="792"/>
      <c r="Y546" s="792"/>
      <c r="Z546" s="792"/>
      <c r="AA546" s="792"/>
    </row>
    <row r="547" spans="1:27" ht="15.75" customHeight="1">
      <c r="A547" s="792"/>
      <c r="B547" s="792"/>
      <c r="C547" s="792"/>
      <c r="D547" s="792"/>
      <c r="E547" s="792"/>
      <c r="F547" s="792"/>
      <c r="G547" s="792"/>
      <c r="H547" s="792"/>
      <c r="I547" s="792"/>
      <c r="J547" s="792"/>
      <c r="K547" s="792"/>
      <c r="L547" s="792"/>
      <c r="M547" s="792"/>
      <c r="N547" s="792"/>
      <c r="O547" s="792"/>
      <c r="P547" s="792"/>
      <c r="Q547" s="792"/>
      <c r="R547" s="792"/>
      <c r="S547" s="792"/>
      <c r="T547" s="792"/>
      <c r="U547" s="792"/>
      <c r="V547" s="793"/>
      <c r="W547" s="793"/>
      <c r="X547" s="792"/>
      <c r="Y547" s="792"/>
      <c r="Z547" s="792"/>
      <c r="AA547" s="792"/>
    </row>
    <row r="548" spans="1:27" ht="15.75" customHeight="1">
      <c r="A548" s="792"/>
      <c r="B548" s="792"/>
      <c r="C548" s="792"/>
      <c r="D548" s="792"/>
      <c r="E548" s="792"/>
      <c r="F548" s="792"/>
      <c r="G548" s="792"/>
      <c r="H548" s="792"/>
      <c r="I548" s="792"/>
      <c r="J548" s="792"/>
      <c r="K548" s="792"/>
      <c r="L548" s="792"/>
      <c r="M548" s="792"/>
      <c r="N548" s="792"/>
      <c r="O548" s="792"/>
      <c r="P548" s="792"/>
      <c r="Q548" s="792"/>
      <c r="R548" s="792"/>
      <c r="S548" s="792"/>
      <c r="T548" s="792"/>
      <c r="U548" s="792"/>
      <c r="V548" s="793"/>
      <c r="W548" s="793"/>
      <c r="X548" s="792"/>
      <c r="Y548" s="792"/>
      <c r="Z548" s="792"/>
      <c r="AA548" s="792"/>
    </row>
    <row r="549" spans="1:27" ht="15.75" customHeigh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3"/>
      <c r="W549" s="793"/>
      <c r="X549" s="792"/>
      <c r="Y549" s="792"/>
      <c r="Z549" s="792"/>
      <c r="AA549" s="792"/>
    </row>
    <row r="550" spans="1:27" ht="15.75" customHeight="1">
      <c r="A550" s="792"/>
      <c r="B550" s="792"/>
      <c r="C550" s="792"/>
      <c r="D550" s="792"/>
      <c r="E550" s="792"/>
      <c r="F550" s="792"/>
      <c r="G550" s="792"/>
      <c r="H550" s="792"/>
      <c r="I550" s="792"/>
      <c r="J550" s="792"/>
      <c r="K550" s="792"/>
      <c r="L550" s="792"/>
      <c r="M550" s="792"/>
      <c r="N550" s="792"/>
      <c r="O550" s="792"/>
      <c r="P550" s="792"/>
      <c r="Q550" s="792"/>
      <c r="R550" s="792"/>
      <c r="S550" s="792"/>
      <c r="T550" s="792"/>
      <c r="U550" s="792"/>
      <c r="V550" s="793"/>
      <c r="W550" s="793"/>
      <c r="X550" s="792"/>
      <c r="Y550" s="792"/>
      <c r="Z550" s="792"/>
      <c r="AA550" s="792"/>
    </row>
    <row r="551" spans="1:27" ht="15.75" customHeight="1">
      <c r="A551" s="792"/>
      <c r="B551" s="792"/>
      <c r="C551" s="792"/>
      <c r="D551" s="792"/>
      <c r="E551" s="792"/>
      <c r="F551" s="792"/>
      <c r="G551" s="792"/>
      <c r="H551" s="792"/>
      <c r="I551" s="792"/>
      <c r="J551" s="792"/>
      <c r="K551" s="792"/>
      <c r="L551" s="792"/>
      <c r="M551" s="792"/>
      <c r="N551" s="792"/>
      <c r="O551" s="792"/>
      <c r="P551" s="792"/>
      <c r="Q551" s="792"/>
      <c r="R551" s="792"/>
      <c r="S551" s="792"/>
      <c r="T551" s="792"/>
      <c r="U551" s="792"/>
      <c r="V551" s="793"/>
      <c r="W551" s="793"/>
      <c r="X551" s="792"/>
      <c r="Y551" s="792"/>
      <c r="Z551" s="792"/>
      <c r="AA551" s="792"/>
    </row>
    <row r="552" spans="1:27" ht="15.75" customHeight="1">
      <c r="A552" s="792"/>
      <c r="B552" s="792"/>
      <c r="C552" s="792"/>
      <c r="D552" s="792"/>
      <c r="E552" s="792"/>
      <c r="F552" s="792"/>
      <c r="G552" s="792"/>
      <c r="H552" s="792"/>
      <c r="I552" s="792"/>
      <c r="J552" s="792"/>
      <c r="K552" s="792"/>
      <c r="L552" s="792"/>
      <c r="M552" s="792"/>
      <c r="N552" s="792"/>
      <c r="O552" s="792"/>
      <c r="P552" s="792"/>
      <c r="Q552" s="792"/>
      <c r="R552" s="792"/>
      <c r="S552" s="792"/>
      <c r="T552" s="792"/>
      <c r="U552" s="792"/>
      <c r="V552" s="793"/>
      <c r="W552" s="793"/>
      <c r="X552" s="792"/>
      <c r="Y552" s="792"/>
      <c r="Z552" s="792"/>
      <c r="AA552" s="792"/>
    </row>
    <row r="553" spans="1:27" ht="15.75" customHeight="1">
      <c r="A553" s="792"/>
      <c r="B553" s="792"/>
      <c r="C553" s="792"/>
      <c r="D553" s="792"/>
      <c r="E553" s="792"/>
      <c r="F553" s="792"/>
      <c r="G553" s="792"/>
      <c r="H553" s="792"/>
      <c r="I553" s="792"/>
      <c r="J553" s="792"/>
      <c r="K553" s="792"/>
      <c r="L553" s="792"/>
      <c r="M553" s="792"/>
      <c r="N553" s="792"/>
      <c r="O553" s="792"/>
      <c r="P553" s="792"/>
      <c r="Q553" s="792"/>
      <c r="R553" s="792"/>
      <c r="S553" s="792"/>
      <c r="T553" s="792"/>
      <c r="U553" s="792"/>
      <c r="V553" s="793"/>
      <c r="W553" s="793"/>
      <c r="X553" s="792"/>
      <c r="Y553" s="792"/>
      <c r="Z553" s="792"/>
      <c r="AA553" s="792"/>
    </row>
    <row r="554" spans="1:27" ht="15.75" customHeight="1">
      <c r="A554" s="792"/>
      <c r="B554" s="792"/>
      <c r="C554" s="792"/>
      <c r="D554" s="792"/>
      <c r="E554" s="792"/>
      <c r="F554" s="792"/>
      <c r="G554" s="792"/>
      <c r="H554" s="792"/>
      <c r="I554" s="792"/>
      <c r="J554" s="792"/>
      <c r="K554" s="792"/>
      <c r="L554" s="792"/>
      <c r="M554" s="792"/>
      <c r="N554" s="792"/>
      <c r="O554" s="792"/>
      <c r="P554" s="792"/>
      <c r="Q554" s="792"/>
      <c r="R554" s="792"/>
      <c r="S554" s="792"/>
      <c r="T554" s="792"/>
      <c r="U554" s="792"/>
      <c r="V554" s="793"/>
      <c r="W554" s="793"/>
      <c r="X554" s="792"/>
      <c r="Y554" s="792"/>
      <c r="Z554" s="792"/>
      <c r="AA554" s="792"/>
    </row>
    <row r="555" spans="1:27" ht="15.75" customHeight="1">
      <c r="A555" s="792"/>
      <c r="B555" s="792"/>
      <c r="C555" s="792"/>
      <c r="D555" s="792"/>
      <c r="E555" s="792"/>
      <c r="F555" s="792"/>
      <c r="G555" s="792"/>
      <c r="H555" s="792"/>
      <c r="I555" s="792"/>
      <c r="J555" s="792"/>
      <c r="K555" s="792"/>
      <c r="L555" s="792"/>
      <c r="M555" s="792"/>
      <c r="N555" s="792"/>
      <c r="O555" s="792"/>
      <c r="P555" s="792"/>
      <c r="Q555" s="792"/>
      <c r="R555" s="792"/>
      <c r="S555" s="792"/>
      <c r="T555" s="792"/>
      <c r="U555" s="792"/>
      <c r="V555" s="793"/>
      <c r="W555" s="793"/>
      <c r="X555" s="792"/>
      <c r="Y555" s="792"/>
      <c r="Z555" s="792"/>
      <c r="AA555" s="792"/>
    </row>
    <row r="556" spans="1:27" ht="15.75" customHeight="1">
      <c r="A556" s="792"/>
      <c r="B556" s="792"/>
      <c r="C556" s="792"/>
      <c r="D556" s="792"/>
      <c r="E556" s="792"/>
      <c r="F556" s="792"/>
      <c r="G556" s="792"/>
      <c r="H556" s="792"/>
      <c r="I556" s="792"/>
      <c r="J556" s="792"/>
      <c r="K556" s="792"/>
      <c r="L556" s="792"/>
      <c r="M556" s="792"/>
      <c r="N556" s="792"/>
      <c r="O556" s="792"/>
      <c r="P556" s="792"/>
      <c r="Q556" s="792"/>
      <c r="R556" s="792"/>
      <c r="S556" s="792"/>
      <c r="T556" s="792"/>
      <c r="U556" s="792"/>
      <c r="V556" s="793"/>
      <c r="W556" s="793"/>
      <c r="X556" s="792"/>
      <c r="Y556" s="792"/>
      <c r="Z556" s="792"/>
      <c r="AA556" s="792"/>
    </row>
    <row r="557" spans="1:27" ht="15.75" customHeight="1">
      <c r="A557" s="792"/>
      <c r="B557" s="792"/>
      <c r="C557" s="792"/>
      <c r="D557" s="792"/>
      <c r="E557" s="792"/>
      <c r="F557" s="792"/>
      <c r="G557" s="792"/>
      <c r="H557" s="792"/>
      <c r="I557" s="792"/>
      <c r="J557" s="792"/>
      <c r="K557" s="792"/>
      <c r="L557" s="792"/>
      <c r="M557" s="792"/>
      <c r="N557" s="792"/>
      <c r="O557" s="792"/>
      <c r="P557" s="792"/>
      <c r="Q557" s="792"/>
      <c r="R557" s="792"/>
      <c r="S557" s="792"/>
      <c r="T557" s="792"/>
      <c r="U557" s="792"/>
      <c r="V557" s="793"/>
      <c r="W557" s="793"/>
      <c r="X557" s="792"/>
      <c r="Y557" s="792"/>
      <c r="Z557" s="792"/>
      <c r="AA557" s="792"/>
    </row>
    <row r="558" spans="1:27" ht="15.75" customHeight="1">
      <c r="A558" s="792"/>
      <c r="B558" s="792"/>
      <c r="C558" s="792"/>
      <c r="D558" s="792"/>
      <c r="E558" s="792"/>
      <c r="F558" s="792"/>
      <c r="G558" s="792"/>
      <c r="H558" s="792"/>
      <c r="I558" s="792"/>
      <c r="J558" s="792"/>
      <c r="K558" s="792"/>
      <c r="L558" s="792"/>
      <c r="M558" s="792"/>
      <c r="N558" s="792"/>
      <c r="O558" s="792"/>
      <c r="P558" s="792"/>
      <c r="Q558" s="792"/>
      <c r="R558" s="792"/>
      <c r="S558" s="792"/>
      <c r="T558" s="792"/>
      <c r="U558" s="792"/>
      <c r="V558" s="793"/>
      <c r="W558" s="793"/>
      <c r="X558" s="792"/>
      <c r="Y558" s="792"/>
      <c r="Z558" s="792"/>
      <c r="AA558" s="792"/>
    </row>
    <row r="559" spans="1:27" ht="15.75" customHeight="1">
      <c r="A559" s="792"/>
      <c r="B559" s="792"/>
      <c r="C559" s="792"/>
      <c r="D559" s="792"/>
      <c r="E559" s="792"/>
      <c r="F559" s="792"/>
      <c r="G559" s="792"/>
      <c r="H559" s="792"/>
      <c r="I559" s="792"/>
      <c r="J559" s="792"/>
      <c r="K559" s="792"/>
      <c r="L559" s="792"/>
      <c r="M559" s="792"/>
      <c r="N559" s="792"/>
      <c r="O559" s="792"/>
      <c r="P559" s="792"/>
      <c r="Q559" s="792"/>
      <c r="R559" s="792"/>
      <c r="S559" s="792"/>
      <c r="T559" s="792"/>
      <c r="U559" s="792"/>
      <c r="V559" s="793"/>
      <c r="W559" s="793"/>
      <c r="X559" s="792"/>
      <c r="Y559" s="792"/>
      <c r="Z559" s="792"/>
      <c r="AA559" s="792"/>
    </row>
    <row r="560" spans="1:27" ht="15.75" customHeight="1">
      <c r="A560" s="792"/>
      <c r="B560" s="792"/>
      <c r="C560" s="792"/>
      <c r="D560" s="792"/>
      <c r="E560" s="792"/>
      <c r="F560" s="792"/>
      <c r="G560" s="792"/>
      <c r="H560" s="792"/>
      <c r="I560" s="792"/>
      <c r="J560" s="792"/>
      <c r="K560" s="792"/>
      <c r="L560" s="792"/>
      <c r="M560" s="792"/>
      <c r="N560" s="792"/>
      <c r="O560" s="792"/>
      <c r="P560" s="792"/>
      <c r="Q560" s="792"/>
      <c r="R560" s="792"/>
      <c r="S560" s="792"/>
      <c r="T560" s="792"/>
      <c r="U560" s="792"/>
      <c r="V560" s="793"/>
      <c r="W560" s="793"/>
      <c r="X560" s="792"/>
      <c r="Y560" s="792"/>
      <c r="Z560" s="792"/>
      <c r="AA560" s="792"/>
    </row>
    <row r="561" spans="1:27" ht="15.75" customHeight="1">
      <c r="A561" s="792"/>
      <c r="B561" s="792"/>
      <c r="C561" s="792"/>
      <c r="D561" s="792"/>
      <c r="E561" s="792"/>
      <c r="F561" s="792"/>
      <c r="G561" s="792"/>
      <c r="H561" s="792"/>
      <c r="I561" s="792"/>
      <c r="J561" s="792"/>
      <c r="K561" s="792"/>
      <c r="L561" s="792"/>
      <c r="M561" s="792"/>
      <c r="N561" s="792"/>
      <c r="O561" s="792"/>
      <c r="P561" s="792"/>
      <c r="Q561" s="792"/>
      <c r="R561" s="792"/>
      <c r="S561" s="792"/>
      <c r="T561" s="792"/>
      <c r="U561" s="792"/>
      <c r="V561" s="793"/>
      <c r="W561" s="793"/>
      <c r="X561" s="792"/>
      <c r="Y561" s="792"/>
      <c r="Z561" s="792"/>
      <c r="AA561" s="792"/>
    </row>
    <row r="562" spans="1:27" ht="15.75" customHeight="1">
      <c r="A562" s="792"/>
      <c r="B562" s="792"/>
      <c r="C562" s="792"/>
      <c r="D562" s="792"/>
      <c r="E562" s="792"/>
      <c r="F562" s="792"/>
      <c r="G562" s="792"/>
      <c r="H562" s="792"/>
      <c r="I562" s="792"/>
      <c r="J562" s="792"/>
      <c r="K562" s="792"/>
      <c r="L562" s="792"/>
      <c r="M562" s="792"/>
      <c r="N562" s="792"/>
      <c r="O562" s="792"/>
      <c r="P562" s="792"/>
      <c r="Q562" s="792"/>
      <c r="R562" s="792"/>
      <c r="S562" s="792"/>
      <c r="T562" s="792"/>
      <c r="U562" s="792"/>
      <c r="V562" s="793"/>
      <c r="W562" s="793"/>
      <c r="X562" s="792"/>
      <c r="Y562" s="792"/>
      <c r="Z562" s="792"/>
      <c r="AA562" s="792"/>
    </row>
    <row r="563" spans="1:27" ht="15.75" customHeight="1">
      <c r="A563" s="792"/>
      <c r="B563" s="792"/>
      <c r="C563" s="792"/>
      <c r="D563" s="792"/>
      <c r="E563" s="792"/>
      <c r="F563" s="792"/>
      <c r="G563" s="792"/>
      <c r="H563" s="792"/>
      <c r="I563" s="792"/>
      <c r="J563" s="792"/>
      <c r="K563" s="792"/>
      <c r="L563" s="792"/>
      <c r="M563" s="792"/>
      <c r="N563" s="792"/>
      <c r="O563" s="792"/>
      <c r="P563" s="792"/>
      <c r="Q563" s="792"/>
      <c r="R563" s="792"/>
      <c r="S563" s="792"/>
      <c r="T563" s="792"/>
      <c r="U563" s="792"/>
      <c r="V563" s="793"/>
      <c r="W563" s="793"/>
      <c r="X563" s="792"/>
      <c r="Y563" s="792"/>
      <c r="Z563" s="792"/>
      <c r="AA563" s="792"/>
    </row>
    <row r="564" spans="1:27" ht="15.75" customHeight="1">
      <c r="A564" s="792"/>
      <c r="B564" s="792"/>
      <c r="C564" s="792"/>
      <c r="D564" s="792"/>
      <c r="E564" s="792"/>
      <c r="F564" s="792"/>
      <c r="G564" s="792"/>
      <c r="H564" s="792"/>
      <c r="I564" s="792"/>
      <c r="J564" s="792"/>
      <c r="K564" s="792"/>
      <c r="L564" s="792"/>
      <c r="M564" s="792"/>
      <c r="N564" s="792"/>
      <c r="O564" s="792"/>
      <c r="P564" s="792"/>
      <c r="Q564" s="792"/>
      <c r="R564" s="792"/>
      <c r="S564" s="792"/>
      <c r="T564" s="792"/>
      <c r="U564" s="792"/>
      <c r="V564" s="793"/>
      <c r="W564" s="793"/>
      <c r="X564" s="792"/>
      <c r="Y564" s="792"/>
      <c r="Z564" s="792"/>
      <c r="AA564" s="792"/>
    </row>
    <row r="565" spans="1:27" ht="15.75" customHeight="1">
      <c r="A565" s="792"/>
      <c r="B565" s="792"/>
      <c r="C565" s="792"/>
      <c r="D565" s="792"/>
      <c r="E565" s="792"/>
      <c r="F565" s="792"/>
      <c r="G565" s="792"/>
      <c r="H565" s="792"/>
      <c r="I565" s="792"/>
      <c r="J565" s="792"/>
      <c r="K565" s="792"/>
      <c r="L565" s="792"/>
      <c r="M565" s="792"/>
      <c r="N565" s="792"/>
      <c r="O565" s="792"/>
      <c r="P565" s="792"/>
      <c r="Q565" s="792"/>
      <c r="R565" s="792"/>
      <c r="S565" s="792"/>
      <c r="T565" s="792"/>
      <c r="U565" s="792"/>
      <c r="V565" s="793"/>
      <c r="W565" s="793"/>
      <c r="X565" s="792"/>
      <c r="Y565" s="792"/>
      <c r="Z565" s="792"/>
      <c r="AA565" s="792"/>
    </row>
    <row r="566" spans="1:27" ht="15.75" customHeight="1">
      <c r="A566" s="792"/>
      <c r="B566" s="792"/>
      <c r="C566" s="792"/>
      <c r="D566" s="792"/>
      <c r="E566" s="792"/>
      <c r="F566" s="792"/>
      <c r="G566" s="792"/>
      <c r="H566" s="792"/>
      <c r="I566" s="792"/>
      <c r="J566" s="792"/>
      <c r="K566" s="792"/>
      <c r="L566" s="792"/>
      <c r="M566" s="792"/>
      <c r="N566" s="792"/>
      <c r="O566" s="792"/>
      <c r="P566" s="792"/>
      <c r="Q566" s="792"/>
      <c r="R566" s="792"/>
      <c r="S566" s="792"/>
      <c r="T566" s="792"/>
      <c r="U566" s="792"/>
      <c r="V566" s="793"/>
      <c r="W566" s="793"/>
      <c r="X566" s="792"/>
      <c r="Y566" s="792"/>
      <c r="Z566" s="792"/>
      <c r="AA566" s="792"/>
    </row>
    <row r="567" spans="1:27" ht="15.75" customHeight="1">
      <c r="A567" s="792"/>
      <c r="B567" s="792"/>
      <c r="C567" s="792"/>
      <c r="D567" s="792"/>
      <c r="E567" s="792"/>
      <c r="F567" s="792"/>
      <c r="G567" s="792"/>
      <c r="H567" s="792"/>
      <c r="I567" s="792"/>
      <c r="J567" s="792"/>
      <c r="K567" s="792"/>
      <c r="L567" s="792"/>
      <c r="M567" s="792"/>
      <c r="N567" s="792"/>
      <c r="O567" s="792"/>
      <c r="P567" s="792"/>
      <c r="Q567" s="792"/>
      <c r="R567" s="792"/>
      <c r="S567" s="792"/>
      <c r="T567" s="792"/>
      <c r="U567" s="792"/>
      <c r="V567" s="793"/>
      <c r="W567" s="793"/>
      <c r="X567" s="792"/>
      <c r="Y567" s="792"/>
      <c r="Z567" s="792"/>
      <c r="AA567" s="792"/>
    </row>
    <row r="568" spans="1:27" ht="15.75" customHeight="1">
      <c r="A568" s="792"/>
      <c r="B568" s="792"/>
      <c r="C568" s="792"/>
      <c r="D568" s="792"/>
      <c r="E568" s="792"/>
      <c r="F568" s="792"/>
      <c r="G568" s="792"/>
      <c r="H568" s="792"/>
      <c r="I568" s="792"/>
      <c r="J568" s="792"/>
      <c r="K568" s="792"/>
      <c r="L568" s="792"/>
      <c r="M568" s="792"/>
      <c r="N568" s="792"/>
      <c r="O568" s="792"/>
      <c r="P568" s="792"/>
      <c r="Q568" s="792"/>
      <c r="R568" s="792"/>
      <c r="S568" s="792"/>
      <c r="T568" s="792"/>
      <c r="U568" s="792"/>
      <c r="V568" s="793"/>
      <c r="W568" s="793"/>
      <c r="X568" s="792"/>
      <c r="Y568" s="792"/>
      <c r="Z568" s="792"/>
      <c r="AA568" s="792"/>
    </row>
    <row r="569" spans="1:27" ht="15.75" customHeight="1">
      <c r="A569" s="792"/>
      <c r="B569" s="792"/>
      <c r="C569" s="792"/>
      <c r="D569" s="792"/>
      <c r="E569" s="792"/>
      <c r="F569" s="792"/>
      <c r="G569" s="792"/>
      <c r="H569" s="792"/>
      <c r="I569" s="792"/>
      <c r="J569" s="792"/>
      <c r="K569" s="792"/>
      <c r="L569" s="792"/>
      <c r="M569" s="792"/>
      <c r="N569" s="792"/>
      <c r="O569" s="792"/>
      <c r="P569" s="792"/>
      <c r="Q569" s="792"/>
      <c r="R569" s="792"/>
      <c r="S569" s="792"/>
      <c r="T569" s="792"/>
      <c r="U569" s="792"/>
      <c r="V569" s="793"/>
      <c r="W569" s="793"/>
      <c r="X569" s="792"/>
      <c r="Y569" s="792"/>
      <c r="Z569" s="792"/>
      <c r="AA569" s="792"/>
    </row>
    <row r="570" spans="1:27" ht="15.75" customHeight="1">
      <c r="A570" s="792"/>
      <c r="B570" s="792"/>
      <c r="C570" s="792"/>
      <c r="D570" s="792"/>
      <c r="E570" s="792"/>
      <c r="F570" s="792"/>
      <c r="G570" s="792"/>
      <c r="H570" s="792"/>
      <c r="I570" s="792"/>
      <c r="J570" s="792"/>
      <c r="K570" s="792"/>
      <c r="L570" s="792"/>
      <c r="M570" s="792"/>
      <c r="N570" s="792"/>
      <c r="O570" s="792"/>
      <c r="P570" s="792"/>
      <c r="Q570" s="792"/>
      <c r="R570" s="792"/>
      <c r="S570" s="792"/>
      <c r="T570" s="792"/>
      <c r="U570" s="792"/>
      <c r="V570" s="793"/>
      <c r="W570" s="793"/>
      <c r="X570" s="792"/>
      <c r="Y570" s="792"/>
      <c r="Z570" s="792"/>
      <c r="AA570" s="792"/>
    </row>
    <row r="571" spans="1:27" ht="15.75" customHeight="1">
      <c r="A571" s="792"/>
      <c r="B571" s="792"/>
      <c r="C571" s="792"/>
      <c r="D571" s="792"/>
      <c r="E571" s="792"/>
      <c r="F571" s="792"/>
      <c r="G571" s="792"/>
      <c r="H571" s="792"/>
      <c r="I571" s="792"/>
      <c r="J571" s="792"/>
      <c r="K571" s="792"/>
      <c r="L571" s="792"/>
      <c r="M571" s="792"/>
      <c r="N571" s="792"/>
      <c r="O571" s="792"/>
      <c r="P571" s="792"/>
      <c r="Q571" s="792"/>
      <c r="R571" s="792"/>
      <c r="S571" s="792"/>
      <c r="T571" s="792"/>
      <c r="U571" s="792"/>
      <c r="V571" s="793"/>
      <c r="W571" s="793"/>
      <c r="X571" s="792"/>
      <c r="Y571" s="792"/>
      <c r="Z571" s="792"/>
      <c r="AA571" s="792"/>
    </row>
    <row r="572" spans="1:27" ht="15.75" customHeight="1">
      <c r="A572" s="792"/>
      <c r="B572" s="792"/>
      <c r="C572" s="792"/>
      <c r="D572" s="792"/>
      <c r="E572" s="792"/>
      <c r="F572" s="792"/>
      <c r="G572" s="792"/>
      <c r="H572" s="792"/>
      <c r="I572" s="792"/>
      <c r="J572" s="792"/>
      <c r="K572" s="792"/>
      <c r="L572" s="792"/>
      <c r="M572" s="792"/>
      <c r="N572" s="792"/>
      <c r="O572" s="792"/>
      <c r="P572" s="792"/>
      <c r="Q572" s="792"/>
      <c r="R572" s="792"/>
      <c r="S572" s="792"/>
      <c r="T572" s="792"/>
      <c r="U572" s="792"/>
      <c r="V572" s="793"/>
      <c r="W572" s="793"/>
      <c r="X572" s="792"/>
      <c r="Y572" s="792"/>
      <c r="Z572" s="792"/>
      <c r="AA572" s="792"/>
    </row>
    <row r="573" spans="1:27" ht="15.75" customHeight="1">
      <c r="A573" s="792"/>
      <c r="B573" s="792"/>
      <c r="C573" s="792"/>
      <c r="D573" s="792"/>
      <c r="E573" s="792"/>
      <c r="F573" s="792"/>
      <c r="G573" s="792"/>
      <c r="H573" s="792"/>
      <c r="I573" s="792"/>
      <c r="J573" s="792"/>
      <c r="K573" s="792"/>
      <c r="L573" s="792"/>
      <c r="M573" s="792"/>
      <c r="N573" s="792"/>
      <c r="O573" s="792"/>
      <c r="P573" s="792"/>
      <c r="Q573" s="792"/>
      <c r="R573" s="792"/>
      <c r="S573" s="792"/>
      <c r="T573" s="792"/>
      <c r="U573" s="792"/>
      <c r="V573" s="793"/>
      <c r="W573" s="793"/>
      <c r="X573" s="792"/>
      <c r="Y573" s="792"/>
      <c r="Z573" s="792"/>
      <c r="AA573" s="792"/>
    </row>
    <row r="574" spans="1:27" ht="15.75" customHeight="1">
      <c r="A574" s="792"/>
      <c r="B574" s="792"/>
      <c r="C574" s="792"/>
      <c r="D574" s="792"/>
      <c r="E574" s="792"/>
      <c r="F574" s="792"/>
      <c r="G574" s="792"/>
      <c r="H574" s="792"/>
      <c r="I574" s="792"/>
      <c r="J574" s="792"/>
      <c r="K574" s="792"/>
      <c r="L574" s="792"/>
      <c r="M574" s="792"/>
      <c r="N574" s="792"/>
      <c r="O574" s="792"/>
      <c r="P574" s="792"/>
      <c r="Q574" s="792"/>
      <c r="R574" s="792"/>
      <c r="S574" s="792"/>
      <c r="T574" s="792"/>
      <c r="U574" s="792"/>
      <c r="V574" s="793"/>
      <c r="W574" s="793"/>
      <c r="X574" s="792"/>
      <c r="Y574" s="792"/>
      <c r="Z574" s="792"/>
      <c r="AA574" s="792"/>
    </row>
    <row r="575" spans="1:27" ht="15.75" customHeight="1">
      <c r="A575" s="792"/>
      <c r="B575" s="792"/>
      <c r="C575" s="792"/>
      <c r="D575" s="792"/>
      <c r="E575" s="792"/>
      <c r="F575" s="792"/>
      <c r="G575" s="792"/>
      <c r="H575" s="792"/>
      <c r="I575" s="792"/>
      <c r="J575" s="792"/>
      <c r="K575" s="792"/>
      <c r="L575" s="792"/>
      <c r="M575" s="792"/>
      <c r="N575" s="792"/>
      <c r="O575" s="792"/>
      <c r="P575" s="792"/>
      <c r="Q575" s="792"/>
      <c r="R575" s="792"/>
      <c r="S575" s="792"/>
      <c r="T575" s="792"/>
      <c r="U575" s="792"/>
      <c r="V575" s="793"/>
      <c r="W575" s="793"/>
      <c r="X575" s="792"/>
      <c r="Y575" s="792"/>
      <c r="Z575" s="792"/>
      <c r="AA575" s="792"/>
    </row>
    <row r="576" spans="1:27" ht="15.75" customHeight="1">
      <c r="A576" s="792"/>
      <c r="B576" s="792"/>
      <c r="C576" s="792"/>
      <c r="D576" s="792"/>
      <c r="E576" s="792"/>
      <c r="F576" s="792"/>
      <c r="G576" s="792"/>
      <c r="H576" s="792"/>
      <c r="I576" s="792"/>
      <c r="J576" s="792"/>
      <c r="K576" s="792"/>
      <c r="L576" s="792"/>
      <c r="M576" s="792"/>
      <c r="N576" s="792"/>
      <c r="O576" s="792"/>
      <c r="P576" s="792"/>
      <c r="Q576" s="792"/>
      <c r="R576" s="792"/>
      <c r="S576" s="792"/>
      <c r="T576" s="792"/>
      <c r="U576" s="792"/>
      <c r="V576" s="793"/>
      <c r="W576" s="793"/>
      <c r="X576" s="792"/>
      <c r="Y576" s="792"/>
      <c r="Z576" s="792"/>
      <c r="AA576" s="792"/>
    </row>
    <row r="577" spans="1:27" ht="15.75" customHeight="1">
      <c r="A577" s="792"/>
      <c r="B577" s="792"/>
      <c r="C577" s="792"/>
      <c r="D577" s="792"/>
      <c r="E577" s="792"/>
      <c r="F577" s="792"/>
      <c r="G577" s="792"/>
      <c r="H577" s="792"/>
      <c r="I577" s="792"/>
      <c r="J577" s="792"/>
      <c r="K577" s="792"/>
      <c r="L577" s="792"/>
      <c r="M577" s="792"/>
      <c r="N577" s="792"/>
      <c r="O577" s="792"/>
      <c r="P577" s="792"/>
      <c r="Q577" s="792"/>
      <c r="R577" s="792"/>
      <c r="S577" s="792"/>
      <c r="T577" s="792"/>
      <c r="U577" s="792"/>
      <c r="V577" s="793"/>
      <c r="W577" s="793"/>
      <c r="X577" s="792"/>
      <c r="Y577" s="792"/>
      <c r="Z577" s="792"/>
      <c r="AA577" s="792"/>
    </row>
    <row r="578" spans="1:27" ht="15.75" customHeight="1">
      <c r="A578" s="792"/>
      <c r="B578" s="792"/>
      <c r="C578" s="792"/>
      <c r="D578" s="792"/>
      <c r="E578" s="792"/>
      <c r="F578" s="792"/>
      <c r="G578" s="792"/>
      <c r="H578" s="792"/>
      <c r="I578" s="792"/>
      <c r="J578" s="792"/>
      <c r="K578" s="792"/>
      <c r="L578" s="792"/>
      <c r="M578" s="792"/>
      <c r="N578" s="792"/>
      <c r="O578" s="792"/>
      <c r="P578" s="792"/>
      <c r="Q578" s="792"/>
      <c r="R578" s="792"/>
      <c r="S578" s="792"/>
      <c r="T578" s="792"/>
      <c r="U578" s="792"/>
      <c r="V578" s="793"/>
      <c r="W578" s="793"/>
      <c r="X578" s="792"/>
      <c r="Y578" s="792"/>
      <c r="Z578" s="792"/>
      <c r="AA578" s="792"/>
    </row>
    <row r="579" spans="1:27" ht="15.75" customHeight="1">
      <c r="A579" s="792"/>
      <c r="B579" s="792"/>
      <c r="C579" s="792"/>
      <c r="D579" s="792"/>
      <c r="E579" s="792"/>
      <c r="F579" s="792"/>
      <c r="G579" s="792"/>
      <c r="H579" s="792"/>
      <c r="I579" s="792"/>
      <c r="J579" s="792"/>
      <c r="K579" s="792"/>
      <c r="L579" s="792"/>
      <c r="M579" s="792"/>
      <c r="N579" s="792"/>
      <c r="O579" s="792"/>
      <c r="P579" s="792"/>
      <c r="Q579" s="792"/>
      <c r="R579" s="792"/>
      <c r="S579" s="792"/>
      <c r="T579" s="792"/>
      <c r="U579" s="792"/>
      <c r="V579" s="793"/>
      <c r="W579" s="793"/>
      <c r="X579" s="792"/>
      <c r="Y579" s="792"/>
      <c r="Z579" s="792"/>
      <c r="AA579" s="792"/>
    </row>
    <row r="580" spans="1:27" ht="15.75" customHeight="1">
      <c r="A580" s="792"/>
      <c r="B580" s="792"/>
      <c r="C580" s="792"/>
      <c r="D580" s="792"/>
      <c r="E580" s="792"/>
      <c r="F580" s="792"/>
      <c r="G580" s="792"/>
      <c r="H580" s="792"/>
      <c r="I580" s="792"/>
      <c r="J580" s="792"/>
      <c r="K580" s="792"/>
      <c r="L580" s="792"/>
      <c r="M580" s="792"/>
      <c r="N580" s="792"/>
      <c r="O580" s="792"/>
      <c r="P580" s="792"/>
      <c r="Q580" s="792"/>
      <c r="R580" s="792"/>
      <c r="S580" s="792"/>
      <c r="T580" s="792"/>
      <c r="U580" s="792"/>
      <c r="V580" s="793"/>
      <c r="W580" s="793"/>
      <c r="X580" s="792"/>
      <c r="Y580" s="792"/>
      <c r="Z580" s="792"/>
      <c r="AA580" s="792"/>
    </row>
    <row r="581" spans="1:27" ht="15.75" customHeight="1">
      <c r="A581" s="792"/>
      <c r="B581" s="792"/>
      <c r="C581" s="792"/>
      <c r="D581" s="792"/>
      <c r="E581" s="792"/>
      <c r="F581" s="792"/>
      <c r="G581" s="792"/>
      <c r="H581" s="792"/>
      <c r="I581" s="792"/>
      <c r="J581" s="792"/>
      <c r="K581" s="792"/>
      <c r="L581" s="792"/>
      <c r="M581" s="792"/>
      <c r="N581" s="792"/>
      <c r="O581" s="792"/>
      <c r="P581" s="792"/>
      <c r="Q581" s="792"/>
      <c r="R581" s="792"/>
      <c r="S581" s="792"/>
      <c r="T581" s="792"/>
      <c r="U581" s="792"/>
      <c r="V581" s="793"/>
      <c r="W581" s="793"/>
      <c r="X581" s="792"/>
      <c r="Y581" s="792"/>
      <c r="Z581" s="792"/>
      <c r="AA581" s="792"/>
    </row>
    <row r="582" spans="1:27" ht="15.75" customHeight="1">
      <c r="A582" s="792"/>
      <c r="B582" s="792"/>
      <c r="C582" s="792"/>
      <c r="D582" s="792"/>
      <c r="E582" s="792"/>
      <c r="F582" s="792"/>
      <c r="G582" s="792"/>
      <c r="H582" s="792"/>
      <c r="I582" s="792"/>
      <c r="J582" s="792"/>
      <c r="K582" s="792"/>
      <c r="L582" s="792"/>
      <c r="M582" s="792"/>
      <c r="N582" s="792"/>
      <c r="O582" s="792"/>
      <c r="P582" s="792"/>
      <c r="Q582" s="792"/>
      <c r="R582" s="792"/>
      <c r="S582" s="792"/>
      <c r="T582" s="792"/>
      <c r="U582" s="792"/>
      <c r="V582" s="793"/>
      <c r="W582" s="793"/>
      <c r="X582" s="792"/>
      <c r="Y582" s="792"/>
      <c r="Z582" s="792"/>
      <c r="AA582" s="792"/>
    </row>
    <row r="583" spans="1:27" ht="15.75" customHeight="1">
      <c r="A583" s="792"/>
      <c r="B583" s="792"/>
      <c r="C583" s="792"/>
      <c r="D583" s="792"/>
      <c r="E583" s="792"/>
      <c r="F583" s="792"/>
      <c r="G583" s="792"/>
      <c r="H583" s="792"/>
      <c r="I583" s="792"/>
      <c r="J583" s="792"/>
      <c r="K583" s="792"/>
      <c r="L583" s="792"/>
      <c r="M583" s="792"/>
      <c r="N583" s="792"/>
      <c r="O583" s="792"/>
      <c r="P583" s="792"/>
      <c r="Q583" s="792"/>
      <c r="R583" s="792"/>
      <c r="S583" s="792"/>
      <c r="T583" s="792"/>
      <c r="U583" s="792"/>
      <c r="V583" s="793"/>
      <c r="W583" s="793"/>
      <c r="X583" s="792"/>
      <c r="Y583" s="792"/>
      <c r="Z583" s="792"/>
      <c r="AA583" s="792"/>
    </row>
    <row r="584" spans="1:27" ht="15.75" customHeight="1">
      <c r="A584" s="792"/>
      <c r="B584" s="792"/>
      <c r="C584" s="792"/>
      <c r="D584" s="792"/>
      <c r="E584" s="792"/>
      <c r="F584" s="792"/>
      <c r="G584" s="792"/>
      <c r="H584" s="792"/>
      <c r="I584" s="792"/>
      <c r="J584" s="792"/>
      <c r="K584" s="792"/>
      <c r="L584" s="792"/>
      <c r="M584" s="792"/>
      <c r="N584" s="792"/>
      <c r="O584" s="792"/>
      <c r="P584" s="792"/>
      <c r="Q584" s="792"/>
      <c r="R584" s="792"/>
      <c r="S584" s="792"/>
      <c r="T584" s="792"/>
      <c r="U584" s="792"/>
      <c r="V584" s="793"/>
      <c r="W584" s="793"/>
      <c r="X584" s="792"/>
      <c r="Y584" s="792"/>
      <c r="Z584" s="792"/>
      <c r="AA584" s="792"/>
    </row>
    <row r="585" spans="1:27" ht="15.75" customHeight="1">
      <c r="A585" s="792"/>
      <c r="B585" s="792"/>
      <c r="C585" s="792"/>
      <c r="D585" s="792"/>
      <c r="E585" s="792"/>
      <c r="F585" s="792"/>
      <c r="G585" s="792"/>
      <c r="H585" s="792"/>
      <c r="I585" s="792"/>
      <c r="J585" s="792"/>
      <c r="K585" s="792"/>
      <c r="L585" s="792"/>
      <c r="M585" s="792"/>
      <c r="N585" s="792"/>
      <c r="O585" s="792"/>
      <c r="P585" s="792"/>
      <c r="Q585" s="792"/>
      <c r="R585" s="792"/>
      <c r="S585" s="792"/>
      <c r="T585" s="792"/>
      <c r="U585" s="792"/>
      <c r="V585" s="793"/>
      <c r="W585" s="793"/>
      <c r="X585" s="792"/>
      <c r="Y585" s="792"/>
      <c r="Z585" s="792"/>
      <c r="AA585" s="792"/>
    </row>
    <row r="586" spans="1:27" ht="15.75" customHeight="1">
      <c r="A586" s="792"/>
      <c r="B586" s="792"/>
      <c r="C586" s="792"/>
      <c r="D586" s="792"/>
      <c r="E586" s="792"/>
      <c r="F586" s="792"/>
      <c r="G586" s="792"/>
      <c r="H586" s="792"/>
      <c r="I586" s="792"/>
      <c r="J586" s="792"/>
      <c r="K586" s="792"/>
      <c r="L586" s="792"/>
      <c r="M586" s="792"/>
      <c r="N586" s="792"/>
      <c r="O586" s="792"/>
      <c r="P586" s="792"/>
      <c r="Q586" s="792"/>
      <c r="R586" s="792"/>
      <c r="S586" s="792"/>
      <c r="T586" s="792"/>
      <c r="U586" s="792"/>
      <c r="V586" s="793"/>
      <c r="W586" s="793"/>
      <c r="X586" s="792"/>
      <c r="Y586" s="792"/>
      <c r="Z586" s="792"/>
      <c r="AA586" s="792"/>
    </row>
    <row r="587" spans="1:27" ht="15.75" customHeight="1">
      <c r="A587" s="792"/>
      <c r="B587" s="792"/>
      <c r="C587" s="792"/>
      <c r="D587" s="792"/>
      <c r="E587" s="792"/>
      <c r="F587" s="792"/>
      <c r="G587" s="792"/>
      <c r="H587" s="792"/>
      <c r="I587" s="792"/>
      <c r="J587" s="792"/>
      <c r="K587" s="792"/>
      <c r="L587" s="792"/>
      <c r="M587" s="792"/>
      <c r="N587" s="792"/>
      <c r="O587" s="792"/>
      <c r="P587" s="792"/>
      <c r="Q587" s="792"/>
      <c r="R587" s="792"/>
      <c r="S587" s="792"/>
      <c r="T587" s="792"/>
      <c r="U587" s="792"/>
      <c r="V587" s="793"/>
      <c r="W587" s="793"/>
      <c r="X587" s="792"/>
      <c r="Y587" s="792"/>
      <c r="Z587" s="792"/>
      <c r="AA587" s="792"/>
    </row>
    <row r="588" spans="1:27" ht="15.75" customHeight="1">
      <c r="A588" s="792"/>
      <c r="B588" s="792"/>
      <c r="C588" s="792"/>
      <c r="D588" s="792"/>
      <c r="E588" s="792"/>
      <c r="F588" s="792"/>
      <c r="G588" s="792"/>
      <c r="H588" s="792"/>
      <c r="I588" s="792"/>
      <c r="J588" s="792"/>
      <c r="K588" s="792"/>
      <c r="L588" s="792"/>
      <c r="M588" s="792"/>
      <c r="N588" s="792"/>
      <c r="O588" s="792"/>
      <c r="P588" s="792"/>
      <c r="Q588" s="792"/>
      <c r="R588" s="792"/>
      <c r="S588" s="792"/>
      <c r="T588" s="792"/>
      <c r="U588" s="792"/>
      <c r="V588" s="793"/>
      <c r="W588" s="793"/>
      <c r="X588" s="792"/>
      <c r="Y588" s="792"/>
      <c r="Z588" s="792"/>
      <c r="AA588" s="792"/>
    </row>
    <row r="589" spans="1:27" ht="15.75" customHeight="1">
      <c r="A589" s="792"/>
      <c r="B589" s="792"/>
      <c r="C589" s="792"/>
      <c r="D589" s="792"/>
      <c r="E589" s="792"/>
      <c r="F589" s="792"/>
      <c r="G589" s="792"/>
      <c r="H589" s="792"/>
      <c r="I589" s="792"/>
      <c r="J589" s="792"/>
      <c r="K589" s="792"/>
      <c r="L589" s="792"/>
      <c r="M589" s="792"/>
      <c r="N589" s="792"/>
      <c r="O589" s="792"/>
      <c r="P589" s="792"/>
      <c r="Q589" s="792"/>
      <c r="R589" s="792"/>
      <c r="S589" s="792"/>
      <c r="T589" s="792"/>
      <c r="U589" s="792"/>
      <c r="V589" s="793"/>
      <c r="W589" s="793"/>
      <c r="X589" s="792"/>
      <c r="Y589" s="792"/>
      <c r="Z589" s="792"/>
      <c r="AA589" s="792"/>
    </row>
    <row r="590" spans="1:27" ht="15.75" customHeight="1">
      <c r="A590" s="792"/>
      <c r="B590" s="792"/>
      <c r="C590" s="792"/>
      <c r="D590" s="792"/>
      <c r="E590" s="792"/>
      <c r="F590" s="792"/>
      <c r="G590" s="792"/>
      <c r="H590" s="792"/>
      <c r="I590" s="792"/>
      <c r="J590" s="792"/>
      <c r="K590" s="792"/>
      <c r="L590" s="792"/>
      <c r="M590" s="792"/>
      <c r="N590" s="792"/>
      <c r="O590" s="792"/>
      <c r="P590" s="792"/>
      <c r="Q590" s="792"/>
      <c r="R590" s="792"/>
      <c r="S590" s="792"/>
      <c r="T590" s="792"/>
      <c r="U590" s="792"/>
      <c r="V590" s="793"/>
      <c r="W590" s="793"/>
      <c r="X590" s="792"/>
      <c r="Y590" s="792"/>
      <c r="Z590" s="792"/>
      <c r="AA590" s="792"/>
    </row>
    <row r="591" spans="1:27" ht="15.75" customHeight="1">
      <c r="A591" s="792"/>
      <c r="B591" s="792"/>
      <c r="C591" s="792"/>
      <c r="D591" s="792"/>
      <c r="E591" s="792"/>
      <c r="F591" s="792"/>
      <c r="G591" s="792"/>
      <c r="H591" s="792"/>
      <c r="I591" s="792"/>
      <c r="J591" s="792"/>
      <c r="K591" s="792"/>
      <c r="L591" s="792"/>
      <c r="M591" s="792"/>
      <c r="N591" s="792"/>
      <c r="O591" s="792"/>
      <c r="P591" s="792"/>
      <c r="Q591" s="792"/>
      <c r="R591" s="792"/>
      <c r="S591" s="792"/>
      <c r="T591" s="792"/>
      <c r="U591" s="792"/>
      <c r="V591" s="793"/>
      <c r="W591" s="793"/>
      <c r="X591" s="792"/>
      <c r="Y591" s="792"/>
      <c r="Z591" s="792"/>
      <c r="AA591" s="792"/>
    </row>
    <row r="592" spans="1:27" ht="15.75" customHeight="1">
      <c r="A592" s="792"/>
      <c r="B592" s="792"/>
      <c r="C592" s="792"/>
      <c r="D592" s="792"/>
      <c r="E592" s="792"/>
      <c r="F592" s="792"/>
      <c r="G592" s="792"/>
      <c r="H592" s="792"/>
      <c r="I592" s="792"/>
      <c r="J592" s="792"/>
      <c r="K592" s="792"/>
      <c r="L592" s="792"/>
      <c r="M592" s="792"/>
      <c r="N592" s="792"/>
      <c r="O592" s="792"/>
      <c r="P592" s="792"/>
      <c r="Q592" s="792"/>
      <c r="R592" s="792"/>
      <c r="S592" s="792"/>
      <c r="T592" s="792"/>
      <c r="U592" s="792"/>
      <c r="V592" s="793"/>
      <c r="W592" s="793"/>
      <c r="X592" s="792"/>
      <c r="Y592" s="792"/>
      <c r="Z592" s="792"/>
      <c r="AA592" s="792"/>
    </row>
    <row r="593" spans="1:27" ht="15.75" customHeight="1">
      <c r="A593" s="792"/>
      <c r="B593" s="792"/>
      <c r="C593" s="792"/>
      <c r="D593" s="792"/>
      <c r="E593" s="792"/>
      <c r="F593" s="792"/>
      <c r="G593" s="792"/>
      <c r="H593" s="792"/>
      <c r="I593" s="792"/>
      <c r="J593" s="792"/>
      <c r="K593" s="792"/>
      <c r="L593" s="792"/>
      <c r="M593" s="792"/>
      <c r="N593" s="792"/>
      <c r="O593" s="792"/>
      <c r="P593" s="792"/>
      <c r="Q593" s="792"/>
      <c r="R593" s="792"/>
      <c r="S593" s="792"/>
      <c r="T593" s="792"/>
      <c r="U593" s="792"/>
      <c r="V593" s="793"/>
      <c r="W593" s="793"/>
      <c r="X593" s="792"/>
      <c r="Y593" s="792"/>
      <c r="Z593" s="792"/>
      <c r="AA593" s="792"/>
    </row>
    <row r="594" spans="1:27" ht="15.75" customHeight="1">
      <c r="A594" s="792"/>
      <c r="B594" s="792"/>
      <c r="C594" s="792"/>
      <c r="D594" s="792"/>
      <c r="E594" s="792"/>
      <c r="F594" s="792"/>
      <c r="G594" s="792"/>
      <c r="H594" s="792"/>
      <c r="I594" s="792"/>
      <c r="J594" s="792"/>
      <c r="K594" s="792"/>
      <c r="L594" s="792"/>
      <c r="M594" s="792"/>
      <c r="N594" s="792"/>
      <c r="O594" s="792"/>
      <c r="P594" s="792"/>
      <c r="Q594" s="792"/>
      <c r="R594" s="792"/>
      <c r="S594" s="792"/>
      <c r="T594" s="792"/>
      <c r="U594" s="792"/>
      <c r="V594" s="793"/>
      <c r="W594" s="793"/>
      <c r="X594" s="792"/>
      <c r="Y594" s="792"/>
      <c r="Z594" s="792"/>
      <c r="AA594" s="792"/>
    </row>
    <row r="595" spans="1:27" ht="15.75" customHeight="1">
      <c r="A595" s="792"/>
      <c r="B595" s="792"/>
      <c r="C595" s="792"/>
      <c r="D595" s="792"/>
      <c r="E595" s="792"/>
      <c r="F595" s="792"/>
      <c r="G595" s="792"/>
      <c r="H595" s="792"/>
      <c r="I595" s="792"/>
      <c r="J595" s="792"/>
      <c r="K595" s="792"/>
      <c r="L595" s="792"/>
      <c r="M595" s="792"/>
      <c r="N595" s="792"/>
      <c r="O595" s="792"/>
      <c r="P595" s="792"/>
      <c r="Q595" s="792"/>
      <c r="R595" s="792"/>
      <c r="S595" s="792"/>
      <c r="T595" s="792"/>
      <c r="U595" s="792"/>
      <c r="V595" s="793"/>
      <c r="W595" s="793"/>
      <c r="X595" s="792"/>
      <c r="Y595" s="792"/>
      <c r="Z595" s="792"/>
      <c r="AA595" s="792"/>
    </row>
    <row r="596" spans="1:27" ht="15.75" customHeight="1">
      <c r="A596" s="792"/>
      <c r="B596" s="792"/>
      <c r="C596" s="792"/>
      <c r="D596" s="792"/>
      <c r="E596" s="792"/>
      <c r="F596" s="792"/>
      <c r="G596" s="792"/>
      <c r="H596" s="792"/>
      <c r="I596" s="792"/>
      <c r="J596" s="792"/>
      <c r="K596" s="792"/>
      <c r="L596" s="792"/>
      <c r="M596" s="792"/>
      <c r="N596" s="792"/>
      <c r="O596" s="792"/>
      <c r="P596" s="792"/>
      <c r="Q596" s="792"/>
      <c r="R596" s="792"/>
      <c r="S596" s="792"/>
      <c r="T596" s="792"/>
      <c r="U596" s="792"/>
      <c r="V596" s="793"/>
      <c r="W596" s="793"/>
      <c r="X596" s="792"/>
      <c r="Y596" s="792"/>
      <c r="Z596" s="792"/>
      <c r="AA596" s="792"/>
    </row>
    <row r="597" spans="1:27" ht="15.75" customHeight="1">
      <c r="A597" s="792"/>
      <c r="B597" s="792"/>
      <c r="C597" s="792"/>
      <c r="D597" s="792"/>
      <c r="E597" s="792"/>
      <c r="F597" s="792"/>
      <c r="G597" s="792"/>
      <c r="H597" s="792"/>
      <c r="I597" s="792"/>
      <c r="J597" s="792"/>
      <c r="K597" s="792"/>
      <c r="L597" s="792"/>
      <c r="M597" s="792"/>
      <c r="N597" s="792"/>
      <c r="O597" s="792"/>
      <c r="P597" s="792"/>
      <c r="Q597" s="792"/>
      <c r="R597" s="792"/>
      <c r="S597" s="792"/>
      <c r="T597" s="792"/>
      <c r="U597" s="792"/>
      <c r="V597" s="793"/>
      <c r="W597" s="793"/>
      <c r="X597" s="792"/>
      <c r="Y597" s="792"/>
      <c r="Z597" s="792"/>
      <c r="AA597" s="792"/>
    </row>
    <row r="598" spans="1:27" ht="15.75" customHeight="1">
      <c r="A598" s="792"/>
      <c r="B598" s="792"/>
      <c r="C598" s="792"/>
      <c r="D598" s="792"/>
      <c r="E598" s="792"/>
      <c r="F598" s="792"/>
      <c r="G598" s="792"/>
      <c r="H598" s="792"/>
      <c r="I598" s="792"/>
      <c r="J598" s="792"/>
      <c r="K598" s="792"/>
      <c r="L598" s="792"/>
      <c r="M598" s="792"/>
      <c r="N598" s="792"/>
      <c r="O598" s="792"/>
      <c r="P598" s="792"/>
      <c r="Q598" s="792"/>
      <c r="R598" s="792"/>
      <c r="S598" s="792"/>
      <c r="T598" s="792"/>
      <c r="U598" s="792"/>
      <c r="V598" s="793"/>
      <c r="W598" s="793"/>
      <c r="X598" s="792"/>
      <c r="Y598" s="792"/>
      <c r="Z598" s="792"/>
      <c r="AA598" s="792"/>
    </row>
    <row r="599" spans="1:27" ht="15.75" customHeight="1">
      <c r="A599" s="792"/>
      <c r="B599" s="792"/>
      <c r="C599" s="792"/>
      <c r="D599" s="792"/>
      <c r="E599" s="792"/>
      <c r="F599" s="792"/>
      <c r="G599" s="792"/>
      <c r="H599" s="792"/>
      <c r="I599" s="792"/>
      <c r="J599" s="792"/>
      <c r="K599" s="792"/>
      <c r="L599" s="792"/>
      <c r="M599" s="792"/>
      <c r="N599" s="792"/>
      <c r="O599" s="792"/>
      <c r="P599" s="792"/>
      <c r="Q599" s="792"/>
      <c r="R599" s="792"/>
      <c r="S599" s="792"/>
      <c r="T599" s="792"/>
      <c r="U599" s="792"/>
      <c r="V599" s="793"/>
      <c r="W599" s="793"/>
      <c r="X599" s="792"/>
      <c r="Y599" s="792"/>
      <c r="Z599" s="792"/>
      <c r="AA599" s="792"/>
    </row>
    <row r="600" spans="1:27" ht="15.75" customHeight="1">
      <c r="A600" s="792"/>
      <c r="B600" s="792"/>
      <c r="C600" s="792"/>
      <c r="D600" s="792"/>
      <c r="E600" s="792"/>
      <c r="F600" s="792"/>
      <c r="G600" s="792"/>
      <c r="H600" s="792"/>
      <c r="I600" s="792"/>
      <c r="J600" s="792"/>
      <c r="K600" s="792"/>
      <c r="L600" s="792"/>
      <c r="M600" s="792"/>
      <c r="N600" s="792"/>
      <c r="O600" s="792"/>
      <c r="P600" s="792"/>
      <c r="Q600" s="792"/>
      <c r="R600" s="792"/>
      <c r="S600" s="792"/>
      <c r="T600" s="792"/>
      <c r="U600" s="792"/>
      <c r="V600" s="793"/>
      <c r="W600" s="793"/>
      <c r="X600" s="792"/>
      <c r="Y600" s="792"/>
      <c r="Z600" s="792"/>
      <c r="AA600" s="792"/>
    </row>
    <row r="601" spans="1:27" ht="15.75" customHeight="1">
      <c r="A601" s="792"/>
      <c r="B601" s="792"/>
      <c r="C601" s="792"/>
      <c r="D601" s="792"/>
      <c r="E601" s="792"/>
      <c r="F601" s="792"/>
      <c r="G601" s="792"/>
      <c r="H601" s="792"/>
      <c r="I601" s="792"/>
      <c r="J601" s="792"/>
      <c r="K601" s="792"/>
      <c r="L601" s="792"/>
      <c r="M601" s="792"/>
      <c r="N601" s="792"/>
      <c r="O601" s="792"/>
      <c r="P601" s="792"/>
      <c r="Q601" s="792"/>
      <c r="R601" s="792"/>
      <c r="S601" s="792"/>
      <c r="T601" s="792"/>
      <c r="U601" s="792"/>
      <c r="V601" s="793"/>
      <c r="W601" s="793"/>
      <c r="X601" s="792"/>
      <c r="Y601" s="792"/>
      <c r="Z601" s="792"/>
      <c r="AA601" s="792"/>
    </row>
    <row r="602" spans="1:27" ht="15.75" customHeight="1">
      <c r="A602" s="792"/>
      <c r="B602" s="792"/>
      <c r="C602" s="792"/>
      <c r="D602" s="792"/>
      <c r="E602" s="792"/>
      <c r="F602" s="792"/>
      <c r="G602" s="792"/>
      <c r="H602" s="792"/>
      <c r="I602" s="792"/>
      <c r="J602" s="792"/>
      <c r="K602" s="792"/>
      <c r="L602" s="792"/>
      <c r="M602" s="792"/>
      <c r="N602" s="792"/>
      <c r="O602" s="792"/>
      <c r="P602" s="792"/>
      <c r="Q602" s="792"/>
      <c r="R602" s="792"/>
      <c r="S602" s="792"/>
      <c r="T602" s="792"/>
      <c r="U602" s="792"/>
      <c r="V602" s="793"/>
      <c r="W602" s="793"/>
      <c r="X602" s="792"/>
      <c r="Y602" s="792"/>
      <c r="Z602" s="792"/>
      <c r="AA602" s="792"/>
    </row>
    <row r="603" spans="1:27" ht="15.75" customHeight="1">
      <c r="A603" s="792"/>
      <c r="B603" s="792"/>
      <c r="C603" s="792"/>
      <c r="D603" s="792"/>
      <c r="E603" s="792"/>
      <c r="F603" s="792"/>
      <c r="G603" s="792"/>
      <c r="H603" s="792"/>
      <c r="I603" s="792"/>
      <c r="J603" s="792"/>
      <c r="K603" s="792"/>
      <c r="L603" s="792"/>
      <c r="M603" s="792"/>
      <c r="N603" s="792"/>
      <c r="O603" s="792"/>
      <c r="P603" s="792"/>
      <c r="Q603" s="792"/>
      <c r="R603" s="792"/>
      <c r="S603" s="792"/>
      <c r="T603" s="792"/>
      <c r="U603" s="792"/>
      <c r="V603" s="793"/>
      <c r="W603" s="793"/>
      <c r="X603" s="792"/>
      <c r="Y603" s="792"/>
      <c r="Z603" s="792"/>
      <c r="AA603" s="792"/>
    </row>
    <row r="604" spans="1:27" ht="15.75" customHeight="1">
      <c r="A604" s="792"/>
      <c r="B604" s="792"/>
      <c r="C604" s="792"/>
      <c r="D604" s="792"/>
      <c r="E604" s="792"/>
      <c r="F604" s="792"/>
      <c r="G604" s="792"/>
      <c r="H604" s="792"/>
      <c r="I604" s="792"/>
      <c r="J604" s="792"/>
      <c r="K604" s="792"/>
      <c r="L604" s="792"/>
      <c r="M604" s="792"/>
      <c r="N604" s="792"/>
      <c r="O604" s="792"/>
      <c r="P604" s="792"/>
      <c r="Q604" s="792"/>
      <c r="R604" s="792"/>
      <c r="S604" s="792"/>
      <c r="T604" s="792"/>
      <c r="U604" s="792"/>
      <c r="V604" s="793"/>
      <c r="W604" s="793"/>
      <c r="X604" s="792"/>
      <c r="Y604" s="792"/>
      <c r="Z604" s="792"/>
      <c r="AA604" s="792"/>
    </row>
    <row r="605" spans="1:27" ht="15.75" customHeight="1">
      <c r="A605" s="792"/>
      <c r="B605" s="792"/>
      <c r="C605" s="792"/>
      <c r="D605" s="792"/>
      <c r="E605" s="792"/>
      <c r="F605" s="792"/>
      <c r="G605" s="792"/>
      <c r="H605" s="792"/>
      <c r="I605" s="792"/>
      <c r="J605" s="792"/>
      <c r="K605" s="792"/>
      <c r="L605" s="792"/>
      <c r="M605" s="792"/>
      <c r="N605" s="792"/>
      <c r="O605" s="792"/>
      <c r="P605" s="792"/>
      <c r="Q605" s="792"/>
      <c r="R605" s="792"/>
      <c r="S605" s="792"/>
      <c r="T605" s="792"/>
      <c r="U605" s="792"/>
      <c r="V605" s="793"/>
      <c r="W605" s="793"/>
      <c r="X605" s="792"/>
      <c r="Y605" s="792"/>
      <c r="Z605" s="792"/>
      <c r="AA605" s="792"/>
    </row>
    <row r="606" spans="1:27" ht="15.75" customHeight="1">
      <c r="A606" s="792"/>
      <c r="B606" s="792"/>
      <c r="C606" s="792"/>
      <c r="D606" s="792"/>
      <c r="E606" s="792"/>
      <c r="F606" s="792"/>
      <c r="G606" s="792"/>
      <c r="H606" s="792"/>
      <c r="I606" s="792"/>
      <c r="J606" s="792"/>
      <c r="K606" s="792"/>
      <c r="L606" s="792"/>
      <c r="M606" s="792"/>
      <c r="N606" s="792"/>
      <c r="O606" s="792"/>
      <c r="P606" s="792"/>
      <c r="Q606" s="792"/>
      <c r="R606" s="792"/>
      <c r="S606" s="792"/>
      <c r="T606" s="792"/>
      <c r="U606" s="792"/>
      <c r="V606" s="793"/>
      <c r="W606" s="793"/>
      <c r="X606" s="792"/>
      <c r="Y606" s="792"/>
      <c r="Z606" s="792"/>
      <c r="AA606" s="792"/>
    </row>
    <row r="607" spans="1:27" ht="15.75" customHeight="1">
      <c r="A607" s="792"/>
      <c r="B607" s="792"/>
      <c r="C607" s="792"/>
      <c r="D607" s="792"/>
      <c r="E607" s="792"/>
      <c r="F607" s="792"/>
      <c r="G607" s="792"/>
      <c r="H607" s="792"/>
      <c r="I607" s="792"/>
      <c r="J607" s="792"/>
      <c r="K607" s="792"/>
      <c r="L607" s="792"/>
      <c r="M607" s="792"/>
      <c r="N607" s="792"/>
      <c r="O607" s="792"/>
      <c r="P607" s="792"/>
      <c r="Q607" s="792"/>
      <c r="R607" s="792"/>
      <c r="S607" s="792"/>
      <c r="T607" s="792"/>
      <c r="U607" s="792"/>
      <c r="V607" s="793"/>
      <c r="W607" s="793"/>
      <c r="X607" s="792"/>
      <c r="Y607" s="792"/>
      <c r="Z607" s="792"/>
      <c r="AA607" s="792"/>
    </row>
    <row r="608" spans="1:27" ht="15.75" customHeight="1">
      <c r="A608" s="792"/>
      <c r="B608" s="792"/>
      <c r="C608" s="792"/>
      <c r="D608" s="792"/>
      <c r="E608" s="792"/>
      <c r="F608" s="792"/>
      <c r="G608" s="792"/>
      <c r="H608" s="792"/>
      <c r="I608" s="792"/>
      <c r="J608" s="792"/>
      <c r="K608" s="792"/>
      <c r="L608" s="792"/>
      <c r="M608" s="792"/>
      <c r="N608" s="792"/>
      <c r="O608" s="792"/>
      <c r="P608" s="792"/>
      <c r="Q608" s="792"/>
      <c r="R608" s="792"/>
      <c r="S608" s="792"/>
      <c r="T608" s="792"/>
      <c r="U608" s="792"/>
      <c r="V608" s="793"/>
      <c r="W608" s="793"/>
      <c r="X608" s="792"/>
      <c r="Y608" s="792"/>
      <c r="Z608" s="792"/>
      <c r="AA608" s="792"/>
    </row>
    <row r="609" spans="1:27" ht="15.75" customHeight="1">
      <c r="A609" s="792"/>
      <c r="B609" s="792"/>
      <c r="C609" s="792"/>
      <c r="D609" s="792"/>
      <c r="E609" s="792"/>
      <c r="F609" s="792"/>
      <c r="G609" s="792"/>
      <c r="H609" s="792"/>
      <c r="I609" s="792"/>
      <c r="J609" s="792"/>
      <c r="K609" s="792"/>
      <c r="L609" s="792"/>
      <c r="M609" s="792"/>
      <c r="N609" s="792"/>
      <c r="O609" s="792"/>
      <c r="P609" s="792"/>
      <c r="Q609" s="792"/>
      <c r="R609" s="792"/>
      <c r="S609" s="792"/>
      <c r="T609" s="792"/>
      <c r="U609" s="792"/>
      <c r="V609" s="793"/>
      <c r="W609" s="793"/>
      <c r="X609" s="792"/>
      <c r="Y609" s="792"/>
      <c r="Z609" s="792"/>
      <c r="AA609" s="792"/>
    </row>
    <row r="610" spans="1:27" ht="15.75" customHeight="1">
      <c r="A610" s="792"/>
      <c r="B610" s="792"/>
      <c r="C610" s="792"/>
      <c r="D610" s="792"/>
      <c r="E610" s="792"/>
      <c r="F610" s="792"/>
      <c r="G610" s="792"/>
      <c r="H610" s="792"/>
      <c r="I610" s="792"/>
      <c r="J610" s="792"/>
      <c r="K610" s="792"/>
      <c r="L610" s="792"/>
      <c r="M610" s="792"/>
      <c r="N610" s="792"/>
      <c r="O610" s="792"/>
      <c r="P610" s="792"/>
      <c r="Q610" s="792"/>
      <c r="R610" s="792"/>
      <c r="S610" s="792"/>
      <c r="T610" s="792"/>
      <c r="U610" s="792"/>
      <c r="V610" s="793"/>
      <c r="W610" s="793"/>
      <c r="X610" s="792"/>
      <c r="Y610" s="792"/>
      <c r="Z610" s="792"/>
      <c r="AA610" s="792"/>
    </row>
    <row r="611" spans="1:27" ht="15.75" customHeight="1">
      <c r="A611" s="792"/>
      <c r="B611" s="792"/>
      <c r="C611" s="792"/>
      <c r="D611" s="792"/>
      <c r="E611" s="792"/>
      <c r="F611" s="792"/>
      <c r="G611" s="792"/>
      <c r="H611" s="792"/>
      <c r="I611" s="792"/>
      <c r="J611" s="792"/>
      <c r="K611" s="792"/>
      <c r="L611" s="792"/>
      <c r="M611" s="792"/>
      <c r="N611" s="792"/>
      <c r="O611" s="792"/>
      <c r="P611" s="792"/>
      <c r="Q611" s="792"/>
      <c r="R611" s="792"/>
      <c r="S611" s="792"/>
      <c r="T611" s="792"/>
      <c r="U611" s="792"/>
      <c r="V611" s="793"/>
      <c r="W611" s="793"/>
      <c r="X611" s="792"/>
      <c r="Y611" s="792"/>
      <c r="Z611" s="792"/>
      <c r="AA611" s="792"/>
    </row>
    <row r="612" spans="1:27" ht="15.75" customHeight="1">
      <c r="A612" s="792"/>
      <c r="B612" s="792"/>
      <c r="C612" s="792"/>
      <c r="D612" s="792"/>
      <c r="E612" s="792"/>
      <c r="F612" s="792"/>
      <c r="G612" s="792"/>
      <c r="H612" s="792"/>
      <c r="I612" s="792"/>
      <c r="J612" s="792"/>
      <c r="K612" s="792"/>
      <c r="L612" s="792"/>
      <c r="M612" s="792"/>
      <c r="N612" s="792"/>
      <c r="O612" s="792"/>
      <c r="P612" s="792"/>
      <c r="Q612" s="792"/>
      <c r="R612" s="792"/>
      <c r="S612" s="792"/>
      <c r="T612" s="792"/>
      <c r="U612" s="792"/>
      <c r="V612" s="793"/>
      <c r="W612" s="793"/>
      <c r="X612" s="792"/>
      <c r="Y612" s="792"/>
      <c r="Z612" s="792"/>
      <c r="AA612" s="792"/>
    </row>
    <row r="613" spans="1:27" ht="15.75" customHeight="1">
      <c r="A613" s="792"/>
      <c r="B613" s="792"/>
      <c r="C613" s="792"/>
      <c r="D613" s="792"/>
      <c r="E613" s="792"/>
      <c r="F613" s="792"/>
      <c r="G613" s="792"/>
      <c r="H613" s="792"/>
      <c r="I613" s="792"/>
      <c r="J613" s="792"/>
      <c r="K613" s="792"/>
      <c r="L613" s="792"/>
      <c r="M613" s="792"/>
      <c r="N613" s="792"/>
      <c r="O613" s="792"/>
      <c r="P613" s="792"/>
      <c r="Q613" s="792"/>
      <c r="R613" s="792"/>
      <c r="S613" s="792"/>
      <c r="T613" s="792"/>
      <c r="U613" s="792"/>
      <c r="V613" s="793"/>
      <c r="W613" s="793"/>
      <c r="X613" s="792"/>
      <c r="Y613" s="792"/>
      <c r="Z613" s="792"/>
      <c r="AA613" s="792"/>
    </row>
    <row r="614" spans="1:27" ht="15.75" customHeight="1">
      <c r="A614" s="792"/>
      <c r="B614" s="792"/>
      <c r="C614" s="792"/>
      <c r="D614" s="792"/>
      <c r="E614" s="792"/>
      <c r="F614" s="792"/>
      <c r="G614" s="792"/>
      <c r="H614" s="792"/>
      <c r="I614" s="792"/>
      <c r="J614" s="792"/>
      <c r="K614" s="792"/>
      <c r="L614" s="792"/>
      <c r="M614" s="792"/>
      <c r="N614" s="792"/>
      <c r="O614" s="792"/>
      <c r="P614" s="792"/>
      <c r="Q614" s="792"/>
      <c r="R614" s="792"/>
      <c r="S614" s="792"/>
      <c r="T614" s="792"/>
      <c r="U614" s="792"/>
      <c r="V614" s="793"/>
      <c r="W614" s="793"/>
      <c r="X614" s="792"/>
      <c r="Y614" s="792"/>
      <c r="Z614" s="792"/>
      <c r="AA614" s="792"/>
    </row>
    <row r="615" spans="1:27" ht="15.75" customHeight="1">
      <c r="A615" s="792"/>
      <c r="B615" s="792"/>
      <c r="C615" s="792"/>
      <c r="D615" s="792"/>
      <c r="E615" s="792"/>
      <c r="F615" s="792"/>
      <c r="G615" s="792"/>
      <c r="H615" s="792"/>
      <c r="I615" s="792"/>
      <c r="J615" s="792"/>
      <c r="K615" s="792"/>
      <c r="L615" s="792"/>
      <c r="M615" s="792"/>
      <c r="N615" s="792"/>
      <c r="O615" s="792"/>
      <c r="P615" s="792"/>
      <c r="Q615" s="792"/>
      <c r="R615" s="792"/>
      <c r="S615" s="792"/>
      <c r="T615" s="792"/>
      <c r="U615" s="792"/>
      <c r="V615" s="793"/>
      <c r="W615" s="793"/>
      <c r="X615" s="792"/>
      <c r="Y615" s="792"/>
      <c r="Z615" s="792"/>
      <c r="AA615" s="792"/>
    </row>
    <row r="616" spans="1:27" ht="15.75" customHeight="1">
      <c r="A616" s="792"/>
      <c r="B616" s="792"/>
      <c r="C616" s="792"/>
      <c r="D616" s="792"/>
      <c r="E616" s="792"/>
      <c r="F616" s="792"/>
      <c r="G616" s="792"/>
      <c r="H616" s="792"/>
      <c r="I616" s="792"/>
      <c r="J616" s="792"/>
      <c r="K616" s="792"/>
      <c r="L616" s="792"/>
      <c r="M616" s="792"/>
      <c r="N616" s="792"/>
      <c r="O616" s="792"/>
      <c r="P616" s="792"/>
      <c r="Q616" s="792"/>
      <c r="R616" s="792"/>
      <c r="S616" s="792"/>
      <c r="T616" s="792"/>
      <c r="U616" s="792"/>
      <c r="V616" s="793"/>
      <c r="W616" s="793"/>
      <c r="X616" s="792"/>
      <c r="Y616" s="792"/>
      <c r="Z616" s="792"/>
      <c r="AA616" s="792"/>
    </row>
    <row r="617" spans="1:27" ht="15.75" customHeight="1">
      <c r="A617" s="792"/>
      <c r="B617" s="792"/>
      <c r="C617" s="792"/>
      <c r="D617" s="792"/>
      <c r="E617" s="792"/>
      <c r="F617" s="792"/>
      <c r="G617" s="792"/>
      <c r="H617" s="792"/>
      <c r="I617" s="792"/>
      <c r="J617" s="792"/>
      <c r="K617" s="792"/>
      <c r="L617" s="792"/>
      <c r="M617" s="792"/>
      <c r="N617" s="792"/>
      <c r="O617" s="792"/>
      <c r="P617" s="792"/>
      <c r="Q617" s="792"/>
      <c r="R617" s="792"/>
      <c r="S617" s="792"/>
      <c r="T617" s="792"/>
      <c r="U617" s="792"/>
      <c r="V617" s="793"/>
      <c r="W617" s="793"/>
      <c r="X617" s="792"/>
      <c r="Y617" s="792"/>
      <c r="Z617" s="792"/>
      <c r="AA617" s="792"/>
    </row>
    <row r="618" spans="1:27" ht="15.75" customHeight="1">
      <c r="A618" s="792"/>
      <c r="B618" s="792"/>
      <c r="C618" s="792"/>
      <c r="D618" s="792"/>
      <c r="E618" s="792"/>
      <c r="F618" s="792"/>
      <c r="G618" s="792"/>
      <c r="H618" s="792"/>
      <c r="I618" s="792"/>
      <c r="J618" s="792"/>
      <c r="K618" s="792"/>
      <c r="L618" s="792"/>
      <c r="M618" s="792"/>
      <c r="N618" s="792"/>
      <c r="O618" s="792"/>
      <c r="P618" s="792"/>
      <c r="Q618" s="792"/>
      <c r="R618" s="792"/>
      <c r="S618" s="792"/>
      <c r="T618" s="792"/>
      <c r="U618" s="792"/>
      <c r="V618" s="793"/>
      <c r="W618" s="793"/>
      <c r="X618" s="792"/>
      <c r="Y618" s="792"/>
      <c r="Z618" s="792"/>
      <c r="AA618" s="792"/>
    </row>
    <row r="619" spans="1:27" ht="15.75" customHeight="1">
      <c r="A619" s="792"/>
      <c r="B619" s="792"/>
      <c r="C619" s="792"/>
      <c r="D619" s="792"/>
      <c r="E619" s="792"/>
      <c r="F619" s="792"/>
      <c r="G619" s="792"/>
      <c r="H619" s="792"/>
      <c r="I619" s="792"/>
      <c r="J619" s="792"/>
      <c r="K619" s="792"/>
      <c r="L619" s="792"/>
      <c r="M619" s="792"/>
      <c r="N619" s="792"/>
      <c r="O619" s="792"/>
      <c r="P619" s="792"/>
      <c r="Q619" s="792"/>
      <c r="R619" s="792"/>
      <c r="S619" s="792"/>
      <c r="T619" s="792"/>
      <c r="U619" s="792"/>
      <c r="V619" s="793"/>
      <c r="W619" s="793"/>
      <c r="X619" s="792"/>
      <c r="Y619" s="792"/>
      <c r="Z619" s="792"/>
      <c r="AA619" s="792"/>
    </row>
    <row r="620" spans="1:27" ht="15.75" customHeight="1">
      <c r="A620" s="792"/>
      <c r="B620" s="792"/>
      <c r="C620" s="792"/>
      <c r="D620" s="792"/>
      <c r="E620" s="792"/>
      <c r="F620" s="792"/>
      <c r="G620" s="792"/>
      <c r="H620" s="792"/>
      <c r="I620" s="792"/>
      <c r="J620" s="792"/>
      <c r="K620" s="792"/>
      <c r="L620" s="792"/>
      <c r="M620" s="792"/>
      <c r="N620" s="792"/>
      <c r="O620" s="792"/>
      <c r="P620" s="792"/>
      <c r="Q620" s="792"/>
      <c r="R620" s="792"/>
      <c r="S620" s="792"/>
      <c r="T620" s="792"/>
      <c r="U620" s="792"/>
      <c r="V620" s="793"/>
      <c r="W620" s="793"/>
      <c r="X620" s="792"/>
      <c r="Y620" s="792"/>
      <c r="Z620" s="792"/>
      <c r="AA620" s="792"/>
    </row>
    <row r="621" spans="1:27" ht="15.75" customHeight="1">
      <c r="A621" s="792"/>
      <c r="B621" s="792"/>
      <c r="C621" s="792"/>
      <c r="D621" s="792"/>
      <c r="E621" s="792"/>
      <c r="F621" s="792"/>
      <c r="G621" s="792"/>
      <c r="H621" s="792"/>
      <c r="I621" s="792"/>
      <c r="J621" s="792"/>
      <c r="K621" s="792"/>
      <c r="L621" s="792"/>
      <c r="M621" s="792"/>
      <c r="N621" s="792"/>
      <c r="O621" s="792"/>
      <c r="P621" s="792"/>
      <c r="Q621" s="792"/>
      <c r="R621" s="792"/>
      <c r="S621" s="792"/>
      <c r="T621" s="792"/>
      <c r="U621" s="792"/>
      <c r="V621" s="793"/>
      <c r="W621" s="793"/>
      <c r="X621" s="792"/>
      <c r="Y621" s="792"/>
      <c r="Z621" s="792"/>
      <c r="AA621" s="792"/>
    </row>
    <row r="622" spans="1:27" ht="15.75" customHeight="1">
      <c r="A622" s="792"/>
      <c r="B622" s="792"/>
      <c r="C622" s="792"/>
      <c r="D622" s="792"/>
      <c r="E622" s="792"/>
      <c r="F622" s="792"/>
      <c r="G622" s="792"/>
      <c r="H622" s="792"/>
      <c r="I622" s="792"/>
      <c r="J622" s="792"/>
      <c r="K622" s="792"/>
      <c r="L622" s="792"/>
      <c r="M622" s="792"/>
      <c r="N622" s="792"/>
      <c r="O622" s="792"/>
      <c r="P622" s="792"/>
      <c r="Q622" s="792"/>
      <c r="R622" s="792"/>
      <c r="S622" s="792"/>
      <c r="T622" s="792"/>
      <c r="U622" s="792"/>
      <c r="V622" s="793"/>
      <c r="W622" s="793"/>
      <c r="X622" s="792"/>
      <c r="Y622" s="792"/>
      <c r="Z622" s="792"/>
      <c r="AA622" s="792"/>
    </row>
    <row r="623" spans="1:27" ht="15.75" customHeight="1">
      <c r="A623" s="792"/>
      <c r="B623" s="792"/>
      <c r="C623" s="792"/>
      <c r="D623" s="792"/>
      <c r="E623" s="792"/>
      <c r="F623" s="792"/>
      <c r="G623" s="792"/>
      <c r="H623" s="792"/>
      <c r="I623" s="792"/>
      <c r="J623" s="792"/>
      <c r="K623" s="792"/>
      <c r="L623" s="792"/>
      <c r="M623" s="792"/>
      <c r="N623" s="792"/>
      <c r="O623" s="792"/>
      <c r="P623" s="792"/>
      <c r="Q623" s="792"/>
      <c r="R623" s="792"/>
      <c r="S623" s="792"/>
      <c r="T623" s="792"/>
      <c r="U623" s="792"/>
      <c r="V623" s="793"/>
      <c r="W623" s="793"/>
      <c r="X623" s="792"/>
      <c r="Y623" s="792"/>
      <c r="Z623" s="792"/>
      <c r="AA623" s="792"/>
    </row>
    <row r="624" spans="1:27" ht="15.75" customHeight="1">
      <c r="A624" s="792"/>
      <c r="B624" s="792"/>
      <c r="C624" s="792"/>
      <c r="D624" s="792"/>
      <c r="E624" s="792"/>
      <c r="F624" s="792"/>
      <c r="G624" s="792"/>
      <c r="H624" s="792"/>
      <c r="I624" s="792"/>
      <c r="J624" s="792"/>
      <c r="K624" s="792"/>
      <c r="L624" s="792"/>
      <c r="M624" s="792"/>
      <c r="N624" s="792"/>
      <c r="O624" s="792"/>
      <c r="P624" s="792"/>
      <c r="Q624" s="792"/>
      <c r="R624" s="792"/>
      <c r="S624" s="792"/>
      <c r="T624" s="792"/>
      <c r="U624" s="792"/>
      <c r="V624" s="793"/>
      <c r="W624" s="793"/>
      <c r="X624" s="792"/>
      <c r="Y624" s="792"/>
      <c r="Z624" s="792"/>
      <c r="AA624" s="792"/>
    </row>
    <row r="625" spans="1:27" ht="15.75" customHeight="1">
      <c r="A625" s="792"/>
      <c r="B625" s="792"/>
      <c r="C625" s="792"/>
      <c r="D625" s="792"/>
      <c r="E625" s="792"/>
      <c r="F625" s="792"/>
      <c r="G625" s="792"/>
      <c r="H625" s="792"/>
      <c r="I625" s="792"/>
      <c r="J625" s="792"/>
      <c r="K625" s="792"/>
      <c r="L625" s="792"/>
      <c r="M625" s="792"/>
      <c r="N625" s="792"/>
      <c r="O625" s="792"/>
      <c r="P625" s="792"/>
      <c r="Q625" s="792"/>
      <c r="R625" s="792"/>
      <c r="S625" s="792"/>
      <c r="T625" s="792"/>
      <c r="U625" s="792"/>
      <c r="V625" s="793"/>
      <c r="W625" s="793"/>
      <c r="X625" s="792"/>
      <c r="Y625" s="792"/>
      <c r="Z625" s="792"/>
      <c r="AA625" s="792"/>
    </row>
    <row r="626" spans="1:27" ht="15.75" customHeight="1">
      <c r="A626" s="792"/>
      <c r="B626" s="792"/>
      <c r="C626" s="792"/>
      <c r="D626" s="792"/>
      <c r="E626" s="792"/>
      <c r="F626" s="792"/>
      <c r="G626" s="792"/>
      <c r="H626" s="792"/>
      <c r="I626" s="792"/>
      <c r="J626" s="792"/>
      <c r="K626" s="792"/>
      <c r="L626" s="792"/>
      <c r="M626" s="792"/>
      <c r="N626" s="792"/>
      <c r="O626" s="792"/>
      <c r="P626" s="792"/>
      <c r="Q626" s="792"/>
      <c r="R626" s="792"/>
      <c r="S626" s="792"/>
      <c r="T626" s="792"/>
      <c r="U626" s="792"/>
      <c r="V626" s="793"/>
      <c r="W626" s="793"/>
      <c r="X626" s="792"/>
      <c r="Y626" s="792"/>
      <c r="Z626" s="792"/>
      <c r="AA626" s="792"/>
    </row>
    <row r="627" spans="1:27" ht="15.75" customHeight="1">
      <c r="A627" s="792"/>
      <c r="B627" s="792"/>
      <c r="C627" s="792"/>
      <c r="D627" s="792"/>
      <c r="E627" s="792"/>
      <c r="F627" s="792"/>
      <c r="G627" s="792"/>
      <c r="H627" s="792"/>
      <c r="I627" s="792"/>
      <c r="J627" s="792"/>
      <c r="K627" s="792"/>
      <c r="L627" s="792"/>
      <c r="M627" s="792"/>
      <c r="N627" s="792"/>
      <c r="O627" s="792"/>
      <c r="P627" s="792"/>
      <c r="Q627" s="792"/>
      <c r="R627" s="792"/>
      <c r="S627" s="792"/>
      <c r="T627" s="792"/>
      <c r="U627" s="792"/>
      <c r="V627" s="793"/>
      <c r="W627" s="793"/>
      <c r="X627" s="792"/>
      <c r="Y627" s="792"/>
      <c r="Z627" s="792"/>
      <c r="AA627" s="792"/>
    </row>
    <row r="628" spans="1:27" ht="15.75" customHeight="1">
      <c r="A628" s="792"/>
      <c r="B628" s="792"/>
      <c r="C628" s="792"/>
      <c r="D628" s="792"/>
      <c r="E628" s="792"/>
      <c r="F628" s="792"/>
      <c r="G628" s="792"/>
      <c r="H628" s="792"/>
      <c r="I628" s="792"/>
      <c r="J628" s="792"/>
      <c r="K628" s="792"/>
      <c r="L628" s="792"/>
      <c r="M628" s="792"/>
      <c r="N628" s="792"/>
      <c r="O628" s="792"/>
      <c r="P628" s="792"/>
      <c r="Q628" s="792"/>
      <c r="R628" s="792"/>
      <c r="S628" s="792"/>
      <c r="T628" s="792"/>
      <c r="U628" s="792"/>
      <c r="V628" s="793"/>
      <c r="W628" s="793"/>
      <c r="X628" s="792"/>
      <c r="Y628" s="792"/>
      <c r="Z628" s="792"/>
      <c r="AA628" s="792"/>
    </row>
    <row r="629" spans="1:27" ht="15.75" customHeight="1">
      <c r="A629" s="792"/>
      <c r="B629" s="792"/>
      <c r="C629" s="792"/>
      <c r="D629" s="792"/>
      <c r="E629" s="792"/>
      <c r="F629" s="792"/>
      <c r="G629" s="792"/>
      <c r="H629" s="792"/>
      <c r="I629" s="792"/>
      <c r="J629" s="792"/>
      <c r="K629" s="792"/>
      <c r="L629" s="792"/>
      <c r="M629" s="792"/>
      <c r="N629" s="792"/>
      <c r="O629" s="792"/>
      <c r="P629" s="792"/>
      <c r="Q629" s="792"/>
      <c r="R629" s="792"/>
      <c r="S629" s="792"/>
      <c r="T629" s="792"/>
      <c r="U629" s="792"/>
      <c r="V629" s="793"/>
      <c r="W629" s="793"/>
      <c r="X629" s="792"/>
      <c r="Y629" s="792"/>
      <c r="Z629" s="792"/>
      <c r="AA629" s="792"/>
    </row>
    <row r="630" spans="1:27" ht="15.75" customHeight="1">
      <c r="A630" s="792"/>
      <c r="B630" s="792"/>
      <c r="C630" s="792"/>
      <c r="D630" s="792"/>
      <c r="E630" s="792"/>
      <c r="F630" s="792"/>
      <c r="G630" s="792"/>
      <c r="H630" s="792"/>
      <c r="I630" s="792"/>
      <c r="J630" s="792"/>
      <c r="K630" s="792"/>
      <c r="L630" s="792"/>
      <c r="M630" s="792"/>
      <c r="N630" s="792"/>
      <c r="O630" s="792"/>
      <c r="P630" s="792"/>
      <c r="Q630" s="792"/>
      <c r="R630" s="792"/>
      <c r="S630" s="792"/>
      <c r="T630" s="792"/>
      <c r="U630" s="792"/>
      <c r="V630" s="793"/>
      <c r="W630" s="793"/>
      <c r="X630" s="792"/>
      <c r="Y630" s="792"/>
      <c r="Z630" s="792"/>
      <c r="AA630" s="792"/>
    </row>
    <row r="631" spans="1:27" ht="15.75" customHeight="1">
      <c r="A631" s="792"/>
      <c r="B631" s="792"/>
      <c r="C631" s="792"/>
      <c r="D631" s="792"/>
      <c r="E631" s="792"/>
      <c r="F631" s="792"/>
      <c r="G631" s="792"/>
      <c r="H631" s="792"/>
      <c r="I631" s="792"/>
      <c r="J631" s="792"/>
      <c r="K631" s="792"/>
      <c r="L631" s="792"/>
      <c r="M631" s="792"/>
      <c r="N631" s="792"/>
      <c r="O631" s="792"/>
      <c r="P631" s="792"/>
      <c r="Q631" s="792"/>
      <c r="R631" s="792"/>
      <c r="S631" s="792"/>
      <c r="T631" s="792"/>
      <c r="U631" s="792"/>
      <c r="V631" s="793"/>
      <c r="W631" s="793"/>
      <c r="X631" s="792"/>
      <c r="Y631" s="792"/>
      <c r="Z631" s="792"/>
      <c r="AA631" s="792"/>
    </row>
    <row r="632" spans="1:27" ht="15.75" customHeight="1">
      <c r="A632" s="792"/>
      <c r="B632" s="792"/>
      <c r="C632" s="792"/>
      <c r="D632" s="792"/>
      <c r="E632" s="792"/>
      <c r="F632" s="792"/>
      <c r="G632" s="792"/>
      <c r="H632" s="792"/>
      <c r="I632" s="792"/>
      <c r="J632" s="792"/>
      <c r="K632" s="792"/>
      <c r="L632" s="792"/>
      <c r="M632" s="792"/>
      <c r="N632" s="792"/>
      <c r="O632" s="792"/>
      <c r="P632" s="792"/>
      <c r="Q632" s="792"/>
      <c r="R632" s="792"/>
      <c r="S632" s="792"/>
      <c r="T632" s="792"/>
      <c r="U632" s="792"/>
      <c r="V632" s="793"/>
      <c r="W632" s="793"/>
      <c r="X632" s="792"/>
      <c r="Y632" s="792"/>
      <c r="Z632" s="792"/>
      <c r="AA632" s="792"/>
    </row>
    <row r="633" spans="1:27" ht="15.75" customHeight="1">
      <c r="A633" s="792"/>
      <c r="B633" s="792"/>
      <c r="C633" s="792"/>
      <c r="D633" s="792"/>
      <c r="E633" s="792"/>
      <c r="F633" s="792"/>
      <c r="G633" s="792"/>
      <c r="H633" s="792"/>
      <c r="I633" s="792"/>
      <c r="J633" s="792"/>
      <c r="K633" s="792"/>
      <c r="L633" s="792"/>
      <c r="M633" s="792"/>
      <c r="N633" s="792"/>
      <c r="O633" s="792"/>
      <c r="P633" s="792"/>
      <c r="Q633" s="792"/>
      <c r="R633" s="792"/>
      <c r="S633" s="792"/>
      <c r="T633" s="792"/>
      <c r="U633" s="792"/>
      <c r="V633" s="793"/>
      <c r="W633" s="793"/>
      <c r="X633" s="792"/>
      <c r="Y633" s="792"/>
      <c r="Z633" s="792"/>
      <c r="AA633" s="792"/>
    </row>
    <row r="634" spans="1:27" ht="15.75" customHeight="1">
      <c r="A634" s="792"/>
      <c r="B634" s="792"/>
      <c r="C634" s="792"/>
      <c r="D634" s="792"/>
      <c r="E634" s="792"/>
      <c r="F634" s="792"/>
      <c r="G634" s="792"/>
      <c r="H634" s="792"/>
      <c r="I634" s="792"/>
      <c r="J634" s="792"/>
      <c r="K634" s="792"/>
      <c r="L634" s="792"/>
      <c r="M634" s="792"/>
      <c r="N634" s="792"/>
      <c r="O634" s="792"/>
      <c r="P634" s="792"/>
      <c r="Q634" s="792"/>
      <c r="R634" s="792"/>
      <c r="S634" s="792"/>
      <c r="T634" s="792"/>
      <c r="U634" s="792"/>
      <c r="V634" s="793"/>
      <c r="W634" s="793"/>
      <c r="X634" s="792"/>
      <c r="Y634" s="792"/>
      <c r="Z634" s="792"/>
      <c r="AA634" s="792"/>
    </row>
    <row r="635" spans="1:27" ht="15.75" customHeight="1">
      <c r="A635" s="792"/>
      <c r="B635" s="792"/>
      <c r="C635" s="792"/>
      <c r="D635" s="792"/>
      <c r="E635" s="792"/>
      <c r="F635" s="792"/>
      <c r="G635" s="792"/>
      <c r="H635" s="792"/>
      <c r="I635" s="792"/>
      <c r="J635" s="792"/>
      <c r="K635" s="792"/>
      <c r="L635" s="792"/>
      <c r="M635" s="792"/>
      <c r="N635" s="792"/>
      <c r="O635" s="792"/>
      <c r="P635" s="792"/>
      <c r="Q635" s="792"/>
      <c r="R635" s="792"/>
      <c r="S635" s="792"/>
      <c r="T635" s="792"/>
      <c r="U635" s="792"/>
      <c r="V635" s="793"/>
      <c r="W635" s="793"/>
      <c r="X635" s="792"/>
      <c r="Y635" s="792"/>
      <c r="Z635" s="792"/>
      <c r="AA635" s="792"/>
    </row>
    <row r="636" spans="1:27" ht="15.75" customHeight="1">
      <c r="A636" s="792"/>
      <c r="B636" s="792"/>
      <c r="C636" s="792"/>
      <c r="D636" s="792"/>
      <c r="E636" s="792"/>
      <c r="F636" s="792"/>
      <c r="G636" s="792"/>
      <c r="H636" s="792"/>
      <c r="I636" s="792"/>
      <c r="J636" s="792"/>
      <c r="K636" s="792"/>
      <c r="L636" s="792"/>
      <c r="M636" s="792"/>
      <c r="N636" s="792"/>
      <c r="O636" s="792"/>
      <c r="P636" s="792"/>
      <c r="Q636" s="792"/>
      <c r="R636" s="792"/>
      <c r="S636" s="792"/>
      <c r="T636" s="792"/>
      <c r="U636" s="792"/>
      <c r="V636" s="793"/>
      <c r="W636" s="793"/>
      <c r="X636" s="792"/>
      <c r="Y636" s="792"/>
      <c r="Z636" s="792"/>
      <c r="AA636" s="792"/>
    </row>
    <row r="637" spans="1:27" ht="15.75" customHeight="1">
      <c r="A637" s="792"/>
      <c r="B637" s="792"/>
      <c r="C637" s="792"/>
      <c r="D637" s="792"/>
      <c r="E637" s="792"/>
      <c r="F637" s="792"/>
      <c r="G637" s="792"/>
      <c r="H637" s="792"/>
      <c r="I637" s="792"/>
      <c r="J637" s="792"/>
      <c r="K637" s="792"/>
      <c r="L637" s="792"/>
      <c r="M637" s="792"/>
      <c r="N637" s="792"/>
      <c r="O637" s="792"/>
      <c r="P637" s="792"/>
      <c r="Q637" s="792"/>
      <c r="R637" s="792"/>
      <c r="S637" s="792"/>
      <c r="T637" s="792"/>
      <c r="U637" s="792"/>
      <c r="V637" s="793"/>
      <c r="W637" s="793"/>
      <c r="X637" s="792"/>
      <c r="Y637" s="792"/>
      <c r="Z637" s="792"/>
      <c r="AA637" s="792"/>
    </row>
    <row r="638" spans="1:27" ht="15.75" customHeight="1">
      <c r="A638" s="792"/>
      <c r="B638" s="792"/>
      <c r="C638" s="792"/>
      <c r="D638" s="792"/>
      <c r="E638" s="792"/>
      <c r="F638" s="792"/>
      <c r="G638" s="792"/>
      <c r="H638" s="792"/>
      <c r="I638" s="792"/>
      <c r="J638" s="792"/>
      <c r="K638" s="792"/>
      <c r="L638" s="792"/>
      <c r="M638" s="792"/>
      <c r="N638" s="792"/>
      <c r="O638" s="792"/>
      <c r="P638" s="792"/>
      <c r="Q638" s="792"/>
      <c r="R638" s="792"/>
      <c r="S638" s="792"/>
      <c r="T638" s="792"/>
      <c r="U638" s="792"/>
      <c r="V638" s="793"/>
      <c r="W638" s="793"/>
      <c r="X638" s="792"/>
      <c r="Y638" s="792"/>
      <c r="Z638" s="792"/>
      <c r="AA638" s="792"/>
    </row>
    <row r="639" spans="1:27" ht="15.75" customHeight="1">
      <c r="A639" s="792"/>
      <c r="B639" s="792"/>
      <c r="C639" s="792"/>
      <c r="D639" s="792"/>
      <c r="E639" s="792"/>
      <c r="F639" s="792"/>
      <c r="G639" s="792"/>
      <c r="H639" s="792"/>
      <c r="I639" s="792"/>
      <c r="J639" s="792"/>
      <c r="K639" s="792"/>
      <c r="L639" s="792"/>
      <c r="M639" s="792"/>
      <c r="N639" s="792"/>
      <c r="O639" s="792"/>
      <c r="P639" s="792"/>
      <c r="Q639" s="792"/>
      <c r="R639" s="792"/>
      <c r="S639" s="792"/>
      <c r="T639" s="792"/>
      <c r="U639" s="792"/>
      <c r="V639" s="793"/>
      <c r="W639" s="793"/>
      <c r="X639" s="792"/>
      <c r="Y639" s="792"/>
      <c r="Z639" s="792"/>
      <c r="AA639" s="792"/>
    </row>
    <row r="640" spans="1:27" ht="15.75" customHeight="1">
      <c r="A640" s="792"/>
      <c r="B640" s="792"/>
      <c r="C640" s="792"/>
      <c r="D640" s="792"/>
      <c r="E640" s="792"/>
      <c r="F640" s="792"/>
      <c r="G640" s="792"/>
      <c r="H640" s="792"/>
      <c r="I640" s="792"/>
      <c r="J640" s="792"/>
      <c r="K640" s="792"/>
      <c r="L640" s="792"/>
      <c r="M640" s="792"/>
      <c r="N640" s="792"/>
      <c r="O640" s="792"/>
      <c r="P640" s="792"/>
      <c r="Q640" s="792"/>
      <c r="R640" s="792"/>
      <c r="S640" s="792"/>
      <c r="T640" s="792"/>
      <c r="U640" s="792"/>
      <c r="V640" s="793"/>
      <c r="W640" s="793"/>
      <c r="X640" s="792"/>
      <c r="Y640" s="792"/>
      <c r="Z640" s="792"/>
      <c r="AA640" s="792"/>
    </row>
    <row r="641" spans="1:27" ht="15.75" customHeight="1">
      <c r="A641" s="792"/>
      <c r="B641" s="792"/>
      <c r="C641" s="792"/>
      <c r="D641" s="792"/>
      <c r="E641" s="792"/>
      <c r="F641" s="792"/>
      <c r="G641" s="792"/>
      <c r="H641" s="792"/>
      <c r="I641" s="792"/>
      <c r="J641" s="792"/>
      <c r="K641" s="792"/>
      <c r="L641" s="792"/>
      <c r="M641" s="792"/>
      <c r="N641" s="792"/>
      <c r="O641" s="792"/>
      <c r="P641" s="792"/>
      <c r="Q641" s="792"/>
      <c r="R641" s="792"/>
      <c r="S641" s="792"/>
      <c r="T641" s="792"/>
      <c r="U641" s="792"/>
      <c r="V641" s="793"/>
      <c r="W641" s="793"/>
      <c r="X641" s="792"/>
      <c r="Y641" s="792"/>
      <c r="Z641" s="792"/>
      <c r="AA641" s="792"/>
    </row>
    <row r="642" spans="1:27" ht="15.75" customHeight="1">
      <c r="A642" s="792"/>
      <c r="B642" s="792"/>
      <c r="C642" s="792"/>
      <c r="D642" s="792"/>
      <c r="E642" s="792"/>
      <c r="F642" s="792"/>
      <c r="G642" s="792"/>
      <c r="H642" s="792"/>
      <c r="I642" s="792"/>
      <c r="J642" s="792"/>
      <c r="K642" s="792"/>
      <c r="L642" s="792"/>
      <c r="M642" s="792"/>
      <c r="N642" s="792"/>
      <c r="O642" s="792"/>
      <c r="P642" s="792"/>
      <c r="Q642" s="792"/>
      <c r="R642" s="792"/>
      <c r="S642" s="792"/>
      <c r="T642" s="792"/>
      <c r="U642" s="792"/>
      <c r="V642" s="793"/>
      <c r="W642" s="793"/>
      <c r="X642" s="792"/>
      <c r="Y642" s="792"/>
      <c r="Z642" s="792"/>
      <c r="AA642" s="792"/>
    </row>
    <row r="643" spans="1:27" ht="15.75" customHeight="1">
      <c r="A643" s="792"/>
      <c r="B643" s="792"/>
      <c r="C643" s="792"/>
      <c r="D643" s="792"/>
      <c r="E643" s="792"/>
      <c r="F643" s="792"/>
      <c r="G643" s="792"/>
      <c r="H643" s="792"/>
      <c r="I643" s="792"/>
      <c r="J643" s="792"/>
      <c r="K643" s="792"/>
      <c r="L643" s="792"/>
      <c r="M643" s="792"/>
      <c r="N643" s="792"/>
      <c r="O643" s="792"/>
      <c r="P643" s="792"/>
      <c r="Q643" s="792"/>
      <c r="R643" s="792"/>
      <c r="S643" s="792"/>
      <c r="T643" s="792"/>
      <c r="U643" s="792"/>
      <c r="V643" s="793"/>
      <c r="W643" s="793"/>
      <c r="X643" s="792"/>
      <c r="Y643" s="792"/>
      <c r="Z643" s="792"/>
      <c r="AA643" s="792"/>
    </row>
    <row r="644" spans="1:27" ht="15.75" customHeight="1">
      <c r="A644" s="792"/>
      <c r="B644" s="792"/>
      <c r="C644" s="792"/>
      <c r="D644" s="792"/>
      <c r="E644" s="792"/>
      <c r="F644" s="792"/>
      <c r="G644" s="792"/>
      <c r="H644" s="792"/>
      <c r="I644" s="792"/>
      <c r="J644" s="792"/>
      <c r="K644" s="792"/>
      <c r="L644" s="792"/>
      <c r="M644" s="792"/>
      <c r="N644" s="792"/>
      <c r="O644" s="792"/>
      <c r="P644" s="792"/>
      <c r="Q644" s="792"/>
      <c r="R644" s="792"/>
      <c r="S644" s="792"/>
      <c r="T644" s="792"/>
      <c r="U644" s="792"/>
      <c r="V644" s="793"/>
      <c r="W644" s="793"/>
      <c r="X644" s="792"/>
      <c r="Y644" s="792"/>
      <c r="Z644" s="792"/>
      <c r="AA644" s="792"/>
    </row>
    <row r="645" spans="1:27" ht="15.75" customHeight="1">
      <c r="A645" s="792"/>
      <c r="B645" s="792"/>
      <c r="C645" s="792"/>
      <c r="D645" s="792"/>
      <c r="E645" s="792"/>
      <c r="F645" s="792"/>
      <c r="G645" s="792"/>
      <c r="H645" s="792"/>
      <c r="I645" s="792"/>
      <c r="J645" s="792"/>
      <c r="K645" s="792"/>
      <c r="L645" s="792"/>
      <c r="M645" s="792"/>
      <c r="N645" s="792"/>
      <c r="O645" s="792"/>
      <c r="P645" s="792"/>
      <c r="Q645" s="792"/>
      <c r="R645" s="792"/>
      <c r="S645" s="792"/>
      <c r="T645" s="792"/>
      <c r="U645" s="792"/>
      <c r="V645" s="793"/>
      <c r="W645" s="793"/>
      <c r="X645" s="792"/>
      <c r="Y645" s="792"/>
      <c r="Z645" s="792"/>
      <c r="AA645" s="792"/>
    </row>
    <row r="646" spans="1:27" ht="15.75" customHeight="1">
      <c r="A646" s="792"/>
      <c r="B646" s="792"/>
      <c r="C646" s="792"/>
      <c r="D646" s="792"/>
      <c r="E646" s="792"/>
      <c r="F646" s="792"/>
      <c r="G646" s="792"/>
      <c r="H646" s="792"/>
      <c r="I646" s="792"/>
      <c r="J646" s="792"/>
      <c r="K646" s="792"/>
      <c r="L646" s="792"/>
      <c r="M646" s="792"/>
      <c r="N646" s="792"/>
      <c r="O646" s="792"/>
      <c r="P646" s="792"/>
      <c r="Q646" s="792"/>
      <c r="R646" s="792"/>
      <c r="S646" s="792"/>
      <c r="T646" s="792"/>
      <c r="U646" s="792"/>
      <c r="V646" s="793"/>
      <c r="W646" s="793"/>
      <c r="X646" s="792"/>
      <c r="Y646" s="792"/>
      <c r="Z646" s="792"/>
      <c r="AA646" s="792"/>
    </row>
    <row r="647" spans="1:27" ht="15.75" customHeight="1">
      <c r="A647" s="792"/>
      <c r="B647" s="792"/>
      <c r="C647" s="792"/>
      <c r="D647" s="792"/>
      <c r="E647" s="792"/>
      <c r="F647" s="792"/>
      <c r="G647" s="792"/>
      <c r="H647" s="792"/>
      <c r="I647" s="792"/>
      <c r="J647" s="792"/>
      <c r="K647" s="792"/>
      <c r="L647" s="792"/>
      <c r="M647" s="792"/>
      <c r="N647" s="792"/>
      <c r="O647" s="792"/>
      <c r="P647" s="792"/>
      <c r="Q647" s="792"/>
      <c r="R647" s="792"/>
      <c r="S647" s="792"/>
      <c r="T647" s="792"/>
      <c r="U647" s="792"/>
      <c r="V647" s="793"/>
      <c r="W647" s="793"/>
      <c r="X647" s="792"/>
      <c r="Y647" s="792"/>
      <c r="Z647" s="792"/>
      <c r="AA647" s="792"/>
    </row>
    <row r="648" spans="1:27" ht="15.75" customHeight="1">
      <c r="A648" s="792"/>
      <c r="B648" s="792"/>
      <c r="C648" s="792"/>
      <c r="D648" s="792"/>
      <c r="E648" s="792"/>
      <c r="F648" s="792"/>
      <c r="G648" s="792"/>
      <c r="H648" s="792"/>
      <c r="I648" s="792"/>
      <c r="J648" s="792"/>
      <c r="K648" s="792"/>
      <c r="L648" s="792"/>
      <c r="M648" s="792"/>
      <c r="N648" s="792"/>
      <c r="O648" s="792"/>
      <c r="P648" s="792"/>
      <c r="Q648" s="792"/>
      <c r="R648" s="792"/>
      <c r="S648" s="792"/>
      <c r="T648" s="792"/>
      <c r="U648" s="792"/>
      <c r="V648" s="793"/>
      <c r="W648" s="793"/>
      <c r="X648" s="792"/>
      <c r="Y648" s="792"/>
      <c r="Z648" s="792"/>
      <c r="AA648" s="792"/>
    </row>
    <row r="649" spans="1:27" ht="15.75" customHeight="1">
      <c r="A649" s="792"/>
      <c r="B649" s="792"/>
      <c r="C649" s="792"/>
      <c r="D649" s="792"/>
      <c r="E649" s="792"/>
      <c r="F649" s="792"/>
      <c r="G649" s="792"/>
      <c r="H649" s="792"/>
      <c r="I649" s="792"/>
      <c r="J649" s="792"/>
      <c r="K649" s="792"/>
      <c r="L649" s="792"/>
      <c r="M649" s="792"/>
      <c r="N649" s="792"/>
      <c r="O649" s="792"/>
      <c r="P649" s="792"/>
      <c r="Q649" s="792"/>
      <c r="R649" s="792"/>
      <c r="S649" s="792"/>
      <c r="T649" s="792"/>
      <c r="U649" s="792"/>
      <c r="V649" s="793"/>
      <c r="W649" s="793"/>
      <c r="X649" s="792"/>
      <c r="Y649" s="792"/>
      <c r="Z649" s="792"/>
      <c r="AA649" s="792"/>
    </row>
    <row r="650" spans="1:27" ht="15.75" customHeight="1">
      <c r="A650" s="792"/>
      <c r="B650" s="792"/>
      <c r="C650" s="792"/>
      <c r="D650" s="792"/>
      <c r="E650" s="792"/>
      <c r="F650" s="792"/>
      <c r="G650" s="792"/>
      <c r="H650" s="792"/>
      <c r="I650" s="792"/>
      <c r="J650" s="792"/>
      <c r="K650" s="792"/>
      <c r="L650" s="792"/>
      <c r="M650" s="792"/>
      <c r="N650" s="792"/>
      <c r="O650" s="792"/>
      <c r="P650" s="792"/>
      <c r="Q650" s="792"/>
      <c r="R650" s="792"/>
      <c r="S650" s="792"/>
      <c r="T650" s="792"/>
      <c r="U650" s="792"/>
      <c r="V650" s="793"/>
      <c r="W650" s="793"/>
      <c r="X650" s="792"/>
      <c r="Y650" s="792"/>
      <c r="Z650" s="792"/>
      <c r="AA650" s="792"/>
    </row>
    <row r="651" spans="1:27" ht="15.75" customHeight="1">
      <c r="A651" s="792"/>
      <c r="B651" s="792"/>
      <c r="C651" s="792"/>
      <c r="D651" s="792"/>
      <c r="E651" s="792"/>
      <c r="F651" s="792"/>
      <c r="G651" s="792"/>
      <c r="H651" s="792"/>
      <c r="I651" s="792"/>
      <c r="J651" s="792"/>
      <c r="K651" s="792"/>
      <c r="L651" s="792"/>
      <c r="M651" s="792"/>
      <c r="N651" s="792"/>
      <c r="O651" s="792"/>
      <c r="P651" s="792"/>
      <c r="Q651" s="792"/>
      <c r="R651" s="792"/>
      <c r="S651" s="792"/>
      <c r="T651" s="792"/>
      <c r="U651" s="792"/>
      <c r="V651" s="793"/>
      <c r="W651" s="793"/>
      <c r="X651" s="792"/>
      <c r="Y651" s="792"/>
      <c r="Z651" s="792"/>
      <c r="AA651" s="792"/>
    </row>
    <row r="652" spans="1:27" ht="15.75" customHeight="1">
      <c r="A652" s="792"/>
      <c r="B652" s="792"/>
      <c r="C652" s="792"/>
      <c r="D652" s="792"/>
      <c r="E652" s="792"/>
      <c r="F652" s="792"/>
      <c r="G652" s="792"/>
      <c r="H652" s="792"/>
      <c r="I652" s="792"/>
      <c r="J652" s="792"/>
      <c r="K652" s="792"/>
      <c r="L652" s="792"/>
      <c r="M652" s="792"/>
      <c r="N652" s="792"/>
      <c r="O652" s="792"/>
      <c r="P652" s="792"/>
      <c r="Q652" s="792"/>
      <c r="R652" s="792"/>
      <c r="S652" s="792"/>
      <c r="T652" s="792"/>
      <c r="U652" s="792"/>
      <c r="V652" s="793"/>
      <c r="W652" s="793"/>
      <c r="X652" s="792"/>
      <c r="Y652" s="792"/>
      <c r="Z652" s="792"/>
      <c r="AA652" s="792"/>
    </row>
    <row r="653" spans="1:27" ht="15.75" customHeight="1">
      <c r="A653" s="792"/>
      <c r="B653" s="792"/>
      <c r="C653" s="792"/>
      <c r="D653" s="792"/>
      <c r="E653" s="792"/>
      <c r="F653" s="792"/>
      <c r="G653" s="792"/>
      <c r="H653" s="792"/>
      <c r="I653" s="792"/>
      <c r="J653" s="792"/>
      <c r="K653" s="792"/>
      <c r="L653" s="792"/>
      <c r="M653" s="792"/>
      <c r="N653" s="792"/>
      <c r="O653" s="792"/>
      <c r="P653" s="792"/>
      <c r="Q653" s="792"/>
      <c r="R653" s="792"/>
      <c r="S653" s="792"/>
      <c r="T653" s="792"/>
      <c r="U653" s="792"/>
      <c r="V653" s="793"/>
      <c r="W653" s="793"/>
      <c r="X653" s="792"/>
      <c r="Y653" s="792"/>
      <c r="Z653" s="792"/>
      <c r="AA653" s="792"/>
    </row>
    <row r="654" spans="1:27" ht="15.75" customHeight="1">
      <c r="A654" s="792"/>
      <c r="B654" s="792"/>
      <c r="C654" s="792"/>
      <c r="D654" s="792"/>
      <c r="E654" s="792"/>
      <c r="F654" s="792"/>
      <c r="G654" s="792"/>
      <c r="H654" s="792"/>
      <c r="I654" s="792"/>
      <c r="J654" s="792"/>
      <c r="K654" s="792"/>
      <c r="L654" s="792"/>
      <c r="M654" s="792"/>
      <c r="N654" s="792"/>
      <c r="O654" s="792"/>
      <c r="P654" s="792"/>
      <c r="Q654" s="792"/>
      <c r="R654" s="792"/>
      <c r="S654" s="792"/>
      <c r="T654" s="792"/>
      <c r="U654" s="792"/>
      <c r="V654" s="793"/>
      <c r="W654" s="793"/>
      <c r="X654" s="792"/>
      <c r="Y654" s="792"/>
      <c r="Z654" s="792"/>
      <c r="AA654" s="792"/>
    </row>
    <row r="655" spans="1:27" ht="15.75" customHeight="1">
      <c r="A655" s="792"/>
      <c r="B655" s="792"/>
      <c r="C655" s="792"/>
      <c r="D655" s="792"/>
      <c r="E655" s="792"/>
      <c r="F655" s="792"/>
      <c r="G655" s="792"/>
      <c r="H655" s="792"/>
      <c r="I655" s="792"/>
      <c r="J655" s="792"/>
      <c r="K655" s="792"/>
      <c r="L655" s="792"/>
      <c r="M655" s="792"/>
      <c r="N655" s="792"/>
      <c r="O655" s="792"/>
      <c r="P655" s="792"/>
      <c r="Q655" s="792"/>
      <c r="R655" s="792"/>
      <c r="S655" s="792"/>
      <c r="T655" s="792"/>
      <c r="U655" s="792"/>
      <c r="V655" s="793"/>
      <c r="W655" s="793"/>
      <c r="X655" s="792"/>
      <c r="Y655" s="792"/>
      <c r="Z655" s="792"/>
      <c r="AA655" s="792"/>
    </row>
    <row r="656" spans="1:27" ht="15.75" customHeight="1">
      <c r="A656" s="792"/>
      <c r="B656" s="792"/>
      <c r="C656" s="792"/>
      <c r="D656" s="792"/>
      <c r="E656" s="792"/>
      <c r="F656" s="792"/>
      <c r="G656" s="792"/>
      <c r="H656" s="792"/>
      <c r="I656" s="792"/>
      <c r="J656" s="792"/>
      <c r="K656" s="792"/>
      <c r="L656" s="792"/>
      <c r="M656" s="792"/>
      <c r="N656" s="792"/>
      <c r="O656" s="792"/>
      <c r="P656" s="792"/>
      <c r="Q656" s="792"/>
      <c r="R656" s="792"/>
      <c r="S656" s="792"/>
      <c r="T656" s="792"/>
      <c r="U656" s="792"/>
      <c r="V656" s="793"/>
      <c r="W656" s="793"/>
      <c r="X656" s="792"/>
      <c r="Y656" s="792"/>
      <c r="Z656" s="792"/>
      <c r="AA656" s="792"/>
    </row>
    <row r="657" spans="1:27" ht="15.75" customHeight="1">
      <c r="A657" s="792"/>
      <c r="B657" s="792"/>
      <c r="C657" s="792"/>
      <c r="D657" s="792"/>
      <c r="E657" s="792"/>
      <c r="F657" s="792"/>
      <c r="G657" s="792"/>
      <c r="H657" s="792"/>
      <c r="I657" s="792"/>
      <c r="J657" s="792"/>
      <c r="K657" s="792"/>
      <c r="L657" s="792"/>
      <c r="M657" s="792"/>
      <c r="N657" s="792"/>
      <c r="O657" s="792"/>
      <c r="P657" s="792"/>
      <c r="Q657" s="792"/>
      <c r="R657" s="792"/>
      <c r="S657" s="792"/>
      <c r="T657" s="792"/>
      <c r="U657" s="792"/>
      <c r="V657" s="793"/>
      <c r="W657" s="793"/>
      <c r="X657" s="792"/>
      <c r="Y657" s="792"/>
      <c r="Z657" s="792"/>
      <c r="AA657" s="792"/>
    </row>
    <row r="658" spans="1:27" ht="15.75" customHeight="1">
      <c r="A658" s="792"/>
      <c r="B658" s="792"/>
      <c r="C658" s="792"/>
      <c r="D658" s="792"/>
      <c r="E658" s="792"/>
      <c r="F658" s="792"/>
      <c r="G658" s="792"/>
      <c r="H658" s="792"/>
      <c r="I658" s="792"/>
      <c r="J658" s="792"/>
      <c r="K658" s="792"/>
      <c r="L658" s="792"/>
      <c r="M658" s="792"/>
      <c r="N658" s="792"/>
      <c r="O658" s="792"/>
      <c r="P658" s="792"/>
      <c r="Q658" s="792"/>
      <c r="R658" s="792"/>
      <c r="S658" s="792"/>
      <c r="T658" s="792"/>
      <c r="U658" s="792"/>
      <c r="V658" s="793"/>
      <c r="W658" s="793"/>
      <c r="X658" s="792"/>
      <c r="Y658" s="792"/>
      <c r="Z658" s="792"/>
      <c r="AA658" s="792"/>
    </row>
    <row r="659" spans="1:27" ht="15.75" customHeight="1">
      <c r="A659" s="792"/>
      <c r="B659" s="792"/>
      <c r="C659" s="792"/>
      <c r="D659" s="792"/>
      <c r="E659" s="792"/>
      <c r="F659" s="792"/>
      <c r="G659" s="792"/>
      <c r="H659" s="792"/>
      <c r="I659" s="792"/>
      <c r="J659" s="792"/>
      <c r="K659" s="792"/>
      <c r="L659" s="792"/>
      <c r="M659" s="792"/>
      <c r="N659" s="792"/>
      <c r="O659" s="792"/>
      <c r="P659" s="792"/>
      <c r="Q659" s="792"/>
      <c r="R659" s="792"/>
      <c r="S659" s="792"/>
      <c r="T659" s="792"/>
      <c r="U659" s="792"/>
      <c r="V659" s="793"/>
      <c r="W659" s="793"/>
      <c r="X659" s="792"/>
      <c r="Y659" s="792"/>
      <c r="Z659" s="792"/>
      <c r="AA659" s="792"/>
    </row>
    <row r="660" spans="1:27" ht="15.75" customHeight="1">
      <c r="A660" s="792"/>
      <c r="B660" s="792"/>
      <c r="C660" s="792"/>
      <c r="D660" s="792"/>
      <c r="E660" s="792"/>
      <c r="F660" s="792"/>
      <c r="G660" s="792"/>
      <c r="H660" s="792"/>
      <c r="I660" s="792"/>
      <c r="J660" s="792"/>
      <c r="K660" s="792"/>
      <c r="L660" s="792"/>
      <c r="M660" s="792"/>
      <c r="N660" s="792"/>
      <c r="O660" s="792"/>
      <c r="P660" s="792"/>
      <c r="Q660" s="792"/>
      <c r="R660" s="792"/>
      <c r="S660" s="792"/>
      <c r="T660" s="792"/>
      <c r="U660" s="792"/>
      <c r="V660" s="793"/>
      <c r="W660" s="793"/>
      <c r="X660" s="792"/>
      <c r="Y660" s="792"/>
      <c r="Z660" s="792"/>
      <c r="AA660" s="792"/>
    </row>
    <row r="661" spans="1:27" ht="15.75" customHeight="1">
      <c r="A661" s="792"/>
      <c r="B661" s="792"/>
      <c r="C661" s="792"/>
      <c r="D661" s="792"/>
      <c r="E661" s="792"/>
      <c r="F661" s="792"/>
      <c r="G661" s="792"/>
      <c r="H661" s="792"/>
      <c r="I661" s="792"/>
      <c r="J661" s="792"/>
      <c r="K661" s="792"/>
      <c r="L661" s="792"/>
      <c r="M661" s="792"/>
      <c r="N661" s="792"/>
      <c r="O661" s="792"/>
      <c r="P661" s="792"/>
      <c r="Q661" s="792"/>
      <c r="R661" s="792"/>
      <c r="S661" s="792"/>
      <c r="T661" s="792"/>
      <c r="U661" s="792"/>
      <c r="V661" s="793"/>
      <c r="W661" s="793"/>
      <c r="X661" s="792"/>
      <c r="Y661" s="792"/>
      <c r="Z661" s="792"/>
      <c r="AA661" s="792"/>
    </row>
    <row r="662" spans="1:27" ht="15.75" customHeight="1">
      <c r="A662" s="792"/>
      <c r="B662" s="792"/>
      <c r="C662" s="792"/>
      <c r="D662" s="792"/>
      <c r="E662" s="792"/>
      <c r="F662" s="792"/>
      <c r="G662" s="792"/>
      <c r="H662" s="792"/>
      <c r="I662" s="792"/>
      <c r="J662" s="792"/>
      <c r="K662" s="792"/>
      <c r="L662" s="792"/>
      <c r="M662" s="792"/>
      <c r="N662" s="792"/>
      <c r="O662" s="792"/>
      <c r="P662" s="792"/>
      <c r="Q662" s="792"/>
      <c r="R662" s="792"/>
      <c r="S662" s="792"/>
      <c r="T662" s="792"/>
      <c r="U662" s="792"/>
      <c r="V662" s="793"/>
      <c r="W662" s="793"/>
      <c r="X662" s="792"/>
      <c r="Y662" s="792"/>
      <c r="Z662" s="792"/>
      <c r="AA662" s="792"/>
    </row>
    <row r="663" spans="1:27" ht="15.75" customHeight="1">
      <c r="A663" s="792"/>
      <c r="B663" s="792"/>
      <c r="C663" s="792"/>
      <c r="D663" s="792"/>
      <c r="E663" s="792"/>
      <c r="F663" s="792"/>
      <c r="G663" s="792"/>
      <c r="H663" s="792"/>
      <c r="I663" s="792"/>
      <c r="J663" s="792"/>
      <c r="K663" s="792"/>
      <c r="L663" s="792"/>
      <c r="M663" s="792"/>
      <c r="N663" s="792"/>
      <c r="O663" s="792"/>
      <c r="P663" s="792"/>
      <c r="Q663" s="792"/>
      <c r="R663" s="792"/>
      <c r="S663" s="792"/>
      <c r="T663" s="792"/>
      <c r="U663" s="792"/>
      <c r="V663" s="793"/>
      <c r="W663" s="793"/>
      <c r="X663" s="792"/>
      <c r="Y663" s="792"/>
      <c r="Z663" s="792"/>
      <c r="AA663" s="792"/>
    </row>
    <row r="664" spans="1:27" ht="15.75" customHeight="1">
      <c r="A664" s="792"/>
      <c r="B664" s="792"/>
      <c r="C664" s="792"/>
      <c r="D664" s="792"/>
      <c r="E664" s="792"/>
      <c r="F664" s="792"/>
      <c r="G664" s="792"/>
      <c r="H664" s="792"/>
      <c r="I664" s="792"/>
      <c r="J664" s="792"/>
      <c r="K664" s="792"/>
      <c r="L664" s="792"/>
      <c r="M664" s="792"/>
      <c r="N664" s="792"/>
      <c r="O664" s="792"/>
      <c r="P664" s="792"/>
      <c r="Q664" s="792"/>
      <c r="R664" s="792"/>
      <c r="S664" s="792"/>
      <c r="T664" s="792"/>
      <c r="U664" s="792"/>
      <c r="V664" s="793"/>
      <c r="W664" s="793"/>
      <c r="X664" s="792"/>
      <c r="Y664" s="792"/>
      <c r="Z664" s="792"/>
      <c r="AA664" s="792"/>
    </row>
    <row r="665" spans="1:27" ht="15.75" customHeight="1">
      <c r="A665" s="792"/>
      <c r="B665" s="792"/>
      <c r="C665" s="792"/>
      <c r="D665" s="792"/>
      <c r="E665" s="792"/>
      <c r="F665" s="792"/>
      <c r="G665" s="792"/>
      <c r="H665" s="792"/>
      <c r="I665" s="792"/>
      <c r="J665" s="792"/>
      <c r="K665" s="792"/>
      <c r="L665" s="792"/>
      <c r="M665" s="792"/>
      <c r="N665" s="792"/>
      <c r="O665" s="792"/>
      <c r="P665" s="792"/>
      <c r="Q665" s="792"/>
      <c r="R665" s="792"/>
      <c r="S665" s="792"/>
      <c r="T665" s="792"/>
      <c r="U665" s="792"/>
      <c r="V665" s="793"/>
      <c r="W665" s="793"/>
      <c r="X665" s="792"/>
      <c r="Y665" s="792"/>
      <c r="Z665" s="792"/>
      <c r="AA665" s="792"/>
    </row>
    <row r="666" spans="1:27" ht="15.75" customHeight="1">
      <c r="A666" s="792"/>
      <c r="B666" s="792"/>
      <c r="C666" s="792"/>
      <c r="D666" s="792"/>
      <c r="E666" s="792"/>
      <c r="F666" s="792"/>
      <c r="G666" s="792"/>
      <c r="H666" s="792"/>
      <c r="I666" s="792"/>
      <c r="J666" s="792"/>
      <c r="K666" s="792"/>
      <c r="L666" s="792"/>
      <c r="M666" s="792"/>
      <c r="N666" s="792"/>
      <c r="O666" s="792"/>
      <c r="P666" s="792"/>
      <c r="Q666" s="792"/>
      <c r="R666" s="792"/>
      <c r="S666" s="792"/>
      <c r="T666" s="792"/>
      <c r="U666" s="792"/>
      <c r="V666" s="793"/>
      <c r="W666" s="793"/>
      <c r="X666" s="792"/>
      <c r="Y666" s="792"/>
      <c r="Z666" s="792"/>
      <c r="AA666" s="792"/>
    </row>
    <row r="667" spans="1:27" ht="15.75" customHeight="1">
      <c r="A667" s="792"/>
      <c r="B667" s="792"/>
      <c r="C667" s="792"/>
      <c r="D667" s="792"/>
      <c r="E667" s="792"/>
      <c r="F667" s="792"/>
      <c r="G667" s="792"/>
      <c r="H667" s="792"/>
      <c r="I667" s="792"/>
      <c r="J667" s="792"/>
      <c r="K667" s="792"/>
      <c r="L667" s="792"/>
      <c r="M667" s="792"/>
      <c r="N667" s="792"/>
      <c r="O667" s="792"/>
      <c r="P667" s="792"/>
      <c r="Q667" s="792"/>
      <c r="R667" s="792"/>
      <c r="S667" s="792"/>
      <c r="T667" s="792"/>
      <c r="U667" s="792"/>
      <c r="V667" s="793"/>
      <c r="W667" s="793"/>
      <c r="X667" s="792"/>
      <c r="Y667" s="792"/>
      <c r="Z667" s="792"/>
      <c r="AA667" s="792"/>
    </row>
    <row r="668" spans="1:27" ht="15.75" customHeight="1">
      <c r="A668" s="792"/>
      <c r="B668" s="792"/>
      <c r="C668" s="792"/>
      <c r="D668" s="792"/>
      <c r="E668" s="792"/>
      <c r="F668" s="792"/>
      <c r="G668" s="792"/>
      <c r="H668" s="792"/>
      <c r="I668" s="792"/>
      <c r="J668" s="792"/>
      <c r="K668" s="792"/>
      <c r="L668" s="792"/>
      <c r="M668" s="792"/>
      <c r="N668" s="792"/>
      <c r="O668" s="792"/>
      <c r="P668" s="792"/>
      <c r="Q668" s="792"/>
      <c r="R668" s="792"/>
      <c r="S668" s="792"/>
      <c r="T668" s="792"/>
      <c r="U668" s="792"/>
      <c r="V668" s="793"/>
      <c r="W668" s="793"/>
      <c r="X668" s="792"/>
      <c r="Y668" s="792"/>
      <c r="Z668" s="792"/>
      <c r="AA668" s="792"/>
    </row>
    <row r="669" spans="1:27" ht="15.75" customHeight="1">
      <c r="A669" s="792"/>
      <c r="B669" s="792"/>
      <c r="C669" s="792"/>
      <c r="D669" s="792"/>
      <c r="E669" s="792"/>
      <c r="F669" s="792"/>
      <c r="G669" s="792"/>
      <c r="H669" s="792"/>
      <c r="I669" s="792"/>
      <c r="J669" s="792"/>
      <c r="K669" s="792"/>
      <c r="L669" s="792"/>
      <c r="M669" s="792"/>
      <c r="N669" s="792"/>
      <c r="O669" s="792"/>
      <c r="P669" s="792"/>
      <c r="Q669" s="792"/>
      <c r="R669" s="792"/>
      <c r="S669" s="792"/>
      <c r="T669" s="792"/>
      <c r="U669" s="792"/>
      <c r="V669" s="793"/>
      <c r="W669" s="793"/>
      <c r="X669" s="792"/>
      <c r="Y669" s="792"/>
      <c r="Z669" s="792"/>
      <c r="AA669" s="792"/>
    </row>
    <row r="670" spans="1:27" ht="15.75" customHeight="1">
      <c r="A670" s="792"/>
      <c r="B670" s="792"/>
      <c r="C670" s="792"/>
      <c r="D670" s="792"/>
      <c r="E670" s="792"/>
      <c r="F670" s="792"/>
      <c r="G670" s="792"/>
      <c r="H670" s="792"/>
      <c r="I670" s="792"/>
      <c r="J670" s="792"/>
      <c r="K670" s="792"/>
      <c r="L670" s="792"/>
      <c r="M670" s="792"/>
      <c r="N670" s="792"/>
      <c r="O670" s="792"/>
      <c r="P670" s="792"/>
      <c r="Q670" s="792"/>
      <c r="R670" s="792"/>
      <c r="S670" s="792"/>
      <c r="T670" s="792"/>
      <c r="U670" s="792"/>
      <c r="V670" s="793"/>
      <c r="W670" s="793"/>
      <c r="X670" s="792"/>
      <c r="Y670" s="792"/>
      <c r="Z670" s="792"/>
      <c r="AA670" s="792"/>
    </row>
    <row r="671" spans="1:27" ht="15.75" customHeight="1">
      <c r="A671" s="792"/>
      <c r="B671" s="792"/>
      <c r="C671" s="792"/>
      <c r="D671" s="792"/>
      <c r="E671" s="792"/>
      <c r="F671" s="792"/>
      <c r="G671" s="792"/>
      <c r="H671" s="792"/>
      <c r="I671" s="792"/>
      <c r="J671" s="792"/>
      <c r="K671" s="792"/>
      <c r="L671" s="792"/>
      <c r="M671" s="792"/>
      <c r="N671" s="792"/>
      <c r="O671" s="792"/>
      <c r="P671" s="792"/>
      <c r="Q671" s="792"/>
      <c r="R671" s="792"/>
      <c r="S671" s="792"/>
      <c r="T671" s="792"/>
      <c r="U671" s="792"/>
      <c r="V671" s="793"/>
      <c r="W671" s="793"/>
      <c r="X671" s="792"/>
      <c r="Y671" s="792"/>
      <c r="Z671" s="792"/>
      <c r="AA671" s="792"/>
    </row>
    <row r="672" spans="1:27" ht="15.75" customHeight="1">
      <c r="A672" s="792"/>
      <c r="B672" s="792"/>
      <c r="C672" s="792"/>
      <c r="D672" s="792"/>
      <c r="E672" s="792"/>
      <c r="F672" s="792"/>
      <c r="G672" s="792"/>
      <c r="H672" s="792"/>
      <c r="I672" s="792"/>
      <c r="J672" s="792"/>
      <c r="K672" s="792"/>
      <c r="L672" s="792"/>
      <c r="M672" s="792"/>
      <c r="N672" s="792"/>
      <c r="O672" s="792"/>
      <c r="P672" s="792"/>
      <c r="Q672" s="792"/>
      <c r="R672" s="792"/>
      <c r="S672" s="792"/>
      <c r="T672" s="792"/>
      <c r="U672" s="792"/>
      <c r="V672" s="793"/>
      <c r="W672" s="793"/>
      <c r="X672" s="792"/>
      <c r="Y672" s="792"/>
      <c r="Z672" s="792"/>
      <c r="AA672" s="792"/>
    </row>
    <row r="673" spans="1:27" ht="15.75" customHeight="1">
      <c r="A673" s="792"/>
      <c r="B673" s="792"/>
      <c r="C673" s="792"/>
      <c r="D673" s="792"/>
      <c r="E673" s="792"/>
      <c r="F673" s="792"/>
      <c r="G673" s="792"/>
      <c r="H673" s="792"/>
      <c r="I673" s="792"/>
      <c r="J673" s="792"/>
      <c r="K673" s="792"/>
      <c r="L673" s="792"/>
      <c r="M673" s="792"/>
      <c r="N673" s="792"/>
      <c r="O673" s="792"/>
      <c r="P673" s="792"/>
      <c r="Q673" s="792"/>
      <c r="R673" s="792"/>
      <c r="S673" s="792"/>
      <c r="T673" s="792"/>
      <c r="U673" s="792"/>
      <c r="V673" s="793"/>
      <c r="W673" s="793"/>
      <c r="X673" s="792"/>
      <c r="Y673" s="792"/>
      <c r="Z673" s="792"/>
      <c r="AA673" s="792"/>
    </row>
    <row r="674" spans="1:27" ht="15.75" customHeight="1">
      <c r="A674" s="792"/>
      <c r="B674" s="792"/>
      <c r="C674" s="792"/>
      <c r="D674" s="792"/>
      <c r="E674" s="792"/>
      <c r="F674" s="792"/>
      <c r="G674" s="792"/>
      <c r="H674" s="792"/>
      <c r="I674" s="792"/>
      <c r="J674" s="792"/>
      <c r="K674" s="792"/>
      <c r="L674" s="792"/>
      <c r="M674" s="792"/>
      <c r="N674" s="792"/>
      <c r="O674" s="792"/>
      <c r="P674" s="792"/>
      <c r="Q674" s="792"/>
      <c r="R674" s="792"/>
      <c r="S674" s="792"/>
      <c r="T674" s="792"/>
      <c r="U674" s="792"/>
      <c r="V674" s="793"/>
      <c r="W674" s="793"/>
      <c r="X674" s="792"/>
      <c r="Y674" s="792"/>
      <c r="Z674" s="792"/>
      <c r="AA674" s="792"/>
    </row>
    <row r="675" spans="1:27" ht="15.75" customHeight="1">
      <c r="A675" s="792"/>
      <c r="B675" s="792"/>
      <c r="C675" s="792"/>
      <c r="D675" s="792"/>
      <c r="E675" s="792"/>
      <c r="F675" s="792"/>
      <c r="G675" s="792"/>
      <c r="H675" s="792"/>
      <c r="I675" s="792"/>
      <c r="J675" s="792"/>
      <c r="K675" s="792"/>
      <c r="L675" s="792"/>
      <c r="M675" s="792"/>
      <c r="N675" s="792"/>
      <c r="O675" s="792"/>
      <c r="P675" s="792"/>
      <c r="Q675" s="792"/>
      <c r="R675" s="792"/>
      <c r="S675" s="792"/>
      <c r="T675" s="792"/>
      <c r="U675" s="792"/>
      <c r="V675" s="793"/>
      <c r="W675" s="793"/>
      <c r="X675" s="792"/>
      <c r="Y675" s="792"/>
      <c r="Z675" s="792"/>
      <c r="AA675" s="792"/>
    </row>
    <row r="676" spans="1:27" ht="15.75" customHeight="1">
      <c r="A676" s="792"/>
      <c r="B676" s="792"/>
      <c r="C676" s="792"/>
      <c r="D676" s="792"/>
      <c r="E676" s="792"/>
      <c r="F676" s="792"/>
      <c r="G676" s="792"/>
      <c r="H676" s="792"/>
      <c r="I676" s="792"/>
      <c r="J676" s="792"/>
      <c r="K676" s="792"/>
      <c r="L676" s="792"/>
      <c r="M676" s="792"/>
      <c r="N676" s="792"/>
      <c r="O676" s="792"/>
      <c r="P676" s="792"/>
      <c r="Q676" s="792"/>
      <c r="R676" s="792"/>
      <c r="S676" s="792"/>
      <c r="T676" s="792"/>
      <c r="U676" s="792"/>
      <c r="V676" s="793"/>
      <c r="W676" s="793"/>
      <c r="X676" s="792"/>
      <c r="Y676" s="792"/>
      <c r="Z676" s="792"/>
      <c r="AA676" s="792"/>
    </row>
    <row r="677" spans="1:27" ht="15.75" customHeight="1">
      <c r="A677" s="792"/>
      <c r="B677" s="792"/>
      <c r="C677" s="792"/>
      <c r="D677" s="792"/>
      <c r="E677" s="792"/>
      <c r="F677" s="792"/>
      <c r="G677" s="792"/>
      <c r="H677" s="792"/>
      <c r="I677" s="792"/>
      <c r="J677" s="792"/>
      <c r="K677" s="792"/>
      <c r="L677" s="792"/>
      <c r="M677" s="792"/>
      <c r="N677" s="792"/>
      <c r="O677" s="792"/>
      <c r="P677" s="792"/>
      <c r="Q677" s="792"/>
      <c r="R677" s="792"/>
      <c r="S677" s="792"/>
      <c r="T677" s="792"/>
      <c r="U677" s="792"/>
      <c r="V677" s="793"/>
      <c r="W677" s="793"/>
      <c r="X677" s="792"/>
      <c r="Y677" s="792"/>
      <c r="Z677" s="792"/>
      <c r="AA677" s="792"/>
    </row>
    <row r="678" spans="1:27" ht="15.75" customHeight="1">
      <c r="A678" s="792"/>
      <c r="B678" s="792"/>
      <c r="C678" s="792"/>
      <c r="D678" s="792"/>
      <c r="E678" s="792"/>
      <c r="F678" s="792"/>
      <c r="G678" s="792"/>
      <c r="H678" s="792"/>
      <c r="I678" s="792"/>
      <c r="J678" s="792"/>
      <c r="K678" s="792"/>
      <c r="L678" s="792"/>
      <c r="M678" s="792"/>
      <c r="N678" s="792"/>
      <c r="O678" s="792"/>
      <c r="P678" s="792"/>
      <c r="Q678" s="792"/>
      <c r="R678" s="792"/>
      <c r="S678" s="792"/>
      <c r="T678" s="792"/>
      <c r="U678" s="792"/>
      <c r="V678" s="793"/>
      <c r="W678" s="793"/>
      <c r="X678" s="792"/>
      <c r="Y678" s="792"/>
      <c r="Z678" s="792"/>
      <c r="AA678" s="792"/>
    </row>
    <row r="679" spans="1:27" ht="15.75" customHeight="1">
      <c r="A679" s="792"/>
      <c r="B679" s="792"/>
      <c r="C679" s="792"/>
      <c r="D679" s="792"/>
      <c r="E679" s="792"/>
      <c r="F679" s="792"/>
      <c r="G679" s="792"/>
      <c r="H679" s="792"/>
      <c r="I679" s="792"/>
      <c r="J679" s="792"/>
      <c r="K679" s="792"/>
      <c r="L679" s="792"/>
      <c r="M679" s="792"/>
      <c r="N679" s="792"/>
      <c r="O679" s="792"/>
      <c r="P679" s="792"/>
      <c r="Q679" s="792"/>
      <c r="R679" s="792"/>
      <c r="S679" s="792"/>
      <c r="T679" s="792"/>
      <c r="U679" s="792"/>
      <c r="V679" s="793"/>
      <c r="W679" s="793"/>
      <c r="X679" s="792"/>
      <c r="Y679" s="792"/>
      <c r="Z679" s="792"/>
      <c r="AA679" s="792"/>
    </row>
    <row r="680" spans="1:27" ht="15.75" customHeight="1">
      <c r="A680" s="792"/>
      <c r="B680" s="792"/>
      <c r="C680" s="792"/>
      <c r="D680" s="792"/>
      <c r="E680" s="792"/>
      <c r="F680" s="792"/>
      <c r="G680" s="792"/>
      <c r="H680" s="792"/>
      <c r="I680" s="792"/>
      <c r="J680" s="792"/>
      <c r="K680" s="792"/>
      <c r="L680" s="792"/>
      <c r="M680" s="792"/>
      <c r="N680" s="792"/>
      <c r="O680" s="792"/>
      <c r="P680" s="792"/>
      <c r="Q680" s="792"/>
      <c r="R680" s="792"/>
      <c r="S680" s="792"/>
      <c r="T680" s="792"/>
      <c r="U680" s="792"/>
      <c r="V680" s="793"/>
      <c r="W680" s="793"/>
      <c r="X680" s="792"/>
      <c r="Y680" s="792"/>
      <c r="Z680" s="792"/>
      <c r="AA680" s="792"/>
    </row>
    <row r="681" spans="1:27" ht="15.75" customHeight="1">
      <c r="A681" s="792"/>
      <c r="B681" s="792"/>
      <c r="C681" s="792"/>
      <c r="D681" s="792"/>
      <c r="E681" s="792"/>
      <c r="F681" s="792"/>
      <c r="G681" s="792"/>
      <c r="H681" s="792"/>
      <c r="I681" s="792"/>
      <c r="J681" s="792"/>
      <c r="K681" s="792"/>
      <c r="L681" s="792"/>
      <c r="M681" s="792"/>
      <c r="N681" s="792"/>
      <c r="O681" s="792"/>
      <c r="P681" s="792"/>
      <c r="Q681" s="792"/>
      <c r="R681" s="792"/>
      <c r="S681" s="792"/>
      <c r="T681" s="792"/>
      <c r="U681" s="792"/>
      <c r="V681" s="793"/>
      <c r="W681" s="793"/>
      <c r="X681" s="792"/>
      <c r="Y681" s="792"/>
      <c r="Z681" s="792"/>
      <c r="AA681" s="792"/>
    </row>
    <row r="682" spans="1:27" ht="15.75" customHeight="1">
      <c r="A682" s="792"/>
      <c r="B682" s="792"/>
      <c r="C682" s="792"/>
      <c r="D682" s="792"/>
      <c r="E682" s="792"/>
      <c r="F682" s="792"/>
      <c r="G682" s="792"/>
      <c r="H682" s="792"/>
      <c r="I682" s="792"/>
      <c r="J682" s="792"/>
      <c r="K682" s="792"/>
      <c r="L682" s="792"/>
      <c r="M682" s="792"/>
      <c r="N682" s="792"/>
      <c r="O682" s="792"/>
      <c r="P682" s="792"/>
      <c r="Q682" s="792"/>
      <c r="R682" s="792"/>
      <c r="S682" s="792"/>
      <c r="T682" s="792"/>
      <c r="U682" s="792"/>
      <c r="V682" s="793"/>
      <c r="W682" s="793"/>
      <c r="X682" s="792"/>
      <c r="Y682" s="792"/>
      <c r="Z682" s="792"/>
      <c r="AA682" s="792"/>
    </row>
    <row r="683" spans="1:27" ht="15.75" customHeight="1">
      <c r="A683" s="792"/>
      <c r="B683" s="792"/>
      <c r="C683" s="792"/>
      <c r="D683" s="792"/>
      <c r="E683" s="792"/>
      <c r="F683" s="792"/>
      <c r="G683" s="792"/>
      <c r="H683" s="792"/>
      <c r="I683" s="792"/>
      <c r="J683" s="792"/>
      <c r="K683" s="792"/>
      <c r="L683" s="792"/>
      <c r="M683" s="792"/>
      <c r="N683" s="792"/>
      <c r="O683" s="792"/>
      <c r="P683" s="792"/>
      <c r="Q683" s="792"/>
      <c r="R683" s="792"/>
      <c r="S683" s="792"/>
      <c r="T683" s="792"/>
      <c r="U683" s="792"/>
      <c r="V683" s="793"/>
      <c r="W683" s="793"/>
      <c r="X683" s="792"/>
      <c r="Y683" s="792"/>
      <c r="Z683" s="792"/>
      <c r="AA683" s="792"/>
    </row>
    <row r="684" spans="1:27" ht="15.75" customHeight="1">
      <c r="A684" s="792"/>
      <c r="B684" s="792"/>
      <c r="C684" s="792"/>
      <c r="D684" s="792"/>
      <c r="E684" s="792"/>
      <c r="F684" s="792"/>
      <c r="G684" s="792"/>
      <c r="H684" s="792"/>
      <c r="I684" s="792"/>
      <c r="J684" s="792"/>
      <c r="K684" s="792"/>
      <c r="L684" s="792"/>
      <c r="M684" s="792"/>
      <c r="N684" s="792"/>
      <c r="O684" s="792"/>
      <c r="P684" s="792"/>
      <c r="Q684" s="792"/>
      <c r="R684" s="792"/>
      <c r="S684" s="792"/>
      <c r="T684" s="792"/>
      <c r="U684" s="792"/>
      <c r="V684" s="793"/>
      <c r="W684" s="793"/>
      <c r="X684" s="792"/>
      <c r="Y684" s="792"/>
      <c r="Z684" s="792"/>
      <c r="AA684" s="792"/>
    </row>
    <row r="685" spans="1:27" ht="15.75" customHeight="1">
      <c r="A685" s="792"/>
      <c r="B685" s="792"/>
      <c r="C685" s="792"/>
      <c r="D685" s="792"/>
      <c r="E685" s="792"/>
      <c r="F685" s="792"/>
      <c r="G685" s="792"/>
      <c r="H685" s="792"/>
      <c r="I685" s="792"/>
      <c r="J685" s="792"/>
      <c r="K685" s="792"/>
      <c r="L685" s="792"/>
      <c r="M685" s="792"/>
      <c r="N685" s="792"/>
      <c r="O685" s="792"/>
      <c r="P685" s="792"/>
      <c r="Q685" s="792"/>
      <c r="R685" s="792"/>
      <c r="S685" s="792"/>
      <c r="T685" s="792"/>
      <c r="U685" s="792"/>
      <c r="V685" s="793"/>
      <c r="W685" s="793"/>
      <c r="X685" s="792"/>
      <c r="Y685" s="792"/>
      <c r="Z685" s="792"/>
      <c r="AA685" s="792"/>
    </row>
    <row r="686" spans="1:27" ht="15.75" customHeight="1">
      <c r="A686" s="792"/>
      <c r="B686" s="792"/>
      <c r="C686" s="792"/>
      <c r="D686" s="792"/>
      <c r="E686" s="792"/>
      <c r="F686" s="792"/>
      <c r="G686" s="792"/>
      <c r="H686" s="792"/>
      <c r="I686" s="792"/>
      <c r="J686" s="792"/>
      <c r="K686" s="792"/>
      <c r="L686" s="792"/>
      <c r="M686" s="792"/>
      <c r="N686" s="792"/>
      <c r="O686" s="792"/>
      <c r="P686" s="792"/>
      <c r="Q686" s="792"/>
      <c r="R686" s="792"/>
      <c r="S686" s="792"/>
      <c r="T686" s="792"/>
      <c r="U686" s="792"/>
      <c r="V686" s="793"/>
      <c r="W686" s="793"/>
      <c r="X686" s="792"/>
      <c r="Y686" s="792"/>
      <c r="Z686" s="792"/>
      <c r="AA686" s="792"/>
    </row>
    <row r="687" spans="1:27" ht="15.75" customHeight="1">
      <c r="A687" s="792"/>
      <c r="B687" s="792"/>
      <c r="C687" s="792"/>
      <c r="D687" s="792"/>
      <c r="E687" s="792"/>
      <c r="F687" s="792"/>
      <c r="G687" s="792"/>
      <c r="H687" s="792"/>
      <c r="I687" s="792"/>
      <c r="J687" s="792"/>
      <c r="K687" s="792"/>
      <c r="L687" s="792"/>
      <c r="M687" s="792"/>
      <c r="N687" s="792"/>
      <c r="O687" s="792"/>
      <c r="P687" s="792"/>
      <c r="Q687" s="792"/>
      <c r="R687" s="792"/>
      <c r="S687" s="792"/>
      <c r="T687" s="792"/>
      <c r="U687" s="792"/>
      <c r="V687" s="793"/>
      <c r="W687" s="793"/>
      <c r="X687" s="792"/>
      <c r="Y687" s="792"/>
      <c r="Z687" s="792"/>
      <c r="AA687" s="792"/>
    </row>
    <row r="688" spans="1:27" ht="15.75" customHeight="1">
      <c r="A688" s="792"/>
      <c r="B688" s="792"/>
      <c r="C688" s="792"/>
      <c r="D688" s="792"/>
      <c r="E688" s="792"/>
      <c r="F688" s="792"/>
      <c r="G688" s="792"/>
      <c r="H688" s="792"/>
      <c r="I688" s="792"/>
      <c r="J688" s="792"/>
      <c r="K688" s="792"/>
      <c r="L688" s="792"/>
      <c r="M688" s="792"/>
      <c r="N688" s="792"/>
      <c r="O688" s="792"/>
      <c r="P688" s="792"/>
      <c r="Q688" s="792"/>
      <c r="R688" s="792"/>
      <c r="S688" s="792"/>
      <c r="T688" s="792"/>
      <c r="U688" s="792"/>
      <c r="V688" s="793"/>
      <c r="W688" s="793"/>
      <c r="X688" s="792"/>
      <c r="Y688" s="792"/>
      <c r="Z688" s="792"/>
      <c r="AA688" s="792"/>
    </row>
    <row r="689" spans="1:27" ht="15.75" customHeight="1">
      <c r="A689" s="792"/>
      <c r="B689" s="792"/>
      <c r="C689" s="792"/>
      <c r="D689" s="792"/>
      <c r="E689" s="792"/>
      <c r="F689" s="792"/>
      <c r="G689" s="792"/>
      <c r="H689" s="792"/>
      <c r="I689" s="792"/>
      <c r="J689" s="792"/>
      <c r="K689" s="792"/>
      <c r="L689" s="792"/>
      <c r="M689" s="792"/>
      <c r="N689" s="792"/>
      <c r="O689" s="792"/>
      <c r="P689" s="792"/>
      <c r="Q689" s="792"/>
      <c r="R689" s="792"/>
      <c r="S689" s="792"/>
      <c r="T689" s="792"/>
      <c r="U689" s="792"/>
      <c r="V689" s="793"/>
      <c r="W689" s="793"/>
      <c r="X689" s="792"/>
      <c r="Y689" s="792"/>
      <c r="Z689" s="792"/>
      <c r="AA689" s="792"/>
    </row>
    <row r="690" spans="1:27" ht="15.75" customHeight="1">
      <c r="A690" s="792"/>
      <c r="B690" s="792"/>
      <c r="C690" s="792"/>
      <c r="D690" s="792"/>
      <c r="E690" s="792"/>
      <c r="F690" s="792"/>
      <c r="G690" s="792"/>
      <c r="H690" s="792"/>
      <c r="I690" s="792"/>
      <c r="J690" s="792"/>
      <c r="K690" s="792"/>
      <c r="L690" s="792"/>
      <c r="M690" s="792"/>
      <c r="N690" s="792"/>
      <c r="O690" s="792"/>
      <c r="P690" s="792"/>
      <c r="Q690" s="792"/>
      <c r="R690" s="792"/>
      <c r="S690" s="792"/>
      <c r="T690" s="792"/>
      <c r="U690" s="792"/>
      <c r="V690" s="793"/>
      <c r="W690" s="793"/>
      <c r="X690" s="792"/>
      <c r="Y690" s="792"/>
      <c r="Z690" s="792"/>
      <c r="AA690" s="792"/>
    </row>
    <row r="691" spans="1:27" ht="15.75" customHeight="1">
      <c r="A691" s="792"/>
      <c r="B691" s="792"/>
      <c r="C691" s="792"/>
      <c r="D691" s="792"/>
      <c r="E691" s="792"/>
      <c r="F691" s="792"/>
      <c r="G691" s="792"/>
      <c r="H691" s="792"/>
      <c r="I691" s="792"/>
      <c r="J691" s="792"/>
      <c r="K691" s="792"/>
      <c r="L691" s="792"/>
      <c r="M691" s="792"/>
      <c r="N691" s="792"/>
      <c r="O691" s="792"/>
      <c r="P691" s="792"/>
      <c r="Q691" s="792"/>
      <c r="R691" s="792"/>
      <c r="S691" s="792"/>
      <c r="T691" s="792"/>
      <c r="U691" s="792"/>
      <c r="V691" s="793"/>
      <c r="W691" s="793"/>
      <c r="X691" s="792"/>
      <c r="Y691" s="792"/>
      <c r="Z691" s="792"/>
      <c r="AA691" s="792"/>
    </row>
    <row r="692" spans="1:27" ht="15.75" customHeight="1">
      <c r="A692" s="792"/>
      <c r="B692" s="792"/>
      <c r="C692" s="792"/>
      <c r="D692" s="792"/>
      <c r="E692" s="792"/>
      <c r="F692" s="792"/>
      <c r="G692" s="792"/>
      <c r="H692" s="792"/>
      <c r="I692" s="792"/>
      <c r="J692" s="792"/>
      <c r="K692" s="792"/>
      <c r="L692" s="792"/>
      <c r="M692" s="792"/>
      <c r="N692" s="792"/>
      <c r="O692" s="792"/>
      <c r="P692" s="792"/>
      <c r="Q692" s="792"/>
      <c r="R692" s="792"/>
      <c r="S692" s="792"/>
      <c r="T692" s="792"/>
      <c r="U692" s="792"/>
      <c r="V692" s="793"/>
      <c r="W692" s="793"/>
      <c r="X692" s="792"/>
      <c r="Y692" s="792"/>
      <c r="Z692" s="792"/>
      <c r="AA692" s="792"/>
    </row>
    <row r="693" spans="1:27" ht="15.75" customHeight="1">
      <c r="A693" s="792"/>
      <c r="B693" s="792"/>
      <c r="C693" s="792"/>
      <c r="D693" s="792"/>
      <c r="E693" s="792"/>
      <c r="F693" s="792"/>
      <c r="G693" s="792"/>
      <c r="H693" s="792"/>
      <c r="I693" s="792"/>
      <c r="J693" s="792"/>
      <c r="K693" s="792"/>
      <c r="L693" s="792"/>
      <c r="M693" s="792"/>
      <c r="N693" s="792"/>
      <c r="O693" s="792"/>
      <c r="P693" s="792"/>
      <c r="Q693" s="792"/>
      <c r="R693" s="792"/>
      <c r="S693" s="792"/>
      <c r="T693" s="792"/>
      <c r="U693" s="792"/>
      <c r="V693" s="793"/>
      <c r="W693" s="793"/>
      <c r="X693" s="792"/>
      <c r="Y693" s="792"/>
      <c r="Z693" s="792"/>
      <c r="AA693" s="792"/>
    </row>
    <row r="694" spans="1:27" ht="15.75" customHeight="1">
      <c r="A694" s="792"/>
      <c r="B694" s="792"/>
      <c r="C694" s="792"/>
      <c r="D694" s="792"/>
      <c r="E694" s="792"/>
      <c r="F694" s="792"/>
      <c r="G694" s="792"/>
      <c r="H694" s="792"/>
      <c r="I694" s="792"/>
      <c r="J694" s="792"/>
      <c r="K694" s="792"/>
      <c r="L694" s="792"/>
      <c r="M694" s="792"/>
      <c r="N694" s="792"/>
      <c r="O694" s="792"/>
      <c r="P694" s="792"/>
      <c r="Q694" s="792"/>
      <c r="R694" s="792"/>
      <c r="S694" s="792"/>
      <c r="T694" s="792"/>
      <c r="U694" s="792"/>
      <c r="V694" s="793"/>
      <c r="W694" s="793"/>
      <c r="X694" s="792"/>
      <c r="Y694" s="792"/>
      <c r="Z694" s="792"/>
      <c r="AA694" s="792"/>
    </row>
    <row r="695" spans="1:27" ht="15.75" customHeight="1">
      <c r="A695" s="792"/>
      <c r="B695" s="792"/>
      <c r="C695" s="792"/>
      <c r="D695" s="792"/>
      <c r="E695" s="792"/>
      <c r="F695" s="792"/>
      <c r="G695" s="792"/>
      <c r="H695" s="792"/>
      <c r="I695" s="792"/>
      <c r="J695" s="792"/>
      <c r="K695" s="792"/>
      <c r="L695" s="792"/>
      <c r="M695" s="792"/>
      <c r="N695" s="792"/>
      <c r="O695" s="792"/>
      <c r="P695" s="792"/>
      <c r="Q695" s="792"/>
      <c r="R695" s="792"/>
      <c r="S695" s="792"/>
      <c r="T695" s="792"/>
      <c r="U695" s="792"/>
      <c r="V695" s="793"/>
      <c r="W695" s="793"/>
      <c r="X695" s="792"/>
      <c r="Y695" s="792"/>
      <c r="Z695" s="792"/>
      <c r="AA695" s="792"/>
    </row>
    <row r="696" spans="1:27" ht="15.75" customHeight="1">
      <c r="A696" s="792"/>
      <c r="B696" s="792"/>
      <c r="C696" s="792"/>
      <c r="D696" s="792"/>
      <c r="E696" s="792"/>
      <c r="F696" s="792"/>
      <c r="G696" s="792"/>
      <c r="H696" s="792"/>
      <c r="I696" s="792"/>
      <c r="J696" s="792"/>
      <c r="K696" s="792"/>
      <c r="L696" s="792"/>
      <c r="M696" s="792"/>
      <c r="N696" s="792"/>
      <c r="O696" s="792"/>
      <c r="P696" s="792"/>
      <c r="Q696" s="792"/>
      <c r="R696" s="792"/>
      <c r="S696" s="792"/>
      <c r="T696" s="792"/>
      <c r="U696" s="792"/>
      <c r="V696" s="793"/>
      <c r="W696" s="793"/>
      <c r="X696" s="792"/>
      <c r="Y696" s="792"/>
      <c r="Z696" s="792"/>
      <c r="AA696" s="792"/>
    </row>
    <row r="697" spans="1:27" ht="15.75" customHeight="1">
      <c r="A697" s="792"/>
      <c r="B697" s="792"/>
      <c r="C697" s="792"/>
      <c r="D697" s="792"/>
      <c r="E697" s="792"/>
      <c r="F697" s="792"/>
      <c r="G697" s="792"/>
      <c r="H697" s="792"/>
      <c r="I697" s="792"/>
      <c r="J697" s="792"/>
      <c r="K697" s="792"/>
      <c r="L697" s="792"/>
      <c r="M697" s="792"/>
      <c r="N697" s="792"/>
      <c r="O697" s="792"/>
      <c r="P697" s="792"/>
      <c r="Q697" s="792"/>
      <c r="R697" s="792"/>
      <c r="S697" s="792"/>
      <c r="T697" s="792"/>
      <c r="U697" s="792"/>
      <c r="V697" s="793"/>
      <c r="W697" s="793"/>
      <c r="X697" s="792"/>
      <c r="Y697" s="792"/>
      <c r="Z697" s="792"/>
      <c r="AA697" s="792"/>
    </row>
    <row r="698" spans="1:27" ht="15.75" customHeight="1">
      <c r="A698" s="792"/>
      <c r="B698" s="792"/>
      <c r="C698" s="792"/>
      <c r="D698" s="792"/>
      <c r="E698" s="792"/>
      <c r="F698" s="792"/>
      <c r="G698" s="792"/>
      <c r="H698" s="792"/>
      <c r="I698" s="792"/>
      <c r="J698" s="792"/>
      <c r="K698" s="792"/>
      <c r="L698" s="792"/>
      <c r="M698" s="792"/>
      <c r="N698" s="792"/>
      <c r="O698" s="792"/>
      <c r="P698" s="792"/>
      <c r="Q698" s="792"/>
      <c r="R698" s="792"/>
      <c r="S698" s="792"/>
      <c r="T698" s="792"/>
      <c r="U698" s="792"/>
      <c r="V698" s="793"/>
      <c r="W698" s="793"/>
      <c r="X698" s="792"/>
      <c r="Y698" s="792"/>
      <c r="Z698" s="792"/>
      <c r="AA698" s="792"/>
    </row>
    <row r="699" spans="1:27" ht="15.75" customHeight="1">
      <c r="A699" s="792"/>
      <c r="B699" s="792"/>
      <c r="C699" s="792"/>
      <c r="D699" s="792"/>
      <c r="E699" s="792"/>
      <c r="F699" s="792"/>
      <c r="G699" s="792"/>
      <c r="H699" s="792"/>
      <c r="I699" s="792"/>
      <c r="J699" s="792"/>
      <c r="K699" s="792"/>
      <c r="L699" s="792"/>
      <c r="M699" s="792"/>
      <c r="N699" s="792"/>
      <c r="O699" s="792"/>
      <c r="P699" s="792"/>
      <c r="Q699" s="792"/>
      <c r="R699" s="792"/>
      <c r="S699" s="792"/>
      <c r="T699" s="792"/>
      <c r="U699" s="792"/>
      <c r="V699" s="793"/>
      <c r="W699" s="793"/>
      <c r="X699" s="792"/>
      <c r="Y699" s="792"/>
      <c r="Z699" s="792"/>
      <c r="AA699" s="792"/>
    </row>
    <row r="700" spans="1:27" ht="15.75" customHeight="1">
      <c r="A700" s="792"/>
      <c r="B700" s="792"/>
      <c r="C700" s="792"/>
      <c r="D700" s="792"/>
      <c r="E700" s="792"/>
      <c r="F700" s="792"/>
      <c r="G700" s="792"/>
      <c r="H700" s="792"/>
      <c r="I700" s="792"/>
      <c r="J700" s="792"/>
      <c r="K700" s="792"/>
      <c r="L700" s="792"/>
      <c r="M700" s="792"/>
      <c r="N700" s="792"/>
      <c r="O700" s="792"/>
      <c r="P700" s="792"/>
      <c r="Q700" s="792"/>
      <c r="R700" s="792"/>
      <c r="S700" s="792"/>
      <c r="T700" s="792"/>
      <c r="U700" s="792"/>
      <c r="V700" s="793"/>
      <c r="W700" s="793"/>
      <c r="X700" s="792"/>
      <c r="Y700" s="792"/>
      <c r="Z700" s="792"/>
      <c r="AA700" s="792"/>
    </row>
    <row r="701" spans="1:27" ht="15.75" customHeight="1">
      <c r="A701" s="792"/>
      <c r="B701" s="792"/>
      <c r="C701" s="792"/>
      <c r="D701" s="792"/>
      <c r="E701" s="792"/>
      <c r="F701" s="792"/>
      <c r="G701" s="792"/>
      <c r="H701" s="792"/>
      <c r="I701" s="792"/>
      <c r="J701" s="792"/>
      <c r="K701" s="792"/>
      <c r="L701" s="792"/>
      <c r="M701" s="792"/>
      <c r="N701" s="792"/>
      <c r="O701" s="792"/>
      <c r="P701" s="792"/>
      <c r="Q701" s="792"/>
      <c r="R701" s="792"/>
      <c r="S701" s="792"/>
      <c r="T701" s="792"/>
      <c r="U701" s="792"/>
      <c r="V701" s="793"/>
      <c r="W701" s="793"/>
      <c r="X701" s="792"/>
      <c r="Y701" s="792"/>
      <c r="Z701" s="792"/>
      <c r="AA701" s="792"/>
    </row>
    <row r="702" spans="1:27" ht="15.75" customHeight="1">
      <c r="A702" s="792"/>
      <c r="B702" s="792"/>
      <c r="C702" s="792"/>
      <c r="D702" s="792"/>
      <c r="E702" s="792"/>
      <c r="F702" s="792"/>
      <c r="G702" s="792"/>
      <c r="H702" s="792"/>
      <c r="I702" s="792"/>
      <c r="J702" s="792"/>
      <c r="K702" s="792"/>
      <c r="L702" s="792"/>
      <c r="M702" s="792"/>
      <c r="N702" s="792"/>
      <c r="O702" s="792"/>
      <c r="P702" s="792"/>
      <c r="Q702" s="792"/>
      <c r="R702" s="792"/>
      <c r="S702" s="792"/>
      <c r="T702" s="792"/>
      <c r="U702" s="792"/>
      <c r="V702" s="793"/>
      <c r="W702" s="793"/>
      <c r="X702" s="792"/>
      <c r="Y702" s="792"/>
      <c r="Z702" s="792"/>
      <c r="AA702" s="792"/>
    </row>
    <row r="703" spans="1:27" ht="15.75" customHeight="1">
      <c r="A703" s="792"/>
      <c r="B703" s="792"/>
      <c r="C703" s="792"/>
      <c r="D703" s="792"/>
      <c r="E703" s="792"/>
      <c r="F703" s="792"/>
      <c r="G703" s="792"/>
      <c r="H703" s="792"/>
      <c r="I703" s="792"/>
      <c r="J703" s="792"/>
      <c r="K703" s="792"/>
      <c r="L703" s="792"/>
      <c r="M703" s="792"/>
      <c r="N703" s="792"/>
      <c r="O703" s="792"/>
      <c r="P703" s="792"/>
      <c r="Q703" s="792"/>
      <c r="R703" s="792"/>
      <c r="S703" s="792"/>
      <c r="T703" s="792"/>
      <c r="U703" s="792"/>
      <c r="V703" s="793"/>
      <c r="W703" s="793"/>
      <c r="X703" s="792"/>
      <c r="Y703" s="792"/>
      <c r="Z703" s="792"/>
      <c r="AA703" s="792"/>
    </row>
    <row r="704" spans="1:27" ht="15.75" customHeight="1">
      <c r="A704" s="792"/>
      <c r="B704" s="792"/>
      <c r="C704" s="792"/>
      <c r="D704" s="792"/>
      <c r="E704" s="792"/>
      <c r="F704" s="792"/>
      <c r="G704" s="792"/>
      <c r="H704" s="792"/>
      <c r="I704" s="792"/>
      <c r="J704" s="792"/>
      <c r="K704" s="792"/>
      <c r="L704" s="792"/>
      <c r="M704" s="792"/>
      <c r="N704" s="792"/>
      <c r="O704" s="792"/>
      <c r="P704" s="792"/>
      <c r="Q704" s="792"/>
      <c r="R704" s="792"/>
      <c r="S704" s="792"/>
      <c r="T704" s="792"/>
      <c r="U704" s="792"/>
      <c r="V704" s="793"/>
      <c r="W704" s="793"/>
      <c r="X704" s="792"/>
      <c r="Y704" s="792"/>
      <c r="Z704" s="792"/>
      <c r="AA704" s="792"/>
    </row>
    <row r="705" spans="1:27" ht="15.75" customHeight="1">
      <c r="A705" s="792"/>
      <c r="B705" s="792"/>
      <c r="C705" s="792"/>
      <c r="D705" s="792"/>
      <c r="E705" s="792"/>
      <c r="F705" s="792"/>
      <c r="G705" s="792"/>
      <c r="H705" s="792"/>
      <c r="I705" s="792"/>
      <c r="J705" s="792"/>
      <c r="K705" s="792"/>
      <c r="L705" s="792"/>
      <c r="M705" s="792"/>
      <c r="N705" s="792"/>
      <c r="O705" s="792"/>
      <c r="P705" s="792"/>
      <c r="Q705" s="792"/>
      <c r="R705" s="792"/>
      <c r="S705" s="792"/>
      <c r="T705" s="792"/>
      <c r="U705" s="792"/>
      <c r="V705" s="793"/>
      <c r="W705" s="793"/>
      <c r="X705" s="792"/>
      <c r="Y705" s="792"/>
      <c r="Z705" s="792"/>
      <c r="AA705" s="792"/>
    </row>
    <row r="706" spans="1:27" ht="15.75" customHeight="1">
      <c r="A706" s="792"/>
      <c r="B706" s="792"/>
      <c r="C706" s="792"/>
      <c r="D706" s="792"/>
      <c r="E706" s="792"/>
      <c r="F706" s="792"/>
      <c r="G706" s="792"/>
      <c r="H706" s="792"/>
      <c r="I706" s="792"/>
      <c r="J706" s="792"/>
      <c r="K706" s="792"/>
      <c r="L706" s="792"/>
      <c r="M706" s="792"/>
      <c r="N706" s="792"/>
      <c r="O706" s="792"/>
      <c r="P706" s="792"/>
      <c r="Q706" s="792"/>
      <c r="R706" s="792"/>
      <c r="S706" s="792"/>
      <c r="T706" s="792"/>
      <c r="U706" s="792"/>
      <c r="V706" s="793"/>
      <c r="W706" s="793"/>
      <c r="X706" s="792"/>
      <c r="Y706" s="792"/>
      <c r="Z706" s="792"/>
      <c r="AA706" s="792"/>
    </row>
    <row r="707" spans="1:27" ht="15.75" customHeight="1">
      <c r="A707" s="792"/>
      <c r="B707" s="792"/>
      <c r="C707" s="792"/>
      <c r="D707" s="792"/>
      <c r="E707" s="792"/>
      <c r="F707" s="792"/>
      <c r="G707" s="792"/>
      <c r="H707" s="792"/>
      <c r="I707" s="792"/>
      <c r="J707" s="792"/>
      <c r="K707" s="792"/>
      <c r="L707" s="792"/>
      <c r="M707" s="792"/>
      <c r="N707" s="792"/>
      <c r="O707" s="792"/>
      <c r="P707" s="792"/>
      <c r="Q707" s="792"/>
      <c r="R707" s="792"/>
      <c r="S707" s="792"/>
      <c r="T707" s="792"/>
      <c r="U707" s="792"/>
      <c r="V707" s="793"/>
      <c r="W707" s="793"/>
      <c r="X707" s="792"/>
      <c r="Y707" s="792"/>
      <c r="Z707" s="792"/>
      <c r="AA707" s="792"/>
    </row>
    <row r="708" spans="1:27" ht="15.75" customHeight="1">
      <c r="A708" s="792"/>
      <c r="B708" s="792"/>
      <c r="C708" s="792"/>
      <c r="D708" s="792"/>
      <c r="E708" s="792"/>
      <c r="F708" s="792"/>
      <c r="G708" s="792"/>
      <c r="H708" s="792"/>
      <c r="I708" s="792"/>
      <c r="J708" s="792"/>
      <c r="K708" s="792"/>
      <c r="L708" s="792"/>
      <c r="M708" s="792"/>
      <c r="N708" s="792"/>
      <c r="O708" s="792"/>
      <c r="P708" s="792"/>
      <c r="Q708" s="792"/>
      <c r="R708" s="792"/>
      <c r="S708" s="792"/>
      <c r="T708" s="792"/>
      <c r="U708" s="792"/>
      <c r="V708" s="793"/>
      <c r="W708" s="793"/>
      <c r="X708" s="792"/>
      <c r="Y708" s="792"/>
      <c r="Z708" s="792"/>
      <c r="AA708" s="792"/>
    </row>
    <row r="709" spans="1:27" ht="15.75" customHeight="1">
      <c r="A709" s="792"/>
      <c r="B709" s="792"/>
      <c r="C709" s="792"/>
      <c r="D709" s="792"/>
      <c r="E709" s="792"/>
      <c r="F709" s="792"/>
      <c r="G709" s="792"/>
      <c r="H709" s="792"/>
      <c r="I709" s="792"/>
      <c r="J709" s="792"/>
      <c r="K709" s="792"/>
      <c r="L709" s="792"/>
      <c r="M709" s="792"/>
      <c r="N709" s="792"/>
      <c r="O709" s="792"/>
      <c r="P709" s="792"/>
      <c r="Q709" s="792"/>
      <c r="R709" s="792"/>
      <c r="S709" s="792"/>
      <c r="T709" s="792"/>
      <c r="U709" s="792"/>
      <c r="V709" s="793"/>
      <c r="W709" s="793"/>
      <c r="X709" s="792"/>
      <c r="Y709" s="792"/>
      <c r="Z709" s="792"/>
      <c r="AA709" s="792"/>
    </row>
    <row r="710" spans="1:27" ht="15.75" customHeight="1">
      <c r="A710" s="792"/>
      <c r="B710" s="792"/>
      <c r="C710" s="792"/>
      <c r="D710" s="792"/>
      <c r="E710" s="792"/>
      <c r="F710" s="792"/>
      <c r="G710" s="792"/>
      <c r="H710" s="792"/>
      <c r="I710" s="792"/>
      <c r="J710" s="792"/>
      <c r="K710" s="792"/>
      <c r="L710" s="792"/>
      <c r="M710" s="792"/>
      <c r="N710" s="792"/>
      <c r="O710" s="792"/>
      <c r="P710" s="792"/>
      <c r="Q710" s="792"/>
      <c r="R710" s="792"/>
      <c r="S710" s="792"/>
      <c r="T710" s="792"/>
      <c r="U710" s="792"/>
      <c r="V710" s="793"/>
      <c r="W710" s="793"/>
      <c r="X710" s="792"/>
      <c r="Y710" s="792"/>
      <c r="Z710" s="792"/>
      <c r="AA710" s="792"/>
    </row>
    <row r="711" spans="1:27" ht="15.75" customHeight="1">
      <c r="A711" s="792"/>
      <c r="B711" s="792"/>
      <c r="C711" s="792"/>
      <c r="D711" s="792"/>
      <c r="E711" s="792"/>
      <c r="F711" s="792"/>
      <c r="G711" s="792"/>
      <c r="H711" s="792"/>
      <c r="I711" s="792"/>
      <c r="J711" s="792"/>
      <c r="K711" s="792"/>
      <c r="L711" s="792"/>
      <c r="M711" s="792"/>
      <c r="N711" s="792"/>
      <c r="O711" s="792"/>
      <c r="P711" s="792"/>
      <c r="Q711" s="792"/>
      <c r="R711" s="792"/>
      <c r="S711" s="792"/>
      <c r="T711" s="792"/>
      <c r="U711" s="792"/>
      <c r="V711" s="793"/>
      <c r="W711" s="793"/>
      <c r="X711" s="792"/>
      <c r="Y711" s="792"/>
      <c r="Z711" s="792"/>
      <c r="AA711" s="792"/>
    </row>
    <row r="712" spans="1:27" ht="15.75" customHeight="1">
      <c r="A712" s="792"/>
      <c r="B712" s="792"/>
      <c r="C712" s="792"/>
      <c r="D712" s="792"/>
      <c r="E712" s="792"/>
      <c r="F712" s="792"/>
      <c r="G712" s="792"/>
      <c r="H712" s="792"/>
      <c r="I712" s="792"/>
      <c r="J712" s="792"/>
      <c r="K712" s="792"/>
      <c r="L712" s="792"/>
      <c r="M712" s="792"/>
      <c r="N712" s="792"/>
      <c r="O712" s="792"/>
      <c r="P712" s="792"/>
      <c r="Q712" s="792"/>
      <c r="R712" s="792"/>
      <c r="S712" s="792"/>
      <c r="T712" s="792"/>
      <c r="U712" s="792"/>
      <c r="V712" s="793"/>
      <c r="W712" s="793"/>
      <c r="X712" s="792"/>
      <c r="Y712" s="792"/>
      <c r="Z712" s="792"/>
      <c r="AA712" s="792"/>
    </row>
    <row r="713" spans="1:27" ht="15.75" customHeight="1">
      <c r="A713" s="792"/>
      <c r="B713" s="792"/>
      <c r="C713" s="792"/>
      <c r="D713" s="792"/>
      <c r="E713" s="792"/>
      <c r="F713" s="792"/>
      <c r="G713" s="792"/>
      <c r="H713" s="792"/>
      <c r="I713" s="792"/>
      <c r="J713" s="792"/>
      <c r="K713" s="792"/>
      <c r="L713" s="792"/>
      <c r="M713" s="792"/>
      <c r="N713" s="792"/>
      <c r="O713" s="792"/>
      <c r="P713" s="792"/>
      <c r="Q713" s="792"/>
      <c r="R713" s="792"/>
      <c r="S713" s="792"/>
      <c r="T713" s="792"/>
      <c r="U713" s="792"/>
      <c r="V713" s="793"/>
      <c r="W713" s="793"/>
      <c r="X713" s="792"/>
      <c r="Y713" s="792"/>
      <c r="Z713" s="792"/>
      <c r="AA713" s="792"/>
    </row>
    <row r="714" spans="1:27" ht="15.75" customHeight="1">
      <c r="A714" s="792"/>
      <c r="B714" s="792"/>
      <c r="C714" s="792"/>
      <c r="D714" s="792"/>
      <c r="E714" s="792"/>
      <c r="F714" s="792"/>
      <c r="G714" s="792"/>
      <c r="H714" s="792"/>
      <c r="I714" s="792"/>
      <c r="J714" s="792"/>
      <c r="K714" s="792"/>
      <c r="L714" s="792"/>
      <c r="M714" s="792"/>
      <c r="N714" s="792"/>
      <c r="O714" s="792"/>
      <c r="P714" s="792"/>
      <c r="Q714" s="792"/>
      <c r="R714" s="792"/>
      <c r="S714" s="792"/>
      <c r="T714" s="792"/>
      <c r="U714" s="792"/>
      <c r="V714" s="793"/>
      <c r="W714" s="793"/>
      <c r="X714" s="792"/>
      <c r="Y714" s="792"/>
      <c r="Z714" s="792"/>
      <c r="AA714" s="792"/>
    </row>
    <row r="715" spans="1:27" ht="15.75" customHeight="1">
      <c r="A715" s="792"/>
      <c r="B715" s="792"/>
      <c r="C715" s="792"/>
      <c r="D715" s="792"/>
      <c r="E715" s="792"/>
      <c r="F715" s="792"/>
      <c r="G715" s="792"/>
      <c r="H715" s="792"/>
      <c r="I715" s="792"/>
      <c r="J715" s="792"/>
      <c r="K715" s="792"/>
      <c r="L715" s="792"/>
      <c r="M715" s="792"/>
      <c r="N715" s="792"/>
      <c r="O715" s="792"/>
      <c r="P715" s="792"/>
      <c r="Q715" s="792"/>
      <c r="R715" s="792"/>
      <c r="S715" s="792"/>
      <c r="T715" s="792"/>
      <c r="U715" s="792"/>
      <c r="V715" s="793"/>
      <c r="W715" s="793"/>
      <c r="X715" s="792"/>
      <c r="Y715" s="792"/>
      <c r="Z715" s="792"/>
      <c r="AA715" s="792"/>
    </row>
    <row r="716" spans="1:27" ht="15.75" customHeight="1">
      <c r="A716" s="792"/>
      <c r="B716" s="792"/>
      <c r="C716" s="792"/>
      <c r="D716" s="792"/>
      <c r="E716" s="792"/>
      <c r="F716" s="792"/>
      <c r="G716" s="792"/>
      <c r="H716" s="792"/>
      <c r="I716" s="792"/>
      <c r="J716" s="792"/>
      <c r="K716" s="792"/>
      <c r="L716" s="792"/>
      <c r="M716" s="792"/>
      <c r="N716" s="792"/>
      <c r="O716" s="792"/>
      <c r="P716" s="792"/>
      <c r="Q716" s="792"/>
      <c r="R716" s="792"/>
      <c r="S716" s="792"/>
      <c r="T716" s="792"/>
      <c r="U716" s="792"/>
      <c r="V716" s="793"/>
      <c r="W716" s="793"/>
      <c r="X716" s="792"/>
      <c r="Y716" s="792"/>
      <c r="Z716" s="792"/>
      <c r="AA716" s="792"/>
    </row>
    <row r="717" spans="1:27" ht="15.75" customHeight="1">
      <c r="A717" s="792"/>
      <c r="B717" s="792"/>
      <c r="C717" s="792"/>
      <c r="D717" s="792"/>
      <c r="E717" s="792"/>
      <c r="F717" s="792"/>
      <c r="G717" s="792"/>
      <c r="H717" s="792"/>
      <c r="I717" s="792"/>
      <c r="J717" s="792"/>
      <c r="K717" s="792"/>
      <c r="L717" s="792"/>
      <c r="M717" s="792"/>
      <c r="N717" s="792"/>
      <c r="O717" s="792"/>
      <c r="P717" s="792"/>
      <c r="Q717" s="792"/>
      <c r="R717" s="792"/>
      <c r="S717" s="792"/>
      <c r="T717" s="792"/>
      <c r="U717" s="792"/>
      <c r="V717" s="793"/>
      <c r="W717" s="793"/>
      <c r="X717" s="792"/>
      <c r="Y717" s="792"/>
      <c r="Z717" s="792"/>
      <c r="AA717" s="792"/>
    </row>
    <row r="718" spans="1:27" ht="15.75" customHeight="1">
      <c r="A718" s="792"/>
      <c r="B718" s="792"/>
      <c r="C718" s="792"/>
      <c r="D718" s="792"/>
      <c r="E718" s="792"/>
      <c r="F718" s="792"/>
      <c r="G718" s="792"/>
      <c r="H718" s="792"/>
      <c r="I718" s="792"/>
      <c r="J718" s="792"/>
      <c r="K718" s="792"/>
      <c r="L718" s="792"/>
      <c r="M718" s="792"/>
      <c r="N718" s="792"/>
      <c r="O718" s="792"/>
      <c r="P718" s="792"/>
      <c r="Q718" s="792"/>
      <c r="R718" s="792"/>
      <c r="S718" s="792"/>
      <c r="T718" s="792"/>
      <c r="U718" s="792"/>
      <c r="V718" s="793"/>
      <c r="W718" s="793"/>
      <c r="X718" s="792"/>
      <c r="Y718" s="792"/>
      <c r="Z718" s="792"/>
      <c r="AA718" s="792"/>
    </row>
    <row r="719" spans="1:27" ht="15.75" customHeight="1">
      <c r="A719" s="792"/>
      <c r="B719" s="792"/>
      <c r="C719" s="792"/>
      <c r="D719" s="792"/>
      <c r="E719" s="792"/>
      <c r="F719" s="792"/>
      <c r="G719" s="792"/>
      <c r="H719" s="792"/>
      <c r="I719" s="792"/>
      <c r="J719" s="792"/>
      <c r="K719" s="792"/>
      <c r="L719" s="792"/>
      <c r="M719" s="792"/>
      <c r="N719" s="792"/>
      <c r="O719" s="792"/>
      <c r="P719" s="792"/>
      <c r="Q719" s="792"/>
      <c r="R719" s="792"/>
      <c r="S719" s="792"/>
      <c r="T719" s="792"/>
      <c r="U719" s="792"/>
      <c r="V719" s="793"/>
      <c r="W719" s="793"/>
      <c r="X719" s="792"/>
      <c r="Y719" s="792"/>
      <c r="Z719" s="792"/>
      <c r="AA719" s="792"/>
    </row>
    <row r="720" spans="1:27" ht="15.75" customHeight="1">
      <c r="A720" s="792"/>
      <c r="B720" s="792"/>
      <c r="C720" s="792"/>
      <c r="D720" s="792"/>
      <c r="E720" s="792"/>
      <c r="F720" s="792"/>
      <c r="G720" s="792"/>
      <c r="H720" s="792"/>
      <c r="I720" s="792"/>
      <c r="J720" s="792"/>
      <c r="K720" s="792"/>
      <c r="L720" s="792"/>
      <c r="M720" s="792"/>
      <c r="N720" s="792"/>
      <c r="O720" s="792"/>
      <c r="P720" s="792"/>
      <c r="Q720" s="792"/>
      <c r="R720" s="792"/>
      <c r="S720" s="792"/>
      <c r="T720" s="792"/>
      <c r="U720" s="792"/>
      <c r="V720" s="793"/>
      <c r="W720" s="793"/>
      <c r="X720" s="792"/>
      <c r="Y720" s="792"/>
      <c r="Z720" s="792"/>
      <c r="AA720" s="792"/>
    </row>
    <row r="721" spans="1:27" ht="15.75" customHeight="1">
      <c r="A721" s="792"/>
      <c r="B721" s="792"/>
      <c r="C721" s="792"/>
      <c r="D721" s="792"/>
      <c r="E721" s="792"/>
      <c r="F721" s="792"/>
      <c r="G721" s="792"/>
      <c r="H721" s="792"/>
      <c r="I721" s="792"/>
      <c r="J721" s="792"/>
      <c r="K721" s="792"/>
      <c r="L721" s="792"/>
      <c r="M721" s="792"/>
      <c r="N721" s="792"/>
      <c r="O721" s="792"/>
      <c r="P721" s="792"/>
      <c r="Q721" s="792"/>
      <c r="R721" s="792"/>
      <c r="S721" s="792"/>
      <c r="T721" s="792"/>
      <c r="U721" s="792"/>
      <c r="V721" s="793"/>
      <c r="W721" s="793"/>
      <c r="X721" s="792"/>
      <c r="Y721" s="792"/>
      <c r="Z721" s="792"/>
      <c r="AA721" s="792"/>
    </row>
    <row r="722" spans="1:27" ht="15.75" customHeight="1">
      <c r="A722" s="792"/>
      <c r="B722" s="792"/>
      <c r="C722" s="792"/>
      <c r="D722" s="792"/>
      <c r="E722" s="792"/>
      <c r="F722" s="792"/>
      <c r="G722" s="792"/>
      <c r="H722" s="792"/>
      <c r="I722" s="792"/>
      <c r="J722" s="792"/>
      <c r="K722" s="792"/>
      <c r="L722" s="792"/>
      <c r="M722" s="792"/>
      <c r="N722" s="792"/>
      <c r="O722" s="792"/>
      <c r="P722" s="792"/>
      <c r="Q722" s="792"/>
      <c r="R722" s="792"/>
      <c r="S722" s="792"/>
      <c r="T722" s="792"/>
      <c r="U722" s="792"/>
      <c r="V722" s="793"/>
      <c r="W722" s="793"/>
      <c r="X722" s="792"/>
      <c r="Y722" s="792"/>
      <c r="Z722" s="792"/>
      <c r="AA722" s="792"/>
    </row>
    <row r="723" spans="1:27" ht="15.75" customHeight="1">
      <c r="A723" s="792"/>
      <c r="B723" s="792"/>
      <c r="C723" s="792"/>
      <c r="D723" s="792"/>
      <c r="E723" s="792"/>
      <c r="F723" s="792"/>
      <c r="G723" s="792"/>
      <c r="H723" s="792"/>
      <c r="I723" s="792"/>
      <c r="J723" s="792"/>
      <c r="K723" s="792"/>
      <c r="L723" s="792"/>
      <c r="M723" s="792"/>
      <c r="N723" s="792"/>
      <c r="O723" s="792"/>
      <c r="P723" s="792"/>
      <c r="Q723" s="792"/>
      <c r="R723" s="792"/>
      <c r="S723" s="792"/>
      <c r="T723" s="792"/>
      <c r="U723" s="792"/>
      <c r="V723" s="793"/>
      <c r="W723" s="793"/>
      <c r="X723" s="792"/>
      <c r="Y723" s="792"/>
      <c r="Z723" s="792"/>
      <c r="AA723" s="792"/>
    </row>
    <row r="724" spans="1:27" ht="15.75" customHeight="1">
      <c r="A724" s="792"/>
      <c r="B724" s="792"/>
      <c r="C724" s="792"/>
      <c r="D724" s="792"/>
      <c r="E724" s="792"/>
      <c r="F724" s="792"/>
      <c r="G724" s="792"/>
      <c r="H724" s="792"/>
      <c r="I724" s="792"/>
      <c r="J724" s="792"/>
      <c r="K724" s="792"/>
      <c r="L724" s="792"/>
      <c r="M724" s="792"/>
      <c r="N724" s="792"/>
      <c r="O724" s="792"/>
      <c r="P724" s="792"/>
      <c r="Q724" s="792"/>
      <c r="R724" s="792"/>
      <c r="S724" s="792"/>
      <c r="T724" s="792"/>
      <c r="U724" s="792"/>
      <c r="V724" s="793"/>
      <c r="W724" s="793"/>
      <c r="X724" s="792"/>
      <c r="Y724" s="792"/>
      <c r="Z724" s="792"/>
      <c r="AA724" s="792"/>
    </row>
    <row r="725" spans="1:27" ht="15.75" customHeight="1">
      <c r="A725" s="792"/>
      <c r="B725" s="792"/>
      <c r="C725" s="792"/>
      <c r="D725" s="792"/>
      <c r="E725" s="792"/>
      <c r="F725" s="792"/>
      <c r="G725" s="792"/>
      <c r="H725" s="792"/>
      <c r="I725" s="792"/>
      <c r="J725" s="792"/>
      <c r="K725" s="792"/>
      <c r="L725" s="792"/>
      <c r="M725" s="792"/>
      <c r="N725" s="792"/>
      <c r="O725" s="792"/>
      <c r="P725" s="792"/>
      <c r="Q725" s="792"/>
      <c r="R725" s="792"/>
      <c r="S725" s="792"/>
      <c r="T725" s="792"/>
      <c r="U725" s="792"/>
      <c r="V725" s="793"/>
      <c r="W725" s="793"/>
      <c r="X725" s="792"/>
      <c r="Y725" s="792"/>
      <c r="Z725" s="792"/>
      <c r="AA725" s="792"/>
    </row>
    <row r="726" spans="1:27" ht="15.75" customHeight="1">
      <c r="A726" s="792"/>
      <c r="B726" s="792"/>
      <c r="C726" s="792"/>
      <c r="D726" s="792"/>
      <c r="E726" s="792"/>
      <c r="F726" s="792"/>
      <c r="G726" s="792"/>
      <c r="H726" s="792"/>
      <c r="I726" s="792"/>
      <c r="J726" s="792"/>
      <c r="K726" s="792"/>
      <c r="L726" s="792"/>
      <c r="M726" s="792"/>
      <c r="N726" s="792"/>
      <c r="O726" s="792"/>
      <c r="P726" s="792"/>
      <c r="Q726" s="792"/>
      <c r="R726" s="792"/>
      <c r="S726" s="792"/>
      <c r="T726" s="792"/>
      <c r="U726" s="792"/>
      <c r="V726" s="793"/>
      <c r="W726" s="793"/>
      <c r="X726" s="792"/>
      <c r="Y726" s="792"/>
      <c r="Z726" s="792"/>
      <c r="AA726" s="792"/>
    </row>
    <row r="727" spans="1:27" ht="15.75" customHeight="1">
      <c r="A727" s="792"/>
      <c r="B727" s="792"/>
      <c r="C727" s="792"/>
      <c r="D727" s="792"/>
      <c r="E727" s="792"/>
      <c r="F727" s="792"/>
      <c r="G727" s="792"/>
      <c r="H727" s="792"/>
      <c r="I727" s="792"/>
      <c r="J727" s="792"/>
      <c r="K727" s="792"/>
      <c r="L727" s="792"/>
      <c r="M727" s="792"/>
      <c r="N727" s="792"/>
      <c r="O727" s="792"/>
      <c r="P727" s="792"/>
      <c r="Q727" s="792"/>
      <c r="R727" s="792"/>
      <c r="S727" s="792"/>
      <c r="T727" s="792"/>
      <c r="U727" s="792"/>
      <c r="V727" s="793"/>
      <c r="W727" s="793"/>
      <c r="X727" s="792"/>
      <c r="Y727" s="792"/>
      <c r="Z727" s="792"/>
      <c r="AA727" s="792"/>
    </row>
    <row r="728" spans="1:27" ht="15.75" customHeight="1">
      <c r="A728" s="792"/>
      <c r="B728" s="792"/>
      <c r="C728" s="792"/>
      <c r="D728" s="792"/>
      <c r="E728" s="792"/>
      <c r="F728" s="792"/>
      <c r="G728" s="792"/>
      <c r="H728" s="792"/>
      <c r="I728" s="792"/>
      <c r="J728" s="792"/>
      <c r="K728" s="792"/>
      <c r="L728" s="792"/>
      <c r="M728" s="792"/>
      <c r="N728" s="792"/>
      <c r="O728" s="792"/>
      <c r="P728" s="792"/>
      <c r="Q728" s="792"/>
      <c r="R728" s="792"/>
      <c r="S728" s="792"/>
      <c r="T728" s="792"/>
      <c r="U728" s="792"/>
      <c r="V728" s="793"/>
      <c r="W728" s="793"/>
      <c r="X728" s="792"/>
      <c r="Y728" s="792"/>
      <c r="Z728" s="792"/>
      <c r="AA728" s="792"/>
    </row>
    <row r="729" spans="1:27" ht="15.75" customHeight="1">
      <c r="A729" s="792"/>
      <c r="B729" s="792"/>
      <c r="C729" s="792"/>
      <c r="D729" s="792"/>
      <c r="E729" s="792"/>
      <c r="F729" s="792"/>
      <c r="G729" s="792"/>
      <c r="H729" s="792"/>
      <c r="I729" s="792"/>
      <c r="J729" s="792"/>
      <c r="K729" s="792"/>
      <c r="L729" s="792"/>
      <c r="M729" s="792"/>
      <c r="N729" s="792"/>
      <c r="O729" s="792"/>
      <c r="P729" s="792"/>
      <c r="Q729" s="792"/>
      <c r="R729" s="792"/>
      <c r="S729" s="792"/>
      <c r="T729" s="792"/>
      <c r="U729" s="792"/>
      <c r="V729" s="793"/>
      <c r="W729" s="793"/>
      <c r="X729" s="792"/>
      <c r="Y729" s="792"/>
      <c r="Z729" s="792"/>
      <c r="AA729" s="792"/>
    </row>
    <row r="730" spans="1:27" ht="15.75" customHeight="1">
      <c r="A730" s="792"/>
      <c r="B730" s="792"/>
      <c r="C730" s="792"/>
      <c r="D730" s="792"/>
      <c r="E730" s="792"/>
      <c r="F730" s="792"/>
      <c r="G730" s="792"/>
      <c r="H730" s="792"/>
      <c r="I730" s="792"/>
      <c r="J730" s="792"/>
      <c r="K730" s="792"/>
      <c r="L730" s="792"/>
      <c r="M730" s="792"/>
      <c r="N730" s="792"/>
      <c r="O730" s="792"/>
      <c r="P730" s="792"/>
      <c r="Q730" s="792"/>
      <c r="R730" s="792"/>
      <c r="S730" s="792"/>
      <c r="T730" s="792"/>
      <c r="U730" s="792"/>
      <c r="V730" s="793"/>
      <c r="W730" s="793"/>
      <c r="X730" s="792"/>
      <c r="Y730" s="792"/>
      <c r="Z730" s="792"/>
      <c r="AA730" s="792"/>
    </row>
    <row r="731" spans="1:27" ht="15.75" customHeight="1">
      <c r="A731" s="792"/>
      <c r="B731" s="792"/>
      <c r="C731" s="792"/>
      <c r="D731" s="792"/>
      <c r="E731" s="792"/>
      <c r="F731" s="792"/>
      <c r="G731" s="792"/>
      <c r="H731" s="792"/>
      <c r="I731" s="792"/>
      <c r="J731" s="792"/>
      <c r="K731" s="792"/>
      <c r="L731" s="792"/>
      <c r="M731" s="792"/>
      <c r="N731" s="792"/>
      <c r="O731" s="792"/>
      <c r="P731" s="792"/>
      <c r="Q731" s="792"/>
      <c r="R731" s="792"/>
      <c r="S731" s="792"/>
      <c r="T731" s="792"/>
      <c r="U731" s="792"/>
      <c r="V731" s="793"/>
      <c r="W731" s="793"/>
      <c r="X731" s="792"/>
      <c r="Y731" s="792"/>
      <c r="Z731" s="792"/>
      <c r="AA731" s="792"/>
    </row>
    <row r="732" spans="1:27" ht="15.75" customHeight="1">
      <c r="A732" s="792"/>
      <c r="B732" s="792"/>
      <c r="C732" s="792"/>
      <c r="D732" s="792"/>
      <c r="E732" s="792"/>
      <c r="F732" s="792"/>
      <c r="G732" s="792"/>
      <c r="H732" s="792"/>
      <c r="I732" s="792"/>
      <c r="J732" s="792"/>
      <c r="K732" s="792"/>
      <c r="L732" s="792"/>
      <c r="M732" s="792"/>
      <c r="N732" s="792"/>
      <c r="O732" s="792"/>
      <c r="P732" s="792"/>
      <c r="Q732" s="792"/>
      <c r="R732" s="792"/>
      <c r="S732" s="792"/>
      <c r="T732" s="792"/>
      <c r="U732" s="792"/>
      <c r="V732" s="793"/>
      <c r="W732" s="793"/>
      <c r="X732" s="792"/>
      <c r="Y732" s="792"/>
      <c r="Z732" s="792"/>
      <c r="AA732" s="792"/>
    </row>
    <row r="733" spans="1:27" ht="15.75" customHeight="1">
      <c r="A733" s="792"/>
      <c r="B733" s="792"/>
      <c r="C733" s="792"/>
      <c r="D733" s="792"/>
      <c r="E733" s="792"/>
      <c r="F733" s="792"/>
      <c r="G733" s="792"/>
      <c r="H733" s="792"/>
      <c r="I733" s="792"/>
      <c r="J733" s="792"/>
      <c r="K733" s="792"/>
      <c r="L733" s="792"/>
      <c r="M733" s="792"/>
      <c r="N733" s="792"/>
      <c r="O733" s="792"/>
      <c r="P733" s="792"/>
      <c r="Q733" s="792"/>
      <c r="R733" s="792"/>
      <c r="S733" s="792"/>
      <c r="T733" s="792"/>
      <c r="U733" s="792"/>
      <c r="V733" s="793"/>
      <c r="W733" s="793"/>
      <c r="X733" s="792"/>
      <c r="Y733" s="792"/>
      <c r="Z733" s="792"/>
      <c r="AA733" s="792"/>
    </row>
    <row r="734" spans="1:27" ht="15.75" customHeight="1">
      <c r="A734" s="792"/>
      <c r="B734" s="792"/>
      <c r="C734" s="792"/>
      <c r="D734" s="792"/>
      <c r="E734" s="792"/>
      <c r="F734" s="792"/>
      <c r="G734" s="792"/>
      <c r="H734" s="792"/>
      <c r="I734" s="792"/>
      <c r="J734" s="792"/>
      <c r="K734" s="792"/>
      <c r="L734" s="792"/>
      <c r="M734" s="792"/>
      <c r="N734" s="792"/>
      <c r="O734" s="792"/>
      <c r="P734" s="792"/>
      <c r="Q734" s="792"/>
      <c r="R734" s="792"/>
      <c r="S734" s="792"/>
      <c r="T734" s="792"/>
      <c r="U734" s="792"/>
      <c r="V734" s="793"/>
      <c r="W734" s="793"/>
      <c r="X734" s="792"/>
      <c r="Y734" s="792"/>
      <c r="Z734" s="792"/>
      <c r="AA734" s="792"/>
    </row>
    <row r="735" spans="1:27" ht="15.75" customHeight="1">
      <c r="A735" s="792"/>
      <c r="B735" s="792"/>
      <c r="C735" s="792"/>
      <c r="D735" s="792"/>
      <c r="E735" s="792"/>
      <c r="F735" s="792"/>
      <c r="G735" s="792"/>
      <c r="H735" s="792"/>
      <c r="I735" s="792"/>
      <c r="J735" s="792"/>
      <c r="K735" s="792"/>
      <c r="L735" s="792"/>
      <c r="M735" s="792"/>
      <c r="N735" s="792"/>
      <c r="O735" s="792"/>
      <c r="P735" s="792"/>
      <c r="Q735" s="792"/>
      <c r="R735" s="792"/>
      <c r="S735" s="792"/>
      <c r="T735" s="792"/>
      <c r="U735" s="792"/>
      <c r="V735" s="793"/>
      <c r="W735" s="793"/>
      <c r="X735" s="792"/>
      <c r="Y735" s="792"/>
      <c r="Z735" s="792"/>
      <c r="AA735" s="792"/>
    </row>
    <row r="736" spans="1:27" ht="15.75" customHeight="1">
      <c r="A736" s="792"/>
      <c r="B736" s="792"/>
      <c r="C736" s="792"/>
      <c r="D736" s="792"/>
      <c r="E736" s="792"/>
      <c r="F736" s="792"/>
      <c r="G736" s="792"/>
      <c r="H736" s="792"/>
      <c r="I736" s="792"/>
      <c r="J736" s="792"/>
      <c r="K736" s="792"/>
      <c r="L736" s="792"/>
      <c r="M736" s="792"/>
      <c r="N736" s="792"/>
      <c r="O736" s="792"/>
      <c r="P736" s="792"/>
      <c r="Q736" s="792"/>
      <c r="R736" s="792"/>
      <c r="S736" s="792"/>
      <c r="T736" s="792"/>
      <c r="U736" s="792"/>
      <c r="V736" s="793"/>
      <c r="W736" s="793"/>
      <c r="X736" s="792"/>
      <c r="Y736" s="792"/>
      <c r="Z736" s="792"/>
      <c r="AA736" s="792"/>
    </row>
    <row r="737" spans="1:27" ht="15.75" customHeight="1">
      <c r="A737" s="792"/>
      <c r="B737" s="792"/>
      <c r="C737" s="792"/>
      <c r="D737" s="792"/>
      <c r="E737" s="792"/>
      <c r="F737" s="792"/>
      <c r="G737" s="792"/>
      <c r="H737" s="792"/>
      <c r="I737" s="792"/>
      <c r="J737" s="792"/>
      <c r="K737" s="792"/>
      <c r="L737" s="792"/>
      <c r="M737" s="792"/>
      <c r="N737" s="792"/>
      <c r="O737" s="792"/>
      <c r="P737" s="792"/>
      <c r="Q737" s="792"/>
      <c r="R737" s="792"/>
      <c r="S737" s="792"/>
      <c r="T737" s="792"/>
      <c r="U737" s="792"/>
      <c r="V737" s="793"/>
      <c r="W737" s="793"/>
      <c r="X737" s="792"/>
      <c r="Y737" s="792"/>
      <c r="Z737" s="792"/>
      <c r="AA737" s="792"/>
    </row>
    <row r="738" spans="1:27" ht="15.75" customHeight="1">
      <c r="A738" s="792"/>
      <c r="B738" s="792"/>
      <c r="C738" s="792"/>
      <c r="D738" s="792"/>
      <c r="E738" s="792"/>
      <c r="F738" s="792"/>
      <c r="G738" s="792"/>
      <c r="H738" s="792"/>
      <c r="I738" s="792"/>
      <c r="J738" s="792"/>
      <c r="K738" s="792"/>
      <c r="L738" s="792"/>
      <c r="M738" s="792"/>
      <c r="N738" s="792"/>
      <c r="O738" s="792"/>
      <c r="P738" s="792"/>
      <c r="Q738" s="792"/>
      <c r="R738" s="792"/>
      <c r="S738" s="792"/>
      <c r="T738" s="792"/>
      <c r="U738" s="792"/>
      <c r="V738" s="793"/>
      <c r="W738" s="793"/>
      <c r="X738" s="792"/>
      <c r="Y738" s="792"/>
      <c r="Z738" s="792"/>
      <c r="AA738" s="792"/>
    </row>
    <row r="739" spans="1:27" ht="15.75" customHeight="1">
      <c r="A739" s="792"/>
      <c r="B739" s="792"/>
      <c r="C739" s="792"/>
      <c r="D739" s="792"/>
      <c r="E739" s="792"/>
      <c r="F739" s="792"/>
      <c r="G739" s="792"/>
      <c r="H739" s="792"/>
      <c r="I739" s="792"/>
      <c r="J739" s="792"/>
      <c r="K739" s="792"/>
      <c r="L739" s="792"/>
      <c r="M739" s="792"/>
      <c r="N739" s="792"/>
      <c r="O739" s="792"/>
      <c r="P739" s="792"/>
      <c r="Q739" s="792"/>
      <c r="R739" s="792"/>
      <c r="S739" s="792"/>
      <c r="T739" s="792"/>
      <c r="U739" s="792"/>
      <c r="V739" s="793"/>
      <c r="W739" s="793"/>
      <c r="X739" s="792"/>
      <c r="Y739" s="792"/>
      <c r="Z739" s="792"/>
      <c r="AA739" s="792"/>
    </row>
    <row r="740" spans="1:27" ht="15.75" customHeight="1">
      <c r="A740" s="792"/>
      <c r="B740" s="792"/>
      <c r="C740" s="792"/>
      <c r="D740" s="792"/>
      <c r="E740" s="792"/>
      <c r="F740" s="792"/>
      <c r="G740" s="792"/>
      <c r="H740" s="792"/>
      <c r="I740" s="792"/>
      <c r="J740" s="792"/>
      <c r="K740" s="792"/>
      <c r="L740" s="792"/>
      <c r="M740" s="792"/>
      <c r="N740" s="792"/>
      <c r="O740" s="792"/>
      <c r="P740" s="792"/>
      <c r="Q740" s="792"/>
      <c r="R740" s="792"/>
      <c r="S740" s="792"/>
      <c r="T740" s="792"/>
      <c r="U740" s="792"/>
      <c r="V740" s="793"/>
      <c r="W740" s="793"/>
      <c r="X740" s="792"/>
      <c r="Y740" s="792"/>
      <c r="Z740" s="792"/>
      <c r="AA740" s="792"/>
    </row>
    <row r="741" spans="1:27" ht="15.75" customHeight="1">
      <c r="A741" s="792"/>
      <c r="B741" s="792"/>
      <c r="C741" s="792"/>
      <c r="D741" s="792"/>
      <c r="E741" s="792"/>
      <c r="F741" s="792"/>
      <c r="G741" s="792"/>
      <c r="H741" s="792"/>
      <c r="I741" s="792"/>
      <c r="J741" s="792"/>
      <c r="K741" s="792"/>
      <c r="L741" s="792"/>
      <c r="M741" s="792"/>
      <c r="N741" s="792"/>
      <c r="O741" s="792"/>
      <c r="P741" s="792"/>
      <c r="Q741" s="792"/>
      <c r="R741" s="792"/>
      <c r="S741" s="792"/>
      <c r="T741" s="792"/>
      <c r="U741" s="792"/>
      <c r="V741" s="793"/>
      <c r="W741" s="793"/>
      <c r="X741" s="792"/>
      <c r="Y741" s="792"/>
      <c r="Z741" s="792"/>
      <c r="AA741" s="792"/>
    </row>
    <row r="742" spans="1:27" ht="15.75" customHeight="1">
      <c r="A742" s="792"/>
      <c r="B742" s="792"/>
      <c r="C742" s="792"/>
      <c r="D742" s="792"/>
      <c r="E742" s="792"/>
      <c r="F742" s="792"/>
      <c r="G742" s="792"/>
      <c r="H742" s="792"/>
      <c r="I742" s="792"/>
      <c r="J742" s="792"/>
      <c r="K742" s="792"/>
      <c r="L742" s="792"/>
      <c r="M742" s="792"/>
      <c r="N742" s="792"/>
      <c r="O742" s="792"/>
      <c r="P742" s="792"/>
      <c r="Q742" s="792"/>
      <c r="R742" s="792"/>
      <c r="S742" s="792"/>
      <c r="T742" s="792"/>
      <c r="U742" s="792"/>
      <c r="V742" s="793"/>
      <c r="W742" s="793"/>
      <c r="X742" s="792"/>
      <c r="Y742" s="792"/>
      <c r="Z742" s="792"/>
      <c r="AA742" s="792"/>
    </row>
    <row r="743" spans="1:27" ht="15.75" customHeight="1">
      <c r="A743" s="792"/>
      <c r="B743" s="792"/>
      <c r="C743" s="792"/>
      <c r="D743" s="792"/>
      <c r="E743" s="792"/>
      <c r="F743" s="792"/>
      <c r="G743" s="792"/>
      <c r="H743" s="792"/>
      <c r="I743" s="792"/>
      <c r="J743" s="792"/>
      <c r="K743" s="792"/>
      <c r="L743" s="792"/>
      <c r="M743" s="792"/>
      <c r="N743" s="792"/>
      <c r="O743" s="792"/>
      <c r="P743" s="792"/>
      <c r="Q743" s="792"/>
      <c r="R743" s="792"/>
      <c r="S743" s="792"/>
      <c r="T743" s="792"/>
      <c r="U743" s="792"/>
      <c r="V743" s="793"/>
      <c r="W743" s="793"/>
      <c r="X743" s="792"/>
      <c r="Y743" s="792"/>
      <c r="Z743" s="792"/>
      <c r="AA743" s="792"/>
    </row>
    <row r="744" spans="1:27" ht="15.75" customHeight="1">
      <c r="A744" s="792"/>
      <c r="B744" s="792"/>
      <c r="C744" s="792"/>
      <c r="D744" s="792"/>
      <c r="E744" s="792"/>
      <c r="F744" s="792"/>
      <c r="G744" s="792"/>
      <c r="H744" s="792"/>
      <c r="I744" s="792"/>
      <c r="J744" s="792"/>
      <c r="K744" s="792"/>
      <c r="L744" s="792"/>
      <c r="M744" s="792"/>
      <c r="N744" s="792"/>
      <c r="O744" s="792"/>
      <c r="P744" s="792"/>
      <c r="Q744" s="792"/>
      <c r="R744" s="792"/>
      <c r="S744" s="792"/>
      <c r="T744" s="792"/>
      <c r="U744" s="792"/>
      <c r="V744" s="793"/>
      <c r="W744" s="793"/>
      <c r="X744" s="792"/>
      <c r="Y744" s="792"/>
      <c r="Z744" s="792"/>
      <c r="AA744" s="792"/>
    </row>
    <row r="745" spans="1:27" ht="15.75" customHeight="1">
      <c r="A745" s="792"/>
      <c r="B745" s="792"/>
      <c r="C745" s="792"/>
      <c r="D745" s="792"/>
      <c r="E745" s="792"/>
      <c r="F745" s="792"/>
      <c r="G745" s="792"/>
      <c r="H745" s="792"/>
      <c r="I745" s="792"/>
      <c r="J745" s="792"/>
      <c r="K745" s="792"/>
      <c r="L745" s="792"/>
      <c r="M745" s="792"/>
      <c r="N745" s="792"/>
      <c r="O745" s="792"/>
      <c r="P745" s="792"/>
      <c r="Q745" s="792"/>
      <c r="R745" s="792"/>
      <c r="S745" s="792"/>
      <c r="T745" s="792"/>
      <c r="U745" s="792"/>
      <c r="V745" s="793"/>
      <c r="W745" s="793"/>
      <c r="X745" s="792"/>
      <c r="Y745" s="792"/>
      <c r="Z745" s="792"/>
      <c r="AA745" s="792"/>
    </row>
    <row r="746" spans="1:27" ht="15.75" customHeight="1">
      <c r="A746" s="792"/>
      <c r="B746" s="792"/>
      <c r="C746" s="792"/>
      <c r="D746" s="792"/>
      <c r="E746" s="792"/>
      <c r="F746" s="792"/>
      <c r="G746" s="792"/>
      <c r="H746" s="792"/>
      <c r="I746" s="792"/>
      <c r="J746" s="792"/>
      <c r="K746" s="792"/>
      <c r="L746" s="792"/>
      <c r="M746" s="792"/>
      <c r="N746" s="792"/>
      <c r="O746" s="792"/>
      <c r="P746" s="792"/>
      <c r="Q746" s="792"/>
      <c r="R746" s="792"/>
      <c r="S746" s="792"/>
      <c r="T746" s="792"/>
      <c r="U746" s="792"/>
      <c r="V746" s="793"/>
      <c r="W746" s="793"/>
      <c r="X746" s="792"/>
      <c r="Y746" s="792"/>
      <c r="Z746" s="792"/>
      <c r="AA746" s="792"/>
    </row>
    <row r="747" spans="1:27" ht="15.75" customHeight="1">
      <c r="A747" s="792"/>
      <c r="B747" s="792"/>
      <c r="C747" s="792"/>
      <c r="D747" s="792"/>
      <c r="E747" s="792"/>
      <c r="F747" s="792"/>
      <c r="G747" s="792"/>
      <c r="H747" s="792"/>
      <c r="I747" s="792"/>
      <c r="J747" s="792"/>
      <c r="K747" s="792"/>
      <c r="L747" s="792"/>
      <c r="M747" s="792"/>
      <c r="N747" s="792"/>
      <c r="O747" s="792"/>
      <c r="P747" s="792"/>
      <c r="Q747" s="792"/>
      <c r="R747" s="792"/>
      <c r="S747" s="792"/>
      <c r="T747" s="792"/>
      <c r="U747" s="792"/>
      <c r="V747" s="793"/>
      <c r="W747" s="793"/>
      <c r="X747" s="792"/>
      <c r="Y747" s="792"/>
      <c r="Z747" s="792"/>
      <c r="AA747" s="792"/>
    </row>
    <row r="748" spans="1:27" ht="15.75" customHeight="1">
      <c r="A748" s="792"/>
      <c r="B748" s="792"/>
      <c r="C748" s="792"/>
      <c r="D748" s="792"/>
      <c r="E748" s="792"/>
      <c r="F748" s="792"/>
      <c r="G748" s="792"/>
      <c r="H748" s="792"/>
      <c r="I748" s="792"/>
      <c r="J748" s="792"/>
      <c r="K748" s="792"/>
      <c r="L748" s="792"/>
      <c r="M748" s="792"/>
      <c r="N748" s="792"/>
      <c r="O748" s="792"/>
      <c r="P748" s="792"/>
      <c r="Q748" s="792"/>
      <c r="R748" s="792"/>
      <c r="S748" s="792"/>
      <c r="T748" s="792"/>
      <c r="U748" s="792"/>
      <c r="V748" s="793"/>
      <c r="W748" s="793"/>
      <c r="X748" s="792"/>
      <c r="Y748" s="792"/>
      <c r="Z748" s="792"/>
      <c r="AA748" s="792"/>
    </row>
    <row r="749" spans="1:27" ht="15.75" customHeight="1">
      <c r="A749" s="792"/>
      <c r="B749" s="792"/>
      <c r="C749" s="792"/>
      <c r="D749" s="792"/>
      <c r="E749" s="792"/>
      <c r="F749" s="792"/>
      <c r="G749" s="792"/>
      <c r="H749" s="792"/>
      <c r="I749" s="792"/>
      <c r="J749" s="792"/>
      <c r="K749" s="792"/>
      <c r="L749" s="792"/>
      <c r="M749" s="792"/>
      <c r="N749" s="792"/>
      <c r="O749" s="792"/>
      <c r="P749" s="792"/>
      <c r="Q749" s="792"/>
      <c r="R749" s="792"/>
      <c r="S749" s="792"/>
      <c r="T749" s="792"/>
      <c r="U749" s="792"/>
      <c r="V749" s="793"/>
      <c r="W749" s="793"/>
      <c r="X749" s="792"/>
      <c r="Y749" s="792"/>
      <c r="Z749" s="792"/>
      <c r="AA749" s="792"/>
    </row>
    <row r="750" spans="1:27" ht="15.75" customHeight="1">
      <c r="A750" s="792"/>
      <c r="B750" s="792"/>
      <c r="C750" s="792"/>
      <c r="D750" s="792"/>
      <c r="E750" s="792"/>
      <c r="F750" s="792"/>
      <c r="G750" s="792"/>
      <c r="H750" s="792"/>
      <c r="I750" s="792"/>
      <c r="J750" s="792"/>
      <c r="K750" s="792"/>
      <c r="L750" s="792"/>
      <c r="M750" s="792"/>
      <c r="N750" s="792"/>
      <c r="O750" s="792"/>
      <c r="P750" s="792"/>
      <c r="Q750" s="792"/>
      <c r="R750" s="792"/>
      <c r="S750" s="792"/>
      <c r="T750" s="792"/>
      <c r="U750" s="792"/>
      <c r="V750" s="793"/>
      <c r="W750" s="793"/>
      <c r="X750" s="792"/>
      <c r="Y750" s="792"/>
      <c r="Z750" s="792"/>
      <c r="AA750" s="792"/>
    </row>
    <row r="751" spans="1:27" ht="15.75" customHeight="1">
      <c r="A751" s="792"/>
      <c r="B751" s="792"/>
      <c r="C751" s="792"/>
      <c r="D751" s="792"/>
      <c r="E751" s="792"/>
      <c r="F751" s="792"/>
      <c r="G751" s="792"/>
      <c r="H751" s="792"/>
      <c r="I751" s="792"/>
      <c r="J751" s="792"/>
      <c r="K751" s="792"/>
      <c r="L751" s="792"/>
      <c r="M751" s="792"/>
      <c r="N751" s="792"/>
      <c r="O751" s="792"/>
      <c r="P751" s="792"/>
      <c r="Q751" s="792"/>
      <c r="R751" s="792"/>
      <c r="S751" s="792"/>
      <c r="T751" s="792"/>
      <c r="U751" s="792"/>
      <c r="V751" s="793"/>
      <c r="W751" s="793"/>
      <c r="X751" s="792"/>
      <c r="Y751" s="792"/>
      <c r="Z751" s="792"/>
      <c r="AA751" s="792"/>
    </row>
    <row r="752" spans="1:27" ht="15.75" customHeight="1">
      <c r="A752" s="792"/>
      <c r="B752" s="792"/>
      <c r="C752" s="792"/>
      <c r="D752" s="792"/>
      <c r="E752" s="792"/>
      <c r="F752" s="792"/>
      <c r="G752" s="792"/>
      <c r="H752" s="792"/>
      <c r="I752" s="792"/>
      <c r="J752" s="792"/>
      <c r="K752" s="792"/>
      <c r="L752" s="792"/>
      <c r="M752" s="792"/>
      <c r="N752" s="792"/>
      <c r="O752" s="792"/>
      <c r="P752" s="792"/>
      <c r="Q752" s="792"/>
      <c r="R752" s="792"/>
      <c r="S752" s="792"/>
      <c r="T752" s="792"/>
      <c r="U752" s="792"/>
      <c r="V752" s="793"/>
      <c r="W752" s="793"/>
      <c r="X752" s="792"/>
      <c r="Y752" s="792"/>
      <c r="Z752" s="792"/>
      <c r="AA752" s="792"/>
    </row>
    <row r="753" spans="1:27" ht="15.75" customHeight="1">
      <c r="A753" s="792"/>
      <c r="B753" s="792"/>
      <c r="C753" s="792"/>
      <c r="D753" s="792"/>
      <c r="E753" s="792"/>
      <c r="F753" s="792"/>
      <c r="G753" s="792"/>
      <c r="H753" s="792"/>
      <c r="I753" s="792"/>
      <c r="J753" s="792"/>
      <c r="K753" s="792"/>
      <c r="L753" s="792"/>
      <c r="M753" s="792"/>
      <c r="N753" s="792"/>
      <c r="O753" s="792"/>
      <c r="P753" s="792"/>
      <c r="Q753" s="792"/>
      <c r="R753" s="792"/>
      <c r="S753" s="792"/>
      <c r="T753" s="792"/>
      <c r="U753" s="792"/>
      <c r="V753" s="793"/>
      <c r="W753" s="793"/>
      <c r="X753" s="792"/>
      <c r="Y753" s="792"/>
      <c r="Z753" s="792"/>
      <c r="AA753" s="792"/>
    </row>
    <row r="754" spans="1:27" ht="15.75" customHeight="1">
      <c r="A754" s="792"/>
      <c r="B754" s="792"/>
      <c r="C754" s="792"/>
      <c r="D754" s="792"/>
      <c r="E754" s="792"/>
      <c r="F754" s="792"/>
      <c r="G754" s="792"/>
      <c r="H754" s="792"/>
      <c r="I754" s="792"/>
      <c r="J754" s="792"/>
      <c r="K754" s="792"/>
      <c r="L754" s="792"/>
      <c r="M754" s="792"/>
      <c r="N754" s="792"/>
      <c r="O754" s="792"/>
      <c r="P754" s="792"/>
      <c r="Q754" s="792"/>
      <c r="R754" s="792"/>
      <c r="S754" s="792"/>
      <c r="T754" s="792"/>
      <c r="U754" s="792"/>
      <c r="V754" s="793"/>
      <c r="W754" s="793"/>
      <c r="X754" s="792"/>
      <c r="Y754" s="792"/>
      <c r="Z754" s="792"/>
      <c r="AA754" s="792"/>
    </row>
    <row r="755" spans="1:27" ht="15.75" customHeight="1">
      <c r="A755" s="792"/>
      <c r="B755" s="792"/>
      <c r="C755" s="792"/>
      <c r="D755" s="792"/>
      <c r="E755" s="792"/>
      <c r="F755" s="792"/>
      <c r="G755" s="792"/>
      <c r="H755" s="792"/>
      <c r="I755" s="792"/>
      <c r="J755" s="792"/>
      <c r="K755" s="792"/>
      <c r="L755" s="792"/>
      <c r="M755" s="792"/>
      <c r="N755" s="792"/>
      <c r="O755" s="792"/>
      <c r="P755" s="792"/>
      <c r="Q755" s="792"/>
      <c r="R755" s="792"/>
      <c r="S755" s="792"/>
      <c r="T755" s="792"/>
      <c r="U755" s="792"/>
      <c r="V755" s="793"/>
      <c r="W755" s="793"/>
      <c r="X755" s="792"/>
      <c r="Y755" s="792"/>
      <c r="Z755" s="792"/>
      <c r="AA755" s="792"/>
    </row>
    <row r="756" spans="1:27" ht="15.75" customHeight="1">
      <c r="A756" s="792"/>
      <c r="B756" s="792"/>
      <c r="C756" s="792"/>
      <c r="D756" s="792"/>
      <c r="E756" s="792"/>
      <c r="F756" s="792"/>
      <c r="G756" s="792"/>
      <c r="H756" s="792"/>
      <c r="I756" s="792"/>
      <c r="J756" s="792"/>
      <c r="K756" s="792"/>
      <c r="L756" s="792"/>
      <c r="M756" s="792"/>
      <c r="N756" s="792"/>
      <c r="O756" s="792"/>
      <c r="P756" s="792"/>
      <c r="Q756" s="792"/>
      <c r="R756" s="792"/>
      <c r="S756" s="792"/>
      <c r="T756" s="792"/>
      <c r="U756" s="792"/>
      <c r="V756" s="793"/>
      <c r="W756" s="793"/>
      <c r="X756" s="792"/>
      <c r="Y756" s="792"/>
      <c r="Z756" s="792"/>
      <c r="AA756" s="792"/>
    </row>
    <row r="757" spans="1:27" ht="15.75" customHeight="1">
      <c r="A757" s="792"/>
      <c r="B757" s="792"/>
      <c r="C757" s="792"/>
      <c r="D757" s="792"/>
      <c r="E757" s="792"/>
      <c r="F757" s="792"/>
      <c r="G757" s="792"/>
      <c r="H757" s="792"/>
      <c r="I757" s="792"/>
      <c r="J757" s="792"/>
      <c r="K757" s="792"/>
      <c r="L757" s="792"/>
      <c r="M757" s="792"/>
      <c r="N757" s="792"/>
      <c r="O757" s="792"/>
      <c r="P757" s="792"/>
      <c r="Q757" s="792"/>
      <c r="R757" s="792"/>
      <c r="S757" s="792"/>
      <c r="T757" s="792"/>
      <c r="U757" s="792"/>
      <c r="V757" s="793"/>
      <c r="W757" s="793"/>
      <c r="X757" s="792"/>
      <c r="Y757" s="792"/>
      <c r="Z757" s="792"/>
      <c r="AA757" s="792"/>
    </row>
    <row r="758" spans="1:27" ht="15.75" customHeight="1">
      <c r="A758" s="792"/>
      <c r="B758" s="792"/>
      <c r="C758" s="792"/>
      <c r="D758" s="792"/>
      <c r="E758" s="792"/>
      <c r="F758" s="792"/>
      <c r="G758" s="792"/>
      <c r="H758" s="792"/>
      <c r="I758" s="792"/>
      <c r="J758" s="792"/>
      <c r="K758" s="792"/>
      <c r="L758" s="792"/>
      <c r="M758" s="792"/>
      <c r="N758" s="792"/>
      <c r="O758" s="792"/>
      <c r="P758" s="792"/>
      <c r="Q758" s="792"/>
      <c r="R758" s="792"/>
      <c r="S758" s="792"/>
      <c r="T758" s="792"/>
      <c r="U758" s="792"/>
      <c r="V758" s="793"/>
      <c r="W758" s="793"/>
      <c r="X758" s="792"/>
      <c r="Y758" s="792"/>
      <c r="Z758" s="792"/>
      <c r="AA758" s="792"/>
    </row>
    <row r="759" spans="1:27" ht="15.75" customHeight="1">
      <c r="A759" s="792"/>
      <c r="B759" s="792"/>
      <c r="C759" s="792"/>
      <c r="D759" s="792"/>
      <c r="E759" s="792"/>
      <c r="F759" s="792"/>
      <c r="G759" s="792"/>
      <c r="H759" s="792"/>
      <c r="I759" s="792"/>
      <c r="J759" s="792"/>
      <c r="K759" s="792"/>
      <c r="L759" s="792"/>
      <c r="M759" s="792"/>
      <c r="N759" s="792"/>
      <c r="O759" s="792"/>
      <c r="P759" s="792"/>
      <c r="Q759" s="792"/>
      <c r="R759" s="792"/>
      <c r="S759" s="792"/>
      <c r="T759" s="792"/>
      <c r="U759" s="792"/>
      <c r="V759" s="793"/>
      <c r="W759" s="793"/>
      <c r="X759" s="792"/>
      <c r="Y759" s="792"/>
      <c r="Z759" s="792"/>
      <c r="AA759" s="792"/>
    </row>
    <row r="760" spans="1:27" ht="15.75" customHeight="1">
      <c r="A760" s="792"/>
      <c r="B760" s="792"/>
      <c r="C760" s="792"/>
      <c r="D760" s="792"/>
      <c r="E760" s="792"/>
      <c r="F760" s="792"/>
      <c r="G760" s="792"/>
      <c r="H760" s="792"/>
      <c r="I760" s="792"/>
      <c r="J760" s="792"/>
      <c r="K760" s="792"/>
      <c r="L760" s="792"/>
      <c r="M760" s="792"/>
      <c r="N760" s="792"/>
      <c r="O760" s="792"/>
      <c r="P760" s="792"/>
      <c r="Q760" s="792"/>
      <c r="R760" s="792"/>
      <c r="S760" s="792"/>
      <c r="T760" s="792"/>
      <c r="U760" s="792"/>
      <c r="V760" s="793"/>
      <c r="W760" s="793"/>
      <c r="X760" s="792"/>
      <c r="Y760" s="792"/>
      <c r="Z760" s="792"/>
      <c r="AA760" s="792"/>
    </row>
    <row r="761" spans="1:27" ht="15.75" customHeight="1">
      <c r="A761" s="792"/>
      <c r="B761" s="792"/>
      <c r="C761" s="792"/>
      <c r="D761" s="792"/>
      <c r="E761" s="792"/>
      <c r="F761" s="792"/>
      <c r="G761" s="792"/>
      <c r="H761" s="792"/>
      <c r="I761" s="792"/>
      <c r="J761" s="792"/>
      <c r="K761" s="792"/>
      <c r="L761" s="792"/>
      <c r="M761" s="792"/>
      <c r="N761" s="792"/>
      <c r="O761" s="792"/>
      <c r="P761" s="792"/>
      <c r="Q761" s="792"/>
      <c r="R761" s="792"/>
      <c r="S761" s="792"/>
      <c r="T761" s="792"/>
      <c r="U761" s="792"/>
      <c r="V761" s="793"/>
      <c r="W761" s="793"/>
      <c r="X761" s="792"/>
      <c r="Y761" s="792"/>
      <c r="Z761" s="792"/>
      <c r="AA761" s="792"/>
    </row>
    <row r="762" spans="1:27" ht="15.75" customHeight="1">
      <c r="A762" s="792"/>
      <c r="B762" s="792"/>
      <c r="C762" s="792"/>
      <c r="D762" s="792"/>
      <c r="E762" s="792"/>
      <c r="F762" s="792"/>
      <c r="G762" s="792"/>
      <c r="H762" s="792"/>
      <c r="I762" s="792"/>
      <c r="J762" s="792"/>
      <c r="K762" s="792"/>
      <c r="L762" s="792"/>
      <c r="M762" s="792"/>
      <c r="N762" s="792"/>
      <c r="O762" s="792"/>
      <c r="P762" s="792"/>
      <c r="Q762" s="792"/>
      <c r="R762" s="792"/>
      <c r="S762" s="792"/>
      <c r="T762" s="792"/>
      <c r="U762" s="792"/>
      <c r="V762" s="793"/>
      <c r="W762" s="793"/>
      <c r="X762" s="792"/>
      <c r="Y762" s="792"/>
      <c r="Z762" s="792"/>
      <c r="AA762" s="792"/>
    </row>
    <row r="763" spans="1:27" ht="15.75" customHeight="1">
      <c r="A763" s="792"/>
      <c r="B763" s="792"/>
      <c r="C763" s="792"/>
      <c r="D763" s="792"/>
      <c r="E763" s="792"/>
      <c r="F763" s="792"/>
      <c r="G763" s="792"/>
      <c r="H763" s="792"/>
      <c r="I763" s="792"/>
      <c r="J763" s="792"/>
      <c r="K763" s="792"/>
      <c r="L763" s="792"/>
      <c r="M763" s="792"/>
      <c r="N763" s="792"/>
      <c r="O763" s="792"/>
      <c r="P763" s="792"/>
      <c r="Q763" s="792"/>
      <c r="R763" s="792"/>
      <c r="S763" s="792"/>
      <c r="T763" s="792"/>
      <c r="U763" s="792"/>
      <c r="V763" s="793"/>
      <c r="W763" s="793"/>
      <c r="X763" s="792"/>
      <c r="Y763" s="792"/>
      <c r="Z763" s="792"/>
      <c r="AA763" s="792"/>
    </row>
    <row r="764" spans="1:27" ht="15.75" customHeight="1">
      <c r="A764" s="792"/>
      <c r="B764" s="792"/>
      <c r="C764" s="792"/>
      <c r="D764" s="792"/>
      <c r="E764" s="792"/>
      <c r="F764" s="792"/>
      <c r="G764" s="792"/>
      <c r="H764" s="792"/>
      <c r="I764" s="792"/>
      <c r="J764" s="792"/>
      <c r="K764" s="792"/>
      <c r="L764" s="792"/>
      <c r="M764" s="792"/>
      <c r="N764" s="792"/>
      <c r="O764" s="792"/>
      <c r="P764" s="792"/>
      <c r="Q764" s="792"/>
      <c r="R764" s="792"/>
      <c r="S764" s="792"/>
      <c r="T764" s="792"/>
      <c r="U764" s="792"/>
      <c r="V764" s="793"/>
      <c r="W764" s="793"/>
      <c r="X764" s="792"/>
      <c r="Y764" s="792"/>
      <c r="Z764" s="792"/>
      <c r="AA764" s="792"/>
    </row>
    <row r="765" spans="1:27" ht="15.75" customHeight="1">
      <c r="A765" s="792"/>
      <c r="B765" s="792"/>
      <c r="C765" s="792"/>
      <c r="D765" s="792"/>
      <c r="E765" s="792"/>
      <c r="F765" s="792"/>
      <c r="G765" s="792"/>
      <c r="H765" s="792"/>
      <c r="I765" s="792"/>
      <c r="J765" s="792"/>
      <c r="K765" s="792"/>
      <c r="L765" s="792"/>
      <c r="M765" s="792"/>
      <c r="N765" s="792"/>
      <c r="O765" s="792"/>
      <c r="P765" s="792"/>
      <c r="Q765" s="792"/>
      <c r="R765" s="792"/>
      <c r="S765" s="792"/>
      <c r="T765" s="792"/>
      <c r="U765" s="792"/>
      <c r="V765" s="793"/>
      <c r="W765" s="793"/>
      <c r="X765" s="792"/>
      <c r="Y765" s="792"/>
      <c r="Z765" s="792"/>
      <c r="AA765" s="792"/>
    </row>
    <row r="766" spans="1:27" ht="15.75" customHeight="1">
      <c r="A766" s="792"/>
      <c r="B766" s="792"/>
      <c r="C766" s="792"/>
      <c r="D766" s="792"/>
      <c r="E766" s="792"/>
      <c r="F766" s="792"/>
      <c r="G766" s="792"/>
      <c r="H766" s="792"/>
      <c r="I766" s="792"/>
      <c r="J766" s="792"/>
      <c r="K766" s="792"/>
      <c r="L766" s="792"/>
      <c r="M766" s="792"/>
      <c r="N766" s="792"/>
      <c r="O766" s="792"/>
      <c r="P766" s="792"/>
      <c r="Q766" s="792"/>
      <c r="R766" s="792"/>
      <c r="S766" s="792"/>
      <c r="T766" s="792"/>
      <c r="U766" s="792"/>
      <c r="V766" s="793"/>
      <c r="W766" s="793"/>
      <c r="X766" s="792"/>
      <c r="Y766" s="792"/>
      <c r="Z766" s="792"/>
      <c r="AA766" s="792"/>
    </row>
    <row r="767" spans="1:27" ht="15.75" customHeight="1">
      <c r="A767" s="792"/>
      <c r="B767" s="792"/>
      <c r="C767" s="792"/>
      <c r="D767" s="792"/>
      <c r="E767" s="792"/>
      <c r="F767" s="792"/>
      <c r="G767" s="792"/>
      <c r="H767" s="792"/>
      <c r="I767" s="792"/>
      <c r="J767" s="792"/>
      <c r="K767" s="792"/>
      <c r="L767" s="792"/>
      <c r="M767" s="792"/>
      <c r="N767" s="792"/>
      <c r="O767" s="792"/>
      <c r="P767" s="792"/>
      <c r="Q767" s="792"/>
      <c r="R767" s="792"/>
      <c r="S767" s="792"/>
      <c r="T767" s="792"/>
      <c r="U767" s="792"/>
      <c r="V767" s="793"/>
      <c r="W767" s="793"/>
      <c r="X767" s="792"/>
      <c r="Y767" s="792"/>
      <c r="Z767" s="792"/>
      <c r="AA767" s="792"/>
    </row>
    <row r="768" spans="1:27" ht="15.75" customHeight="1">
      <c r="A768" s="792"/>
      <c r="B768" s="792"/>
      <c r="C768" s="792"/>
      <c r="D768" s="792"/>
      <c r="E768" s="792"/>
      <c r="F768" s="792"/>
      <c r="G768" s="792"/>
      <c r="H768" s="792"/>
      <c r="I768" s="792"/>
      <c r="J768" s="792"/>
      <c r="K768" s="792"/>
      <c r="L768" s="792"/>
      <c r="M768" s="792"/>
      <c r="N768" s="792"/>
      <c r="O768" s="792"/>
      <c r="P768" s="792"/>
      <c r="Q768" s="792"/>
      <c r="R768" s="792"/>
      <c r="S768" s="792"/>
      <c r="T768" s="792"/>
      <c r="U768" s="792"/>
      <c r="V768" s="793"/>
      <c r="W768" s="793"/>
      <c r="X768" s="792"/>
      <c r="Y768" s="792"/>
      <c r="Z768" s="792"/>
      <c r="AA768" s="792"/>
    </row>
    <row r="769" spans="1:27" ht="15.75" customHeight="1">
      <c r="A769" s="792"/>
      <c r="B769" s="792"/>
      <c r="C769" s="792"/>
      <c r="D769" s="792"/>
      <c r="E769" s="792"/>
      <c r="F769" s="792"/>
      <c r="G769" s="792"/>
      <c r="H769" s="792"/>
      <c r="I769" s="792"/>
      <c r="J769" s="792"/>
      <c r="K769" s="792"/>
      <c r="L769" s="792"/>
      <c r="M769" s="792"/>
      <c r="N769" s="792"/>
      <c r="O769" s="792"/>
      <c r="P769" s="792"/>
      <c r="Q769" s="792"/>
      <c r="R769" s="792"/>
      <c r="S769" s="792"/>
      <c r="T769" s="792"/>
      <c r="U769" s="792"/>
      <c r="V769" s="793"/>
      <c r="W769" s="793"/>
      <c r="X769" s="792"/>
      <c r="Y769" s="792"/>
      <c r="Z769" s="792"/>
      <c r="AA769" s="792"/>
    </row>
    <row r="770" spans="1:27" ht="15.75" customHeight="1">
      <c r="A770" s="792"/>
      <c r="B770" s="792"/>
      <c r="C770" s="792"/>
      <c r="D770" s="792"/>
      <c r="E770" s="792"/>
      <c r="F770" s="792"/>
      <c r="G770" s="792"/>
      <c r="H770" s="792"/>
      <c r="I770" s="792"/>
      <c r="J770" s="792"/>
      <c r="K770" s="792"/>
      <c r="L770" s="792"/>
      <c r="M770" s="792"/>
      <c r="N770" s="792"/>
      <c r="O770" s="792"/>
      <c r="P770" s="792"/>
      <c r="Q770" s="792"/>
      <c r="R770" s="792"/>
      <c r="S770" s="792"/>
      <c r="T770" s="792"/>
      <c r="U770" s="792"/>
      <c r="V770" s="793"/>
      <c r="W770" s="793"/>
      <c r="X770" s="792"/>
      <c r="Y770" s="792"/>
      <c r="Z770" s="792"/>
      <c r="AA770" s="792"/>
    </row>
    <row r="771" spans="1:27" ht="15.75" customHeight="1">
      <c r="A771" s="792"/>
      <c r="B771" s="792"/>
      <c r="C771" s="792"/>
      <c r="D771" s="792"/>
      <c r="E771" s="792"/>
      <c r="F771" s="792"/>
      <c r="G771" s="792"/>
      <c r="H771" s="792"/>
      <c r="I771" s="792"/>
      <c r="J771" s="792"/>
      <c r="K771" s="792"/>
      <c r="L771" s="792"/>
      <c r="M771" s="792"/>
      <c r="N771" s="792"/>
      <c r="O771" s="792"/>
      <c r="P771" s="792"/>
      <c r="Q771" s="792"/>
      <c r="R771" s="792"/>
      <c r="S771" s="792"/>
      <c r="T771" s="792"/>
      <c r="U771" s="792"/>
      <c r="V771" s="793"/>
      <c r="W771" s="793"/>
      <c r="X771" s="792"/>
      <c r="Y771" s="792"/>
      <c r="Z771" s="792"/>
      <c r="AA771" s="792"/>
    </row>
    <row r="772" spans="1:27" ht="15.75" customHeight="1">
      <c r="A772" s="792"/>
      <c r="B772" s="792"/>
      <c r="C772" s="792"/>
      <c r="D772" s="792"/>
      <c r="E772" s="792"/>
      <c r="F772" s="792"/>
      <c r="G772" s="792"/>
      <c r="H772" s="792"/>
      <c r="I772" s="792"/>
      <c r="J772" s="792"/>
      <c r="K772" s="792"/>
      <c r="L772" s="792"/>
      <c r="M772" s="792"/>
      <c r="N772" s="792"/>
      <c r="O772" s="792"/>
      <c r="P772" s="792"/>
      <c r="Q772" s="792"/>
      <c r="R772" s="792"/>
      <c r="S772" s="792"/>
      <c r="T772" s="792"/>
      <c r="U772" s="792"/>
      <c r="V772" s="793"/>
      <c r="W772" s="793"/>
      <c r="X772" s="792"/>
      <c r="Y772" s="792"/>
      <c r="Z772" s="792"/>
      <c r="AA772" s="792"/>
    </row>
    <row r="773" spans="1:27" ht="15.75" customHeight="1">
      <c r="A773" s="792"/>
      <c r="B773" s="792"/>
      <c r="C773" s="792"/>
      <c r="D773" s="792"/>
      <c r="E773" s="792"/>
      <c r="F773" s="792"/>
      <c r="G773" s="792"/>
      <c r="H773" s="792"/>
      <c r="I773" s="792"/>
      <c r="J773" s="792"/>
      <c r="K773" s="792"/>
      <c r="L773" s="792"/>
      <c r="M773" s="792"/>
      <c r="N773" s="792"/>
      <c r="O773" s="792"/>
      <c r="P773" s="792"/>
      <c r="Q773" s="792"/>
      <c r="R773" s="792"/>
      <c r="S773" s="792"/>
      <c r="T773" s="792"/>
      <c r="U773" s="792"/>
      <c r="V773" s="793"/>
      <c r="W773" s="793"/>
      <c r="X773" s="792"/>
      <c r="Y773" s="792"/>
      <c r="Z773" s="792"/>
      <c r="AA773" s="792"/>
    </row>
    <row r="774" spans="1:27" ht="15.75" customHeight="1">
      <c r="A774" s="792"/>
      <c r="B774" s="792"/>
      <c r="C774" s="792"/>
      <c r="D774" s="792"/>
      <c r="E774" s="792"/>
      <c r="F774" s="792"/>
      <c r="G774" s="792"/>
      <c r="H774" s="792"/>
      <c r="I774" s="792"/>
      <c r="J774" s="792"/>
      <c r="K774" s="792"/>
      <c r="L774" s="792"/>
      <c r="M774" s="792"/>
      <c r="N774" s="792"/>
      <c r="O774" s="792"/>
      <c r="P774" s="792"/>
      <c r="Q774" s="792"/>
      <c r="R774" s="792"/>
      <c r="S774" s="792"/>
      <c r="T774" s="792"/>
      <c r="U774" s="792"/>
      <c r="V774" s="793"/>
      <c r="W774" s="793"/>
      <c r="X774" s="792"/>
      <c r="Y774" s="792"/>
      <c r="Z774" s="792"/>
      <c r="AA774" s="792"/>
    </row>
    <row r="775" spans="1:27" ht="15.75" customHeight="1">
      <c r="A775" s="792"/>
      <c r="B775" s="792"/>
      <c r="C775" s="792"/>
      <c r="D775" s="792"/>
      <c r="E775" s="792"/>
      <c r="F775" s="792"/>
      <c r="G775" s="792"/>
      <c r="H775" s="792"/>
      <c r="I775" s="792"/>
      <c r="J775" s="792"/>
      <c r="K775" s="792"/>
      <c r="L775" s="792"/>
      <c r="M775" s="792"/>
      <c r="N775" s="792"/>
      <c r="O775" s="792"/>
      <c r="P775" s="792"/>
      <c r="Q775" s="792"/>
      <c r="R775" s="792"/>
      <c r="S775" s="792"/>
      <c r="T775" s="792"/>
      <c r="U775" s="792"/>
      <c r="V775" s="793"/>
      <c r="W775" s="793"/>
      <c r="X775" s="792"/>
      <c r="Y775" s="792"/>
      <c r="Z775" s="792"/>
      <c r="AA775" s="792"/>
    </row>
    <row r="776" spans="1:27" ht="15.75" customHeight="1">
      <c r="A776" s="792"/>
      <c r="B776" s="792"/>
      <c r="C776" s="792"/>
      <c r="D776" s="792"/>
      <c r="E776" s="792"/>
      <c r="F776" s="792"/>
      <c r="G776" s="792"/>
      <c r="H776" s="792"/>
      <c r="I776" s="792"/>
      <c r="J776" s="792"/>
      <c r="K776" s="792"/>
      <c r="L776" s="792"/>
      <c r="M776" s="792"/>
      <c r="N776" s="792"/>
      <c r="O776" s="792"/>
      <c r="P776" s="792"/>
      <c r="Q776" s="792"/>
      <c r="R776" s="792"/>
      <c r="S776" s="792"/>
      <c r="T776" s="792"/>
      <c r="U776" s="792"/>
      <c r="V776" s="793"/>
      <c r="W776" s="793"/>
      <c r="X776" s="792"/>
      <c r="Y776" s="792"/>
      <c r="Z776" s="792"/>
      <c r="AA776" s="792"/>
    </row>
    <row r="777" spans="1:27" ht="15.75" customHeight="1">
      <c r="A777" s="792"/>
      <c r="B777" s="792"/>
      <c r="C777" s="792"/>
      <c r="D777" s="792"/>
      <c r="E777" s="792"/>
      <c r="F777" s="792"/>
      <c r="G777" s="792"/>
      <c r="H777" s="792"/>
      <c r="I777" s="792"/>
      <c r="J777" s="792"/>
      <c r="K777" s="792"/>
      <c r="L777" s="792"/>
      <c r="M777" s="792"/>
      <c r="N777" s="792"/>
      <c r="O777" s="792"/>
      <c r="P777" s="792"/>
      <c r="Q777" s="792"/>
      <c r="R777" s="792"/>
      <c r="S777" s="792"/>
      <c r="T777" s="792"/>
      <c r="U777" s="792"/>
      <c r="V777" s="793"/>
      <c r="W777" s="793"/>
      <c r="X777" s="792"/>
      <c r="Y777" s="792"/>
      <c r="Z777" s="792"/>
      <c r="AA777" s="792"/>
    </row>
    <row r="778" spans="1:27" ht="15.75" customHeight="1">
      <c r="A778" s="792"/>
      <c r="B778" s="792"/>
      <c r="C778" s="792"/>
      <c r="D778" s="792"/>
      <c r="E778" s="792"/>
      <c r="F778" s="792"/>
      <c r="G778" s="792"/>
      <c r="H778" s="792"/>
      <c r="I778" s="792"/>
      <c r="J778" s="792"/>
      <c r="K778" s="792"/>
      <c r="L778" s="792"/>
      <c r="M778" s="792"/>
      <c r="N778" s="792"/>
      <c r="O778" s="792"/>
      <c r="P778" s="792"/>
      <c r="Q778" s="792"/>
      <c r="R778" s="792"/>
      <c r="S778" s="792"/>
      <c r="T778" s="792"/>
      <c r="U778" s="792"/>
      <c r="V778" s="793"/>
      <c r="W778" s="793"/>
      <c r="X778" s="792"/>
      <c r="Y778" s="792"/>
      <c r="Z778" s="792"/>
      <c r="AA778" s="792"/>
    </row>
    <row r="779" spans="1:27" ht="15.75" customHeight="1">
      <c r="A779" s="792"/>
      <c r="B779" s="792"/>
      <c r="C779" s="792"/>
      <c r="D779" s="792"/>
      <c r="E779" s="792"/>
      <c r="F779" s="792"/>
      <c r="G779" s="792"/>
      <c r="H779" s="792"/>
      <c r="I779" s="792"/>
      <c r="J779" s="792"/>
      <c r="K779" s="792"/>
      <c r="L779" s="792"/>
      <c r="M779" s="792"/>
      <c r="N779" s="792"/>
      <c r="O779" s="792"/>
      <c r="P779" s="792"/>
      <c r="Q779" s="792"/>
      <c r="R779" s="792"/>
      <c r="S779" s="792"/>
      <c r="T779" s="792"/>
      <c r="U779" s="792"/>
      <c r="V779" s="793"/>
      <c r="W779" s="793"/>
      <c r="X779" s="792"/>
      <c r="Y779" s="792"/>
      <c r="Z779" s="792"/>
      <c r="AA779" s="792"/>
    </row>
    <row r="780" spans="1:27" ht="15.75" customHeight="1">
      <c r="A780" s="792"/>
      <c r="B780" s="792"/>
      <c r="C780" s="792"/>
      <c r="D780" s="792"/>
      <c r="E780" s="792"/>
      <c r="F780" s="792"/>
      <c r="G780" s="792"/>
      <c r="H780" s="792"/>
      <c r="I780" s="792"/>
      <c r="J780" s="792"/>
      <c r="K780" s="792"/>
      <c r="L780" s="792"/>
      <c r="M780" s="792"/>
      <c r="N780" s="792"/>
      <c r="O780" s="792"/>
      <c r="P780" s="792"/>
      <c r="Q780" s="792"/>
      <c r="R780" s="792"/>
      <c r="S780" s="792"/>
      <c r="T780" s="792"/>
      <c r="U780" s="792"/>
      <c r="V780" s="793"/>
      <c r="W780" s="793"/>
      <c r="X780" s="792"/>
      <c r="Y780" s="792"/>
      <c r="Z780" s="792"/>
      <c r="AA780" s="792"/>
    </row>
    <row r="781" spans="1:27" ht="15.75" customHeight="1">
      <c r="A781" s="792"/>
      <c r="B781" s="792"/>
      <c r="C781" s="792"/>
      <c r="D781" s="792"/>
      <c r="E781" s="792"/>
      <c r="F781" s="792"/>
      <c r="G781" s="792"/>
      <c r="H781" s="792"/>
      <c r="I781" s="792"/>
      <c r="J781" s="792"/>
      <c r="K781" s="792"/>
      <c r="L781" s="792"/>
      <c r="M781" s="792"/>
      <c r="N781" s="792"/>
      <c r="O781" s="792"/>
      <c r="P781" s="792"/>
      <c r="Q781" s="792"/>
      <c r="R781" s="792"/>
      <c r="S781" s="792"/>
      <c r="T781" s="792"/>
      <c r="U781" s="792"/>
      <c r="V781" s="793"/>
      <c r="W781" s="793"/>
      <c r="X781" s="792"/>
      <c r="Y781" s="792"/>
      <c r="Z781" s="792"/>
      <c r="AA781" s="792"/>
    </row>
    <row r="782" spans="1:27" ht="15.75" customHeight="1">
      <c r="A782" s="792"/>
      <c r="B782" s="792"/>
      <c r="C782" s="792"/>
      <c r="D782" s="792"/>
      <c r="E782" s="792"/>
      <c r="F782" s="792"/>
      <c r="G782" s="792"/>
      <c r="H782" s="792"/>
      <c r="I782" s="792"/>
      <c r="J782" s="792"/>
      <c r="K782" s="792"/>
      <c r="L782" s="792"/>
      <c r="M782" s="792"/>
      <c r="N782" s="792"/>
      <c r="O782" s="792"/>
      <c r="P782" s="792"/>
      <c r="Q782" s="792"/>
      <c r="R782" s="792"/>
      <c r="S782" s="792"/>
      <c r="T782" s="792"/>
      <c r="U782" s="792"/>
      <c r="V782" s="793"/>
      <c r="W782" s="793"/>
      <c r="X782" s="792"/>
      <c r="Y782" s="792"/>
      <c r="Z782" s="792"/>
      <c r="AA782" s="792"/>
    </row>
    <row r="783" spans="1:27" ht="15.75" customHeight="1">
      <c r="A783" s="792"/>
      <c r="B783" s="792"/>
      <c r="C783" s="792"/>
      <c r="D783" s="792"/>
      <c r="E783" s="792"/>
      <c r="F783" s="792"/>
      <c r="G783" s="792"/>
      <c r="H783" s="792"/>
      <c r="I783" s="792"/>
      <c r="J783" s="792"/>
      <c r="K783" s="792"/>
      <c r="L783" s="792"/>
      <c r="M783" s="792"/>
      <c r="N783" s="792"/>
      <c r="O783" s="792"/>
      <c r="P783" s="792"/>
      <c r="Q783" s="792"/>
      <c r="R783" s="792"/>
      <c r="S783" s="792"/>
      <c r="T783" s="792"/>
      <c r="U783" s="792"/>
      <c r="V783" s="793"/>
      <c r="W783" s="793"/>
      <c r="X783" s="792"/>
      <c r="Y783" s="792"/>
      <c r="Z783" s="792"/>
      <c r="AA783" s="792"/>
    </row>
    <row r="784" spans="1:27" ht="15.75" customHeight="1">
      <c r="A784" s="792"/>
      <c r="B784" s="792"/>
      <c r="C784" s="792"/>
      <c r="D784" s="792"/>
      <c r="E784" s="792"/>
      <c r="F784" s="792"/>
      <c r="G784" s="792"/>
      <c r="H784" s="792"/>
      <c r="I784" s="792"/>
      <c r="J784" s="792"/>
      <c r="K784" s="792"/>
      <c r="L784" s="792"/>
      <c r="M784" s="792"/>
      <c r="N784" s="792"/>
      <c r="O784" s="792"/>
      <c r="P784" s="792"/>
      <c r="Q784" s="792"/>
      <c r="R784" s="792"/>
      <c r="S784" s="792"/>
      <c r="T784" s="792"/>
      <c r="U784" s="792"/>
      <c r="V784" s="793"/>
      <c r="W784" s="793"/>
      <c r="X784" s="792"/>
      <c r="Y784" s="792"/>
      <c r="Z784" s="792"/>
      <c r="AA784" s="792"/>
    </row>
    <row r="785" spans="1:27" ht="15.75" customHeight="1">
      <c r="A785" s="792"/>
      <c r="B785" s="792"/>
      <c r="C785" s="792"/>
      <c r="D785" s="792"/>
      <c r="E785" s="792"/>
      <c r="F785" s="792"/>
      <c r="G785" s="792"/>
      <c r="H785" s="792"/>
      <c r="I785" s="792"/>
      <c r="J785" s="792"/>
      <c r="K785" s="792"/>
      <c r="L785" s="792"/>
      <c r="M785" s="792"/>
      <c r="N785" s="792"/>
      <c r="O785" s="792"/>
      <c r="P785" s="792"/>
      <c r="Q785" s="792"/>
      <c r="R785" s="792"/>
      <c r="S785" s="792"/>
      <c r="T785" s="792"/>
      <c r="U785" s="792"/>
      <c r="V785" s="793"/>
      <c r="W785" s="793"/>
      <c r="X785" s="792"/>
      <c r="Y785" s="792"/>
      <c r="Z785" s="792"/>
      <c r="AA785" s="792"/>
    </row>
    <row r="786" spans="1:27" ht="15.75" customHeight="1">
      <c r="A786" s="792"/>
      <c r="B786" s="792"/>
      <c r="C786" s="792"/>
      <c r="D786" s="792"/>
      <c r="E786" s="792"/>
      <c r="F786" s="792"/>
      <c r="G786" s="792"/>
      <c r="H786" s="792"/>
      <c r="I786" s="792"/>
      <c r="J786" s="792"/>
      <c r="K786" s="792"/>
      <c r="L786" s="792"/>
      <c r="M786" s="792"/>
      <c r="N786" s="792"/>
      <c r="O786" s="792"/>
      <c r="P786" s="792"/>
      <c r="Q786" s="792"/>
      <c r="R786" s="792"/>
      <c r="S786" s="792"/>
      <c r="T786" s="792"/>
      <c r="U786" s="792"/>
      <c r="V786" s="793"/>
      <c r="W786" s="793"/>
      <c r="X786" s="792"/>
      <c r="Y786" s="792"/>
      <c r="Z786" s="792"/>
      <c r="AA786" s="792"/>
    </row>
    <row r="787" spans="1:27" ht="15.75" customHeight="1">
      <c r="A787" s="792"/>
      <c r="B787" s="792"/>
      <c r="C787" s="792"/>
      <c r="D787" s="792"/>
      <c r="E787" s="792"/>
      <c r="F787" s="792"/>
      <c r="G787" s="792"/>
      <c r="H787" s="792"/>
      <c r="I787" s="792"/>
      <c r="J787" s="792"/>
      <c r="K787" s="792"/>
      <c r="L787" s="792"/>
      <c r="M787" s="792"/>
      <c r="N787" s="792"/>
      <c r="O787" s="792"/>
      <c r="P787" s="792"/>
      <c r="Q787" s="792"/>
      <c r="R787" s="792"/>
      <c r="S787" s="792"/>
      <c r="T787" s="792"/>
      <c r="U787" s="792"/>
      <c r="V787" s="793"/>
      <c r="W787" s="793"/>
      <c r="X787" s="792"/>
      <c r="Y787" s="792"/>
      <c r="Z787" s="792"/>
      <c r="AA787" s="792"/>
    </row>
    <row r="788" spans="1:27" ht="15.75" customHeight="1">
      <c r="A788" s="792"/>
      <c r="B788" s="792"/>
      <c r="C788" s="792"/>
      <c r="D788" s="792"/>
      <c r="E788" s="792"/>
      <c r="F788" s="792"/>
      <c r="G788" s="792"/>
      <c r="H788" s="792"/>
      <c r="I788" s="792"/>
      <c r="J788" s="792"/>
      <c r="K788" s="792"/>
      <c r="L788" s="792"/>
      <c r="M788" s="792"/>
      <c r="N788" s="792"/>
      <c r="O788" s="792"/>
      <c r="P788" s="792"/>
      <c r="Q788" s="792"/>
      <c r="R788" s="792"/>
      <c r="S788" s="792"/>
      <c r="T788" s="792"/>
      <c r="U788" s="792"/>
      <c r="V788" s="793"/>
      <c r="W788" s="793"/>
      <c r="X788" s="792"/>
      <c r="Y788" s="792"/>
      <c r="Z788" s="792"/>
      <c r="AA788" s="792"/>
    </row>
    <row r="789" spans="1:27" ht="15.75" customHeight="1">
      <c r="A789" s="792"/>
      <c r="B789" s="792"/>
      <c r="C789" s="792"/>
      <c r="D789" s="792"/>
      <c r="E789" s="792"/>
      <c r="F789" s="792"/>
      <c r="G789" s="792"/>
      <c r="H789" s="792"/>
      <c r="I789" s="792"/>
      <c r="J789" s="792"/>
      <c r="K789" s="792"/>
      <c r="L789" s="792"/>
      <c r="M789" s="792"/>
      <c r="N789" s="792"/>
      <c r="O789" s="792"/>
      <c r="P789" s="792"/>
      <c r="Q789" s="792"/>
      <c r="R789" s="792"/>
      <c r="S789" s="792"/>
      <c r="T789" s="792"/>
      <c r="U789" s="792"/>
      <c r="V789" s="793"/>
      <c r="W789" s="793"/>
      <c r="X789" s="792"/>
      <c r="Y789" s="792"/>
      <c r="Z789" s="792"/>
      <c r="AA789" s="792"/>
    </row>
    <row r="790" spans="1:27" ht="15.75" customHeight="1">
      <c r="A790" s="792"/>
      <c r="B790" s="792"/>
      <c r="C790" s="792"/>
      <c r="D790" s="792"/>
      <c r="E790" s="792"/>
      <c r="F790" s="792"/>
      <c r="G790" s="792"/>
      <c r="H790" s="792"/>
      <c r="I790" s="792"/>
      <c r="J790" s="792"/>
      <c r="K790" s="792"/>
      <c r="L790" s="792"/>
      <c r="M790" s="792"/>
      <c r="N790" s="792"/>
      <c r="O790" s="792"/>
      <c r="P790" s="792"/>
      <c r="Q790" s="792"/>
      <c r="R790" s="792"/>
      <c r="S790" s="792"/>
      <c r="T790" s="792"/>
      <c r="U790" s="792"/>
      <c r="V790" s="793"/>
      <c r="W790" s="793"/>
      <c r="X790" s="792"/>
      <c r="Y790" s="792"/>
      <c r="Z790" s="792"/>
      <c r="AA790" s="792"/>
    </row>
    <row r="791" spans="1:27" ht="15.75" customHeight="1">
      <c r="A791" s="792"/>
      <c r="B791" s="792"/>
      <c r="C791" s="792"/>
      <c r="D791" s="792"/>
      <c r="E791" s="792"/>
      <c r="F791" s="792"/>
      <c r="G791" s="792"/>
      <c r="H791" s="792"/>
      <c r="I791" s="792"/>
      <c r="J791" s="792"/>
      <c r="K791" s="792"/>
      <c r="L791" s="792"/>
      <c r="M791" s="792"/>
      <c r="N791" s="792"/>
      <c r="O791" s="792"/>
      <c r="P791" s="792"/>
      <c r="Q791" s="792"/>
      <c r="R791" s="792"/>
      <c r="S791" s="792"/>
      <c r="T791" s="792"/>
      <c r="U791" s="792"/>
      <c r="V791" s="793"/>
      <c r="W791" s="793"/>
      <c r="X791" s="792"/>
      <c r="Y791" s="792"/>
      <c r="Z791" s="792"/>
      <c r="AA791" s="792"/>
    </row>
    <row r="792" spans="1:27" ht="15.75" customHeight="1">
      <c r="A792" s="792"/>
      <c r="B792" s="792"/>
      <c r="C792" s="792"/>
      <c r="D792" s="792"/>
      <c r="E792" s="792"/>
      <c r="F792" s="792"/>
      <c r="G792" s="792"/>
      <c r="H792" s="792"/>
      <c r="I792" s="792"/>
      <c r="J792" s="792"/>
      <c r="K792" s="792"/>
      <c r="L792" s="792"/>
      <c r="M792" s="792"/>
      <c r="N792" s="792"/>
      <c r="O792" s="792"/>
      <c r="P792" s="792"/>
      <c r="Q792" s="792"/>
      <c r="R792" s="792"/>
      <c r="S792" s="792"/>
      <c r="T792" s="792"/>
      <c r="U792" s="792"/>
      <c r="V792" s="793"/>
      <c r="W792" s="793"/>
      <c r="X792" s="792"/>
      <c r="Y792" s="792"/>
      <c r="Z792" s="792"/>
      <c r="AA792" s="792"/>
    </row>
    <row r="793" spans="1:27" ht="15.75" customHeight="1">
      <c r="A793" s="792"/>
      <c r="B793" s="792"/>
      <c r="C793" s="792"/>
      <c r="D793" s="792"/>
      <c r="E793" s="792"/>
      <c r="F793" s="792"/>
      <c r="G793" s="792"/>
      <c r="H793" s="792"/>
      <c r="I793" s="792"/>
      <c r="J793" s="792"/>
      <c r="K793" s="792"/>
      <c r="L793" s="792"/>
      <c r="M793" s="792"/>
      <c r="N793" s="792"/>
      <c r="O793" s="792"/>
      <c r="P793" s="792"/>
      <c r="Q793" s="792"/>
      <c r="R793" s="792"/>
      <c r="S793" s="792"/>
      <c r="T793" s="792"/>
      <c r="U793" s="792"/>
      <c r="V793" s="793"/>
      <c r="W793" s="793"/>
      <c r="X793" s="792"/>
      <c r="Y793" s="792"/>
      <c r="Z793" s="792"/>
      <c r="AA793" s="792"/>
    </row>
    <row r="794" spans="1:27" ht="15.75" customHeight="1">
      <c r="A794" s="792"/>
      <c r="B794" s="792"/>
      <c r="C794" s="792"/>
      <c r="D794" s="792"/>
      <c r="E794" s="792"/>
      <c r="F794" s="792"/>
      <c r="G794" s="792"/>
      <c r="H794" s="792"/>
      <c r="I794" s="792"/>
      <c r="J794" s="792"/>
      <c r="K794" s="792"/>
      <c r="L794" s="792"/>
      <c r="M794" s="792"/>
      <c r="N794" s="792"/>
      <c r="O794" s="792"/>
      <c r="P794" s="792"/>
      <c r="Q794" s="792"/>
      <c r="R794" s="792"/>
      <c r="S794" s="792"/>
      <c r="T794" s="792"/>
      <c r="U794" s="792"/>
      <c r="V794" s="793"/>
      <c r="W794" s="793"/>
      <c r="X794" s="792"/>
      <c r="Y794" s="792"/>
      <c r="Z794" s="792"/>
      <c r="AA794" s="792"/>
    </row>
    <row r="795" spans="1:27" ht="15.75" customHeight="1">
      <c r="A795" s="792"/>
      <c r="B795" s="792"/>
      <c r="C795" s="792"/>
      <c r="D795" s="792"/>
      <c r="E795" s="792"/>
      <c r="F795" s="792"/>
      <c r="G795" s="792"/>
      <c r="H795" s="792"/>
      <c r="I795" s="792"/>
      <c r="J795" s="792"/>
      <c r="K795" s="792"/>
      <c r="L795" s="792"/>
      <c r="M795" s="792"/>
      <c r="N795" s="792"/>
      <c r="O795" s="792"/>
      <c r="P795" s="792"/>
      <c r="Q795" s="792"/>
      <c r="R795" s="792"/>
      <c r="S795" s="792"/>
      <c r="T795" s="792"/>
      <c r="U795" s="792"/>
      <c r="V795" s="793"/>
      <c r="W795" s="793"/>
      <c r="X795" s="792"/>
      <c r="Y795" s="792"/>
      <c r="Z795" s="792"/>
      <c r="AA795" s="792"/>
    </row>
    <row r="796" spans="1:27" ht="15.75" customHeight="1">
      <c r="A796" s="792"/>
      <c r="B796" s="792"/>
      <c r="C796" s="792"/>
      <c r="D796" s="792"/>
      <c r="E796" s="792"/>
      <c r="F796" s="792"/>
      <c r="G796" s="792"/>
      <c r="H796" s="792"/>
      <c r="I796" s="792"/>
      <c r="J796" s="792"/>
      <c r="K796" s="792"/>
      <c r="L796" s="792"/>
      <c r="M796" s="792"/>
      <c r="N796" s="792"/>
      <c r="O796" s="792"/>
      <c r="P796" s="792"/>
      <c r="Q796" s="792"/>
      <c r="R796" s="792"/>
      <c r="S796" s="792"/>
      <c r="T796" s="792"/>
      <c r="U796" s="792"/>
      <c r="V796" s="793"/>
      <c r="W796" s="793"/>
      <c r="X796" s="792"/>
      <c r="Y796" s="792"/>
      <c r="Z796" s="792"/>
      <c r="AA796" s="792"/>
    </row>
    <row r="797" spans="1:27" ht="15.75" customHeight="1">
      <c r="A797" s="792"/>
      <c r="B797" s="792"/>
      <c r="C797" s="792"/>
      <c r="D797" s="792"/>
      <c r="E797" s="792"/>
      <c r="F797" s="792"/>
      <c r="G797" s="792"/>
      <c r="H797" s="792"/>
      <c r="I797" s="792"/>
      <c r="J797" s="792"/>
      <c r="K797" s="792"/>
      <c r="L797" s="792"/>
      <c r="M797" s="792"/>
      <c r="N797" s="792"/>
      <c r="O797" s="792"/>
      <c r="P797" s="792"/>
      <c r="Q797" s="792"/>
      <c r="R797" s="792"/>
      <c r="S797" s="792"/>
      <c r="T797" s="792"/>
      <c r="U797" s="792"/>
      <c r="V797" s="793"/>
      <c r="W797" s="793"/>
      <c r="X797" s="792"/>
      <c r="Y797" s="792"/>
      <c r="Z797" s="792"/>
      <c r="AA797" s="792"/>
    </row>
    <row r="798" spans="1:27" ht="15.75" customHeight="1">
      <c r="A798" s="792"/>
      <c r="B798" s="792"/>
      <c r="C798" s="792"/>
      <c r="D798" s="792"/>
      <c r="E798" s="792"/>
      <c r="F798" s="792"/>
      <c r="G798" s="792"/>
      <c r="H798" s="792"/>
      <c r="I798" s="792"/>
      <c r="J798" s="792"/>
      <c r="K798" s="792"/>
      <c r="L798" s="792"/>
      <c r="M798" s="792"/>
      <c r="N798" s="792"/>
      <c r="O798" s="792"/>
      <c r="P798" s="792"/>
      <c r="Q798" s="792"/>
      <c r="R798" s="792"/>
      <c r="S798" s="792"/>
      <c r="T798" s="792"/>
      <c r="U798" s="792"/>
      <c r="V798" s="793"/>
      <c r="W798" s="793"/>
      <c r="X798" s="792"/>
      <c r="Y798" s="792"/>
      <c r="Z798" s="792"/>
      <c r="AA798" s="792"/>
    </row>
    <row r="799" spans="1:27" ht="15.75" customHeight="1">
      <c r="A799" s="792"/>
      <c r="B799" s="792"/>
      <c r="C799" s="792"/>
      <c r="D799" s="792"/>
      <c r="E799" s="792"/>
      <c r="F799" s="792"/>
      <c r="G799" s="792"/>
      <c r="H799" s="792"/>
      <c r="I799" s="792"/>
      <c r="J799" s="792"/>
      <c r="K799" s="792"/>
      <c r="L799" s="792"/>
      <c r="M799" s="792"/>
      <c r="N799" s="792"/>
      <c r="O799" s="792"/>
      <c r="P799" s="792"/>
      <c r="Q799" s="792"/>
      <c r="R799" s="792"/>
      <c r="S799" s="792"/>
      <c r="T799" s="792"/>
      <c r="U799" s="792"/>
      <c r="V799" s="793"/>
      <c r="W799" s="793"/>
      <c r="X799" s="792"/>
      <c r="Y799" s="792"/>
      <c r="Z799" s="792"/>
      <c r="AA799" s="792"/>
    </row>
    <row r="800" spans="1:27" ht="15.75" customHeight="1">
      <c r="A800" s="792"/>
      <c r="B800" s="792"/>
      <c r="C800" s="792"/>
      <c r="D800" s="792"/>
      <c r="E800" s="792"/>
      <c r="F800" s="792"/>
      <c r="G800" s="792"/>
      <c r="H800" s="792"/>
      <c r="I800" s="792"/>
      <c r="J800" s="792"/>
      <c r="K800" s="792"/>
      <c r="L800" s="792"/>
      <c r="M800" s="792"/>
      <c r="N800" s="792"/>
      <c r="O800" s="792"/>
      <c r="P800" s="792"/>
      <c r="Q800" s="792"/>
      <c r="R800" s="792"/>
      <c r="S800" s="792"/>
      <c r="T800" s="792"/>
      <c r="U800" s="792"/>
      <c r="V800" s="793"/>
      <c r="W800" s="793"/>
      <c r="X800" s="792"/>
      <c r="Y800" s="792"/>
      <c r="Z800" s="792"/>
      <c r="AA800" s="792"/>
    </row>
    <row r="801" spans="1:27" ht="15.75" customHeight="1">
      <c r="A801" s="792"/>
      <c r="B801" s="792"/>
      <c r="C801" s="792"/>
      <c r="D801" s="792"/>
      <c r="E801" s="792"/>
      <c r="F801" s="792"/>
      <c r="G801" s="792"/>
      <c r="H801" s="792"/>
      <c r="I801" s="792"/>
      <c r="J801" s="792"/>
      <c r="K801" s="792"/>
      <c r="L801" s="792"/>
      <c r="M801" s="792"/>
      <c r="N801" s="792"/>
      <c r="O801" s="792"/>
      <c r="P801" s="792"/>
      <c r="Q801" s="792"/>
      <c r="R801" s="792"/>
      <c r="S801" s="792"/>
      <c r="T801" s="792"/>
      <c r="U801" s="792"/>
      <c r="V801" s="793"/>
      <c r="W801" s="793"/>
      <c r="X801" s="792"/>
      <c r="Y801" s="792"/>
      <c r="Z801" s="792"/>
      <c r="AA801" s="792"/>
    </row>
    <row r="802" spans="1:27" ht="15.75" customHeight="1">
      <c r="A802" s="792"/>
      <c r="B802" s="792"/>
      <c r="C802" s="792"/>
      <c r="D802" s="792"/>
      <c r="E802" s="792"/>
      <c r="F802" s="792"/>
      <c r="G802" s="792"/>
      <c r="H802" s="792"/>
      <c r="I802" s="792"/>
      <c r="J802" s="792"/>
      <c r="K802" s="792"/>
      <c r="L802" s="792"/>
      <c r="M802" s="792"/>
      <c r="N802" s="792"/>
      <c r="O802" s="792"/>
      <c r="P802" s="792"/>
      <c r="Q802" s="792"/>
      <c r="R802" s="792"/>
      <c r="S802" s="792"/>
      <c r="T802" s="792"/>
      <c r="U802" s="792"/>
      <c r="V802" s="793"/>
      <c r="W802" s="793"/>
      <c r="X802" s="792"/>
      <c r="Y802" s="792"/>
      <c r="Z802" s="792"/>
      <c r="AA802" s="792"/>
    </row>
    <row r="803" spans="1:27" ht="15.75" customHeight="1">
      <c r="A803" s="792"/>
      <c r="B803" s="792"/>
      <c r="C803" s="792"/>
      <c r="D803" s="792"/>
      <c r="E803" s="792"/>
      <c r="F803" s="792"/>
      <c r="G803" s="792"/>
      <c r="H803" s="792"/>
      <c r="I803" s="792"/>
      <c r="J803" s="792"/>
      <c r="K803" s="792"/>
      <c r="L803" s="792"/>
      <c r="M803" s="792"/>
      <c r="N803" s="792"/>
      <c r="O803" s="792"/>
      <c r="P803" s="792"/>
      <c r="Q803" s="792"/>
      <c r="R803" s="792"/>
      <c r="S803" s="792"/>
      <c r="T803" s="792"/>
      <c r="U803" s="792"/>
      <c r="V803" s="793"/>
      <c r="W803" s="793"/>
      <c r="X803" s="792"/>
      <c r="Y803" s="792"/>
      <c r="Z803" s="792"/>
      <c r="AA803" s="792"/>
    </row>
    <row r="804" spans="1:27" ht="15.75" customHeight="1">
      <c r="A804" s="792"/>
      <c r="B804" s="792"/>
      <c r="C804" s="792"/>
      <c r="D804" s="792"/>
      <c r="E804" s="792"/>
      <c r="F804" s="792"/>
      <c r="G804" s="792"/>
      <c r="H804" s="792"/>
      <c r="I804" s="792"/>
      <c r="J804" s="792"/>
      <c r="K804" s="792"/>
      <c r="L804" s="792"/>
      <c r="M804" s="792"/>
      <c r="N804" s="792"/>
      <c r="O804" s="792"/>
      <c r="P804" s="792"/>
      <c r="Q804" s="792"/>
      <c r="R804" s="792"/>
      <c r="S804" s="792"/>
      <c r="T804" s="792"/>
      <c r="U804" s="792"/>
      <c r="V804" s="793"/>
      <c r="W804" s="793"/>
      <c r="X804" s="792"/>
      <c r="Y804" s="792"/>
      <c r="Z804" s="792"/>
      <c r="AA804" s="792"/>
    </row>
    <row r="805" spans="1:27" ht="15.75" customHeight="1">
      <c r="A805" s="792"/>
      <c r="B805" s="792"/>
      <c r="C805" s="792"/>
      <c r="D805" s="792"/>
      <c r="E805" s="792"/>
      <c r="F805" s="792"/>
      <c r="G805" s="792"/>
      <c r="H805" s="792"/>
      <c r="I805" s="792"/>
      <c r="J805" s="792"/>
      <c r="K805" s="792"/>
      <c r="L805" s="792"/>
      <c r="M805" s="792"/>
      <c r="N805" s="792"/>
      <c r="O805" s="792"/>
      <c r="P805" s="792"/>
      <c r="Q805" s="792"/>
      <c r="R805" s="792"/>
      <c r="S805" s="792"/>
      <c r="T805" s="792"/>
      <c r="U805" s="792"/>
      <c r="V805" s="793"/>
      <c r="W805" s="793"/>
      <c r="X805" s="792"/>
      <c r="Y805" s="792"/>
      <c r="Z805" s="792"/>
      <c r="AA805" s="792"/>
    </row>
    <row r="806" spans="1:27" ht="15.75" customHeight="1">
      <c r="A806" s="792"/>
      <c r="B806" s="792"/>
      <c r="C806" s="792"/>
      <c r="D806" s="792"/>
      <c r="E806" s="792"/>
      <c r="F806" s="792"/>
      <c r="G806" s="792"/>
      <c r="H806" s="792"/>
      <c r="I806" s="792"/>
      <c r="J806" s="792"/>
      <c r="K806" s="792"/>
      <c r="L806" s="792"/>
      <c r="M806" s="792"/>
      <c r="N806" s="792"/>
      <c r="O806" s="792"/>
      <c r="P806" s="792"/>
      <c r="Q806" s="792"/>
      <c r="R806" s="792"/>
      <c r="S806" s="792"/>
      <c r="T806" s="792"/>
      <c r="U806" s="792"/>
      <c r="V806" s="793"/>
      <c r="W806" s="793"/>
      <c r="X806" s="792"/>
      <c r="Y806" s="792"/>
      <c r="Z806" s="792"/>
      <c r="AA806" s="792"/>
    </row>
    <row r="807" spans="1:27" ht="15.75" customHeight="1">
      <c r="A807" s="792"/>
      <c r="B807" s="792"/>
      <c r="C807" s="792"/>
      <c r="D807" s="792"/>
      <c r="E807" s="792"/>
      <c r="F807" s="792"/>
      <c r="G807" s="792"/>
      <c r="H807" s="792"/>
      <c r="I807" s="792"/>
      <c r="J807" s="792"/>
      <c r="K807" s="792"/>
      <c r="L807" s="792"/>
      <c r="M807" s="792"/>
      <c r="N807" s="792"/>
      <c r="O807" s="792"/>
      <c r="P807" s="792"/>
      <c r="Q807" s="792"/>
      <c r="R807" s="792"/>
      <c r="S807" s="792"/>
      <c r="T807" s="792"/>
      <c r="U807" s="792"/>
      <c r="V807" s="793"/>
      <c r="W807" s="793"/>
      <c r="X807" s="792"/>
      <c r="Y807" s="792"/>
      <c r="Z807" s="792"/>
      <c r="AA807" s="792"/>
    </row>
    <row r="808" spans="1:27" ht="15.75" customHeight="1">
      <c r="A808" s="792"/>
      <c r="B808" s="792"/>
      <c r="C808" s="792"/>
      <c r="D808" s="792"/>
      <c r="E808" s="792"/>
      <c r="F808" s="792"/>
      <c r="G808" s="792"/>
      <c r="H808" s="792"/>
      <c r="I808" s="792"/>
      <c r="J808" s="792"/>
      <c r="K808" s="792"/>
      <c r="L808" s="792"/>
      <c r="M808" s="792"/>
      <c r="N808" s="792"/>
      <c r="O808" s="792"/>
      <c r="P808" s="792"/>
      <c r="Q808" s="792"/>
      <c r="R808" s="792"/>
      <c r="S808" s="792"/>
      <c r="T808" s="792"/>
      <c r="U808" s="792"/>
      <c r="V808" s="793"/>
      <c r="W808" s="793"/>
      <c r="X808" s="792"/>
      <c r="Y808" s="792"/>
      <c r="Z808" s="792"/>
      <c r="AA808" s="792"/>
    </row>
    <row r="809" spans="1:27" ht="15.75" customHeight="1">
      <c r="A809" s="792"/>
      <c r="B809" s="792"/>
      <c r="C809" s="792"/>
      <c r="D809" s="792"/>
      <c r="E809" s="792"/>
      <c r="F809" s="792"/>
      <c r="G809" s="792"/>
      <c r="H809" s="792"/>
      <c r="I809" s="792"/>
      <c r="J809" s="792"/>
      <c r="K809" s="792"/>
      <c r="L809" s="792"/>
      <c r="M809" s="792"/>
      <c r="N809" s="792"/>
      <c r="O809" s="792"/>
      <c r="P809" s="792"/>
      <c r="Q809" s="792"/>
      <c r="R809" s="792"/>
      <c r="S809" s="792"/>
      <c r="T809" s="792"/>
      <c r="U809" s="792"/>
      <c r="V809" s="793"/>
      <c r="W809" s="793"/>
      <c r="X809" s="792"/>
      <c r="Y809" s="792"/>
      <c r="Z809" s="792"/>
      <c r="AA809" s="792"/>
    </row>
    <row r="810" spans="1:27" ht="15.75" customHeight="1">
      <c r="A810" s="792"/>
      <c r="B810" s="792"/>
      <c r="C810" s="792"/>
      <c r="D810" s="792"/>
      <c r="E810" s="792"/>
      <c r="F810" s="792"/>
      <c r="G810" s="792"/>
      <c r="H810" s="792"/>
      <c r="I810" s="792"/>
      <c r="J810" s="792"/>
      <c r="K810" s="792"/>
      <c r="L810" s="792"/>
      <c r="M810" s="792"/>
      <c r="N810" s="792"/>
      <c r="O810" s="792"/>
      <c r="P810" s="792"/>
      <c r="Q810" s="792"/>
      <c r="R810" s="792"/>
      <c r="S810" s="792"/>
      <c r="T810" s="792"/>
      <c r="U810" s="792"/>
      <c r="V810" s="793"/>
      <c r="W810" s="793"/>
      <c r="X810" s="792"/>
      <c r="Y810" s="792"/>
      <c r="Z810" s="792"/>
      <c r="AA810" s="792"/>
    </row>
    <row r="811" spans="1:27" ht="15.75" customHeight="1">
      <c r="A811" s="792"/>
      <c r="B811" s="792"/>
      <c r="C811" s="792"/>
      <c r="D811" s="792"/>
      <c r="E811" s="792"/>
      <c r="F811" s="792"/>
      <c r="G811" s="792"/>
      <c r="H811" s="792"/>
      <c r="I811" s="792"/>
      <c r="J811" s="792"/>
      <c r="K811" s="792"/>
      <c r="L811" s="792"/>
      <c r="M811" s="792"/>
      <c r="N811" s="792"/>
      <c r="O811" s="792"/>
      <c r="P811" s="792"/>
      <c r="Q811" s="792"/>
      <c r="R811" s="792"/>
      <c r="S811" s="792"/>
      <c r="T811" s="792"/>
      <c r="U811" s="792"/>
      <c r="V811" s="793"/>
      <c r="W811" s="793"/>
      <c r="X811" s="792"/>
      <c r="Y811" s="792"/>
      <c r="Z811" s="792"/>
      <c r="AA811" s="792"/>
    </row>
    <row r="812" spans="1:27" ht="15.75" customHeight="1">
      <c r="A812" s="792"/>
      <c r="B812" s="792"/>
      <c r="C812" s="792"/>
      <c r="D812" s="792"/>
      <c r="E812" s="792"/>
      <c r="F812" s="792"/>
      <c r="G812" s="792"/>
      <c r="H812" s="792"/>
      <c r="I812" s="792"/>
      <c r="J812" s="792"/>
      <c r="K812" s="792"/>
      <c r="L812" s="792"/>
      <c r="M812" s="792"/>
      <c r="N812" s="792"/>
      <c r="O812" s="792"/>
      <c r="P812" s="792"/>
      <c r="Q812" s="792"/>
      <c r="R812" s="792"/>
      <c r="S812" s="792"/>
      <c r="T812" s="792"/>
      <c r="U812" s="792"/>
      <c r="V812" s="793"/>
      <c r="W812" s="793"/>
      <c r="X812" s="792"/>
      <c r="Y812" s="792"/>
      <c r="Z812" s="792"/>
      <c r="AA812" s="792"/>
    </row>
    <row r="813" spans="1:27" ht="15.75" customHeight="1">
      <c r="A813" s="792"/>
      <c r="B813" s="792"/>
      <c r="C813" s="792"/>
      <c r="D813" s="792"/>
      <c r="E813" s="792"/>
      <c r="F813" s="792"/>
      <c r="G813" s="792"/>
      <c r="H813" s="792"/>
      <c r="I813" s="792"/>
      <c r="J813" s="792"/>
      <c r="K813" s="792"/>
      <c r="L813" s="792"/>
      <c r="M813" s="792"/>
      <c r="N813" s="792"/>
      <c r="O813" s="792"/>
      <c r="P813" s="792"/>
      <c r="Q813" s="792"/>
      <c r="R813" s="792"/>
      <c r="S813" s="792"/>
      <c r="T813" s="792"/>
      <c r="U813" s="792"/>
      <c r="V813" s="793"/>
      <c r="W813" s="793"/>
      <c r="X813" s="792"/>
      <c r="Y813" s="792"/>
      <c r="Z813" s="792"/>
      <c r="AA813" s="792"/>
    </row>
    <row r="814" spans="1:27" ht="15.75" customHeight="1">
      <c r="A814" s="792"/>
      <c r="B814" s="792"/>
      <c r="C814" s="792"/>
      <c r="D814" s="792"/>
      <c r="E814" s="792"/>
      <c r="F814" s="792"/>
      <c r="G814" s="792"/>
      <c r="H814" s="792"/>
      <c r="I814" s="792"/>
      <c r="J814" s="792"/>
      <c r="K814" s="792"/>
      <c r="L814" s="792"/>
      <c r="M814" s="792"/>
      <c r="N814" s="792"/>
      <c r="O814" s="792"/>
      <c r="P814" s="792"/>
      <c r="Q814" s="792"/>
      <c r="R814" s="792"/>
      <c r="S814" s="792"/>
      <c r="T814" s="792"/>
      <c r="U814" s="792"/>
      <c r="V814" s="793"/>
      <c r="W814" s="793"/>
      <c r="X814" s="792"/>
      <c r="Y814" s="792"/>
      <c r="Z814" s="792"/>
      <c r="AA814" s="792"/>
    </row>
    <row r="815" spans="1:27" ht="15.75" customHeight="1">
      <c r="A815" s="792"/>
      <c r="B815" s="792"/>
      <c r="C815" s="792"/>
      <c r="D815" s="792"/>
      <c r="E815" s="792"/>
      <c r="F815" s="792"/>
      <c r="G815" s="792"/>
      <c r="H815" s="792"/>
      <c r="I815" s="792"/>
      <c r="J815" s="792"/>
      <c r="K815" s="792"/>
      <c r="L815" s="792"/>
      <c r="M815" s="792"/>
      <c r="N815" s="792"/>
      <c r="O815" s="792"/>
      <c r="P815" s="792"/>
      <c r="Q815" s="792"/>
      <c r="R815" s="792"/>
      <c r="S815" s="792"/>
      <c r="T815" s="792"/>
      <c r="U815" s="792"/>
      <c r="V815" s="793"/>
      <c r="W815" s="793"/>
      <c r="X815" s="792"/>
      <c r="Y815" s="792"/>
      <c r="Z815" s="792"/>
      <c r="AA815" s="792"/>
    </row>
    <row r="816" spans="1:27" ht="15.75" customHeight="1">
      <c r="A816" s="792"/>
      <c r="B816" s="792"/>
      <c r="C816" s="792"/>
      <c r="D816" s="792"/>
      <c r="E816" s="792"/>
      <c r="F816" s="792"/>
      <c r="G816" s="792"/>
      <c r="H816" s="792"/>
      <c r="I816" s="792"/>
      <c r="J816" s="792"/>
      <c r="K816" s="792"/>
      <c r="L816" s="792"/>
      <c r="M816" s="792"/>
      <c r="N816" s="792"/>
      <c r="O816" s="792"/>
      <c r="P816" s="792"/>
      <c r="Q816" s="792"/>
      <c r="R816" s="792"/>
      <c r="S816" s="792"/>
      <c r="T816" s="792"/>
      <c r="U816" s="792"/>
      <c r="V816" s="793"/>
      <c r="W816" s="793"/>
      <c r="X816" s="792"/>
      <c r="Y816" s="792"/>
      <c r="Z816" s="792"/>
      <c r="AA816" s="792"/>
    </row>
    <row r="817" spans="1:27" ht="15.75" customHeight="1">
      <c r="A817" s="792"/>
      <c r="B817" s="792"/>
      <c r="C817" s="792"/>
      <c r="D817" s="792"/>
      <c r="E817" s="792"/>
      <c r="F817" s="792"/>
      <c r="G817" s="792"/>
      <c r="H817" s="792"/>
      <c r="I817" s="792"/>
      <c r="J817" s="792"/>
      <c r="K817" s="792"/>
      <c r="L817" s="792"/>
      <c r="M817" s="792"/>
      <c r="N817" s="792"/>
      <c r="O817" s="792"/>
      <c r="P817" s="792"/>
      <c r="Q817" s="792"/>
      <c r="R817" s="792"/>
      <c r="S817" s="792"/>
      <c r="T817" s="792"/>
      <c r="U817" s="792"/>
      <c r="V817" s="793"/>
      <c r="W817" s="793"/>
      <c r="X817" s="792"/>
      <c r="Y817" s="792"/>
      <c r="Z817" s="792"/>
      <c r="AA817" s="792"/>
    </row>
    <row r="818" spans="1:27" ht="15.75" customHeight="1">
      <c r="A818" s="792"/>
      <c r="B818" s="792"/>
      <c r="C818" s="792"/>
      <c r="D818" s="792"/>
      <c r="E818" s="792"/>
      <c r="F818" s="792"/>
      <c r="G818" s="792"/>
      <c r="H818" s="792"/>
      <c r="I818" s="792"/>
      <c r="J818" s="792"/>
      <c r="K818" s="792"/>
      <c r="L818" s="792"/>
      <c r="M818" s="792"/>
      <c r="N818" s="792"/>
      <c r="O818" s="792"/>
      <c r="P818" s="792"/>
      <c r="Q818" s="792"/>
      <c r="R818" s="792"/>
      <c r="S818" s="792"/>
      <c r="T818" s="792"/>
      <c r="U818" s="792"/>
      <c r="V818" s="793"/>
      <c r="W818" s="793"/>
      <c r="X818" s="792"/>
      <c r="Y818" s="792"/>
      <c r="Z818" s="792"/>
      <c r="AA818" s="792"/>
    </row>
    <row r="819" spans="1:27" ht="15.75" customHeight="1">
      <c r="A819" s="792"/>
      <c r="B819" s="792"/>
      <c r="C819" s="792"/>
      <c r="D819" s="792"/>
      <c r="E819" s="792"/>
      <c r="F819" s="792"/>
      <c r="G819" s="792"/>
      <c r="H819" s="792"/>
      <c r="I819" s="792"/>
      <c r="J819" s="792"/>
      <c r="K819" s="792"/>
      <c r="L819" s="792"/>
      <c r="M819" s="792"/>
      <c r="N819" s="792"/>
      <c r="O819" s="792"/>
      <c r="P819" s="792"/>
      <c r="Q819" s="792"/>
      <c r="R819" s="792"/>
      <c r="S819" s="792"/>
      <c r="T819" s="792"/>
      <c r="U819" s="792"/>
      <c r="V819" s="793"/>
      <c r="W819" s="793"/>
      <c r="X819" s="792"/>
      <c r="Y819" s="792"/>
      <c r="Z819" s="792"/>
      <c r="AA819" s="792"/>
    </row>
    <row r="820" spans="1:27" ht="15.75" customHeight="1">
      <c r="A820" s="792"/>
      <c r="B820" s="792"/>
      <c r="C820" s="792"/>
      <c r="D820" s="792"/>
      <c r="E820" s="792"/>
      <c r="F820" s="792"/>
      <c r="G820" s="792"/>
      <c r="H820" s="792"/>
      <c r="I820" s="792"/>
      <c r="J820" s="792"/>
      <c r="K820" s="792"/>
      <c r="L820" s="792"/>
      <c r="M820" s="792"/>
      <c r="N820" s="792"/>
      <c r="O820" s="792"/>
      <c r="P820" s="792"/>
      <c r="Q820" s="792"/>
      <c r="R820" s="792"/>
      <c r="S820" s="792"/>
      <c r="T820" s="792"/>
      <c r="U820" s="792"/>
      <c r="V820" s="793"/>
      <c r="W820" s="793"/>
      <c r="X820" s="792"/>
      <c r="Y820" s="792"/>
      <c r="Z820" s="792"/>
      <c r="AA820" s="792"/>
    </row>
    <row r="821" spans="1:27" ht="15.75" customHeight="1">
      <c r="A821" s="792"/>
      <c r="B821" s="792"/>
      <c r="C821" s="792"/>
      <c r="D821" s="792"/>
      <c r="E821" s="792"/>
      <c r="F821" s="792"/>
      <c r="G821" s="792"/>
      <c r="H821" s="792"/>
      <c r="I821" s="792"/>
      <c r="J821" s="792"/>
      <c r="K821" s="792"/>
      <c r="L821" s="792"/>
      <c r="M821" s="792"/>
      <c r="N821" s="792"/>
      <c r="O821" s="792"/>
      <c r="P821" s="792"/>
      <c r="Q821" s="792"/>
      <c r="R821" s="792"/>
      <c r="S821" s="792"/>
      <c r="T821" s="792"/>
      <c r="U821" s="792"/>
      <c r="V821" s="793"/>
      <c r="W821" s="793"/>
      <c r="X821" s="792"/>
      <c r="Y821" s="792"/>
      <c r="Z821" s="792"/>
      <c r="AA821" s="792"/>
    </row>
    <row r="822" spans="1:27" ht="15.75" customHeight="1">
      <c r="A822" s="792"/>
      <c r="B822" s="792"/>
      <c r="C822" s="792"/>
      <c r="D822" s="792"/>
      <c r="E822" s="792"/>
      <c r="F822" s="792"/>
      <c r="G822" s="792"/>
      <c r="H822" s="792"/>
      <c r="I822" s="792"/>
      <c r="J822" s="792"/>
      <c r="K822" s="792"/>
      <c r="L822" s="792"/>
      <c r="M822" s="792"/>
      <c r="N822" s="792"/>
      <c r="O822" s="792"/>
      <c r="P822" s="792"/>
      <c r="Q822" s="792"/>
      <c r="R822" s="792"/>
      <c r="S822" s="792"/>
      <c r="T822" s="792"/>
      <c r="U822" s="792"/>
      <c r="V822" s="793"/>
      <c r="W822" s="793"/>
      <c r="X822" s="792"/>
      <c r="Y822" s="792"/>
      <c r="Z822" s="792"/>
      <c r="AA822" s="792"/>
    </row>
    <row r="823" spans="1:27" ht="15.75" customHeight="1">
      <c r="A823" s="792"/>
      <c r="B823" s="792"/>
      <c r="C823" s="792"/>
      <c r="D823" s="792"/>
      <c r="E823" s="792"/>
      <c r="F823" s="792"/>
      <c r="G823" s="792"/>
      <c r="H823" s="792"/>
      <c r="I823" s="792"/>
      <c r="J823" s="792"/>
      <c r="K823" s="792"/>
      <c r="L823" s="792"/>
      <c r="M823" s="792"/>
      <c r="N823" s="792"/>
      <c r="O823" s="792"/>
      <c r="P823" s="792"/>
      <c r="Q823" s="792"/>
      <c r="R823" s="792"/>
      <c r="S823" s="792"/>
      <c r="T823" s="792"/>
      <c r="U823" s="792"/>
      <c r="V823" s="793"/>
      <c r="W823" s="793"/>
      <c r="X823" s="792"/>
      <c r="Y823" s="792"/>
      <c r="Z823" s="792"/>
      <c r="AA823" s="792"/>
    </row>
    <row r="824" spans="1:27" ht="15.75" customHeight="1">
      <c r="A824" s="792"/>
      <c r="B824" s="792"/>
      <c r="C824" s="792"/>
      <c r="D824" s="792"/>
      <c r="E824" s="792"/>
      <c r="F824" s="792"/>
      <c r="G824" s="792"/>
      <c r="H824" s="792"/>
      <c r="I824" s="792"/>
      <c r="J824" s="792"/>
      <c r="K824" s="792"/>
      <c r="L824" s="792"/>
      <c r="M824" s="792"/>
      <c r="N824" s="792"/>
      <c r="O824" s="792"/>
      <c r="P824" s="792"/>
      <c r="Q824" s="792"/>
      <c r="R824" s="792"/>
      <c r="S824" s="792"/>
      <c r="T824" s="792"/>
      <c r="U824" s="792"/>
      <c r="V824" s="793"/>
      <c r="W824" s="793"/>
      <c r="X824" s="792"/>
      <c r="Y824" s="792"/>
      <c r="Z824" s="792"/>
      <c r="AA824" s="792"/>
    </row>
    <row r="825" spans="1:27" ht="15.75" customHeight="1">
      <c r="A825" s="792"/>
      <c r="B825" s="792"/>
      <c r="C825" s="792"/>
      <c r="D825" s="792"/>
      <c r="E825" s="792"/>
      <c r="F825" s="792"/>
      <c r="G825" s="792"/>
      <c r="H825" s="792"/>
      <c r="I825" s="792"/>
      <c r="J825" s="792"/>
      <c r="K825" s="792"/>
      <c r="L825" s="792"/>
      <c r="M825" s="792"/>
      <c r="N825" s="792"/>
      <c r="O825" s="792"/>
      <c r="P825" s="792"/>
      <c r="Q825" s="792"/>
      <c r="R825" s="792"/>
      <c r="S825" s="792"/>
      <c r="T825" s="792"/>
      <c r="U825" s="792"/>
      <c r="V825" s="793"/>
      <c r="W825" s="793"/>
      <c r="X825" s="792"/>
      <c r="Y825" s="792"/>
      <c r="Z825" s="792"/>
      <c r="AA825" s="792"/>
    </row>
    <row r="826" spans="1:27" ht="15.75" customHeight="1">
      <c r="A826" s="792"/>
      <c r="B826" s="792"/>
      <c r="C826" s="792"/>
      <c r="D826" s="792"/>
      <c r="E826" s="792"/>
      <c r="F826" s="792"/>
      <c r="G826" s="792"/>
      <c r="H826" s="792"/>
      <c r="I826" s="792"/>
      <c r="J826" s="792"/>
      <c r="K826" s="792"/>
      <c r="L826" s="792"/>
      <c r="M826" s="792"/>
      <c r="N826" s="792"/>
      <c r="O826" s="792"/>
      <c r="P826" s="792"/>
      <c r="Q826" s="792"/>
      <c r="R826" s="792"/>
      <c r="S826" s="792"/>
      <c r="T826" s="792"/>
      <c r="U826" s="792"/>
      <c r="V826" s="793"/>
      <c r="W826" s="793"/>
      <c r="X826" s="792"/>
      <c r="Y826" s="792"/>
      <c r="Z826" s="792"/>
      <c r="AA826" s="792"/>
    </row>
    <row r="827" spans="1:27" ht="15.75" customHeight="1">
      <c r="A827" s="792"/>
      <c r="B827" s="792"/>
      <c r="C827" s="792"/>
      <c r="D827" s="792"/>
      <c r="E827" s="792"/>
      <c r="F827" s="792"/>
      <c r="G827" s="792"/>
      <c r="H827" s="792"/>
      <c r="I827" s="792"/>
      <c r="J827" s="792"/>
      <c r="K827" s="792"/>
      <c r="L827" s="792"/>
      <c r="M827" s="792"/>
      <c r="N827" s="792"/>
      <c r="O827" s="792"/>
      <c r="P827" s="792"/>
      <c r="Q827" s="792"/>
      <c r="R827" s="792"/>
      <c r="S827" s="792"/>
      <c r="T827" s="792"/>
      <c r="U827" s="792"/>
      <c r="V827" s="793"/>
      <c r="W827" s="793"/>
      <c r="X827" s="792"/>
      <c r="Y827" s="792"/>
      <c r="Z827" s="792"/>
      <c r="AA827" s="792"/>
    </row>
    <row r="828" spans="1:27" ht="15.75" customHeight="1">
      <c r="A828" s="792"/>
      <c r="B828" s="792"/>
      <c r="C828" s="792"/>
      <c r="D828" s="792"/>
      <c r="E828" s="792"/>
      <c r="F828" s="792"/>
      <c r="G828" s="792"/>
      <c r="H828" s="792"/>
      <c r="I828" s="792"/>
      <c r="J828" s="792"/>
      <c r="K828" s="792"/>
      <c r="L828" s="792"/>
      <c r="M828" s="792"/>
      <c r="N828" s="792"/>
      <c r="O828" s="792"/>
      <c r="P828" s="792"/>
      <c r="Q828" s="792"/>
      <c r="R828" s="792"/>
      <c r="S828" s="792"/>
      <c r="T828" s="792"/>
      <c r="U828" s="792"/>
      <c r="V828" s="793"/>
      <c r="W828" s="793"/>
      <c r="X828" s="792"/>
      <c r="Y828" s="792"/>
      <c r="Z828" s="792"/>
      <c r="AA828" s="792"/>
    </row>
    <row r="829" spans="1:27" ht="15.75" customHeight="1">
      <c r="A829" s="792"/>
      <c r="B829" s="792"/>
      <c r="C829" s="792"/>
      <c r="D829" s="792"/>
      <c r="E829" s="792"/>
      <c r="F829" s="792"/>
      <c r="G829" s="792"/>
      <c r="H829" s="792"/>
      <c r="I829" s="792"/>
      <c r="J829" s="792"/>
      <c r="K829" s="792"/>
      <c r="L829" s="792"/>
      <c r="M829" s="792"/>
      <c r="N829" s="792"/>
      <c r="O829" s="792"/>
      <c r="P829" s="792"/>
      <c r="Q829" s="792"/>
      <c r="R829" s="792"/>
      <c r="S829" s="792"/>
      <c r="T829" s="792"/>
      <c r="U829" s="792"/>
      <c r="V829" s="793"/>
      <c r="W829" s="793"/>
      <c r="X829" s="792"/>
      <c r="Y829" s="792"/>
      <c r="Z829" s="792"/>
      <c r="AA829" s="792"/>
    </row>
    <row r="830" spans="1:27" ht="15.75" customHeight="1">
      <c r="A830" s="792"/>
      <c r="B830" s="792"/>
      <c r="C830" s="792"/>
      <c r="D830" s="792"/>
      <c r="E830" s="792"/>
      <c r="F830" s="792"/>
      <c r="G830" s="792"/>
      <c r="H830" s="792"/>
      <c r="I830" s="792"/>
      <c r="J830" s="792"/>
      <c r="K830" s="792"/>
      <c r="L830" s="792"/>
      <c r="M830" s="792"/>
      <c r="N830" s="792"/>
      <c r="O830" s="792"/>
      <c r="P830" s="792"/>
      <c r="Q830" s="792"/>
      <c r="R830" s="792"/>
      <c r="S830" s="792"/>
      <c r="T830" s="792"/>
      <c r="U830" s="792"/>
      <c r="V830" s="793"/>
      <c r="W830" s="793"/>
      <c r="X830" s="792"/>
      <c r="Y830" s="792"/>
      <c r="Z830" s="792"/>
      <c r="AA830" s="792"/>
    </row>
    <row r="831" spans="1:27" ht="15.75" customHeight="1">
      <c r="A831" s="792"/>
      <c r="B831" s="792"/>
      <c r="C831" s="792"/>
      <c r="D831" s="792"/>
      <c r="E831" s="792"/>
      <c r="F831" s="792"/>
      <c r="G831" s="792"/>
      <c r="H831" s="792"/>
      <c r="I831" s="792"/>
      <c r="J831" s="792"/>
      <c r="K831" s="792"/>
      <c r="L831" s="792"/>
      <c r="M831" s="792"/>
      <c r="N831" s="792"/>
      <c r="O831" s="792"/>
      <c r="P831" s="792"/>
      <c r="Q831" s="792"/>
      <c r="R831" s="792"/>
      <c r="S831" s="792"/>
      <c r="T831" s="792"/>
      <c r="U831" s="792"/>
      <c r="V831" s="793"/>
      <c r="W831" s="793"/>
      <c r="X831" s="792"/>
      <c r="Y831" s="792"/>
      <c r="Z831" s="792"/>
      <c r="AA831" s="792"/>
    </row>
    <row r="832" spans="1:27" ht="15.75" customHeight="1">
      <c r="A832" s="792"/>
      <c r="B832" s="792"/>
      <c r="C832" s="792"/>
      <c r="D832" s="792"/>
      <c r="E832" s="792"/>
      <c r="F832" s="792"/>
      <c r="G832" s="792"/>
      <c r="H832" s="792"/>
      <c r="I832" s="792"/>
      <c r="J832" s="792"/>
      <c r="K832" s="792"/>
      <c r="L832" s="792"/>
      <c r="M832" s="792"/>
      <c r="N832" s="792"/>
      <c r="O832" s="792"/>
      <c r="P832" s="792"/>
      <c r="Q832" s="792"/>
      <c r="R832" s="792"/>
      <c r="S832" s="792"/>
      <c r="T832" s="792"/>
      <c r="U832" s="792"/>
      <c r="V832" s="793"/>
      <c r="W832" s="793"/>
      <c r="X832" s="792"/>
      <c r="Y832" s="792"/>
      <c r="Z832" s="792"/>
      <c r="AA832" s="792"/>
    </row>
    <row r="833" spans="1:27" ht="15.75" customHeight="1">
      <c r="A833" s="792"/>
      <c r="B833" s="792"/>
      <c r="C833" s="792"/>
      <c r="D833" s="792"/>
      <c r="E833" s="792"/>
      <c r="F833" s="792"/>
      <c r="G833" s="792"/>
      <c r="H833" s="792"/>
      <c r="I833" s="792"/>
      <c r="J833" s="792"/>
      <c r="K833" s="792"/>
      <c r="L833" s="792"/>
      <c r="M833" s="792"/>
      <c r="N833" s="792"/>
      <c r="O833" s="792"/>
      <c r="P833" s="792"/>
      <c r="Q833" s="792"/>
      <c r="R833" s="792"/>
      <c r="S833" s="792"/>
      <c r="T833" s="792"/>
      <c r="U833" s="792"/>
      <c r="V833" s="793"/>
      <c r="W833" s="793"/>
      <c r="X833" s="792"/>
      <c r="Y833" s="792"/>
      <c r="Z833" s="792"/>
      <c r="AA833" s="792"/>
    </row>
    <row r="834" spans="1:27" ht="15.75" customHeight="1">
      <c r="A834" s="792"/>
      <c r="B834" s="792"/>
      <c r="C834" s="792"/>
      <c r="D834" s="792"/>
      <c r="E834" s="792"/>
      <c r="F834" s="792"/>
      <c r="G834" s="792"/>
      <c r="H834" s="792"/>
      <c r="I834" s="792"/>
      <c r="J834" s="792"/>
      <c r="K834" s="792"/>
      <c r="L834" s="792"/>
      <c r="M834" s="792"/>
      <c r="N834" s="792"/>
      <c r="O834" s="792"/>
      <c r="P834" s="792"/>
      <c r="Q834" s="792"/>
      <c r="R834" s="792"/>
      <c r="S834" s="792"/>
      <c r="T834" s="792"/>
      <c r="U834" s="792"/>
      <c r="V834" s="793"/>
      <c r="W834" s="793"/>
      <c r="X834" s="792"/>
      <c r="Y834" s="792"/>
      <c r="Z834" s="792"/>
      <c r="AA834" s="792"/>
    </row>
    <row r="835" spans="1:27" ht="15.75" customHeight="1">
      <c r="A835" s="792"/>
      <c r="B835" s="792"/>
      <c r="C835" s="792"/>
      <c r="D835" s="792"/>
      <c r="E835" s="792"/>
      <c r="F835" s="792"/>
      <c r="G835" s="792"/>
      <c r="H835" s="792"/>
      <c r="I835" s="792"/>
      <c r="J835" s="792"/>
      <c r="K835" s="792"/>
      <c r="L835" s="792"/>
      <c r="M835" s="792"/>
      <c r="N835" s="792"/>
      <c r="O835" s="792"/>
      <c r="P835" s="792"/>
      <c r="Q835" s="792"/>
      <c r="R835" s="792"/>
      <c r="S835" s="792"/>
      <c r="T835" s="792"/>
      <c r="U835" s="792"/>
      <c r="V835" s="793"/>
      <c r="W835" s="793"/>
      <c r="X835" s="792"/>
      <c r="Y835" s="792"/>
      <c r="Z835" s="792"/>
      <c r="AA835" s="792"/>
    </row>
    <row r="836" spans="1:27" ht="15.75" customHeight="1">
      <c r="A836" s="792"/>
      <c r="B836" s="792"/>
      <c r="C836" s="792"/>
      <c r="D836" s="792"/>
      <c r="E836" s="792"/>
      <c r="F836" s="792"/>
      <c r="G836" s="792"/>
      <c r="H836" s="792"/>
      <c r="I836" s="792"/>
      <c r="J836" s="792"/>
      <c r="K836" s="792"/>
      <c r="L836" s="792"/>
      <c r="M836" s="792"/>
      <c r="N836" s="792"/>
      <c r="O836" s="792"/>
      <c r="P836" s="792"/>
      <c r="Q836" s="792"/>
      <c r="R836" s="792"/>
      <c r="S836" s="792"/>
      <c r="T836" s="792"/>
      <c r="U836" s="792"/>
      <c r="V836" s="793"/>
      <c r="W836" s="793"/>
      <c r="X836" s="792"/>
      <c r="Y836" s="792"/>
      <c r="Z836" s="792"/>
      <c r="AA836" s="792"/>
    </row>
    <row r="837" spans="1:27" ht="15.75" customHeight="1">
      <c r="A837" s="792"/>
      <c r="B837" s="792"/>
      <c r="C837" s="792"/>
      <c r="D837" s="792"/>
      <c r="E837" s="792"/>
      <c r="F837" s="792"/>
      <c r="G837" s="792"/>
      <c r="H837" s="792"/>
      <c r="I837" s="792"/>
      <c r="J837" s="792"/>
      <c r="K837" s="792"/>
      <c r="L837" s="792"/>
      <c r="M837" s="792"/>
      <c r="N837" s="792"/>
      <c r="O837" s="792"/>
      <c r="P837" s="792"/>
      <c r="Q837" s="792"/>
      <c r="R837" s="792"/>
      <c r="S837" s="792"/>
      <c r="T837" s="792"/>
      <c r="U837" s="792"/>
      <c r="V837" s="793"/>
      <c r="W837" s="793"/>
      <c r="X837" s="792"/>
      <c r="Y837" s="792"/>
      <c r="Z837" s="792"/>
      <c r="AA837" s="792"/>
    </row>
    <row r="838" spans="1:27" ht="15.75" customHeight="1">
      <c r="A838" s="792"/>
      <c r="B838" s="792"/>
      <c r="C838" s="792"/>
      <c r="D838" s="792"/>
      <c r="E838" s="792"/>
      <c r="F838" s="792"/>
      <c r="G838" s="792"/>
      <c r="H838" s="792"/>
      <c r="I838" s="792"/>
      <c r="J838" s="792"/>
      <c r="K838" s="792"/>
      <c r="L838" s="792"/>
      <c r="M838" s="792"/>
      <c r="N838" s="792"/>
      <c r="O838" s="792"/>
      <c r="P838" s="792"/>
      <c r="Q838" s="792"/>
      <c r="R838" s="792"/>
      <c r="S838" s="792"/>
      <c r="T838" s="792"/>
      <c r="U838" s="792"/>
      <c r="V838" s="793"/>
      <c r="W838" s="793"/>
      <c r="X838" s="792"/>
      <c r="Y838" s="792"/>
      <c r="Z838" s="792"/>
      <c r="AA838" s="792"/>
    </row>
    <row r="839" spans="1:27" ht="15.75" customHeight="1">
      <c r="A839" s="792"/>
      <c r="B839" s="792"/>
      <c r="C839" s="792"/>
      <c r="D839" s="792"/>
      <c r="E839" s="792"/>
      <c r="F839" s="792"/>
      <c r="G839" s="792"/>
      <c r="H839" s="792"/>
      <c r="I839" s="792"/>
      <c r="J839" s="792"/>
      <c r="K839" s="792"/>
      <c r="L839" s="792"/>
      <c r="M839" s="792"/>
      <c r="N839" s="792"/>
      <c r="O839" s="792"/>
      <c r="P839" s="792"/>
      <c r="Q839" s="792"/>
      <c r="R839" s="792"/>
      <c r="S839" s="792"/>
      <c r="T839" s="792"/>
      <c r="U839" s="792"/>
      <c r="V839" s="793"/>
      <c r="W839" s="793"/>
      <c r="X839" s="792"/>
      <c r="Y839" s="792"/>
      <c r="Z839" s="792"/>
      <c r="AA839" s="792"/>
    </row>
    <row r="840" spans="1:27" ht="15.75" customHeight="1">
      <c r="A840" s="792"/>
      <c r="B840" s="792"/>
      <c r="C840" s="792"/>
      <c r="D840" s="792"/>
      <c r="E840" s="792"/>
      <c r="F840" s="792"/>
      <c r="G840" s="792"/>
      <c r="H840" s="792"/>
      <c r="I840" s="792"/>
      <c r="J840" s="792"/>
      <c r="K840" s="792"/>
      <c r="L840" s="792"/>
      <c r="M840" s="792"/>
      <c r="N840" s="792"/>
      <c r="O840" s="792"/>
      <c r="P840" s="792"/>
      <c r="Q840" s="792"/>
      <c r="R840" s="792"/>
      <c r="S840" s="792"/>
      <c r="T840" s="792"/>
      <c r="U840" s="792"/>
      <c r="V840" s="793"/>
      <c r="W840" s="793"/>
      <c r="X840" s="792"/>
      <c r="Y840" s="792"/>
      <c r="Z840" s="792"/>
      <c r="AA840" s="792"/>
    </row>
    <row r="841" spans="1:27" ht="15.75" customHeight="1">
      <c r="A841" s="792"/>
      <c r="B841" s="792"/>
      <c r="C841" s="792"/>
      <c r="D841" s="792"/>
      <c r="E841" s="792"/>
      <c r="F841" s="792"/>
      <c r="G841" s="792"/>
      <c r="H841" s="792"/>
      <c r="I841" s="792"/>
      <c r="J841" s="792"/>
      <c r="K841" s="792"/>
      <c r="L841" s="792"/>
      <c r="M841" s="792"/>
      <c r="N841" s="792"/>
      <c r="O841" s="792"/>
      <c r="P841" s="792"/>
      <c r="Q841" s="792"/>
      <c r="R841" s="792"/>
      <c r="S841" s="792"/>
      <c r="T841" s="792"/>
      <c r="U841" s="792"/>
      <c r="V841" s="793"/>
      <c r="W841" s="793"/>
      <c r="X841" s="792"/>
      <c r="Y841" s="792"/>
      <c r="Z841" s="792"/>
      <c r="AA841" s="792"/>
    </row>
    <row r="842" spans="1:27" ht="15.75" customHeight="1">
      <c r="A842" s="792"/>
      <c r="B842" s="792"/>
      <c r="C842" s="792"/>
      <c r="D842" s="792"/>
      <c r="E842" s="792"/>
      <c r="F842" s="792"/>
      <c r="G842" s="792"/>
      <c r="H842" s="792"/>
      <c r="I842" s="792"/>
      <c r="J842" s="792"/>
      <c r="K842" s="792"/>
      <c r="L842" s="792"/>
      <c r="M842" s="792"/>
      <c r="N842" s="792"/>
      <c r="O842" s="792"/>
      <c r="P842" s="792"/>
      <c r="Q842" s="792"/>
      <c r="R842" s="792"/>
      <c r="S842" s="792"/>
      <c r="T842" s="792"/>
      <c r="U842" s="792"/>
      <c r="V842" s="793"/>
      <c r="W842" s="793"/>
      <c r="X842" s="792"/>
      <c r="Y842" s="792"/>
      <c r="Z842" s="792"/>
      <c r="AA842" s="792"/>
    </row>
    <row r="843" spans="1:27" ht="15.75" customHeight="1">
      <c r="A843" s="792"/>
      <c r="B843" s="792"/>
      <c r="C843" s="792"/>
      <c r="D843" s="792"/>
      <c r="E843" s="792"/>
      <c r="F843" s="792"/>
      <c r="G843" s="792"/>
      <c r="H843" s="792"/>
      <c r="I843" s="792"/>
      <c r="J843" s="792"/>
      <c r="K843" s="792"/>
      <c r="L843" s="792"/>
      <c r="M843" s="792"/>
      <c r="N843" s="792"/>
      <c r="O843" s="792"/>
      <c r="P843" s="792"/>
      <c r="Q843" s="792"/>
      <c r="R843" s="792"/>
      <c r="S843" s="792"/>
      <c r="T843" s="792"/>
      <c r="U843" s="792"/>
      <c r="V843" s="793"/>
      <c r="W843" s="793"/>
      <c r="X843" s="792"/>
      <c r="Y843" s="792"/>
      <c r="Z843" s="792"/>
      <c r="AA843" s="792"/>
    </row>
    <row r="844" spans="1:27" ht="15.75" customHeight="1">
      <c r="A844" s="792"/>
      <c r="B844" s="792"/>
      <c r="C844" s="792"/>
      <c r="D844" s="792"/>
      <c r="E844" s="792"/>
      <c r="F844" s="792"/>
      <c r="G844" s="792"/>
      <c r="H844" s="792"/>
      <c r="I844" s="792"/>
      <c r="J844" s="792"/>
      <c r="K844" s="792"/>
      <c r="L844" s="792"/>
      <c r="M844" s="792"/>
      <c r="N844" s="792"/>
      <c r="O844" s="792"/>
      <c r="P844" s="792"/>
      <c r="Q844" s="792"/>
      <c r="R844" s="792"/>
      <c r="S844" s="792"/>
      <c r="T844" s="792"/>
      <c r="U844" s="792"/>
      <c r="V844" s="793"/>
      <c r="W844" s="793"/>
      <c r="X844" s="792"/>
      <c r="Y844" s="792"/>
      <c r="Z844" s="792"/>
      <c r="AA844" s="792"/>
    </row>
    <row r="845" spans="1:27" ht="15.75" customHeight="1">
      <c r="A845" s="792"/>
      <c r="B845" s="792"/>
      <c r="C845" s="792"/>
      <c r="D845" s="792"/>
      <c r="E845" s="792"/>
      <c r="F845" s="792"/>
      <c r="G845" s="792"/>
      <c r="H845" s="792"/>
      <c r="I845" s="792"/>
      <c r="J845" s="792"/>
      <c r="K845" s="792"/>
      <c r="L845" s="792"/>
      <c r="M845" s="792"/>
      <c r="N845" s="792"/>
      <c r="O845" s="792"/>
      <c r="P845" s="792"/>
      <c r="Q845" s="792"/>
      <c r="R845" s="792"/>
      <c r="S845" s="792"/>
      <c r="T845" s="792"/>
      <c r="U845" s="792"/>
      <c r="V845" s="793"/>
      <c r="W845" s="793"/>
      <c r="X845" s="792"/>
      <c r="Y845" s="792"/>
      <c r="Z845" s="792"/>
      <c r="AA845" s="792"/>
    </row>
    <row r="846" spans="1:27" ht="15.75" customHeight="1">
      <c r="A846" s="792"/>
      <c r="B846" s="792"/>
      <c r="C846" s="792"/>
      <c r="D846" s="792"/>
      <c r="E846" s="792"/>
      <c r="F846" s="792"/>
      <c r="G846" s="792"/>
      <c r="H846" s="792"/>
      <c r="I846" s="792"/>
      <c r="J846" s="792"/>
      <c r="K846" s="792"/>
      <c r="L846" s="792"/>
      <c r="M846" s="792"/>
      <c r="N846" s="792"/>
      <c r="O846" s="792"/>
      <c r="P846" s="792"/>
      <c r="Q846" s="792"/>
      <c r="R846" s="792"/>
      <c r="S846" s="792"/>
      <c r="T846" s="792"/>
      <c r="U846" s="792"/>
      <c r="V846" s="793"/>
      <c r="W846" s="793"/>
      <c r="X846" s="792"/>
      <c r="Y846" s="792"/>
      <c r="Z846" s="792"/>
      <c r="AA846" s="792"/>
    </row>
    <row r="847" spans="1:27" ht="15.75" customHeight="1">
      <c r="A847" s="792"/>
      <c r="B847" s="792"/>
      <c r="C847" s="792"/>
      <c r="D847" s="792"/>
      <c r="E847" s="792"/>
      <c r="F847" s="792"/>
      <c r="G847" s="792"/>
      <c r="H847" s="792"/>
      <c r="I847" s="792"/>
      <c r="J847" s="792"/>
      <c r="K847" s="792"/>
      <c r="L847" s="792"/>
      <c r="M847" s="792"/>
      <c r="N847" s="792"/>
      <c r="O847" s="792"/>
      <c r="P847" s="792"/>
      <c r="Q847" s="792"/>
      <c r="R847" s="792"/>
      <c r="S847" s="792"/>
      <c r="T847" s="792"/>
      <c r="U847" s="792"/>
      <c r="V847" s="793"/>
      <c r="W847" s="793"/>
      <c r="X847" s="792"/>
      <c r="Y847" s="792"/>
      <c r="Z847" s="792"/>
      <c r="AA847" s="792"/>
    </row>
    <row r="848" spans="1:27" ht="15.75" customHeight="1">
      <c r="A848" s="792"/>
      <c r="B848" s="792"/>
      <c r="C848" s="792"/>
      <c r="D848" s="792"/>
      <c r="E848" s="792"/>
      <c r="F848" s="792"/>
      <c r="G848" s="792"/>
      <c r="H848" s="792"/>
      <c r="I848" s="792"/>
      <c r="J848" s="792"/>
      <c r="K848" s="792"/>
      <c r="L848" s="792"/>
      <c r="M848" s="792"/>
      <c r="N848" s="792"/>
      <c r="O848" s="792"/>
      <c r="P848" s="792"/>
      <c r="Q848" s="792"/>
      <c r="R848" s="792"/>
      <c r="S848" s="792"/>
      <c r="T848" s="792"/>
      <c r="U848" s="792"/>
      <c r="V848" s="793"/>
      <c r="W848" s="793"/>
      <c r="X848" s="792"/>
      <c r="Y848" s="792"/>
      <c r="Z848" s="792"/>
      <c r="AA848" s="792"/>
    </row>
    <row r="849" spans="1:27" ht="15.75" customHeight="1">
      <c r="A849" s="792"/>
      <c r="B849" s="792"/>
      <c r="C849" s="792"/>
      <c r="D849" s="792"/>
      <c r="E849" s="792"/>
      <c r="F849" s="792"/>
      <c r="G849" s="792"/>
      <c r="H849" s="792"/>
      <c r="I849" s="792"/>
      <c r="J849" s="792"/>
      <c r="K849" s="792"/>
      <c r="L849" s="792"/>
      <c r="M849" s="792"/>
      <c r="N849" s="792"/>
      <c r="O849" s="792"/>
      <c r="P849" s="792"/>
      <c r="Q849" s="792"/>
      <c r="R849" s="792"/>
      <c r="S849" s="792"/>
      <c r="T849" s="792"/>
      <c r="U849" s="792"/>
      <c r="V849" s="793"/>
      <c r="W849" s="793"/>
      <c r="X849" s="792"/>
      <c r="Y849" s="792"/>
      <c r="Z849" s="792"/>
      <c r="AA849" s="792"/>
    </row>
    <row r="850" spans="1:27" ht="15.75" customHeight="1">
      <c r="A850" s="792"/>
      <c r="B850" s="792"/>
      <c r="C850" s="792"/>
      <c r="D850" s="792"/>
      <c r="E850" s="792"/>
      <c r="F850" s="792"/>
      <c r="G850" s="792"/>
      <c r="H850" s="792"/>
      <c r="I850" s="792"/>
      <c r="J850" s="792"/>
      <c r="K850" s="792"/>
      <c r="L850" s="792"/>
      <c r="M850" s="792"/>
      <c r="N850" s="792"/>
      <c r="O850" s="792"/>
      <c r="P850" s="792"/>
      <c r="Q850" s="792"/>
      <c r="R850" s="792"/>
      <c r="S850" s="792"/>
      <c r="T850" s="792"/>
      <c r="U850" s="792"/>
      <c r="V850" s="793"/>
      <c r="W850" s="793"/>
      <c r="X850" s="792"/>
      <c r="Y850" s="792"/>
      <c r="Z850" s="792"/>
      <c r="AA850" s="792"/>
    </row>
    <row r="851" spans="1:27" ht="15.75" customHeight="1">
      <c r="A851" s="792"/>
      <c r="B851" s="792"/>
      <c r="C851" s="792"/>
      <c r="D851" s="792"/>
      <c r="E851" s="792"/>
      <c r="F851" s="792"/>
      <c r="G851" s="792"/>
      <c r="H851" s="792"/>
      <c r="I851" s="792"/>
      <c r="J851" s="792"/>
      <c r="K851" s="792"/>
      <c r="L851" s="792"/>
      <c r="M851" s="792"/>
      <c r="N851" s="792"/>
      <c r="O851" s="792"/>
      <c r="P851" s="792"/>
      <c r="Q851" s="792"/>
      <c r="R851" s="792"/>
      <c r="S851" s="792"/>
      <c r="T851" s="792"/>
      <c r="U851" s="792"/>
      <c r="V851" s="793"/>
      <c r="W851" s="793"/>
      <c r="X851" s="792"/>
      <c r="Y851" s="792"/>
      <c r="Z851" s="792"/>
      <c r="AA851" s="792"/>
    </row>
    <row r="852" spans="1:27" ht="15.75" customHeight="1">
      <c r="A852" s="792"/>
      <c r="B852" s="792"/>
      <c r="C852" s="792"/>
      <c r="D852" s="792"/>
      <c r="E852" s="792"/>
      <c r="F852" s="792"/>
      <c r="G852" s="792"/>
      <c r="H852" s="792"/>
      <c r="I852" s="792"/>
      <c r="J852" s="792"/>
      <c r="K852" s="792"/>
      <c r="L852" s="792"/>
      <c r="M852" s="792"/>
      <c r="N852" s="792"/>
      <c r="O852" s="792"/>
      <c r="P852" s="792"/>
      <c r="Q852" s="792"/>
      <c r="R852" s="792"/>
      <c r="S852" s="792"/>
      <c r="T852" s="792"/>
      <c r="U852" s="792"/>
      <c r="V852" s="793"/>
      <c r="W852" s="793"/>
      <c r="X852" s="792"/>
      <c r="Y852" s="792"/>
      <c r="Z852" s="792"/>
      <c r="AA852" s="792"/>
    </row>
    <row r="853" spans="1:27" ht="15.75" customHeight="1">
      <c r="A853" s="792"/>
      <c r="B853" s="792"/>
      <c r="C853" s="792"/>
      <c r="D853" s="792"/>
      <c r="E853" s="792"/>
      <c r="F853" s="792"/>
      <c r="G853" s="792"/>
      <c r="H853" s="792"/>
      <c r="I853" s="792"/>
      <c r="J853" s="792"/>
      <c r="K853" s="792"/>
      <c r="L853" s="792"/>
      <c r="M853" s="792"/>
      <c r="N853" s="792"/>
      <c r="O853" s="792"/>
      <c r="P853" s="792"/>
      <c r="Q853" s="792"/>
      <c r="R853" s="792"/>
      <c r="S853" s="792"/>
      <c r="T853" s="792"/>
      <c r="U853" s="792"/>
      <c r="V853" s="793"/>
      <c r="W853" s="793"/>
      <c r="X853" s="792"/>
      <c r="Y853" s="792"/>
      <c r="Z853" s="792"/>
      <c r="AA853" s="792"/>
    </row>
    <row r="854" spans="1:27" ht="15.75" customHeight="1">
      <c r="A854" s="792"/>
      <c r="B854" s="792"/>
      <c r="C854" s="792"/>
      <c r="D854" s="792"/>
      <c r="E854" s="792"/>
      <c r="F854" s="792"/>
      <c r="G854" s="792"/>
      <c r="H854" s="792"/>
      <c r="I854" s="792"/>
      <c r="J854" s="792"/>
      <c r="K854" s="792"/>
      <c r="L854" s="792"/>
      <c r="M854" s="792"/>
      <c r="N854" s="792"/>
      <c r="O854" s="792"/>
      <c r="P854" s="792"/>
      <c r="Q854" s="792"/>
      <c r="R854" s="792"/>
      <c r="S854" s="792"/>
      <c r="T854" s="792"/>
      <c r="U854" s="792"/>
      <c r="V854" s="793"/>
      <c r="W854" s="793"/>
      <c r="X854" s="792"/>
      <c r="Y854" s="792"/>
      <c r="Z854" s="792"/>
      <c r="AA854" s="792"/>
    </row>
    <row r="855" spans="1:27" ht="15.75" customHeight="1">
      <c r="A855" s="792"/>
      <c r="B855" s="792"/>
      <c r="C855" s="792"/>
      <c r="D855" s="792"/>
      <c r="E855" s="792"/>
      <c r="F855" s="792"/>
      <c r="G855" s="792"/>
      <c r="H855" s="792"/>
      <c r="I855" s="792"/>
      <c r="J855" s="792"/>
      <c r="K855" s="792"/>
      <c r="L855" s="792"/>
      <c r="M855" s="792"/>
      <c r="N855" s="792"/>
      <c r="O855" s="792"/>
      <c r="P855" s="792"/>
      <c r="Q855" s="792"/>
      <c r="R855" s="792"/>
      <c r="S855" s="792"/>
      <c r="T855" s="792"/>
      <c r="U855" s="792"/>
      <c r="V855" s="793"/>
      <c r="W855" s="793"/>
      <c r="X855" s="792"/>
      <c r="Y855" s="792"/>
      <c r="Z855" s="792"/>
      <c r="AA855" s="792"/>
    </row>
    <row r="856" spans="1:27" ht="15.75" customHeight="1">
      <c r="A856" s="792"/>
      <c r="B856" s="792"/>
      <c r="C856" s="792"/>
      <c r="D856" s="792"/>
      <c r="E856" s="792"/>
      <c r="F856" s="792"/>
      <c r="G856" s="792"/>
      <c r="H856" s="792"/>
      <c r="I856" s="792"/>
      <c r="J856" s="792"/>
      <c r="K856" s="792"/>
      <c r="L856" s="792"/>
      <c r="M856" s="792"/>
      <c r="N856" s="792"/>
      <c r="O856" s="792"/>
      <c r="P856" s="792"/>
      <c r="Q856" s="792"/>
      <c r="R856" s="792"/>
      <c r="S856" s="792"/>
      <c r="T856" s="792"/>
      <c r="U856" s="792"/>
      <c r="V856" s="793"/>
      <c r="W856" s="793"/>
      <c r="X856" s="792"/>
      <c r="Y856" s="792"/>
      <c r="Z856" s="792"/>
      <c r="AA856" s="792"/>
    </row>
    <row r="857" spans="1:27" ht="15.75" customHeight="1">
      <c r="A857" s="792"/>
      <c r="B857" s="792"/>
      <c r="C857" s="792"/>
      <c r="D857" s="792"/>
      <c r="E857" s="792"/>
      <c r="F857" s="792"/>
      <c r="G857" s="792"/>
      <c r="H857" s="792"/>
      <c r="I857" s="792"/>
      <c r="J857" s="792"/>
      <c r="K857" s="792"/>
      <c r="L857" s="792"/>
      <c r="M857" s="792"/>
      <c r="N857" s="792"/>
      <c r="O857" s="792"/>
      <c r="P857" s="792"/>
      <c r="Q857" s="792"/>
      <c r="R857" s="792"/>
      <c r="S857" s="792"/>
      <c r="T857" s="792"/>
      <c r="U857" s="792"/>
      <c r="V857" s="793"/>
      <c r="W857" s="793"/>
      <c r="X857" s="792"/>
      <c r="Y857" s="792"/>
      <c r="Z857" s="792"/>
      <c r="AA857" s="792"/>
    </row>
    <row r="858" spans="1:27" ht="15.75" customHeight="1">
      <c r="A858" s="792"/>
      <c r="B858" s="792"/>
      <c r="C858" s="792"/>
      <c r="D858" s="792"/>
      <c r="E858" s="792"/>
      <c r="F858" s="792"/>
      <c r="G858" s="792"/>
      <c r="H858" s="792"/>
      <c r="I858" s="792"/>
      <c r="J858" s="792"/>
      <c r="K858" s="792"/>
      <c r="L858" s="792"/>
      <c r="M858" s="792"/>
      <c r="N858" s="792"/>
      <c r="O858" s="792"/>
      <c r="P858" s="792"/>
      <c r="Q858" s="792"/>
      <c r="R858" s="792"/>
      <c r="S858" s="792"/>
      <c r="T858" s="792"/>
      <c r="U858" s="792"/>
      <c r="V858" s="793"/>
      <c r="W858" s="793"/>
      <c r="X858" s="792"/>
      <c r="Y858" s="792"/>
      <c r="Z858" s="792"/>
      <c r="AA858" s="792"/>
    </row>
    <row r="859" spans="1:27" ht="15.75" customHeight="1">
      <c r="A859" s="792"/>
      <c r="B859" s="792"/>
      <c r="C859" s="792"/>
      <c r="D859" s="792"/>
      <c r="E859" s="792"/>
      <c r="F859" s="792"/>
      <c r="G859" s="792"/>
      <c r="H859" s="792"/>
      <c r="I859" s="792"/>
      <c r="J859" s="792"/>
      <c r="K859" s="792"/>
      <c r="L859" s="792"/>
      <c r="M859" s="792"/>
      <c r="N859" s="792"/>
      <c r="O859" s="792"/>
      <c r="P859" s="792"/>
      <c r="Q859" s="792"/>
      <c r="R859" s="792"/>
      <c r="S859" s="792"/>
      <c r="T859" s="792"/>
      <c r="U859" s="792"/>
      <c r="V859" s="793"/>
      <c r="W859" s="793"/>
      <c r="X859" s="792"/>
      <c r="Y859" s="792"/>
      <c r="Z859" s="792"/>
      <c r="AA859" s="792"/>
    </row>
    <row r="860" spans="1:27" ht="15.75" customHeight="1">
      <c r="A860" s="792"/>
      <c r="B860" s="792"/>
      <c r="C860" s="792"/>
      <c r="D860" s="792"/>
      <c r="E860" s="792"/>
      <c r="F860" s="792"/>
      <c r="G860" s="792"/>
      <c r="H860" s="792"/>
      <c r="I860" s="792"/>
      <c r="J860" s="792"/>
      <c r="K860" s="792"/>
      <c r="L860" s="792"/>
      <c r="M860" s="792"/>
      <c r="N860" s="792"/>
      <c r="O860" s="792"/>
      <c r="P860" s="792"/>
      <c r="Q860" s="792"/>
      <c r="R860" s="792"/>
      <c r="S860" s="792"/>
      <c r="T860" s="792"/>
      <c r="U860" s="792"/>
      <c r="V860" s="793"/>
      <c r="W860" s="793"/>
      <c r="X860" s="792"/>
      <c r="Y860" s="792"/>
      <c r="Z860" s="792"/>
      <c r="AA860" s="792"/>
    </row>
    <row r="861" spans="1:27" ht="15.75" customHeight="1">
      <c r="A861" s="792"/>
      <c r="B861" s="792"/>
      <c r="C861" s="792"/>
      <c r="D861" s="792"/>
      <c r="E861" s="792"/>
      <c r="F861" s="792"/>
      <c r="G861" s="792"/>
      <c r="H861" s="792"/>
      <c r="I861" s="792"/>
      <c r="J861" s="792"/>
      <c r="K861" s="792"/>
      <c r="L861" s="792"/>
      <c r="M861" s="792"/>
      <c r="N861" s="792"/>
      <c r="O861" s="792"/>
      <c r="P861" s="792"/>
      <c r="Q861" s="792"/>
      <c r="R861" s="792"/>
      <c r="S861" s="792"/>
      <c r="T861" s="792"/>
      <c r="U861" s="792"/>
      <c r="V861" s="793"/>
      <c r="W861" s="793"/>
      <c r="X861" s="792"/>
      <c r="Y861" s="792"/>
      <c r="Z861" s="792"/>
      <c r="AA861" s="792"/>
    </row>
    <row r="862" spans="1:27" ht="15.75" customHeight="1">
      <c r="A862" s="792"/>
      <c r="B862" s="792"/>
      <c r="C862" s="792"/>
      <c r="D862" s="792"/>
      <c r="E862" s="792"/>
      <c r="F862" s="792"/>
      <c r="G862" s="792"/>
      <c r="H862" s="792"/>
      <c r="I862" s="792"/>
      <c r="J862" s="792"/>
      <c r="K862" s="792"/>
      <c r="L862" s="792"/>
      <c r="M862" s="792"/>
      <c r="N862" s="792"/>
      <c r="O862" s="792"/>
      <c r="P862" s="792"/>
      <c r="Q862" s="792"/>
      <c r="R862" s="792"/>
      <c r="S862" s="792"/>
      <c r="T862" s="792"/>
      <c r="U862" s="792"/>
      <c r="V862" s="793"/>
      <c r="W862" s="793"/>
      <c r="X862" s="792"/>
      <c r="Y862" s="792"/>
      <c r="Z862" s="792"/>
      <c r="AA862" s="792"/>
    </row>
    <row r="863" spans="1:27" ht="15.75" customHeight="1">
      <c r="A863" s="792"/>
      <c r="B863" s="792"/>
      <c r="C863" s="792"/>
      <c r="D863" s="792"/>
      <c r="E863" s="792"/>
      <c r="F863" s="792"/>
      <c r="G863" s="792"/>
      <c r="H863" s="792"/>
      <c r="I863" s="792"/>
      <c r="J863" s="792"/>
      <c r="K863" s="792"/>
      <c r="L863" s="792"/>
      <c r="M863" s="792"/>
      <c r="N863" s="792"/>
      <c r="O863" s="792"/>
      <c r="P863" s="792"/>
      <c r="Q863" s="792"/>
      <c r="R863" s="792"/>
      <c r="S863" s="792"/>
      <c r="T863" s="792"/>
      <c r="U863" s="792"/>
      <c r="V863" s="793"/>
      <c r="W863" s="793"/>
      <c r="X863" s="792"/>
      <c r="Y863" s="792"/>
      <c r="Z863" s="792"/>
      <c r="AA863" s="792"/>
    </row>
    <row r="864" spans="1:27" ht="15.75" customHeight="1">
      <c r="A864" s="792"/>
      <c r="B864" s="792"/>
      <c r="C864" s="792"/>
      <c r="D864" s="792"/>
      <c r="E864" s="792"/>
      <c r="F864" s="792"/>
      <c r="G864" s="792"/>
      <c r="H864" s="792"/>
      <c r="I864" s="792"/>
      <c r="J864" s="792"/>
      <c r="K864" s="792"/>
      <c r="L864" s="792"/>
      <c r="M864" s="792"/>
      <c r="N864" s="792"/>
      <c r="O864" s="792"/>
      <c r="P864" s="792"/>
      <c r="Q864" s="792"/>
      <c r="R864" s="792"/>
      <c r="S864" s="792"/>
      <c r="T864" s="792"/>
      <c r="U864" s="792"/>
      <c r="V864" s="793"/>
      <c r="W864" s="793"/>
      <c r="X864" s="792"/>
      <c r="Y864" s="792"/>
      <c r="Z864" s="792"/>
      <c r="AA864" s="792"/>
    </row>
    <row r="865" spans="1:27" ht="15.75" customHeight="1">
      <c r="A865" s="792"/>
      <c r="B865" s="792"/>
      <c r="C865" s="792"/>
      <c r="D865" s="792"/>
      <c r="E865" s="792"/>
      <c r="F865" s="792"/>
      <c r="G865" s="792"/>
      <c r="H865" s="792"/>
      <c r="I865" s="792"/>
      <c r="J865" s="792"/>
      <c r="K865" s="792"/>
      <c r="L865" s="792"/>
      <c r="M865" s="792"/>
      <c r="N865" s="792"/>
      <c r="O865" s="792"/>
      <c r="P865" s="792"/>
      <c r="Q865" s="792"/>
      <c r="R865" s="792"/>
      <c r="S865" s="792"/>
      <c r="T865" s="792"/>
      <c r="U865" s="792"/>
      <c r="V865" s="793"/>
      <c r="W865" s="793"/>
      <c r="X865" s="792"/>
      <c r="Y865" s="792"/>
      <c r="Z865" s="792"/>
      <c r="AA865" s="792"/>
    </row>
    <row r="866" spans="1:27" ht="15.75" customHeight="1">
      <c r="A866" s="792"/>
      <c r="B866" s="792"/>
      <c r="C866" s="792"/>
      <c r="D866" s="792"/>
      <c r="E866" s="792"/>
      <c r="F866" s="792"/>
      <c r="G866" s="792"/>
      <c r="H866" s="792"/>
      <c r="I866" s="792"/>
      <c r="J866" s="792"/>
      <c r="K866" s="792"/>
      <c r="L866" s="792"/>
      <c r="M866" s="792"/>
      <c r="N866" s="792"/>
      <c r="O866" s="792"/>
      <c r="P866" s="792"/>
      <c r="Q866" s="792"/>
      <c r="R866" s="792"/>
      <c r="S866" s="792"/>
      <c r="T866" s="792"/>
      <c r="U866" s="792"/>
      <c r="V866" s="793"/>
      <c r="W866" s="793"/>
      <c r="X866" s="792"/>
      <c r="Y866" s="792"/>
      <c r="Z866" s="792"/>
      <c r="AA866" s="792"/>
    </row>
    <row r="867" spans="1:27" ht="15.75" customHeight="1">
      <c r="A867" s="792"/>
      <c r="B867" s="792"/>
      <c r="C867" s="792"/>
      <c r="D867" s="792"/>
      <c r="E867" s="792"/>
      <c r="F867" s="792"/>
      <c r="G867" s="792"/>
      <c r="H867" s="792"/>
      <c r="I867" s="792"/>
      <c r="J867" s="792"/>
      <c r="K867" s="792"/>
      <c r="L867" s="792"/>
      <c r="M867" s="792"/>
      <c r="N867" s="792"/>
      <c r="O867" s="792"/>
      <c r="P867" s="792"/>
      <c r="Q867" s="792"/>
      <c r="R867" s="792"/>
      <c r="S867" s="792"/>
      <c r="T867" s="792"/>
      <c r="U867" s="792"/>
      <c r="V867" s="793"/>
      <c r="W867" s="793"/>
      <c r="X867" s="792"/>
      <c r="Y867" s="792"/>
      <c r="Z867" s="792"/>
      <c r="AA867" s="792"/>
    </row>
    <row r="868" spans="1:27" ht="15.75" customHeight="1">
      <c r="A868" s="792"/>
      <c r="B868" s="792"/>
      <c r="C868" s="792"/>
      <c r="D868" s="792"/>
      <c r="E868" s="792"/>
      <c r="F868" s="792"/>
      <c r="G868" s="792"/>
      <c r="H868" s="792"/>
      <c r="I868" s="792"/>
      <c r="J868" s="792"/>
      <c r="K868" s="792"/>
      <c r="L868" s="792"/>
      <c r="M868" s="792"/>
      <c r="N868" s="792"/>
      <c r="O868" s="792"/>
      <c r="P868" s="792"/>
      <c r="Q868" s="792"/>
      <c r="R868" s="792"/>
      <c r="S868" s="792"/>
      <c r="T868" s="792"/>
      <c r="U868" s="792"/>
      <c r="V868" s="793"/>
      <c r="W868" s="793"/>
      <c r="X868" s="792"/>
      <c r="Y868" s="792"/>
      <c r="Z868" s="792"/>
      <c r="AA868" s="792"/>
    </row>
    <row r="869" spans="1:27" ht="15.75" customHeight="1">
      <c r="A869" s="792"/>
      <c r="B869" s="792"/>
      <c r="C869" s="792"/>
      <c r="D869" s="792"/>
      <c r="E869" s="792"/>
      <c r="F869" s="792"/>
      <c r="G869" s="792"/>
      <c r="H869" s="792"/>
      <c r="I869" s="792"/>
      <c r="J869" s="792"/>
      <c r="K869" s="792"/>
      <c r="L869" s="792"/>
      <c r="M869" s="792"/>
      <c r="N869" s="792"/>
      <c r="O869" s="792"/>
      <c r="P869" s="792"/>
      <c r="Q869" s="792"/>
      <c r="R869" s="792"/>
      <c r="S869" s="792"/>
      <c r="T869" s="792"/>
      <c r="U869" s="792"/>
      <c r="V869" s="793"/>
      <c r="W869" s="793"/>
      <c r="X869" s="792"/>
      <c r="Y869" s="792"/>
      <c r="Z869" s="792"/>
      <c r="AA869" s="792"/>
    </row>
    <row r="870" spans="1:27" ht="15.75" customHeight="1">
      <c r="A870" s="792"/>
      <c r="B870" s="792"/>
      <c r="C870" s="792"/>
      <c r="D870" s="792"/>
      <c r="E870" s="792"/>
      <c r="F870" s="792"/>
      <c r="G870" s="792"/>
      <c r="H870" s="792"/>
      <c r="I870" s="792"/>
      <c r="J870" s="792"/>
      <c r="K870" s="792"/>
      <c r="L870" s="792"/>
      <c r="M870" s="792"/>
      <c r="N870" s="792"/>
      <c r="O870" s="792"/>
      <c r="P870" s="792"/>
      <c r="Q870" s="792"/>
      <c r="R870" s="792"/>
      <c r="S870" s="792"/>
      <c r="T870" s="792"/>
      <c r="U870" s="792"/>
      <c r="V870" s="793"/>
      <c r="W870" s="793"/>
      <c r="X870" s="792"/>
      <c r="Y870" s="792"/>
      <c r="Z870" s="792"/>
      <c r="AA870" s="792"/>
    </row>
    <row r="871" spans="1:27" ht="15.75" customHeight="1">
      <c r="A871" s="792"/>
      <c r="B871" s="792"/>
      <c r="C871" s="792"/>
      <c r="D871" s="792"/>
      <c r="E871" s="792"/>
      <c r="F871" s="792"/>
      <c r="G871" s="792"/>
      <c r="H871" s="792"/>
      <c r="I871" s="792"/>
      <c r="J871" s="792"/>
      <c r="K871" s="792"/>
      <c r="L871" s="792"/>
      <c r="M871" s="792"/>
      <c r="N871" s="792"/>
      <c r="O871" s="792"/>
      <c r="P871" s="792"/>
      <c r="Q871" s="792"/>
      <c r="R871" s="792"/>
      <c r="S871" s="792"/>
      <c r="T871" s="792"/>
      <c r="U871" s="792"/>
      <c r="V871" s="793"/>
      <c r="W871" s="793"/>
      <c r="X871" s="792"/>
      <c r="Y871" s="792"/>
      <c r="Z871" s="792"/>
      <c r="AA871" s="792"/>
    </row>
    <row r="872" spans="1:27" ht="15.75" customHeight="1">
      <c r="A872" s="792"/>
      <c r="B872" s="792"/>
      <c r="C872" s="792"/>
      <c r="D872" s="792"/>
      <c r="E872" s="792"/>
      <c r="F872" s="792"/>
      <c r="G872" s="792"/>
      <c r="H872" s="792"/>
      <c r="I872" s="792"/>
      <c r="J872" s="792"/>
      <c r="K872" s="792"/>
      <c r="L872" s="792"/>
      <c r="M872" s="792"/>
      <c r="N872" s="792"/>
      <c r="O872" s="792"/>
      <c r="P872" s="792"/>
      <c r="Q872" s="792"/>
      <c r="R872" s="792"/>
      <c r="S872" s="792"/>
      <c r="T872" s="792"/>
      <c r="U872" s="792"/>
      <c r="V872" s="793"/>
      <c r="W872" s="793"/>
      <c r="X872" s="792"/>
      <c r="Y872" s="792"/>
      <c r="Z872" s="792"/>
      <c r="AA872" s="792"/>
    </row>
    <row r="873" spans="1:27" ht="15.75" customHeight="1">
      <c r="A873" s="792"/>
      <c r="B873" s="792"/>
      <c r="C873" s="792"/>
      <c r="D873" s="792"/>
      <c r="E873" s="792"/>
      <c r="F873" s="792"/>
      <c r="G873" s="792"/>
      <c r="H873" s="792"/>
      <c r="I873" s="792"/>
      <c r="J873" s="792"/>
      <c r="K873" s="792"/>
      <c r="L873" s="792"/>
      <c r="M873" s="792"/>
      <c r="N873" s="792"/>
      <c r="O873" s="792"/>
      <c r="P873" s="792"/>
      <c r="Q873" s="792"/>
      <c r="R873" s="792"/>
      <c r="S873" s="792"/>
      <c r="T873" s="792"/>
      <c r="U873" s="792"/>
      <c r="V873" s="793"/>
      <c r="W873" s="793"/>
      <c r="X873" s="792"/>
      <c r="Y873" s="792"/>
      <c r="Z873" s="792"/>
      <c r="AA873" s="792"/>
    </row>
    <row r="874" spans="1:27" ht="15.75" customHeight="1">
      <c r="A874" s="792"/>
      <c r="B874" s="792"/>
      <c r="C874" s="792"/>
      <c r="D874" s="792"/>
      <c r="E874" s="792"/>
      <c r="F874" s="792"/>
      <c r="G874" s="792"/>
      <c r="H874" s="792"/>
      <c r="I874" s="792"/>
      <c r="J874" s="792"/>
      <c r="K874" s="792"/>
      <c r="L874" s="792"/>
      <c r="M874" s="792"/>
      <c r="N874" s="792"/>
      <c r="O874" s="792"/>
      <c r="P874" s="792"/>
      <c r="Q874" s="792"/>
      <c r="R874" s="792"/>
      <c r="S874" s="792"/>
      <c r="T874" s="792"/>
      <c r="U874" s="792"/>
      <c r="V874" s="793"/>
      <c r="W874" s="793"/>
      <c r="X874" s="792"/>
      <c r="Y874" s="792"/>
      <c r="Z874" s="792"/>
      <c r="AA874" s="792"/>
    </row>
    <row r="875" spans="1:27" ht="15.75" customHeight="1">
      <c r="A875" s="792"/>
      <c r="B875" s="792"/>
      <c r="C875" s="792"/>
      <c r="D875" s="792"/>
      <c r="E875" s="792"/>
      <c r="F875" s="792"/>
      <c r="G875" s="792"/>
      <c r="H875" s="792"/>
      <c r="I875" s="792"/>
      <c r="J875" s="792"/>
      <c r="K875" s="792"/>
      <c r="L875" s="792"/>
      <c r="M875" s="792"/>
      <c r="N875" s="792"/>
      <c r="O875" s="792"/>
      <c r="P875" s="792"/>
      <c r="Q875" s="792"/>
      <c r="R875" s="792"/>
      <c r="S875" s="792"/>
      <c r="T875" s="792"/>
      <c r="U875" s="792"/>
      <c r="V875" s="793"/>
      <c r="W875" s="793"/>
      <c r="X875" s="792"/>
      <c r="Y875" s="792"/>
      <c r="Z875" s="792"/>
      <c r="AA875" s="792"/>
    </row>
    <row r="876" spans="1:27" ht="15.75" customHeight="1">
      <c r="A876" s="792"/>
      <c r="B876" s="792"/>
      <c r="C876" s="792"/>
      <c r="D876" s="792"/>
      <c r="E876" s="792"/>
      <c r="F876" s="792"/>
      <c r="G876" s="792"/>
      <c r="H876" s="792"/>
      <c r="I876" s="792"/>
      <c r="J876" s="792"/>
      <c r="K876" s="792"/>
      <c r="L876" s="792"/>
      <c r="M876" s="792"/>
      <c r="N876" s="792"/>
      <c r="O876" s="792"/>
      <c r="P876" s="792"/>
      <c r="Q876" s="792"/>
      <c r="R876" s="792"/>
      <c r="S876" s="792"/>
      <c r="T876" s="792"/>
      <c r="U876" s="792"/>
      <c r="V876" s="793"/>
      <c r="W876" s="793"/>
      <c r="X876" s="792"/>
      <c r="Y876" s="792"/>
      <c r="Z876" s="792"/>
      <c r="AA876" s="792"/>
    </row>
    <row r="877" spans="1:27" ht="15.75" customHeight="1">
      <c r="A877" s="792"/>
      <c r="B877" s="792"/>
      <c r="C877" s="792"/>
      <c r="D877" s="792"/>
      <c r="E877" s="792"/>
      <c r="F877" s="792"/>
      <c r="G877" s="792"/>
      <c r="H877" s="792"/>
      <c r="I877" s="792"/>
      <c r="J877" s="792"/>
      <c r="K877" s="792"/>
      <c r="L877" s="792"/>
      <c r="M877" s="792"/>
      <c r="N877" s="792"/>
      <c r="O877" s="792"/>
      <c r="P877" s="792"/>
      <c r="Q877" s="792"/>
      <c r="R877" s="792"/>
      <c r="S877" s="792"/>
      <c r="T877" s="792"/>
      <c r="U877" s="792"/>
      <c r="V877" s="793"/>
      <c r="W877" s="793"/>
      <c r="X877" s="792"/>
      <c r="Y877" s="792"/>
      <c r="Z877" s="792"/>
      <c r="AA877" s="792"/>
    </row>
    <row r="878" spans="1:27" ht="15.75" customHeight="1">
      <c r="A878" s="792"/>
      <c r="B878" s="792"/>
      <c r="C878" s="792"/>
      <c r="D878" s="792"/>
      <c r="E878" s="792"/>
      <c r="F878" s="792"/>
      <c r="G878" s="792"/>
      <c r="H878" s="792"/>
      <c r="I878" s="792"/>
      <c r="J878" s="792"/>
      <c r="K878" s="792"/>
      <c r="L878" s="792"/>
      <c r="M878" s="792"/>
      <c r="N878" s="792"/>
      <c r="O878" s="792"/>
      <c r="P878" s="792"/>
      <c r="Q878" s="792"/>
      <c r="R878" s="792"/>
      <c r="S878" s="792"/>
      <c r="T878" s="792"/>
      <c r="U878" s="792"/>
      <c r="V878" s="793"/>
      <c r="W878" s="793"/>
      <c r="X878" s="792"/>
      <c r="Y878" s="792"/>
      <c r="Z878" s="792"/>
      <c r="AA878" s="792"/>
    </row>
    <row r="879" spans="1:27" ht="15.75" customHeight="1">
      <c r="A879" s="792"/>
      <c r="B879" s="792"/>
      <c r="C879" s="792"/>
      <c r="D879" s="792"/>
      <c r="E879" s="792"/>
      <c r="F879" s="792"/>
      <c r="G879" s="792"/>
      <c r="H879" s="792"/>
      <c r="I879" s="792"/>
      <c r="J879" s="792"/>
      <c r="K879" s="792"/>
      <c r="L879" s="792"/>
      <c r="M879" s="792"/>
      <c r="N879" s="792"/>
      <c r="O879" s="792"/>
      <c r="P879" s="792"/>
      <c r="Q879" s="792"/>
      <c r="R879" s="792"/>
      <c r="S879" s="792"/>
      <c r="T879" s="792"/>
      <c r="U879" s="792"/>
      <c r="V879" s="793"/>
      <c r="W879" s="793"/>
      <c r="X879" s="792"/>
      <c r="Y879" s="792"/>
      <c r="Z879" s="792"/>
      <c r="AA879" s="792"/>
    </row>
    <row r="880" spans="1:27" ht="15.75" customHeight="1">
      <c r="A880" s="792"/>
      <c r="B880" s="792"/>
      <c r="C880" s="792"/>
      <c r="D880" s="792"/>
      <c r="E880" s="792"/>
      <c r="F880" s="792"/>
      <c r="G880" s="792"/>
      <c r="H880" s="792"/>
      <c r="I880" s="792"/>
      <c r="J880" s="792"/>
      <c r="K880" s="792"/>
      <c r="L880" s="792"/>
      <c r="M880" s="792"/>
      <c r="N880" s="792"/>
      <c r="O880" s="792"/>
      <c r="P880" s="792"/>
      <c r="Q880" s="792"/>
      <c r="R880" s="792"/>
      <c r="S880" s="792"/>
      <c r="T880" s="792"/>
      <c r="U880" s="792"/>
      <c r="V880" s="793"/>
      <c r="W880" s="793"/>
      <c r="X880" s="792"/>
      <c r="Y880" s="792"/>
      <c r="Z880" s="792"/>
      <c r="AA880" s="792"/>
    </row>
    <row r="881" spans="1:27" ht="15.75" customHeight="1">
      <c r="A881" s="792"/>
      <c r="B881" s="792"/>
      <c r="C881" s="792"/>
      <c r="D881" s="792"/>
      <c r="E881" s="792"/>
      <c r="F881" s="792"/>
      <c r="G881" s="792"/>
      <c r="H881" s="792"/>
      <c r="I881" s="792"/>
      <c r="J881" s="792"/>
      <c r="K881" s="792"/>
      <c r="L881" s="792"/>
      <c r="M881" s="792"/>
      <c r="N881" s="792"/>
      <c r="O881" s="792"/>
      <c r="P881" s="792"/>
      <c r="Q881" s="792"/>
      <c r="R881" s="792"/>
      <c r="S881" s="792"/>
      <c r="T881" s="792"/>
      <c r="U881" s="792"/>
      <c r="V881" s="793"/>
      <c r="W881" s="793"/>
      <c r="X881" s="792"/>
      <c r="Y881" s="792"/>
      <c r="Z881" s="792"/>
      <c r="AA881" s="792"/>
    </row>
    <row r="882" spans="1:27" ht="15.75" customHeight="1">
      <c r="A882" s="792"/>
      <c r="B882" s="792"/>
      <c r="C882" s="792"/>
      <c r="D882" s="792"/>
      <c r="E882" s="792"/>
      <c r="F882" s="792"/>
      <c r="G882" s="792"/>
      <c r="H882" s="792"/>
      <c r="I882" s="792"/>
      <c r="J882" s="792"/>
      <c r="K882" s="792"/>
      <c r="L882" s="792"/>
      <c r="M882" s="792"/>
      <c r="N882" s="792"/>
      <c r="O882" s="792"/>
      <c r="P882" s="792"/>
      <c r="Q882" s="792"/>
      <c r="R882" s="792"/>
      <c r="S882" s="792"/>
      <c r="T882" s="792"/>
      <c r="U882" s="792"/>
      <c r="V882" s="793"/>
      <c r="W882" s="793"/>
      <c r="X882" s="792"/>
      <c r="Y882" s="792"/>
      <c r="Z882" s="792"/>
      <c r="AA882" s="792"/>
    </row>
    <row r="883" spans="1:27" ht="15.75" customHeight="1">
      <c r="A883" s="792"/>
      <c r="B883" s="792"/>
      <c r="C883" s="792"/>
      <c r="D883" s="792"/>
      <c r="E883" s="792"/>
      <c r="F883" s="792"/>
      <c r="G883" s="792"/>
      <c r="H883" s="792"/>
      <c r="I883" s="792"/>
      <c r="J883" s="792"/>
      <c r="K883" s="792"/>
      <c r="L883" s="792"/>
      <c r="M883" s="792"/>
      <c r="N883" s="792"/>
      <c r="O883" s="792"/>
      <c r="P883" s="792"/>
      <c r="Q883" s="792"/>
      <c r="R883" s="792"/>
      <c r="S883" s="792"/>
      <c r="T883" s="792"/>
      <c r="U883" s="792"/>
      <c r="V883" s="793"/>
      <c r="W883" s="793"/>
      <c r="X883" s="792"/>
      <c r="Y883" s="792"/>
      <c r="Z883" s="792"/>
      <c r="AA883" s="792"/>
    </row>
    <row r="884" spans="1:27" ht="15.75" customHeight="1">
      <c r="A884" s="792"/>
      <c r="B884" s="792"/>
      <c r="C884" s="792"/>
      <c r="D884" s="792"/>
      <c r="E884" s="792"/>
      <c r="F884" s="792"/>
      <c r="G884" s="792"/>
      <c r="H884" s="792"/>
      <c r="I884" s="792"/>
      <c r="J884" s="792"/>
      <c r="K884" s="792"/>
      <c r="L884" s="792"/>
      <c r="M884" s="792"/>
      <c r="N884" s="792"/>
      <c r="O884" s="792"/>
      <c r="P884" s="792"/>
      <c r="Q884" s="792"/>
      <c r="R884" s="792"/>
      <c r="S884" s="792"/>
      <c r="T884" s="792"/>
      <c r="U884" s="792"/>
      <c r="V884" s="793"/>
      <c r="W884" s="793"/>
      <c r="X884" s="792"/>
      <c r="Y884" s="792"/>
      <c r="Z884" s="792"/>
      <c r="AA884" s="792"/>
    </row>
    <row r="885" spans="1:27" ht="15.75" customHeight="1">
      <c r="A885" s="792"/>
      <c r="B885" s="792"/>
      <c r="C885" s="792"/>
      <c r="D885" s="792"/>
      <c r="E885" s="792"/>
      <c r="F885" s="792"/>
      <c r="G885" s="792"/>
      <c r="H885" s="792"/>
      <c r="I885" s="792"/>
      <c r="J885" s="792"/>
      <c r="K885" s="792"/>
      <c r="L885" s="792"/>
      <c r="M885" s="792"/>
      <c r="N885" s="792"/>
      <c r="O885" s="792"/>
      <c r="P885" s="792"/>
      <c r="Q885" s="792"/>
      <c r="R885" s="792"/>
      <c r="S885" s="792"/>
      <c r="T885" s="792"/>
      <c r="U885" s="792"/>
      <c r="V885" s="793"/>
      <c r="W885" s="793"/>
      <c r="X885" s="792"/>
      <c r="Y885" s="792"/>
      <c r="Z885" s="792"/>
      <c r="AA885" s="792"/>
    </row>
    <row r="886" spans="1:27" ht="15.75" customHeight="1">
      <c r="A886" s="792"/>
      <c r="B886" s="792"/>
      <c r="C886" s="792"/>
      <c r="D886" s="792"/>
      <c r="E886" s="792"/>
      <c r="F886" s="792"/>
      <c r="G886" s="792"/>
      <c r="H886" s="792"/>
      <c r="I886" s="792"/>
      <c r="J886" s="792"/>
      <c r="K886" s="792"/>
      <c r="L886" s="792"/>
      <c r="M886" s="792"/>
      <c r="N886" s="792"/>
      <c r="O886" s="792"/>
      <c r="P886" s="792"/>
      <c r="Q886" s="792"/>
      <c r="R886" s="792"/>
      <c r="S886" s="792"/>
      <c r="T886" s="792"/>
      <c r="U886" s="792"/>
      <c r="V886" s="793"/>
      <c r="W886" s="793"/>
      <c r="X886" s="792"/>
      <c r="Y886" s="792"/>
      <c r="Z886" s="792"/>
      <c r="AA886" s="792"/>
    </row>
    <row r="887" spans="1:27" ht="15.75" customHeight="1">
      <c r="A887" s="792"/>
      <c r="B887" s="792"/>
      <c r="C887" s="792"/>
      <c r="D887" s="792"/>
      <c r="E887" s="792"/>
      <c r="F887" s="792"/>
      <c r="G887" s="792"/>
      <c r="H887" s="792"/>
      <c r="I887" s="792"/>
      <c r="J887" s="792"/>
      <c r="K887" s="792"/>
      <c r="L887" s="792"/>
      <c r="M887" s="792"/>
      <c r="N887" s="792"/>
      <c r="O887" s="792"/>
      <c r="P887" s="792"/>
      <c r="Q887" s="792"/>
      <c r="R887" s="792"/>
      <c r="S887" s="792"/>
      <c r="T887" s="792"/>
      <c r="U887" s="792"/>
      <c r="V887" s="793"/>
      <c r="W887" s="793"/>
      <c r="X887" s="792"/>
      <c r="Y887" s="792"/>
      <c r="Z887" s="792"/>
      <c r="AA887" s="792"/>
    </row>
    <row r="888" spans="1:27" ht="15.75" customHeight="1">
      <c r="A888" s="792"/>
      <c r="B888" s="792"/>
      <c r="C888" s="792"/>
      <c r="D888" s="792"/>
      <c r="E888" s="792"/>
      <c r="F888" s="792"/>
      <c r="G888" s="792"/>
      <c r="H888" s="792"/>
      <c r="I888" s="792"/>
      <c r="J888" s="792"/>
      <c r="K888" s="792"/>
      <c r="L888" s="792"/>
      <c r="M888" s="792"/>
      <c r="N888" s="792"/>
      <c r="O888" s="792"/>
      <c r="P888" s="792"/>
      <c r="Q888" s="792"/>
      <c r="R888" s="792"/>
      <c r="S888" s="792"/>
      <c r="T888" s="792"/>
      <c r="U888" s="792"/>
      <c r="V888" s="793"/>
      <c r="W888" s="793"/>
      <c r="X888" s="792"/>
      <c r="Y888" s="792"/>
      <c r="Z888" s="792"/>
      <c r="AA888" s="792"/>
    </row>
    <row r="889" spans="1:27" ht="15.75" customHeight="1">
      <c r="A889" s="792"/>
      <c r="B889" s="792"/>
      <c r="C889" s="792"/>
      <c r="D889" s="792"/>
      <c r="E889" s="792"/>
      <c r="F889" s="792"/>
      <c r="G889" s="792"/>
      <c r="H889" s="792"/>
      <c r="I889" s="792"/>
      <c r="J889" s="792"/>
      <c r="K889" s="792"/>
      <c r="L889" s="792"/>
      <c r="M889" s="792"/>
      <c r="N889" s="792"/>
      <c r="O889" s="792"/>
      <c r="P889" s="792"/>
      <c r="Q889" s="792"/>
      <c r="R889" s="792"/>
      <c r="S889" s="792"/>
      <c r="T889" s="792"/>
      <c r="U889" s="792"/>
      <c r="V889" s="793"/>
      <c r="W889" s="793"/>
      <c r="X889" s="792"/>
      <c r="Y889" s="792"/>
      <c r="Z889" s="792"/>
      <c r="AA889" s="792"/>
    </row>
    <row r="890" spans="1:27" ht="15.75" customHeight="1">
      <c r="A890" s="792"/>
      <c r="B890" s="792"/>
      <c r="C890" s="792"/>
      <c r="D890" s="792"/>
      <c r="E890" s="792"/>
      <c r="F890" s="792"/>
      <c r="G890" s="792"/>
      <c r="H890" s="792"/>
      <c r="I890" s="792"/>
      <c r="J890" s="792"/>
      <c r="K890" s="792"/>
      <c r="L890" s="792"/>
      <c r="M890" s="792"/>
      <c r="N890" s="792"/>
      <c r="O890" s="792"/>
      <c r="P890" s="792"/>
      <c r="Q890" s="792"/>
      <c r="R890" s="792"/>
      <c r="S890" s="792"/>
      <c r="T890" s="792"/>
      <c r="U890" s="792"/>
      <c r="V890" s="793"/>
      <c r="W890" s="793"/>
      <c r="X890" s="792"/>
      <c r="Y890" s="792"/>
      <c r="Z890" s="792"/>
      <c r="AA890" s="792"/>
    </row>
    <row r="891" spans="1:27" ht="15.75" customHeight="1">
      <c r="A891" s="792"/>
      <c r="B891" s="792"/>
      <c r="C891" s="792"/>
      <c r="D891" s="792"/>
      <c r="E891" s="792"/>
      <c r="F891" s="792"/>
      <c r="G891" s="792"/>
      <c r="H891" s="792"/>
      <c r="I891" s="792"/>
      <c r="J891" s="792"/>
      <c r="K891" s="792"/>
      <c r="L891" s="792"/>
      <c r="M891" s="792"/>
      <c r="N891" s="792"/>
      <c r="O891" s="792"/>
      <c r="P891" s="792"/>
      <c r="Q891" s="792"/>
      <c r="R891" s="792"/>
      <c r="S891" s="792"/>
      <c r="T891" s="792"/>
      <c r="U891" s="792"/>
      <c r="V891" s="793"/>
      <c r="W891" s="793"/>
      <c r="X891" s="792"/>
      <c r="Y891" s="792"/>
      <c r="Z891" s="792"/>
      <c r="AA891" s="792"/>
    </row>
    <row r="892" spans="1:27" ht="15.75" customHeight="1">
      <c r="A892" s="792"/>
      <c r="B892" s="792"/>
      <c r="C892" s="792"/>
      <c r="D892" s="792"/>
      <c r="E892" s="792"/>
      <c r="F892" s="792"/>
      <c r="G892" s="792"/>
      <c r="H892" s="792"/>
      <c r="I892" s="792"/>
      <c r="J892" s="792"/>
      <c r="K892" s="792"/>
      <c r="L892" s="792"/>
      <c r="M892" s="792"/>
      <c r="N892" s="792"/>
      <c r="O892" s="792"/>
      <c r="P892" s="792"/>
      <c r="Q892" s="792"/>
      <c r="R892" s="792"/>
      <c r="S892" s="792"/>
      <c r="T892" s="792"/>
      <c r="U892" s="792"/>
      <c r="V892" s="793"/>
      <c r="W892" s="793"/>
      <c r="X892" s="792"/>
      <c r="Y892" s="792"/>
      <c r="Z892" s="792"/>
      <c r="AA892" s="792"/>
    </row>
    <row r="893" spans="1:27" ht="15.75" customHeight="1">
      <c r="A893" s="792"/>
      <c r="B893" s="792"/>
      <c r="C893" s="792"/>
      <c r="D893" s="792"/>
      <c r="E893" s="792"/>
      <c r="F893" s="792"/>
      <c r="G893" s="792"/>
      <c r="H893" s="792"/>
      <c r="I893" s="792"/>
      <c r="J893" s="792"/>
      <c r="K893" s="792"/>
      <c r="L893" s="792"/>
      <c r="M893" s="792"/>
      <c r="N893" s="792"/>
      <c r="O893" s="792"/>
      <c r="P893" s="792"/>
      <c r="Q893" s="792"/>
      <c r="R893" s="792"/>
      <c r="S893" s="792"/>
      <c r="T893" s="792"/>
      <c r="U893" s="792"/>
      <c r="V893" s="793"/>
      <c r="W893" s="793"/>
      <c r="X893" s="792"/>
      <c r="Y893" s="792"/>
      <c r="Z893" s="792"/>
      <c r="AA893" s="792"/>
    </row>
    <row r="894" spans="1:27" ht="15.75" customHeight="1">
      <c r="A894" s="792"/>
      <c r="B894" s="792"/>
      <c r="C894" s="792"/>
      <c r="D894" s="792"/>
      <c r="E894" s="792"/>
      <c r="F894" s="792"/>
      <c r="G894" s="792"/>
      <c r="H894" s="792"/>
      <c r="I894" s="792"/>
      <c r="J894" s="792"/>
      <c r="K894" s="792"/>
      <c r="L894" s="792"/>
      <c r="M894" s="792"/>
      <c r="N894" s="792"/>
      <c r="O894" s="792"/>
      <c r="P894" s="792"/>
      <c r="Q894" s="792"/>
      <c r="R894" s="792"/>
      <c r="S894" s="792"/>
      <c r="T894" s="792"/>
      <c r="U894" s="792"/>
      <c r="V894" s="793"/>
      <c r="W894" s="793"/>
      <c r="X894" s="792"/>
      <c r="Y894" s="792"/>
      <c r="Z894" s="792"/>
      <c r="AA894" s="792"/>
    </row>
    <row r="895" spans="1:27" ht="15.75" customHeight="1">
      <c r="A895" s="792"/>
      <c r="B895" s="792"/>
      <c r="C895" s="792"/>
      <c r="D895" s="792"/>
      <c r="E895" s="792"/>
      <c r="F895" s="792"/>
      <c r="G895" s="792"/>
      <c r="H895" s="792"/>
      <c r="I895" s="792"/>
      <c r="J895" s="792"/>
      <c r="K895" s="792"/>
      <c r="L895" s="792"/>
      <c r="M895" s="792"/>
      <c r="N895" s="792"/>
      <c r="O895" s="792"/>
      <c r="P895" s="792"/>
      <c r="Q895" s="792"/>
      <c r="R895" s="792"/>
      <c r="S895" s="792"/>
      <c r="T895" s="792"/>
      <c r="U895" s="792"/>
      <c r="V895" s="793"/>
      <c r="W895" s="793"/>
      <c r="X895" s="792"/>
      <c r="Y895" s="792"/>
      <c r="Z895" s="792"/>
      <c r="AA895" s="792"/>
    </row>
    <row r="896" spans="1:27" ht="15.75" customHeight="1">
      <c r="A896" s="792"/>
      <c r="B896" s="792"/>
      <c r="C896" s="792"/>
      <c r="D896" s="792"/>
      <c r="E896" s="792"/>
      <c r="F896" s="792"/>
      <c r="G896" s="792"/>
      <c r="H896" s="792"/>
      <c r="I896" s="792"/>
      <c r="J896" s="792"/>
      <c r="K896" s="792"/>
      <c r="L896" s="792"/>
      <c r="M896" s="792"/>
      <c r="N896" s="792"/>
      <c r="O896" s="792"/>
      <c r="P896" s="792"/>
      <c r="Q896" s="792"/>
      <c r="R896" s="792"/>
      <c r="S896" s="792"/>
      <c r="T896" s="792"/>
      <c r="U896" s="792"/>
      <c r="V896" s="793"/>
      <c r="W896" s="793"/>
      <c r="X896" s="792"/>
      <c r="Y896" s="792"/>
      <c r="Z896" s="792"/>
      <c r="AA896" s="792"/>
    </row>
    <row r="897" spans="1:27" ht="15.75" customHeight="1">
      <c r="A897" s="792"/>
      <c r="B897" s="792"/>
      <c r="C897" s="792"/>
      <c r="D897" s="792"/>
      <c r="E897" s="792"/>
      <c r="F897" s="792"/>
      <c r="G897" s="792"/>
      <c r="H897" s="792"/>
      <c r="I897" s="792"/>
      <c r="J897" s="792"/>
      <c r="K897" s="792"/>
      <c r="L897" s="792"/>
      <c r="M897" s="792"/>
      <c r="N897" s="792"/>
      <c r="O897" s="792"/>
      <c r="P897" s="792"/>
      <c r="Q897" s="792"/>
      <c r="R897" s="792"/>
      <c r="S897" s="792"/>
      <c r="T897" s="792"/>
      <c r="U897" s="792"/>
      <c r="V897" s="793"/>
      <c r="W897" s="793"/>
      <c r="X897" s="792"/>
      <c r="Y897" s="792"/>
      <c r="Z897" s="792"/>
      <c r="AA897" s="792"/>
    </row>
    <row r="898" spans="1:27" ht="15.75" customHeight="1">
      <c r="A898" s="792"/>
      <c r="B898" s="792"/>
      <c r="C898" s="792"/>
      <c r="D898" s="792"/>
      <c r="E898" s="792"/>
      <c r="F898" s="792"/>
      <c r="G898" s="792"/>
      <c r="H898" s="792"/>
      <c r="I898" s="792"/>
      <c r="J898" s="792"/>
      <c r="K898" s="792"/>
      <c r="L898" s="792"/>
      <c r="M898" s="792"/>
      <c r="N898" s="792"/>
      <c r="O898" s="792"/>
      <c r="P898" s="792"/>
      <c r="Q898" s="792"/>
      <c r="R898" s="792"/>
      <c r="S898" s="792"/>
      <c r="T898" s="792"/>
      <c r="U898" s="792"/>
      <c r="V898" s="793"/>
      <c r="W898" s="793"/>
      <c r="X898" s="792"/>
      <c r="Y898" s="792"/>
      <c r="Z898" s="792"/>
      <c r="AA898" s="792"/>
    </row>
    <row r="899" spans="1:27" ht="15.75" customHeight="1">
      <c r="A899" s="792"/>
      <c r="B899" s="792"/>
      <c r="C899" s="792"/>
      <c r="D899" s="792"/>
      <c r="E899" s="792"/>
      <c r="F899" s="792"/>
      <c r="G899" s="792"/>
      <c r="H899" s="792"/>
      <c r="I899" s="792"/>
      <c r="J899" s="792"/>
      <c r="K899" s="792"/>
      <c r="L899" s="792"/>
      <c r="M899" s="792"/>
      <c r="N899" s="792"/>
      <c r="O899" s="792"/>
      <c r="P899" s="792"/>
      <c r="Q899" s="792"/>
      <c r="R899" s="792"/>
      <c r="S899" s="792"/>
      <c r="T899" s="792"/>
      <c r="U899" s="792"/>
      <c r="V899" s="793"/>
      <c r="W899" s="793"/>
      <c r="X899" s="792"/>
      <c r="Y899" s="792"/>
      <c r="Z899" s="792"/>
      <c r="AA899" s="792"/>
    </row>
    <row r="900" spans="1:27" ht="15.75" customHeight="1">
      <c r="A900" s="792"/>
      <c r="B900" s="792"/>
      <c r="C900" s="792"/>
      <c r="D900" s="792"/>
      <c r="E900" s="792"/>
      <c r="F900" s="792"/>
      <c r="G900" s="792"/>
      <c r="H900" s="792"/>
      <c r="I900" s="792"/>
      <c r="J900" s="792"/>
      <c r="K900" s="792"/>
      <c r="L900" s="792"/>
      <c r="M900" s="792"/>
      <c r="N900" s="792"/>
      <c r="O900" s="792"/>
      <c r="P900" s="792"/>
      <c r="Q900" s="792"/>
      <c r="R900" s="792"/>
      <c r="S900" s="792"/>
      <c r="T900" s="792"/>
      <c r="U900" s="792"/>
      <c r="V900" s="793"/>
      <c r="W900" s="793"/>
      <c r="X900" s="792"/>
      <c r="Y900" s="792"/>
      <c r="Z900" s="792"/>
      <c r="AA900" s="792"/>
    </row>
    <row r="901" spans="1:27" ht="15.75" customHeight="1">
      <c r="A901" s="792"/>
      <c r="B901" s="792"/>
      <c r="C901" s="792"/>
      <c r="D901" s="792"/>
      <c r="E901" s="792"/>
      <c r="F901" s="792"/>
      <c r="G901" s="792"/>
      <c r="H901" s="792"/>
      <c r="I901" s="792"/>
      <c r="J901" s="792"/>
      <c r="K901" s="792"/>
      <c r="L901" s="792"/>
      <c r="M901" s="792"/>
      <c r="N901" s="792"/>
      <c r="O901" s="792"/>
      <c r="P901" s="792"/>
      <c r="Q901" s="792"/>
      <c r="R901" s="792"/>
      <c r="S901" s="792"/>
      <c r="T901" s="792"/>
      <c r="U901" s="792"/>
      <c r="V901" s="793"/>
      <c r="W901" s="793"/>
      <c r="X901" s="792"/>
      <c r="Y901" s="792"/>
      <c r="Z901" s="792"/>
      <c r="AA901" s="792"/>
    </row>
    <row r="902" spans="1:27" ht="15.75" customHeight="1">
      <c r="A902" s="792"/>
      <c r="B902" s="792"/>
      <c r="C902" s="792"/>
      <c r="D902" s="792"/>
      <c r="E902" s="792"/>
      <c r="F902" s="792"/>
      <c r="G902" s="792"/>
      <c r="H902" s="792"/>
      <c r="I902" s="792"/>
      <c r="J902" s="792"/>
      <c r="K902" s="792"/>
      <c r="L902" s="792"/>
      <c r="M902" s="792"/>
      <c r="N902" s="792"/>
      <c r="O902" s="792"/>
      <c r="P902" s="792"/>
      <c r="Q902" s="792"/>
      <c r="R902" s="792"/>
      <c r="S902" s="792"/>
      <c r="T902" s="792"/>
      <c r="U902" s="792"/>
      <c r="V902" s="793"/>
      <c r="W902" s="793"/>
      <c r="X902" s="792"/>
      <c r="Y902" s="792"/>
      <c r="Z902" s="792"/>
      <c r="AA902" s="792"/>
    </row>
    <row r="903" spans="1:27" ht="15.75" customHeight="1">
      <c r="A903" s="792"/>
      <c r="B903" s="792"/>
      <c r="C903" s="792"/>
      <c r="D903" s="792"/>
      <c r="E903" s="792"/>
      <c r="F903" s="792"/>
      <c r="G903" s="792"/>
      <c r="H903" s="792"/>
      <c r="I903" s="792"/>
      <c r="J903" s="792"/>
      <c r="K903" s="792"/>
      <c r="L903" s="792"/>
      <c r="M903" s="792"/>
      <c r="N903" s="792"/>
      <c r="O903" s="792"/>
      <c r="P903" s="792"/>
      <c r="Q903" s="792"/>
      <c r="R903" s="792"/>
      <c r="S903" s="792"/>
      <c r="T903" s="792"/>
      <c r="U903" s="792"/>
      <c r="V903" s="793"/>
      <c r="W903" s="793"/>
      <c r="X903" s="792"/>
      <c r="Y903" s="792"/>
      <c r="Z903" s="792"/>
      <c r="AA903" s="792"/>
    </row>
    <row r="904" spans="1:27" ht="15.75" customHeight="1">
      <c r="A904" s="792"/>
      <c r="B904" s="792"/>
      <c r="C904" s="792"/>
      <c r="D904" s="792"/>
      <c r="E904" s="792"/>
      <c r="F904" s="792"/>
      <c r="G904" s="792"/>
      <c r="H904" s="792"/>
      <c r="I904" s="792"/>
      <c r="J904" s="792"/>
      <c r="K904" s="792"/>
      <c r="L904" s="792"/>
      <c r="M904" s="792"/>
      <c r="N904" s="792"/>
      <c r="O904" s="792"/>
      <c r="P904" s="792"/>
      <c r="Q904" s="792"/>
      <c r="R904" s="792"/>
      <c r="S904" s="792"/>
      <c r="T904" s="792"/>
      <c r="U904" s="792"/>
      <c r="V904" s="793"/>
      <c r="W904" s="793"/>
      <c r="X904" s="792"/>
      <c r="Y904" s="792"/>
      <c r="Z904" s="792"/>
      <c r="AA904" s="792"/>
    </row>
    <row r="905" spans="1:27" ht="15.75" customHeight="1">
      <c r="A905" s="792"/>
      <c r="B905" s="792"/>
      <c r="C905" s="792"/>
      <c r="D905" s="792"/>
      <c r="E905" s="792"/>
      <c r="F905" s="792"/>
      <c r="G905" s="792"/>
      <c r="H905" s="792"/>
      <c r="I905" s="792"/>
      <c r="J905" s="792"/>
      <c r="K905" s="792"/>
      <c r="L905" s="792"/>
      <c r="M905" s="792"/>
      <c r="N905" s="792"/>
      <c r="O905" s="792"/>
      <c r="P905" s="792"/>
      <c r="Q905" s="792"/>
      <c r="R905" s="792"/>
      <c r="S905" s="792"/>
      <c r="T905" s="792"/>
      <c r="U905" s="792"/>
      <c r="V905" s="793"/>
      <c r="W905" s="793"/>
      <c r="X905" s="792"/>
      <c r="Y905" s="792"/>
      <c r="Z905" s="792"/>
      <c r="AA905" s="792"/>
    </row>
    <row r="906" spans="1:27" ht="15.75" customHeight="1">
      <c r="A906" s="792"/>
      <c r="B906" s="792"/>
      <c r="C906" s="792"/>
      <c r="D906" s="792"/>
      <c r="E906" s="792"/>
      <c r="F906" s="792"/>
      <c r="G906" s="792"/>
      <c r="H906" s="792"/>
      <c r="I906" s="792"/>
      <c r="J906" s="792"/>
      <c r="K906" s="792"/>
      <c r="L906" s="792"/>
      <c r="M906" s="792"/>
      <c r="N906" s="792"/>
      <c r="O906" s="792"/>
      <c r="P906" s="792"/>
      <c r="Q906" s="792"/>
      <c r="R906" s="792"/>
      <c r="S906" s="792"/>
      <c r="T906" s="792"/>
      <c r="U906" s="792"/>
      <c r="V906" s="793"/>
      <c r="W906" s="793"/>
      <c r="X906" s="792"/>
      <c r="Y906" s="792"/>
      <c r="Z906" s="792"/>
      <c r="AA906" s="792"/>
    </row>
    <row r="907" spans="1:27" ht="15.75" customHeight="1">
      <c r="A907" s="792"/>
      <c r="B907" s="792"/>
      <c r="C907" s="792"/>
      <c r="D907" s="792"/>
      <c r="E907" s="792"/>
      <c r="F907" s="792"/>
      <c r="G907" s="792"/>
      <c r="H907" s="792"/>
      <c r="I907" s="792"/>
      <c r="J907" s="792"/>
      <c r="K907" s="792"/>
      <c r="L907" s="792"/>
      <c r="M907" s="792"/>
      <c r="N907" s="792"/>
      <c r="O907" s="792"/>
      <c r="P907" s="792"/>
      <c r="Q907" s="792"/>
      <c r="R907" s="792"/>
      <c r="S907" s="792"/>
      <c r="T907" s="792"/>
      <c r="U907" s="792"/>
      <c r="V907" s="793"/>
      <c r="W907" s="793"/>
      <c r="X907" s="792"/>
      <c r="Y907" s="792"/>
      <c r="Z907" s="792"/>
      <c r="AA907" s="792"/>
    </row>
    <row r="908" spans="1:27" ht="15.75" customHeight="1">
      <c r="A908" s="792"/>
      <c r="B908" s="792"/>
      <c r="C908" s="792"/>
      <c r="D908" s="792"/>
      <c r="E908" s="792"/>
      <c r="F908" s="792"/>
      <c r="G908" s="792"/>
      <c r="H908" s="792"/>
      <c r="I908" s="792"/>
      <c r="J908" s="792"/>
      <c r="K908" s="792"/>
      <c r="L908" s="792"/>
      <c r="M908" s="792"/>
      <c r="N908" s="792"/>
      <c r="O908" s="792"/>
      <c r="P908" s="792"/>
      <c r="Q908" s="792"/>
      <c r="R908" s="792"/>
      <c r="S908" s="792"/>
      <c r="T908" s="792"/>
      <c r="U908" s="792"/>
      <c r="V908" s="793"/>
      <c r="W908" s="793"/>
      <c r="X908" s="792"/>
      <c r="Y908" s="792"/>
      <c r="Z908" s="792"/>
      <c r="AA908" s="792"/>
    </row>
    <row r="909" spans="1:27" ht="15.75" customHeight="1">
      <c r="A909" s="792"/>
      <c r="B909" s="792"/>
      <c r="C909" s="792"/>
      <c r="D909" s="792"/>
      <c r="E909" s="792"/>
      <c r="F909" s="792"/>
      <c r="G909" s="792"/>
      <c r="H909" s="792"/>
      <c r="I909" s="792"/>
      <c r="J909" s="792"/>
      <c r="K909" s="792"/>
      <c r="L909" s="792"/>
      <c r="M909" s="792"/>
      <c r="N909" s="792"/>
      <c r="O909" s="792"/>
      <c r="P909" s="792"/>
      <c r="Q909" s="792"/>
      <c r="R909" s="792"/>
      <c r="S909" s="792"/>
      <c r="T909" s="792"/>
      <c r="U909" s="792"/>
      <c r="V909" s="793"/>
      <c r="W909" s="793"/>
      <c r="X909" s="792"/>
      <c r="Y909" s="792"/>
      <c r="Z909" s="792"/>
      <c r="AA909" s="792"/>
    </row>
    <row r="910" spans="1:27" ht="15.75" customHeight="1">
      <c r="A910" s="792"/>
      <c r="B910" s="792"/>
      <c r="C910" s="792"/>
      <c r="D910" s="792"/>
      <c r="E910" s="792"/>
      <c r="F910" s="792"/>
      <c r="G910" s="792"/>
      <c r="H910" s="792"/>
      <c r="I910" s="792"/>
      <c r="J910" s="792"/>
      <c r="K910" s="792"/>
      <c r="L910" s="792"/>
      <c r="M910" s="792"/>
      <c r="N910" s="792"/>
      <c r="O910" s="792"/>
      <c r="P910" s="792"/>
      <c r="Q910" s="792"/>
      <c r="R910" s="792"/>
      <c r="S910" s="792"/>
      <c r="T910" s="792"/>
      <c r="U910" s="792"/>
      <c r="V910" s="793"/>
      <c r="W910" s="793"/>
      <c r="X910" s="792"/>
      <c r="Y910" s="792"/>
      <c r="Z910" s="792"/>
      <c r="AA910" s="792"/>
    </row>
    <row r="911" spans="1:27" ht="15.75" customHeight="1">
      <c r="A911" s="792"/>
      <c r="B911" s="792"/>
      <c r="C911" s="792"/>
      <c r="D911" s="792"/>
      <c r="E911" s="792"/>
      <c r="F911" s="792"/>
      <c r="G911" s="792"/>
      <c r="H911" s="792"/>
      <c r="I911" s="792"/>
      <c r="J911" s="792"/>
      <c r="K911" s="792"/>
      <c r="L911" s="792"/>
      <c r="M911" s="792"/>
      <c r="N911" s="792"/>
      <c r="O911" s="792"/>
      <c r="P911" s="792"/>
      <c r="Q911" s="792"/>
      <c r="R911" s="792"/>
      <c r="S911" s="792"/>
      <c r="T911" s="792"/>
      <c r="U911" s="792"/>
      <c r="V911" s="793"/>
      <c r="W911" s="793"/>
      <c r="X911" s="792"/>
      <c r="Y911" s="792"/>
      <c r="Z911" s="792"/>
      <c r="AA911" s="792"/>
    </row>
    <row r="912" spans="1:27" ht="15.75" customHeight="1">
      <c r="A912" s="792"/>
      <c r="B912" s="792"/>
      <c r="C912" s="792"/>
      <c r="D912" s="792"/>
      <c r="E912" s="792"/>
      <c r="F912" s="792"/>
      <c r="G912" s="792"/>
      <c r="H912" s="792"/>
      <c r="I912" s="792"/>
      <c r="J912" s="792"/>
      <c r="K912" s="792"/>
      <c r="L912" s="792"/>
      <c r="M912" s="792"/>
      <c r="N912" s="792"/>
      <c r="O912" s="792"/>
      <c r="P912" s="792"/>
      <c r="Q912" s="792"/>
      <c r="R912" s="792"/>
      <c r="S912" s="792"/>
      <c r="T912" s="792"/>
      <c r="U912" s="792"/>
      <c r="V912" s="793"/>
      <c r="W912" s="793"/>
      <c r="X912" s="792"/>
      <c r="Y912" s="792"/>
      <c r="Z912" s="792"/>
      <c r="AA912" s="792"/>
    </row>
    <row r="913" spans="1:27" ht="15.75" customHeight="1">
      <c r="A913" s="792"/>
      <c r="B913" s="792"/>
      <c r="C913" s="792"/>
      <c r="D913" s="792"/>
      <c r="E913" s="792"/>
      <c r="F913" s="792"/>
      <c r="G913" s="792"/>
      <c r="H913" s="792"/>
      <c r="I913" s="792"/>
      <c r="J913" s="792"/>
      <c r="K913" s="792"/>
      <c r="L913" s="792"/>
      <c r="M913" s="792"/>
      <c r="N913" s="792"/>
      <c r="O913" s="792"/>
      <c r="P913" s="792"/>
      <c r="Q913" s="792"/>
      <c r="R913" s="792"/>
      <c r="S913" s="792"/>
      <c r="T913" s="792"/>
      <c r="U913" s="792"/>
      <c r="V913" s="793"/>
      <c r="W913" s="793"/>
      <c r="X913" s="792"/>
      <c r="Y913" s="792"/>
      <c r="Z913" s="792"/>
      <c r="AA913" s="792"/>
    </row>
    <row r="914" spans="1:27" ht="15.75" customHeight="1">
      <c r="A914" s="792"/>
      <c r="B914" s="792"/>
      <c r="C914" s="792"/>
      <c r="D914" s="792"/>
      <c r="E914" s="792"/>
      <c r="F914" s="792"/>
      <c r="G914" s="792"/>
      <c r="H914" s="792"/>
      <c r="I914" s="792"/>
      <c r="J914" s="792"/>
      <c r="K914" s="792"/>
      <c r="L914" s="792"/>
      <c r="M914" s="792"/>
      <c r="N914" s="792"/>
      <c r="O914" s="792"/>
      <c r="P914" s="792"/>
      <c r="Q914" s="792"/>
      <c r="R914" s="792"/>
      <c r="S914" s="792"/>
      <c r="T914" s="792"/>
      <c r="U914" s="792"/>
      <c r="V914" s="793"/>
      <c r="W914" s="793"/>
      <c r="X914" s="792"/>
      <c r="Y914" s="792"/>
      <c r="Z914" s="792"/>
      <c r="AA914" s="792"/>
    </row>
    <row r="915" spans="1:27" ht="15.75" customHeight="1">
      <c r="A915" s="792"/>
      <c r="B915" s="792"/>
      <c r="C915" s="792"/>
      <c r="D915" s="792"/>
      <c r="E915" s="792"/>
      <c r="F915" s="792"/>
      <c r="G915" s="792"/>
      <c r="H915" s="792"/>
      <c r="I915" s="792"/>
      <c r="J915" s="792"/>
      <c r="K915" s="792"/>
      <c r="L915" s="792"/>
      <c r="M915" s="792"/>
      <c r="N915" s="792"/>
      <c r="O915" s="792"/>
      <c r="P915" s="792"/>
      <c r="Q915" s="792"/>
      <c r="R915" s="792"/>
      <c r="S915" s="792"/>
      <c r="T915" s="792"/>
      <c r="U915" s="792"/>
      <c r="V915" s="793"/>
      <c r="W915" s="793"/>
      <c r="X915" s="792"/>
      <c r="Y915" s="792"/>
      <c r="Z915" s="792"/>
      <c r="AA915" s="792"/>
    </row>
    <row r="916" spans="1:27" ht="15.75" customHeight="1">
      <c r="A916" s="792"/>
      <c r="B916" s="792"/>
      <c r="C916" s="792"/>
      <c r="D916" s="792"/>
      <c r="E916" s="792"/>
      <c r="F916" s="792"/>
      <c r="G916" s="792"/>
      <c r="H916" s="792"/>
      <c r="I916" s="792"/>
      <c r="J916" s="792"/>
      <c r="K916" s="792"/>
      <c r="L916" s="792"/>
      <c r="M916" s="792"/>
      <c r="N916" s="792"/>
      <c r="O916" s="792"/>
      <c r="P916" s="792"/>
      <c r="Q916" s="792"/>
      <c r="R916" s="792"/>
      <c r="S916" s="792"/>
      <c r="T916" s="792"/>
      <c r="U916" s="792"/>
      <c r="V916" s="793"/>
      <c r="W916" s="793"/>
      <c r="X916" s="792"/>
      <c r="Y916" s="792"/>
      <c r="Z916" s="792"/>
      <c r="AA916" s="792"/>
    </row>
    <row r="917" spans="1:27" ht="15.75" customHeight="1">
      <c r="A917" s="792"/>
      <c r="B917" s="792"/>
      <c r="C917" s="792"/>
      <c r="D917" s="792"/>
      <c r="E917" s="792"/>
      <c r="F917" s="792"/>
      <c r="G917" s="792"/>
      <c r="H917" s="792"/>
      <c r="I917" s="792"/>
      <c r="J917" s="792"/>
      <c r="K917" s="792"/>
      <c r="L917" s="792"/>
      <c r="M917" s="792"/>
      <c r="N917" s="792"/>
      <c r="O917" s="792"/>
      <c r="P917" s="792"/>
      <c r="Q917" s="792"/>
      <c r="R917" s="792"/>
      <c r="S917" s="792"/>
      <c r="T917" s="792"/>
      <c r="U917" s="792"/>
      <c r="V917" s="793"/>
      <c r="W917" s="793"/>
      <c r="X917" s="792"/>
      <c r="Y917" s="792"/>
      <c r="Z917" s="792"/>
      <c r="AA917" s="792"/>
    </row>
    <row r="918" spans="1:27" ht="15.75" customHeight="1">
      <c r="A918" s="792"/>
      <c r="B918" s="792"/>
      <c r="C918" s="792"/>
      <c r="D918" s="792"/>
      <c r="E918" s="792"/>
      <c r="F918" s="792"/>
      <c r="G918" s="792"/>
      <c r="H918" s="792"/>
      <c r="I918" s="792"/>
      <c r="J918" s="792"/>
      <c r="K918" s="792"/>
      <c r="L918" s="792"/>
      <c r="M918" s="792"/>
      <c r="N918" s="792"/>
      <c r="O918" s="792"/>
      <c r="P918" s="792"/>
      <c r="Q918" s="792"/>
      <c r="R918" s="792"/>
      <c r="S918" s="792"/>
      <c r="T918" s="792"/>
      <c r="U918" s="792"/>
      <c r="V918" s="793"/>
      <c r="W918" s="793"/>
      <c r="X918" s="792"/>
      <c r="Y918" s="792"/>
      <c r="Z918" s="792"/>
      <c r="AA918" s="792"/>
    </row>
    <row r="919" spans="1:27" ht="15.75" customHeight="1">
      <c r="A919" s="792"/>
      <c r="B919" s="792"/>
      <c r="C919" s="792"/>
      <c r="D919" s="792"/>
      <c r="E919" s="792"/>
      <c r="F919" s="792"/>
      <c r="G919" s="792"/>
      <c r="H919" s="792"/>
      <c r="I919" s="792"/>
      <c r="J919" s="792"/>
      <c r="K919" s="792"/>
      <c r="L919" s="792"/>
      <c r="M919" s="792"/>
      <c r="N919" s="792"/>
      <c r="O919" s="792"/>
      <c r="P919" s="792"/>
      <c r="Q919" s="792"/>
      <c r="R919" s="792"/>
      <c r="S919" s="792"/>
      <c r="T919" s="792"/>
      <c r="U919" s="792"/>
      <c r="V919" s="793"/>
      <c r="W919" s="793"/>
      <c r="X919" s="792"/>
      <c r="Y919" s="792"/>
      <c r="Z919" s="792"/>
      <c r="AA919" s="792"/>
    </row>
    <row r="920" spans="1:27" ht="15.75" customHeight="1">
      <c r="A920" s="792"/>
      <c r="B920" s="792"/>
      <c r="C920" s="792"/>
      <c r="D920" s="792"/>
      <c r="E920" s="792"/>
      <c r="F920" s="792"/>
      <c r="G920" s="792"/>
      <c r="H920" s="792"/>
      <c r="I920" s="792"/>
      <c r="J920" s="792"/>
      <c r="K920" s="792"/>
      <c r="L920" s="792"/>
      <c r="M920" s="792"/>
      <c r="N920" s="792"/>
      <c r="O920" s="792"/>
      <c r="P920" s="792"/>
      <c r="Q920" s="792"/>
      <c r="R920" s="792"/>
      <c r="S920" s="792"/>
      <c r="T920" s="792"/>
      <c r="U920" s="792"/>
      <c r="V920" s="793"/>
      <c r="W920" s="793"/>
      <c r="X920" s="792"/>
      <c r="Y920" s="792"/>
      <c r="Z920" s="792"/>
      <c r="AA920" s="792"/>
    </row>
    <row r="921" spans="1:27" ht="15.75" customHeight="1">
      <c r="A921" s="792"/>
      <c r="B921" s="792"/>
      <c r="C921" s="792"/>
      <c r="D921" s="792"/>
      <c r="E921" s="792"/>
      <c r="F921" s="792"/>
      <c r="G921" s="792"/>
      <c r="H921" s="792"/>
      <c r="I921" s="792"/>
      <c r="J921" s="792"/>
      <c r="K921" s="792"/>
      <c r="L921" s="792"/>
      <c r="M921" s="792"/>
      <c r="N921" s="792"/>
      <c r="O921" s="792"/>
      <c r="P921" s="792"/>
      <c r="Q921" s="792"/>
      <c r="R921" s="792"/>
      <c r="S921" s="792"/>
      <c r="T921" s="792"/>
      <c r="U921" s="792"/>
      <c r="V921" s="793"/>
      <c r="W921" s="793"/>
      <c r="X921" s="792"/>
      <c r="Y921" s="792"/>
      <c r="Z921" s="792"/>
      <c r="AA921" s="792"/>
    </row>
    <row r="922" spans="1:27" ht="15.75" customHeight="1">
      <c r="A922" s="792"/>
      <c r="B922" s="792"/>
      <c r="C922" s="792"/>
      <c r="D922" s="792"/>
      <c r="E922" s="792"/>
      <c r="F922" s="792"/>
      <c r="G922" s="792"/>
      <c r="H922" s="792"/>
      <c r="I922" s="792"/>
      <c r="J922" s="792"/>
      <c r="K922" s="792"/>
      <c r="L922" s="792"/>
      <c r="M922" s="792"/>
      <c r="N922" s="792"/>
      <c r="O922" s="792"/>
      <c r="P922" s="792"/>
      <c r="Q922" s="792"/>
      <c r="R922" s="792"/>
      <c r="S922" s="792"/>
      <c r="T922" s="792"/>
      <c r="U922" s="792"/>
      <c r="V922" s="793"/>
      <c r="W922" s="793"/>
      <c r="X922" s="792"/>
      <c r="Y922" s="792"/>
      <c r="Z922" s="792"/>
      <c r="AA922" s="792"/>
    </row>
    <row r="923" spans="1:27" ht="15.75" customHeight="1">
      <c r="A923" s="792"/>
      <c r="B923" s="792"/>
      <c r="C923" s="792"/>
      <c r="D923" s="792"/>
      <c r="E923" s="792"/>
      <c r="F923" s="792"/>
      <c r="G923" s="792"/>
      <c r="H923" s="792"/>
      <c r="I923" s="792"/>
      <c r="J923" s="792"/>
      <c r="K923" s="792"/>
      <c r="L923" s="792"/>
      <c r="M923" s="792"/>
      <c r="N923" s="792"/>
      <c r="O923" s="792"/>
      <c r="P923" s="792"/>
      <c r="Q923" s="792"/>
      <c r="R923" s="792"/>
      <c r="S923" s="792"/>
      <c r="T923" s="792"/>
      <c r="U923" s="792"/>
      <c r="V923" s="793"/>
      <c r="W923" s="793"/>
      <c r="X923" s="792"/>
      <c r="Y923" s="792"/>
      <c r="Z923" s="792"/>
      <c r="AA923" s="792"/>
    </row>
    <row r="924" spans="1:27" ht="15.75" customHeight="1">
      <c r="A924" s="792"/>
      <c r="B924" s="792"/>
      <c r="C924" s="792"/>
      <c r="D924" s="792"/>
      <c r="E924" s="792"/>
      <c r="F924" s="792"/>
      <c r="G924" s="792"/>
      <c r="H924" s="792"/>
      <c r="I924" s="792"/>
      <c r="J924" s="792"/>
      <c r="K924" s="792"/>
      <c r="L924" s="792"/>
      <c r="M924" s="792"/>
      <c r="N924" s="792"/>
      <c r="O924" s="792"/>
      <c r="P924" s="792"/>
      <c r="Q924" s="792"/>
      <c r="R924" s="792"/>
      <c r="S924" s="792"/>
      <c r="T924" s="792"/>
      <c r="U924" s="792"/>
      <c r="V924" s="793"/>
      <c r="W924" s="793"/>
      <c r="X924" s="792"/>
      <c r="Y924" s="792"/>
      <c r="Z924" s="792"/>
      <c r="AA924" s="792"/>
    </row>
    <row r="925" spans="1:27" ht="15.75" customHeight="1">
      <c r="A925" s="792"/>
      <c r="B925" s="792"/>
      <c r="C925" s="792"/>
      <c r="D925" s="792"/>
      <c r="E925" s="792"/>
      <c r="F925" s="792"/>
      <c r="G925" s="792"/>
      <c r="H925" s="792"/>
      <c r="I925" s="792"/>
      <c r="J925" s="792"/>
      <c r="K925" s="792"/>
      <c r="L925" s="792"/>
      <c r="M925" s="792"/>
      <c r="N925" s="792"/>
      <c r="O925" s="792"/>
      <c r="P925" s="792"/>
      <c r="Q925" s="792"/>
      <c r="R925" s="792"/>
      <c r="S925" s="792"/>
      <c r="T925" s="792"/>
      <c r="U925" s="792"/>
      <c r="V925" s="793"/>
      <c r="W925" s="793"/>
      <c r="X925" s="792"/>
      <c r="Y925" s="792"/>
      <c r="Z925" s="792"/>
      <c r="AA925" s="792"/>
    </row>
    <row r="926" spans="1:27" ht="15.75" customHeight="1">
      <c r="A926" s="792"/>
      <c r="B926" s="792"/>
      <c r="C926" s="792"/>
      <c r="D926" s="792"/>
      <c r="E926" s="792"/>
      <c r="F926" s="792"/>
      <c r="G926" s="792"/>
      <c r="H926" s="792"/>
      <c r="I926" s="792"/>
      <c r="J926" s="792"/>
      <c r="K926" s="792"/>
      <c r="L926" s="792"/>
      <c r="M926" s="792"/>
      <c r="N926" s="792"/>
      <c r="O926" s="792"/>
      <c r="P926" s="792"/>
      <c r="Q926" s="792"/>
      <c r="R926" s="792"/>
      <c r="S926" s="792"/>
      <c r="T926" s="792"/>
      <c r="U926" s="792"/>
      <c r="V926" s="793"/>
      <c r="W926" s="793"/>
      <c r="X926" s="792"/>
      <c r="Y926" s="792"/>
      <c r="Z926" s="792"/>
      <c r="AA926" s="792"/>
    </row>
    <row r="927" spans="1:27" ht="15.75" customHeight="1">
      <c r="A927" s="792"/>
      <c r="B927" s="792"/>
      <c r="C927" s="792"/>
      <c r="D927" s="792"/>
      <c r="E927" s="792"/>
      <c r="F927" s="792"/>
      <c r="G927" s="792"/>
      <c r="H927" s="792"/>
      <c r="I927" s="792"/>
      <c r="J927" s="792"/>
      <c r="K927" s="792"/>
      <c r="L927" s="792"/>
      <c r="M927" s="792"/>
      <c r="N927" s="792"/>
      <c r="O927" s="792"/>
      <c r="P927" s="792"/>
      <c r="Q927" s="792"/>
      <c r="R927" s="792"/>
      <c r="S927" s="792"/>
      <c r="T927" s="792"/>
      <c r="U927" s="792"/>
      <c r="V927" s="793"/>
      <c r="W927" s="793"/>
      <c r="X927" s="792"/>
      <c r="Y927" s="792"/>
      <c r="Z927" s="792"/>
      <c r="AA927" s="792"/>
    </row>
    <row r="928" spans="1:27" ht="15.75" customHeight="1">
      <c r="A928" s="792"/>
      <c r="B928" s="792"/>
      <c r="C928" s="792"/>
      <c r="D928" s="792"/>
      <c r="E928" s="792"/>
      <c r="F928" s="792"/>
      <c r="G928" s="792"/>
      <c r="H928" s="792"/>
      <c r="I928" s="792"/>
      <c r="J928" s="792"/>
      <c r="K928" s="792"/>
      <c r="L928" s="792"/>
      <c r="M928" s="792"/>
      <c r="N928" s="792"/>
      <c r="O928" s="792"/>
      <c r="P928" s="792"/>
      <c r="Q928" s="792"/>
      <c r="R928" s="792"/>
      <c r="S928" s="792"/>
      <c r="T928" s="792"/>
      <c r="U928" s="792"/>
      <c r="V928" s="793"/>
      <c r="W928" s="793"/>
      <c r="X928" s="792"/>
      <c r="Y928" s="792"/>
      <c r="Z928" s="792"/>
      <c r="AA928" s="792"/>
    </row>
    <row r="929" spans="1:27" ht="15.75" customHeight="1">
      <c r="A929" s="792"/>
      <c r="B929" s="792"/>
      <c r="C929" s="792"/>
      <c r="D929" s="792"/>
      <c r="E929" s="792"/>
      <c r="F929" s="792"/>
      <c r="G929" s="792"/>
      <c r="H929" s="792"/>
      <c r="I929" s="792"/>
      <c r="J929" s="792"/>
      <c r="K929" s="792"/>
      <c r="L929" s="792"/>
      <c r="M929" s="792"/>
      <c r="N929" s="792"/>
      <c r="O929" s="792"/>
      <c r="P929" s="792"/>
      <c r="Q929" s="792"/>
      <c r="R929" s="792"/>
      <c r="S929" s="792"/>
      <c r="T929" s="792"/>
      <c r="U929" s="792"/>
      <c r="V929" s="793"/>
      <c r="W929" s="793"/>
      <c r="X929" s="792"/>
      <c r="Y929" s="792"/>
      <c r="Z929" s="792"/>
      <c r="AA929" s="792"/>
    </row>
    <row r="930" spans="1:27" ht="15.75" customHeight="1">
      <c r="A930" s="792"/>
      <c r="B930" s="792"/>
      <c r="C930" s="792"/>
      <c r="D930" s="792"/>
      <c r="E930" s="792"/>
      <c r="F930" s="792"/>
      <c r="G930" s="792"/>
      <c r="H930" s="792"/>
      <c r="I930" s="792"/>
      <c r="J930" s="792"/>
      <c r="K930" s="792"/>
      <c r="L930" s="792"/>
      <c r="M930" s="792"/>
      <c r="N930" s="792"/>
      <c r="O930" s="792"/>
      <c r="P930" s="792"/>
      <c r="Q930" s="792"/>
      <c r="R930" s="792"/>
      <c r="S930" s="792"/>
      <c r="T930" s="792"/>
      <c r="U930" s="792"/>
      <c r="V930" s="793"/>
      <c r="W930" s="793"/>
      <c r="X930" s="792"/>
      <c r="Y930" s="792"/>
      <c r="Z930" s="792"/>
      <c r="AA930" s="792"/>
    </row>
    <row r="931" spans="1:27" ht="15.75" customHeight="1">
      <c r="A931" s="792"/>
      <c r="B931" s="792"/>
      <c r="C931" s="792"/>
      <c r="D931" s="792"/>
      <c r="E931" s="792"/>
      <c r="F931" s="792"/>
      <c r="G931" s="792"/>
      <c r="H931" s="792"/>
      <c r="I931" s="792"/>
      <c r="J931" s="792"/>
      <c r="K931" s="792"/>
      <c r="L931" s="792"/>
      <c r="M931" s="792"/>
      <c r="N931" s="792"/>
      <c r="O931" s="792"/>
      <c r="P931" s="792"/>
      <c r="Q931" s="792"/>
      <c r="R931" s="792"/>
      <c r="S931" s="792"/>
      <c r="T931" s="792"/>
      <c r="U931" s="792"/>
      <c r="V931" s="793"/>
      <c r="W931" s="793"/>
      <c r="X931" s="792"/>
      <c r="Y931" s="792"/>
      <c r="Z931" s="792"/>
      <c r="AA931" s="792"/>
    </row>
    <row r="932" spans="1:27" ht="15.75" customHeight="1">
      <c r="A932" s="792"/>
      <c r="B932" s="792"/>
      <c r="C932" s="792"/>
      <c r="D932" s="792"/>
      <c r="E932" s="792"/>
      <c r="F932" s="792"/>
      <c r="G932" s="792"/>
      <c r="H932" s="792"/>
      <c r="I932" s="792"/>
      <c r="J932" s="792"/>
      <c r="K932" s="792"/>
      <c r="L932" s="792"/>
      <c r="M932" s="792"/>
      <c r="N932" s="792"/>
      <c r="O932" s="792"/>
      <c r="P932" s="792"/>
      <c r="Q932" s="792"/>
      <c r="R932" s="792"/>
      <c r="S932" s="792"/>
      <c r="T932" s="792"/>
      <c r="U932" s="792"/>
      <c r="V932" s="793"/>
      <c r="W932" s="793"/>
      <c r="X932" s="792"/>
      <c r="Y932" s="792"/>
      <c r="Z932" s="792"/>
      <c r="AA932" s="792"/>
    </row>
    <row r="933" spans="1:27" ht="15.75" customHeight="1">
      <c r="A933" s="792"/>
      <c r="B933" s="792"/>
      <c r="C933" s="792"/>
      <c r="D933" s="792"/>
      <c r="E933" s="792"/>
      <c r="F933" s="792"/>
      <c r="G933" s="792"/>
      <c r="H933" s="792"/>
      <c r="I933" s="792"/>
      <c r="J933" s="792"/>
      <c r="K933" s="792"/>
      <c r="L933" s="792"/>
      <c r="M933" s="792"/>
      <c r="N933" s="792"/>
      <c r="O933" s="792"/>
      <c r="P933" s="792"/>
      <c r="Q933" s="792"/>
      <c r="R933" s="792"/>
      <c r="S933" s="792"/>
      <c r="T933" s="792"/>
      <c r="U933" s="792"/>
      <c r="V933" s="793"/>
      <c r="W933" s="793"/>
      <c r="X933" s="792"/>
      <c r="Y933" s="792"/>
      <c r="Z933" s="792"/>
      <c r="AA933" s="792"/>
    </row>
    <row r="934" spans="1:27" ht="15.75" customHeight="1">
      <c r="A934" s="792"/>
      <c r="B934" s="792"/>
      <c r="C934" s="792"/>
      <c r="D934" s="792"/>
      <c r="E934" s="792"/>
      <c r="F934" s="792"/>
      <c r="G934" s="792"/>
      <c r="H934" s="792"/>
      <c r="I934" s="792"/>
      <c r="J934" s="792"/>
      <c r="K934" s="792"/>
      <c r="L934" s="792"/>
      <c r="M934" s="792"/>
      <c r="N934" s="792"/>
      <c r="O934" s="792"/>
      <c r="P934" s="792"/>
      <c r="Q934" s="792"/>
      <c r="R934" s="792"/>
      <c r="S934" s="792"/>
      <c r="T934" s="792"/>
      <c r="U934" s="792"/>
      <c r="V934" s="793"/>
      <c r="W934" s="793"/>
      <c r="X934" s="792"/>
      <c r="Y934" s="792"/>
      <c r="Z934" s="792"/>
      <c r="AA934" s="792"/>
    </row>
    <row r="935" spans="1:27" ht="15.75" customHeight="1">
      <c r="A935" s="792"/>
      <c r="B935" s="792"/>
      <c r="C935" s="792"/>
      <c r="D935" s="792"/>
      <c r="E935" s="792"/>
      <c r="F935" s="792"/>
      <c r="G935" s="792"/>
      <c r="H935" s="792"/>
      <c r="I935" s="792"/>
      <c r="J935" s="792"/>
      <c r="K935" s="792"/>
      <c r="L935" s="792"/>
      <c r="M935" s="792"/>
      <c r="N935" s="792"/>
      <c r="O935" s="792"/>
      <c r="P935" s="792"/>
      <c r="Q935" s="792"/>
      <c r="R935" s="792"/>
      <c r="S935" s="792"/>
      <c r="T935" s="792"/>
      <c r="U935" s="792"/>
      <c r="V935" s="793"/>
      <c r="W935" s="793"/>
      <c r="X935" s="792"/>
      <c r="Y935" s="792"/>
      <c r="Z935" s="792"/>
      <c r="AA935" s="792"/>
    </row>
    <row r="936" spans="1:27" ht="15.75" customHeight="1">
      <c r="A936" s="792"/>
      <c r="B936" s="792"/>
      <c r="C936" s="792"/>
      <c r="D936" s="792"/>
      <c r="E936" s="792"/>
      <c r="F936" s="792"/>
      <c r="G936" s="792"/>
      <c r="H936" s="792"/>
      <c r="I936" s="792"/>
      <c r="J936" s="792"/>
      <c r="K936" s="792"/>
      <c r="L936" s="792"/>
      <c r="M936" s="792"/>
      <c r="N936" s="792"/>
      <c r="O936" s="792"/>
      <c r="P936" s="792"/>
      <c r="Q936" s="792"/>
      <c r="R936" s="792"/>
      <c r="S936" s="792"/>
      <c r="T936" s="792"/>
      <c r="U936" s="792"/>
      <c r="V936" s="793"/>
      <c r="W936" s="793"/>
      <c r="X936" s="792"/>
      <c r="Y936" s="792"/>
      <c r="Z936" s="792"/>
      <c r="AA936" s="792"/>
    </row>
    <row r="937" spans="1:27" ht="15.75" customHeight="1">
      <c r="A937" s="792"/>
      <c r="B937" s="792"/>
      <c r="C937" s="792"/>
      <c r="D937" s="792"/>
      <c r="E937" s="792"/>
      <c r="F937" s="792"/>
      <c r="G937" s="792"/>
      <c r="H937" s="792"/>
      <c r="I937" s="792"/>
      <c r="J937" s="792"/>
      <c r="K937" s="792"/>
      <c r="L937" s="792"/>
      <c r="M937" s="792"/>
      <c r="N937" s="792"/>
      <c r="O937" s="792"/>
      <c r="P937" s="792"/>
      <c r="Q937" s="792"/>
      <c r="R937" s="792"/>
      <c r="S937" s="792"/>
      <c r="T937" s="792"/>
      <c r="U937" s="792"/>
      <c r="V937" s="793"/>
      <c r="W937" s="793"/>
      <c r="X937" s="792"/>
      <c r="Y937" s="792"/>
      <c r="Z937" s="792"/>
      <c r="AA937" s="792"/>
    </row>
    <row r="938" spans="1:27" ht="15.75" customHeight="1">
      <c r="A938" s="792"/>
      <c r="B938" s="792"/>
      <c r="C938" s="792"/>
      <c r="D938" s="792"/>
      <c r="E938" s="792"/>
      <c r="F938" s="792"/>
      <c r="G938" s="792"/>
      <c r="H938" s="792"/>
      <c r="I938" s="792"/>
      <c r="J938" s="792"/>
      <c r="K938" s="792"/>
      <c r="L938" s="792"/>
      <c r="M938" s="792"/>
      <c r="N938" s="792"/>
      <c r="O938" s="792"/>
      <c r="P938" s="792"/>
      <c r="Q938" s="792"/>
      <c r="R938" s="792"/>
      <c r="S938" s="792"/>
      <c r="T938" s="792"/>
      <c r="U938" s="792"/>
      <c r="V938" s="793"/>
      <c r="W938" s="793"/>
      <c r="X938" s="792"/>
      <c r="Y938" s="792"/>
      <c r="Z938" s="792"/>
      <c r="AA938" s="792"/>
    </row>
    <row r="939" spans="1:27" ht="15.75" customHeight="1">
      <c r="A939" s="792"/>
      <c r="B939" s="792"/>
      <c r="C939" s="792"/>
      <c r="D939" s="792"/>
      <c r="E939" s="792"/>
      <c r="F939" s="792"/>
      <c r="G939" s="792"/>
      <c r="H939" s="792"/>
      <c r="I939" s="792"/>
      <c r="J939" s="792"/>
      <c r="K939" s="792"/>
      <c r="L939" s="792"/>
      <c r="M939" s="792"/>
      <c r="N939" s="792"/>
      <c r="O939" s="792"/>
      <c r="P939" s="792"/>
      <c r="Q939" s="792"/>
      <c r="R939" s="792"/>
      <c r="S939" s="792"/>
      <c r="T939" s="792"/>
      <c r="U939" s="792"/>
      <c r="V939" s="793"/>
      <c r="W939" s="793"/>
      <c r="X939" s="792"/>
      <c r="Y939" s="792"/>
      <c r="Z939" s="792"/>
      <c r="AA939" s="792"/>
    </row>
    <row r="940" spans="1:27" ht="15.75" customHeight="1">
      <c r="A940" s="792"/>
      <c r="B940" s="792"/>
      <c r="C940" s="792"/>
      <c r="D940" s="792"/>
      <c r="E940" s="792"/>
      <c r="F940" s="792"/>
      <c r="G940" s="792"/>
      <c r="H940" s="792"/>
      <c r="I940" s="792"/>
      <c r="J940" s="792"/>
      <c r="K940" s="792"/>
      <c r="L940" s="792"/>
      <c r="M940" s="792"/>
      <c r="N940" s="792"/>
      <c r="O940" s="792"/>
      <c r="P940" s="792"/>
      <c r="Q940" s="792"/>
      <c r="R940" s="792"/>
      <c r="S940" s="792"/>
      <c r="T940" s="792"/>
      <c r="U940" s="792"/>
      <c r="V940" s="793"/>
      <c r="W940" s="793"/>
      <c r="X940" s="792"/>
      <c r="Y940" s="792"/>
      <c r="Z940" s="792"/>
      <c r="AA940" s="792"/>
    </row>
    <row r="941" spans="1:27" ht="15.75" customHeight="1">
      <c r="A941" s="792"/>
      <c r="B941" s="792"/>
      <c r="C941" s="792"/>
      <c r="D941" s="792"/>
      <c r="E941" s="792"/>
      <c r="F941" s="792"/>
      <c r="G941" s="792"/>
      <c r="H941" s="792"/>
      <c r="I941" s="792"/>
      <c r="J941" s="792"/>
      <c r="K941" s="792"/>
      <c r="L941" s="792"/>
      <c r="M941" s="792"/>
      <c r="N941" s="792"/>
      <c r="O941" s="792"/>
      <c r="P941" s="792"/>
      <c r="Q941" s="792"/>
      <c r="R941" s="792"/>
      <c r="S941" s="792"/>
      <c r="T941" s="792"/>
      <c r="U941" s="792"/>
      <c r="V941" s="793"/>
      <c r="W941" s="793"/>
      <c r="X941" s="792"/>
      <c r="Y941" s="792"/>
      <c r="Z941" s="792"/>
      <c r="AA941" s="792"/>
    </row>
    <row r="942" spans="1:27" ht="15.75" customHeight="1">
      <c r="A942" s="792"/>
      <c r="B942" s="792"/>
      <c r="C942" s="792"/>
      <c r="D942" s="792"/>
      <c r="E942" s="792"/>
      <c r="F942" s="792"/>
      <c r="G942" s="792"/>
      <c r="H942" s="792"/>
      <c r="I942" s="792"/>
      <c r="J942" s="792"/>
      <c r="K942" s="792"/>
      <c r="L942" s="792"/>
      <c r="M942" s="792"/>
      <c r="N942" s="792"/>
      <c r="O942" s="792"/>
      <c r="P942" s="792"/>
      <c r="Q942" s="792"/>
      <c r="R942" s="792"/>
      <c r="S942" s="792"/>
      <c r="T942" s="792"/>
      <c r="U942" s="792"/>
      <c r="V942" s="793"/>
      <c r="W942" s="793"/>
      <c r="X942" s="792"/>
      <c r="Y942" s="792"/>
      <c r="Z942" s="792"/>
      <c r="AA942" s="792"/>
    </row>
    <row r="943" spans="1:27" ht="15.75" customHeight="1">
      <c r="A943" s="792"/>
      <c r="B943" s="792"/>
      <c r="C943" s="792"/>
      <c r="D943" s="792"/>
      <c r="E943" s="792"/>
      <c r="F943" s="792"/>
      <c r="G943" s="792"/>
      <c r="H943" s="792"/>
      <c r="I943" s="792"/>
      <c r="J943" s="792"/>
      <c r="K943" s="792"/>
      <c r="L943" s="792"/>
      <c r="M943" s="792"/>
      <c r="N943" s="792"/>
      <c r="O943" s="792"/>
      <c r="P943" s="792"/>
      <c r="Q943" s="792"/>
      <c r="R943" s="792"/>
      <c r="S943" s="792"/>
      <c r="T943" s="792"/>
      <c r="U943" s="792"/>
      <c r="V943" s="793"/>
      <c r="W943" s="793"/>
      <c r="X943" s="792"/>
      <c r="Y943" s="792"/>
      <c r="Z943" s="792"/>
      <c r="AA943" s="792"/>
    </row>
    <row r="944" spans="1:27" ht="15.75" customHeight="1">
      <c r="A944" s="792"/>
      <c r="B944" s="792"/>
      <c r="C944" s="792"/>
      <c r="D944" s="792"/>
      <c r="E944" s="792"/>
      <c r="F944" s="792"/>
      <c r="G944" s="792"/>
      <c r="H944" s="792"/>
      <c r="I944" s="792"/>
      <c r="J944" s="792"/>
      <c r="K944" s="792"/>
      <c r="L944" s="792"/>
      <c r="M944" s="792"/>
      <c r="N944" s="792"/>
      <c r="O944" s="792"/>
      <c r="P944" s="792"/>
      <c r="Q944" s="792"/>
      <c r="R944" s="792"/>
      <c r="S944" s="792"/>
      <c r="T944" s="792"/>
      <c r="U944" s="792"/>
      <c r="V944" s="793"/>
      <c r="W944" s="793"/>
      <c r="X944" s="792"/>
      <c r="Y944" s="792"/>
      <c r="Z944" s="792"/>
      <c r="AA944" s="792"/>
    </row>
    <row r="945" spans="1:27" ht="15.75" customHeight="1">
      <c r="A945" s="792"/>
      <c r="B945" s="792"/>
      <c r="C945" s="792"/>
      <c r="D945" s="792"/>
      <c r="E945" s="792"/>
      <c r="F945" s="792"/>
      <c r="G945" s="792"/>
      <c r="H945" s="792"/>
      <c r="I945" s="792"/>
      <c r="J945" s="792"/>
      <c r="K945" s="792"/>
      <c r="L945" s="792"/>
      <c r="M945" s="792"/>
      <c r="N945" s="792"/>
      <c r="O945" s="792"/>
      <c r="P945" s="792"/>
      <c r="Q945" s="792"/>
      <c r="R945" s="792"/>
      <c r="S945" s="792"/>
      <c r="T945" s="792"/>
      <c r="U945" s="792"/>
      <c r="V945" s="793"/>
      <c r="W945" s="793"/>
      <c r="X945" s="792"/>
      <c r="Y945" s="792"/>
      <c r="Z945" s="792"/>
      <c r="AA945" s="792"/>
    </row>
    <row r="946" spans="1:27" ht="15.75" customHeight="1">
      <c r="A946" s="792"/>
      <c r="B946" s="792"/>
      <c r="C946" s="792"/>
      <c r="D946" s="792"/>
      <c r="E946" s="792"/>
      <c r="F946" s="792"/>
      <c r="G946" s="792"/>
      <c r="H946" s="792"/>
      <c r="I946" s="792"/>
      <c r="J946" s="792"/>
      <c r="K946" s="792"/>
      <c r="L946" s="792"/>
      <c r="M946" s="792"/>
      <c r="N946" s="792"/>
      <c r="O946" s="792"/>
      <c r="P946" s="792"/>
      <c r="Q946" s="792"/>
      <c r="R946" s="792"/>
      <c r="S946" s="792"/>
      <c r="T946" s="792"/>
      <c r="U946" s="792"/>
      <c r="V946" s="793"/>
      <c r="W946" s="793"/>
      <c r="X946" s="792"/>
      <c r="Y946" s="792"/>
      <c r="Z946" s="792"/>
      <c r="AA946" s="792"/>
    </row>
    <row r="947" spans="1:27" ht="15.75" customHeight="1">
      <c r="A947" s="792"/>
      <c r="B947" s="792"/>
      <c r="C947" s="792"/>
      <c r="D947" s="792"/>
      <c r="E947" s="792"/>
      <c r="F947" s="792"/>
      <c r="G947" s="792"/>
      <c r="H947" s="792"/>
      <c r="I947" s="792"/>
      <c r="J947" s="792"/>
      <c r="K947" s="792"/>
      <c r="L947" s="792"/>
      <c r="M947" s="792"/>
      <c r="N947" s="792"/>
      <c r="O947" s="792"/>
      <c r="P947" s="792"/>
      <c r="Q947" s="792"/>
      <c r="R947" s="792"/>
      <c r="S947" s="792"/>
      <c r="T947" s="792"/>
      <c r="U947" s="792"/>
      <c r="V947" s="793"/>
      <c r="W947" s="793"/>
      <c r="X947" s="792"/>
      <c r="Y947" s="792"/>
      <c r="Z947" s="792"/>
      <c r="AA947" s="792"/>
    </row>
    <row r="948" spans="1:27" ht="15.75" customHeight="1">
      <c r="A948" s="792"/>
      <c r="B948" s="792"/>
      <c r="C948" s="792"/>
      <c r="D948" s="792"/>
      <c r="E948" s="792"/>
      <c r="F948" s="792"/>
      <c r="G948" s="792"/>
      <c r="H948" s="792"/>
      <c r="I948" s="792"/>
      <c r="J948" s="792"/>
      <c r="K948" s="792"/>
      <c r="L948" s="792"/>
      <c r="M948" s="792"/>
      <c r="N948" s="792"/>
      <c r="O948" s="792"/>
      <c r="P948" s="792"/>
      <c r="Q948" s="792"/>
      <c r="R948" s="792"/>
      <c r="S948" s="792"/>
      <c r="T948" s="792"/>
      <c r="U948" s="792"/>
      <c r="V948" s="793"/>
      <c r="W948" s="793"/>
      <c r="X948" s="792"/>
      <c r="Y948" s="792"/>
      <c r="Z948" s="792"/>
      <c r="AA948" s="792"/>
    </row>
    <row r="949" spans="1:27" ht="15.75" customHeight="1">
      <c r="A949" s="792"/>
      <c r="B949" s="792"/>
      <c r="C949" s="792"/>
      <c r="D949" s="792"/>
      <c r="E949" s="792"/>
      <c r="F949" s="792"/>
      <c r="G949" s="792"/>
      <c r="H949" s="792"/>
      <c r="I949" s="792"/>
      <c r="J949" s="792"/>
      <c r="K949" s="792"/>
      <c r="L949" s="792"/>
      <c r="M949" s="792"/>
      <c r="N949" s="792"/>
      <c r="O949" s="792"/>
      <c r="P949" s="792"/>
      <c r="Q949" s="792"/>
      <c r="R949" s="792"/>
      <c r="S949" s="792"/>
      <c r="T949" s="792"/>
      <c r="U949" s="792"/>
      <c r="V949" s="793"/>
      <c r="W949" s="793"/>
      <c r="X949" s="792"/>
      <c r="Y949" s="792"/>
      <c r="Z949" s="792"/>
      <c r="AA949" s="792"/>
    </row>
    <row r="950" spans="1:27" ht="15.75" customHeight="1">
      <c r="A950" s="792"/>
      <c r="B950" s="792"/>
      <c r="C950" s="792"/>
      <c r="D950" s="792"/>
      <c r="E950" s="792"/>
      <c r="F950" s="792"/>
      <c r="G950" s="792"/>
      <c r="H950" s="792"/>
      <c r="I950" s="792"/>
      <c r="J950" s="792"/>
      <c r="K950" s="792"/>
      <c r="L950" s="792"/>
      <c r="M950" s="792"/>
      <c r="N950" s="792"/>
      <c r="O950" s="792"/>
      <c r="P950" s="792"/>
      <c r="Q950" s="792"/>
      <c r="R950" s="792"/>
      <c r="S950" s="792"/>
      <c r="T950" s="792"/>
      <c r="U950" s="792"/>
      <c r="V950" s="793"/>
      <c r="W950" s="793"/>
      <c r="X950" s="792"/>
      <c r="Y950" s="792"/>
      <c r="Z950" s="792"/>
      <c r="AA950" s="792"/>
    </row>
    <row r="951" spans="1:27" ht="15.75" customHeight="1">
      <c r="A951" s="792"/>
      <c r="B951" s="792"/>
      <c r="C951" s="792"/>
      <c r="D951" s="792"/>
      <c r="E951" s="792"/>
      <c r="F951" s="792"/>
      <c r="G951" s="792"/>
      <c r="H951" s="792"/>
      <c r="I951" s="792"/>
      <c r="J951" s="792"/>
      <c r="K951" s="792"/>
      <c r="L951" s="792"/>
      <c r="M951" s="792"/>
      <c r="N951" s="792"/>
      <c r="O951" s="792"/>
      <c r="P951" s="792"/>
      <c r="Q951" s="792"/>
      <c r="R951" s="792"/>
      <c r="S951" s="792"/>
      <c r="T951" s="792"/>
      <c r="U951" s="792"/>
      <c r="V951" s="793"/>
      <c r="W951" s="793"/>
      <c r="X951" s="792"/>
      <c r="Y951" s="792"/>
      <c r="Z951" s="792"/>
      <c r="AA951" s="792"/>
    </row>
    <row r="952" spans="1:27" ht="15.75" customHeight="1">
      <c r="A952" s="792"/>
      <c r="B952" s="792"/>
      <c r="C952" s="792"/>
      <c r="D952" s="792"/>
      <c r="E952" s="792"/>
      <c r="F952" s="792"/>
      <c r="G952" s="792"/>
      <c r="H952" s="792"/>
      <c r="I952" s="792"/>
      <c r="J952" s="792"/>
      <c r="K952" s="792"/>
      <c r="L952" s="792"/>
      <c r="M952" s="792"/>
      <c r="N952" s="792"/>
      <c r="O952" s="792"/>
      <c r="P952" s="792"/>
      <c r="Q952" s="792"/>
      <c r="R952" s="792"/>
      <c r="S952" s="792"/>
      <c r="T952" s="792"/>
      <c r="U952" s="792"/>
      <c r="V952" s="793"/>
      <c r="W952" s="793"/>
      <c r="X952" s="792"/>
      <c r="Y952" s="792"/>
      <c r="Z952" s="792"/>
      <c r="AA952" s="792"/>
    </row>
    <row r="953" spans="1:27" ht="15.75" customHeight="1">
      <c r="A953" s="792"/>
      <c r="B953" s="792"/>
      <c r="C953" s="792"/>
      <c r="D953" s="792"/>
      <c r="E953" s="792"/>
      <c r="F953" s="792"/>
      <c r="G953" s="792"/>
      <c r="H953" s="792"/>
      <c r="I953" s="792"/>
      <c r="J953" s="792"/>
      <c r="K953" s="792"/>
      <c r="L953" s="792"/>
      <c r="M953" s="792"/>
      <c r="N953" s="792"/>
      <c r="O953" s="792"/>
      <c r="P953" s="792"/>
      <c r="Q953" s="792"/>
      <c r="R953" s="792"/>
      <c r="S953" s="792"/>
      <c r="T953" s="792"/>
      <c r="U953" s="792"/>
      <c r="V953" s="793"/>
      <c r="W953" s="793"/>
      <c r="X953" s="792"/>
      <c r="Y953" s="792"/>
      <c r="Z953" s="792"/>
      <c r="AA953" s="792"/>
    </row>
    <row r="954" spans="1:27" ht="15.75" customHeight="1">
      <c r="A954" s="792"/>
      <c r="B954" s="792"/>
      <c r="C954" s="792"/>
      <c r="D954" s="792"/>
      <c r="E954" s="792"/>
      <c r="F954" s="792"/>
      <c r="G954" s="792"/>
      <c r="H954" s="792"/>
      <c r="I954" s="792"/>
      <c r="J954" s="792"/>
      <c r="K954" s="792"/>
      <c r="L954" s="792"/>
      <c r="M954" s="792"/>
      <c r="N954" s="792"/>
      <c r="O954" s="792"/>
      <c r="P954" s="792"/>
      <c r="Q954" s="792"/>
      <c r="R954" s="792"/>
      <c r="S954" s="792"/>
      <c r="T954" s="792"/>
      <c r="U954" s="792"/>
      <c r="V954" s="793"/>
      <c r="W954" s="793"/>
      <c r="X954" s="792"/>
      <c r="Y954" s="792"/>
      <c r="Z954" s="792"/>
      <c r="AA954" s="792"/>
    </row>
    <row r="955" spans="1:27" ht="15.75" customHeight="1">
      <c r="A955" s="792"/>
      <c r="B955" s="792"/>
      <c r="C955" s="792"/>
      <c r="D955" s="792"/>
      <c r="E955" s="792"/>
      <c r="F955" s="792"/>
      <c r="G955" s="792"/>
      <c r="H955" s="792"/>
      <c r="I955" s="792"/>
      <c r="J955" s="792"/>
      <c r="K955" s="792"/>
      <c r="L955" s="792"/>
      <c r="M955" s="792"/>
      <c r="N955" s="792"/>
      <c r="O955" s="792"/>
      <c r="P955" s="792"/>
      <c r="Q955" s="792"/>
      <c r="R955" s="792"/>
      <c r="S955" s="792"/>
      <c r="T955" s="792"/>
      <c r="U955" s="792"/>
      <c r="V955" s="793"/>
      <c r="W955" s="793"/>
      <c r="X955" s="792"/>
      <c r="Y955" s="792"/>
      <c r="Z955" s="792"/>
      <c r="AA955" s="792"/>
    </row>
    <row r="956" spans="1:27" ht="15.75" customHeight="1">
      <c r="A956" s="792"/>
      <c r="B956" s="792"/>
      <c r="C956" s="792"/>
      <c r="D956" s="792"/>
      <c r="E956" s="792"/>
      <c r="F956" s="792"/>
      <c r="G956" s="792"/>
      <c r="H956" s="792"/>
      <c r="I956" s="792"/>
      <c r="J956" s="792"/>
      <c r="K956" s="792"/>
      <c r="L956" s="792"/>
      <c r="M956" s="792"/>
      <c r="N956" s="792"/>
      <c r="O956" s="792"/>
      <c r="P956" s="792"/>
      <c r="Q956" s="792"/>
      <c r="R956" s="792"/>
      <c r="S956" s="792"/>
      <c r="T956" s="792"/>
      <c r="U956" s="792"/>
      <c r="V956" s="793"/>
      <c r="W956" s="793"/>
      <c r="X956" s="792"/>
      <c r="Y956" s="792"/>
      <c r="Z956" s="792"/>
      <c r="AA956" s="792"/>
    </row>
    <row r="957" spans="1:27" ht="15.75" customHeight="1">
      <c r="A957" s="792"/>
      <c r="B957" s="792"/>
      <c r="C957" s="792"/>
      <c r="D957" s="792"/>
      <c r="E957" s="792"/>
      <c r="F957" s="792"/>
      <c r="G957" s="792"/>
      <c r="H957" s="792"/>
      <c r="I957" s="792"/>
      <c r="J957" s="792"/>
      <c r="K957" s="792"/>
      <c r="L957" s="792"/>
      <c r="M957" s="792"/>
      <c r="N957" s="792"/>
      <c r="O957" s="792"/>
      <c r="P957" s="792"/>
      <c r="Q957" s="792"/>
      <c r="R957" s="792"/>
      <c r="S957" s="792"/>
      <c r="T957" s="792"/>
      <c r="U957" s="792"/>
      <c r="V957" s="793"/>
      <c r="W957" s="793"/>
      <c r="X957" s="792"/>
      <c r="Y957" s="792"/>
      <c r="Z957" s="792"/>
      <c r="AA957" s="792"/>
    </row>
    <row r="958" spans="1:27" ht="15.75" customHeight="1">
      <c r="A958" s="792"/>
      <c r="B958" s="792"/>
      <c r="C958" s="792"/>
      <c r="D958" s="792"/>
      <c r="E958" s="792"/>
      <c r="F958" s="792"/>
      <c r="G958" s="792"/>
      <c r="H958" s="792"/>
      <c r="I958" s="792"/>
      <c r="J958" s="792"/>
      <c r="K958" s="792"/>
      <c r="L958" s="792"/>
      <c r="M958" s="792"/>
      <c r="N958" s="792"/>
      <c r="O958" s="792"/>
      <c r="P958" s="792"/>
      <c r="Q958" s="792"/>
      <c r="R958" s="792"/>
      <c r="S958" s="792"/>
      <c r="T958" s="792"/>
      <c r="U958" s="792"/>
      <c r="V958" s="793"/>
      <c r="W958" s="793"/>
      <c r="X958" s="792"/>
      <c r="Y958" s="792"/>
      <c r="Z958" s="792"/>
      <c r="AA958" s="792"/>
    </row>
    <row r="959" spans="1:27" ht="15.75" customHeight="1">
      <c r="A959" s="792"/>
      <c r="B959" s="792"/>
      <c r="C959" s="792"/>
      <c r="D959" s="792"/>
      <c r="E959" s="792"/>
      <c r="F959" s="792"/>
      <c r="G959" s="792"/>
      <c r="H959" s="792"/>
      <c r="I959" s="792"/>
      <c r="J959" s="792"/>
      <c r="K959" s="792"/>
      <c r="L959" s="792"/>
      <c r="M959" s="792"/>
      <c r="N959" s="792"/>
      <c r="O959" s="792"/>
      <c r="P959" s="792"/>
      <c r="Q959" s="792"/>
      <c r="R959" s="792"/>
      <c r="S959" s="792"/>
      <c r="T959" s="792"/>
      <c r="U959" s="792"/>
      <c r="V959" s="793"/>
      <c r="W959" s="793"/>
      <c r="X959" s="792"/>
      <c r="Y959" s="792"/>
      <c r="Z959" s="792"/>
      <c r="AA959" s="792"/>
    </row>
    <row r="960" spans="1:27" ht="15.75" customHeight="1">
      <c r="A960" s="792"/>
      <c r="B960" s="792"/>
      <c r="C960" s="792"/>
      <c r="D960" s="792"/>
      <c r="E960" s="792"/>
      <c r="F960" s="792"/>
      <c r="G960" s="792"/>
      <c r="H960" s="792"/>
      <c r="I960" s="792"/>
      <c r="J960" s="792"/>
      <c r="K960" s="792"/>
      <c r="L960" s="792"/>
      <c r="M960" s="792"/>
      <c r="N960" s="792"/>
      <c r="O960" s="792"/>
      <c r="P960" s="792"/>
      <c r="Q960" s="792"/>
      <c r="R960" s="792"/>
      <c r="S960" s="792"/>
      <c r="T960" s="792"/>
      <c r="U960" s="792"/>
      <c r="V960" s="793"/>
      <c r="W960" s="793"/>
      <c r="X960" s="792"/>
      <c r="Y960" s="792"/>
      <c r="Z960" s="792"/>
      <c r="AA960" s="792"/>
    </row>
    <row r="961" spans="1:27" ht="15.75" customHeight="1">
      <c r="A961" s="792"/>
      <c r="B961" s="792"/>
      <c r="C961" s="792"/>
      <c r="D961" s="792"/>
      <c r="E961" s="792"/>
      <c r="F961" s="792"/>
      <c r="G961" s="792"/>
      <c r="H961" s="792"/>
      <c r="I961" s="792"/>
      <c r="J961" s="792"/>
      <c r="K961" s="792"/>
      <c r="L961" s="792"/>
      <c r="M961" s="792"/>
      <c r="N961" s="792"/>
      <c r="O961" s="792"/>
      <c r="P961" s="792"/>
      <c r="Q961" s="792"/>
      <c r="R961" s="792"/>
      <c r="S961" s="792"/>
      <c r="T961" s="792"/>
      <c r="U961" s="792"/>
      <c r="V961" s="793"/>
      <c r="W961" s="793"/>
      <c r="X961" s="792"/>
      <c r="Y961" s="792"/>
      <c r="Z961" s="792"/>
      <c r="AA961" s="792"/>
    </row>
    <row r="962" spans="1:27" ht="15.75" customHeight="1">
      <c r="A962" s="792"/>
      <c r="B962" s="792"/>
      <c r="C962" s="792"/>
      <c r="D962" s="792"/>
      <c r="E962" s="792"/>
      <c r="F962" s="792"/>
      <c r="G962" s="792"/>
      <c r="H962" s="792"/>
      <c r="I962" s="792"/>
      <c r="J962" s="792"/>
      <c r="K962" s="792"/>
      <c r="L962" s="792"/>
      <c r="M962" s="792"/>
      <c r="N962" s="792"/>
      <c r="O962" s="792"/>
      <c r="P962" s="792"/>
      <c r="Q962" s="792"/>
      <c r="R962" s="792"/>
      <c r="S962" s="792"/>
      <c r="T962" s="792"/>
      <c r="U962" s="792"/>
      <c r="V962" s="793"/>
      <c r="W962" s="793"/>
      <c r="X962" s="792"/>
      <c r="Y962" s="792"/>
      <c r="Z962" s="792"/>
      <c r="AA962" s="792"/>
    </row>
    <row r="963" spans="1:27" ht="15.75" customHeight="1">
      <c r="A963" s="792"/>
      <c r="B963" s="792"/>
      <c r="C963" s="792"/>
      <c r="D963" s="792"/>
      <c r="E963" s="792"/>
      <c r="F963" s="792"/>
      <c r="G963" s="792"/>
      <c r="H963" s="792"/>
      <c r="I963" s="792"/>
      <c r="J963" s="792"/>
      <c r="K963" s="792"/>
      <c r="L963" s="792"/>
      <c r="M963" s="792"/>
      <c r="N963" s="792"/>
      <c r="O963" s="792"/>
      <c r="P963" s="792"/>
      <c r="Q963" s="792"/>
      <c r="R963" s="792"/>
      <c r="S963" s="792"/>
      <c r="T963" s="792"/>
      <c r="U963" s="792"/>
      <c r="V963" s="793"/>
      <c r="W963" s="793"/>
      <c r="X963" s="792"/>
      <c r="Y963" s="792"/>
      <c r="Z963" s="792"/>
      <c r="AA963" s="792"/>
    </row>
    <row r="964" spans="1:27" ht="15.75" customHeight="1">
      <c r="A964" s="792"/>
      <c r="B964" s="792"/>
      <c r="C964" s="792"/>
      <c r="D964" s="792"/>
      <c r="E964" s="792"/>
      <c r="F964" s="792"/>
      <c r="G964" s="792"/>
      <c r="H964" s="792"/>
      <c r="I964" s="792"/>
      <c r="J964" s="792"/>
      <c r="K964" s="792"/>
      <c r="L964" s="792"/>
      <c r="M964" s="792"/>
      <c r="N964" s="792"/>
      <c r="O964" s="792"/>
      <c r="P964" s="792"/>
      <c r="Q964" s="792"/>
      <c r="R964" s="792"/>
      <c r="S964" s="792"/>
      <c r="T964" s="792"/>
      <c r="U964" s="792"/>
      <c r="V964" s="793"/>
      <c r="W964" s="793"/>
      <c r="X964" s="792"/>
      <c r="Y964" s="792"/>
      <c r="Z964" s="792"/>
      <c r="AA964" s="792"/>
    </row>
    <row r="965" spans="1:27" ht="15.75" customHeight="1">
      <c r="A965" s="792"/>
      <c r="B965" s="792"/>
      <c r="C965" s="792"/>
      <c r="D965" s="792"/>
      <c r="E965" s="792"/>
      <c r="F965" s="792"/>
      <c r="G965" s="792"/>
      <c r="H965" s="792"/>
      <c r="I965" s="792"/>
      <c r="J965" s="792"/>
      <c r="K965" s="792"/>
      <c r="L965" s="792"/>
      <c r="M965" s="792"/>
      <c r="N965" s="792"/>
      <c r="O965" s="792"/>
      <c r="P965" s="792"/>
      <c r="Q965" s="792"/>
      <c r="R965" s="792"/>
      <c r="S965" s="792"/>
      <c r="T965" s="792"/>
      <c r="U965" s="792"/>
      <c r="V965" s="793"/>
      <c r="W965" s="793"/>
      <c r="X965" s="792"/>
      <c r="Y965" s="792"/>
      <c r="Z965" s="792"/>
      <c r="AA965" s="792"/>
    </row>
    <row r="966" spans="1:27" ht="15.75" customHeight="1">
      <c r="A966" s="792"/>
      <c r="B966" s="792"/>
      <c r="C966" s="792"/>
      <c r="D966" s="792"/>
      <c r="E966" s="792"/>
      <c r="F966" s="792"/>
      <c r="G966" s="792"/>
      <c r="H966" s="792"/>
      <c r="I966" s="792"/>
      <c r="J966" s="792"/>
      <c r="K966" s="792"/>
      <c r="L966" s="792"/>
      <c r="M966" s="792"/>
      <c r="N966" s="792"/>
      <c r="O966" s="792"/>
      <c r="P966" s="792"/>
      <c r="Q966" s="792"/>
      <c r="R966" s="792"/>
      <c r="S966" s="792"/>
      <c r="T966" s="792"/>
      <c r="U966" s="792"/>
      <c r="V966" s="793"/>
      <c r="W966" s="793"/>
      <c r="X966" s="792"/>
      <c r="Y966" s="792"/>
      <c r="Z966" s="792"/>
      <c r="AA966" s="792"/>
    </row>
    <row r="967" spans="1:27" ht="15.75" customHeight="1">
      <c r="A967" s="792"/>
      <c r="B967" s="792"/>
      <c r="C967" s="792"/>
      <c r="D967" s="792"/>
      <c r="E967" s="792"/>
      <c r="F967" s="792"/>
      <c r="G967" s="792"/>
      <c r="H967" s="792"/>
      <c r="I967" s="792"/>
      <c r="J967" s="792"/>
      <c r="K967" s="792"/>
      <c r="L967" s="792"/>
      <c r="M967" s="792"/>
      <c r="N967" s="792"/>
      <c r="O967" s="792"/>
      <c r="P967" s="792"/>
      <c r="Q967" s="792"/>
      <c r="R967" s="792"/>
      <c r="S967" s="792"/>
      <c r="T967" s="792"/>
      <c r="U967" s="792"/>
      <c r="V967" s="793"/>
      <c r="W967" s="793"/>
      <c r="X967" s="792"/>
      <c r="Y967" s="792"/>
      <c r="Z967" s="792"/>
      <c r="AA967" s="792"/>
    </row>
    <row r="968" spans="1:27" ht="15.75" customHeight="1">
      <c r="A968" s="792"/>
      <c r="B968" s="792"/>
      <c r="C968" s="792"/>
      <c r="D968" s="792"/>
      <c r="E968" s="792"/>
      <c r="F968" s="792"/>
      <c r="G968" s="792"/>
      <c r="H968" s="792"/>
      <c r="I968" s="792"/>
      <c r="J968" s="792"/>
      <c r="K968" s="792"/>
      <c r="L968" s="792"/>
      <c r="M968" s="792"/>
      <c r="N968" s="792"/>
      <c r="O968" s="792"/>
      <c r="P968" s="792"/>
      <c r="Q968" s="792"/>
      <c r="R968" s="792"/>
      <c r="S968" s="792"/>
      <c r="T968" s="792"/>
      <c r="U968" s="792"/>
      <c r="V968" s="793"/>
      <c r="W968" s="793"/>
      <c r="X968" s="792"/>
      <c r="Y968" s="792"/>
      <c r="Z968" s="792"/>
      <c r="AA968" s="792"/>
    </row>
    <row r="969" spans="1:27" ht="15.75" customHeight="1">
      <c r="A969" s="792"/>
      <c r="B969" s="792"/>
      <c r="C969" s="792"/>
      <c r="D969" s="792"/>
      <c r="E969" s="792"/>
      <c r="F969" s="792"/>
      <c r="G969" s="792"/>
      <c r="H969" s="792"/>
      <c r="I969" s="792"/>
      <c r="J969" s="792"/>
      <c r="K969" s="792"/>
      <c r="L969" s="792"/>
      <c r="M969" s="792"/>
      <c r="N969" s="792"/>
      <c r="O969" s="792"/>
      <c r="P969" s="792"/>
      <c r="Q969" s="792"/>
      <c r="R969" s="792"/>
      <c r="S969" s="792"/>
      <c r="T969" s="792"/>
      <c r="U969" s="792"/>
      <c r="V969" s="793"/>
      <c r="W969" s="793"/>
      <c r="X969" s="792"/>
      <c r="Y969" s="792"/>
      <c r="Z969" s="792"/>
      <c r="AA969" s="792"/>
    </row>
    <row r="970" spans="1:27" ht="15.75" customHeight="1">
      <c r="A970" s="792"/>
      <c r="B970" s="792"/>
      <c r="C970" s="792"/>
      <c r="D970" s="792"/>
      <c r="E970" s="792"/>
      <c r="F970" s="792"/>
      <c r="G970" s="792"/>
      <c r="H970" s="792"/>
      <c r="I970" s="792"/>
      <c r="J970" s="792"/>
      <c r="K970" s="792"/>
      <c r="L970" s="792"/>
      <c r="M970" s="792"/>
      <c r="N970" s="792"/>
      <c r="O970" s="792"/>
      <c r="P970" s="792"/>
      <c r="Q970" s="792"/>
      <c r="R970" s="792"/>
      <c r="S970" s="792"/>
      <c r="T970" s="792"/>
      <c r="U970" s="792"/>
      <c r="V970" s="793"/>
      <c r="W970" s="793"/>
      <c r="X970" s="792"/>
      <c r="Y970" s="792"/>
      <c r="Z970" s="792"/>
      <c r="AA970" s="792"/>
    </row>
    <row r="971" spans="1:27" ht="15.75" customHeight="1">
      <c r="A971" s="792"/>
      <c r="B971" s="792"/>
      <c r="C971" s="792"/>
      <c r="D971" s="792"/>
      <c r="E971" s="792"/>
      <c r="F971" s="792"/>
      <c r="G971" s="792"/>
      <c r="H971" s="792"/>
      <c r="I971" s="792"/>
      <c r="J971" s="792"/>
      <c r="K971" s="792"/>
      <c r="L971" s="792"/>
      <c r="M971" s="792"/>
      <c r="N971" s="792"/>
      <c r="O971" s="792"/>
      <c r="P971" s="792"/>
      <c r="Q971" s="792"/>
      <c r="R971" s="792"/>
      <c r="S971" s="792"/>
      <c r="T971" s="792"/>
      <c r="U971" s="792"/>
      <c r="V971" s="793"/>
      <c r="W971" s="793"/>
      <c r="X971" s="792"/>
      <c r="Y971" s="792"/>
      <c r="Z971" s="792"/>
      <c r="AA971" s="792"/>
    </row>
    <row r="972" spans="1:27" ht="15.75" customHeight="1">
      <c r="A972" s="792"/>
      <c r="B972" s="792"/>
      <c r="C972" s="792"/>
      <c r="D972" s="792"/>
      <c r="E972" s="792"/>
      <c r="F972" s="792"/>
      <c r="G972" s="792"/>
      <c r="H972" s="792"/>
      <c r="I972" s="792"/>
      <c r="J972" s="792"/>
      <c r="K972" s="792"/>
      <c r="L972" s="792"/>
      <c r="M972" s="792"/>
      <c r="N972" s="792"/>
      <c r="O972" s="792"/>
      <c r="P972" s="792"/>
      <c r="Q972" s="792"/>
      <c r="R972" s="792"/>
      <c r="S972" s="792"/>
      <c r="T972" s="792"/>
      <c r="U972" s="792"/>
      <c r="V972" s="793"/>
      <c r="W972" s="793"/>
      <c r="X972" s="792"/>
      <c r="Y972" s="792"/>
      <c r="Z972" s="792"/>
      <c r="AA972" s="792"/>
    </row>
    <row r="973" spans="1:27" ht="15.75" customHeight="1">
      <c r="A973" s="792"/>
      <c r="B973" s="792"/>
      <c r="C973" s="792"/>
      <c r="D973" s="792"/>
      <c r="E973" s="792"/>
      <c r="F973" s="792"/>
      <c r="G973" s="792"/>
      <c r="H973" s="792"/>
      <c r="I973" s="792"/>
      <c r="J973" s="792"/>
      <c r="K973" s="792"/>
      <c r="L973" s="792"/>
      <c r="M973" s="792"/>
      <c r="N973" s="792"/>
      <c r="O973" s="792"/>
      <c r="P973" s="792"/>
      <c r="Q973" s="792"/>
      <c r="R973" s="792"/>
      <c r="S973" s="792"/>
      <c r="T973" s="792"/>
      <c r="U973" s="792"/>
      <c r="V973" s="793"/>
      <c r="W973" s="793"/>
      <c r="X973" s="792"/>
      <c r="Y973" s="792"/>
      <c r="Z973" s="792"/>
      <c r="AA973" s="792"/>
    </row>
    <row r="974" spans="1:27" ht="15.75" customHeight="1">
      <c r="A974" s="792"/>
      <c r="B974" s="792"/>
      <c r="C974" s="792"/>
      <c r="D974" s="792"/>
      <c r="E974" s="792"/>
      <c r="F974" s="792"/>
      <c r="G974" s="792"/>
      <c r="H974" s="792"/>
      <c r="I974" s="792"/>
      <c r="J974" s="792"/>
      <c r="K974" s="792"/>
      <c r="L974" s="792"/>
      <c r="M974" s="792"/>
      <c r="N974" s="792"/>
      <c r="O974" s="792"/>
      <c r="P974" s="792"/>
      <c r="Q974" s="792"/>
      <c r="R974" s="792"/>
      <c r="S974" s="792"/>
      <c r="T974" s="792"/>
      <c r="U974" s="792"/>
      <c r="V974" s="793"/>
      <c r="W974" s="793"/>
      <c r="X974" s="792"/>
      <c r="Y974" s="792"/>
      <c r="Z974" s="792"/>
      <c r="AA974" s="792"/>
    </row>
    <row r="975" spans="1:27" ht="15.75" customHeight="1">
      <c r="A975" s="792"/>
      <c r="B975" s="792"/>
      <c r="C975" s="792"/>
      <c r="D975" s="792"/>
      <c r="E975" s="792"/>
      <c r="F975" s="792"/>
      <c r="G975" s="792"/>
      <c r="H975" s="792"/>
      <c r="I975" s="792"/>
      <c r="J975" s="792"/>
      <c r="K975" s="792"/>
      <c r="L975" s="792"/>
      <c r="M975" s="792"/>
      <c r="N975" s="792"/>
      <c r="O975" s="792"/>
      <c r="P975" s="792"/>
      <c r="Q975" s="792"/>
      <c r="R975" s="792"/>
      <c r="S975" s="792"/>
      <c r="T975" s="792"/>
      <c r="U975" s="792"/>
      <c r="V975" s="793"/>
      <c r="W975" s="793"/>
      <c r="X975" s="792"/>
      <c r="Y975" s="792"/>
      <c r="Z975" s="792"/>
      <c r="AA975" s="792"/>
    </row>
    <row r="976" spans="1:27" ht="15.75" customHeight="1">
      <c r="A976" s="792"/>
      <c r="B976" s="792"/>
      <c r="C976" s="792"/>
      <c r="D976" s="792"/>
      <c r="E976" s="792"/>
      <c r="F976" s="792"/>
      <c r="G976" s="792"/>
      <c r="H976" s="792"/>
      <c r="I976" s="792"/>
      <c r="J976" s="792"/>
      <c r="K976" s="792"/>
      <c r="L976" s="792"/>
      <c r="M976" s="792"/>
      <c r="N976" s="792"/>
      <c r="O976" s="792"/>
      <c r="P976" s="792"/>
      <c r="Q976" s="792"/>
      <c r="R976" s="792"/>
      <c r="S976" s="792"/>
      <c r="T976" s="792"/>
      <c r="U976" s="792"/>
      <c r="V976" s="793"/>
      <c r="W976" s="793"/>
      <c r="X976" s="792"/>
      <c r="Y976" s="792"/>
      <c r="Z976" s="792"/>
      <c r="AA976" s="792"/>
    </row>
    <row r="977" spans="1:27" ht="15.75" customHeight="1">
      <c r="A977" s="792"/>
      <c r="B977" s="792"/>
      <c r="C977" s="792"/>
      <c r="D977" s="792"/>
      <c r="E977" s="792"/>
      <c r="F977" s="792"/>
      <c r="G977" s="792"/>
      <c r="H977" s="792"/>
      <c r="I977" s="792"/>
      <c r="J977" s="792"/>
      <c r="K977" s="792"/>
      <c r="L977" s="792"/>
      <c r="M977" s="792"/>
      <c r="N977" s="792"/>
      <c r="O977" s="792"/>
      <c r="P977" s="792"/>
      <c r="Q977" s="792"/>
      <c r="R977" s="792"/>
      <c r="S977" s="792"/>
      <c r="T977" s="792"/>
      <c r="U977" s="792"/>
      <c r="V977" s="793"/>
      <c r="W977" s="793"/>
      <c r="X977" s="792"/>
      <c r="Y977" s="792"/>
      <c r="Z977" s="792"/>
      <c r="AA977" s="792"/>
    </row>
    <row r="978" spans="1:27" ht="15.75" customHeight="1">
      <c r="A978" s="792"/>
      <c r="B978" s="792"/>
      <c r="C978" s="792"/>
      <c r="D978" s="792"/>
      <c r="E978" s="792"/>
      <c r="F978" s="792"/>
      <c r="G978" s="792"/>
      <c r="H978" s="792"/>
      <c r="I978" s="792"/>
      <c r="J978" s="792"/>
      <c r="K978" s="792"/>
      <c r="L978" s="792"/>
      <c r="M978" s="792"/>
      <c r="N978" s="792"/>
      <c r="O978" s="792"/>
      <c r="P978" s="792"/>
      <c r="Q978" s="792"/>
      <c r="R978" s="792"/>
      <c r="S978" s="792"/>
      <c r="T978" s="792"/>
      <c r="U978" s="792"/>
      <c r="V978" s="793"/>
      <c r="W978" s="793"/>
      <c r="X978" s="792"/>
      <c r="Y978" s="792"/>
      <c r="Z978" s="792"/>
      <c r="AA978" s="792"/>
    </row>
    <row r="979" spans="1:27" ht="15.75" customHeight="1">
      <c r="A979" s="792"/>
      <c r="B979" s="792"/>
      <c r="C979" s="792"/>
      <c r="D979" s="792"/>
      <c r="E979" s="792"/>
      <c r="F979" s="792"/>
      <c r="G979" s="792"/>
      <c r="H979" s="792"/>
      <c r="I979" s="792"/>
      <c r="J979" s="792"/>
      <c r="K979" s="792"/>
      <c r="L979" s="792"/>
      <c r="M979" s="792"/>
      <c r="N979" s="792"/>
      <c r="O979" s="792"/>
      <c r="P979" s="792"/>
      <c r="Q979" s="792"/>
      <c r="R979" s="792"/>
      <c r="S979" s="792"/>
      <c r="T979" s="792"/>
      <c r="U979" s="792"/>
      <c r="V979" s="793"/>
      <c r="W979" s="793"/>
      <c r="X979" s="792"/>
      <c r="Y979" s="792"/>
      <c r="Z979" s="792"/>
      <c r="AA979" s="792"/>
    </row>
    <row r="980" spans="1:27" ht="15.75" customHeight="1">
      <c r="A980" s="792"/>
      <c r="B980" s="792"/>
      <c r="C980" s="792"/>
      <c r="D980" s="792"/>
      <c r="E980" s="792"/>
      <c r="F980" s="792"/>
      <c r="G980" s="792"/>
      <c r="H980" s="792"/>
      <c r="I980" s="792"/>
      <c r="J980" s="792"/>
      <c r="K980" s="792"/>
      <c r="L980" s="792"/>
      <c r="M980" s="792"/>
      <c r="N980" s="792"/>
      <c r="O980" s="792"/>
      <c r="P980" s="792"/>
      <c r="Q980" s="792"/>
      <c r="R980" s="792"/>
      <c r="S980" s="792"/>
      <c r="T980" s="792"/>
      <c r="U980" s="792"/>
      <c r="V980" s="793"/>
      <c r="W980" s="793"/>
      <c r="X980" s="792"/>
      <c r="Y980" s="792"/>
      <c r="Z980" s="792"/>
      <c r="AA980" s="792"/>
    </row>
    <row r="981" spans="1:27" ht="15.75" customHeight="1">
      <c r="A981" s="792"/>
      <c r="B981" s="792"/>
      <c r="C981" s="792"/>
      <c r="D981" s="792"/>
      <c r="E981" s="792"/>
      <c r="F981" s="792"/>
      <c r="G981" s="792"/>
      <c r="H981" s="792"/>
      <c r="I981" s="792"/>
      <c r="J981" s="792"/>
      <c r="K981" s="792"/>
      <c r="L981" s="792"/>
      <c r="M981" s="792"/>
      <c r="N981" s="792"/>
      <c r="O981" s="792"/>
      <c r="P981" s="792"/>
      <c r="Q981" s="792"/>
      <c r="R981" s="792"/>
      <c r="S981" s="792"/>
      <c r="T981" s="792"/>
      <c r="U981" s="792"/>
      <c r="V981" s="793"/>
      <c r="W981" s="793"/>
      <c r="X981" s="792"/>
      <c r="Y981" s="792"/>
      <c r="Z981" s="792"/>
      <c r="AA981" s="792"/>
    </row>
    <row r="982" spans="1:27" ht="15.75" customHeight="1">
      <c r="A982" s="792"/>
      <c r="B982" s="792"/>
      <c r="C982" s="792"/>
      <c r="D982" s="792"/>
      <c r="E982" s="792"/>
      <c r="F982" s="792"/>
      <c r="G982" s="792"/>
      <c r="H982" s="792"/>
      <c r="I982" s="792"/>
      <c r="J982" s="792"/>
      <c r="K982" s="792"/>
      <c r="L982" s="792"/>
      <c r="M982" s="792"/>
      <c r="N982" s="792"/>
      <c r="O982" s="792"/>
      <c r="P982" s="792"/>
      <c r="Q982" s="792"/>
      <c r="R982" s="792"/>
      <c r="S982" s="792"/>
      <c r="T982" s="792"/>
      <c r="U982" s="792"/>
      <c r="V982" s="793"/>
      <c r="W982" s="793"/>
      <c r="X982" s="792"/>
      <c r="Y982" s="792"/>
      <c r="Z982" s="792"/>
      <c r="AA982" s="792"/>
    </row>
    <row r="983" spans="1:27" ht="15.75" customHeight="1">
      <c r="A983" s="792"/>
      <c r="B983" s="792"/>
      <c r="C983" s="792"/>
      <c r="D983" s="792"/>
      <c r="E983" s="792"/>
      <c r="F983" s="792"/>
      <c r="G983" s="792"/>
      <c r="H983" s="792"/>
      <c r="I983" s="792"/>
      <c r="J983" s="792"/>
      <c r="K983" s="792"/>
      <c r="L983" s="792"/>
      <c r="M983" s="792"/>
      <c r="N983" s="792"/>
      <c r="O983" s="792"/>
      <c r="P983" s="792"/>
      <c r="Q983" s="792"/>
      <c r="R983" s="792"/>
      <c r="S983" s="792"/>
      <c r="T983" s="792"/>
      <c r="U983" s="792"/>
      <c r="V983" s="793"/>
      <c r="W983" s="793"/>
      <c r="X983" s="792"/>
      <c r="Y983" s="792"/>
      <c r="Z983" s="792"/>
      <c r="AA983" s="792"/>
    </row>
    <row r="984" spans="1:27" ht="15.75" customHeight="1">
      <c r="A984" s="792"/>
      <c r="B984" s="792"/>
      <c r="C984" s="792"/>
      <c r="D984" s="792"/>
      <c r="E984" s="792"/>
      <c r="F984" s="792"/>
      <c r="G984" s="792"/>
      <c r="H984" s="792"/>
      <c r="I984" s="792"/>
      <c r="J984" s="792"/>
      <c r="K984" s="792"/>
      <c r="L984" s="792"/>
      <c r="M984" s="792"/>
      <c r="N984" s="792"/>
      <c r="O984" s="792"/>
      <c r="P984" s="792"/>
      <c r="Q984" s="792"/>
      <c r="R984" s="792"/>
      <c r="S984" s="792"/>
      <c r="T984" s="792"/>
      <c r="U984" s="792"/>
      <c r="V984" s="793"/>
      <c r="W984" s="793"/>
      <c r="X984" s="792"/>
      <c r="Y984" s="792"/>
      <c r="Z984" s="792"/>
      <c r="AA984" s="792"/>
    </row>
    <row r="985" spans="1:27" ht="15.75" customHeight="1">
      <c r="A985" s="792"/>
      <c r="B985" s="792"/>
      <c r="C985" s="792"/>
      <c r="D985" s="792"/>
      <c r="E985" s="792"/>
      <c r="F985" s="792"/>
      <c r="G985" s="792"/>
      <c r="H985" s="792"/>
      <c r="I985" s="792"/>
      <c r="J985" s="792"/>
      <c r="K985" s="792"/>
      <c r="L985" s="792"/>
      <c r="M985" s="792"/>
      <c r="N985" s="792"/>
      <c r="O985" s="792"/>
      <c r="P985" s="792"/>
      <c r="Q985" s="792"/>
      <c r="R985" s="792"/>
      <c r="S985" s="792"/>
      <c r="T985" s="792"/>
      <c r="U985" s="792"/>
      <c r="V985" s="793"/>
      <c r="W985" s="793"/>
      <c r="X985" s="792"/>
      <c r="Y985" s="792"/>
      <c r="Z985" s="792"/>
      <c r="AA985" s="792"/>
    </row>
    <row r="986" spans="1:27" ht="15.75" customHeight="1">
      <c r="A986" s="792"/>
      <c r="B986" s="792"/>
      <c r="C986" s="792"/>
      <c r="D986" s="792"/>
      <c r="E986" s="792"/>
      <c r="F986" s="792"/>
      <c r="G986" s="792"/>
      <c r="H986" s="792"/>
      <c r="I986" s="792"/>
      <c r="J986" s="792"/>
      <c r="K986" s="792"/>
      <c r="L986" s="792"/>
      <c r="M986" s="792"/>
      <c r="N986" s="792"/>
      <c r="O986" s="792"/>
      <c r="P986" s="792"/>
      <c r="Q986" s="792"/>
      <c r="R986" s="792"/>
      <c r="S986" s="792"/>
      <c r="T986" s="792"/>
      <c r="U986" s="792"/>
      <c r="V986" s="793"/>
      <c r="W986" s="793"/>
      <c r="X986" s="792"/>
      <c r="Y986" s="792"/>
      <c r="Z986" s="792"/>
      <c r="AA986" s="792"/>
    </row>
    <row r="987" spans="1:27" ht="15.75" customHeight="1">
      <c r="A987" s="792"/>
      <c r="B987" s="792"/>
      <c r="C987" s="792"/>
      <c r="D987" s="792"/>
      <c r="E987" s="792"/>
      <c r="F987" s="792"/>
      <c r="G987" s="792"/>
      <c r="H987" s="792"/>
      <c r="I987" s="792"/>
      <c r="J987" s="792"/>
      <c r="K987" s="792"/>
      <c r="L987" s="792"/>
      <c r="M987" s="792"/>
      <c r="N987" s="792"/>
      <c r="O987" s="792"/>
      <c r="P987" s="792"/>
      <c r="Q987" s="792"/>
      <c r="R987" s="792"/>
      <c r="S987" s="792"/>
      <c r="T987" s="792"/>
      <c r="U987" s="792"/>
      <c r="V987" s="793"/>
      <c r="W987" s="793"/>
      <c r="X987" s="792"/>
      <c r="Y987" s="792"/>
      <c r="Z987" s="792"/>
      <c r="AA987" s="792"/>
    </row>
    <row r="988" spans="1:27" ht="15.75" customHeight="1">
      <c r="A988" s="792"/>
      <c r="B988" s="792"/>
      <c r="C988" s="792"/>
      <c r="D988" s="792"/>
      <c r="E988" s="792"/>
      <c r="F988" s="792"/>
      <c r="G988" s="792"/>
      <c r="H988" s="792"/>
      <c r="I988" s="792"/>
      <c r="J988" s="792"/>
      <c r="K988" s="792"/>
      <c r="L988" s="792"/>
      <c r="M988" s="792"/>
      <c r="N988" s="792"/>
      <c r="O988" s="792"/>
      <c r="P988" s="792"/>
      <c r="Q988" s="792"/>
      <c r="R988" s="792"/>
      <c r="S988" s="792"/>
      <c r="T988" s="792"/>
      <c r="U988" s="792"/>
      <c r="V988" s="793"/>
      <c r="W988" s="793"/>
      <c r="X988" s="792"/>
      <c r="Y988" s="792"/>
      <c r="Z988" s="792"/>
      <c r="AA988" s="792"/>
    </row>
    <row r="989" spans="1:27" ht="15.75" customHeight="1">
      <c r="A989" s="792"/>
      <c r="B989" s="792"/>
      <c r="C989" s="792"/>
      <c r="D989" s="792"/>
      <c r="E989" s="792"/>
      <c r="F989" s="792"/>
      <c r="G989" s="792"/>
      <c r="H989" s="792"/>
      <c r="I989" s="792"/>
      <c r="J989" s="792"/>
      <c r="K989" s="792"/>
      <c r="L989" s="792"/>
      <c r="M989" s="792"/>
      <c r="N989" s="792"/>
      <c r="O989" s="792"/>
      <c r="P989" s="792"/>
      <c r="Q989" s="792"/>
      <c r="R989" s="792"/>
      <c r="S989" s="792"/>
      <c r="T989" s="792"/>
      <c r="U989" s="792"/>
      <c r="V989" s="793"/>
      <c r="W989" s="793"/>
      <c r="X989" s="792"/>
      <c r="Y989" s="792"/>
      <c r="Z989" s="792"/>
      <c r="AA989" s="792"/>
    </row>
    <row r="990" spans="1:27" ht="15.75" customHeight="1">
      <c r="A990" s="792"/>
      <c r="B990" s="792"/>
      <c r="C990" s="792"/>
      <c r="D990" s="792"/>
      <c r="E990" s="792"/>
      <c r="F990" s="792"/>
      <c r="G990" s="792"/>
      <c r="H990" s="792"/>
      <c r="I990" s="792"/>
      <c r="J990" s="792"/>
      <c r="K990" s="792"/>
      <c r="L990" s="792"/>
      <c r="M990" s="792"/>
      <c r="N990" s="792"/>
      <c r="O990" s="792"/>
      <c r="P990" s="792"/>
      <c r="Q990" s="792"/>
      <c r="R990" s="792"/>
      <c r="S990" s="792"/>
      <c r="T990" s="792"/>
      <c r="U990" s="792"/>
      <c r="V990" s="793"/>
      <c r="W990" s="793"/>
      <c r="X990" s="792"/>
      <c r="Y990" s="792"/>
      <c r="Z990" s="792"/>
      <c r="AA990" s="792"/>
    </row>
    <row r="991" spans="1:27" ht="15.75" customHeight="1">
      <c r="A991" s="792"/>
      <c r="B991" s="792"/>
      <c r="C991" s="792"/>
      <c r="D991" s="792"/>
      <c r="E991" s="792"/>
      <c r="F991" s="792"/>
      <c r="G991" s="792"/>
      <c r="H991" s="792"/>
      <c r="I991" s="792"/>
      <c r="J991" s="792"/>
      <c r="K991" s="792"/>
      <c r="L991" s="792"/>
      <c r="M991" s="792"/>
      <c r="N991" s="792"/>
      <c r="O991" s="792"/>
      <c r="P991" s="792"/>
      <c r="Q991" s="792"/>
      <c r="R991" s="792"/>
      <c r="S991" s="792"/>
      <c r="T991" s="792"/>
      <c r="U991" s="792"/>
      <c r="V991" s="793"/>
      <c r="W991" s="793"/>
      <c r="X991" s="792"/>
      <c r="Y991" s="792"/>
      <c r="Z991" s="792"/>
      <c r="AA991" s="792"/>
    </row>
    <row r="992" spans="1:27" ht="15.75" customHeight="1">
      <c r="A992" s="792"/>
      <c r="B992" s="792"/>
      <c r="C992" s="792"/>
      <c r="D992" s="792"/>
      <c r="E992" s="792"/>
      <c r="F992" s="792"/>
      <c r="G992" s="792"/>
      <c r="H992" s="792"/>
      <c r="I992" s="792"/>
      <c r="J992" s="792"/>
      <c r="K992" s="792"/>
      <c r="L992" s="792"/>
      <c r="M992" s="792"/>
      <c r="N992" s="792"/>
      <c r="O992" s="792"/>
      <c r="P992" s="792"/>
      <c r="Q992" s="792"/>
      <c r="R992" s="792"/>
      <c r="S992" s="792"/>
      <c r="T992" s="792"/>
      <c r="U992" s="792"/>
      <c r="V992" s="793"/>
      <c r="W992" s="793"/>
      <c r="X992" s="792"/>
      <c r="Y992" s="792"/>
      <c r="Z992" s="792"/>
      <c r="AA992" s="792"/>
    </row>
    <row r="993" spans="1:27" ht="15.75" customHeight="1">
      <c r="A993" s="792"/>
      <c r="B993" s="792"/>
      <c r="C993" s="792"/>
      <c r="D993" s="792"/>
      <c r="E993" s="792"/>
      <c r="F993" s="792"/>
      <c r="G993" s="792"/>
      <c r="H993" s="792"/>
      <c r="I993" s="792"/>
      <c r="J993" s="792"/>
      <c r="K993" s="792"/>
      <c r="L993" s="792"/>
      <c r="M993" s="792"/>
      <c r="N993" s="792"/>
      <c r="O993" s="792"/>
      <c r="P993" s="792"/>
      <c r="Q993" s="792"/>
      <c r="R993" s="792"/>
      <c r="S993" s="792"/>
      <c r="T993" s="792"/>
      <c r="U993" s="792"/>
      <c r="V993" s="793"/>
      <c r="W993" s="793"/>
      <c r="X993" s="792"/>
      <c r="Y993" s="792"/>
      <c r="Z993" s="792"/>
      <c r="AA993" s="792"/>
    </row>
    <row r="994" spans="1:27" ht="15.75" customHeight="1">
      <c r="A994" s="792"/>
      <c r="B994" s="792"/>
      <c r="C994" s="792"/>
      <c r="D994" s="792"/>
      <c r="E994" s="792"/>
      <c r="F994" s="792"/>
      <c r="G994" s="792"/>
      <c r="H994" s="792"/>
      <c r="I994" s="792"/>
      <c r="J994" s="792"/>
      <c r="K994" s="792"/>
      <c r="L994" s="792"/>
      <c r="M994" s="792"/>
      <c r="N994" s="792"/>
      <c r="O994" s="792"/>
      <c r="P994" s="792"/>
      <c r="Q994" s="792"/>
      <c r="R994" s="792"/>
      <c r="S994" s="792"/>
      <c r="T994" s="792"/>
      <c r="U994" s="792"/>
      <c r="V994" s="793"/>
      <c r="W994" s="793"/>
      <c r="X994" s="792"/>
      <c r="Y994" s="792"/>
      <c r="Z994" s="792"/>
      <c r="AA994" s="792"/>
    </row>
    <row r="995" spans="1:27" ht="15.75" customHeight="1">
      <c r="A995" s="792"/>
      <c r="B995" s="792"/>
      <c r="C995" s="792"/>
      <c r="D995" s="792"/>
      <c r="E995" s="792"/>
      <c r="F995" s="792"/>
      <c r="G995" s="792"/>
      <c r="H995" s="792"/>
      <c r="I995" s="792"/>
      <c r="J995" s="792"/>
      <c r="K995" s="792"/>
      <c r="L995" s="792"/>
      <c r="M995" s="792"/>
      <c r="N995" s="792"/>
      <c r="O995" s="792"/>
      <c r="P995" s="792"/>
      <c r="Q995" s="792"/>
      <c r="R995" s="792"/>
      <c r="S995" s="792"/>
      <c r="T995" s="792"/>
      <c r="U995" s="792"/>
      <c r="V995" s="793"/>
      <c r="W995" s="793"/>
      <c r="X995" s="792"/>
      <c r="Y995" s="792"/>
      <c r="Z995" s="792"/>
      <c r="AA995" s="792"/>
    </row>
    <row r="996" spans="1:27" ht="15.75" customHeight="1">
      <c r="A996" s="792"/>
      <c r="B996" s="792"/>
      <c r="C996" s="792"/>
      <c r="D996" s="792"/>
      <c r="E996" s="792"/>
      <c r="F996" s="792"/>
      <c r="G996" s="792"/>
      <c r="H996" s="792"/>
      <c r="I996" s="792"/>
      <c r="J996" s="792"/>
      <c r="K996" s="792"/>
      <c r="L996" s="792"/>
      <c r="M996" s="792"/>
      <c r="N996" s="792"/>
      <c r="O996" s="792"/>
      <c r="P996" s="792"/>
      <c r="Q996" s="792"/>
      <c r="R996" s="792"/>
      <c r="S996" s="792"/>
      <c r="T996" s="792"/>
      <c r="U996" s="792"/>
      <c r="V996" s="793"/>
      <c r="W996" s="793"/>
      <c r="X996" s="792"/>
      <c r="Y996" s="792"/>
      <c r="Z996" s="792"/>
      <c r="AA996" s="792"/>
    </row>
  </sheetData>
  <mergeCells count="101">
    <mergeCell ref="B204:B206"/>
    <mergeCell ref="C204:C206"/>
    <mergeCell ref="B210:D210"/>
    <mergeCell ref="A211:D211"/>
    <mergeCell ref="A135:A158"/>
    <mergeCell ref="B135:B136"/>
    <mergeCell ref="B138:B144"/>
    <mergeCell ref="B145:B146"/>
    <mergeCell ref="B147:B149"/>
    <mergeCell ref="B158:D158"/>
    <mergeCell ref="A159:A210"/>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A3:E3"/>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V4:V5"/>
    <mergeCell ref="G4:H4"/>
    <mergeCell ref="I4:I5"/>
    <mergeCell ref="J4:L4"/>
    <mergeCell ref="M4:M5"/>
    <mergeCell ref="N4:N5"/>
    <mergeCell ref="O4:O5"/>
    <mergeCell ref="P4:P5"/>
    <mergeCell ref="C40:C46"/>
    <mergeCell ref="Q4:Q5"/>
    <mergeCell ref="R4:R5"/>
    <mergeCell ref="S4:S5"/>
  </mergeCells>
  <pageMargins left="0.26" right="0.21" top="0.19" bottom="0.35" header="0" footer="0"/>
  <pageSetup scale="85"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TVM</vt:lpstr>
      <vt:lpstr>KLM</vt:lpstr>
      <vt:lpstr>PTA</vt:lpstr>
      <vt:lpstr>ALP</vt:lpstr>
      <vt:lpstr>KTM</vt:lpstr>
      <vt:lpstr>IDK</vt:lpstr>
      <vt:lpstr>EKM</vt:lpstr>
      <vt:lpstr>TSR</vt:lpstr>
      <vt:lpstr>PKD</vt:lpstr>
      <vt:lpstr>MLPM</vt:lpstr>
      <vt:lpstr>KKD</vt:lpstr>
      <vt:lpstr>WYD</vt:lpstr>
      <vt:lpstr>KNR</vt:lpstr>
      <vt:lpstr>KSD</vt:lpstr>
      <vt:lpstr>SHS</vt:lpstr>
      <vt:lpstr>TOTAL</vt:lpstr>
      <vt:lpstr>EKM!Print_Area</vt:lpstr>
      <vt:lpstr>WYD!Print_Area</vt:lpstr>
      <vt:lpstr>ALP!Print_Titles</vt:lpstr>
      <vt:lpstr>EKM!Print_Titles</vt:lpstr>
      <vt:lpstr>KKD!Print_Titles</vt:lpstr>
      <vt:lpstr>KLM!Print_Titles</vt:lpstr>
      <vt:lpstr>KNR!Print_Titles</vt:lpstr>
      <vt:lpstr>KSD!Print_Titles</vt:lpstr>
      <vt:lpstr>KTM!Print_Titles</vt:lpstr>
      <vt:lpstr>MLPM!Print_Titles</vt:lpstr>
      <vt:lpstr>PKD!Print_Titles</vt:lpstr>
      <vt:lpstr>PTA!Print_Titles</vt:lpstr>
      <vt:lpstr>TSR!Print_Titles</vt:lpstr>
      <vt:lpstr>TVM!Print_Titles</vt:lpstr>
      <vt:lpstr>WYD!Print_Titles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cp:lastPrinted>2024-05-31T11:18:44Z</cp:lastPrinted>
  <dcterms:created xsi:type="dcterms:W3CDTF">2024-05-31T11:43:45Z</dcterms:created>
  <dcterms:modified xsi:type="dcterms:W3CDTF">2024-05-31T11:44:05Z</dcterms:modified>
</cp:coreProperties>
</file>